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updateLinks="never"/>
  <mc:AlternateContent xmlns:mc="http://schemas.openxmlformats.org/markup-compatibility/2006">
    <mc:Choice Requires="x15">
      <x15ac:absPath xmlns:x15ac="http://schemas.microsoft.com/office/spreadsheetml/2010/11/ac" url="https://pathseattle-my.sharepoint.com/personal/hthompson_path_org/Documents/Documents/github/nigeria-costing-dashboard/data/"/>
    </mc:Choice>
  </mc:AlternateContent>
  <xr:revisionPtr revIDLastSave="0" documentId="8_{078FE0D4-EE0A-4C1A-8DD9-31193E0EAF1E}" xr6:coauthVersionLast="47" xr6:coauthVersionMax="47" xr10:uidLastSave="{00000000-0000-0000-0000-000000000000}"/>
  <bookViews>
    <workbookView xWindow="-120" yWindow="-120" windowWidth="29040" windowHeight="15720" tabRatio="780" firstSheet="1" activeTab="3" xr2:uid="{00000000-000D-0000-FFFF-FFFF00000000}"/>
  </bookViews>
  <sheets>
    <sheet name="Cover Page" sheetId="11" r:id="rId1"/>
    <sheet name="Unit Cost" sheetId="3" r:id="rId2"/>
    <sheet name="Detailed Budget" sheetId="1" r:id="rId3"/>
    <sheet name="States and LGAs" sheetId="15" r:id="rId4"/>
    <sheet name="Cost inputs for SMC Campaign" sheetId="18" r:id="rId5"/>
    <sheet name="SUMMARY&gt;&gt;&gt;" sheetId="12" state="hidden" r:id="rId6"/>
    <sheet name="NSP Needs by Year" sheetId="13" state="hidden" r:id="rId7"/>
    <sheet name="INPUTS&gt;&gt;&gt;" sheetId="2" state="hidden" r:id="rId8"/>
    <sheet name="REFERENCE&gt;&gt;&gt;" sheetId="9" state="hidden" r:id="rId9"/>
    <sheet name="Data Validation" sheetId="7" state="hidden" r:id="rId10"/>
    <sheet name="Cost inputs for ITN Campaign" sheetId="16" r:id="rId11"/>
    <sheet name="Cost Inputs for IRS" sheetId="26" r:id="rId12"/>
    <sheet name="Cost inputs for LSM" sheetId="30" r:id="rId13"/>
    <sheet name="Cost inputs CM commodities" sheetId="17" r:id="rId14"/>
    <sheet name="Cost input for EQA for CM" sheetId="29" r:id="rId15"/>
    <sheet name="Cost input-NHMIS Tools Printing" sheetId="28" r:id="rId16"/>
    <sheet name="Cost input-NHMIS Tools Distribu" sheetId="27" r:id="rId17"/>
    <sheet name="Cost inputs for M&amp;E activities" sheetId="22" r:id="rId18"/>
    <sheet name="Cost inputs for PMC commodities" sheetId="19" r:id="rId19"/>
    <sheet name="Cost inputs-PMC SP Distribution" sheetId="20" r:id="rId20"/>
    <sheet name="Cost inputs for LLIN &amp; SP " sheetId="21" r:id="rId21"/>
    <sheet name="Cost inputs for Workshops" sheetId="23"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_123Graph_A" localSheetId="7" hidden="1">#REF!</definedName>
    <definedName name="__123Graph_A" hidden="1">#REF!</definedName>
    <definedName name="__123Graph_AGRAPH1" localSheetId="7" hidden="1">#REF!</definedName>
    <definedName name="__123Graph_AGRAPH1" hidden="1">#REF!</definedName>
    <definedName name="__123Graph_AGRAPH2" localSheetId="7" hidden="1">#REF!</definedName>
    <definedName name="__123Graph_AGRAPH2" hidden="1">#REF!</definedName>
    <definedName name="__123Graph_AGRAPH3" localSheetId="7" hidden="1">#REF!</definedName>
    <definedName name="__123Graph_AGRAPH3" hidden="1">#REF!</definedName>
    <definedName name="__123Graph_AGRAPH4" localSheetId="7" hidden="1">#REF!</definedName>
    <definedName name="__123Graph_AGRAPH4" hidden="1">#REF!</definedName>
    <definedName name="__123Graph_AGRAPH5" localSheetId="7" hidden="1">#REF!</definedName>
    <definedName name="__123Graph_AGRAPH5" hidden="1">#REF!</definedName>
    <definedName name="__123Graph_AGRAPH6" localSheetId="7" hidden="1">#REF!</definedName>
    <definedName name="__123Graph_AGRAPH6" hidden="1">#REF!</definedName>
    <definedName name="__123Graph_B" localSheetId="7" hidden="1">#REF!</definedName>
    <definedName name="__123Graph_B" hidden="1">#REF!</definedName>
    <definedName name="__123Graph_BGRAPH1" localSheetId="7" hidden="1">#REF!</definedName>
    <definedName name="__123Graph_BGRAPH1" hidden="1">#REF!</definedName>
    <definedName name="__123Graph_BGRAPH2" localSheetId="7" hidden="1">#REF!</definedName>
    <definedName name="__123Graph_BGRAPH2" hidden="1">#REF!</definedName>
    <definedName name="__123Graph_BGRAPH3" localSheetId="7" hidden="1">#REF!</definedName>
    <definedName name="__123Graph_BGRAPH3" hidden="1">#REF!</definedName>
    <definedName name="__123Graph_BGRAPH4" localSheetId="7" hidden="1">#REF!</definedName>
    <definedName name="__123Graph_BGRAPH4" hidden="1">#REF!</definedName>
    <definedName name="__123Graph_BGRAPH5" localSheetId="7" hidden="1">#REF!</definedName>
    <definedName name="__123Graph_BGRAPH5" hidden="1">#REF!</definedName>
    <definedName name="__123Graph_BGRAPH6" localSheetId="7" hidden="1">#REF!</definedName>
    <definedName name="__123Graph_BGRAPH6" hidden="1">#REF!</definedName>
    <definedName name="__123Graph_C" localSheetId="7" hidden="1">#REF!</definedName>
    <definedName name="__123Graph_C" hidden="1">#REF!</definedName>
    <definedName name="__123Graph_CGRAPH1" localSheetId="7" hidden="1">#REF!</definedName>
    <definedName name="__123Graph_CGRAPH1" hidden="1">#REF!</definedName>
    <definedName name="__123Graph_CGRAPH2" localSheetId="7" hidden="1">#REF!</definedName>
    <definedName name="__123Graph_CGRAPH2" hidden="1">#REF!</definedName>
    <definedName name="__123Graph_CGRAPH3" localSheetId="7" hidden="1">#REF!</definedName>
    <definedName name="__123Graph_CGRAPH3" hidden="1">#REF!</definedName>
    <definedName name="__123Graph_CGRAPH6" localSheetId="7" hidden="1">#REF!</definedName>
    <definedName name="__123Graph_CGRAPH6" hidden="1">#REF!</definedName>
    <definedName name="__123Graph_D" localSheetId="7" hidden="1">#REF!</definedName>
    <definedName name="__123Graph_D" hidden="1">#REF!</definedName>
    <definedName name="__123Graph_DGRAPH1" localSheetId="7" hidden="1">#REF!</definedName>
    <definedName name="__123Graph_DGRAPH1" hidden="1">#REF!</definedName>
    <definedName name="__123Graph_DGRAPH3" localSheetId="7" hidden="1">#REF!</definedName>
    <definedName name="__123Graph_DGRAPH3" hidden="1">#REF!</definedName>
    <definedName name="__123Graph_DGRAPH6" localSheetId="7" hidden="1">#REF!</definedName>
    <definedName name="__123Graph_DGRAPH6" hidden="1">#REF!</definedName>
    <definedName name="__123Graph_LBL_A" localSheetId="7" hidden="1">#REF!</definedName>
    <definedName name="__123Graph_LBL_A" hidden="1">#REF!</definedName>
    <definedName name="__123Graph_LBL_AGRAPH1" localSheetId="7" hidden="1">#REF!</definedName>
    <definedName name="__123Graph_LBL_AGRAPH1" hidden="1">#REF!</definedName>
    <definedName name="__123Graph_LBL_AGRAPH2" localSheetId="7" hidden="1">#REF!</definedName>
    <definedName name="__123Graph_LBL_AGRAPH2" hidden="1">#REF!</definedName>
    <definedName name="__123Graph_LBL_B" localSheetId="7" hidden="1">#REF!</definedName>
    <definedName name="__123Graph_LBL_B" hidden="1">#REF!</definedName>
    <definedName name="__123Graph_LBL_BGRAPH2" localSheetId="7" hidden="1">#REF!</definedName>
    <definedName name="__123Graph_LBL_BGRAPH2" hidden="1">#REF!</definedName>
    <definedName name="__123Graph_LBL_D" localSheetId="7" hidden="1">#REF!</definedName>
    <definedName name="__123Graph_LBL_D" hidden="1">#REF!</definedName>
    <definedName name="__123Graph_LBL_DGRAPH1" localSheetId="7" hidden="1">#REF!</definedName>
    <definedName name="__123Graph_LBL_DGRAPH1" hidden="1">#REF!</definedName>
    <definedName name="__123Graph_X" localSheetId="7" hidden="1">#REF!</definedName>
    <definedName name="__123Graph_X" hidden="1">#REF!</definedName>
    <definedName name="__123Graph_XGRAPH1" localSheetId="7" hidden="1">#REF!</definedName>
    <definedName name="__123Graph_XGRAPH1" hidden="1">#REF!</definedName>
    <definedName name="__123Graph_XGRAPH2" localSheetId="7" hidden="1">#REF!</definedName>
    <definedName name="__123Graph_XGRAPH2" hidden="1">#REF!</definedName>
    <definedName name="__123Graph_XGRAPH3" localSheetId="7" hidden="1">#REF!</definedName>
    <definedName name="__123Graph_XGRAPH3" hidden="1">#REF!</definedName>
    <definedName name="__123Graph_XGRAPH4" localSheetId="7" hidden="1">#REF!</definedName>
    <definedName name="__123Graph_XGRAPH4" hidden="1">#REF!</definedName>
    <definedName name="__123Graph_XGRAPH5" localSheetId="7" hidden="1">#REF!</definedName>
    <definedName name="__123Graph_XGRAPH5" hidden="1">#REF!</definedName>
    <definedName name="__123Graph_XGRAPH6" localSheetId="7" hidden="1">#REF!</definedName>
    <definedName name="__123Graph_XGRAPH6" hidden="1">#REF!</definedName>
    <definedName name="_Fill" localSheetId="7" hidden="1">#REF!</definedName>
    <definedName name="_Fill" hidden="1">#REF!</definedName>
    <definedName name="_xlchart.v1.0" hidden="1">'NSP Needs by Year'!$D$9:$D$14</definedName>
    <definedName name="_xlchart.v1.1" hidden="1">'NSP Needs by Year'!$G$9:$G$14</definedName>
    <definedName name="abc" localSheetId="7" hidden="1">#REF!</definedName>
    <definedName name="abc" hidden="1">#REF!</definedName>
    <definedName name="ACU">'Unit Cost'!$C$4</definedName>
    <definedName name="Currencies">OFFSET([1]Setup!$I$46:$I$65,1,0,MAX([1]Setup!$G$46:$G$65),1)</definedName>
    <definedName name="Economy">'Unit Cost'!$F$3</definedName>
    <definedName name="FX_Rate">'Unit Cost'!$F$4</definedName>
    <definedName name="Header1" localSheetId="7" hidden="1">IF(COUNTA(#REF!)=0,0,INDEX(#REF!,MATCH(ROW(#REF!),#REF!,TRUE)))+1</definedName>
    <definedName name="Header1" hidden="1">IF(COUNTA(#REF!)=0,0,INDEX(#REF!,MATCH(ROW(#REF!),#REF!,TRUE)))+1</definedName>
    <definedName name="Header2" localSheetId="7" hidden="1">[2]!Header1-1 &amp; "." &amp; MAX(1,COUNTA(INDEX(#REF!,MATCH([2]!Header1-1,#REF!,FALSE)):#REF!))</definedName>
    <definedName name="Header2" hidden="1">[2]!Header1-1 &amp; "." &amp; MAX(1,COUNTA(INDEX(#REF!,MATCH([2]!Header1-1,#REF!,FALSE)):#REF!))</definedName>
    <definedName name="HTML_Control" localSheetId="9">{"'Sheet1'!$A$1:$O$32"}</definedName>
    <definedName name="HTML_Control">{"'Sheet1'!$A$1:$O$32"}</definedName>
    <definedName name="LCU">'Unit Cost'!$C$3</definedName>
    <definedName name="Lvl1Hdr">'Data Validation'!$F$3</definedName>
    <definedName name="Lvl2Hdr">'Data Validation'!$F$4</definedName>
    <definedName name="Lvl3Hdr">'Data Validation'!$F$5</definedName>
    <definedName name="Lvl4Hdr">'Data Validation'!$F$6</definedName>
    <definedName name="Lvl6Hdr">'Data Validation'!$F$8</definedName>
    <definedName name="LvlBottomHdr">'Data Validation'!$F$7</definedName>
    <definedName name="LvlTopHdr">'Data Validation'!$F$2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B269" i="15" l="1"/>
  <c r="GD269" i="15" s="1"/>
  <c r="FG33" i="15"/>
  <c r="FG41" i="15"/>
  <c r="FG64" i="15"/>
  <c r="FG82" i="15"/>
  <c r="FG97" i="15"/>
  <c r="FG124" i="15"/>
  <c r="FG143" i="15"/>
  <c r="FG189" i="15"/>
  <c r="FG218" i="15"/>
  <c r="FG250" i="15"/>
  <c r="FG252" i="15"/>
  <c r="FG253" i="15"/>
  <c r="FG254" i="15"/>
  <c r="FG255" i="15"/>
  <c r="FG256" i="15"/>
  <c r="FG257" i="15"/>
  <c r="FG258" i="15"/>
  <c r="FG259" i="15"/>
  <c r="FG260" i="15"/>
  <c r="FG261" i="15"/>
  <c r="FG262" i="15"/>
  <c r="FG263" i="15"/>
  <c r="FG264" i="15"/>
  <c r="FG265" i="15"/>
  <c r="FG266" i="15"/>
  <c r="FG267" i="15"/>
  <c r="FG268" i="15"/>
  <c r="FG269" i="15"/>
  <c r="FG299" i="15"/>
  <c r="FG324" i="15"/>
  <c r="FG370" i="15"/>
  <c r="FG406" i="15"/>
  <c r="FG429" i="15"/>
  <c r="FG454" i="15"/>
  <c r="FG470" i="15"/>
  <c r="FG490" i="15"/>
  <c r="FG513" i="15"/>
  <c r="FG528" i="15"/>
  <c r="FG547" i="15"/>
  <c r="FG576" i="15"/>
  <c r="FG610" i="15"/>
  <c r="FG620" i="15"/>
  <c r="FG640" i="15"/>
  <c r="FG687" i="15"/>
  <c r="FG712" i="15"/>
  <c r="FG731" i="15"/>
  <c r="FG753" i="15"/>
  <c r="FG775" i="15"/>
  <c r="FG795" i="15"/>
  <c r="FG827" i="15"/>
  <c r="BX33" i="15" l="1"/>
  <c r="BX41" i="15"/>
  <c r="BX64" i="15"/>
  <c r="BX82" i="15"/>
  <c r="BX97" i="15"/>
  <c r="BX124" i="15"/>
  <c r="BX143" i="15"/>
  <c r="BX167" i="15"/>
  <c r="BX189" i="15"/>
  <c r="BX218" i="15"/>
  <c r="BX231" i="15"/>
  <c r="BX249" i="15"/>
  <c r="BX250" i="15"/>
  <c r="BX269" i="15"/>
  <c r="BX299" i="15"/>
  <c r="BX324" i="15"/>
  <c r="BX370" i="15"/>
  <c r="BX406" i="15"/>
  <c r="BX429" i="15"/>
  <c r="BX454" i="15"/>
  <c r="BX470" i="15"/>
  <c r="BX471" i="15"/>
  <c r="BX472" i="15"/>
  <c r="BX490" i="15"/>
  <c r="BX491" i="15"/>
  <c r="BX513" i="15"/>
  <c r="BX528" i="15"/>
  <c r="BX547" i="15"/>
  <c r="BX576" i="15"/>
  <c r="BX578" i="15"/>
  <c r="BX610" i="15"/>
  <c r="BX611" i="15"/>
  <c r="BX620" i="15"/>
  <c r="BX621" i="15"/>
  <c r="BX640" i="15"/>
  <c r="BX641" i="15"/>
  <c r="BX667" i="15"/>
  <c r="BX668" i="15"/>
  <c r="BX687" i="15"/>
  <c r="BX688" i="15"/>
  <c r="BX712" i="15"/>
  <c r="BX713" i="15"/>
  <c r="BX714" i="15"/>
  <c r="BX731" i="15"/>
  <c r="BX732" i="15"/>
  <c r="BX753" i="15"/>
  <c r="BX754" i="15"/>
  <c r="BX775" i="15"/>
  <c r="BX776" i="15"/>
  <c r="BX795" i="15"/>
  <c r="BX796" i="15"/>
  <c r="BX827" i="15"/>
  <c r="BV33" i="15"/>
  <c r="BV41" i="15"/>
  <c r="BV64" i="15"/>
  <c r="BV82" i="15"/>
  <c r="BV97" i="15"/>
  <c r="BV124" i="15"/>
  <c r="BV143" i="15"/>
  <c r="BV167" i="15"/>
  <c r="BV189" i="15"/>
  <c r="BV218" i="15"/>
  <c r="BV231" i="15"/>
  <c r="BV249" i="15"/>
  <c r="BV250" i="15"/>
  <c r="BV269" i="15"/>
  <c r="BV299" i="15"/>
  <c r="BV324" i="15"/>
  <c r="BV370" i="15"/>
  <c r="BV406" i="15"/>
  <c r="BV429" i="15"/>
  <c r="BV454" i="15"/>
  <c r="BV470" i="15"/>
  <c r="BV471" i="15"/>
  <c r="BV472" i="15"/>
  <c r="BV490" i="15"/>
  <c r="BV491" i="15"/>
  <c r="BV513" i="15"/>
  <c r="BV528" i="15"/>
  <c r="BV547" i="15"/>
  <c r="BV576" i="15"/>
  <c r="BV578" i="15"/>
  <c r="BV610" i="15"/>
  <c r="BV611" i="15"/>
  <c r="BV620" i="15"/>
  <c r="BV621" i="15"/>
  <c r="BV640" i="15"/>
  <c r="BV641" i="15"/>
  <c r="BV667" i="15"/>
  <c r="BV668" i="15"/>
  <c r="BV687" i="15"/>
  <c r="BV688" i="15"/>
  <c r="BV712" i="15"/>
  <c r="BV713" i="15"/>
  <c r="BV714" i="15"/>
  <c r="BV731" i="15"/>
  <c r="BV732" i="15"/>
  <c r="BV753" i="15"/>
  <c r="BV754" i="15"/>
  <c r="BV775" i="15"/>
  <c r="BV776" i="15"/>
  <c r="BV795" i="15"/>
  <c r="BV796" i="15"/>
  <c r="BV827" i="15"/>
  <c r="J3" i="30" l="1"/>
  <c r="W158" i="1"/>
  <c r="M158" i="1"/>
  <c r="D158" i="1"/>
  <c r="W157" i="1"/>
  <c r="N157" i="1"/>
  <c r="M157" i="1"/>
  <c r="D157" i="1"/>
  <c r="W156" i="1"/>
  <c r="N156" i="1"/>
  <c r="M156" i="1"/>
  <c r="D156" i="1"/>
  <c r="AX828" i="15"/>
  <c r="AY828" i="15" s="1"/>
  <c r="BR828" i="15" s="1"/>
  <c r="BS828" i="15" s="1"/>
  <c r="AX796" i="15"/>
  <c r="AY796" i="15" s="1"/>
  <c r="BR796" i="15" s="1"/>
  <c r="BS796" i="15" s="1"/>
  <c r="AX776" i="15"/>
  <c r="AY776" i="15" s="1"/>
  <c r="BR776" i="15" s="1"/>
  <c r="BS776" i="15" s="1"/>
  <c r="AX754" i="15"/>
  <c r="AY754" i="15" s="1"/>
  <c r="BR754" i="15" s="1"/>
  <c r="BS754" i="15" s="1"/>
  <c r="AX732" i="15"/>
  <c r="AY732" i="15" s="1"/>
  <c r="BR732" i="15" s="1"/>
  <c r="BS732" i="15" s="1"/>
  <c r="AX714" i="15"/>
  <c r="AX688" i="15"/>
  <c r="AY688" i="15" s="1"/>
  <c r="BR688" i="15" s="1"/>
  <c r="BS688" i="15" s="1"/>
  <c r="AX668" i="15"/>
  <c r="AY668" i="15" s="1"/>
  <c r="BR668" i="15" s="1"/>
  <c r="BS668" i="15" s="1"/>
  <c r="AX641" i="15"/>
  <c r="AY641" i="15" s="1"/>
  <c r="BR641" i="15" s="1"/>
  <c r="BS641" i="15" s="1"/>
  <c r="AX621" i="15"/>
  <c r="AY621" i="15" s="1"/>
  <c r="BR621" i="15" s="1"/>
  <c r="BS621" i="15" s="1"/>
  <c r="AX611" i="15"/>
  <c r="AY611" i="15" s="1"/>
  <c r="BR611" i="15" s="1"/>
  <c r="BS611" i="15" s="1"/>
  <c r="AX578" i="15"/>
  <c r="AY578" i="15" s="1"/>
  <c r="BR578" i="15" s="1"/>
  <c r="BS578" i="15" s="1"/>
  <c r="AX548" i="15"/>
  <c r="AY548" i="15" s="1"/>
  <c r="BR548" i="15" s="1"/>
  <c r="BS548" i="15" s="1"/>
  <c r="AX529" i="15"/>
  <c r="AY529" i="15" s="1"/>
  <c r="BR529" i="15" s="1"/>
  <c r="BS529" i="15" s="1"/>
  <c r="AX514" i="15"/>
  <c r="AY514" i="15" s="1"/>
  <c r="BR514" i="15" s="1"/>
  <c r="BS514" i="15" s="1"/>
  <c r="AX491" i="15"/>
  <c r="AY491" i="15" s="1"/>
  <c r="BR491" i="15" s="1"/>
  <c r="BS491" i="15" s="1"/>
  <c r="AX472" i="15"/>
  <c r="AY472" i="15" s="1"/>
  <c r="BR472" i="15" s="1"/>
  <c r="BS472" i="15" s="1"/>
  <c r="AX455" i="15"/>
  <c r="AY455" i="15" s="1"/>
  <c r="BR455" i="15" s="1"/>
  <c r="BS455" i="15" s="1"/>
  <c r="AX430" i="15"/>
  <c r="AY430" i="15" s="1"/>
  <c r="BR430" i="15" s="1"/>
  <c r="BS430" i="15" s="1"/>
  <c r="AX407" i="15"/>
  <c r="AY407" i="15" s="1"/>
  <c r="BR407" i="15" s="1"/>
  <c r="BS407" i="15" s="1"/>
  <c r="AX371" i="15"/>
  <c r="AY371" i="15" s="1"/>
  <c r="BR371" i="15" s="1"/>
  <c r="BS371" i="15" s="1"/>
  <c r="AX325" i="15"/>
  <c r="AY325" i="15" s="1"/>
  <c r="BR325" i="15" s="1"/>
  <c r="BS325" i="15" s="1"/>
  <c r="AX300" i="15"/>
  <c r="AY300" i="15" s="1"/>
  <c r="BR300" i="15" s="1"/>
  <c r="BS300" i="15" s="1"/>
  <c r="AX271" i="15"/>
  <c r="AY271" i="15" s="1"/>
  <c r="BR271" i="15" s="1"/>
  <c r="BS271" i="15" s="1"/>
  <c r="AX251" i="15"/>
  <c r="AY251" i="15" s="1"/>
  <c r="BR251" i="15" s="1"/>
  <c r="BS251" i="15" s="1"/>
  <c r="AX232" i="15"/>
  <c r="AY232" i="15" s="1"/>
  <c r="BR232" i="15" s="1"/>
  <c r="BS232" i="15" s="1"/>
  <c r="AX219" i="15"/>
  <c r="AY219" i="15" s="1"/>
  <c r="BR219" i="15" s="1"/>
  <c r="BS219" i="15" s="1"/>
  <c r="AX190" i="15"/>
  <c r="AY190" i="15" s="1"/>
  <c r="BR190" i="15" s="1"/>
  <c r="BS190" i="15" s="1"/>
  <c r="AX168" i="15"/>
  <c r="AY168" i="15" s="1"/>
  <c r="BR168" i="15" s="1"/>
  <c r="BS168" i="15" s="1"/>
  <c r="AX145" i="15"/>
  <c r="AY145" i="15" s="1"/>
  <c r="BR145" i="15" s="1"/>
  <c r="BS145" i="15" s="1"/>
  <c r="AX125" i="15"/>
  <c r="AY125" i="15" s="1"/>
  <c r="BR125" i="15" s="1"/>
  <c r="BS125" i="15" s="1"/>
  <c r="AX98" i="15"/>
  <c r="AY98" i="15" s="1"/>
  <c r="BR98" i="15" s="1"/>
  <c r="BS98" i="15" s="1"/>
  <c r="AX83" i="15"/>
  <c r="AY83" i="15" s="1"/>
  <c r="BR83" i="15" s="1"/>
  <c r="BS83" i="15" s="1"/>
  <c r="AX65" i="15"/>
  <c r="AY65" i="15" s="1"/>
  <c r="BR65" i="15" s="1"/>
  <c r="BS65" i="15" s="1"/>
  <c r="AX42" i="15"/>
  <c r="AY42" i="15" s="1"/>
  <c r="BR42" i="15" s="1"/>
  <c r="BS42" i="15" s="1"/>
  <c r="AX34" i="15"/>
  <c r="AY34" i="15" s="1"/>
  <c r="BR34" i="15" s="1"/>
  <c r="BS34" i="15" s="1"/>
  <c r="AX9" i="15"/>
  <c r="AY9" i="15" s="1"/>
  <c r="AW577" i="15"/>
  <c r="AW713" i="15"/>
  <c r="AW471" i="15"/>
  <c r="AW270" i="15"/>
  <c r="AW144" i="15"/>
  <c r="AW8" i="15"/>
  <c r="I43" i="30"/>
  <c r="J43" i="30" s="1"/>
  <c r="F18" i="3" s="1"/>
  <c r="D39" i="30"/>
  <c r="J38" i="30"/>
  <c r="E38" i="30"/>
  <c r="F38" i="30" s="1"/>
  <c r="G38" i="30" s="1"/>
  <c r="H38" i="30" s="1"/>
  <c r="I38" i="30" s="1"/>
  <c r="J37" i="30"/>
  <c r="E37" i="30"/>
  <c r="F37" i="30" s="1"/>
  <c r="G37" i="30" s="1"/>
  <c r="H37" i="30" s="1"/>
  <c r="I37" i="30" s="1"/>
  <c r="J36" i="30"/>
  <c r="E36" i="30"/>
  <c r="F36" i="30" s="1"/>
  <c r="G36" i="30" s="1"/>
  <c r="H36" i="30" s="1"/>
  <c r="I36" i="30" s="1"/>
  <c r="J35" i="30"/>
  <c r="E35" i="30"/>
  <c r="F35" i="30" s="1"/>
  <c r="G35" i="30" s="1"/>
  <c r="H35" i="30" s="1"/>
  <c r="I35" i="30" s="1"/>
  <c r="J34" i="30"/>
  <c r="E34" i="30"/>
  <c r="F34" i="30" s="1"/>
  <c r="G34" i="30" s="1"/>
  <c r="H34" i="30" s="1"/>
  <c r="I34" i="30" s="1"/>
  <c r="J33" i="30"/>
  <c r="E33" i="30"/>
  <c r="F33" i="30" s="1"/>
  <c r="G33" i="30" s="1"/>
  <c r="H33" i="30" s="1"/>
  <c r="I33" i="30" s="1"/>
  <c r="J32" i="30"/>
  <c r="E32" i="30"/>
  <c r="F32" i="30" s="1"/>
  <c r="G32" i="30" s="1"/>
  <c r="H32" i="30" s="1"/>
  <c r="I32" i="30" s="1"/>
  <c r="J31" i="30"/>
  <c r="E31" i="30"/>
  <c r="F31" i="30" s="1"/>
  <c r="G31" i="30" s="1"/>
  <c r="H31" i="30" s="1"/>
  <c r="I31" i="30" s="1"/>
  <c r="J30" i="30"/>
  <c r="E30" i="30"/>
  <c r="F30" i="30" s="1"/>
  <c r="G30" i="30" s="1"/>
  <c r="H30" i="30" s="1"/>
  <c r="I30" i="30" s="1"/>
  <c r="J29" i="30"/>
  <c r="E29" i="30"/>
  <c r="F29" i="30" s="1"/>
  <c r="G29" i="30" s="1"/>
  <c r="H29" i="30" s="1"/>
  <c r="I29" i="30" s="1"/>
  <c r="J28" i="30"/>
  <c r="F28" i="30"/>
  <c r="G28" i="30" s="1"/>
  <c r="H28" i="30" s="1"/>
  <c r="I28" i="30" s="1"/>
  <c r="E28" i="30"/>
  <c r="J27" i="30"/>
  <c r="E27" i="30"/>
  <c r="F27" i="30" s="1"/>
  <c r="G27" i="30" s="1"/>
  <c r="H27" i="30" s="1"/>
  <c r="I27" i="30" s="1"/>
  <c r="J26" i="30"/>
  <c r="E26" i="30"/>
  <c r="F26" i="30" s="1"/>
  <c r="G26" i="30" s="1"/>
  <c r="H26" i="30" s="1"/>
  <c r="I26" i="30" s="1"/>
  <c r="J25" i="30"/>
  <c r="E25" i="30"/>
  <c r="F25" i="30" s="1"/>
  <c r="G25" i="30" s="1"/>
  <c r="H25" i="30" s="1"/>
  <c r="I25" i="30" s="1"/>
  <c r="J24" i="30"/>
  <c r="E24" i="30"/>
  <c r="F24" i="30" s="1"/>
  <c r="G24" i="30" s="1"/>
  <c r="H24" i="30" s="1"/>
  <c r="I24" i="30" s="1"/>
  <c r="J23" i="30"/>
  <c r="E23" i="30"/>
  <c r="F23" i="30" s="1"/>
  <c r="G23" i="30" s="1"/>
  <c r="H23" i="30" s="1"/>
  <c r="I23" i="30" s="1"/>
  <c r="J22" i="30"/>
  <c r="F22" i="30"/>
  <c r="G22" i="30" s="1"/>
  <c r="H22" i="30" s="1"/>
  <c r="I22" i="30" s="1"/>
  <c r="E22" i="30"/>
  <c r="J21" i="30"/>
  <c r="E21" i="30"/>
  <c r="F21" i="30" s="1"/>
  <c r="G21" i="30" s="1"/>
  <c r="H21" i="30" s="1"/>
  <c r="I21" i="30" s="1"/>
  <c r="J20" i="30"/>
  <c r="E20" i="30"/>
  <c r="F20" i="30" s="1"/>
  <c r="G20" i="30" s="1"/>
  <c r="H20" i="30" s="1"/>
  <c r="I20" i="30" s="1"/>
  <c r="J19" i="30"/>
  <c r="E19" i="30"/>
  <c r="F19" i="30" s="1"/>
  <c r="G19" i="30" s="1"/>
  <c r="H19" i="30" s="1"/>
  <c r="I19" i="30" s="1"/>
  <c r="J18" i="30"/>
  <c r="E18" i="30"/>
  <c r="F18" i="30" s="1"/>
  <c r="G18" i="30" s="1"/>
  <c r="H18" i="30" s="1"/>
  <c r="I18" i="30" s="1"/>
  <c r="J17" i="30"/>
  <c r="E17" i="30"/>
  <c r="F17" i="30" s="1"/>
  <c r="G17" i="30" s="1"/>
  <c r="H17" i="30" s="1"/>
  <c r="I17" i="30" s="1"/>
  <c r="J16" i="30"/>
  <c r="E16" i="30"/>
  <c r="F16" i="30" s="1"/>
  <c r="G16" i="30" s="1"/>
  <c r="H16" i="30" s="1"/>
  <c r="I16" i="30" s="1"/>
  <c r="J15" i="30"/>
  <c r="E15" i="30"/>
  <c r="F15" i="30" s="1"/>
  <c r="G15" i="30" s="1"/>
  <c r="H15" i="30" s="1"/>
  <c r="I15" i="30" s="1"/>
  <c r="J14" i="30"/>
  <c r="E14" i="30"/>
  <c r="F14" i="30" s="1"/>
  <c r="G14" i="30" s="1"/>
  <c r="H14" i="30" s="1"/>
  <c r="I14" i="30" s="1"/>
  <c r="J13" i="30"/>
  <c r="E13" i="30"/>
  <c r="F13" i="30" s="1"/>
  <c r="G13" i="30" s="1"/>
  <c r="H13" i="30" s="1"/>
  <c r="I13" i="30" s="1"/>
  <c r="J12" i="30"/>
  <c r="E12" i="30"/>
  <c r="F12" i="30" s="1"/>
  <c r="G12" i="30" s="1"/>
  <c r="H12" i="30" s="1"/>
  <c r="I12" i="30" s="1"/>
  <c r="J11" i="30"/>
  <c r="E11" i="30"/>
  <c r="F11" i="30" s="1"/>
  <c r="G11" i="30" s="1"/>
  <c r="H11" i="30" s="1"/>
  <c r="I11" i="30" s="1"/>
  <c r="J10" i="30"/>
  <c r="F10" i="30"/>
  <c r="G10" i="30" s="1"/>
  <c r="H10" i="30" s="1"/>
  <c r="I10" i="30" s="1"/>
  <c r="E10" i="30"/>
  <c r="J9" i="30"/>
  <c r="E9" i="30"/>
  <c r="F9" i="30" s="1"/>
  <c r="G9" i="30" s="1"/>
  <c r="H9" i="30" s="1"/>
  <c r="I9" i="30" s="1"/>
  <c r="J8" i="30"/>
  <c r="E8" i="30"/>
  <c r="F8" i="30" s="1"/>
  <c r="G8" i="30" s="1"/>
  <c r="H8" i="30" s="1"/>
  <c r="I8" i="30" s="1"/>
  <c r="J7" i="30"/>
  <c r="E7" i="30"/>
  <c r="F7" i="30" s="1"/>
  <c r="G7" i="30" s="1"/>
  <c r="H7" i="30" s="1"/>
  <c r="I7" i="30" s="1"/>
  <c r="J6" i="30"/>
  <c r="F6" i="30"/>
  <c r="G6" i="30" s="1"/>
  <c r="H6" i="30" s="1"/>
  <c r="I6" i="30" s="1"/>
  <c r="E6" i="30"/>
  <c r="J5" i="30"/>
  <c r="E5" i="30"/>
  <c r="F5" i="30" s="1"/>
  <c r="G5" i="30" s="1"/>
  <c r="H5" i="30" s="1"/>
  <c r="I5" i="30" s="1"/>
  <c r="J4" i="30"/>
  <c r="E4" i="30"/>
  <c r="F4" i="30" s="1"/>
  <c r="G4" i="30" s="1"/>
  <c r="H4" i="30" s="1"/>
  <c r="I4" i="30" s="1"/>
  <c r="E3" i="30"/>
  <c r="F3" i="30" s="1"/>
  <c r="G3" i="30" s="1"/>
  <c r="H3" i="30" s="1"/>
  <c r="I3" i="30" s="1"/>
  <c r="J2" i="30"/>
  <c r="E2" i="30"/>
  <c r="F2" i="30" s="1"/>
  <c r="G2" i="30" s="1"/>
  <c r="H2" i="30" s="1"/>
  <c r="I2" i="30" s="1"/>
  <c r="FT33" i="15"/>
  <c r="FT41" i="15"/>
  <c r="FT64" i="15"/>
  <c r="FT82" i="15"/>
  <c r="FT97" i="15"/>
  <c r="FT124" i="15"/>
  <c r="FT143" i="15"/>
  <c r="GB143" i="15" s="1"/>
  <c r="GD143" i="15" s="1"/>
  <c r="FT167" i="15"/>
  <c r="FT189" i="15"/>
  <c r="FT218" i="15"/>
  <c r="FT231" i="15"/>
  <c r="FT249" i="15"/>
  <c r="FT250" i="15"/>
  <c r="GB250" i="15" s="1"/>
  <c r="GD250" i="15" s="1"/>
  <c r="FT299" i="15"/>
  <c r="FT324" i="15"/>
  <c r="FT370" i="15"/>
  <c r="FT406" i="15"/>
  <c r="FT429" i="15"/>
  <c r="FT454" i="15"/>
  <c r="FT470" i="15"/>
  <c r="GB470" i="15" s="1"/>
  <c r="GD470" i="15" s="1"/>
  <c r="FT490" i="15"/>
  <c r="FT513" i="15"/>
  <c r="FT528" i="15"/>
  <c r="FT547" i="15"/>
  <c r="FT576" i="15"/>
  <c r="GB576" i="15" s="1"/>
  <c r="GD576" i="15" s="1"/>
  <c r="FT610" i="15"/>
  <c r="FT620" i="15"/>
  <c r="FT640" i="15"/>
  <c r="FT667" i="15"/>
  <c r="FT687" i="15"/>
  <c r="FT712" i="15"/>
  <c r="GB712" i="15" s="1"/>
  <c r="GD712" i="15" s="1"/>
  <c r="FT731" i="15"/>
  <c r="FT753" i="15"/>
  <c r="FT775" i="15"/>
  <c r="FT795" i="15"/>
  <c r="FT827" i="15"/>
  <c r="J39" i="30" l="1"/>
  <c r="J44" i="30" s="1"/>
  <c r="F19" i="3" s="1"/>
  <c r="BR9" i="15"/>
  <c r="BS9" i="15" s="1"/>
  <c r="AX270" i="15"/>
  <c r="BR144" i="15"/>
  <c r="BS144" i="15" s="1"/>
  <c r="BR577" i="15"/>
  <c r="BS577" i="15" s="1"/>
  <c r="BR270" i="15"/>
  <c r="BS270" i="15" s="1"/>
  <c r="BR8" i="15"/>
  <c r="BS8" i="15" s="1"/>
  <c r="BR471" i="15"/>
  <c r="BS471" i="15" s="1"/>
  <c r="AW6" i="15"/>
  <c r="AX144" i="15"/>
  <c r="AX713" i="15"/>
  <c r="AY714" i="15"/>
  <c r="AX577" i="15"/>
  <c r="AY577" i="15"/>
  <c r="AY471" i="15"/>
  <c r="AX471" i="15"/>
  <c r="AY270" i="15"/>
  <c r="AY144" i="15"/>
  <c r="AY8" i="15"/>
  <c r="AX8" i="15"/>
  <c r="I39" i="30"/>
  <c r="G43" i="3"/>
  <c r="H43" i="3"/>
  <c r="F39" i="3"/>
  <c r="BA10" i="15"/>
  <c r="BA11" i="15"/>
  <c r="BA12" i="15"/>
  <c r="BA13" i="15"/>
  <c r="BA14" i="15"/>
  <c r="BA15" i="15"/>
  <c r="BA16" i="15"/>
  <c r="BA17" i="15"/>
  <c r="BA18" i="15"/>
  <c r="BA19" i="15"/>
  <c r="BA20" i="15"/>
  <c r="BA21" i="15"/>
  <c r="BA22" i="15"/>
  <c r="BA23" i="15"/>
  <c r="BA24" i="15"/>
  <c r="BA25" i="15"/>
  <c r="BA26" i="15"/>
  <c r="BA27" i="15"/>
  <c r="BA28" i="15"/>
  <c r="BA29" i="15"/>
  <c r="BA30" i="15"/>
  <c r="BA31" i="15"/>
  <c r="BA32" i="15"/>
  <c r="BA33" i="15"/>
  <c r="BA35" i="15"/>
  <c r="BA36" i="15"/>
  <c r="BA37" i="15"/>
  <c r="BA38" i="15"/>
  <c r="BA39" i="15"/>
  <c r="BA40" i="15"/>
  <c r="BA41" i="15"/>
  <c r="BA43" i="15"/>
  <c r="BA44" i="15"/>
  <c r="BA45" i="15"/>
  <c r="BA46" i="15"/>
  <c r="BA47" i="15"/>
  <c r="BA48" i="15"/>
  <c r="BA49" i="15"/>
  <c r="BA50" i="15"/>
  <c r="BA51" i="15"/>
  <c r="BA52" i="15"/>
  <c r="BA53" i="15"/>
  <c r="BA54" i="15"/>
  <c r="BA55" i="15"/>
  <c r="BA56" i="15"/>
  <c r="BA57" i="15"/>
  <c r="BA58" i="15"/>
  <c r="BA59" i="15"/>
  <c r="BA60" i="15"/>
  <c r="BA61" i="15"/>
  <c r="BA62" i="15"/>
  <c r="BA63" i="15"/>
  <c r="BA64" i="15"/>
  <c r="BA66" i="15"/>
  <c r="BA67" i="15"/>
  <c r="BA68" i="15"/>
  <c r="BA69" i="15"/>
  <c r="BA70" i="15"/>
  <c r="BA71" i="15"/>
  <c r="BA72" i="15"/>
  <c r="BA73" i="15"/>
  <c r="BA74" i="15"/>
  <c r="BA75" i="15"/>
  <c r="BA76" i="15"/>
  <c r="BA77" i="15"/>
  <c r="BA78" i="15"/>
  <c r="BA79" i="15"/>
  <c r="BA80" i="15"/>
  <c r="BA81" i="15"/>
  <c r="BA82" i="15"/>
  <c r="BA84" i="15"/>
  <c r="BA85" i="15"/>
  <c r="BA86" i="15"/>
  <c r="BA87" i="15"/>
  <c r="BA88" i="15"/>
  <c r="BA89" i="15"/>
  <c r="BA90" i="15"/>
  <c r="BA91" i="15"/>
  <c r="BA92" i="15"/>
  <c r="BA93" i="15"/>
  <c r="BA94" i="15"/>
  <c r="BA95" i="15"/>
  <c r="BA96" i="15"/>
  <c r="BA97" i="15"/>
  <c r="BA99" i="15"/>
  <c r="BA100" i="15"/>
  <c r="BA101" i="15"/>
  <c r="BA102" i="15"/>
  <c r="BA103" i="15"/>
  <c r="BA104" i="15"/>
  <c r="BA105" i="15"/>
  <c r="BA106" i="15"/>
  <c r="BA107" i="15"/>
  <c r="BA108" i="15"/>
  <c r="BA109" i="15"/>
  <c r="BA110" i="15"/>
  <c r="BA111" i="15"/>
  <c r="BA112" i="15"/>
  <c r="BA113" i="15"/>
  <c r="BA114" i="15"/>
  <c r="BA115" i="15"/>
  <c r="BA116" i="15"/>
  <c r="BA117" i="15"/>
  <c r="BA118" i="15"/>
  <c r="BA119" i="15"/>
  <c r="BA120" i="15"/>
  <c r="BA121" i="15"/>
  <c r="BA122" i="15"/>
  <c r="BA123" i="15"/>
  <c r="BA124" i="15"/>
  <c r="BA126" i="15"/>
  <c r="BA127" i="15"/>
  <c r="BA128" i="15"/>
  <c r="BA129" i="15"/>
  <c r="BA130" i="15"/>
  <c r="BA131" i="15"/>
  <c r="BA132" i="15"/>
  <c r="BA133" i="15"/>
  <c r="BA134" i="15"/>
  <c r="BA135" i="15"/>
  <c r="BA136" i="15"/>
  <c r="BA137" i="15"/>
  <c r="BA138" i="15"/>
  <c r="BA139" i="15"/>
  <c r="BA140" i="15"/>
  <c r="BA141" i="15"/>
  <c r="BA142" i="15"/>
  <c r="BA143" i="15"/>
  <c r="BA146" i="15"/>
  <c r="BA147" i="15"/>
  <c r="BA148" i="15"/>
  <c r="BA149" i="15"/>
  <c r="BA150" i="15"/>
  <c r="BA151" i="15"/>
  <c r="BA152" i="15"/>
  <c r="BA153" i="15"/>
  <c r="BA154" i="15"/>
  <c r="BA155" i="15"/>
  <c r="BA156" i="15"/>
  <c r="BA157" i="15"/>
  <c r="BA158" i="15"/>
  <c r="BA159" i="15"/>
  <c r="BA160" i="15"/>
  <c r="BA161" i="15"/>
  <c r="BA162" i="15"/>
  <c r="BA163" i="15"/>
  <c r="BA164" i="15"/>
  <c r="BA165" i="15"/>
  <c r="BA166" i="15"/>
  <c r="BA167" i="15"/>
  <c r="BA169" i="15"/>
  <c r="BA170" i="15"/>
  <c r="BA171" i="15"/>
  <c r="BA172" i="15"/>
  <c r="BA173" i="15"/>
  <c r="BA174" i="15"/>
  <c r="BA175" i="15"/>
  <c r="BA176" i="15"/>
  <c r="BA177" i="15"/>
  <c r="BA178" i="15"/>
  <c r="BA179" i="15"/>
  <c r="BA180" i="15"/>
  <c r="BA181" i="15"/>
  <c r="BA182" i="15"/>
  <c r="BA183" i="15"/>
  <c r="BA184" i="15"/>
  <c r="BA185" i="15"/>
  <c r="BA186" i="15"/>
  <c r="BA187" i="15"/>
  <c r="BA188" i="15"/>
  <c r="BA189" i="15"/>
  <c r="BA191" i="15"/>
  <c r="BA192" i="15"/>
  <c r="BA193" i="15"/>
  <c r="BA194" i="15"/>
  <c r="BA195" i="15"/>
  <c r="BA196" i="15"/>
  <c r="BA197" i="15"/>
  <c r="BA198" i="15"/>
  <c r="BA199" i="15"/>
  <c r="BA200" i="15"/>
  <c r="BA201" i="15"/>
  <c r="BA202" i="15"/>
  <c r="BA203" i="15"/>
  <c r="BA204" i="15"/>
  <c r="BA205" i="15"/>
  <c r="BA206" i="15"/>
  <c r="BA207" i="15"/>
  <c r="BA208" i="15"/>
  <c r="BA209" i="15"/>
  <c r="BA210" i="15"/>
  <c r="BA211" i="15"/>
  <c r="BA212" i="15"/>
  <c r="BA213" i="15"/>
  <c r="BA214" i="15"/>
  <c r="BA215" i="15"/>
  <c r="BA216" i="15"/>
  <c r="BA217" i="15"/>
  <c r="BA218" i="15"/>
  <c r="BA220" i="15"/>
  <c r="BA221" i="15"/>
  <c r="BA222" i="15"/>
  <c r="BA223" i="15"/>
  <c r="BA224" i="15"/>
  <c r="BA225" i="15"/>
  <c r="BA226" i="15"/>
  <c r="BA227" i="15"/>
  <c r="BA228" i="15"/>
  <c r="BA229" i="15"/>
  <c r="BA230" i="15"/>
  <c r="BA231" i="15"/>
  <c r="BA233" i="15"/>
  <c r="BA234" i="15"/>
  <c r="BA235" i="15"/>
  <c r="BA236" i="15"/>
  <c r="BA237" i="15"/>
  <c r="BA238" i="15"/>
  <c r="BA239" i="15"/>
  <c r="BA240" i="15"/>
  <c r="BA241" i="15"/>
  <c r="BA242" i="15"/>
  <c r="BA243" i="15"/>
  <c r="BA244" i="15"/>
  <c r="BA245" i="15"/>
  <c r="BA246" i="15"/>
  <c r="BA247" i="15"/>
  <c r="BA248" i="15"/>
  <c r="BA249" i="15"/>
  <c r="BA250" i="15"/>
  <c r="BA252" i="15"/>
  <c r="BA253" i="15"/>
  <c r="BA254" i="15"/>
  <c r="BA255" i="15"/>
  <c r="BA256" i="15"/>
  <c r="BA257" i="15"/>
  <c r="BA258" i="15"/>
  <c r="BA259" i="15"/>
  <c r="BA260" i="15"/>
  <c r="BA261" i="15"/>
  <c r="BA262" i="15"/>
  <c r="BA263" i="15"/>
  <c r="BA264" i="15"/>
  <c r="BA265" i="15"/>
  <c r="BA266" i="15"/>
  <c r="BA267" i="15"/>
  <c r="BA268" i="15"/>
  <c r="BA269" i="15"/>
  <c r="BA272" i="15"/>
  <c r="BA273" i="15"/>
  <c r="BA274" i="15"/>
  <c r="BA275" i="15"/>
  <c r="BA276" i="15"/>
  <c r="BA277" i="15"/>
  <c r="BA278" i="15"/>
  <c r="BA279" i="15"/>
  <c r="BA280" i="15"/>
  <c r="BA281" i="15"/>
  <c r="BA282" i="15"/>
  <c r="BA283" i="15"/>
  <c r="BA284" i="15"/>
  <c r="BA285" i="15"/>
  <c r="BA286" i="15"/>
  <c r="BA287" i="15"/>
  <c r="BA288" i="15"/>
  <c r="BA289" i="15"/>
  <c r="BA290" i="15"/>
  <c r="BA291" i="15"/>
  <c r="BA292" i="15"/>
  <c r="BA293" i="15"/>
  <c r="BA294" i="15"/>
  <c r="BA295" i="15"/>
  <c r="BA296" i="15"/>
  <c r="BA297" i="15"/>
  <c r="BA298" i="15"/>
  <c r="BA299" i="15"/>
  <c r="BA301" i="15"/>
  <c r="BA302" i="15"/>
  <c r="BA303" i="15"/>
  <c r="BA304" i="15"/>
  <c r="BA305" i="15"/>
  <c r="BA306" i="15"/>
  <c r="BA307" i="15"/>
  <c r="BA308" i="15"/>
  <c r="BA309" i="15"/>
  <c r="BA310" i="15"/>
  <c r="BA311" i="15"/>
  <c r="BA312" i="15"/>
  <c r="BA313" i="15"/>
  <c r="BA314" i="15"/>
  <c r="BA315" i="15"/>
  <c r="BA316" i="15"/>
  <c r="BA317" i="15"/>
  <c r="BA318" i="15"/>
  <c r="BA319" i="15"/>
  <c r="BA320" i="15"/>
  <c r="BA321" i="15"/>
  <c r="BA322" i="15"/>
  <c r="BA323" i="15"/>
  <c r="BA324" i="15"/>
  <c r="BA326" i="15"/>
  <c r="BA327" i="15"/>
  <c r="BA328" i="15"/>
  <c r="BA329" i="15"/>
  <c r="BA330" i="15"/>
  <c r="BA331" i="15"/>
  <c r="BA332" i="15"/>
  <c r="BA333" i="15"/>
  <c r="BA334" i="15"/>
  <c r="BA335" i="15"/>
  <c r="BA336" i="15"/>
  <c r="BA337" i="15"/>
  <c r="BA338" i="15"/>
  <c r="BA339" i="15"/>
  <c r="BA340" i="15"/>
  <c r="BA341" i="15"/>
  <c r="BA342" i="15"/>
  <c r="BA343" i="15"/>
  <c r="BA344" i="15"/>
  <c r="BA345" i="15"/>
  <c r="BA346" i="15"/>
  <c r="BA347" i="15"/>
  <c r="BA348" i="15"/>
  <c r="BA349" i="15"/>
  <c r="BA350" i="15"/>
  <c r="BA351" i="15"/>
  <c r="BA352" i="15"/>
  <c r="BA353" i="15"/>
  <c r="BA354" i="15"/>
  <c r="BA355" i="15"/>
  <c r="BA356" i="15"/>
  <c r="BA357" i="15"/>
  <c r="BA358" i="15"/>
  <c r="BA359" i="15"/>
  <c r="BA360" i="15"/>
  <c r="BA361" i="15"/>
  <c r="BA362" i="15"/>
  <c r="BA363" i="15"/>
  <c r="BA364" i="15"/>
  <c r="BA365" i="15"/>
  <c r="BA366" i="15"/>
  <c r="BA367" i="15"/>
  <c r="BA368" i="15"/>
  <c r="BA369" i="15"/>
  <c r="BA370" i="15"/>
  <c r="BA372" i="15"/>
  <c r="BA373" i="15"/>
  <c r="BA374" i="15"/>
  <c r="BA375" i="15"/>
  <c r="BA376" i="15"/>
  <c r="BA377" i="15"/>
  <c r="BA378" i="15"/>
  <c r="BA379" i="15"/>
  <c r="BA380" i="15"/>
  <c r="BA381" i="15"/>
  <c r="BA382" i="15"/>
  <c r="BA383" i="15"/>
  <c r="BA384" i="15"/>
  <c r="BA385" i="15"/>
  <c r="BA386" i="15"/>
  <c r="BA387" i="15"/>
  <c r="BA388" i="15"/>
  <c r="BA389" i="15"/>
  <c r="BA390" i="15"/>
  <c r="BA391" i="15"/>
  <c r="BA392" i="15"/>
  <c r="BA393" i="15"/>
  <c r="BA394" i="15"/>
  <c r="BA395" i="15"/>
  <c r="BA396" i="15"/>
  <c r="BA397" i="15"/>
  <c r="BA398" i="15"/>
  <c r="BA399" i="15"/>
  <c r="BA400" i="15"/>
  <c r="BA401" i="15"/>
  <c r="BA402" i="15"/>
  <c r="BA403" i="15"/>
  <c r="BA404" i="15"/>
  <c r="BA405" i="15"/>
  <c r="BA406" i="15"/>
  <c r="BA408" i="15"/>
  <c r="BA409" i="15"/>
  <c r="BA410" i="15"/>
  <c r="BA411" i="15"/>
  <c r="BA412" i="15"/>
  <c r="BA413" i="15"/>
  <c r="BA414" i="15"/>
  <c r="BA415" i="15"/>
  <c r="BA416" i="15"/>
  <c r="BA417" i="15"/>
  <c r="BA418" i="15"/>
  <c r="BA419" i="15"/>
  <c r="BA420" i="15"/>
  <c r="BA421" i="15"/>
  <c r="BA422" i="15"/>
  <c r="BA423" i="15"/>
  <c r="BA424" i="15"/>
  <c r="BA425" i="15"/>
  <c r="BA426" i="15"/>
  <c r="BA427" i="15"/>
  <c r="BA428" i="15"/>
  <c r="BA429" i="15"/>
  <c r="BA431" i="15"/>
  <c r="BA432" i="15"/>
  <c r="BA433" i="15"/>
  <c r="BA434" i="15"/>
  <c r="BA435" i="15"/>
  <c r="BA436" i="15"/>
  <c r="BA437" i="15"/>
  <c r="BA438" i="15"/>
  <c r="BA439" i="15"/>
  <c r="BA440" i="15"/>
  <c r="BA441" i="15"/>
  <c r="BA442" i="15"/>
  <c r="BA443" i="15"/>
  <c r="BA444" i="15"/>
  <c r="BA445" i="15"/>
  <c r="BA446" i="15"/>
  <c r="BA447" i="15"/>
  <c r="BA448" i="15"/>
  <c r="BA449" i="15"/>
  <c r="BA450" i="15"/>
  <c r="BA451" i="15"/>
  <c r="BA452" i="15"/>
  <c r="BA453" i="15"/>
  <c r="BA454" i="15"/>
  <c r="BA456" i="15"/>
  <c r="BA457" i="15"/>
  <c r="BA458" i="15"/>
  <c r="BA459" i="15"/>
  <c r="BA460" i="15"/>
  <c r="BA461" i="15"/>
  <c r="BA462" i="15"/>
  <c r="BA463" i="15"/>
  <c r="BA464" i="15"/>
  <c r="BA465" i="15"/>
  <c r="BA466" i="15"/>
  <c r="BA467" i="15"/>
  <c r="BA468" i="15"/>
  <c r="BA469" i="15"/>
  <c r="BA470" i="15"/>
  <c r="BA473" i="15"/>
  <c r="BA474" i="15"/>
  <c r="BA475" i="15"/>
  <c r="BA476" i="15"/>
  <c r="BA477" i="15"/>
  <c r="BA478" i="15"/>
  <c r="BA479" i="15"/>
  <c r="BA480" i="15"/>
  <c r="BA481" i="15"/>
  <c r="BA482" i="15"/>
  <c r="BA483" i="15"/>
  <c r="BA484" i="15"/>
  <c r="BA485" i="15"/>
  <c r="BA486" i="15"/>
  <c r="BA487" i="15"/>
  <c r="BA488" i="15"/>
  <c r="BA489" i="15"/>
  <c r="BA490" i="15"/>
  <c r="BA492" i="15"/>
  <c r="BA493" i="15"/>
  <c r="BA494" i="15"/>
  <c r="BA495" i="15"/>
  <c r="BA496" i="15"/>
  <c r="BA497" i="15"/>
  <c r="BA498" i="15"/>
  <c r="BA499" i="15"/>
  <c r="BA500" i="15"/>
  <c r="BA501" i="15"/>
  <c r="BA502" i="15"/>
  <c r="BA503" i="15"/>
  <c r="BA504" i="15"/>
  <c r="BA505" i="15"/>
  <c r="BA506" i="15"/>
  <c r="BA507" i="15"/>
  <c r="BA508" i="15"/>
  <c r="BA509" i="15"/>
  <c r="BA510" i="15"/>
  <c r="BA511" i="15"/>
  <c r="BA512" i="15"/>
  <c r="BA513" i="15"/>
  <c r="BA515" i="15"/>
  <c r="BA516" i="15"/>
  <c r="BA517" i="15"/>
  <c r="BA518" i="15"/>
  <c r="BA519" i="15"/>
  <c r="BA520" i="15"/>
  <c r="BA521" i="15"/>
  <c r="BA522" i="15"/>
  <c r="BA523" i="15"/>
  <c r="BA524" i="15"/>
  <c r="BA525" i="15"/>
  <c r="BA526" i="15"/>
  <c r="BA527" i="15"/>
  <c r="BA528" i="15"/>
  <c r="BA530" i="15"/>
  <c r="BA531" i="15"/>
  <c r="BA532" i="15"/>
  <c r="BA533" i="15"/>
  <c r="BA534" i="15"/>
  <c r="BA535" i="15"/>
  <c r="BA536" i="15"/>
  <c r="BA537" i="15"/>
  <c r="BA538" i="15"/>
  <c r="BA539" i="15"/>
  <c r="BA540" i="15"/>
  <c r="BA541" i="15"/>
  <c r="BA542" i="15"/>
  <c r="BA543" i="15"/>
  <c r="BA544" i="15"/>
  <c r="BA545" i="15"/>
  <c r="BA546" i="15"/>
  <c r="BA547" i="15"/>
  <c r="BA549" i="15"/>
  <c r="BA550" i="15"/>
  <c r="BA551" i="15"/>
  <c r="BA552" i="15"/>
  <c r="BA553" i="15"/>
  <c r="BA554" i="15"/>
  <c r="BA555" i="15"/>
  <c r="BA556" i="15"/>
  <c r="BA557" i="15"/>
  <c r="BA558" i="15"/>
  <c r="BA559" i="15"/>
  <c r="BA560" i="15"/>
  <c r="BA561" i="15"/>
  <c r="BA562" i="15"/>
  <c r="BA563" i="15"/>
  <c r="BA564" i="15"/>
  <c r="BA565" i="15"/>
  <c r="BA566" i="15"/>
  <c r="BA567" i="15"/>
  <c r="BA568" i="15"/>
  <c r="BA569" i="15"/>
  <c r="BA570" i="15"/>
  <c r="BA571" i="15"/>
  <c r="BA572" i="15"/>
  <c r="BA573" i="15"/>
  <c r="BA574" i="15"/>
  <c r="BA575" i="15"/>
  <c r="BA576" i="15"/>
  <c r="BA579" i="15"/>
  <c r="BA580" i="15"/>
  <c r="BA581" i="15"/>
  <c r="BA582" i="15"/>
  <c r="BA583" i="15"/>
  <c r="BA584" i="15"/>
  <c r="BA585" i="15"/>
  <c r="BA586" i="15"/>
  <c r="BA587" i="15"/>
  <c r="BA588" i="15"/>
  <c r="BA589" i="15"/>
  <c r="BA590" i="15"/>
  <c r="BA591" i="15"/>
  <c r="BA592" i="15"/>
  <c r="BA593" i="15"/>
  <c r="BA594" i="15"/>
  <c r="BA595" i="15"/>
  <c r="BA596" i="15"/>
  <c r="BA597" i="15"/>
  <c r="BA598" i="15"/>
  <c r="BA599" i="15"/>
  <c r="BA600" i="15"/>
  <c r="BA601" i="15"/>
  <c r="BA602" i="15"/>
  <c r="BA603" i="15"/>
  <c r="BA604" i="15"/>
  <c r="BA605" i="15"/>
  <c r="BA606" i="15"/>
  <c r="BA607" i="15"/>
  <c r="BA608" i="15"/>
  <c r="BA609" i="15"/>
  <c r="BA610" i="15"/>
  <c r="BA612" i="15"/>
  <c r="BA613" i="15"/>
  <c r="BA614" i="15"/>
  <c r="BA615" i="15"/>
  <c r="BA616" i="15"/>
  <c r="BA617" i="15"/>
  <c r="BA618" i="15"/>
  <c r="BA619" i="15"/>
  <c r="BA620" i="15"/>
  <c r="BA622" i="15"/>
  <c r="BA623" i="15"/>
  <c r="BA624" i="15"/>
  <c r="BA625" i="15"/>
  <c r="BA626" i="15"/>
  <c r="BA627" i="15"/>
  <c r="BA628" i="15"/>
  <c r="BA629" i="15"/>
  <c r="BA630" i="15"/>
  <c r="BA631" i="15"/>
  <c r="BA632" i="15"/>
  <c r="BA633" i="15"/>
  <c r="BA634" i="15"/>
  <c r="BA635" i="15"/>
  <c r="BA636" i="15"/>
  <c r="BA637" i="15"/>
  <c r="BA638" i="15"/>
  <c r="BA639" i="15"/>
  <c r="BA640" i="15"/>
  <c r="BA642" i="15"/>
  <c r="BA643" i="15"/>
  <c r="BA644" i="15"/>
  <c r="BA645" i="15"/>
  <c r="BA646" i="15"/>
  <c r="BA647" i="15"/>
  <c r="BA648" i="15"/>
  <c r="BA649" i="15"/>
  <c r="BA650" i="15"/>
  <c r="BA651" i="15"/>
  <c r="BA652" i="15"/>
  <c r="BA653" i="15"/>
  <c r="BA654" i="15"/>
  <c r="BA655" i="15"/>
  <c r="BA656" i="15"/>
  <c r="BA657" i="15"/>
  <c r="BA658" i="15"/>
  <c r="BA659" i="15"/>
  <c r="BA660" i="15"/>
  <c r="BA661" i="15"/>
  <c r="BA662" i="15"/>
  <c r="BA663" i="15"/>
  <c r="BA664" i="15"/>
  <c r="BA665" i="15"/>
  <c r="BA666" i="15"/>
  <c r="BA667" i="15"/>
  <c r="BA669" i="15"/>
  <c r="BA670" i="15"/>
  <c r="BA671" i="15"/>
  <c r="BA672" i="15"/>
  <c r="BA673" i="15"/>
  <c r="BA674" i="15"/>
  <c r="BA675" i="15"/>
  <c r="BA676" i="15"/>
  <c r="BA677" i="15"/>
  <c r="BA678" i="15"/>
  <c r="BA679" i="15"/>
  <c r="BA680" i="15"/>
  <c r="BA681" i="15"/>
  <c r="BA682" i="15"/>
  <c r="BA683" i="15"/>
  <c r="BA684" i="15"/>
  <c r="BA685" i="15"/>
  <c r="BA686" i="15"/>
  <c r="BA687" i="15"/>
  <c r="BA689" i="15"/>
  <c r="BA690" i="15"/>
  <c r="BA691" i="15"/>
  <c r="BA692" i="15"/>
  <c r="BA693" i="15"/>
  <c r="BA694" i="15"/>
  <c r="BA695" i="15"/>
  <c r="BA696" i="15"/>
  <c r="BA697" i="15"/>
  <c r="BA698" i="15"/>
  <c r="BA699" i="15"/>
  <c r="BA700" i="15"/>
  <c r="BA701" i="15"/>
  <c r="BA702" i="15"/>
  <c r="BA703" i="15"/>
  <c r="BA704" i="15"/>
  <c r="BA705" i="15"/>
  <c r="BA706" i="15"/>
  <c r="BA707" i="15"/>
  <c r="BA708" i="15"/>
  <c r="BA709" i="15"/>
  <c r="BA710" i="15"/>
  <c r="BA711" i="15"/>
  <c r="BA712" i="15"/>
  <c r="BA715" i="15"/>
  <c r="BA716" i="15"/>
  <c r="BA717" i="15"/>
  <c r="BA718" i="15"/>
  <c r="BA719" i="15"/>
  <c r="BA720" i="15"/>
  <c r="BA721" i="15"/>
  <c r="BA722" i="15"/>
  <c r="BA723" i="15"/>
  <c r="BA724" i="15"/>
  <c r="BA725" i="15"/>
  <c r="BA726" i="15"/>
  <c r="BA727" i="15"/>
  <c r="BA728" i="15"/>
  <c r="BA729" i="15"/>
  <c r="BA730" i="15"/>
  <c r="BA731" i="15"/>
  <c r="BA733" i="15"/>
  <c r="BA734" i="15"/>
  <c r="BA735" i="15"/>
  <c r="BA736" i="15"/>
  <c r="BA737" i="15"/>
  <c r="BA738" i="15"/>
  <c r="BA739" i="15"/>
  <c r="BA740" i="15"/>
  <c r="BA741" i="15"/>
  <c r="BA742" i="15"/>
  <c r="BA743" i="15"/>
  <c r="BA744" i="15"/>
  <c r="BA745" i="15"/>
  <c r="BA746" i="15"/>
  <c r="BA747" i="15"/>
  <c r="BA748" i="15"/>
  <c r="BA749" i="15"/>
  <c r="BA750" i="15"/>
  <c r="BA751" i="15"/>
  <c r="BA752" i="15"/>
  <c r="BA753" i="15"/>
  <c r="BA755" i="15"/>
  <c r="BA756" i="15"/>
  <c r="BA757" i="15"/>
  <c r="BA758" i="15"/>
  <c r="BA759" i="15"/>
  <c r="BA760" i="15"/>
  <c r="BA761" i="15"/>
  <c r="BA762" i="15"/>
  <c r="BA763" i="15"/>
  <c r="BA764" i="15"/>
  <c r="BA765" i="15"/>
  <c r="BA766" i="15"/>
  <c r="BA767" i="15"/>
  <c r="BA768" i="15"/>
  <c r="BA769" i="15"/>
  <c r="BA770" i="15"/>
  <c r="BA771" i="15"/>
  <c r="BA772" i="15"/>
  <c r="BA773" i="15"/>
  <c r="BA774" i="15"/>
  <c r="BA775" i="15"/>
  <c r="BA777" i="15"/>
  <c r="BA778" i="15"/>
  <c r="BA779" i="15"/>
  <c r="BA780" i="15"/>
  <c r="BA781" i="15"/>
  <c r="BA782" i="15"/>
  <c r="BA783" i="15"/>
  <c r="BA784" i="15"/>
  <c r="BA785" i="15"/>
  <c r="BA786" i="15"/>
  <c r="BA787" i="15"/>
  <c r="BA788" i="15"/>
  <c r="BA789" i="15"/>
  <c r="BA790" i="15"/>
  <c r="BA791" i="15"/>
  <c r="BA792" i="15"/>
  <c r="BA793" i="15"/>
  <c r="BA794" i="15"/>
  <c r="BA795" i="15"/>
  <c r="BA797" i="15"/>
  <c r="BA798" i="15"/>
  <c r="BA799" i="15"/>
  <c r="BA800" i="15"/>
  <c r="BA801" i="15"/>
  <c r="BA802" i="15"/>
  <c r="BA803" i="15"/>
  <c r="BA804" i="15"/>
  <c r="BA805" i="15"/>
  <c r="BA806" i="15"/>
  <c r="BA807" i="15"/>
  <c r="BA808" i="15"/>
  <c r="BA809" i="15"/>
  <c r="BA810" i="15"/>
  <c r="BA811" i="15"/>
  <c r="BA812" i="15"/>
  <c r="BA813" i="15"/>
  <c r="BA814" i="15"/>
  <c r="BA815" i="15"/>
  <c r="BA816" i="15"/>
  <c r="BA817" i="15"/>
  <c r="BA818" i="15"/>
  <c r="BA819" i="15"/>
  <c r="BA820" i="15"/>
  <c r="BA821" i="15"/>
  <c r="BA822" i="15"/>
  <c r="BA823" i="15"/>
  <c r="BA824" i="15"/>
  <c r="BA825" i="15"/>
  <c r="BA826" i="15"/>
  <c r="BA827" i="15"/>
  <c r="BA829" i="15"/>
  <c r="BA830" i="15"/>
  <c r="BA831" i="15"/>
  <c r="BA832" i="15"/>
  <c r="BA833" i="15"/>
  <c r="BA834" i="15"/>
  <c r="BA835" i="15"/>
  <c r="BA836" i="15"/>
  <c r="BA837" i="15"/>
  <c r="BA838" i="15"/>
  <c r="BA839" i="15"/>
  <c r="BA840" i="15"/>
  <c r="BA841" i="15"/>
  <c r="BA842" i="15"/>
  <c r="BA843" i="15"/>
  <c r="BA844" i="15"/>
  <c r="BA845" i="15"/>
  <c r="BA846" i="15"/>
  <c r="BA847" i="15"/>
  <c r="BA848" i="15"/>
  <c r="BA849" i="15"/>
  <c r="BA850" i="15"/>
  <c r="BA851" i="15"/>
  <c r="BA852" i="15"/>
  <c r="BA853" i="15"/>
  <c r="BA854" i="15"/>
  <c r="BA855" i="15"/>
  <c r="BA856" i="15"/>
  <c r="BA857" i="15"/>
  <c r="BA858" i="15"/>
  <c r="BA859" i="15"/>
  <c r="BA860" i="15"/>
  <c r="BA861" i="15"/>
  <c r="AY713" i="15" l="1"/>
  <c r="AY6" i="15" s="1"/>
  <c r="BR714" i="15"/>
  <c r="AX6" i="15"/>
  <c r="AZ828" i="15"/>
  <c r="BA828" i="15" s="1"/>
  <c r="AZ796" i="15"/>
  <c r="BA796" i="15" s="1"/>
  <c r="AZ776" i="15"/>
  <c r="BA776" i="15" s="1"/>
  <c r="AZ754" i="15"/>
  <c r="BA754" i="15" s="1"/>
  <c r="AZ732" i="15"/>
  <c r="BA732" i="15" s="1"/>
  <c r="AZ714" i="15"/>
  <c r="BA714" i="15" s="1"/>
  <c r="AZ688" i="15"/>
  <c r="BA688" i="15" s="1"/>
  <c r="AZ668" i="15"/>
  <c r="BA668" i="15" s="1"/>
  <c r="AZ641" i="15"/>
  <c r="BA641" i="15" s="1"/>
  <c r="AZ621" i="15"/>
  <c r="BA621" i="15" s="1"/>
  <c r="AZ611" i="15"/>
  <c r="BA611" i="15" s="1"/>
  <c r="AZ578" i="15"/>
  <c r="BA578" i="15" s="1"/>
  <c r="AZ548" i="15"/>
  <c r="BA548" i="15" s="1"/>
  <c r="AZ529" i="15"/>
  <c r="BA529" i="15" s="1"/>
  <c r="AZ514" i="15"/>
  <c r="BA514" i="15" s="1"/>
  <c r="AZ491" i="15"/>
  <c r="BA491" i="15" s="1"/>
  <c r="AZ472" i="15"/>
  <c r="BA472" i="15" s="1"/>
  <c r="AZ455" i="15"/>
  <c r="BA455" i="15" s="1"/>
  <c r="AZ430" i="15"/>
  <c r="BA430" i="15" s="1"/>
  <c r="AZ407" i="15"/>
  <c r="BA407" i="15" s="1"/>
  <c r="AZ371" i="15"/>
  <c r="BA371" i="15" s="1"/>
  <c r="AZ325" i="15"/>
  <c r="BA325" i="15" s="1"/>
  <c r="AZ300" i="15"/>
  <c r="BA300" i="15" s="1"/>
  <c r="AZ271" i="15"/>
  <c r="BA271" i="15" s="1"/>
  <c r="AZ251" i="15"/>
  <c r="BA251" i="15" s="1"/>
  <c r="AZ232" i="15"/>
  <c r="BA232" i="15" s="1"/>
  <c r="AZ219" i="15"/>
  <c r="BA219" i="15" s="1"/>
  <c r="AZ190" i="15"/>
  <c r="BA190" i="15" s="1"/>
  <c r="AZ168" i="15"/>
  <c r="BA168" i="15" s="1"/>
  <c r="AZ145" i="15"/>
  <c r="BA145" i="15" s="1"/>
  <c r="AZ125" i="15"/>
  <c r="BA125" i="15" s="1"/>
  <c r="AZ98" i="15"/>
  <c r="BA98" i="15" s="1"/>
  <c r="AZ83" i="15"/>
  <c r="BA83" i="15" s="1"/>
  <c r="AZ65" i="15"/>
  <c r="BA65" i="15" s="1"/>
  <c r="AZ42" i="15"/>
  <c r="BA42" i="15" s="1"/>
  <c r="AZ34" i="15"/>
  <c r="BA34" i="15" s="1"/>
  <c r="W225" i="1"/>
  <c r="M225" i="1"/>
  <c r="D225" i="1"/>
  <c r="W224" i="1"/>
  <c r="N224" i="1"/>
  <c r="M224" i="1"/>
  <c r="D224" i="1"/>
  <c r="W223" i="1"/>
  <c r="N223" i="1"/>
  <c r="M223" i="1"/>
  <c r="D223" i="1"/>
  <c r="F38" i="3"/>
  <c r="B10" i="29"/>
  <c r="B13" i="29" s="1"/>
  <c r="BR713" i="15" l="1"/>
  <c r="BS714" i="15"/>
  <c r="AZ270" i="15"/>
  <c r="BA270" i="15" s="1"/>
  <c r="AZ577" i="15"/>
  <c r="BA577" i="15" s="1"/>
  <c r="AZ713" i="15"/>
  <c r="BA713" i="15" s="1"/>
  <c r="AZ471" i="15"/>
  <c r="BA471" i="15" s="1"/>
  <c r="AZ144" i="15"/>
  <c r="BA144" i="15" s="1"/>
  <c r="BR6" i="15" l="1"/>
  <c r="O155" i="1" s="1"/>
  <c r="BS713" i="15"/>
  <c r="D29" i="28"/>
  <c r="C29" i="28"/>
  <c r="I21" i="28"/>
  <c r="C21" i="28"/>
  <c r="J21" i="28" s="1"/>
  <c r="I20" i="28"/>
  <c r="C20" i="28"/>
  <c r="J20" i="28" s="1"/>
  <c r="I19" i="28"/>
  <c r="C19" i="28"/>
  <c r="J19" i="28" s="1"/>
  <c r="I18" i="28"/>
  <c r="C18" i="28"/>
  <c r="J18" i="28" s="1"/>
  <c r="I17" i="28"/>
  <c r="C17" i="28"/>
  <c r="J17" i="28" s="1"/>
  <c r="I16" i="28"/>
  <c r="C16" i="28"/>
  <c r="J16" i="28" s="1"/>
  <c r="I15" i="28"/>
  <c r="C15" i="28"/>
  <c r="J15" i="28" s="1"/>
  <c r="I14" i="28"/>
  <c r="C14" i="28"/>
  <c r="J14" i="28" s="1"/>
  <c r="I13" i="28"/>
  <c r="C13" i="28"/>
  <c r="J13" i="28" s="1"/>
  <c r="I12" i="28"/>
  <c r="C12" i="28"/>
  <c r="J12" i="28" s="1"/>
  <c r="C11" i="28"/>
  <c r="J11" i="28" s="1"/>
  <c r="C10" i="28"/>
  <c r="J10" i="28" s="1"/>
  <c r="H9" i="28"/>
  <c r="G9" i="28"/>
  <c r="F9" i="28"/>
  <c r="E9" i="28"/>
  <c r="B9" i="28"/>
  <c r="B7" i="28"/>
  <c r="B3" i="28"/>
  <c r="G10" i="28" l="1"/>
  <c r="G11" i="28"/>
  <c r="G12" i="28"/>
  <c r="G13" i="28"/>
  <c r="G14" i="28"/>
  <c r="G15" i="28"/>
  <c r="G16" i="28"/>
  <c r="G17" i="28"/>
  <c r="G18" i="28"/>
  <c r="G19" i="28"/>
  <c r="G20" i="28"/>
  <c r="G21" i="28"/>
  <c r="I10" i="28"/>
  <c r="I11" i="28"/>
  <c r="G22" i="28" l="1"/>
  <c r="C28" i="28" l="1"/>
  <c r="C30" i="28" s="1"/>
  <c r="G24" i="28"/>
  <c r="D28" i="28" s="1"/>
  <c r="D30" i="28" s="1"/>
  <c r="D33" i="28" s="1"/>
  <c r="D34" i="28" s="1"/>
  <c r="H22" i="28"/>
  <c r="F40" i="3" l="1"/>
  <c r="G21" i="27"/>
  <c r="G20" i="27"/>
  <c r="G19" i="27"/>
  <c r="I18" i="27"/>
  <c r="G18" i="27"/>
  <c r="K17" i="27"/>
  <c r="G17" i="27"/>
  <c r="K16" i="27"/>
  <c r="G16" i="27"/>
  <c r="K15" i="27"/>
  <c r="G15" i="27"/>
  <c r="K14" i="27"/>
  <c r="G14" i="27"/>
  <c r="K13" i="27"/>
  <c r="G13" i="27"/>
  <c r="K12" i="27"/>
  <c r="G12" i="27"/>
  <c r="K11" i="27"/>
  <c r="G11" i="27"/>
  <c r="K10" i="27"/>
  <c r="G10" i="27"/>
  <c r="H9" i="27"/>
  <c r="G9" i="27"/>
  <c r="F9" i="27"/>
  <c r="E9" i="27"/>
  <c r="B9" i="27"/>
  <c r="B7" i="27"/>
  <c r="B3" i="27"/>
  <c r="K18" i="27" l="1"/>
  <c r="G22" i="27"/>
  <c r="G24" i="27"/>
  <c r="G25" i="27" s="1"/>
  <c r="G26" i="27" s="1"/>
  <c r="H22" i="27"/>
  <c r="G40" i="3" l="1"/>
  <c r="H40" i="3"/>
  <c r="W232" i="1" l="1"/>
  <c r="N232" i="1"/>
  <c r="M232" i="1"/>
  <c r="D232" i="1"/>
  <c r="W233" i="1"/>
  <c r="M233" i="1"/>
  <c r="D233" i="1"/>
  <c r="F41" i="3"/>
  <c r="G41" i="3" s="1"/>
  <c r="O16" i="22"/>
  <c r="O15" i="22"/>
  <c r="O14" i="22"/>
  <c r="O13" i="22"/>
  <c r="O12" i="22"/>
  <c r="O11" i="22"/>
  <c r="O10" i="22"/>
  <c r="N9" i="22"/>
  <c r="Q9" i="22" s="1"/>
  <c r="N8" i="22"/>
  <c r="Q8" i="22" s="1"/>
  <c r="Q7" i="22"/>
  <c r="N7" i="22"/>
  <c r="Q6" i="22"/>
  <c r="Q5" i="22"/>
  <c r="N4" i="22"/>
  <c r="Q4" i="22" s="1"/>
  <c r="Q17" i="22" s="1"/>
  <c r="Q19" i="22" s="1"/>
  <c r="Q3" i="22"/>
  <c r="P2" i="22"/>
  <c r="O2" i="22"/>
  <c r="N2" i="22"/>
  <c r="M2" i="22"/>
  <c r="Y233" i="1" l="1"/>
  <c r="AE233" i="1" s="1"/>
  <c r="N233" i="1"/>
  <c r="H41" i="3"/>
  <c r="Z233" i="1"/>
  <c r="AF233" i="1" s="1"/>
  <c r="AA233" i="1"/>
  <c r="AG233" i="1" s="1"/>
  <c r="X233" i="1"/>
  <c r="AD233" i="1" s="1"/>
  <c r="AB233" i="1"/>
  <c r="AH233" i="1" s="1"/>
  <c r="BQ33" i="15"/>
  <c r="BQ41" i="15"/>
  <c r="BQ64" i="15"/>
  <c r="BQ82" i="15"/>
  <c r="BQ97" i="15"/>
  <c r="BQ124" i="15"/>
  <c r="BQ167" i="15"/>
  <c r="BQ189" i="15"/>
  <c r="BQ218" i="15"/>
  <c r="BQ231" i="15"/>
  <c r="BQ299" i="15"/>
  <c r="BQ324" i="15"/>
  <c r="BQ370" i="15"/>
  <c r="BQ406" i="15"/>
  <c r="BQ429" i="15"/>
  <c r="BQ454" i="15"/>
  <c r="BQ490" i="15"/>
  <c r="BQ513" i="15"/>
  <c r="BQ528" i="15"/>
  <c r="BQ547" i="15"/>
  <c r="BQ610" i="15"/>
  <c r="BQ620" i="15"/>
  <c r="BQ640" i="15"/>
  <c r="BQ667" i="15"/>
  <c r="BQ687" i="15"/>
  <c r="BQ731" i="15"/>
  <c r="BQ753" i="15"/>
  <c r="BQ775" i="15"/>
  <c r="BQ795" i="15"/>
  <c r="BQ827" i="15"/>
  <c r="BK9" i="15"/>
  <c r="BK10" i="15"/>
  <c r="BK11" i="15"/>
  <c r="BK12" i="15"/>
  <c r="BK13" i="15"/>
  <c r="BK14" i="15"/>
  <c r="BK15" i="15"/>
  <c r="BK16" i="15"/>
  <c r="BK17" i="15"/>
  <c r="BK18" i="15"/>
  <c r="BK19" i="15"/>
  <c r="BK20" i="15"/>
  <c r="BK21" i="15"/>
  <c r="BK22" i="15"/>
  <c r="BK23" i="15"/>
  <c r="BK24" i="15"/>
  <c r="BK25" i="15"/>
  <c r="BK26" i="15"/>
  <c r="BK27" i="15"/>
  <c r="BK28" i="15"/>
  <c r="BK29" i="15"/>
  <c r="BK30" i="15"/>
  <c r="BK31" i="15"/>
  <c r="BK32" i="15"/>
  <c r="BK33" i="15"/>
  <c r="BK34" i="15"/>
  <c r="BK35" i="15"/>
  <c r="BK36" i="15"/>
  <c r="BK37" i="15"/>
  <c r="BK38" i="15"/>
  <c r="BK39" i="15"/>
  <c r="BK40" i="15"/>
  <c r="BK41" i="15"/>
  <c r="BK42" i="15"/>
  <c r="BK43" i="15"/>
  <c r="BK44" i="15"/>
  <c r="BK45" i="15"/>
  <c r="BK46" i="15"/>
  <c r="BK47" i="15"/>
  <c r="BK48" i="15"/>
  <c r="BK49" i="15"/>
  <c r="BK50" i="15"/>
  <c r="BK51" i="15"/>
  <c r="BK52" i="15"/>
  <c r="BK53" i="15"/>
  <c r="BK54" i="15"/>
  <c r="BK55" i="15"/>
  <c r="BK56" i="15"/>
  <c r="BK57" i="15"/>
  <c r="BK58" i="15"/>
  <c r="BK59" i="15"/>
  <c r="BK60" i="15"/>
  <c r="BK61" i="15"/>
  <c r="BK62" i="15"/>
  <c r="BK63" i="15"/>
  <c r="BK64" i="15"/>
  <c r="BK65" i="15"/>
  <c r="BK66" i="15"/>
  <c r="BK67" i="15"/>
  <c r="BK68" i="15"/>
  <c r="BK69" i="15"/>
  <c r="BK70" i="15"/>
  <c r="BK71" i="15"/>
  <c r="BK72" i="15"/>
  <c r="BK73" i="15"/>
  <c r="BK74" i="15"/>
  <c r="BK75" i="15"/>
  <c r="BK76" i="15"/>
  <c r="BK77" i="15"/>
  <c r="BK78" i="15"/>
  <c r="BK79" i="15"/>
  <c r="BK80" i="15"/>
  <c r="BK81" i="15"/>
  <c r="BK82" i="15"/>
  <c r="BK83" i="15"/>
  <c r="BK97" i="15"/>
  <c r="BK98" i="15"/>
  <c r="BK124" i="15"/>
  <c r="BK125" i="15"/>
  <c r="BK126" i="15"/>
  <c r="BK127" i="15"/>
  <c r="BK128" i="15"/>
  <c r="BK129" i="15"/>
  <c r="BK130" i="15"/>
  <c r="BK131" i="15"/>
  <c r="BK132" i="15"/>
  <c r="BK133" i="15"/>
  <c r="BK134" i="15"/>
  <c r="BK135" i="15"/>
  <c r="BK136" i="15"/>
  <c r="BK137" i="15"/>
  <c r="BK138" i="15"/>
  <c r="BK139" i="15"/>
  <c r="BK140" i="15"/>
  <c r="BK141" i="15"/>
  <c r="BK142" i="15"/>
  <c r="BK143" i="15"/>
  <c r="BK145" i="15"/>
  <c r="BK146" i="15"/>
  <c r="BK147" i="15"/>
  <c r="BK148" i="15"/>
  <c r="BK149" i="15"/>
  <c r="BK150" i="15"/>
  <c r="BK151" i="15"/>
  <c r="BK152" i="15"/>
  <c r="BK153" i="15"/>
  <c r="BK154" i="15"/>
  <c r="BK155" i="15"/>
  <c r="BK156" i="15"/>
  <c r="BK157" i="15"/>
  <c r="BK158" i="15"/>
  <c r="BK159" i="15"/>
  <c r="BK160" i="15"/>
  <c r="BK161" i="15"/>
  <c r="BK162" i="15"/>
  <c r="BK163" i="15"/>
  <c r="BK164" i="15"/>
  <c r="BK165" i="15"/>
  <c r="BK166" i="15"/>
  <c r="BK167" i="15"/>
  <c r="BK168" i="15"/>
  <c r="BK169" i="15"/>
  <c r="BK170" i="15"/>
  <c r="BK171" i="15"/>
  <c r="BK172" i="15"/>
  <c r="BK173" i="15"/>
  <c r="BK174" i="15"/>
  <c r="BK175" i="15"/>
  <c r="BK176" i="15"/>
  <c r="BK177" i="15"/>
  <c r="BK178" i="15"/>
  <c r="BK179" i="15"/>
  <c r="BK180" i="15"/>
  <c r="BK181" i="15"/>
  <c r="BK182" i="15"/>
  <c r="BK183" i="15"/>
  <c r="BK184" i="15"/>
  <c r="BK185" i="15"/>
  <c r="BK186" i="15"/>
  <c r="BK187" i="15"/>
  <c r="BK188" i="15"/>
  <c r="BK189" i="15"/>
  <c r="BK190" i="15"/>
  <c r="BK191" i="15"/>
  <c r="BK192" i="15"/>
  <c r="BK193" i="15"/>
  <c r="BK194" i="15"/>
  <c r="BK195" i="15"/>
  <c r="BK196" i="15"/>
  <c r="BK197" i="15"/>
  <c r="BK198" i="15"/>
  <c r="BK199" i="15"/>
  <c r="BK200" i="15"/>
  <c r="BK201" i="15"/>
  <c r="BK202" i="15"/>
  <c r="BK203" i="15"/>
  <c r="BK204" i="15"/>
  <c r="BK205" i="15"/>
  <c r="BK206" i="15"/>
  <c r="BK207" i="15"/>
  <c r="BK208" i="15"/>
  <c r="BK209" i="15"/>
  <c r="BK210" i="15"/>
  <c r="BK211" i="15"/>
  <c r="BK212" i="15"/>
  <c r="BK213" i="15"/>
  <c r="BK214" i="15"/>
  <c r="BK215" i="15"/>
  <c r="BK216" i="15"/>
  <c r="BK217" i="15"/>
  <c r="BK218" i="15"/>
  <c r="BK219" i="15"/>
  <c r="BK220" i="15"/>
  <c r="BK221" i="15"/>
  <c r="BK222" i="15"/>
  <c r="BK223" i="15"/>
  <c r="BK224" i="15"/>
  <c r="BK225" i="15"/>
  <c r="BK226" i="15"/>
  <c r="BK227" i="15"/>
  <c r="BK228" i="15"/>
  <c r="BK229" i="15"/>
  <c r="BK230" i="15"/>
  <c r="BK231" i="15"/>
  <c r="BK232" i="15"/>
  <c r="BK251" i="15"/>
  <c r="BK269" i="15"/>
  <c r="BK271" i="15"/>
  <c r="BK272" i="15"/>
  <c r="BK273" i="15"/>
  <c r="BK275" i="15"/>
  <c r="BK274" i="15"/>
  <c r="BK276" i="15"/>
  <c r="BK277" i="15"/>
  <c r="BK278" i="15"/>
  <c r="BK279" i="15"/>
  <c r="BK280" i="15"/>
  <c r="BK281" i="15"/>
  <c r="BK282" i="15"/>
  <c r="BK283" i="15"/>
  <c r="BK284" i="15"/>
  <c r="BK285" i="15"/>
  <c r="BK286" i="15"/>
  <c r="BK287" i="15"/>
  <c r="BK288" i="15"/>
  <c r="BK289" i="15"/>
  <c r="BK290" i="15"/>
  <c r="BK291" i="15"/>
  <c r="BK292" i="15"/>
  <c r="BK293" i="15"/>
  <c r="BK294" i="15"/>
  <c r="BK295" i="15"/>
  <c r="BK296" i="15"/>
  <c r="BK297" i="15"/>
  <c r="BK298" i="15"/>
  <c r="BK299" i="15"/>
  <c r="BK300" i="15"/>
  <c r="BK324" i="15"/>
  <c r="BK325" i="15"/>
  <c r="BK370" i="15"/>
  <c r="BK371" i="15"/>
  <c r="BK406" i="15"/>
  <c r="BK407" i="15"/>
  <c r="BK429" i="15"/>
  <c r="BK430" i="15"/>
  <c r="BK454" i="15"/>
  <c r="BK455" i="15"/>
  <c r="BK456" i="15"/>
  <c r="BK457" i="15"/>
  <c r="BK458" i="15"/>
  <c r="BK459" i="15"/>
  <c r="BK460" i="15"/>
  <c r="BK461" i="15"/>
  <c r="BK462" i="15"/>
  <c r="BK463" i="15"/>
  <c r="BK464" i="15"/>
  <c r="BK465" i="15"/>
  <c r="BK466" i="15"/>
  <c r="BK467" i="15"/>
  <c r="BK468" i="15"/>
  <c r="BK469" i="15"/>
  <c r="BK470" i="15"/>
  <c r="BK472" i="15"/>
  <c r="BK473" i="15"/>
  <c r="BK474" i="15"/>
  <c r="BK475" i="15"/>
  <c r="BK476" i="15"/>
  <c r="BK477" i="15"/>
  <c r="BK478" i="15"/>
  <c r="BK479" i="15"/>
  <c r="BK480" i="15"/>
  <c r="BK481" i="15"/>
  <c r="BK482" i="15"/>
  <c r="BK483" i="15"/>
  <c r="BK484" i="15"/>
  <c r="BK485" i="15"/>
  <c r="BK486" i="15"/>
  <c r="BK487" i="15"/>
  <c r="BK488" i="15"/>
  <c r="BK489" i="15"/>
  <c r="BK490" i="15"/>
  <c r="BK491" i="15"/>
  <c r="BK513" i="15"/>
  <c r="BK514" i="15"/>
  <c r="BK515" i="15"/>
  <c r="BK516" i="15"/>
  <c r="BK517" i="15"/>
  <c r="BK518" i="15"/>
  <c r="BK519" i="15"/>
  <c r="BK520" i="15"/>
  <c r="BK521" i="15"/>
  <c r="BK522" i="15"/>
  <c r="BK523" i="15"/>
  <c r="BK524" i="15"/>
  <c r="BK525" i="15"/>
  <c r="BK526" i="15"/>
  <c r="BK527" i="15"/>
  <c r="BK528" i="15"/>
  <c r="BK529" i="15"/>
  <c r="BK530" i="15"/>
  <c r="BK531" i="15"/>
  <c r="BK532" i="15"/>
  <c r="BK533" i="15"/>
  <c r="BK534" i="15"/>
  <c r="BK535" i="15"/>
  <c r="BK536" i="15"/>
  <c r="BK537" i="15"/>
  <c r="BK538" i="15"/>
  <c r="BK539" i="15"/>
  <c r="BK540" i="15"/>
  <c r="BK541" i="15"/>
  <c r="BK542" i="15"/>
  <c r="BK543" i="15"/>
  <c r="BK544" i="15"/>
  <c r="BK545" i="15"/>
  <c r="BK546" i="15"/>
  <c r="BK547" i="15"/>
  <c r="BK548" i="15"/>
  <c r="BK549" i="15"/>
  <c r="BK550" i="15"/>
  <c r="BK551" i="15"/>
  <c r="BK552" i="15"/>
  <c r="BK553" i="15"/>
  <c r="BK554" i="15"/>
  <c r="BK555" i="15"/>
  <c r="BK556" i="15"/>
  <c r="BK557" i="15"/>
  <c r="BK558" i="15"/>
  <c r="BK559" i="15"/>
  <c r="BK560" i="15"/>
  <c r="BK561" i="15"/>
  <c r="BK562" i="15"/>
  <c r="BK563" i="15"/>
  <c r="BK564" i="15"/>
  <c r="BK565" i="15"/>
  <c r="BK566" i="15"/>
  <c r="BK567" i="15"/>
  <c r="BK568" i="15"/>
  <c r="BK569" i="15"/>
  <c r="BK570" i="15"/>
  <c r="BK571" i="15"/>
  <c r="BK573" i="15"/>
  <c r="BK574" i="15"/>
  <c r="BK572" i="15"/>
  <c r="BK575" i="15"/>
  <c r="BK576" i="15"/>
  <c r="BK578" i="15"/>
  <c r="BK610" i="15"/>
  <c r="BK611" i="15"/>
  <c r="BK612" i="15"/>
  <c r="BK613" i="15"/>
  <c r="BK614" i="15"/>
  <c r="BK615" i="15"/>
  <c r="BK616" i="15"/>
  <c r="BK617" i="15"/>
  <c r="BK618" i="15"/>
  <c r="BK619" i="15"/>
  <c r="BK620" i="15"/>
  <c r="BK621" i="15"/>
  <c r="BK622" i="15"/>
  <c r="BK623" i="15"/>
  <c r="BK624" i="15"/>
  <c r="BK625" i="15"/>
  <c r="BK626" i="15"/>
  <c r="BK627" i="15"/>
  <c r="BK628" i="15"/>
  <c r="BK629" i="15"/>
  <c r="BK630" i="15"/>
  <c r="BK631" i="15"/>
  <c r="BK632" i="15"/>
  <c r="BK633" i="15"/>
  <c r="BK634" i="15"/>
  <c r="BK635" i="15"/>
  <c r="BK636" i="15"/>
  <c r="BK637" i="15"/>
  <c r="BK638" i="15"/>
  <c r="BK639" i="15"/>
  <c r="BK640" i="15"/>
  <c r="BK641" i="15"/>
  <c r="BK667" i="15"/>
  <c r="BK668" i="15"/>
  <c r="BK669" i="15"/>
  <c r="BK670" i="15"/>
  <c r="BK671" i="15"/>
  <c r="BK672" i="15"/>
  <c r="BK673" i="15"/>
  <c r="BK674" i="15"/>
  <c r="BK675" i="15"/>
  <c r="BK676" i="15"/>
  <c r="BK677" i="15"/>
  <c r="BK678" i="15"/>
  <c r="BK679" i="15"/>
  <c r="BK680" i="15"/>
  <c r="BK681" i="15"/>
  <c r="BK682" i="15"/>
  <c r="BK683" i="15"/>
  <c r="BK684" i="15"/>
  <c r="BK685" i="15"/>
  <c r="BK686" i="15"/>
  <c r="BK687" i="15"/>
  <c r="BK688" i="15"/>
  <c r="BK689" i="15"/>
  <c r="BK690" i="15"/>
  <c r="BK691" i="15"/>
  <c r="BK692" i="15"/>
  <c r="BK693" i="15"/>
  <c r="BK694" i="15"/>
  <c r="BK695" i="15"/>
  <c r="BK696" i="15"/>
  <c r="BK697" i="15"/>
  <c r="BK698" i="15"/>
  <c r="BK699" i="15"/>
  <c r="BK700" i="15"/>
  <c r="BK701" i="15"/>
  <c r="BK702" i="15"/>
  <c r="BK703" i="15"/>
  <c r="BK704" i="15"/>
  <c r="BK705" i="15"/>
  <c r="BK706" i="15"/>
  <c r="BK707" i="15"/>
  <c r="BK708" i="15"/>
  <c r="BK709" i="15"/>
  <c r="BK710" i="15"/>
  <c r="BK711" i="15"/>
  <c r="BK712" i="15"/>
  <c r="BK713" i="15"/>
  <c r="BK714" i="15"/>
  <c r="BK715" i="15"/>
  <c r="BK716" i="15"/>
  <c r="BK717" i="15"/>
  <c r="BK718" i="15"/>
  <c r="BK719" i="15"/>
  <c r="BK720" i="15"/>
  <c r="BK721" i="15"/>
  <c r="BK722" i="15"/>
  <c r="BK723" i="15"/>
  <c r="BK724" i="15"/>
  <c r="BK725" i="15"/>
  <c r="BK726" i="15"/>
  <c r="BK727" i="15"/>
  <c r="BK728" i="15"/>
  <c r="BK729" i="15"/>
  <c r="BK730" i="15"/>
  <c r="BK731" i="15"/>
  <c r="BK732" i="15"/>
  <c r="BK733" i="15"/>
  <c r="BK734" i="15"/>
  <c r="BK735" i="15"/>
  <c r="BK736" i="15"/>
  <c r="BK737" i="15"/>
  <c r="BK738" i="15"/>
  <c r="BK739" i="15"/>
  <c r="BK740" i="15"/>
  <c r="BK741" i="15"/>
  <c r="BK742" i="15"/>
  <c r="BK743" i="15"/>
  <c r="BK744" i="15"/>
  <c r="BK745" i="15"/>
  <c r="BK746" i="15"/>
  <c r="BK747" i="15"/>
  <c r="BK748" i="15"/>
  <c r="BK749" i="15"/>
  <c r="BK750" i="15"/>
  <c r="BK751" i="15"/>
  <c r="BK752" i="15"/>
  <c r="BK753" i="15"/>
  <c r="BK754" i="15"/>
  <c r="BK755" i="15"/>
  <c r="BK756" i="15"/>
  <c r="BK757" i="15"/>
  <c r="BK773" i="15"/>
  <c r="BK774" i="15"/>
  <c r="BK758" i="15"/>
  <c r="BK759" i="15"/>
  <c r="BK760" i="15"/>
  <c r="BK761" i="15"/>
  <c r="BK762" i="15"/>
  <c r="BK763" i="15"/>
  <c r="BK764" i="15"/>
  <c r="BK765" i="15"/>
  <c r="BK766" i="15"/>
  <c r="BK767" i="15"/>
  <c r="BK768" i="15"/>
  <c r="BK769" i="15"/>
  <c r="BK770" i="15"/>
  <c r="BK771" i="15"/>
  <c r="BK772" i="15"/>
  <c r="BK775" i="15"/>
  <c r="BK776" i="15"/>
  <c r="BK777" i="15"/>
  <c r="BK778" i="15"/>
  <c r="BK779" i="15"/>
  <c r="BK780" i="15"/>
  <c r="BK781" i="15"/>
  <c r="BK782" i="15"/>
  <c r="BK783" i="15"/>
  <c r="BK784" i="15"/>
  <c r="BK785" i="15"/>
  <c r="BK786" i="15"/>
  <c r="BK787" i="15"/>
  <c r="BK788" i="15"/>
  <c r="BK789" i="15"/>
  <c r="BK790" i="15"/>
  <c r="BK791" i="15"/>
  <c r="BK792" i="15"/>
  <c r="BK793" i="15"/>
  <c r="BK794" i="15"/>
  <c r="BK795" i="15"/>
  <c r="BK796" i="15"/>
  <c r="BK797" i="15"/>
  <c r="BK798" i="15"/>
  <c r="BK799" i="15"/>
  <c r="BK800" i="15"/>
  <c r="BK801" i="15"/>
  <c r="BK802" i="15"/>
  <c r="BK803" i="15"/>
  <c r="BK804" i="15"/>
  <c r="BK805" i="15"/>
  <c r="BK806" i="15"/>
  <c r="BK807" i="15"/>
  <c r="BK808" i="15"/>
  <c r="BK809" i="15"/>
  <c r="BK810" i="15"/>
  <c r="BK811" i="15"/>
  <c r="BK812" i="15"/>
  <c r="BK813" i="15"/>
  <c r="BK814" i="15"/>
  <c r="BK815" i="15"/>
  <c r="BK816" i="15"/>
  <c r="BK817" i="15"/>
  <c r="BK818" i="15"/>
  <c r="BK819" i="15"/>
  <c r="BK820" i="15"/>
  <c r="BK821" i="15"/>
  <c r="BK822" i="15"/>
  <c r="BK823" i="15"/>
  <c r="BK824" i="15"/>
  <c r="BK825" i="15"/>
  <c r="BK826" i="15"/>
  <c r="BK827" i="15"/>
  <c r="BK828" i="15"/>
  <c r="BK829" i="15"/>
  <c r="BK830" i="15"/>
  <c r="BK831" i="15"/>
  <c r="BK832" i="15"/>
  <c r="BK833" i="15"/>
  <c r="BK834" i="15"/>
  <c r="BK835" i="15"/>
  <c r="BK836" i="15"/>
  <c r="BK837" i="15"/>
  <c r="BK838" i="15"/>
  <c r="BK839" i="15"/>
  <c r="BK840" i="15"/>
  <c r="BK841" i="15"/>
  <c r="BK842" i="15"/>
  <c r="BK843" i="15"/>
  <c r="BK844" i="15"/>
  <c r="BK845" i="15"/>
  <c r="BK846" i="15"/>
  <c r="BK847" i="15"/>
  <c r="BK848" i="15"/>
  <c r="BK849" i="15"/>
  <c r="BK850" i="15"/>
  <c r="BK851" i="15"/>
  <c r="BK852" i="15"/>
  <c r="BK853" i="15"/>
  <c r="BK854" i="15"/>
  <c r="BK855" i="15"/>
  <c r="BK856" i="15"/>
  <c r="BK857" i="15"/>
  <c r="BK858" i="15"/>
  <c r="BK859" i="15"/>
  <c r="BK860" i="15"/>
  <c r="BK861" i="15"/>
  <c r="BJ8" i="15"/>
  <c r="BK8" i="15" s="1"/>
  <c r="BL430" i="15"/>
  <c r="BM430" i="15" s="1"/>
  <c r="BL371" i="15"/>
  <c r="BM371" i="15" s="1"/>
  <c r="BM9" i="15"/>
  <c r="BM10" i="15"/>
  <c r="BM11" i="15"/>
  <c r="BM12" i="15"/>
  <c r="BM13" i="15"/>
  <c r="BM14" i="15"/>
  <c r="BM15" i="15"/>
  <c r="BM16" i="15"/>
  <c r="BM17" i="15"/>
  <c r="BM18" i="15"/>
  <c r="BM19" i="15"/>
  <c r="BM20" i="15"/>
  <c r="BM21" i="15"/>
  <c r="BM22" i="15"/>
  <c r="BM23" i="15"/>
  <c r="BM24" i="15"/>
  <c r="BM25" i="15"/>
  <c r="BM26" i="15"/>
  <c r="BM27" i="15"/>
  <c r="BM28" i="15"/>
  <c r="BM29" i="15"/>
  <c r="BM30" i="15"/>
  <c r="BM31" i="15"/>
  <c r="BM32" i="15"/>
  <c r="BM33" i="15"/>
  <c r="BM34" i="15"/>
  <c r="BM35" i="15"/>
  <c r="BM36" i="15"/>
  <c r="BM37" i="15"/>
  <c r="BM38" i="15"/>
  <c r="BM39" i="15"/>
  <c r="BM40" i="15"/>
  <c r="BM41" i="15"/>
  <c r="BM42" i="15"/>
  <c r="BM43" i="15"/>
  <c r="BM44" i="15"/>
  <c r="BM45" i="15"/>
  <c r="BM46" i="15"/>
  <c r="BM47" i="15"/>
  <c r="BM48" i="15"/>
  <c r="BM49" i="15"/>
  <c r="BM50" i="15"/>
  <c r="BM51" i="15"/>
  <c r="BM52" i="15"/>
  <c r="BM53" i="15"/>
  <c r="BM54" i="15"/>
  <c r="BM55" i="15"/>
  <c r="BM56" i="15"/>
  <c r="BM57" i="15"/>
  <c r="BM58" i="15"/>
  <c r="BM59" i="15"/>
  <c r="BM60" i="15"/>
  <c r="BM61" i="15"/>
  <c r="BM62" i="15"/>
  <c r="BM63" i="15"/>
  <c r="BM64" i="15"/>
  <c r="BM65" i="15"/>
  <c r="BM66" i="15"/>
  <c r="BM67" i="15"/>
  <c r="BM68" i="15"/>
  <c r="BM69" i="15"/>
  <c r="BM70" i="15"/>
  <c r="BM71" i="15"/>
  <c r="BM72" i="15"/>
  <c r="BM73" i="15"/>
  <c r="BM74" i="15"/>
  <c r="BM75" i="15"/>
  <c r="BM76" i="15"/>
  <c r="BM77" i="15"/>
  <c r="BM78" i="15"/>
  <c r="BM79" i="15"/>
  <c r="BM80" i="15"/>
  <c r="BM81" i="15"/>
  <c r="BM82" i="15"/>
  <c r="BM97" i="15"/>
  <c r="BM124" i="15"/>
  <c r="BM125" i="15"/>
  <c r="BM126" i="15"/>
  <c r="BM127" i="15"/>
  <c r="BM128" i="15"/>
  <c r="BM129" i="15"/>
  <c r="BM130" i="15"/>
  <c r="BM131" i="15"/>
  <c r="BM132" i="15"/>
  <c r="BM133" i="15"/>
  <c r="BM134" i="15"/>
  <c r="BM135" i="15"/>
  <c r="BM136" i="15"/>
  <c r="BM137" i="15"/>
  <c r="BM138" i="15"/>
  <c r="BM139" i="15"/>
  <c r="BM140" i="15"/>
  <c r="BM141" i="15"/>
  <c r="BM142" i="15"/>
  <c r="BM143" i="15"/>
  <c r="BM145" i="15"/>
  <c r="BM146" i="15"/>
  <c r="BM147" i="15"/>
  <c r="BM148" i="15"/>
  <c r="BM149" i="15"/>
  <c r="BM150" i="15"/>
  <c r="BM151" i="15"/>
  <c r="BM152" i="15"/>
  <c r="BM153" i="15"/>
  <c r="BM154" i="15"/>
  <c r="BM155" i="15"/>
  <c r="BM156" i="15"/>
  <c r="BM157" i="15"/>
  <c r="BM158" i="15"/>
  <c r="BM159" i="15"/>
  <c r="BM160" i="15"/>
  <c r="BM161" i="15"/>
  <c r="BM162" i="15"/>
  <c r="BM163" i="15"/>
  <c r="BM164" i="15"/>
  <c r="BM165" i="15"/>
  <c r="BM166" i="15"/>
  <c r="BM167" i="15"/>
  <c r="BM168" i="15"/>
  <c r="BM169" i="15"/>
  <c r="BM170" i="15"/>
  <c r="BM171" i="15"/>
  <c r="BM172" i="15"/>
  <c r="BM173" i="15"/>
  <c r="BM174" i="15"/>
  <c r="BM175" i="15"/>
  <c r="BM176" i="15"/>
  <c r="BM177" i="15"/>
  <c r="BM178" i="15"/>
  <c r="BM179" i="15"/>
  <c r="BM180" i="15"/>
  <c r="BM181" i="15"/>
  <c r="BM182" i="15"/>
  <c r="BM183" i="15"/>
  <c r="BM184" i="15"/>
  <c r="BM185" i="15"/>
  <c r="BM186" i="15"/>
  <c r="BM187" i="15"/>
  <c r="BM188" i="15"/>
  <c r="BM189" i="15"/>
  <c r="BM190" i="15"/>
  <c r="BM191" i="15"/>
  <c r="BM192" i="15"/>
  <c r="BM193" i="15"/>
  <c r="BM194" i="15"/>
  <c r="BM195" i="15"/>
  <c r="BM196" i="15"/>
  <c r="BM197" i="15"/>
  <c r="BM198" i="15"/>
  <c r="BM199" i="15"/>
  <c r="BM200" i="15"/>
  <c r="BM201" i="15"/>
  <c r="BM202" i="15"/>
  <c r="BM203" i="15"/>
  <c r="BM204" i="15"/>
  <c r="BM205" i="15"/>
  <c r="BM206" i="15"/>
  <c r="BM207" i="15"/>
  <c r="BM208" i="15"/>
  <c r="BM209" i="15"/>
  <c r="BM210" i="15"/>
  <c r="BM211" i="15"/>
  <c r="BM212" i="15"/>
  <c r="BM213" i="15"/>
  <c r="BM214" i="15"/>
  <c r="BM215" i="15"/>
  <c r="BM216" i="15"/>
  <c r="BM217" i="15"/>
  <c r="BM218" i="15"/>
  <c r="BM219" i="15"/>
  <c r="BM220" i="15"/>
  <c r="BM221" i="15"/>
  <c r="BM222" i="15"/>
  <c r="BM223" i="15"/>
  <c r="BM224" i="15"/>
  <c r="BM225" i="15"/>
  <c r="BM226" i="15"/>
  <c r="BM227" i="15"/>
  <c r="BM228" i="15"/>
  <c r="BM229" i="15"/>
  <c r="BM230" i="15"/>
  <c r="BM231" i="15"/>
  <c r="BM269" i="15"/>
  <c r="BM271" i="15"/>
  <c r="BM272" i="15"/>
  <c r="BM273" i="15"/>
  <c r="BM275" i="15"/>
  <c r="BM274" i="15"/>
  <c r="BM276" i="15"/>
  <c r="BM277" i="15"/>
  <c r="BM278" i="15"/>
  <c r="BM279" i="15"/>
  <c r="BM280" i="15"/>
  <c r="BM281" i="15"/>
  <c r="BM282" i="15"/>
  <c r="BM283" i="15"/>
  <c r="BM284" i="15"/>
  <c r="BM285" i="15"/>
  <c r="BM286" i="15"/>
  <c r="BM287" i="15"/>
  <c r="BM288" i="15"/>
  <c r="BM289" i="15"/>
  <c r="BM290" i="15"/>
  <c r="BM291" i="15"/>
  <c r="BM292" i="15"/>
  <c r="BM293" i="15"/>
  <c r="BM294" i="15"/>
  <c r="BM295" i="15"/>
  <c r="BM296" i="15"/>
  <c r="BM297" i="15"/>
  <c r="BM298" i="15"/>
  <c r="BM299" i="15"/>
  <c r="BM324" i="15"/>
  <c r="BM370" i="15"/>
  <c r="BM406" i="15"/>
  <c r="BM429" i="15"/>
  <c r="BM454" i="15"/>
  <c r="BM455" i="15"/>
  <c r="BM456" i="15"/>
  <c r="BM457" i="15"/>
  <c r="BM458" i="15"/>
  <c r="BM459" i="15"/>
  <c r="BM460" i="15"/>
  <c r="BM461" i="15"/>
  <c r="BM462" i="15"/>
  <c r="BM463" i="15"/>
  <c r="BM464" i="15"/>
  <c r="BM465" i="15"/>
  <c r="BM466" i="15"/>
  <c r="BM467" i="15"/>
  <c r="BM468" i="15"/>
  <c r="BM469" i="15"/>
  <c r="BM470" i="15"/>
  <c r="BM472" i="15"/>
  <c r="BM473" i="15"/>
  <c r="BM474" i="15"/>
  <c r="BM475" i="15"/>
  <c r="BM476" i="15"/>
  <c r="BM477" i="15"/>
  <c r="BM478" i="15"/>
  <c r="BM479" i="15"/>
  <c r="BM480" i="15"/>
  <c r="BM481" i="15"/>
  <c r="BM482" i="15"/>
  <c r="BM483" i="15"/>
  <c r="BM484" i="15"/>
  <c r="BM485" i="15"/>
  <c r="BM486" i="15"/>
  <c r="BM487" i="15"/>
  <c r="BM488" i="15"/>
  <c r="BM489" i="15"/>
  <c r="BM490" i="15"/>
  <c r="BM513" i="15"/>
  <c r="BM514" i="15"/>
  <c r="BM515" i="15"/>
  <c r="BM516" i="15"/>
  <c r="BM517" i="15"/>
  <c r="BM518" i="15"/>
  <c r="BM519" i="15"/>
  <c r="BM520" i="15"/>
  <c r="BM521" i="15"/>
  <c r="BM522" i="15"/>
  <c r="BM523" i="15"/>
  <c r="BM524" i="15"/>
  <c r="BM525" i="15"/>
  <c r="BM526" i="15"/>
  <c r="BM527" i="15"/>
  <c r="BM528" i="15"/>
  <c r="BM529" i="15"/>
  <c r="BM530" i="15"/>
  <c r="BM531" i="15"/>
  <c r="BM532" i="15"/>
  <c r="BM533" i="15"/>
  <c r="BM534" i="15"/>
  <c r="BM535" i="15"/>
  <c r="BM536" i="15"/>
  <c r="BM537" i="15"/>
  <c r="BM538" i="15"/>
  <c r="BM539" i="15"/>
  <c r="BM540" i="15"/>
  <c r="BM541" i="15"/>
  <c r="BM542" i="15"/>
  <c r="BM543" i="15"/>
  <c r="BM544" i="15"/>
  <c r="BM545" i="15"/>
  <c r="BM546" i="15"/>
  <c r="BM547" i="15"/>
  <c r="BM548" i="15"/>
  <c r="BM549" i="15"/>
  <c r="BM550" i="15"/>
  <c r="BM551" i="15"/>
  <c r="BM552" i="15"/>
  <c r="BM553" i="15"/>
  <c r="BM554" i="15"/>
  <c r="BM555" i="15"/>
  <c r="BM556" i="15"/>
  <c r="BM557" i="15"/>
  <c r="BM558" i="15"/>
  <c r="BM559" i="15"/>
  <c r="BM560" i="15"/>
  <c r="BM561" i="15"/>
  <c r="BM562" i="15"/>
  <c r="BM563" i="15"/>
  <c r="BM564" i="15"/>
  <c r="BM565" i="15"/>
  <c r="BM566" i="15"/>
  <c r="BM567" i="15"/>
  <c r="BM568" i="15"/>
  <c r="BM569" i="15"/>
  <c r="BM570" i="15"/>
  <c r="BM571" i="15"/>
  <c r="BM573" i="15"/>
  <c r="BM574" i="15"/>
  <c r="BM572" i="15"/>
  <c r="BM575" i="15"/>
  <c r="BM576" i="15"/>
  <c r="BM610" i="15"/>
  <c r="BM611" i="15"/>
  <c r="BM621" i="15"/>
  <c r="BM640" i="15"/>
  <c r="BM667" i="15"/>
  <c r="BM668" i="15"/>
  <c r="BM669" i="15"/>
  <c r="BM670" i="15"/>
  <c r="BM671" i="15"/>
  <c r="BM672" i="15"/>
  <c r="BM673" i="15"/>
  <c r="BM674" i="15"/>
  <c r="BM675" i="15"/>
  <c r="BM676" i="15"/>
  <c r="BM677" i="15"/>
  <c r="BM678" i="15"/>
  <c r="BM679" i="15"/>
  <c r="BM680" i="15"/>
  <c r="BM681" i="15"/>
  <c r="BM682" i="15"/>
  <c r="BM683" i="15"/>
  <c r="BM684" i="15"/>
  <c r="BM685" i="15"/>
  <c r="BM686" i="15"/>
  <c r="BM687" i="15"/>
  <c r="BM688" i="15"/>
  <c r="BM689" i="15"/>
  <c r="BM690" i="15"/>
  <c r="BM691" i="15"/>
  <c r="BM692" i="15"/>
  <c r="BM693" i="15"/>
  <c r="BM694" i="15"/>
  <c r="BM695" i="15"/>
  <c r="BM696" i="15"/>
  <c r="BM697" i="15"/>
  <c r="BM698" i="15"/>
  <c r="BM699" i="15"/>
  <c r="BM700" i="15"/>
  <c r="BM701" i="15"/>
  <c r="BM702" i="15"/>
  <c r="BM703" i="15"/>
  <c r="BM704" i="15"/>
  <c r="BM705" i="15"/>
  <c r="BM706" i="15"/>
  <c r="BM707" i="15"/>
  <c r="BM708" i="15"/>
  <c r="BM709" i="15"/>
  <c r="BM710" i="15"/>
  <c r="BM711" i="15"/>
  <c r="BM712" i="15"/>
  <c r="BM713" i="15"/>
  <c r="BM714" i="15"/>
  <c r="BM715" i="15"/>
  <c r="BM716" i="15"/>
  <c r="BM717" i="15"/>
  <c r="BM718" i="15"/>
  <c r="BM719" i="15"/>
  <c r="BM720" i="15"/>
  <c r="BM721" i="15"/>
  <c r="BM722" i="15"/>
  <c r="BM723" i="15"/>
  <c r="BM724" i="15"/>
  <c r="BM725" i="15"/>
  <c r="BM726" i="15"/>
  <c r="BM727" i="15"/>
  <c r="BM728" i="15"/>
  <c r="BM729" i="15"/>
  <c r="BM730" i="15"/>
  <c r="BM731" i="15"/>
  <c r="BM732" i="15"/>
  <c r="BM733" i="15"/>
  <c r="BM734" i="15"/>
  <c r="BM735" i="15"/>
  <c r="BM736" i="15"/>
  <c r="BM737" i="15"/>
  <c r="BM738" i="15"/>
  <c r="BM739" i="15"/>
  <c r="BM740" i="15"/>
  <c r="BM741" i="15"/>
  <c r="BM742" i="15"/>
  <c r="BM743" i="15"/>
  <c r="BM744" i="15"/>
  <c r="BM745" i="15"/>
  <c r="BM746" i="15"/>
  <c r="BM747" i="15"/>
  <c r="BM748" i="15"/>
  <c r="BM749" i="15"/>
  <c r="BM750" i="15"/>
  <c r="BM751" i="15"/>
  <c r="BM752" i="15"/>
  <c r="BM753" i="15"/>
  <c r="BM754" i="15"/>
  <c r="BM755" i="15"/>
  <c r="BM756" i="15"/>
  <c r="BM757" i="15"/>
  <c r="BM773" i="15"/>
  <c r="BM774" i="15"/>
  <c r="BM758" i="15"/>
  <c r="BM759" i="15"/>
  <c r="BM760" i="15"/>
  <c r="BM761" i="15"/>
  <c r="BM762" i="15"/>
  <c r="BM763" i="15"/>
  <c r="BM764" i="15"/>
  <c r="BM765" i="15"/>
  <c r="BM766" i="15"/>
  <c r="BM767" i="15"/>
  <c r="BM768" i="15"/>
  <c r="BM769" i="15"/>
  <c r="BM770" i="15"/>
  <c r="BM771" i="15"/>
  <c r="BM772" i="15"/>
  <c r="BM775" i="15"/>
  <c r="BM776" i="15"/>
  <c r="BM777" i="15"/>
  <c r="BM778" i="15"/>
  <c r="BM779" i="15"/>
  <c r="BM780" i="15"/>
  <c r="BM781" i="15"/>
  <c r="BM782" i="15"/>
  <c r="BM783" i="15"/>
  <c r="BM784" i="15"/>
  <c r="BM785" i="15"/>
  <c r="BM786" i="15"/>
  <c r="BM787" i="15"/>
  <c r="BM788" i="15"/>
  <c r="BM789" i="15"/>
  <c r="BM790" i="15"/>
  <c r="BM791" i="15"/>
  <c r="BM792" i="15"/>
  <c r="BM793" i="15"/>
  <c r="BM794" i="15"/>
  <c r="BM795" i="15"/>
  <c r="BM796" i="15"/>
  <c r="BM797" i="15"/>
  <c r="BM798" i="15"/>
  <c r="BM799" i="15"/>
  <c r="BM800" i="15"/>
  <c r="BM801" i="15"/>
  <c r="BM802" i="15"/>
  <c r="BM803" i="15"/>
  <c r="BM804" i="15"/>
  <c r="BM805" i="15"/>
  <c r="BM806" i="15"/>
  <c r="BM807" i="15"/>
  <c r="BM808" i="15"/>
  <c r="BM809" i="15"/>
  <c r="BM810" i="15"/>
  <c r="BM811" i="15"/>
  <c r="BM812" i="15"/>
  <c r="BM813" i="15"/>
  <c r="BM814" i="15"/>
  <c r="BM815" i="15"/>
  <c r="BM816" i="15"/>
  <c r="BM817" i="15"/>
  <c r="BM818" i="15"/>
  <c r="BM819" i="15"/>
  <c r="BM820" i="15"/>
  <c r="BM821" i="15"/>
  <c r="BM822" i="15"/>
  <c r="BM823" i="15"/>
  <c r="BM824" i="15"/>
  <c r="BM825" i="15"/>
  <c r="BM826" i="15"/>
  <c r="BM827" i="15"/>
  <c r="BM828" i="15"/>
  <c r="BM829" i="15"/>
  <c r="BM830" i="15"/>
  <c r="BM831" i="15"/>
  <c r="BM832" i="15"/>
  <c r="BM833" i="15"/>
  <c r="BM834" i="15"/>
  <c r="BM835" i="15"/>
  <c r="BM836" i="15"/>
  <c r="BM837" i="15"/>
  <c r="BM838" i="15"/>
  <c r="BM839" i="15"/>
  <c r="BM840" i="15"/>
  <c r="BM841" i="15"/>
  <c r="BM842" i="15"/>
  <c r="BM843" i="15"/>
  <c r="BM844" i="15"/>
  <c r="BM845" i="15"/>
  <c r="BM846" i="15"/>
  <c r="BM847" i="15"/>
  <c r="BM848" i="15"/>
  <c r="BM849" i="15"/>
  <c r="BM850" i="15"/>
  <c r="BM851" i="15"/>
  <c r="BM852" i="15"/>
  <c r="BM853" i="15"/>
  <c r="BM854" i="15"/>
  <c r="BM855" i="15"/>
  <c r="BM856" i="15"/>
  <c r="BM857" i="15"/>
  <c r="BM858" i="15"/>
  <c r="BM859" i="15"/>
  <c r="BM860" i="15"/>
  <c r="BM861" i="15"/>
  <c r="BJ471" i="15"/>
  <c r="BK471" i="15" s="1"/>
  <c r="BL491" i="15"/>
  <c r="BL471" i="15" s="1"/>
  <c r="BM471" i="15" s="1"/>
  <c r="BL407" i="15"/>
  <c r="BM407" i="15" s="1"/>
  <c r="BL578" i="15"/>
  <c r="BM578" i="15" s="1"/>
  <c r="BL641" i="15"/>
  <c r="BM641" i="15" s="1"/>
  <c r="BL325" i="15"/>
  <c r="BM325" i="15" s="1"/>
  <c r="BL300" i="15"/>
  <c r="BM300" i="15" s="1"/>
  <c r="BL251" i="15"/>
  <c r="BM251" i="15" s="1"/>
  <c r="BL232" i="15"/>
  <c r="BL98" i="15"/>
  <c r="BM98" i="15" s="1"/>
  <c r="BL83" i="15"/>
  <c r="BM83" i="15" s="1"/>
  <c r="BL144" i="15" l="1"/>
  <c r="BM144" i="15" s="1"/>
  <c r="AI233" i="1"/>
  <c r="AC233" i="1"/>
  <c r="BL270" i="15"/>
  <c r="BM270" i="15" s="1"/>
  <c r="CR620" i="15"/>
  <c r="CR753" i="15"/>
  <c r="CR429" i="15"/>
  <c r="CR269" i="15"/>
  <c r="CR189" i="15"/>
  <c r="BM232" i="15"/>
  <c r="BM491" i="15"/>
  <c r="CR513" i="15"/>
  <c r="CR324" i="15"/>
  <c r="CR41" i="15"/>
  <c r="CR33" i="15"/>
  <c r="CR490" i="15"/>
  <c r="CR64" i="15"/>
  <c r="CR827" i="15"/>
  <c r="CR795" i="15"/>
  <c r="CR775" i="15"/>
  <c r="CR731" i="15"/>
  <c r="CR687" i="15"/>
  <c r="CR667" i="15"/>
  <c r="CR547" i="15"/>
  <c r="CR299" i="15"/>
  <c r="CR712" i="15"/>
  <c r="CR640" i="15"/>
  <c r="CR576" i="15"/>
  <c r="CR528" i="15"/>
  <c r="CR124" i="15"/>
  <c r="CR610" i="15"/>
  <c r="CR470" i="15"/>
  <c r="CR454" i="15"/>
  <c r="CR406" i="15"/>
  <c r="CR370" i="15"/>
  <c r="CR231" i="15"/>
  <c r="CR167" i="15"/>
  <c r="CR143" i="15"/>
  <c r="CR218" i="15"/>
  <c r="CR82" i="15"/>
  <c r="FL33" i="15" l="1"/>
  <c r="FL41" i="15"/>
  <c r="FL64" i="15"/>
  <c r="FL82" i="15"/>
  <c r="FL97" i="15"/>
  <c r="FL124" i="15"/>
  <c r="FL167" i="15"/>
  <c r="FL189" i="15"/>
  <c r="FL218" i="15"/>
  <c r="FL231" i="15"/>
  <c r="FL252" i="15"/>
  <c r="FL253" i="15"/>
  <c r="FL254" i="15"/>
  <c r="FL255" i="15"/>
  <c r="FL256" i="15"/>
  <c r="FL257" i="15"/>
  <c r="FL258" i="15"/>
  <c r="FL259" i="15"/>
  <c r="FL260" i="15"/>
  <c r="FL261" i="15"/>
  <c r="FL262" i="15"/>
  <c r="FL263" i="15"/>
  <c r="FL264" i="15"/>
  <c r="FL265" i="15"/>
  <c r="FL266" i="15"/>
  <c r="FL267" i="15"/>
  <c r="FL268" i="15"/>
  <c r="FL299" i="15"/>
  <c r="FL324" i="15"/>
  <c r="FL370" i="15"/>
  <c r="FL406" i="15"/>
  <c r="FL429" i="15"/>
  <c r="FL454" i="15"/>
  <c r="FL490" i="15"/>
  <c r="FL513" i="15"/>
  <c r="FL528" i="15"/>
  <c r="FL547" i="15"/>
  <c r="FL610" i="15"/>
  <c r="FL620" i="15"/>
  <c r="FL640" i="15"/>
  <c r="FL687" i="15"/>
  <c r="FL731" i="15"/>
  <c r="FL753" i="15"/>
  <c r="FL775" i="15"/>
  <c r="FL795" i="15"/>
  <c r="F16" i="26"/>
  <c r="G16" i="26" s="1"/>
  <c r="F15" i="26"/>
  <c r="G15" i="26" s="1"/>
  <c r="G14" i="26"/>
  <c r="F13" i="26"/>
  <c r="G13" i="26" s="1"/>
  <c r="F12" i="26"/>
  <c r="G12" i="26" s="1"/>
  <c r="F11" i="26"/>
  <c r="G11" i="26" s="1"/>
  <c r="F10" i="26"/>
  <c r="G10" i="26" s="1"/>
  <c r="F9" i="26"/>
  <c r="G9" i="26" s="1"/>
  <c r="F8" i="26"/>
  <c r="G8" i="26" s="1"/>
  <c r="F7" i="26"/>
  <c r="G7" i="26" s="1"/>
  <c r="F6" i="26"/>
  <c r="G6" i="26" s="1"/>
  <c r="F5" i="26"/>
  <c r="G5" i="26" s="1"/>
  <c r="F4" i="26"/>
  <c r="G4" i="26" s="1"/>
  <c r="G17" i="26" l="1"/>
  <c r="F17" i="26" s="1"/>
  <c r="F23" i="26" s="1"/>
  <c r="F17" i="3" s="1"/>
  <c r="DD828" i="15" l="1"/>
  <c r="DD796" i="15"/>
  <c r="DD776" i="15"/>
  <c r="DD754" i="15"/>
  <c r="DD732" i="15"/>
  <c r="DD714" i="15"/>
  <c r="DD688" i="15"/>
  <c r="DD668" i="15"/>
  <c r="DD641" i="15"/>
  <c r="DD621" i="15"/>
  <c r="DD611" i="15"/>
  <c r="DD578" i="15"/>
  <c r="DD548" i="15"/>
  <c r="DD529" i="15"/>
  <c r="DD514" i="15"/>
  <c r="DD491" i="15"/>
  <c r="DD472" i="15"/>
  <c r="DD455" i="15"/>
  <c r="DD430" i="15"/>
  <c r="DD407" i="15"/>
  <c r="DD371" i="15"/>
  <c r="DD325" i="15"/>
  <c r="DD300" i="15"/>
  <c r="DD271" i="15"/>
  <c r="DD251" i="15"/>
  <c r="DD232" i="15"/>
  <c r="DD219" i="15"/>
  <c r="DD190" i="15"/>
  <c r="DD168" i="15"/>
  <c r="DD145" i="15"/>
  <c r="DD125" i="15"/>
  <c r="DD98" i="15"/>
  <c r="DD83" i="15"/>
  <c r="DD65" i="15"/>
  <c r="DD42" i="15"/>
  <c r="DD34" i="15"/>
  <c r="DD9" i="15"/>
  <c r="DD8" i="15" l="1"/>
  <c r="DD713" i="15"/>
  <c r="DD577" i="15"/>
  <c r="DD471" i="15"/>
  <c r="DD270" i="15"/>
  <c r="DD144" i="15"/>
  <c r="FW10" i="15"/>
  <c r="FW11" i="15"/>
  <c r="FW12" i="15"/>
  <c r="FW13" i="15"/>
  <c r="FW14" i="15"/>
  <c r="FW15" i="15"/>
  <c r="FW16" i="15"/>
  <c r="FW17" i="15"/>
  <c r="FW18" i="15"/>
  <c r="FW19" i="15"/>
  <c r="FW20" i="15"/>
  <c r="FW21" i="15"/>
  <c r="FW22" i="15"/>
  <c r="FW23" i="15"/>
  <c r="FW24" i="15"/>
  <c r="FW25" i="15"/>
  <c r="FW26" i="15"/>
  <c r="FW27" i="15"/>
  <c r="FW28" i="15"/>
  <c r="FW29" i="15"/>
  <c r="FW30" i="15"/>
  <c r="FW31" i="15"/>
  <c r="FW32" i="15"/>
  <c r="W277" i="1"/>
  <c r="M277" i="1"/>
  <c r="D277" i="1"/>
  <c r="W276" i="1"/>
  <c r="M276" i="1"/>
  <c r="D276" i="1"/>
  <c r="W282" i="1"/>
  <c r="M282" i="1"/>
  <c r="D282" i="1"/>
  <c r="W281" i="1"/>
  <c r="M281" i="1"/>
  <c r="D281" i="1"/>
  <c r="W280" i="1"/>
  <c r="M280" i="1"/>
  <c r="D280" i="1"/>
  <c r="W279" i="1"/>
  <c r="N279" i="1"/>
  <c r="M279" i="1"/>
  <c r="D279" i="1"/>
  <c r="W278" i="1"/>
  <c r="N278" i="1"/>
  <c r="M278" i="1"/>
  <c r="D278" i="1"/>
  <c r="W275" i="1"/>
  <c r="M275" i="1"/>
  <c r="D275" i="1"/>
  <c r="W274" i="1"/>
  <c r="N274" i="1"/>
  <c r="M274" i="1"/>
  <c r="D274" i="1"/>
  <c r="W273" i="1"/>
  <c r="M273" i="1"/>
  <c r="D273" i="1"/>
  <c r="W272" i="1"/>
  <c r="N272" i="1"/>
  <c r="M272" i="1"/>
  <c r="D272" i="1"/>
  <c r="W271" i="1"/>
  <c r="M271" i="1"/>
  <c r="D271" i="1"/>
  <c r="W270" i="1"/>
  <c r="N270" i="1"/>
  <c r="M270" i="1"/>
  <c r="D270" i="1"/>
  <c r="Q267" i="1"/>
  <c r="W269" i="1"/>
  <c r="M269" i="1"/>
  <c r="D269" i="1"/>
  <c r="W268" i="1"/>
  <c r="N268" i="1"/>
  <c r="M268" i="1"/>
  <c r="D268" i="1"/>
  <c r="W267" i="1"/>
  <c r="M267" i="1"/>
  <c r="D267" i="1"/>
  <c r="W266" i="1"/>
  <c r="N266" i="1"/>
  <c r="M266" i="1"/>
  <c r="D266" i="1"/>
  <c r="W265" i="1"/>
  <c r="N265" i="1"/>
  <c r="M265" i="1"/>
  <c r="D265" i="1"/>
  <c r="W264" i="1"/>
  <c r="M264" i="1"/>
  <c r="D264" i="1"/>
  <c r="W263" i="1"/>
  <c r="N263" i="1"/>
  <c r="M263" i="1"/>
  <c r="D263" i="1"/>
  <c r="W262" i="1"/>
  <c r="M262" i="1"/>
  <c r="D262" i="1"/>
  <c r="W261" i="1"/>
  <c r="N261" i="1"/>
  <c r="M261" i="1"/>
  <c r="D261" i="1"/>
  <c r="W260" i="1"/>
  <c r="N260" i="1"/>
  <c r="M260" i="1"/>
  <c r="D260" i="1"/>
  <c r="F13" i="3"/>
  <c r="W254" i="1"/>
  <c r="N254" i="1"/>
  <c r="M254" i="1"/>
  <c r="D254" i="1"/>
  <c r="AR828" i="15"/>
  <c r="AR796" i="15"/>
  <c r="AR776" i="15"/>
  <c r="AR754" i="15"/>
  <c r="AR732" i="15"/>
  <c r="AR714" i="15"/>
  <c r="AR688" i="15"/>
  <c r="AR668" i="15"/>
  <c r="AR641" i="15"/>
  <c r="AR621" i="15"/>
  <c r="AR611" i="15"/>
  <c r="AR578" i="15"/>
  <c r="AR548" i="15"/>
  <c r="AR529" i="15"/>
  <c r="AR514" i="15"/>
  <c r="AR491" i="15"/>
  <c r="AR472" i="15"/>
  <c r="AR455" i="15"/>
  <c r="AR430" i="15"/>
  <c r="AR407" i="15"/>
  <c r="AR371" i="15"/>
  <c r="AR325" i="15"/>
  <c r="AR300" i="15"/>
  <c r="AR271" i="15"/>
  <c r="AR251" i="15"/>
  <c r="AR232" i="15"/>
  <c r="AR219" i="15"/>
  <c r="AR190" i="15"/>
  <c r="AR168" i="15"/>
  <c r="AR145" i="15"/>
  <c r="AR125" i="15"/>
  <c r="AR98" i="15"/>
  <c r="AR83" i="15"/>
  <c r="AR65" i="15"/>
  <c r="AR42" i="15"/>
  <c r="AR34" i="15"/>
  <c r="AR9" i="15"/>
  <c r="AQ713" i="15"/>
  <c r="AR713" i="15" s="1"/>
  <c r="AQ577" i="15"/>
  <c r="AR577" i="15" s="1"/>
  <c r="AQ471" i="15"/>
  <c r="AR471" i="15" s="1"/>
  <c r="AQ270" i="15"/>
  <c r="AR270" i="15" s="1"/>
  <c r="AQ144" i="15"/>
  <c r="AR144" i="15" s="1"/>
  <c r="AQ8" i="15"/>
  <c r="W259" i="1"/>
  <c r="M259" i="1"/>
  <c r="D259" i="1"/>
  <c r="W258" i="1"/>
  <c r="N258" i="1"/>
  <c r="M258" i="1"/>
  <c r="D258" i="1"/>
  <c r="W257" i="1"/>
  <c r="N257" i="1"/>
  <c r="M257" i="1"/>
  <c r="D257" i="1"/>
  <c r="W256" i="1"/>
  <c r="M256" i="1"/>
  <c r="D256" i="1"/>
  <c r="W255" i="1"/>
  <c r="N255" i="1"/>
  <c r="M255" i="1"/>
  <c r="D255" i="1"/>
  <c r="W253" i="1"/>
  <c r="M253" i="1"/>
  <c r="D253" i="1"/>
  <c r="W252" i="1"/>
  <c r="N252" i="1"/>
  <c r="M252" i="1"/>
  <c r="D252" i="1"/>
  <c r="W251" i="1"/>
  <c r="N251" i="1"/>
  <c r="M251" i="1"/>
  <c r="D251" i="1"/>
  <c r="BC713" i="15"/>
  <c r="BB713" i="15"/>
  <c r="BC577" i="15"/>
  <c r="BB577" i="15"/>
  <c r="BC471" i="15"/>
  <c r="BB471" i="15"/>
  <c r="BC270" i="15"/>
  <c r="BB270" i="15"/>
  <c r="BC144" i="15"/>
  <c r="BB144" i="15"/>
  <c r="BD828" i="15"/>
  <c r="BE828" i="15" s="1"/>
  <c r="BD796" i="15"/>
  <c r="BE796" i="15" s="1"/>
  <c r="BD776" i="15"/>
  <c r="BE776" i="15" s="1"/>
  <c r="BD754" i="15"/>
  <c r="BE754" i="15" s="1"/>
  <c r="BD732" i="15"/>
  <c r="BE732" i="15" s="1"/>
  <c r="BD714" i="15"/>
  <c r="BE714" i="15" s="1"/>
  <c r="BD688" i="15"/>
  <c r="BE688" i="15" s="1"/>
  <c r="BD668" i="15"/>
  <c r="BE668" i="15" s="1"/>
  <c r="BD641" i="15"/>
  <c r="BE641" i="15" s="1"/>
  <c r="BD621" i="15"/>
  <c r="BE621" i="15" s="1"/>
  <c r="BD611" i="15"/>
  <c r="BE611" i="15" s="1"/>
  <c r="BD578" i="15"/>
  <c r="BE578" i="15" s="1"/>
  <c r="BD548" i="15"/>
  <c r="BE548" i="15" s="1"/>
  <c r="BD529" i="15"/>
  <c r="BE529" i="15" s="1"/>
  <c r="BD514" i="15"/>
  <c r="BE514" i="15" s="1"/>
  <c r="BD491" i="15"/>
  <c r="BE491" i="15" s="1"/>
  <c r="BD472" i="15"/>
  <c r="BE472" i="15" s="1"/>
  <c r="BD455" i="15"/>
  <c r="BE455" i="15" s="1"/>
  <c r="BD430" i="15"/>
  <c r="BE430" i="15" s="1"/>
  <c r="BD407" i="15"/>
  <c r="BE407" i="15" s="1"/>
  <c r="BD371" i="15"/>
  <c r="BE371" i="15" s="1"/>
  <c r="BD325" i="15"/>
  <c r="BE325" i="15" s="1"/>
  <c r="BD300" i="15"/>
  <c r="BE300" i="15" s="1"/>
  <c r="BD271" i="15"/>
  <c r="BE271" i="15" s="1"/>
  <c r="BD251" i="15"/>
  <c r="BE251" i="15" s="1"/>
  <c r="BD232" i="15"/>
  <c r="BE232" i="15" s="1"/>
  <c r="BD219" i="15"/>
  <c r="BE219" i="15" s="1"/>
  <c r="BD190" i="15"/>
  <c r="BE190" i="15" s="1"/>
  <c r="BD168" i="15"/>
  <c r="BE168" i="15" s="1"/>
  <c r="BD145" i="15"/>
  <c r="BE145" i="15" s="1"/>
  <c r="BD125" i="15"/>
  <c r="BE125" i="15" s="1"/>
  <c r="BD98" i="15"/>
  <c r="BE98" i="15" s="1"/>
  <c r="BD65" i="15"/>
  <c r="BE65" i="15" s="1"/>
  <c r="BD42" i="15"/>
  <c r="BE42" i="15" s="1"/>
  <c r="BD34" i="15"/>
  <c r="BE34" i="15" s="1"/>
  <c r="BD9" i="15"/>
  <c r="BE9" i="15" s="1"/>
  <c r="BB83" i="15"/>
  <c r="BB8" i="15" s="1"/>
  <c r="BC83" i="15"/>
  <c r="BC8" i="15" s="1"/>
  <c r="DD6" i="15" l="1"/>
  <c r="O149" i="1" s="1"/>
  <c r="AQ6" i="15"/>
  <c r="AR8" i="15"/>
  <c r="BB6" i="15"/>
  <c r="BC6" i="15"/>
  <c r="BD144" i="15"/>
  <c r="BE144" i="15" s="1"/>
  <c r="BD577" i="15"/>
  <c r="BE577" i="15" s="1"/>
  <c r="BD713" i="15"/>
  <c r="BE713" i="15" s="1"/>
  <c r="BD471" i="15"/>
  <c r="BE471" i="15" s="1"/>
  <c r="BD270" i="15"/>
  <c r="BE270" i="15" s="1"/>
  <c r="BD83" i="15"/>
  <c r="O225" i="1" l="1"/>
  <c r="O287" i="1"/>
  <c r="BD8" i="15"/>
  <c r="BE8" i="15" s="1"/>
  <c r="BE83" i="15"/>
  <c r="BD6" i="15" l="1"/>
  <c r="O256" i="1" s="1"/>
  <c r="C46" i="23" l="1"/>
  <c r="C37" i="23"/>
  <c r="C28" i="23"/>
  <c r="C18" i="23"/>
  <c r="C9" i="23"/>
  <c r="C8" i="23"/>
  <c r="F76" i="3"/>
  <c r="F75" i="3"/>
  <c r="F74" i="3"/>
  <c r="F73" i="3"/>
  <c r="F72" i="3"/>
  <c r="C47" i="23"/>
  <c r="C45" i="23"/>
  <c r="C44" i="23"/>
  <c r="C43" i="23"/>
  <c r="C42" i="23"/>
  <c r="C38" i="23"/>
  <c r="C36" i="23"/>
  <c r="C35" i="23"/>
  <c r="C34" i="23"/>
  <c r="C33" i="23"/>
  <c r="C29" i="23"/>
  <c r="C27" i="23"/>
  <c r="C26" i="23"/>
  <c r="C25" i="23"/>
  <c r="C24" i="23"/>
  <c r="C23" i="23"/>
  <c r="C19" i="23"/>
  <c r="C17" i="23"/>
  <c r="C16" i="23"/>
  <c r="C15" i="23"/>
  <c r="C14" i="23"/>
  <c r="C10" i="23"/>
  <c r="C7" i="23"/>
  <c r="C6" i="23"/>
  <c r="C5" i="23"/>
  <c r="C4" i="23"/>
  <c r="C3" i="23"/>
  <c r="C2" i="23" s="1"/>
  <c r="C13" i="23" l="1"/>
  <c r="B13" i="23" s="1"/>
  <c r="C22" i="23"/>
  <c r="B22" i="23" s="1"/>
  <c r="B2" i="23"/>
  <c r="C41" i="23"/>
  <c r="B41" i="23" s="1"/>
  <c r="C32" i="23"/>
  <c r="B32" i="23" s="1"/>
  <c r="J14" i="22"/>
  <c r="J17" i="22"/>
  <c r="J5" i="22"/>
  <c r="J6" i="22"/>
  <c r="J7" i="22"/>
  <c r="J4" i="22"/>
  <c r="W231" i="1"/>
  <c r="M231" i="1"/>
  <c r="D231" i="1"/>
  <c r="AT10" i="15"/>
  <c r="AT11" i="15"/>
  <c r="AT12" i="15"/>
  <c r="AT13" i="15"/>
  <c r="AT14" i="15"/>
  <c r="AT15" i="15"/>
  <c r="AT16" i="15"/>
  <c r="AT17" i="15"/>
  <c r="AT18" i="15"/>
  <c r="AT19" i="15"/>
  <c r="AT20" i="15"/>
  <c r="AT21" i="15"/>
  <c r="AT22" i="15"/>
  <c r="AT23" i="15"/>
  <c r="AT24" i="15"/>
  <c r="AT25" i="15"/>
  <c r="AT26" i="15"/>
  <c r="AT27" i="15"/>
  <c r="AT28" i="15"/>
  <c r="AT29" i="15"/>
  <c r="AT30" i="15"/>
  <c r="AT31" i="15"/>
  <c r="AT32" i="15"/>
  <c r="AT33" i="15"/>
  <c r="AT35" i="15"/>
  <c r="AT36" i="15"/>
  <c r="AT37" i="15"/>
  <c r="AT38" i="15"/>
  <c r="AT39" i="15"/>
  <c r="AT40" i="15"/>
  <c r="AT41" i="15"/>
  <c r="AT43" i="15"/>
  <c r="AT44" i="15"/>
  <c r="AT45" i="15"/>
  <c r="AT46" i="15"/>
  <c r="AT47" i="15"/>
  <c r="AT48" i="15"/>
  <c r="AT49" i="15"/>
  <c r="AT50" i="15"/>
  <c r="AT51" i="15"/>
  <c r="AT52" i="15"/>
  <c r="AT53" i="15"/>
  <c r="AT54" i="15"/>
  <c r="AT55" i="15"/>
  <c r="AT56" i="15"/>
  <c r="AT57" i="15"/>
  <c r="AT58" i="15"/>
  <c r="AT59" i="15"/>
  <c r="AT60" i="15"/>
  <c r="AT61" i="15"/>
  <c r="AT62" i="15"/>
  <c r="AT63" i="15"/>
  <c r="AT64" i="15"/>
  <c r="AT66" i="15"/>
  <c r="AT67" i="15"/>
  <c r="AT68" i="15"/>
  <c r="AT69" i="15"/>
  <c r="AT70" i="15"/>
  <c r="AT71" i="15"/>
  <c r="AT72" i="15"/>
  <c r="AT73" i="15"/>
  <c r="AT74" i="15"/>
  <c r="AT75" i="15"/>
  <c r="AT76" i="15"/>
  <c r="AT77" i="15"/>
  <c r="AT78" i="15"/>
  <c r="AT79" i="15"/>
  <c r="AT80" i="15"/>
  <c r="AT81" i="15"/>
  <c r="AT82" i="15"/>
  <c r="AT84" i="15"/>
  <c r="AT85" i="15"/>
  <c r="AT86" i="15"/>
  <c r="AT87" i="15"/>
  <c r="AT88" i="15"/>
  <c r="AT89" i="15"/>
  <c r="AT90" i="15"/>
  <c r="AT91" i="15"/>
  <c r="AT93" i="15"/>
  <c r="AT92" i="15"/>
  <c r="AT94" i="15"/>
  <c r="AT95" i="15"/>
  <c r="AT96" i="15"/>
  <c r="AT97" i="15"/>
  <c r="AT99" i="15"/>
  <c r="AT100" i="15"/>
  <c r="AT101" i="15"/>
  <c r="AT102" i="15"/>
  <c r="AT103" i="15"/>
  <c r="AT104" i="15"/>
  <c r="AT105" i="15"/>
  <c r="AT106" i="15"/>
  <c r="AT107" i="15"/>
  <c r="AT108" i="15"/>
  <c r="AT109" i="15"/>
  <c r="AT110" i="15"/>
  <c r="AT111" i="15"/>
  <c r="AT112" i="15"/>
  <c r="AT113" i="15"/>
  <c r="AT114" i="15"/>
  <c r="AT115" i="15"/>
  <c r="AT116" i="15"/>
  <c r="AT117" i="15"/>
  <c r="AT118" i="15"/>
  <c r="AT119" i="15"/>
  <c r="AT120" i="15"/>
  <c r="AT121" i="15"/>
  <c r="AT122" i="15"/>
  <c r="AT123" i="15"/>
  <c r="AT124" i="15"/>
  <c r="AT126" i="15"/>
  <c r="AT127" i="15"/>
  <c r="AT128" i="15"/>
  <c r="AT129" i="15"/>
  <c r="AT130" i="15"/>
  <c r="AT131" i="15"/>
  <c r="AT132" i="15"/>
  <c r="AT133" i="15"/>
  <c r="AT134" i="15"/>
  <c r="AT135" i="15"/>
  <c r="AT136" i="15"/>
  <c r="AT137" i="15"/>
  <c r="AT138" i="15"/>
  <c r="AT139" i="15"/>
  <c r="AT140" i="15"/>
  <c r="AT141" i="15"/>
  <c r="AT142" i="15"/>
  <c r="AT146" i="15"/>
  <c r="AT147" i="15"/>
  <c r="AT148" i="15"/>
  <c r="AT149" i="15"/>
  <c r="AT150" i="15"/>
  <c r="AT151" i="15"/>
  <c r="AT152" i="15"/>
  <c r="AT153" i="15"/>
  <c r="AT154" i="15"/>
  <c r="AT155" i="15"/>
  <c r="AT156" i="15"/>
  <c r="AT157" i="15"/>
  <c r="AT158" i="15"/>
  <c r="AT159" i="15"/>
  <c r="AT160" i="15"/>
  <c r="AT161" i="15"/>
  <c r="AT162" i="15"/>
  <c r="AT163" i="15"/>
  <c r="AT164" i="15"/>
  <c r="AT165" i="15"/>
  <c r="AT166" i="15"/>
  <c r="AT167" i="15"/>
  <c r="AT169" i="15"/>
  <c r="AT170" i="15"/>
  <c r="AT171" i="15"/>
  <c r="AT172" i="15"/>
  <c r="AT173" i="15"/>
  <c r="AT174" i="15"/>
  <c r="AT175" i="15"/>
  <c r="AT176" i="15"/>
  <c r="AT177" i="15"/>
  <c r="AT178" i="15"/>
  <c r="AT179" i="15"/>
  <c r="AT180" i="15"/>
  <c r="AT181" i="15"/>
  <c r="AT182" i="15"/>
  <c r="AT183" i="15"/>
  <c r="AT184" i="15"/>
  <c r="AT185" i="15"/>
  <c r="AT186" i="15"/>
  <c r="AT187" i="15"/>
  <c r="AT188" i="15"/>
  <c r="AT189" i="15"/>
  <c r="AT191" i="15"/>
  <c r="AT192" i="15"/>
  <c r="AT193" i="15"/>
  <c r="AT194" i="15"/>
  <c r="AT195" i="15"/>
  <c r="AT196" i="15"/>
  <c r="AT197" i="15"/>
  <c r="AT198" i="15"/>
  <c r="AT199" i="15"/>
  <c r="AT200" i="15"/>
  <c r="AT201" i="15"/>
  <c r="AT202" i="15"/>
  <c r="AT203" i="15"/>
  <c r="AT204" i="15"/>
  <c r="AT205" i="15"/>
  <c r="AT206" i="15"/>
  <c r="AT207" i="15"/>
  <c r="AT208" i="15"/>
  <c r="AT209" i="15"/>
  <c r="AT210" i="15"/>
  <c r="AT211" i="15"/>
  <c r="AT212" i="15"/>
  <c r="AT213" i="15"/>
  <c r="AT214" i="15"/>
  <c r="AT215" i="15"/>
  <c r="AT216" i="15"/>
  <c r="AT217" i="15"/>
  <c r="AT218" i="15"/>
  <c r="AT220" i="15"/>
  <c r="AT221" i="15"/>
  <c r="AT222" i="15"/>
  <c r="AT223" i="15"/>
  <c r="AT224" i="15"/>
  <c r="AT225" i="15"/>
  <c r="AT226" i="15"/>
  <c r="AT227" i="15"/>
  <c r="AT228" i="15"/>
  <c r="AT229" i="15"/>
  <c r="AT230" i="15"/>
  <c r="AT231" i="15"/>
  <c r="AT233" i="15"/>
  <c r="AT234" i="15"/>
  <c r="AT235" i="15"/>
  <c r="AT236" i="15"/>
  <c r="AT237" i="15"/>
  <c r="AT238" i="15"/>
  <c r="AT239" i="15"/>
  <c r="AT240" i="15"/>
  <c r="AT241" i="15"/>
  <c r="AT242" i="15"/>
  <c r="AT243" i="15"/>
  <c r="AT244" i="15"/>
  <c r="AT245" i="15"/>
  <c r="AT246" i="15"/>
  <c r="AT247" i="15"/>
  <c r="AT248" i="15"/>
  <c r="AT249" i="15"/>
  <c r="AT252" i="15"/>
  <c r="AT253" i="15"/>
  <c r="AT254" i="15"/>
  <c r="AT255" i="15"/>
  <c r="AT256" i="15"/>
  <c r="AT257" i="15"/>
  <c r="AT258" i="15"/>
  <c r="AT259" i="15"/>
  <c r="AT260" i="15"/>
  <c r="AT261" i="15"/>
  <c r="AT262" i="15"/>
  <c r="AT263" i="15"/>
  <c r="AT264" i="15"/>
  <c r="AT265" i="15"/>
  <c r="AT266" i="15"/>
  <c r="AT267" i="15"/>
  <c r="AT268" i="15"/>
  <c r="AT272" i="15"/>
  <c r="AT273" i="15"/>
  <c r="AT275" i="15"/>
  <c r="AT274" i="15"/>
  <c r="AT276" i="15"/>
  <c r="AT277" i="15"/>
  <c r="AT278" i="15"/>
  <c r="AT279" i="15"/>
  <c r="AT280" i="15"/>
  <c r="AT281" i="15"/>
  <c r="AT282" i="15"/>
  <c r="AT283" i="15"/>
  <c r="AT284" i="15"/>
  <c r="AT285" i="15"/>
  <c r="AT286" i="15"/>
  <c r="AT287" i="15"/>
  <c r="AT288" i="15"/>
  <c r="AT289" i="15"/>
  <c r="AT290" i="15"/>
  <c r="AT291" i="15"/>
  <c r="AT292" i="15"/>
  <c r="AT293" i="15"/>
  <c r="AT294" i="15"/>
  <c r="AT295" i="15"/>
  <c r="AT296" i="15"/>
  <c r="AT297" i="15"/>
  <c r="AT298" i="15"/>
  <c r="AT299" i="15"/>
  <c r="AT301" i="15"/>
  <c r="AT302" i="15"/>
  <c r="AT303" i="15"/>
  <c r="AT304" i="15"/>
  <c r="AT305" i="15"/>
  <c r="AT306" i="15"/>
  <c r="AT307" i="15"/>
  <c r="AT308" i="15"/>
  <c r="AT309" i="15"/>
  <c r="AT310" i="15"/>
  <c r="AT311" i="15"/>
  <c r="AT312" i="15"/>
  <c r="AT313" i="15"/>
  <c r="AT314" i="15"/>
  <c r="AT315" i="15"/>
  <c r="AT316" i="15"/>
  <c r="AT317" i="15"/>
  <c r="AT318" i="15"/>
  <c r="AT319" i="15"/>
  <c r="AT320" i="15"/>
  <c r="AT321" i="15"/>
  <c r="AT322" i="15"/>
  <c r="AT323" i="15"/>
  <c r="AT326" i="15"/>
  <c r="AT327" i="15"/>
  <c r="AT328" i="15"/>
  <c r="AT329" i="15"/>
  <c r="AT330" i="15"/>
  <c r="AT331" i="15"/>
  <c r="AT332" i="15"/>
  <c r="AT333" i="15"/>
  <c r="AT334" i="15"/>
  <c r="AT335" i="15"/>
  <c r="AT336" i="15"/>
  <c r="AT337" i="15"/>
  <c r="AT338" i="15"/>
  <c r="AT339" i="15"/>
  <c r="AT340" i="15"/>
  <c r="AT341" i="15"/>
  <c r="AT342" i="15"/>
  <c r="AT343" i="15"/>
  <c r="AT344" i="15"/>
  <c r="AT345" i="15"/>
  <c r="AT346" i="15"/>
  <c r="AT347" i="15"/>
  <c r="AT348" i="15"/>
  <c r="AT349" i="15"/>
  <c r="AT350" i="15"/>
  <c r="AT351" i="15"/>
  <c r="AT352" i="15"/>
  <c r="AT353" i="15"/>
  <c r="AT354" i="15"/>
  <c r="AT355" i="15"/>
  <c r="AT356" i="15"/>
  <c r="AT357" i="15"/>
  <c r="AT358" i="15"/>
  <c r="AT359" i="15"/>
  <c r="AT360" i="15"/>
  <c r="AT361" i="15"/>
  <c r="AT362" i="15"/>
  <c r="AT363" i="15"/>
  <c r="AT364" i="15"/>
  <c r="AT365" i="15"/>
  <c r="AT366" i="15"/>
  <c r="AT367" i="15"/>
  <c r="AT368" i="15"/>
  <c r="AT369" i="15"/>
  <c r="AT370" i="15"/>
  <c r="AT372" i="15"/>
  <c r="AT373" i="15"/>
  <c r="AT374" i="15"/>
  <c r="AT375" i="15"/>
  <c r="AT376" i="15"/>
  <c r="AT377" i="15"/>
  <c r="AT378" i="15"/>
  <c r="AT379" i="15"/>
  <c r="AT380" i="15"/>
  <c r="AT381" i="15"/>
  <c r="AT382" i="15"/>
  <c r="AT383" i="15"/>
  <c r="AT384" i="15"/>
  <c r="AT385" i="15"/>
  <c r="AT386" i="15"/>
  <c r="AT387" i="15"/>
  <c r="AT388" i="15"/>
  <c r="AT389" i="15"/>
  <c r="AT390" i="15"/>
  <c r="AT391" i="15"/>
  <c r="AT392" i="15"/>
  <c r="AT393" i="15"/>
  <c r="AT394" i="15"/>
  <c r="AT395" i="15"/>
  <c r="AT396" i="15"/>
  <c r="AT397" i="15"/>
  <c r="AT398" i="15"/>
  <c r="AT399" i="15"/>
  <c r="AT400" i="15"/>
  <c r="AT401" i="15"/>
  <c r="AT402" i="15"/>
  <c r="AT403" i="15"/>
  <c r="AT404" i="15"/>
  <c r="AT405" i="15"/>
  <c r="AT408" i="15"/>
  <c r="AT409" i="15"/>
  <c r="AT410" i="15"/>
  <c r="AT411" i="15"/>
  <c r="AT412" i="15"/>
  <c r="AT413" i="15"/>
  <c r="AT414" i="15"/>
  <c r="AT415" i="15"/>
  <c r="AT416" i="15"/>
  <c r="AT417" i="15"/>
  <c r="AT418" i="15"/>
  <c r="AT419" i="15"/>
  <c r="AT420" i="15"/>
  <c r="AT421" i="15"/>
  <c r="AT422" i="15"/>
  <c r="AT423" i="15"/>
  <c r="AT424" i="15"/>
  <c r="AT425" i="15"/>
  <c r="AT426" i="15"/>
  <c r="AT427" i="15"/>
  <c r="AT428" i="15"/>
  <c r="AT431" i="15"/>
  <c r="AT432" i="15"/>
  <c r="AT433" i="15"/>
  <c r="AT434" i="15"/>
  <c r="AT435" i="15"/>
  <c r="AT436" i="15"/>
  <c r="AT437" i="15"/>
  <c r="AT438" i="15"/>
  <c r="AT439" i="15"/>
  <c r="AT440" i="15"/>
  <c r="AT441" i="15"/>
  <c r="AT442" i="15"/>
  <c r="AT443" i="15"/>
  <c r="AT444" i="15"/>
  <c r="AT445" i="15"/>
  <c r="AT446" i="15"/>
  <c r="AT447" i="15"/>
  <c r="AT448" i="15"/>
  <c r="AT449" i="15"/>
  <c r="AT450" i="15"/>
  <c r="AT451" i="15"/>
  <c r="AT452" i="15"/>
  <c r="AT453" i="15"/>
  <c r="AT456" i="15"/>
  <c r="AT457" i="15"/>
  <c r="AT458" i="15"/>
  <c r="AT459" i="15"/>
  <c r="AT460" i="15"/>
  <c r="AT461" i="15"/>
  <c r="AT462" i="15"/>
  <c r="AT463" i="15"/>
  <c r="AT464" i="15"/>
  <c r="AT465" i="15"/>
  <c r="AT466" i="15"/>
  <c r="AT467" i="15"/>
  <c r="AT468" i="15"/>
  <c r="AT469" i="15"/>
  <c r="AT473" i="15"/>
  <c r="AT474" i="15"/>
  <c r="AT475" i="15"/>
  <c r="AT476" i="15"/>
  <c r="AT477" i="15"/>
  <c r="AT478" i="15"/>
  <c r="AT479" i="15"/>
  <c r="AT480" i="15"/>
  <c r="AT481" i="15"/>
  <c r="AT482" i="15"/>
  <c r="AT483" i="15"/>
  <c r="AT484" i="15"/>
  <c r="AT485" i="15"/>
  <c r="AT486" i="15"/>
  <c r="AT487" i="15"/>
  <c r="AT488" i="15"/>
  <c r="AT489" i="15"/>
  <c r="AT492" i="15"/>
  <c r="AT493" i="15"/>
  <c r="AT494" i="15"/>
  <c r="AT495" i="15"/>
  <c r="AT496" i="15"/>
  <c r="AT497" i="15"/>
  <c r="AT498" i="15"/>
  <c r="AT499" i="15"/>
  <c r="AT500" i="15"/>
  <c r="AT501" i="15"/>
  <c r="AT502" i="15"/>
  <c r="AT503" i="15"/>
  <c r="AT504" i="15"/>
  <c r="AT505" i="15"/>
  <c r="AT506" i="15"/>
  <c r="AT507" i="15"/>
  <c r="AT508" i="15"/>
  <c r="AT509" i="15"/>
  <c r="AT510" i="15"/>
  <c r="AT511" i="15"/>
  <c r="AT512" i="15"/>
  <c r="AT513" i="15"/>
  <c r="AT515" i="15"/>
  <c r="AT516" i="15"/>
  <c r="AT517" i="15"/>
  <c r="AT518" i="15"/>
  <c r="AT519" i="15"/>
  <c r="AT520" i="15"/>
  <c r="AT521" i="15"/>
  <c r="AT522" i="15"/>
  <c r="AT523" i="15"/>
  <c r="AT524" i="15"/>
  <c r="AT525" i="15"/>
  <c r="AT526" i="15"/>
  <c r="AT527" i="15"/>
  <c r="AT530" i="15"/>
  <c r="AT531" i="15"/>
  <c r="AT532" i="15"/>
  <c r="AT533" i="15"/>
  <c r="AT534" i="15"/>
  <c r="AT535" i="15"/>
  <c r="AT536" i="15"/>
  <c r="AT537" i="15"/>
  <c r="AT538" i="15"/>
  <c r="AT539" i="15"/>
  <c r="AT540" i="15"/>
  <c r="AT541" i="15"/>
  <c r="AT542" i="15"/>
  <c r="AT543" i="15"/>
  <c r="AT544" i="15"/>
  <c r="AT545" i="15"/>
  <c r="AT546" i="15"/>
  <c r="AT547" i="15"/>
  <c r="AT549" i="15"/>
  <c r="AT550" i="15"/>
  <c r="AT551" i="15"/>
  <c r="AT552" i="15"/>
  <c r="AT553" i="15"/>
  <c r="AT554" i="15"/>
  <c r="AT555" i="15"/>
  <c r="AT556" i="15"/>
  <c r="AT557" i="15"/>
  <c r="AT558" i="15"/>
  <c r="AT559" i="15"/>
  <c r="AT560" i="15"/>
  <c r="AT561" i="15"/>
  <c r="AT562" i="15"/>
  <c r="AT563" i="15"/>
  <c r="AT564" i="15"/>
  <c r="AT565" i="15"/>
  <c r="AT566" i="15"/>
  <c r="AT567" i="15"/>
  <c r="AT568" i="15"/>
  <c r="AT569" i="15"/>
  <c r="AT570" i="15"/>
  <c r="AT571" i="15"/>
  <c r="AT573" i="15"/>
  <c r="AT574" i="15"/>
  <c r="AT572" i="15"/>
  <c r="AT575" i="15"/>
  <c r="AT579" i="15"/>
  <c r="AT580" i="15"/>
  <c r="AT581" i="15"/>
  <c r="AT582" i="15"/>
  <c r="AT583" i="15"/>
  <c r="AT584" i="15"/>
  <c r="AT585" i="15"/>
  <c r="AT586" i="15"/>
  <c r="AT587" i="15"/>
  <c r="AT588" i="15"/>
  <c r="AT589" i="15"/>
  <c r="AT590" i="15"/>
  <c r="AT591" i="15"/>
  <c r="AT592" i="15"/>
  <c r="AT593" i="15"/>
  <c r="AT594" i="15"/>
  <c r="AT595" i="15"/>
  <c r="AT596" i="15"/>
  <c r="AT597" i="15"/>
  <c r="AT598" i="15"/>
  <c r="AT599" i="15"/>
  <c r="AT600" i="15"/>
  <c r="AT601" i="15"/>
  <c r="AT602" i="15"/>
  <c r="AT603" i="15"/>
  <c r="AT604" i="15"/>
  <c r="AT605" i="15"/>
  <c r="AT606" i="15"/>
  <c r="AT607" i="15"/>
  <c r="AT608" i="15"/>
  <c r="AT609" i="15"/>
  <c r="AT610" i="15"/>
  <c r="AT612" i="15"/>
  <c r="AT613" i="15"/>
  <c r="AT614" i="15"/>
  <c r="AT615" i="15"/>
  <c r="AT616" i="15"/>
  <c r="AT617" i="15"/>
  <c r="AT618" i="15"/>
  <c r="AT619" i="15"/>
  <c r="AT620" i="15"/>
  <c r="AT622" i="15"/>
  <c r="AT623" i="15"/>
  <c r="AT624" i="15"/>
  <c r="AT625" i="15"/>
  <c r="AT626" i="15"/>
  <c r="AT627" i="15"/>
  <c r="AT628" i="15"/>
  <c r="AT629" i="15"/>
  <c r="AT630" i="15"/>
  <c r="AT631" i="15"/>
  <c r="AT632" i="15"/>
  <c r="AT633" i="15"/>
  <c r="AT634" i="15"/>
  <c r="AT635" i="15"/>
  <c r="AT636" i="15"/>
  <c r="AT637" i="15"/>
  <c r="AT638" i="15"/>
  <c r="AT639" i="15"/>
  <c r="AT642" i="15"/>
  <c r="AT643" i="15"/>
  <c r="AT644" i="15"/>
  <c r="AT645" i="15"/>
  <c r="AT646" i="15"/>
  <c r="AT647" i="15"/>
  <c r="AT648" i="15"/>
  <c r="AT649" i="15"/>
  <c r="AT650" i="15"/>
  <c r="AT651" i="15"/>
  <c r="AT652" i="15"/>
  <c r="AT653" i="15"/>
  <c r="AT654" i="15"/>
  <c r="AT655" i="15"/>
  <c r="AT656" i="15"/>
  <c r="AT657" i="15"/>
  <c r="AT658" i="15"/>
  <c r="AT659" i="15"/>
  <c r="AT660" i="15"/>
  <c r="AT661" i="15"/>
  <c r="AT662" i="15"/>
  <c r="AT663" i="15"/>
  <c r="AT664" i="15"/>
  <c r="AT665" i="15"/>
  <c r="AT666" i="15"/>
  <c r="AT667" i="15"/>
  <c r="AT669" i="15"/>
  <c r="AT670" i="15"/>
  <c r="AT671" i="15"/>
  <c r="AT672" i="15"/>
  <c r="AT673" i="15"/>
  <c r="AT674" i="15"/>
  <c r="AT675" i="15"/>
  <c r="AT676" i="15"/>
  <c r="AT677" i="15"/>
  <c r="AT678" i="15"/>
  <c r="AT679" i="15"/>
  <c r="AT680" i="15"/>
  <c r="AT681" i="15"/>
  <c r="AT682" i="15"/>
  <c r="AT683" i="15"/>
  <c r="AT684" i="15"/>
  <c r="AT685" i="15"/>
  <c r="AT686" i="15"/>
  <c r="AT689" i="15"/>
  <c r="AT690" i="15"/>
  <c r="AT691" i="15"/>
  <c r="AT692" i="15"/>
  <c r="AT693" i="15"/>
  <c r="AT694" i="15"/>
  <c r="AT695" i="15"/>
  <c r="AT696" i="15"/>
  <c r="AT697" i="15"/>
  <c r="AT698" i="15"/>
  <c r="AT699" i="15"/>
  <c r="AT700" i="15"/>
  <c r="AT701" i="15"/>
  <c r="AT702" i="15"/>
  <c r="AT703" i="15"/>
  <c r="AT704" i="15"/>
  <c r="AT705" i="15"/>
  <c r="AT706" i="15"/>
  <c r="AT707" i="15"/>
  <c r="AT708" i="15"/>
  <c r="AT709" i="15"/>
  <c r="AT710" i="15"/>
  <c r="AT711" i="15"/>
  <c r="AT715" i="15"/>
  <c r="AT716" i="15"/>
  <c r="AT717" i="15"/>
  <c r="AT718" i="15"/>
  <c r="AT719" i="15"/>
  <c r="AT720" i="15"/>
  <c r="AT721" i="15"/>
  <c r="AT722" i="15"/>
  <c r="AT723" i="15"/>
  <c r="AT724" i="15"/>
  <c r="AT725" i="15"/>
  <c r="AT726" i="15"/>
  <c r="AT727" i="15"/>
  <c r="AT728" i="15"/>
  <c r="AT729" i="15"/>
  <c r="AT730" i="15"/>
  <c r="AT733" i="15"/>
  <c r="AT734" i="15"/>
  <c r="AT735" i="15"/>
  <c r="AT736" i="15"/>
  <c r="AT737" i="15"/>
  <c r="AT738" i="15"/>
  <c r="AT739" i="15"/>
  <c r="AT740" i="15"/>
  <c r="AT741" i="15"/>
  <c r="AT742" i="15"/>
  <c r="AT743" i="15"/>
  <c r="AT744" i="15"/>
  <c r="AT745" i="15"/>
  <c r="AT746" i="15"/>
  <c r="AT747" i="15"/>
  <c r="AT748" i="15"/>
  <c r="AT749" i="15"/>
  <c r="AT750" i="15"/>
  <c r="AT751" i="15"/>
  <c r="AT752" i="15"/>
  <c r="AT755" i="15"/>
  <c r="AT756" i="15"/>
  <c r="AT757" i="15"/>
  <c r="AT773" i="15"/>
  <c r="AT774" i="15"/>
  <c r="AT758" i="15"/>
  <c r="AT759" i="15"/>
  <c r="AT760" i="15"/>
  <c r="AT761" i="15"/>
  <c r="AT762" i="15"/>
  <c r="AT763" i="15"/>
  <c r="AT764" i="15"/>
  <c r="AT765" i="15"/>
  <c r="AT766" i="15"/>
  <c r="AT767" i="15"/>
  <c r="AT768" i="15"/>
  <c r="AT769" i="15"/>
  <c r="AT770" i="15"/>
  <c r="AT771" i="15"/>
  <c r="AT772" i="15"/>
  <c r="AT777" i="15"/>
  <c r="AT778" i="15"/>
  <c r="AT779" i="15"/>
  <c r="AT780" i="15"/>
  <c r="AT781" i="15"/>
  <c r="AT782" i="15"/>
  <c r="AT783" i="15"/>
  <c r="AT784" i="15"/>
  <c r="AT785" i="15"/>
  <c r="AT786" i="15"/>
  <c r="AT787" i="15"/>
  <c r="AT788" i="15"/>
  <c r="AT789" i="15"/>
  <c r="AT790" i="15"/>
  <c r="AT791" i="15"/>
  <c r="AT792" i="15"/>
  <c r="AT793" i="15"/>
  <c r="AT794" i="15"/>
  <c r="AT797" i="15"/>
  <c r="AT798" i="15"/>
  <c r="AT799" i="15"/>
  <c r="AT800" i="15"/>
  <c r="AT801" i="15"/>
  <c r="AT802" i="15"/>
  <c r="AT803" i="15"/>
  <c r="AT804" i="15"/>
  <c r="AT805" i="15"/>
  <c r="AT806" i="15"/>
  <c r="AT807" i="15"/>
  <c r="AT808" i="15"/>
  <c r="AT809" i="15"/>
  <c r="AT810" i="15"/>
  <c r="AT811" i="15"/>
  <c r="AT812" i="15"/>
  <c r="AT813" i="15"/>
  <c r="AT814" i="15"/>
  <c r="AT815" i="15"/>
  <c r="AT816" i="15"/>
  <c r="AT817" i="15"/>
  <c r="AT818" i="15"/>
  <c r="AT819" i="15"/>
  <c r="AT820" i="15"/>
  <c r="AT821" i="15"/>
  <c r="AT822" i="15"/>
  <c r="AT823" i="15"/>
  <c r="AT824" i="15"/>
  <c r="AT825" i="15"/>
  <c r="AT826" i="15"/>
  <c r="AT829" i="15"/>
  <c r="AT830" i="15"/>
  <c r="AT831" i="15"/>
  <c r="AT832" i="15"/>
  <c r="AT833" i="15"/>
  <c r="AT834" i="15"/>
  <c r="AT835" i="15"/>
  <c r="AT836" i="15"/>
  <c r="AT837" i="15"/>
  <c r="AT838" i="15"/>
  <c r="AT839" i="15"/>
  <c r="AT840" i="15"/>
  <c r="AT841" i="15"/>
  <c r="AT842" i="15"/>
  <c r="AT843" i="15"/>
  <c r="AT844" i="15"/>
  <c r="AT845" i="15"/>
  <c r="AT846" i="15"/>
  <c r="AT847" i="15"/>
  <c r="AT848" i="15"/>
  <c r="AT849" i="15"/>
  <c r="AT850" i="15"/>
  <c r="AT851" i="15"/>
  <c r="AT852" i="15"/>
  <c r="AT853" i="15"/>
  <c r="AT854" i="15"/>
  <c r="AT855" i="15"/>
  <c r="AT856" i="15"/>
  <c r="AT857" i="15"/>
  <c r="AT858" i="15"/>
  <c r="AT859" i="15"/>
  <c r="AT860" i="15"/>
  <c r="AT861" i="15"/>
  <c r="AS9" i="15"/>
  <c r="AT9" i="15" s="1"/>
  <c r="AS34" i="15"/>
  <c r="AT34" i="15" s="1"/>
  <c r="AS42" i="15"/>
  <c r="AT42" i="15" s="1"/>
  <c r="AS65" i="15"/>
  <c r="AT65" i="15" s="1"/>
  <c r="AS83" i="15"/>
  <c r="AT83" i="15" s="1"/>
  <c r="AS98" i="15"/>
  <c r="AT98" i="15" s="1"/>
  <c r="AS125" i="15"/>
  <c r="AT125" i="15" s="1"/>
  <c r="AS145" i="15"/>
  <c r="AT145" i="15" s="1"/>
  <c r="AS168" i="15"/>
  <c r="AT168" i="15" s="1"/>
  <c r="AS190" i="15"/>
  <c r="AT190" i="15" s="1"/>
  <c r="AS219" i="15"/>
  <c r="AT219" i="15" s="1"/>
  <c r="AS232" i="15"/>
  <c r="AT232" i="15" s="1"/>
  <c r="AS251" i="15"/>
  <c r="AT251" i="15" s="1"/>
  <c r="AS271" i="15"/>
  <c r="AS300" i="15"/>
  <c r="AT300" i="15" s="1"/>
  <c r="AS325" i="15"/>
  <c r="AT325" i="15" s="1"/>
  <c r="AS371" i="15"/>
  <c r="AT371" i="15" s="1"/>
  <c r="AS407" i="15"/>
  <c r="AT407" i="15" s="1"/>
  <c r="AS430" i="15"/>
  <c r="AT430" i="15" s="1"/>
  <c r="AS455" i="15"/>
  <c r="AT455" i="15" s="1"/>
  <c r="AS472" i="15"/>
  <c r="AT472" i="15" s="1"/>
  <c r="AS491" i="15"/>
  <c r="AT491" i="15" s="1"/>
  <c r="AS514" i="15"/>
  <c r="AT514" i="15" s="1"/>
  <c r="AS529" i="15"/>
  <c r="AT529" i="15" s="1"/>
  <c r="AS548" i="15"/>
  <c r="AT548" i="15" s="1"/>
  <c r="AS578" i="15"/>
  <c r="AT578" i="15" s="1"/>
  <c r="AS611" i="15"/>
  <c r="AT611" i="15" s="1"/>
  <c r="AS621" i="15"/>
  <c r="AS641" i="15"/>
  <c r="AT641" i="15" s="1"/>
  <c r="AS668" i="15"/>
  <c r="AT668" i="15" s="1"/>
  <c r="AS688" i="15"/>
  <c r="AT688" i="15" s="1"/>
  <c r="AS714" i="15"/>
  <c r="AT714" i="15" s="1"/>
  <c r="AS732" i="15"/>
  <c r="AT732" i="15" s="1"/>
  <c r="AS754" i="15"/>
  <c r="AT754" i="15" s="1"/>
  <c r="AS776" i="15"/>
  <c r="AT776" i="15" s="1"/>
  <c r="AS796" i="15"/>
  <c r="AT796" i="15" s="1"/>
  <c r="AS828" i="15"/>
  <c r="AT828" i="15" s="1"/>
  <c r="F42" i="3"/>
  <c r="H42" i="3" s="1"/>
  <c r="G54" i="22"/>
  <c r="J54" i="22" s="1"/>
  <c r="G53" i="22"/>
  <c r="J53" i="22" s="1"/>
  <c r="G52" i="22"/>
  <c r="J52" i="22" s="1"/>
  <c r="F52" i="22"/>
  <c r="G51" i="22"/>
  <c r="J51" i="22" s="1"/>
  <c r="F50" i="22"/>
  <c r="G50" i="22" s="1"/>
  <c r="J50" i="22" s="1"/>
  <c r="F49" i="22"/>
  <c r="G49" i="22" s="1"/>
  <c r="J49" i="22" s="1"/>
  <c r="G44" i="22"/>
  <c r="F44" i="22"/>
  <c r="G39" i="22"/>
  <c r="J39" i="22" s="1"/>
  <c r="F38" i="22"/>
  <c r="G38" i="22" s="1"/>
  <c r="J38" i="22" s="1"/>
  <c r="G37" i="22"/>
  <c r="J37" i="22" s="1"/>
  <c r="G36" i="22"/>
  <c r="J36" i="22" s="1"/>
  <c r="F35" i="22"/>
  <c r="G35" i="22" s="1"/>
  <c r="J35" i="22" s="1"/>
  <c r="G30" i="22"/>
  <c r="J30" i="22" s="1"/>
  <c r="G29" i="22"/>
  <c r="J29" i="22" s="1"/>
  <c r="G28" i="22"/>
  <c r="J28" i="22" s="1"/>
  <c r="G23" i="22"/>
  <c r="J23" i="22" s="1"/>
  <c r="G22" i="22"/>
  <c r="J22" i="22" s="1"/>
  <c r="F16" i="22"/>
  <c r="F17" i="22" s="1"/>
  <c r="G17" i="22" s="1"/>
  <c r="G15" i="22"/>
  <c r="J15" i="22" s="1"/>
  <c r="G14" i="22"/>
  <c r="G13" i="22"/>
  <c r="J13" i="22" s="1"/>
  <c r="G12" i="22"/>
  <c r="J12" i="22" s="1"/>
  <c r="G7" i="22"/>
  <c r="G6" i="22"/>
  <c r="G5" i="22"/>
  <c r="G4" i="22"/>
  <c r="W201" i="1"/>
  <c r="M201" i="1"/>
  <c r="D201" i="1"/>
  <c r="W200" i="1"/>
  <c r="N200" i="1"/>
  <c r="M200" i="1"/>
  <c r="D200" i="1"/>
  <c r="D26" i="21"/>
  <c r="D24" i="21"/>
  <c r="D23" i="21"/>
  <c r="D25" i="21" s="1"/>
  <c r="D27" i="21" s="1"/>
  <c r="D19" i="21"/>
  <c r="D17" i="21"/>
  <c r="D18" i="21" s="1"/>
  <c r="D11" i="21"/>
  <c r="D12" i="21" s="1"/>
  <c r="D7" i="21"/>
  <c r="D5" i="21"/>
  <c r="D4" i="21"/>
  <c r="D6" i="21" s="1"/>
  <c r="F27" i="21" l="1"/>
  <c r="F27" i="3" s="1"/>
  <c r="F29" i="3" s="1"/>
  <c r="D28" i="21"/>
  <c r="D13" i="21"/>
  <c r="D15" i="21" s="1"/>
  <c r="D21" i="21"/>
  <c r="J44" i="22"/>
  <c r="J45" i="22" s="1"/>
  <c r="AT271" i="15"/>
  <c r="AS270" i="15"/>
  <c r="AT270" i="15" s="1"/>
  <c r="G42" i="3"/>
  <c r="J8" i="22"/>
  <c r="J24" i="22"/>
  <c r="G16" i="22"/>
  <c r="J31" i="22"/>
  <c r="AS577" i="15"/>
  <c r="AT577" i="15" s="1"/>
  <c r="AS8" i="15"/>
  <c r="AT8" i="15" s="1"/>
  <c r="AS713" i="15"/>
  <c r="AT713" i="15" s="1"/>
  <c r="AS471" i="15"/>
  <c r="AT471" i="15" s="1"/>
  <c r="AS144" i="15"/>
  <c r="AT144" i="15" s="1"/>
  <c r="AT621" i="15"/>
  <c r="J40" i="22"/>
  <c r="J55" i="22"/>
  <c r="H21" i="3"/>
  <c r="G21" i="3"/>
  <c r="G20" i="3"/>
  <c r="H20" i="3"/>
  <c r="H29" i="3"/>
  <c r="G29" i="3"/>
  <c r="N201" i="1" s="1"/>
  <c r="F28" i="3"/>
  <c r="D8" i="21"/>
  <c r="F8" i="21" s="1"/>
  <c r="F15" i="3" l="1"/>
  <c r="F11" i="3"/>
  <c r="J16" i="22"/>
  <c r="J18" i="22" s="1"/>
  <c r="J57" i="22" s="1"/>
  <c r="J58" i="22" s="1"/>
  <c r="AS6" i="15"/>
  <c r="G27" i="3"/>
  <c r="H27" i="3"/>
  <c r="F16" i="3"/>
  <c r="CG454" i="15"/>
  <c r="CH454" i="15" s="1"/>
  <c r="CG610" i="15"/>
  <c r="CH610" i="15" s="1"/>
  <c r="CG667" i="15"/>
  <c r="CH667" i="15" s="1"/>
  <c r="O231" i="1" l="1"/>
  <c r="O158" i="1"/>
  <c r="CG620" i="15"/>
  <c r="CH620" i="15" s="1"/>
  <c r="CG231" i="15"/>
  <c r="CH231" i="15" s="1"/>
  <c r="CG189" i="15"/>
  <c r="CH189" i="15" s="1"/>
  <c r="AP189" i="15"/>
  <c r="CG547" i="15"/>
  <c r="CH547" i="15" s="1"/>
  <c r="AP547" i="15"/>
  <c r="CG513" i="15"/>
  <c r="CH513" i="15" s="1"/>
  <c r="AP513" i="15"/>
  <c r="CG370" i="15"/>
  <c r="CH370" i="15" s="1"/>
  <c r="AP370" i="15"/>
  <c r="CG299" i="15"/>
  <c r="CH299" i="15" s="1"/>
  <c r="AP299" i="15"/>
  <c r="CG218" i="15"/>
  <c r="CH218" i="15" s="1"/>
  <c r="AP218" i="15"/>
  <c r="CG167" i="15"/>
  <c r="CH167" i="15" s="1"/>
  <c r="AP167" i="15"/>
  <c r="BL612" i="15" l="1"/>
  <c r="BM612" i="15" s="1"/>
  <c r="BL613" i="15"/>
  <c r="BM613" i="15" s="1"/>
  <c r="BL614" i="15"/>
  <c r="BM614" i="15" s="1"/>
  <c r="BL615" i="15"/>
  <c r="BM615" i="15" s="1"/>
  <c r="BL616" i="15"/>
  <c r="BM616" i="15" s="1"/>
  <c r="BL617" i="15"/>
  <c r="BM617" i="15" s="1"/>
  <c r="BL618" i="15"/>
  <c r="BM618" i="15" s="1"/>
  <c r="BL619" i="15"/>
  <c r="BM619" i="15" s="1"/>
  <c r="BL620" i="15"/>
  <c r="BM620" i="15" s="1"/>
  <c r="BL622" i="15"/>
  <c r="BM622" i="15" s="1"/>
  <c r="BL623" i="15"/>
  <c r="BM623" i="15" s="1"/>
  <c r="BL624" i="15"/>
  <c r="BM624" i="15" s="1"/>
  <c r="BL625" i="15"/>
  <c r="BM625" i="15" s="1"/>
  <c r="BL626" i="15"/>
  <c r="BM626" i="15" s="1"/>
  <c r="BL627" i="15"/>
  <c r="BM627" i="15" s="1"/>
  <c r="BL628" i="15"/>
  <c r="BM628" i="15" s="1"/>
  <c r="BL629" i="15"/>
  <c r="BM629" i="15" s="1"/>
  <c r="BL630" i="15"/>
  <c r="BM630" i="15" s="1"/>
  <c r="BL631" i="15"/>
  <c r="BM631" i="15" s="1"/>
  <c r="BL632" i="15"/>
  <c r="BM632" i="15" s="1"/>
  <c r="BL633" i="15"/>
  <c r="BM633" i="15" s="1"/>
  <c r="BL634" i="15"/>
  <c r="BM634" i="15" s="1"/>
  <c r="BL635" i="15"/>
  <c r="BM635" i="15" s="1"/>
  <c r="BL636" i="15"/>
  <c r="BM636" i="15" s="1"/>
  <c r="BL637" i="15"/>
  <c r="BM637" i="15" s="1"/>
  <c r="BL638" i="15"/>
  <c r="BM638" i="15" s="1"/>
  <c r="BL639" i="15"/>
  <c r="BM639" i="15" s="1"/>
  <c r="G12" i="3"/>
  <c r="H12" i="3"/>
  <c r="W26" i="1"/>
  <c r="M26" i="1"/>
  <c r="D26" i="1"/>
  <c r="G14" i="3"/>
  <c r="AA26" i="1" s="1"/>
  <c r="AG26" i="1" s="1"/>
  <c r="H14" i="3"/>
  <c r="CP167" i="15"/>
  <c r="CP189" i="15"/>
  <c r="CP218" i="15"/>
  <c r="CP231" i="15"/>
  <c r="CP299" i="15"/>
  <c r="CP370" i="15"/>
  <c r="CP454" i="15"/>
  <c r="CP513" i="15"/>
  <c r="CP547" i="15"/>
  <c r="CP610" i="15"/>
  <c r="CP620" i="15"/>
  <c r="CP667" i="15"/>
  <c r="CN167" i="15"/>
  <c r="CN189" i="15"/>
  <c r="CN218" i="15"/>
  <c r="CN231" i="15"/>
  <c r="CN299" i="15"/>
  <c r="CN370" i="15"/>
  <c r="CN454" i="15"/>
  <c r="CN513" i="15"/>
  <c r="CN547" i="15"/>
  <c r="CN610" i="15"/>
  <c r="CN620" i="15"/>
  <c r="CN667" i="15"/>
  <c r="CL167" i="15"/>
  <c r="CL189" i="15"/>
  <c r="CL218" i="15"/>
  <c r="CL231" i="15"/>
  <c r="CL299" i="15"/>
  <c r="CL370" i="15"/>
  <c r="CL454" i="15"/>
  <c r="CL513" i="15"/>
  <c r="CL547" i="15"/>
  <c r="CL610" i="15"/>
  <c r="CL620" i="15"/>
  <c r="CL667" i="15"/>
  <c r="CJ167" i="15"/>
  <c r="CJ189" i="15"/>
  <c r="CJ218" i="15"/>
  <c r="CJ231" i="15"/>
  <c r="CJ299" i="15"/>
  <c r="CJ370" i="15"/>
  <c r="CJ454" i="15"/>
  <c r="CJ513" i="15"/>
  <c r="CJ547" i="15"/>
  <c r="CJ610" i="15"/>
  <c r="CJ620" i="15"/>
  <c r="CJ667" i="15"/>
  <c r="W173" i="1"/>
  <c r="M173" i="1"/>
  <c r="D173" i="1"/>
  <c r="AG167" i="15"/>
  <c r="AG189" i="15"/>
  <c r="AG218" i="15"/>
  <c r="AG231" i="15"/>
  <c r="AG299" i="15"/>
  <c r="AG370" i="15"/>
  <c r="AG454" i="15"/>
  <c r="AG513" i="15"/>
  <c r="AG547" i="15"/>
  <c r="AG610" i="15"/>
  <c r="AG620" i="15"/>
  <c r="AG667" i="15"/>
  <c r="W83" i="15"/>
  <c r="AF167" i="15"/>
  <c r="AF189" i="15"/>
  <c r="AF218" i="15"/>
  <c r="AF231" i="15"/>
  <c r="AF299" i="15"/>
  <c r="AF370" i="15"/>
  <c r="AF454" i="15"/>
  <c r="AF513" i="15"/>
  <c r="AF547" i="15"/>
  <c r="AF610" i="15"/>
  <c r="AF620" i="15"/>
  <c r="AF667" i="15"/>
  <c r="F26" i="3"/>
  <c r="F25" i="3"/>
  <c r="CB167" i="15"/>
  <c r="CA189" i="15"/>
  <c r="CB189" i="15"/>
  <c r="CB218" i="15"/>
  <c r="CA231" i="15"/>
  <c r="CB231" i="15"/>
  <c r="CB299" i="15"/>
  <c r="CA370" i="15"/>
  <c r="CB370" i="15"/>
  <c r="CB454" i="15"/>
  <c r="CA513" i="15"/>
  <c r="CB513" i="15"/>
  <c r="CA547" i="15"/>
  <c r="CB547" i="15"/>
  <c r="CB610" i="15"/>
  <c r="CA620" i="15"/>
  <c r="CB620" i="15"/>
  <c r="CB667" i="15"/>
  <c r="F68" i="20"/>
  <c r="D68" i="20"/>
  <c r="F67" i="20"/>
  <c r="H67" i="20" s="1"/>
  <c r="J67" i="20" s="1"/>
  <c r="K67" i="20" s="1"/>
  <c r="D67" i="20"/>
  <c r="F66" i="20"/>
  <c r="H66" i="20" s="1"/>
  <c r="J66" i="20" s="1"/>
  <c r="K66" i="20" s="1"/>
  <c r="D66" i="20"/>
  <c r="F65" i="20"/>
  <c r="D65" i="20"/>
  <c r="E62" i="20"/>
  <c r="D59" i="20"/>
  <c r="D58" i="20"/>
  <c r="D57" i="20"/>
  <c r="D52" i="20"/>
  <c r="H52" i="20" s="1"/>
  <c r="J52" i="20" s="1"/>
  <c r="H51" i="20"/>
  <c r="J51" i="20" s="1"/>
  <c r="F50" i="20"/>
  <c r="H50" i="20" s="1"/>
  <c r="J50" i="20" s="1"/>
  <c r="F49" i="20"/>
  <c r="H49" i="20" s="1"/>
  <c r="J49" i="20" s="1"/>
  <c r="F48" i="20"/>
  <c r="H48" i="20" s="1"/>
  <c r="J48" i="20" s="1"/>
  <c r="F47" i="20"/>
  <c r="H47" i="20" s="1"/>
  <c r="J47" i="20" s="1"/>
  <c r="F46" i="20"/>
  <c r="H46" i="20" s="1"/>
  <c r="F45" i="20"/>
  <c r="H45" i="20" s="1"/>
  <c r="J45" i="20" s="1"/>
  <c r="I44" i="20"/>
  <c r="D43" i="20"/>
  <c r="H43" i="20" s="1"/>
  <c r="D42" i="20"/>
  <c r="H42" i="20" s="1"/>
  <c r="D41" i="20"/>
  <c r="H41" i="20" s="1"/>
  <c r="K40" i="20"/>
  <c r="I40" i="20"/>
  <c r="F38" i="20"/>
  <c r="D38" i="20"/>
  <c r="D37" i="20"/>
  <c r="H37" i="20" s="1"/>
  <c r="J37" i="20" s="1"/>
  <c r="F36" i="20"/>
  <c r="D36" i="20"/>
  <c r="D34" i="20"/>
  <c r="D39" i="20" s="1"/>
  <c r="D33" i="20"/>
  <c r="H33" i="20" s="1"/>
  <c r="J33" i="20" s="1"/>
  <c r="H32" i="20"/>
  <c r="F32" i="20"/>
  <c r="I31" i="20"/>
  <c r="F30" i="20"/>
  <c r="D30" i="20"/>
  <c r="H30" i="20" s="1"/>
  <c r="J30" i="20" s="1"/>
  <c r="F29" i="20"/>
  <c r="D29" i="20"/>
  <c r="H29" i="20" s="1"/>
  <c r="J29" i="20" s="1"/>
  <c r="F28" i="20"/>
  <c r="D28" i="20"/>
  <c r="D27" i="20"/>
  <c r="H27" i="20" s="1"/>
  <c r="J27" i="20" s="1"/>
  <c r="F26" i="20"/>
  <c r="H26" i="20" s="1"/>
  <c r="J26" i="20" s="1"/>
  <c r="F25" i="20"/>
  <c r="D25" i="20"/>
  <c r="F24" i="20"/>
  <c r="H24" i="20" s="1"/>
  <c r="J24" i="20" s="1"/>
  <c r="D24" i="20"/>
  <c r="F23" i="20"/>
  <c r="D23" i="20"/>
  <c r="F22" i="20"/>
  <c r="D22" i="20"/>
  <c r="F21" i="20"/>
  <c r="H21" i="20" s="1"/>
  <c r="J21" i="20" s="1"/>
  <c r="D21" i="20"/>
  <c r="F20" i="20"/>
  <c r="H20" i="20" s="1"/>
  <c r="J20" i="20" s="1"/>
  <c r="H18" i="20"/>
  <c r="J18" i="20" s="1"/>
  <c r="F17" i="20"/>
  <c r="D17" i="20"/>
  <c r="F16" i="20"/>
  <c r="H16" i="20" s="1"/>
  <c r="J16" i="20" s="1"/>
  <c r="F15" i="20"/>
  <c r="H15" i="20" s="1"/>
  <c r="J15" i="20" s="1"/>
  <c r="H14" i="20"/>
  <c r="J14" i="20" s="1"/>
  <c r="F13" i="20"/>
  <c r="H13" i="20" s="1"/>
  <c r="J13" i="20" s="1"/>
  <c r="F12" i="20"/>
  <c r="F11" i="20"/>
  <c r="H11" i="20" s="1"/>
  <c r="J11" i="20" s="1"/>
  <c r="F10" i="20"/>
  <c r="H10" i="20" s="1"/>
  <c r="J10" i="20" s="1"/>
  <c r="F9" i="20"/>
  <c r="H9" i="20" s="1"/>
  <c r="J9" i="20" s="1"/>
  <c r="F8" i="20"/>
  <c r="H8" i="20" s="1"/>
  <c r="J8" i="20" s="1"/>
  <c r="D3" i="20"/>
  <c r="G3" i="20" s="1"/>
  <c r="B6" i="19"/>
  <c r="X5" i="19"/>
  <c r="W5" i="19"/>
  <c r="T5" i="19"/>
  <c r="S5" i="19"/>
  <c r="Q5" i="19"/>
  <c r="P5" i="19"/>
  <c r="O5" i="19"/>
  <c r="L5" i="19"/>
  <c r="M5" i="19" s="1"/>
  <c r="K5" i="19"/>
  <c r="H5" i="19"/>
  <c r="G5" i="19"/>
  <c r="D5" i="19"/>
  <c r="C5" i="19"/>
  <c r="Y4" i="19"/>
  <c r="X4" i="19"/>
  <c r="W4" i="19"/>
  <c r="T4" i="19"/>
  <c r="S4" i="19"/>
  <c r="P4" i="19"/>
  <c r="O4" i="19"/>
  <c r="Q4" i="19" s="1"/>
  <c r="L4" i="19"/>
  <c r="K4" i="19"/>
  <c r="I4" i="19"/>
  <c r="H4" i="19"/>
  <c r="G4" i="19"/>
  <c r="D4" i="19"/>
  <c r="E4" i="19" s="1"/>
  <c r="C4" i="19"/>
  <c r="H22" i="20" l="1"/>
  <c r="J22" i="20" s="1"/>
  <c r="H23" i="20"/>
  <c r="J23" i="20" s="1"/>
  <c r="H25" i="20"/>
  <c r="J25" i="20" s="1"/>
  <c r="H17" i="20"/>
  <c r="J17" i="20" s="1"/>
  <c r="H28" i="20"/>
  <c r="J28" i="20" s="1"/>
  <c r="M4" i="19"/>
  <c r="E5" i="19"/>
  <c r="F11" i="19"/>
  <c r="U4" i="19"/>
  <c r="H38" i="20"/>
  <c r="J38" i="20" s="1"/>
  <c r="I5" i="19"/>
  <c r="I8" i="19" s="1"/>
  <c r="G11" i="19"/>
  <c r="G12" i="19" s="1"/>
  <c r="G13" i="19" s="1"/>
  <c r="H11" i="19"/>
  <c r="H12" i="19" s="1"/>
  <c r="H13" i="19" s="1"/>
  <c r="H36" i="20"/>
  <c r="J36" i="20" s="1"/>
  <c r="U5" i="19"/>
  <c r="Y5" i="19"/>
  <c r="H68" i="20"/>
  <c r="J68" i="20" s="1"/>
  <c r="K68" i="20" s="1"/>
  <c r="H65" i="20"/>
  <c r="J65" i="20" s="1"/>
  <c r="K65" i="20" s="1"/>
  <c r="AB26" i="1"/>
  <c r="AH26" i="1" s="1"/>
  <c r="X26" i="1"/>
  <c r="AD26" i="1" s="1"/>
  <c r="Y26" i="1"/>
  <c r="AE26" i="1" s="1"/>
  <c r="N26" i="1"/>
  <c r="Z26" i="1"/>
  <c r="AF26" i="1" s="1"/>
  <c r="BL577" i="15"/>
  <c r="BM577" i="15" s="1"/>
  <c r="BL8" i="15"/>
  <c r="BM8" i="15" s="1"/>
  <c r="CA667" i="15"/>
  <c r="CC667" i="15" s="1"/>
  <c r="CD667" i="15" s="1"/>
  <c r="CC620" i="15"/>
  <c r="CD620" i="15" s="1"/>
  <c r="CA610" i="15"/>
  <c r="CC610" i="15" s="1"/>
  <c r="CD610" i="15" s="1"/>
  <c r="CC547" i="15"/>
  <c r="CD547" i="15" s="1"/>
  <c r="CC513" i="15"/>
  <c r="CD513" i="15" s="1"/>
  <c r="CA454" i="15"/>
  <c r="CC454" i="15" s="1"/>
  <c r="CD454" i="15" s="1"/>
  <c r="CC370" i="15"/>
  <c r="CD370" i="15" s="1"/>
  <c r="CA299" i="15"/>
  <c r="CC299" i="15" s="1"/>
  <c r="CD299" i="15" s="1"/>
  <c r="CC231" i="15"/>
  <c r="CD231" i="15" s="1"/>
  <c r="CA218" i="15"/>
  <c r="CC218" i="15" s="1"/>
  <c r="CD218" i="15" s="1"/>
  <c r="CC189" i="15"/>
  <c r="CD189" i="15" s="1"/>
  <c r="CA167" i="15"/>
  <c r="CC167" i="15" s="1"/>
  <c r="CD167" i="15" s="1"/>
  <c r="J41" i="20"/>
  <c r="K41" i="20"/>
  <c r="H44" i="20"/>
  <c r="G6" i="20"/>
  <c r="H6" i="20" s="1"/>
  <c r="G5" i="20"/>
  <c r="H5" i="20" s="1"/>
  <c r="G4" i="20"/>
  <c r="H4" i="20" s="1"/>
  <c r="H3" i="20"/>
  <c r="J42" i="20"/>
  <c r="K42" i="20"/>
  <c r="J31" i="20"/>
  <c r="H39" i="20"/>
  <c r="J39" i="20" s="1"/>
  <c r="D35" i="20"/>
  <c r="H35" i="20" s="1"/>
  <c r="J35" i="20" s="1"/>
  <c r="J43" i="20"/>
  <c r="K43" i="20"/>
  <c r="H53" i="20"/>
  <c r="J53" i="20" s="1"/>
  <c r="J46" i="20"/>
  <c r="H19" i="20"/>
  <c r="J19" i="20" s="1"/>
  <c r="J32" i="20"/>
  <c r="H34" i="20"/>
  <c r="J34" i="20" s="1"/>
  <c r="F12" i="19"/>
  <c r="F13" i="19" s="1"/>
  <c r="G15" i="19"/>
  <c r="G16" i="19" s="1"/>
  <c r="G14" i="19"/>
  <c r="G17" i="19"/>
  <c r="I7" i="19"/>
  <c r="H7" i="19"/>
  <c r="H14" i="19"/>
  <c r="H17" i="19"/>
  <c r="H15" i="19"/>
  <c r="E11" i="19"/>
  <c r="H16" i="19" l="1"/>
  <c r="J11" i="19"/>
  <c r="H8" i="19"/>
  <c r="H31" i="20"/>
  <c r="J69" i="20"/>
  <c r="AI26" i="1"/>
  <c r="AC26" i="1"/>
  <c r="K4" i="20"/>
  <c r="J4" i="20"/>
  <c r="J40" i="20"/>
  <c r="K5" i="20"/>
  <c r="J5" i="20"/>
  <c r="K44" i="20"/>
  <c r="K6" i="20"/>
  <c r="J6" i="20"/>
  <c r="J44" i="20"/>
  <c r="J76" i="20" s="1"/>
  <c r="J77" i="20" s="1"/>
  <c r="J78" i="20" s="1"/>
  <c r="J79" i="20" s="1"/>
  <c r="K69" i="20"/>
  <c r="K3" i="20"/>
  <c r="J3" i="20"/>
  <c r="H7" i="20"/>
  <c r="G7" i="20"/>
  <c r="H40" i="20"/>
  <c r="E12" i="19"/>
  <c r="I11" i="19"/>
  <c r="F15" i="19"/>
  <c r="F14" i="19"/>
  <c r="F17" i="19"/>
  <c r="F16" i="19" l="1"/>
  <c r="J7" i="20"/>
  <c r="J73" i="20" s="1"/>
  <c r="K7" i="20"/>
  <c r="K73" i="20" s="1"/>
  <c r="E13" i="19"/>
  <c r="I12" i="19"/>
  <c r="J74" i="20" l="1"/>
  <c r="J70" i="20"/>
  <c r="J71" i="20" s="1"/>
  <c r="E17" i="19"/>
  <c r="I13" i="19"/>
  <c r="E15" i="19"/>
  <c r="E14" i="19"/>
  <c r="E16" i="19" s="1"/>
  <c r="I17" i="19" l="1"/>
  <c r="I15" i="19"/>
  <c r="I14" i="19"/>
  <c r="I16" i="19" s="1"/>
  <c r="I20" i="19" l="1"/>
  <c r="I21" i="19" s="1"/>
  <c r="I22" i="19" s="1"/>
  <c r="H76" i="3"/>
  <c r="G76" i="3"/>
  <c r="N259" i="1" s="1"/>
  <c r="H75" i="3"/>
  <c r="G75" i="3"/>
  <c r="H74" i="3"/>
  <c r="G74" i="3"/>
  <c r="H73" i="3"/>
  <c r="G73" i="3"/>
  <c r="H72" i="3"/>
  <c r="G72" i="3"/>
  <c r="F24" i="3"/>
  <c r="AV829" i="15"/>
  <c r="AV830" i="15"/>
  <c r="AV831" i="15"/>
  <c r="AV832" i="15"/>
  <c r="AV833" i="15"/>
  <c r="AV834" i="15"/>
  <c r="AV835" i="15"/>
  <c r="AV836" i="15"/>
  <c r="AV837" i="15"/>
  <c r="AV838" i="15"/>
  <c r="AV839" i="15"/>
  <c r="AV840" i="15"/>
  <c r="AV841" i="15"/>
  <c r="AV842" i="15"/>
  <c r="AV843" i="15"/>
  <c r="AV844" i="15"/>
  <c r="AV845" i="15"/>
  <c r="AV846" i="15"/>
  <c r="AV847" i="15"/>
  <c r="AV848" i="15"/>
  <c r="AV849" i="15"/>
  <c r="AV850" i="15"/>
  <c r="AV851" i="15"/>
  <c r="AV852" i="15"/>
  <c r="AV853" i="15"/>
  <c r="AV854" i="15"/>
  <c r="AV855" i="15"/>
  <c r="AV856" i="15"/>
  <c r="AV857" i="15"/>
  <c r="AV858" i="15"/>
  <c r="AV859" i="15"/>
  <c r="AV860" i="15"/>
  <c r="AV861" i="15"/>
  <c r="W172" i="1"/>
  <c r="M172" i="1"/>
  <c r="D172" i="1"/>
  <c r="W169" i="1"/>
  <c r="M169" i="1"/>
  <c r="D169" i="1"/>
  <c r="AV10" i="15"/>
  <c r="AV11" i="15"/>
  <c r="AV12" i="15"/>
  <c r="AV13" i="15"/>
  <c r="AV14" i="15"/>
  <c r="AV15" i="15"/>
  <c r="AV16" i="15"/>
  <c r="AV17" i="15"/>
  <c r="AV18" i="15"/>
  <c r="AV19" i="15"/>
  <c r="AV20" i="15"/>
  <c r="AV21" i="15"/>
  <c r="AV22" i="15"/>
  <c r="AV23" i="15"/>
  <c r="AV24" i="15"/>
  <c r="AV25" i="15"/>
  <c r="AV26" i="15"/>
  <c r="AV27" i="15"/>
  <c r="AV28" i="15"/>
  <c r="AV29" i="15"/>
  <c r="AV30" i="15"/>
  <c r="AV31" i="15"/>
  <c r="AV32" i="15"/>
  <c r="AV35" i="15"/>
  <c r="AV36" i="15"/>
  <c r="AV37" i="15"/>
  <c r="AV38" i="15"/>
  <c r="AV39" i="15"/>
  <c r="AV40" i="15"/>
  <c r="AV43" i="15"/>
  <c r="AV44" i="15"/>
  <c r="AV45" i="15"/>
  <c r="AV46" i="15"/>
  <c r="AV47" i="15"/>
  <c r="AV48" i="15"/>
  <c r="AV49" i="15"/>
  <c r="AV50" i="15"/>
  <c r="AV51" i="15"/>
  <c r="AV52" i="15"/>
  <c r="AV53" i="15"/>
  <c r="AV54" i="15"/>
  <c r="AV55" i="15"/>
  <c r="AV56" i="15"/>
  <c r="AV57" i="15"/>
  <c r="AV58" i="15"/>
  <c r="AV59" i="15"/>
  <c r="AV60" i="15"/>
  <c r="AV61" i="15"/>
  <c r="AV62" i="15"/>
  <c r="AV63" i="15"/>
  <c r="AV66" i="15"/>
  <c r="AV67" i="15"/>
  <c r="AV68" i="15"/>
  <c r="AV69" i="15"/>
  <c r="AV70" i="15"/>
  <c r="AV71" i="15"/>
  <c r="AV72" i="15"/>
  <c r="AV73" i="15"/>
  <c r="AV74" i="15"/>
  <c r="AV75" i="15"/>
  <c r="AV76" i="15"/>
  <c r="AV77" i="15"/>
  <c r="AV78" i="15"/>
  <c r="AV79" i="15"/>
  <c r="AV80" i="15"/>
  <c r="AV81" i="15"/>
  <c r="AV84" i="15"/>
  <c r="AV85" i="15"/>
  <c r="AV86" i="15"/>
  <c r="AV87" i="15"/>
  <c r="AV88" i="15"/>
  <c r="AV89" i="15"/>
  <c r="AV90" i="15"/>
  <c r="AV91" i="15"/>
  <c r="AV93" i="15"/>
  <c r="AV92" i="15"/>
  <c r="AV94" i="15"/>
  <c r="AV95" i="15"/>
  <c r="AV96" i="15"/>
  <c r="AV99" i="15"/>
  <c r="AV100" i="15"/>
  <c r="AV101" i="15"/>
  <c r="AV102" i="15"/>
  <c r="AV103" i="15"/>
  <c r="AV104" i="15"/>
  <c r="AV105" i="15"/>
  <c r="AV106" i="15"/>
  <c r="AV107" i="15"/>
  <c r="AV108" i="15"/>
  <c r="AV109" i="15"/>
  <c r="AV110" i="15"/>
  <c r="AV111" i="15"/>
  <c r="AV112" i="15"/>
  <c r="AV113" i="15"/>
  <c r="AV114" i="15"/>
  <c r="AV115" i="15"/>
  <c r="AV116" i="15"/>
  <c r="AV117" i="15"/>
  <c r="AV118" i="15"/>
  <c r="AV119" i="15"/>
  <c r="AV120" i="15"/>
  <c r="AV121" i="15"/>
  <c r="AV122" i="15"/>
  <c r="AV123" i="15"/>
  <c r="AV126" i="15"/>
  <c r="AV127" i="15"/>
  <c r="AV128" i="15"/>
  <c r="AV129" i="15"/>
  <c r="AV130" i="15"/>
  <c r="AV131" i="15"/>
  <c r="AV132" i="15"/>
  <c r="AV133" i="15"/>
  <c r="AV134" i="15"/>
  <c r="AV135" i="15"/>
  <c r="AV136" i="15"/>
  <c r="AV137" i="15"/>
  <c r="AV138" i="15"/>
  <c r="AV139" i="15"/>
  <c r="AV140" i="15"/>
  <c r="AV141" i="15"/>
  <c r="AV142" i="15"/>
  <c r="AV146" i="15"/>
  <c r="AV147" i="15"/>
  <c r="AV148" i="15"/>
  <c r="AV149" i="15"/>
  <c r="AV150" i="15"/>
  <c r="AV151" i="15"/>
  <c r="AV152" i="15"/>
  <c r="AV153" i="15"/>
  <c r="AV154" i="15"/>
  <c r="AV155" i="15"/>
  <c r="AV156" i="15"/>
  <c r="AV157" i="15"/>
  <c r="AV158" i="15"/>
  <c r="AV159" i="15"/>
  <c r="AV160" i="15"/>
  <c r="AV161" i="15"/>
  <c r="AV162" i="15"/>
  <c r="AV163" i="15"/>
  <c r="AV164" i="15"/>
  <c r="AV165" i="15"/>
  <c r="AV166" i="15"/>
  <c r="AV167" i="15"/>
  <c r="AV169" i="15"/>
  <c r="AV170" i="15"/>
  <c r="AV171" i="15"/>
  <c r="AV172" i="15"/>
  <c r="AV173" i="15"/>
  <c r="AV174" i="15"/>
  <c r="AV175" i="15"/>
  <c r="AV176" i="15"/>
  <c r="AV177" i="15"/>
  <c r="AV178" i="15"/>
  <c r="AV179" i="15"/>
  <c r="AV180" i="15"/>
  <c r="AV181" i="15"/>
  <c r="AV182" i="15"/>
  <c r="AV183" i="15"/>
  <c r="AV184" i="15"/>
  <c r="AV185" i="15"/>
  <c r="AV186" i="15"/>
  <c r="AV187" i="15"/>
  <c r="AV188" i="15"/>
  <c r="AV189" i="15"/>
  <c r="AV191" i="15"/>
  <c r="AV192" i="15"/>
  <c r="AV193" i="15"/>
  <c r="AV194" i="15"/>
  <c r="AV195" i="15"/>
  <c r="AV196" i="15"/>
  <c r="AV197" i="15"/>
  <c r="AV198" i="15"/>
  <c r="AV199" i="15"/>
  <c r="AV200" i="15"/>
  <c r="AV201" i="15"/>
  <c r="AV202" i="15"/>
  <c r="AV203" i="15"/>
  <c r="AV204" i="15"/>
  <c r="AV205" i="15"/>
  <c r="AV206" i="15"/>
  <c r="AV207" i="15"/>
  <c r="AV208" i="15"/>
  <c r="AV209" i="15"/>
  <c r="AV210" i="15"/>
  <c r="AV211" i="15"/>
  <c r="AV212" i="15"/>
  <c r="AV213" i="15"/>
  <c r="AV214" i="15"/>
  <c r="AV215" i="15"/>
  <c r="AV216" i="15"/>
  <c r="AV217" i="15"/>
  <c r="AV218" i="15"/>
  <c r="AV220" i="15"/>
  <c r="AV221" i="15"/>
  <c r="AV222" i="15"/>
  <c r="AV223" i="15"/>
  <c r="AV224" i="15"/>
  <c r="AV225" i="15"/>
  <c r="AV226" i="15"/>
  <c r="AV227" i="15"/>
  <c r="AV228" i="15"/>
  <c r="AV229" i="15"/>
  <c r="AV230" i="15"/>
  <c r="AV231" i="15"/>
  <c r="AV233" i="15"/>
  <c r="AV234" i="15"/>
  <c r="AV235" i="15"/>
  <c r="AV236" i="15"/>
  <c r="AV237" i="15"/>
  <c r="AV238" i="15"/>
  <c r="AV239" i="15"/>
  <c r="AV240" i="15"/>
  <c r="AV241" i="15"/>
  <c r="AV242" i="15"/>
  <c r="AV243" i="15"/>
  <c r="AV244" i="15"/>
  <c r="AV245" i="15"/>
  <c r="AV246" i="15"/>
  <c r="AV247" i="15"/>
  <c r="AV248" i="15"/>
  <c r="AV249" i="15"/>
  <c r="AV252" i="15"/>
  <c r="AV253" i="15"/>
  <c r="AV254" i="15"/>
  <c r="AV255" i="15"/>
  <c r="AV256" i="15"/>
  <c r="AV257" i="15"/>
  <c r="AV258" i="15"/>
  <c r="AV259" i="15"/>
  <c r="AV260" i="15"/>
  <c r="AV261" i="15"/>
  <c r="AV262" i="15"/>
  <c r="AV263" i="15"/>
  <c r="AV264" i="15"/>
  <c r="AV265" i="15"/>
  <c r="AV266" i="15"/>
  <c r="AV267" i="15"/>
  <c r="AV268" i="15"/>
  <c r="AV272" i="15"/>
  <c r="AV273" i="15"/>
  <c r="AV275" i="15"/>
  <c r="AV274" i="15"/>
  <c r="AV276" i="15"/>
  <c r="AV277" i="15"/>
  <c r="AV278" i="15"/>
  <c r="AV279" i="15"/>
  <c r="AV280" i="15"/>
  <c r="AV281" i="15"/>
  <c r="AV282" i="15"/>
  <c r="AV283" i="15"/>
  <c r="AV284" i="15"/>
  <c r="AV285" i="15"/>
  <c r="AV286" i="15"/>
  <c r="AV287" i="15"/>
  <c r="AV288" i="15"/>
  <c r="AV289" i="15"/>
  <c r="AV290" i="15"/>
  <c r="AV291" i="15"/>
  <c r="AV292" i="15"/>
  <c r="AV293" i="15"/>
  <c r="AV294" i="15"/>
  <c r="AV295" i="15"/>
  <c r="AV296" i="15"/>
  <c r="AV297" i="15"/>
  <c r="AV298" i="15"/>
  <c r="AV299" i="15"/>
  <c r="AV301" i="15"/>
  <c r="AV302" i="15"/>
  <c r="AV303" i="15"/>
  <c r="AV304" i="15"/>
  <c r="AV305" i="15"/>
  <c r="AV306" i="15"/>
  <c r="AV307" i="15"/>
  <c r="AV308" i="15"/>
  <c r="AV309" i="15"/>
  <c r="AV310" i="15"/>
  <c r="AV311" i="15"/>
  <c r="AV312" i="15"/>
  <c r="AV313" i="15"/>
  <c r="AV314" i="15"/>
  <c r="AV315" i="15"/>
  <c r="AV316" i="15"/>
  <c r="AV317" i="15"/>
  <c r="AV318" i="15"/>
  <c r="AV319" i="15"/>
  <c r="AV320" i="15"/>
  <c r="AV321" i="15"/>
  <c r="AV322" i="15"/>
  <c r="AV323" i="15"/>
  <c r="AV326" i="15"/>
  <c r="AV327" i="15"/>
  <c r="AV328" i="15"/>
  <c r="AV329" i="15"/>
  <c r="AV330" i="15"/>
  <c r="AV331" i="15"/>
  <c r="AV332" i="15"/>
  <c r="AV333" i="15"/>
  <c r="AV334" i="15"/>
  <c r="AV335" i="15"/>
  <c r="AV336" i="15"/>
  <c r="AV337" i="15"/>
  <c r="AV338" i="15"/>
  <c r="AV339" i="15"/>
  <c r="AV340" i="15"/>
  <c r="AV341" i="15"/>
  <c r="AV342" i="15"/>
  <c r="AV343" i="15"/>
  <c r="AV344" i="15"/>
  <c r="AV345" i="15"/>
  <c r="AV346" i="15"/>
  <c r="AV347" i="15"/>
  <c r="AV348" i="15"/>
  <c r="AV349" i="15"/>
  <c r="AV350" i="15"/>
  <c r="AV351" i="15"/>
  <c r="AV352" i="15"/>
  <c r="AV353" i="15"/>
  <c r="AV354" i="15"/>
  <c r="AV355" i="15"/>
  <c r="AV356" i="15"/>
  <c r="AV357" i="15"/>
  <c r="AV358" i="15"/>
  <c r="AV359" i="15"/>
  <c r="AV360" i="15"/>
  <c r="AV361" i="15"/>
  <c r="AV362" i="15"/>
  <c r="AV363" i="15"/>
  <c r="AV364" i="15"/>
  <c r="AV365" i="15"/>
  <c r="AV366" i="15"/>
  <c r="AV367" i="15"/>
  <c r="AV368" i="15"/>
  <c r="AV369" i="15"/>
  <c r="AV370" i="15"/>
  <c r="AV372" i="15"/>
  <c r="AV373" i="15"/>
  <c r="AV374" i="15"/>
  <c r="AV375" i="15"/>
  <c r="AV376" i="15"/>
  <c r="AV377" i="15"/>
  <c r="AV378" i="15"/>
  <c r="AV379" i="15"/>
  <c r="AV380" i="15"/>
  <c r="AV381" i="15"/>
  <c r="AV382" i="15"/>
  <c r="AV383" i="15"/>
  <c r="AV384" i="15"/>
  <c r="AV385" i="15"/>
  <c r="AV386" i="15"/>
  <c r="AV387" i="15"/>
  <c r="AV388" i="15"/>
  <c r="AV389" i="15"/>
  <c r="AV390" i="15"/>
  <c r="AV391" i="15"/>
  <c r="AV392" i="15"/>
  <c r="AV393" i="15"/>
  <c r="AV394" i="15"/>
  <c r="AV395" i="15"/>
  <c r="AV396" i="15"/>
  <c r="AV397" i="15"/>
  <c r="AV398" i="15"/>
  <c r="AV399" i="15"/>
  <c r="AV400" i="15"/>
  <c r="AV401" i="15"/>
  <c r="AV402" i="15"/>
  <c r="AV403" i="15"/>
  <c r="AV404" i="15"/>
  <c r="AV405" i="15"/>
  <c r="AV408" i="15"/>
  <c r="AV409" i="15"/>
  <c r="AV410" i="15"/>
  <c r="AV411" i="15"/>
  <c r="AV412" i="15"/>
  <c r="AV413" i="15"/>
  <c r="AV414" i="15"/>
  <c r="AV415" i="15"/>
  <c r="AV416" i="15"/>
  <c r="AV417" i="15"/>
  <c r="AV418" i="15"/>
  <c r="AV419" i="15"/>
  <c r="AV420" i="15"/>
  <c r="AV421" i="15"/>
  <c r="AV422" i="15"/>
  <c r="AV423" i="15"/>
  <c r="AV424" i="15"/>
  <c r="AV425" i="15"/>
  <c r="AV426" i="15"/>
  <c r="AV427" i="15"/>
  <c r="AV428" i="15"/>
  <c r="AV431" i="15"/>
  <c r="AV432" i="15"/>
  <c r="AV433" i="15"/>
  <c r="AV434" i="15"/>
  <c r="AV435" i="15"/>
  <c r="AV436" i="15"/>
  <c r="AV437" i="15"/>
  <c r="AV438" i="15"/>
  <c r="AV439" i="15"/>
  <c r="AV440" i="15"/>
  <c r="AV441" i="15"/>
  <c r="AV442" i="15"/>
  <c r="AV443" i="15"/>
  <c r="AV444" i="15"/>
  <c r="AV445" i="15"/>
  <c r="AV446" i="15"/>
  <c r="AV447" i="15"/>
  <c r="AV448" i="15"/>
  <c r="AV449" i="15"/>
  <c r="AV450" i="15"/>
  <c r="AV451" i="15"/>
  <c r="AV452" i="15"/>
  <c r="AV453" i="15"/>
  <c r="AV473" i="15"/>
  <c r="AV474" i="15"/>
  <c r="AV475" i="15"/>
  <c r="AV476" i="15"/>
  <c r="AV477" i="15"/>
  <c r="AV478" i="15"/>
  <c r="AV479" i="15"/>
  <c r="AV480" i="15"/>
  <c r="AV481" i="15"/>
  <c r="AV482" i="15"/>
  <c r="AV483" i="15"/>
  <c r="AV484" i="15"/>
  <c r="AV485" i="15"/>
  <c r="AV486" i="15"/>
  <c r="AV487" i="15"/>
  <c r="AV488" i="15"/>
  <c r="AV489" i="15"/>
  <c r="AV492" i="15"/>
  <c r="AV493" i="15"/>
  <c r="AV494" i="15"/>
  <c r="AV495" i="15"/>
  <c r="AV496" i="15"/>
  <c r="AV497" i="15"/>
  <c r="AV498" i="15"/>
  <c r="AV499" i="15"/>
  <c r="AV500" i="15"/>
  <c r="AV501" i="15"/>
  <c r="AV502" i="15"/>
  <c r="AV503" i="15"/>
  <c r="AV504" i="15"/>
  <c r="AV505" i="15"/>
  <c r="AV506" i="15"/>
  <c r="AV507" i="15"/>
  <c r="AV508" i="15"/>
  <c r="AV509" i="15"/>
  <c r="AV510" i="15"/>
  <c r="AV511" i="15"/>
  <c r="AV512" i="15"/>
  <c r="AV513" i="15"/>
  <c r="AV515" i="15"/>
  <c r="AV516" i="15"/>
  <c r="AV517" i="15"/>
  <c r="AV518" i="15"/>
  <c r="AV519" i="15"/>
  <c r="AV520" i="15"/>
  <c r="AV521" i="15"/>
  <c r="AV522" i="15"/>
  <c r="AV523" i="15"/>
  <c r="AV524" i="15"/>
  <c r="AV525" i="15"/>
  <c r="AV526" i="15"/>
  <c r="AV527" i="15"/>
  <c r="AV530" i="15"/>
  <c r="AV531" i="15"/>
  <c r="AV532" i="15"/>
  <c r="AV533" i="15"/>
  <c r="AV534" i="15"/>
  <c r="AV535" i="15"/>
  <c r="AV536" i="15"/>
  <c r="AV537" i="15"/>
  <c r="AV538" i="15"/>
  <c r="AV539" i="15"/>
  <c r="AV540" i="15"/>
  <c r="AV541" i="15"/>
  <c r="AV542" i="15"/>
  <c r="AV543" i="15"/>
  <c r="AV544" i="15"/>
  <c r="AV545" i="15"/>
  <c r="AV546" i="15"/>
  <c r="AV547" i="15"/>
  <c r="AV579" i="15"/>
  <c r="AV580" i="15"/>
  <c r="AV581" i="15"/>
  <c r="AV582" i="15"/>
  <c r="AV583" i="15"/>
  <c r="AV584" i="15"/>
  <c r="AV585" i="15"/>
  <c r="AV586" i="15"/>
  <c r="AV587" i="15"/>
  <c r="AV588" i="15"/>
  <c r="AV589" i="15"/>
  <c r="AV590" i="15"/>
  <c r="AV591" i="15"/>
  <c r="AV592" i="15"/>
  <c r="AV593" i="15"/>
  <c r="AV594" i="15"/>
  <c r="AV595" i="15"/>
  <c r="AV596" i="15"/>
  <c r="AV597" i="15"/>
  <c r="AV598" i="15"/>
  <c r="AV599" i="15"/>
  <c r="AV600" i="15"/>
  <c r="AV601" i="15"/>
  <c r="AV602" i="15"/>
  <c r="AV603" i="15"/>
  <c r="AV604" i="15"/>
  <c r="AV605" i="15"/>
  <c r="AV606" i="15"/>
  <c r="AV607" i="15"/>
  <c r="AV608" i="15"/>
  <c r="AV609" i="15"/>
  <c r="AV610" i="15"/>
  <c r="AV612" i="15"/>
  <c r="AV613" i="15"/>
  <c r="AV614" i="15"/>
  <c r="AV615" i="15"/>
  <c r="AV616" i="15"/>
  <c r="AV617" i="15"/>
  <c r="AV618" i="15"/>
  <c r="AV619" i="15"/>
  <c r="AV620" i="15"/>
  <c r="AV622" i="15"/>
  <c r="AV623" i="15"/>
  <c r="AV624" i="15"/>
  <c r="AV625" i="15"/>
  <c r="AV626" i="15"/>
  <c r="AV627" i="15"/>
  <c r="AV628" i="15"/>
  <c r="AV629" i="15"/>
  <c r="AV630" i="15"/>
  <c r="AV631" i="15"/>
  <c r="AV632" i="15"/>
  <c r="AV633" i="15"/>
  <c r="AV634" i="15"/>
  <c r="AV635" i="15"/>
  <c r="AV636" i="15"/>
  <c r="AV637" i="15"/>
  <c r="AV638" i="15"/>
  <c r="AV639" i="15"/>
  <c r="AV642" i="15"/>
  <c r="AV643" i="15"/>
  <c r="AV644" i="15"/>
  <c r="AV645" i="15"/>
  <c r="AV646" i="15"/>
  <c r="AV647" i="15"/>
  <c r="AV648" i="15"/>
  <c r="AV649" i="15"/>
  <c r="AV650" i="15"/>
  <c r="AV651" i="15"/>
  <c r="AV652" i="15"/>
  <c r="AV653" i="15"/>
  <c r="AV654" i="15"/>
  <c r="AV655" i="15"/>
  <c r="AV656" i="15"/>
  <c r="AV657" i="15"/>
  <c r="AV658" i="15"/>
  <c r="AV659" i="15"/>
  <c r="AV660" i="15"/>
  <c r="AV661" i="15"/>
  <c r="AV662" i="15"/>
  <c r="AV663" i="15"/>
  <c r="AV664" i="15"/>
  <c r="AV665" i="15"/>
  <c r="AV666" i="15"/>
  <c r="AV667" i="15"/>
  <c r="AV669" i="15"/>
  <c r="AV670" i="15"/>
  <c r="AV671" i="15"/>
  <c r="AV672" i="15"/>
  <c r="AV673" i="15"/>
  <c r="AV674" i="15"/>
  <c r="AV675" i="15"/>
  <c r="AV676" i="15"/>
  <c r="AV677" i="15"/>
  <c r="AV678" i="15"/>
  <c r="AV679" i="15"/>
  <c r="AV680" i="15"/>
  <c r="AV681" i="15"/>
  <c r="AV682" i="15"/>
  <c r="AV683" i="15"/>
  <c r="AV684" i="15"/>
  <c r="AV685" i="15"/>
  <c r="AV686" i="15"/>
  <c r="AV689" i="15"/>
  <c r="AV690" i="15"/>
  <c r="AV691" i="15"/>
  <c r="AV692" i="15"/>
  <c r="AV693" i="15"/>
  <c r="AV694" i="15"/>
  <c r="AV695" i="15"/>
  <c r="AV696" i="15"/>
  <c r="AV697" i="15"/>
  <c r="AV698" i="15"/>
  <c r="AV699" i="15"/>
  <c r="AV700" i="15"/>
  <c r="AV701" i="15"/>
  <c r="AV702" i="15"/>
  <c r="AV703" i="15"/>
  <c r="AV704" i="15"/>
  <c r="AV705" i="15"/>
  <c r="AV706" i="15"/>
  <c r="AV707" i="15"/>
  <c r="AV708" i="15"/>
  <c r="AV709" i="15"/>
  <c r="AV710" i="15"/>
  <c r="AV711" i="15"/>
  <c r="AV715" i="15"/>
  <c r="AV716" i="15"/>
  <c r="AV717" i="15"/>
  <c r="AV718" i="15"/>
  <c r="AV719" i="15"/>
  <c r="AV720" i="15"/>
  <c r="AV721" i="15"/>
  <c r="AV722" i="15"/>
  <c r="AV723" i="15"/>
  <c r="AV724" i="15"/>
  <c r="AV725" i="15"/>
  <c r="AV726" i="15"/>
  <c r="AV727" i="15"/>
  <c r="AV728" i="15"/>
  <c r="AV729" i="15"/>
  <c r="AV730" i="15"/>
  <c r="AV733" i="15"/>
  <c r="AV734" i="15"/>
  <c r="AV735" i="15"/>
  <c r="AV736" i="15"/>
  <c r="AV737" i="15"/>
  <c r="AV738" i="15"/>
  <c r="AV739" i="15"/>
  <c r="AV740" i="15"/>
  <c r="AV741" i="15"/>
  <c r="AV742" i="15"/>
  <c r="AV743" i="15"/>
  <c r="AV744" i="15"/>
  <c r="AV745" i="15"/>
  <c r="AV746" i="15"/>
  <c r="AV747" i="15"/>
  <c r="AV748" i="15"/>
  <c r="AV749" i="15"/>
  <c r="AV750" i="15"/>
  <c r="AV751" i="15"/>
  <c r="AV752" i="15"/>
  <c r="AV755" i="15"/>
  <c r="AV756" i="15"/>
  <c r="AV757" i="15"/>
  <c r="AV773" i="15"/>
  <c r="AV774" i="15"/>
  <c r="AV758" i="15"/>
  <c r="AV759" i="15"/>
  <c r="AV760" i="15"/>
  <c r="AV761" i="15"/>
  <c r="AV762" i="15"/>
  <c r="AV763" i="15"/>
  <c r="AV764" i="15"/>
  <c r="AV765" i="15"/>
  <c r="AV766" i="15"/>
  <c r="AV767" i="15"/>
  <c r="AV768" i="15"/>
  <c r="AV769" i="15"/>
  <c r="AV770" i="15"/>
  <c r="AV771" i="15"/>
  <c r="AV772" i="15"/>
  <c r="AV777" i="15"/>
  <c r="AV778" i="15"/>
  <c r="AV779" i="15"/>
  <c r="AV780" i="15"/>
  <c r="AV781" i="15"/>
  <c r="AV782" i="15"/>
  <c r="AV783" i="15"/>
  <c r="AV784" i="15"/>
  <c r="AV785" i="15"/>
  <c r="AV786" i="15"/>
  <c r="AV787" i="15"/>
  <c r="AV788" i="15"/>
  <c r="AV789" i="15"/>
  <c r="AV790" i="15"/>
  <c r="AV791" i="15"/>
  <c r="AV792" i="15"/>
  <c r="AV793" i="15"/>
  <c r="AV794" i="15"/>
  <c r="AV797" i="15"/>
  <c r="AV798" i="15"/>
  <c r="AV799" i="15"/>
  <c r="AV800" i="15"/>
  <c r="AV801" i="15"/>
  <c r="AV802" i="15"/>
  <c r="AV803" i="15"/>
  <c r="AV804" i="15"/>
  <c r="AV805" i="15"/>
  <c r="AV806" i="15"/>
  <c r="AV807" i="15"/>
  <c r="AV808" i="15"/>
  <c r="AV809" i="15"/>
  <c r="AV810" i="15"/>
  <c r="AV811" i="15"/>
  <c r="AV812" i="15"/>
  <c r="AV813" i="15"/>
  <c r="AV814" i="15"/>
  <c r="AV815" i="15"/>
  <c r="AV816" i="15"/>
  <c r="AV817" i="15"/>
  <c r="AV818" i="15"/>
  <c r="AV819" i="15"/>
  <c r="AV820" i="15"/>
  <c r="AV821" i="15"/>
  <c r="AV822" i="15"/>
  <c r="AV823" i="15"/>
  <c r="AV824" i="15"/>
  <c r="AV825" i="15"/>
  <c r="AV826" i="15"/>
  <c r="W171" i="1"/>
  <c r="M171" i="1"/>
  <c r="D171" i="1"/>
  <c r="W170" i="1"/>
  <c r="N170" i="1"/>
  <c r="M170" i="1"/>
  <c r="D170" i="1"/>
  <c r="W168" i="1"/>
  <c r="M168" i="1"/>
  <c r="D168" i="1"/>
  <c r="W167" i="1"/>
  <c r="N167" i="1"/>
  <c r="M167" i="1"/>
  <c r="D167" i="1"/>
  <c r="W166" i="1"/>
  <c r="N166" i="1"/>
  <c r="M166" i="1"/>
  <c r="D166" i="1"/>
  <c r="W165" i="1"/>
  <c r="N165" i="1"/>
  <c r="M165" i="1"/>
  <c r="D165" i="1"/>
  <c r="W164" i="1"/>
  <c r="M164" i="1"/>
  <c r="D164" i="1"/>
  <c r="W163" i="1"/>
  <c r="N163" i="1"/>
  <c r="M163" i="1"/>
  <c r="D163" i="1"/>
  <c r="W162" i="1"/>
  <c r="M162" i="1"/>
  <c r="D162" i="1"/>
  <c r="W161" i="1"/>
  <c r="N161" i="1"/>
  <c r="M161" i="1"/>
  <c r="D161" i="1"/>
  <c r="W160" i="1"/>
  <c r="N160" i="1"/>
  <c r="M160" i="1"/>
  <c r="D160" i="1"/>
  <c r="W159" i="1"/>
  <c r="N159" i="1"/>
  <c r="M159" i="1"/>
  <c r="D159" i="1"/>
  <c r="W155" i="1"/>
  <c r="M155" i="1"/>
  <c r="D155" i="1"/>
  <c r="W154" i="1"/>
  <c r="N154" i="1"/>
  <c r="M154" i="1"/>
  <c r="D154" i="1"/>
  <c r="W153" i="1"/>
  <c r="N153" i="1"/>
  <c r="M153" i="1"/>
  <c r="D153" i="1"/>
  <c r="W152" i="1"/>
  <c r="N152" i="1"/>
  <c r="M152" i="1"/>
  <c r="D152" i="1"/>
  <c r="AA269" i="1" l="1"/>
  <c r="AG269" i="1" s="1"/>
  <c r="Y269" i="1"/>
  <c r="AE269" i="1" s="1"/>
  <c r="X269" i="1"/>
  <c r="Z269" i="1"/>
  <c r="AF269" i="1" s="1"/>
  <c r="N269" i="1"/>
  <c r="AB269" i="1"/>
  <c r="AH269" i="1" s="1"/>
  <c r="AB264" i="1"/>
  <c r="AH264" i="1" s="1"/>
  <c r="X264" i="1"/>
  <c r="Y262" i="1"/>
  <c r="AE262" i="1" s="1"/>
  <c r="N264" i="1"/>
  <c r="N262" i="1"/>
  <c r="AA264" i="1"/>
  <c r="AG264" i="1" s="1"/>
  <c r="AB262" i="1"/>
  <c r="AH262" i="1" s="1"/>
  <c r="X262" i="1"/>
  <c r="Z264" i="1"/>
  <c r="AF264" i="1" s="1"/>
  <c r="AA262" i="1"/>
  <c r="AG262" i="1" s="1"/>
  <c r="Y264" i="1"/>
  <c r="AE264" i="1" s="1"/>
  <c r="Z262" i="1"/>
  <c r="AF262" i="1" s="1"/>
  <c r="Y273" i="1"/>
  <c r="AE273" i="1" s="1"/>
  <c r="AB273" i="1"/>
  <c r="AH273" i="1" s="1"/>
  <c r="X273" i="1"/>
  <c r="Z253" i="1"/>
  <c r="AF253" i="1" s="1"/>
  <c r="N253" i="1"/>
  <c r="Z273" i="1"/>
  <c r="AF273" i="1" s="1"/>
  <c r="Y271" i="1"/>
  <c r="AE271" i="1" s="1"/>
  <c r="X253" i="1"/>
  <c r="N271" i="1"/>
  <c r="AA253" i="1"/>
  <c r="AG253" i="1" s="1"/>
  <c r="AA273" i="1"/>
  <c r="AG273" i="1" s="1"/>
  <c r="N267" i="1"/>
  <c r="Y253" i="1"/>
  <c r="AE253" i="1" s="1"/>
  <c r="N273" i="1"/>
  <c r="AB253" i="1"/>
  <c r="AH253" i="1" s="1"/>
  <c r="N256" i="1"/>
  <c r="Y267" i="1"/>
  <c r="AE267" i="1" s="1"/>
  <c r="AB267" i="1"/>
  <c r="AH267" i="1" s="1"/>
  <c r="AA267" i="1"/>
  <c r="AG267" i="1" s="1"/>
  <c r="Z271" i="1"/>
  <c r="AF271" i="1" s="1"/>
  <c r="AA271" i="1"/>
  <c r="AG271" i="1" s="1"/>
  <c r="Z267" i="1"/>
  <c r="AF267" i="1" s="1"/>
  <c r="X267" i="1"/>
  <c r="X271" i="1"/>
  <c r="AB271" i="1"/>
  <c r="AH271" i="1" s="1"/>
  <c r="AB256" i="1"/>
  <c r="AH256" i="1" s="1"/>
  <c r="AA256" i="1"/>
  <c r="AG256" i="1" s="1"/>
  <c r="Y256" i="1"/>
  <c r="AE256" i="1" s="1"/>
  <c r="X256" i="1"/>
  <c r="Z256" i="1"/>
  <c r="AF256" i="1" s="1"/>
  <c r="F34" i="3"/>
  <c r="F35" i="3" s="1"/>
  <c r="F32" i="3"/>
  <c r="F33" i="3" s="1"/>
  <c r="F30" i="3"/>
  <c r="F31" i="3" s="1"/>
  <c r="F36" i="3"/>
  <c r="F37" i="3" s="1"/>
  <c r="D56" i="17"/>
  <c r="D53" i="17"/>
  <c r="D55" i="17" s="1"/>
  <c r="C49" i="17"/>
  <c r="D47" i="17"/>
  <c r="D46" i="17"/>
  <c r="D45" i="17"/>
  <c r="D44" i="17"/>
  <c r="D48" i="17" s="1"/>
  <c r="D49" i="17" s="1"/>
  <c r="D39" i="17"/>
  <c r="D37" i="17"/>
  <c r="D36" i="17"/>
  <c r="D38" i="17" s="1"/>
  <c r="D28" i="17"/>
  <c r="D30" i="17" s="1"/>
  <c r="D26" i="17"/>
  <c r="D24" i="17"/>
  <c r="D23" i="17"/>
  <c r="F15" i="17"/>
  <c r="F14" i="17"/>
  <c r="F13" i="17"/>
  <c r="F12" i="17"/>
  <c r="F11" i="17"/>
  <c r="F10" i="17"/>
  <c r="F9" i="17"/>
  <c r="F8" i="17"/>
  <c r="F7" i="17"/>
  <c r="F6" i="17"/>
  <c r="F5" i="17"/>
  <c r="F4" i="17"/>
  <c r="D4" i="17"/>
  <c r="F3" i="17"/>
  <c r="F16" i="17" s="1"/>
  <c r="D27" i="17" l="1"/>
  <c r="F27" i="17" s="1"/>
  <c r="D25" i="17"/>
  <c r="D40" i="17"/>
  <c r="D41" i="17" s="1"/>
  <c r="AD264" i="1"/>
  <c r="AI264" i="1" s="1"/>
  <c r="AC264" i="1"/>
  <c r="AD256" i="1"/>
  <c r="AI256" i="1" s="1"/>
  <c r="AC256" i="1"/>
  <c r="AD269" i="1"/>
  <c r="AI269" i="1" s="1"/>
  <c r="AC269" i="1"/>
  <c r="AC271" i="1"/>
  <c r="AD271" i="1"/>
  <c r="AI271" i="1" s="1"/>
  <c r="AD253" i="1"/>
  <c r="AI253" i="1" s="1"/>
  <c r="AC253" i="1"/>
  <c r="AD262" i="1"/>
  <c r="AI262" i="1" s="1"/>
  <c r="AC262" i="1"/>
  <c r="AD267" i="1"/>
  <c r="AI267" i="1" s="1"/>
  <c r="AC267" i="1"/>
  <c r="AD273" i="1"/>
  <c r="AI273" i="1" s="1"/>
  <c r="AC273" i="1"/>
  <c r="F20" i="17"/>
  <c r="F17" i="17"/>
  <c r="F19" i="17" s="1"/>
  <c r="D32" i="17"/>
  <c r="F18" i="17"/>
  <c r="D29" i="17"/>
  <c r="D31" i="17" s="1"/>
  <c r="D57" i="17"/>
  <c r="D54" i="17"/>
  <c r="D58" i="17" s="1"/>
  <c r="F58" i="17" s="1"/>
  <c r="F21" i="17" l="1"/>
  <c r="H21" i="17" s="1"/>
  <c r="D33" i="17"/>
  <c r="D50" i="17" s="1"/>
  <c r="F50" i="17" s="1"/>
  <c r="H11" i="3"/>
  <c r="H13" i="3"/>
  <c r="H15" i="3"/>
  <c r="H16" i="3"/>
  <c r="H17" i="3"/>
  <c r="H18" i="3"/>
  <c r="H19" i="3"/>
  <c r="H22" i="3"/>
  <c r="H23" i="3"/>
  <c r="H24" i="3"/>
  <c r="H25" i="3"/>
  <c r="H26" i="3"/>
  <c r="H28" i="3"/>
  <c r="H30" i="3"/>
  <c r="H31" i="3"/>
  <c r="H32" i="3"/>
  <c r="H33" i="3"/>
  <c r="H34" i="3"/>
  <c r="H35" i="3"/>
  <c r="H36" i="3"/>
  <c r="H37" i="3"/>
  <c r="H38" i="3"/>
  <c r="H39"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7" i="3"/>
  <c r="H78" i="3"/>
  <c r="H79" i="3"/>
  <c r="H80" i="3"/>
  <c r="H81" i="3"/>
  <c r="H82" i="3"/>
  <c r="H83" i="3"/>
  <c r="H84" i="3"/>
  <c r="H85" i="3"/>
  <c r="H86"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G61" i="18"/>
  <c r="F61" i="18"/>
  <c r="E61" i="18"/>
  <c r="F56" i="18"/>
  <c r="E56" i="18"/>
  <c r="G55" i="18"/>
  <c r="G54" i="18"/>
  <c r="G53" i="18"/>
  <c r="G56" i="18" s="1"/>
  <c r="F51" i="18"/>
  <c r="G50" i="18"/>
  <c r="E49" i="18"/>
  <c r="G49" i="18" s="1"/>
  <c r="B49" i="18"/>
  <c r="E48" i="18"/>
  <c r="G48" i="18" s="1"/>
  <c r="B48" i="18"/>
  <c r="E47" i="18"/>
  <c r="B47" i="18"/>
  <c r="B45" i="18"/>
  <c r="A45" i="18"/>
  <c r="F43" i="18"/>
  <c r="E42" i="18"/>
  <c r="G42" i="18" s="1"/>
  <c r="B42" i="18"/>
  <c r="G41" i="18"/>
  <c r="E41" i="18"/>
  <c r="B41" i="18"/>
  <c r="E40" i="18"/>
  <c r="G40" i="18" s="1"/>
  <c r="B40" i="18"/>
  <c r="E39" i="18"/>
  <c r="G39" i="18" s="1"/>
  <c r="B39" i="18"/>
  <c r="E38" i="18"/>
  <c r="G38" i="18" s="1"/>
  <c r="B38" i="18"/>
  <c r="E37" i="18"/>
  <c r="G37" i="18" s="1"/>
  <c r="B37" i="18"/>
  <c r="E36" i="18"/>
  <c r="G36" i="18" s="1"/>
  <c r="B36" i="18"/>
  <c r="G35" i="18"/>
  <c r="E35" i="18"/>
  <c r="B35" i="18"/>
  <c r="B34" i="18"/>
  <c r="A34" i="18"/>
  <c r="F32" i="18"/>
  <c r="E31" i="18"/>
  <c r="G31" i="18" s="1"/>
  <c r="B31" i="18"/>
  <c r="E30" i="18"/>
  <c r="G30" i="18" s="1"/>
  <c r="B30" i="18"/>
  <c r="E29" i="18"/>
  <c r="G29" i="18" s="1"/>
  <c r="B29" i="18"/>
  <c r="G28" i="18"/>
  <c r="E28" i="18"/>
  <c r="B28" i="18"/>
  <c r="B27" i="18"/>
  <c r="A27" i="18"/>
  <c r="F25" i="18"/>
  <c r="E24" i="18"/>
  <c r="G24" i="18" s="1"/>
  <c r="B24" i="18"/>
  <c r="E23" i="18"/>
  <c r="G23" i="18" s="1"/>
  <c r="B23" i="18"/>
  <c r="E22" i="18"/>
  <c r="G22" i="18" s="1"/>
  <c r="B22" i="18"/>
  <c r="E21" i="18"/>
  <c r="G21" i="18" s="1"/>
  <c r="B21" i="18"/>
  <c r="E20" i="18"/>
  <c r="G20" i="18" s="1"/>
  <c r="B20" i="18"/>
  <c r="G19" i="18"/>
  <c r="E19" i="18"/>
  <c r="B19" i="18"/>
  <c r="B18" i="18"/>
  <c r="A18" i="18"/>
  <c r="E16" i="18"/>
  <c r="F15" i="18"/>
  <c r="G15" i="18" s="1"/>
  <c r="F14" i="18"/>
  <c r="G14" i="18" s="1"/>
  <c r="B14" i="18"/>
  <c r="F13" i="18"/>
  <c r="G13" i="18" s="1"/>
  <c r="B13" i="18"/>
  <c r="F12" i="18"/>
  <c r="G12" i="18" s="1"/>
  <c r="B12" i="18"/>
  <c r="B11" i="18"/>
  <c r="A11" i="18"/>
  <c r="F9" i="18"/>
  <c r="E9" i="18"/>
  <c r="G8" i="18"/>
  <c r="G7" i="18"/>
  <c r="G6" i="18"/>
  <c r="G5" i="18"/>
  <c r="G4" i="18"/>
  <c r="B3" i="18"/>
  <c r="A3" i="18"/>
  <c r="G9" i="18" l="1"/>
  <c r="E43" i="18"/>
  <c r="E25" i="18"/>
  <c r="E51" i="18"/>
  <c r="G25" i="18"/>
  <c r="G47" i="18"/>
  <c r="G32" i="18"/>
  <c r="G51" i="18"/>
  <c r="G43" i="18"/>
  <c r="G16" i="18"/>
  <c r="E32" i="18"/>
  <c r="E59" i="18" s="1"/>
  <c r="E60" i="18" s="1"/>
  <c r="F16" i="18"/>
  <c r="F59" i="18" s="1"/>
  <c r="F60" i="18" s="1"/>
  <c r="G59" i="18" l="1"/>
  <c r="G62" i="18" l="1"/>
  <c r="G60" i="18"/>
  <c r="G63" i="18" s="1"/>
  <c r="G64" i="18" s="1"/>
  <c r="I25" i="18"/>
  <c r="I56" i="18"/>
  <c r="I32" i="18"/>
  <c r="I51" i="18"/>
  <c r="I9" i="18"/>
  <c r="I16" i="18"/>
  <c r="I43" i="18"/>
  <c r="I59" i="18" l="1"/>
  <c r="CF547" i="15" l="1"/>
  <c r="CF610" i="15"/>
  <c r="CF611" i="15"/>
  <c r="CF620" i="15"/>
  <c r="CF667" i="15"/>
  <c r="CF668" i="15"/>
  <c r="CF9" i="15"/>
  <c r="CF34" i="15"/>
  <c r="CF42" i="15"/>
  <c r="CF65" i="15"/>
  <c r="CF83" i="15"/>
  <c r="CF98" i="15"/>
  <c r="CF125" i="15"/>
  <c r="CF145" i="15"/>
  <c r="CF167" i="15"/>
  <c r="CF168" i="15"/>
  <c r="CF189" i="15"/>
  <c r="CF190" i="15"/>
  <c r="CF218" i="15"/>
  <c r="CF219" i="15"/>
  <c r="CF231" i="15"/>
  <c r="CF299" i="15"/>
  <c r="CF370" i="15"/>
  <c r="CF454" i="15"/>
  <c r="CF513" i="15"/>
  <c r="CE8" i="15"/>
  <c r="CF8" i="15" s="1"/>
  <c r="DT299" i="15" l="1"/>
  <c r="G19" i="3"/>
  <c r="G15" i="3"/>
  <c r="N99" i="1" s="1"/>
  <c r="G17" i="3"/>
  <c r="G18" i="3"/>
  <c r="AC8" i="15"/>
  <c r="AC6" i="15" s="1"/>
  <c r="N158" i="1" l="1"/>
  <c r="Z158" i="1"/>
  <c r="AF158" i="1" s="1"/>
  <c r="Y158" i="1"/>
  <c r="AE158" i="1" s="1"/>
  <c r="X158" i="1"/>
  <c r="AA158" i="1"/>
  <c r="AG158" i="1" s="1"/>
  <c r="AB158" i="1"/>
  <c r="AH158" i="1" s="1"/>
  <c r="N164" i="1"/>
  <c r="N162" i="1"/>
  <c r="AB155" i="1"/>
  <c r="AH155" i="1" s="1"/>
  <c r="X155" i="1"/>
  <c r="AA155" i="1"/>
  <c r="AG155" i="1" s="1"/>
  <c r="Z155" i="1"/>
  <c r="AF155" i="1" s="1"/>
  <c r="N155" i="1"/>
  <c r="Y155" i="1"/>
  <c r="AE155" i="1" s="1"/>
  <c r="BO713" i="15"/>
  <c r="BO577" i="15"/>
  <c r="BO270" i="15"/>
  <c r="BO144" i="15"/>
  <c r="BO8" i="15"/>
  <c r="X8" i="15"/>
  <c r="AU455" i="15"/>
  <c r="AV455" i="15" s="1"/>
  <c r="AU251" i="15"/>
  <c r="AV251" i="15" s="1"/>
  <c r="AU232" i="15"/>
  <c r="AV232" i="15" s="1"/>
  <c r="AU430" i="15"/>
  <c r="AV430" i="15" s="1"/>
  <c r="AU688" i="15"/>
  <c r="AV688" i="15" s="1"/>
  <c r="AU828" i="15"/>
  <c r="AV828" i="15" s="1"/>
  <c r="AU125" i="15"/>
  <c r="AV125" i="15" s="1"/>
  <c r="AU98" i="15"/>
  <c r="AV98" i="15" s="1"/>
  <c r="AU83" i="15"/>
  <c r="AV83" i="15" s="1"/>
  <c r="AU65" i="15"/>
  <c r="AV65" i="15" s="1"/>
  <c r="AU42" i="15"/>
  <c r="AV42" i="15" s="1"/>
  <c r="AU34" i="15"/>
  <c r="AV34" i="15" s="1"/>
  <c r="AZ9" i="15"/>
  <c r="AU9" i="15"/>
  <c r="AV9" i="15" s="1"/>
  <c r="W9" i="15"/>
  <c r="AU796" i="15"/>
  <c r="AV796" i="15" s="1"/>
  <c r="U35" i="15"/>
  <c r="Y35" i="15"/>
  <c r="AA35" i="15" s="1"/>
  <c r="AB35" i="15" s="1"/>
  <c r="U43" i="15"/>
  <c r="Y43" i="15"/>
  <c r="AA43" i="15" s="1"/>
  <c r="AB43" i="15" s="1"/>
  <c r="C34" i="15"/>
  <c r="U66" i="15"/>
  <c r="Y66" i="15"/>
  <c r="AA66" i="15" s="1"/>
  <c r="AB66" i="15" s="1"/>
  <c r="AD158" i="1" l="1"/>
  <c r="AI158" i="1" s="1"/>
  <c r="AC158" i="1"/>
  <c r="BF9" i="15"/>
  <c r="BG9" i="15" s="1"/>
  <c r="BA9" i="15"/>
  <c r="AO35" i="15"/>
  <c r="AP35" i="15" s="1"/>
  <c r="AO43" i="15"/>
  <c r="CG43" i="15" s="1"/>
  <c r="CH43" i="15" s="1"/>
  <c r="AO66" i="15"/>
  <c r="CG66" i="15" s="1"/>
  <c r="CH66" i="15" s="1"/>
  <c r="BF732" i="15"/>
  <c r="BG732" i="15" s="1"/>
  <c r="BF371" i="15"/>
  <c r="BG371" i="15" s="1"/>
  <c r="BF251" i="15"/>
  <c r="BG251" i="15" s="1"/>
  <c r="BF168" i="15"/>
  <c r="BG168" i="15" s="1"/>
  <c r="BF83" i="15"/>
  <c r="BG83" i="15" s="1"/>
  <c r="BF796" i="15"/>
  <c r="BG796" i="15" s="1"/>
  <c r="BF714" i="15"/>
  <c r="BG714" i="15" s="1"/>
  <c r="BF621" i="15"/>
  <c r="BG621" i="15" s="1"/>
  <c r="BF529" i="15"/>
  <c r="BG529" i="15" s="1"/>
  <c r="BF455" i="15"/>
  <c r="BG455" i="15" s="1"/>
  <c r="BF325" i="15"/>
  <c r="BG325" i="15" s="1"/>
  <c r="BF232" i="15"/>
  <c r="BG232" i="15" s="1"/>
  <c r="BF145" i="15"/>
  <c r="BG145" i="15" s="1"/>
  <c r="BF65" i="15"/>
  <c r="BG65" i="15" s="1"/>
  <c r="BF641" i="15"/>
  <c r="BG641" i="15" s="1"/>
  <c r="BF472" i="15"/>
  <c r="BG472" i="15" s="1"/>
  <c r="BF776" i="15"/>
  <c r="BG776" i="15" s="1"/>
  <c r="BF688" i="15"/>
  <c r="BG688" i="15" s="1"/>
  <c r="BF611" i="15"/>
  <c r="BG611" i="15" s="1"/>
  <c r="BF514" i="15"/>
  <c r="BG514" i="15" s="1"/>
  <c r="BF430" i="15"/>
  <c r="BG430" i="15" s="1"/>
  <c r="BF300" i="15"/>
  <c r="BG300" i="15" s="1"/>
  <c r="BF219" i="15"/>
  <c r="BG219" i="15" s="1"/>
  <c r="BF125" i="15"/>
  <c r="BG125" i="15" s="1"/>
  <c r="BF42" i="15"/>
  <c r="BG42" i="15" s="1"/>
  <c r="BF828" i="15"/>
  <c r="BG828" i="15" s="1"/>
  <c r="BF548" i="15"/>
  <c r="BG548" i="15" s="1"/>
  <c r="BF754" i="15"/>
  <c r="BG754" i="15" s="1"/>
  <c r="BF668" i="15"/>
  <c r="BG668" i="15" s="1"/>
  <c r="BF578" i="15"/>
  <c r="BG578" i="15" s="1"/>
  <c r="BF491" i="15"/>
  <c r="BG491" i="15" s="1"/>
  <c r="BF407" i="15"/>
  <c r="BG407" i="15" s="1"/>
  <c r="BF271" i="15"/>
  <c r="BG271" i="15" s="1"/>
  <c r="BF190" i="15"/>
  <c r="BG190" i="15" s="1"/>
  <c r="BF98" i="15"/>
  <c r="BG98" i="15" s="1"/>
  <c r="BF34" i="15"/>
  <c r="BG34" i="15" s="1"/>
  <c r="AC155" i="1"/>
  <c r="AD155" i="1"/>
  <c r="AI155" i="1" s="1"/>
  <c r="AK43" i="15"/>
  <c r="AL43" i="15"/>
  <c r="CB43" i="15" s="1"/>
  <c r="AK66" i="15"/>
  <c r="AL66" i="15"/>
  <c r="CB66" i="15" s="1"/>
  <c r="AH35" i="15"/>
  <c r="CE35" i="15" s="1"/>
  <c r="CF35" i="15" s="1"/>
  <c r="AK35" i="15"/>
  <c r="AL35" i="15"/>
  <c r="CB35" i="15" s="1"/>
  <c r="AD66" i="15"/>
  <c r="AH66" i="15"/>
  <c r="AD43" i="15"/>
  <c r="AH43" i="15"/>
  <c r="AZ8" i="15"/>
  <c r="BA8" i="15" s="1"/>
  <c r="AU8" i="15"/>
  <c r="AV8" i="15" s="1"/>
  <c r="AD35" i="15"/>
  <c r="BW66" i="15" l="1"/>
  <c r="BX66" i="15" s="1"/>
  <c r="BU66" i="15"/>
  <c r="BV66" i="15" s="1"/>
  <c r="BU35" i="15"/>
  <c r="BV35" i="15" s="1"/>
  <c r="BW35" i="15"/>
  <c r="BX35" i="15" s="1"/>
  <c r="BW43" i="15"/>
  <c r="BX43" i="15" s="1"/>
  <c r="BU43" i="15"/>
  <c r="BV43" i="15" s="1"/>
  <c r="CG35" i="15"/>
  <c r="CH35" i="15" s="1"/>
  <c r="AP43" i="15"/>
  <c r="AP66" i="15"/>
  <c r="BF8" i="15"/>
  <c r="BG8" i="15" s="1"/>
  <c r="BF144" i="15"/>
  <c r="BG144" i="15" s="1"/>
  <c r="BF577" i="15"/>
  <c r="BG577" i="15" s="1"/>
  <c r="BF270" i="15"/>
  <c r="BG270" i="15" s="1"/>
  <c r="BF471" i="15"/>
  <c r="BG471" i="15" s="1"/>
  <c r="BF713" i="15"/>
  <c r="BG713" i="15" s="1"/>
  <c r="CM66" i="15"/>
  <c r="CN66" i="15" s="1"/>
  <c r="CK66" i="15"/>
  <c r="CL66" i="15" s="1"/>
  <c r="CI66" i="15"/>
  <c r="CJ66" i="15" s="1"/>
  <c r="CO66" i="15"/>
  <c r="CP66" i="15" s="1"/>
  <c r="CM35" i="15"/>
  <c r="CN35" i="15" s="1"/>
  <c r="CK35" i="15"/>
  <c r="CL35" i="15" s="1"/>
  <c r="CI35" i="15"/>
  <c r="CJ35" i="15" s="1"/>
  <c r="CO35" i="15"/>
  <c r="CP35" i="15" s="1"/>
  <c r="AE43" i="15"/>
  <c r="AF43" i="15" s="1"/>
  <c r="CM43" i="15"/>
  <c r="CN43" i="15" s="1"/>
  <c r="CK43" i="15"/>
  <c r="CL43" i="15" s="1"/>
  <c r="CI43" i="15"/>
  <c r="CJ43" i="15" s="1"/>
  <c r="CO43" i="15"/>
  <c r="CP43" i="15" s="1"/>
  <c r="AI35" i="15"/>
  <c r="AJ35" i="15"/>
  <c r="BO35" i="15" s="1"/>
  <c r="BP35" i="15" s="1"/>
  <c r="BQ35" i="15" s="1"/>
  <c r="CA66" i="15"/>
  <c r="CC66" i="15" s="1"/>
  <c r="CD66" i="15" s="1"/>
  <c r="AM66" i="15"/>
  <c r="AN66" i="15" s="1"/>
  <c r="CA35" i="15"/>
  <c r="CC35" i="15" s="1"/>
  <c r="CD35" i="15" s="1"/>
  <c r="AM35" i="15"/>
  <c r="AN35" i="15" s="1"/>
  <c r="CA43" i="15"/>
  <c r="CC43" i="15" s="1"/>
  <c r="CD43" i="15" s="1"/>
  <c r="AM43" i="15"/>
  <c r="AN43" i="15" s="1"/>
  <c r="AE66" i="15"/>
  <c r="AG66" i="15" s="1"/>
  <c r="AJ66" i="15"/>
  <c r="CE66" i="15"/>
  <c r="CF66" i="15" s="1"/>
  <c r="AI66" i="15"/>
  <c r="CE43" i="15"/>
  <c r="CF43" i="15" s="1"/>
  <c r="AI43" i="15"/>
  <c r="AJ43" i="15"/>
  <c r="AZ6" i="15"/>
  <c r="AE35" i="15"/>
  <c r="BF6" i="15" l="1"/>
  <c r="O230" i="1" s="1"/>
  <c r="O171" i="1"/>
  <c r="O259" i="1"/>
  <c r="AG43" i="15"/>
  <c r="AF35" i="15"/>
  <c r="AG35" i="15"/>
  <c r="AF66" i="15"/>
  <c r="BO43" i="15"/>
  <c r="BP43" i="15" s="1"/>
  <c r="BQ43" i="15" s="1"/>
  <c r="BO66" i="15"/>
  <c r="BP66" i="15" s="1"/>
  <c r="BQ66" i="15" s="1"/>
  <c r="BY43" i="15"/>
  <c r="BY66" i="15"/>
  <c r="BY35" i="15"/>
  <c r="AA259" i="1" l="1"/>
  <c r="AG259" i="1" s="1"/>
  <c r="Y259" i="1"/>
  <c r="AE259" i="1" s="1"/>
  <c r="Z259" i="1"/>
  <c r="AF259" i="1" s="1"/>
  <c r="X259" i="1"/>
  <c r="AB259" i="1"/>
  <c r="AH259" i="1" s="1"/>
  <c r="AU776" i="15"/>
  <c r="AV776" i="15" s="1"/>
  <c r="AU754" i="15"/>
  <c r="AV754" i="15" s="1"/>
  <c r="AU732" i="15"/>
  <c r="AV732" i="15" s="1"/>
  <c r="AU407" i="15"/>
  <c r="AV407" i="15" s="1"/>
  <c r="AU371" i="15"/>
  <c r="AV371" i="15" s="1"/>
  <c r="Y380" i="15"/>
  <c r="AA380" i="15" s="1"/>
  <c r="AB380" i="15" s="1"/>
  <c r="BJ380" i="15" s="1"/>
  <c r="U380" i="15"/>
  <c r="AU325" i="15"/>
  <c r="AV325" i="15" s="1"/>
  <c r="AU271" i="15"/>
  <c r="AV271" i="15" s="1"/>
  <c r="AU548" i="15"/>
  <c r="AV548" i="15" s="1"/>
  <c r="G13" i="3"/>
  <c r="BL380" i="15" l="1"/>
  <c r="BM380" i="15" s="1"/>
  <c r="BK380" i="15"/>
  <c r="AO380" i="15"/>
  <c r="AP380" i="15" s="1"/>
  <c r="AC259" i="1"/>
  <c r="AD259" i="1"/>
  <c r="AI259" i="1" s="1"/>
  <c r="AH380" i="15"/>
  <c r="CE380" i="15" s="1"/>
  <c r="CF380" i="15" s="1"/>
  <c r="AL380" i="15"/>
  <c r="CB380" i="15" s="1"/>
  <c r="AK380" i="15"/>
  <c r="AD380" i="15"/>
  <c r="BW380" i="15" l="1"/>
  <c r="BX380" i="15" s="1"/>
  <c r="BU380" i="15"/>
  <c r="BV380" i="15" s="1"/>
  <c r="CG380" i="15"/>
  <c r="CH380" i="15" s="1"/>
  <c r="CK380" i="15"/>
  <c r="CL380" i="15" s="1"/>
  <c r="CO380" i="15"/>
  <c r="CP380" i="15" s="1"/>
  <c r="CI380" i="15"/>
  <c r="CJ380" i="15" s="1"/>
  <c r="CM380" i="15"/>
  <c r="CN380" i="15" s="1"/>
  <c r="AJ380" i="15"/>
  <c r="BO380" i="15" s="1"/>
  <c r="BP380" i="15" s="1"/>
  <c r="BQ380" i="15" s="1"/>
  <c r="AI380" i="15"/>
  <c r="CA380" i="15"/>
  <c r="CC380" i="15" s="1"/>
  <c r="CD380" i="15" s="1"/>
  <c r="AM380" i="15"/>
  <c r="AN380" i="15" s="1"/>
  <c r="AE380" i="15"/>
  <c r="AG380" i="15" s="1"/>
  <c r="AF380" i="15" l="1"/>
  <c r="BY380" i="15"/>
  <c r="AU219" i="15" l="1"/>
  <c r="AV219" i="15" s="1"/>
  <c r="AU529" i="15"/>
  <c r="AV529" i="15" s="1"/>
  <c r="AU714" i="15"/>
  <c r="AU668" i="15"/>
  <c r="AV668" i="15" s="1"/>
  <c r="AU514" i="15"/>
  <c r="AV514" i="15" s="1"/>
  <c r="AU641" i="15"/>
  <c r="AV641" i="15" s="1"/>
  <c r="Y629" i="15"/>
  <c r="AA629" i="15" s="1"/>
  <c r="AB629" i="15" s="1"/>
  <c r="U629" i="15"/>
  <c r="AU621" i="15"/>
  <c r="AV621" i="15" s="1"/>
  <c r="AU190" i="15"/>
  <c r="AV190" i="15" s="1"/>
  <c r="AU611" i="15"/>
  <c r="AV611" i="15" s="1"/>
  <c r="AU168" i="15"/>
  <c r="AV168" i="15" s="1"/>
  <c r="AU491" i="15"/>
  <c r="AV491" i="15" s="1"/>
  <c r="AU578" i="15"/>
  <c r="AV578" i="15" s="1"/>
  <c r="AU145" i="15"/>
  <c r="AV145" i="15" s="1"/>
  <c r="AU472" i="15"/>
  <c r="AV472" i="15" s="1"/>
  <c r="AO629" i="15" l="1"/>
  <c r="CG629" i="15" s="1"/>
  <c r="CH629" i="15" s="1"/>
  <c r="AH629" i="15"/>
  <c r="AI629" i="15" s="1"/>
  <c r="AL629" i="15"/>
  <c r="CB629" i="15" s="1"/>
  <c r="AK629" i="15"/>
  <c r="AU713" i="15"/>
  <c r="AV713" i="15" s="1"/>
  <c r="AV714" i="15"/>
  <c r="AU144" i="15"/>
  <c r="AV144" i="15" s="1"/>
  <c r="AU577" i="15"/>
  <c r="AV577" i="15" s="1"/>
  <c r="AU471" i="15"/>
  <c r="AV471" i="15" s="1"/>
  <c r="AD629" i="15"/>
  <c r="AP629" i="15" l="1"/>
  <c r="CI629" i="15"/>
  <c r="CJ629" i="15" s="1"/>
  <c r="CK629" i="15"/>
  <c r="CL629" i="15" s="1"/>
  <c r="CM629" i="15"/>
  <c r="CN629" i="15" s="1"/>
  <c r="CO629" i="15"/>
  <c r="CP629" i="15" s="1"/>
  <c r="CE629" i="15"/>
  <c r="CF629" i="15" s="1"/>
  <c r="CA629" i="15"/>
  <c r="CC629" i="15" s="1"/>
  <c r="CD629" i="15" s="1"/>
  <c r="AM629" i="15"/>
  <c r="AN629" i="15" s="1"/>
  <c r="AE629" i="15"/>
  <c r="AG629" i="15" s="1"/>
  <c r="AJ629" i="15"/>
  <c r="BO629" i="15" s="1"/>
  <c r="BP629" i="15" s="1"/>
  <c r="BQ629" i="15" s="1"/>
  <c r="BU629" i="15"/>
  <c r="BV629" i="15" s="1"/>
  <c r="BW629" i="15"/>
  <c r="BX629" i="15" s="1"/>
  <c r="AF629" i="15" l="1"/>
  <c r="BY629" i="15"/>
  <c r="BJ577" i="15"/>
  <c r="BK577" i="15" s="1"/>
  <c r="BJ144" i="15"/>
  <c r="B537" i="16"/>
  <c r="H536" i="16"/>
  <c r="I536" i="16" s="1"/>
  <c r="H535" i="16"/>
  <c r="I535" i="16" s="1"/>
  <c r="I534" i="16"/>
  <c r="H534" i="16"/>
  <c r="G532" i="16"/>
  <c r="H532" i="16" s="1"/>
  <c r="I532" i="16" s="1"/>
  <c r="H531" i="16"/>
  <c r="I531" i="16" s="1"/>
  <c r="G530" i="16"/>
  <c r="H530" i="16" s="1"/>
  <c r="I530" i="16" s="1"/>
  <c r="G529" i="16"/>
  <c r="H529" i="16" s="1"/>
  <c r="I529" i="16" s="1"/>
  <c r="H528" i="16"/>
  <c r="I528" i="16" s="1"/>
  <c r="F527" i="16"/>
  <c r="H527" i="16" s="1"/>
  <c r="I527" i="16" s="1"/>
  <c r="I526" i="16"/>
  <c r="H526" i="16"/>
  <c r="G525" i="16"/>
  <c r="H525" i="16" s="1"/>
  <c r="I525" i="16" s="1"/>
  <c r="F524" i="16"/>
  <c r="H524" i="16" s="1"/>
  <c r="I524" i="16" s="1"/>
  <c r="I523" i="16"/>
  <c r="H523" i="16"/>
  <c r="G520" i="16"/>
  <c r="H520" i="16" s="1"/>
  <c r="I520" i="16" s="1"/>
  <c r="H519" i="16"/>
  <c r="I519" i="16" s="1"/>
  <c r="G518" i="16"/>
  <c r="H518" i="16" s="1"/>
  <c r="I518" i="16" s="1"/>
  <c r="G517" i="16"/>
  <c r="F517" i="16"/>
  <c r="G516" i="16"/>
  <c r="H516" i="16" s="1"/>
  <c r="I516" i="16" s="1"/>
  <c r="H515" i="16"/>
  <c r="I515" i="16" s="1"/>
  <c r="F513" i="16"/>
  <c r="G512" i="16"/>
  <c r="G513" i="16" s="1"/>
  <c r="F512" i="16"/>
  <c r="I511" i="16"/>
  <c r="F511" i="16"/>
  <c r="H511" i="16" s="1"/>
  <c r="F509" i="16"/>
  <c r="G508" i="16"/>
  <c r="G509" i="16" s="1"/>
  <c r="F508" i="16"/>
  <c r="H508" i="16" s="1"/>
  <c r="I508" i="16" s="1"/>
  <c r="H507" i="16"/>
  <c r="I507" i="16" s="1"/>
  <c r="I506" i="16"/>
  <c r="H506" i="16"/>
  <c r="F503" i="16"/>
  <c r="H503" i="16" s="1"/>
  <c r="I503" i="16" s="1"/>
  <c r="G501" i="16"/>
  <c r="H501" i="16" s="1"/>
  <c r="I501" i="16" s="1"/>
  <c r="H500" i="16"/>
  <c r="I500" i="16" s="1"/>
  <c r="E500" i="16"/>
  <c r="E497" i="16"/>
  <c r="H496" i="16"/>
  <c r="I496" i="16" s="1"/>
  <c r="G496" i="16"/>
  <c r="F496" i="16"/>
  <c r="G495" i="16"/>
  <c r="F495" i="16"/>
  <c r="H495" i="16" s="1"/>
  <c r="I495" i="16" s="1"/>
  <c r="G494" i="16"/>
  <c r="G493" i="16"/>
  <c r="G492" i="16"/>
  <c r="H491" i="16"/>
  <c r="I491" i="16" s="1"/>
  <c r="G491" i="16"/>
  <c r="G490" i="16"/>
  <c r="E490" i="16"/>
  <c r="H490" i="16" s="1"/>
  <c r="G485" i="16"/>
  <c r="E485" i="16"/>
  <c r="C484" i="16"/>
  <c r="H484" i="16" s="1"/>
  <c r="I484" i="16" s="1"/>
  <c r="C483" i="16"/>
  <c r="H483" i="16" s="1"/>
  <c r="I483" i="16" s="1"/>
  <c r="G481" i="16"/>
  <c r="G480" i="16"/>
  <c r="G482" i="16" s="1"/>
  <c r="C478" i="16"/>
  <c r="H478" i="16" s="1"/>
  <c r="I478" i="16" s="1"/>
  <c r="G477" i="16"/>
  <c r="G473" i="16"/>
  <c r="C473" i="16"/>
  <c r="G472" i="16"/>
  <c r="C472" i="16"/>
  <c r="H472" i="16" s="1"/>
  <c r="I472" i="16" s="1"/>
  <c r="G471" i="16"/>
  <c r="C471" i="16"/>
  <c r="G470" i="16"/>
  <c r="C470" i="16"/>
  <c r="H470" i="16" s="1"/>
  <c r="I470" i="16" s="1"/>
  <c r="G469" i="16"/>
  <c r="F505" i="16" s="1"/>
  <c r="G468" i="16"/>
  <c r="F504" i="16" s="1"/>
  <c r="H467" i="16"/>
  <c r="I467" i="16" s="1"/>
  <c r="H465" i="16"/>
  <c r="I465" i="16" s="1"/>
  <c r="C465" i="16"/>
  <c r="C464" i="16"/>
  <c r="H464" i="16" s="1"/>
  <c r="I464" i="16" s="1"/>
  <c r="G463" i="16"/>
  <c r="F463" i="16"/>
  <c r="G462" i="16"/>
  <c r="F462" i="16"/>
  <c r="G461" i="16"/>
  <c r="F499" i="16" s="1"/>
  <c r="F461" i="16"/>
  <c r="C461" i="16"/>
  <c r="F460" i="16"/>
  <c r="H460" i="16" s="1"/>
  <c r="I460" i="16" s="1"/>
  <c r="I459" i="16"/>
  <c r="H459" i="16"/>
  <c r="G458" i="16"/>
  <c r="F494" i="16" s="1"/>
  <c r="H494" i="16" s="1"/>
  <c r="I494" i="16" s="1"/>
  <c r="F458" i="16"/>
  <c r="G457" i="16"/>
  <c r="F493" i="16" s="1"/>
  <c r="H493" i="16" s="1"/>
  <c r="I493" i="16" s="1"/>
  <c r="F457" i="16"/>
  <c r="F456" i="16"/>
  <c r="F450" i="16"/>
  <c r="G450" i="16" s="1"/>
  <c r="H450" i="16" s="1"/>
  <c r="F448" i="16"/>
  <c r="E448" i="16"/>
  <c r="G448" i="16" s="1"/>
  <c r="H448" i="16" s="1"/>
  <c r="F447" i="16"/>
  <c r="E447" i="16"/>
  <c r="G447" i="16" s="1"/>
  <c r="H447" i="16" s="1"/>
  <c r="G446" i="16"/>
  <c r="H446" i="16" s="1"/>
  <c r="F446" i="16"/>
  <c r="F445" i="16"/>
  <c r="G445" i="16" s="1"/>
  <c r="H445" i="16" s="1"/>
  <c r="G444" i="16"/>
  <c r="H444" i="16" s="1"/>
  <c r="G420" i="16"/>
  <c r="H420" i="16" s="1"/>
  <c r="G419" i="16"/>
  <c r="H419" i="16" s="1"/>
  <c r="G418" i="16"/>
  <c r="H418" i="16" s="1"/>
  <c r="G417" i="16"/>
  <c r="H417" i="16" s="1"/>
  <c r="G416" i="16"/>
  <c r="H416" i="16" s="1"/>
  <c r="G415" i="16"/>
  <c r="H415" i="16" s="1"/>
  <c r="G414" i="16"/>
  <c r="H414" i="16" s="1"/>
  <c r="G413" i="16"/>
  <c r="H413" i="16" s="1"/>
  <c r="F413" i="16"/>
  <c r="F412" i="16"/>
  <c r="F378" i="16" s="1"/>
  <c r="G378" i="16" s="1"/>
  <c r="H378" i="16" s="1"/>
  <c r="F411" i="16"/>
  <c r="G411" i="16" s="1"/>
  <c r="H410" i="16"/>
  <c r="F410" i="16"/>
  <c r="G410" i="16" s="1"/>
  <c r="H409" i="16"/>
  <c r="G404" i="16"/>
  <c r="H404" i="16" s="1"/>
  <c r="E404" i="16"/>
  <c r="E403" i="16"/>
  <c r="G403" i="16" s="1"/>
  <c r="H403" i="16" s="1"/>
  <c r="E402" i="16"/>
  <c r="G402" i="16" s="1"/>
  <c r="H402" i="16" s="1"/>
  <c r="H546" i="16" s="1"/>
  <c r="G401" i="16"/>
  <c r="H401" i="16" s="1"/>
  <c r="H567" i="16" s="1"/>
  <c r="E401" i="16"/>
  <c r="G399" i="16"/>
  <c r="H399" i="16" s="1"/>
  <c r="F399" i="16"/>
  <c r="E399" i="16"/>
  <c r="G398" i="16"/>
  <c r="H398" i="16" s="1"/>
  <c r="G397" i="16"/>
  <c r="H397" i="16" s="1"/>
  <c r="H565" i="16" s="1"/>
  <c r="G396" i="16"/>
  <c r="H396" i="16" s="1"/>
  <c r="F395" i="16"/>
  <c r="E395" i="16"/>
  <c r="G395" i="16" s="1"/>
  <c r="H395" i="16" s="1"/>
  <c r="F394" i="16"/>
  <c r="E394" i="16"/>
  <c r="G394" i="16" s="1"/>
  <c r="H394" i="16" s="1"/>
  <c r="F393" i="16"/>
  <c r="E393" i="16"/>
  <c r="E391" i="16"/>
  <c r="E390" i="16"/>
  <c r="E389" i="16"/>
  <c r="H388" i="16"/>
  <c r="G387" i="16"/>
  <c r="H387" i="16" s="1"/>
  <c r="H386" i="16"/>
  <c r="G386" i="16"/>
  <c r="G385" i="16"/>
  <c r="H385" i="16" s="1"/>
  <c r="G384" i="16"/>
  <c r="H384" i="16" s="1"/>
  <c r="E383" i="16"/>
  <c r="G382" i="16"/>
  <c r="H382" i="16" s="1"/>
  <c r="G381" i="16"/>
  <c r="H381" i="16" s="1"/>
  <c r="G380" i="16"/>
  <c r="H380" i="16" s="1"/>
  <c r="E378" i="16"/>
  <c r="F377" i="16"/>
  <c r="E377" i="16"/>
  <c r="G377" i="16" s="1"/>
  <c r="H377" i="16" s="1"/>
  <c r="G376" i="16"/>
  <c r="H376" i="16" s="1"/>
  <c r="F376" i="16"/>
  <c r="E376" i="16"/>
  <c r="F375" i="16"/>
  <c r="G375" i="16" s="1"/>
  <c r="H375" i="16" s="1"/>
  <c r="H551" i="16" s="1"/>
  <c r="E375" i="16"/>
  <c r="G374" i="16"/>
  <c r="H374" i="16" s="1"/>
  <c r="F373" i="16"/>
  <c r="E373" i="16"/>
  <c r="F372" i="16"/>
  <c r="E372" i="16"/>
  <c r="F371" i="16"/>
  <c r="E371" i="16"/>
  <c r="F370" i="16"/>
  <c r="E370" i="16"/>
  <c r="F369" i="16"/>
  <c r="E369" i="16"/>
  <c r="G369" i="16" s="1"/>
  <c r="H369" i="16" s="1"/>
  <c r="F368" i="16"/>
  <c r="E368" i="16"/>
  <c r="G368" i="16" s="1"/>
  <c r="H368" i="16" s="1"/>
  <c r="F367" i="16"/>
  <c r="F366" i="16"/>
  <c r="E366" i="16"/>
  <c r="F365" i="16"/>
  <c r="E365" i="16"/>
  <c r="F364" i="16"/>
  <c r="E364" i="16"/>
  <c r="F363" i="16"/>
  <c r="E363" i="16"/>
  <c r="F362" i="16"/>
  <c r="E362" i="16"/>
  <c r="G361" i="16"/>
  <c r="H361" i="16" s="1"/>
  <c r="G360" i="16"/>
  <c r="H360" i="16" s="1"/>
  <c r="E359" i="16"/>
  <c r="G359" i="16" s="1"/>
  <c r="H359" i="16" s="1"/>
  <c r="E358" i="16"/>
  <c r="G358" i="16" s="1"/>
  <c r="H358" i="16" s="1"/>
  <c r="E357" i="16"/>
  <c r="G357" i="16" s="1"/>
  <c r="H357" i="16" s="1"/>
  <c r="E356" i="16"/>
  <c r="G356" i="16" s="1"/>
  <c r="H356" i="16" s="1"/>
  <c r="F355" i="16"/>
  <c r="E355" i="16"/>
  <c r="G355" i="16" s="1"/>
  <c r="H355" i="16" s="1"/>
  <c r="G354" i="16"/>
  <c r="H354" i="16" s="1"/>
  <c r="E354" i="16"/>
  <c r="G353" i="16"/>
  <c r="H353" i="16" s="1"/>
  <c r="E351" i="16"/>
  <c r="G351" i="16" s="1"/>
  <c r="H351" i="16" s="1"/>
  <c r="E350" i="16"/>
  <c r="E349" i="16"/>
  <c r="F348" i="16"/>
  <c r="F349" i="16" s="1"/>
  <c r="F350" i="16" s="1"/>
  <c r="E348" i="16"/>
  <c r="G348" i="16" s="1"/>
  <c r="H348" i="16" s="1"/>
  <c r="G347" i="16"/>
  <c r="H347" i="16" s="1"/>
  <c r="F346" i="16"/>
  <c r="E346" i="16"/>
  <c r="E345" i="16"/>
  <c r="F344" i="16"/>
  <c r="F345" i="16" s="1"/>
  <c r="E344" i="16"/>
  <c r="F342" i="16"/>
  <c r="E342" i="16"/>
  <c r="G342" i="16" s="1"/>
  <c r="H342" i="16" s="1"/>
  <c r="F341" i="16"/>
  <c r="E341" i="16"/>
  <c r="G341" i="16" s="1"/>
  <c r="H341" i="16" s="1"/>
  <c r="F340" i="16"/>
  <c r="E340" i="16"/>
  <c r="G340" i="16" s="1"/>
  <c r="H340" i="16" s="1"/>
  <c r="F339" i="16"/>
  <c r="E339" i="16"/>
  <c r="F322" i="16"/>
  <c r="G322" i="16" s="1"/>
  <c r="F321" i="16"/>
  <c r="G321" i="16" s="1"/>
  <c r="F320" i="16"/>
  <c r="G320" i="16" s="1"/>
  <c r="F319" i="16"/>
  <c r="G319" i="16" s="1"/>
  <c r="F318" i="16"/>
  <c r="G318" i="16" s="1"/>
  <c r="F317" i="16"/>
  <c r="G316" i="16"/>
  <c r="G315" i="16"/>
  <c r="G314" i="16"/>
  <c r="G312" i="16"/>
  <c r="G308" i="16"/>
  <c r="F308" i="16"/>
  <c r="F307" i="16"/>
  <c r="G307" i="16" s="1"/>
  <c r="F306" i="16"/>
  <c r="G306" i="16" s="1"/>
  <c r="F305" i="16"/>
  <c r="G305" i="16" s="1"/>
  <c r="F304" i="16"/>
  <c r="G304" i="16" s="1"/>
  <c r="G303" i="16"/>
  <c r="F303" i="16"/>
  <c r="F302" i="16"/>
  <c r="G302" i="16" s="1"/>
  <c r="F301" i="16"/>
  <c r="G301" i="16" s="1"/>
  <c r="G300" i="16"/>
  <c r="F300" i="16"/>
  <c r="G299" i="16"/>
  <c r="F299" i="16"/>
  <c r="F298" i="16"/>
  <c r="G297" i="16"/>
  <c r="G296" i="16"/>
  <c r="G295" i="16"/>
  <c r="G294" i="16"/>
  <c r="G292" i="16"/>
  <c r="F281" i="16"/>
  <c r="G281" i="16" s="1"/>
  <c r="F278" i="16"/>
  <c r="G278" i="16" s="1"/>
  <c r="F263" i="16"/>
  <c r="G263" i="16" s="1"/>
  <c r="G260" i="16"/>
  <c r="G238" i="16"/>
  <c r="G258" i="16" s="1"/>
  <c r="G233" i="16"/>
  <c r="F226" i="16"/>
  <c r="F234" i="16" s="1"/>
  <c r="G234" i="16" s="1"/>
  <c r="F225" i="16"/>
  <c r="F233" i="16" s="1"/>
  <c r="F218" i="16"/>
  <c r="G218" i="16" s="1"/>
  <c r="G206" i="16"/>
  <c r="F206" i="16"/>
  <c r="F217" i="16" s="1"/>
  <c r="G217" i="16" s="1"/>
  <c r="G201" i="16"/>
  <c r="F198" i="16"/>
  <c r="G198" i="16" s="1"/>
  <c r="E197" i="16"/>
  <c r="F197" i="16" s="1"/>
  <c r="G197" i="16" s="1"/>
  <c r="F196" i="16"/>
  <c r="G196" i="16" s="1"/>
  <c r="F195" i="16"/>
  <c r="G195" i="16" s="1"/>
  <c r="F194" i="16"/>
  <c r="G194" i="16" s="1"/>
  <c r="F193" i="16"/>
  <c r="G192" i="16"/>
  <c r="G191" i="16"/>
  <c r="G189" i="16"/>
  <c r="F185" i="16"/>
  <c r="G185" i="16" s="1"/>
  <c r="F184" i="16"/>
  <c r="G184" i="16" s="1"/>
  <c r="E183" i="16"/>
  <c r="F183" i="16" s="1"/>
  <c r="G183" i="16" s="1"/>
  <c r="F182" i="16"/>
  <c r="G182" i="16" s="1"/>
  <c r="F181" i="16"/>
  <c r="G181" i="16" s="1"/>
  <c r="G177" i="16"/>
  <c r="F177" i="16"/>
  <c r="G176" i="16"/>
  <c r="G175" i="16"/>
  <c r="F173" i="16"/>
  <c r="F180" i="16" s="1"/>
  <c r="G180" i="16" s="1"/>
  <c r="F169" i="16"/>
  <c r="G169" i="16" s="1"/>
  <c r="F168" i="16"/>
  <c r="G168" i="16" s="1"/>
  <c r="F167" i="16"/>
  <c r="G167" i="16" s="1"/>
  <c r="E167" i="16"/>
  <c r="F166" i="16"/>
  <c r="G166" i="16" s="1"/>
  <c r="F165" i="16"/>
  <c r="G165" i="16" s="1"/>
  <c r="G162" i="16"/>
  <c r="G161" i="16"/>
  <c r="G160" i="16"/>
  <c r="F158" i="16"/>
  <c r="F154" i="16"/>
  <c r="G154" i="16" s="1"/>
  <c r="F152" i="16"/>
  <c r="G152" i="16" s="1"/>
  <c r="E150" i="16"/>
  <c r="F150" i="16" s="1"/>
  <c r="G150" i="16" s="1"/>
  <c r="F149" i="16"/>
  <c r="G149" i="16" s="1"/>
  <c r="F148" i="16"/>
  <c r="G148" i="16" s="1"/>
  <c r="F147" i="16"/>
  <c r="G146" i="16"/>
  <c r="G145" i="16"/>
  <c r="F145" i="16"/>
  <c r="F153" i="16" s="1"/>
  <c r="G153" i="16" s="1"/>
  <c r="G143" i="16"/>
  <c r="F138" i="16"/>
  <c r="G138" i="16" s="1"/>
  <c r="F137" i="16"/>
  <c r="G137" i="16" s="1"/>
  <c r="F136" i="16"/>
  <c r="G136" i="16" s="1"/>
  <c r="E135" i="16"/>
  <c r="F135" i="16" s="1"/>
  <c r="G135" i="16" s="1"/>
  <c r="F133" i="16"/>
  <c r="G133" i="16" s="1"/>
  <c r="G130" i="16"/>
  <c r="F130" i="16"/>
  <c r="G129" i="16"/>
  <c r="G128" i="16"/>
  <c r="G127" i="16"/>
  <c r="F122" i="16"/>
  <c r="G122" i="16" s="1"/>
  <c r="F121" i="16"/>
  <c r="G121" i="16" s="1"/>
  <c r="F120" i="16"/>
  <c r="G120" i="16" s="1"/>
  <c r="E119" i="16"/>
  <c r="F119" i="16" s="1"/>
  <c r="F123" i="16" s="1"/>
  <c r="G118" i="16"/>
  <c r="F118" i="16"/>
  <c r="G117" i="16"/>
  <c r="F117" i="16"/>
  <c r="G116" i="16"/>
  <c r="F116" i="16"/>
  <c r="F115" i="16"/>
  <c r="G115" i="16" s="1"/>
  <c r="F114" i="16"/>
  <c r="G114" i="16" s="1"/>
  <c r="F113" i="16"/>
  <c r="G113" i="16" s="1"/>
  <c r="G112" i="16"/>
  <c r="G111" i="16"/>
  <c r="G110" i="16"/>
  <c r="G109" i="16"/>
  <c r="G108" i="16"/>
  <c r="G107" i="16"/>
  <c r="G125" i="16" s="1"/>
  <c r="G142" i="16" s="1"/>
  <c r="E101" i="16"/>
  <c r="F101" i="16" s="1"/>
  <c r="G101" i="16" s="1"/>
  <c r="G100" i="16"/>
  <c r="F100" i="16"/>
  <c r="G97" i="16"/>
  <c r="F97" i="16"/>
  <c r="G96" i="16"/>
  <c r="F96" i="16"/>
  <c r="F104" i="16" s="1"/>
  <c r="G104" i="16" s="1"/>
  <c r="G95" i="16"/>
  <c r="G94" i="16"/>
  <c r="G456" i="16" s="1"/>
  <c r="E85" i="16"/>
  <c r="F85" i="16" s="1"/>
  <c r="G85" i="16" s="1"/>
  <c r="F84" i="16"/>
  <c r="G84" i="16" s="1"/>
  <c r="F81" i="16"/>
  <c r="G81" i="16" s="1"/>
  <c r="F80" i="16"/>
  <c r="F88" i="16" s="1"/>
  <c r="G88" i="16" s="1"/>
  <c r="G79" i="16"/>
  <c r="G78" i="16"/>
  <c r="F76" i="16"/>
  <c r="F71" i="16"/>
  <c r="G71" i="16" s="1"/>
  <c r="G68" i="16"/>
  <c r="G67" i="16"/>
  <c r="F67" i="16"/>
  <c r="G66" i="16"/>
  <c r="F64" i="16"/>
  <c r="F75" i="16" s="1"/>
  <c r="E60" i="16"/>
  <c r="G59" i="16"/>
  <c r="F59" i="16"/>
  <c r="F57" i="16"/>
  <c r="G57" i="16" s="1"/>
  <c r="E55" i="16"/>
  <c r="F53" i="16"/>
  <c r="G53" i="16" s="1"/>
  <c r="F51" i="16"/>
  <c r="G51" i="16" s="1"/>
  <c r="G50" i="16"/>
  <c r="G49" i="16"/>
  <c r="F49" i="16"/>
  <c r="G48" i="16"/>
  <c r="F48" i="16"/>
  <c r="G45" i="16"/>
  <c r="F44" i="16"/>
  <c r="G44" i="16" s="1"/>
  <c r="F43" i="16"/>
  <c r="G42" i="16"/>
  <c r="G39" i="16"/>
  <c r="G64" i="16" s="1"/>
  <c r="F39" i="16"/>
  <c r="C35" i="16"/>
  <c r="D35" i="16" s="1"/>
  <c r="D34" i="16"/>
  <c r="C33" i="16"/>
  <c r="F328" i="16" s="1"/>
  <c r="C32" i="16"/>
  <c r="F261" i="16" s="1"/>
  <c r="D30" i="16"/>
  <c r="D28" i="16"/>
  <c r="D27" i="16"/>
  <c r="C26" i="16"/>
  <c r="C23" i="16"/>
  <c r="C474" i="16" s="1"/>
  <c r="H474" i="16" s="1"/>
  <c r="I474" i="16" s="1"/>
  <c r="C22" i="16"/>
  <c r="C485" i="16" s="1"/>
  <c r="C21" i="16"/>
  <c r="C20" i="16"/>
  <c r="C19" i="16"/>
  <c r="C466" i="16" s="1"/>
  <c r="H466" i="16" s="1"/>
  <c r="I466" i="16" s="1"/>
  <c r="D18" i="16"/>
  <c r="D17" i="16"/>
  <c r="C16" i="16"/>
  <c r="F282" i="16" s="1"/>
  <c r="G282" i="16" s="1"/>
  <c r="D15" i="16"/>
  <c r="C14" i="16"/>
  <c r="D14" i="16" s="1"/>
  <c r="C463" i="16" s="1"/>
  <c r="D13" i="16"/>
  <c r="C462" i="16" s="1"/>
  <c r="D12" i="16"/>
  <c r="D11" i="16"/>
  <c r="D10" i="16"/>
  <c r="D9" i="16"/>
  <c r="C476" i="16" s="1"/>
  <c r="H476" i="16" s="1"/>
  <c r="I476" i="16" s="1"/>
  <c r="C9" i="16"/>
  <c r="F449" i="16" s="1"/>
  <c r="G449" i="16" s="1"/>
  <c r="H449" i="16" s="1"/>
  <c r="D8" i="16"/>
  <c r="C8" i="16"/>
  <c r="C25" i="16" s="1"/>
  <c r="D25" i="16" s="1"/>
  <c r="C6" i="16"/>
  <c r="C7" i="16" s="1"/>
  <c r="D7" i="16" s="1"/>
  <c r="D5" i="16"/>
  <c r="C5" i="16"/>
  <c r="D4" i="16"/>
  <c r="C4" i="16"/>
  <c r="D3" i="16"/>
  <c r="AB287" i="1"/>
  <c r="AH287" i="1" s="1"/>
  <c r="AA287" i="1"/>
  <c r="AG287" i="1" s="1"/>
  <c r="Z287" i="1"/>
  <c r="AF287" i="1" s="1"/>
  <c r="Y287" i="1"/>
  <c r="AE287" i="1" s="1"/>
  <c r="X287" i="1"/>
  <c r="AD287" i="1" s="1"/>
  <c r="W287" i="1"/>
  <c r="N287" i="1"/>
  <c r="M287" i="1"/>
  <c r="D287" i="1"/>
  <c r="W250" i="1"/>
  <c r="M250" i="1"/>
  <c r="D250" i="1"/>
  <c r="G69" i="3"/>
  <c r="W240" i="1"/>
  <c r="M240" i="1"/>
  <c r="D240" i="1"/>
  <c r="W239" i="1"/>
  <c r="N239" i="1"/>
  <c r="M239" i="1"/>
  <c r="D239" i="1"/>
  <c r="W244" i="1"/>
  <c r="M244" i="1"/>
  <c r="D244" i="1"/>
  <c r="W243" i="1"/>
  <c r="N243" i="1"/>
  <c r="M243" i="1"/>
  <c r="D243" i="1"/>
  <c r="W242" i="1"/>
  <c r="N242" i="1"/>
  <c r="M242" i="1"/>
  <c r="D242" i="1"/>
  <c r="AB236" i="1"/>
  <c r="AH236" i="1" s="1"/>
  <c r="AA236" i="1"/>
  <c r="AG236" i="1" s="1"/>
  <c r="Z236" i="1"/>
  <c r="AF236" i="1" s="1"/>
  <c r="Y236" i="1"/>
  <c r="AE236" i="1" s="1"/>
  <c r="X236" i="1"/>
  <c r="AD236" i="1" s="1"/>
  <c r="W236" i="1"/>
  <c r="N236" i="1"/>
  <c r="M236" i="1"/>
  <c r="D236" i="1"/>
  <c r="W235" i="1"/>
  <c r="N235" i="1"/>
  <c r="M235" i="1"/>
  <c r="D235" i="1"/>
  <c r="W234" i="1"/>
  <c r="N234" i="1"/>
  <c r="M234" i="1"/>
  <c r="D234" i="1"/>
  <c r="W230" i="1"/>
  <c r="M230" i="1"/>
  <c r="D230" i="1"/>
  <c r="W222" i="1"/>
  <c r="M222" i="1"/>
  <c r="D222" i="1"/>
  <c r="W221" i="1"/>
  <c r="N221" i="1"/>
  <c r="M221" i="1"/>
  <c r="D221" i="1"/>
  <c r="W220" i="1"/>
  <c r="M220" i="1"/>
  <c r="D220" i="1"/>
  <c r="W219" i="1"/>
  <c r="N219" i="1"/>
  <c r="M219" i="1"/>
  <c r="D219" i="1"/>
  <c r="W218" i="1"/>
  <c r="N218" i="1"/>
  <c r="M218" i="1"/>
  <c r="D218" i="1"/>
  <c r="W217" i="1"/>
  <c r="M217" i="1"/>
  <c r="D217" i="1"/>
  <c r="W216" i="1"/>
  <c r="N216" i="1"/>
  <c r="M216" i="1"/>
  <c r="D216" i="1"/>
  <c r="W215" i="1"/>
  <c r="M215" i="1"/>
  <c r="D215" i="1"/>
  <c r="W214" i="1"/>
  <c r="N214" i="1"/>
  <c r="M214" i="1"/>
  <c r="D214" i="1"/>
  <c r="W213" i="1"/>
  <c r="N213" i="1"/>
  <c r="M213" i="1"/>
  <c r="D213" i="1"/>
  <c r="W212" i="1"/>
  <c r="M212" i="1"/>
  <c r="D212" i="1"/>
  <c r="W211" i="1"/>
  <c r="N211" i="1"/>
  <c r="M211" i="1"/>
  <c r="D211" i="1"/>
  <c r="W210" i="1"/>
  <c r="M210" i="1"/>
  <c r="D210" i="1"/>
  <c r="W209" i="1"/>
  <c r="N209" i="1"/>
  <c r="M209" i="1"/>
  <c r="D209" i="1"/>
  <c r="W208" i="1"/>
  <c r="N208" i="1"/>
  <c r="M208" i="1"/>
  <c r="D208" i="1"/>
  <c r="W207" i="1"/>
  <c r="M207" i="1"/>
  <c r="D207" i="1"/>
  <c r="W206" i="1"/>
  <c r="N206" i="1"/>
  <c r="M206" i="1"/>
  <c r="D206" i="1"/>
  <c r="W205" i="1"/>
  <c r="M205" i="1"/>
  <c r="D205" i="1"/>
  <c r="W204" i="1"/>
  <c r="N204" i="1"/>
  <c r="M204" i="1"/>
  <c r="D204" i="1"/>
  <c r="W203" i="1"/>
  <c r="N203" i="1"/>
  <c r="M203" i="1"/>
  <c r="D203" i="1"/>
  <c r="W202" i="1"/>
  <c r="N202" i="1"/>
  <c r="M202" i="1"/>
  <c r="D202" i="1"/>
  <c r="W199" i="1"/>
  <c r="M199" i="1"/>
  <c r="D199" i="1"/>
  <c r="W198" i="1"/>
  <c r="N198" i="1"/>
  <c r="M198" i="1"/>
  <c r="D198" i="1"/>
  <c r="W197" i="1"/>
  <c r="N197" i="1"/>
  <c r="M197" i="1"/>
  <c r="D197" i="1"/>
  <c r="W196" i="1"/>
  <c r="N196" i="1"/>
  <c r="M196" i="1"/>
  <c r="D196" i="1"/>
  <c r="W195" i="1"/>
  <c r="M195" i="1"/>
  <c r="D195" i="1"/>
  <c r="W194" i="1"/>
  <c r="N194" i="1"/>
  <c r="M194" i="1"/>
  <c r="D194" i="1"/>
  <c r="W193" i="1"/>
  <c r="M193" i="1"/>
  <c r="D193" i="1"/>
  <c r="W192" i="1"/>
  <c r="N192" i="1"/>
  <c r="M192" i="1"/>
  <c r="D192" i="1"/>
  <c r="W191" i="1"/>
  <c r="N191" i="1"/>
  <c r="M191" i="1"/>
  <c r="D191" i="1"/>
  <c r="W190" i="1"/>
  <c r="N190" i="1"/>
  <c r="M190" i="1"/>
  <c r="D190" i="1"/>
  <c r="G393" i="16" l="1"/>
  <c r="H393" i="16" s="1"/>
  <c r="H458" i="16"/>
  <c r="I458" i="16" s="1"/>
  <c r="D6" i="16"/>
  <c r="H461" i="16"/>
  <c r="I461" i="16" s="1"/>
  <c r="H572" i="16" s="1"/>
  <c r="G370" i="16"/>
  <c r="H370" i="16" s="1"/>
  <c r="G371" i="16"/>
  <c r="H371" i="16" s="1"/>
  <c r="G225" i="16"/>
  <c r="G372" i="16"/>
  <c r="H372" i="16" s="1"/>
  <c r="G226" i="16"/>
  <c r="G373" i="16"/>
  <c r="H373" i="16" s="1"/>
  <c r="G346" i="16"/>
  <c r="H346" i="16" s="1"/>
  <c r="C24" i="16"/>
  <c r="C475" i="16" s="1"/>
  <c r="H475" i="16" s="1"/>
  <c r="I475" i="16" s="1"/>
  <c r="G350" i="16"/>
  <c r="H350" i="16" s="1"/>
  <c r="G412" i="16"/>
  <c r="H412" i="16" s="1"/>
  <c r="H548" i="16" s="1"/>
  <c r="H473" i="16"/>
  <c r="I473" i="16" s="1"/>
  <c r="F103" i="16"/>
  <c r="G103" i="16" s="1"/>
  <c r="H574" i="16"/>
  <c r="G344" i="16"/>
  <c r="H344" i="16" s="1"/>
  <c r="C29" i="16"/>
  <c r="C36" i="16" s="1"/>
  <c r="F309" i="16"/>
  <c r="G298" i="16"/>
  <c r="G309" i="16" s="1"/>
  <c r="G173" i="16"/>
  <c r="F60" i="16"/>
  <c r="G60" i="16" s="1"/>
  <c r="G533" i="16"/>
  <c r="H533" i="16" s="1"/>
  <c r="I533" i="16" s="1"/>
  <c r="H471" i="16"/>
  <c r="I471" i="16" s="1"/>
  <c r="BK144" i="15"/>
  <c r="BJ270" i="15"/>
  <c r="BK270" i="15" s="1"/>
  <c r="G75" i="16"/>
  <c r="G92" i="16"/>
  <c r="G261" i="16"/>
  <c r="F273" i="16"/>
  <c r="G273" i="16" s="1"/>
  <c r="F268" i="16"/>
  <c r="G268" i="16" s="1"/>
  <c r="G291" i="16"/>
  <c r="G325" i="16" s="1"/>
  <c r="G222" i="16" s="1"/>
  <c r="H337" i="16" s="1"/>
  <c r="H408" i="16" s="1"/>
  <c r="I455" i="16" s="1"/>
  <c r="I488" i="16" s="1"/>
  <c r="G277" i="16"/>
  <c r="F333" i="16"/>
  <c r="G333" i="16" s="1"/>
  <c r="G328" i="16"/>
  <c r="F332" i="16"/>
  <c r="G332" i="16" s="1"/>
  <c r="F438" i="16"/>
  <c r="G438" i="16" s="1"/>
  <c r="H438" i="16" s="1"/>
  <c r="F434" i="16"/>
  <c r="F430" i="16"/>
  <c r="F426" i="16"/>
  <c r="F422" i="16"/>
  <c r="F437" i="16"/>
  <c r="G437" i="16" s="1"/>
  <c r="H437" i="16" s="1"/>
  <c r="F439" i="16"/>
  <c r="G439" i="16" s="1"/>
  <c r="H439" i="16" s="1"/>
  <c r="C480" i="16"/>
  <c r="H480" i="16" s="1"/>
  <c r="I480" i="16" s="1"/>
  <c r="H557" i="16" s="1"/>
  <c r="F389" i="16"/>
  <c r="G389" i="16" s="1"/>
  <c r="H389" i="16" s="1"/>
  <c r="F239" i="16"/>
  <c r="C479" i="16"/>
  <c r="H479" i="16" s="1"/>
  <c r="I479" i="16" s="1"/>
  <c r="H555" i="16" s="1"/>
  <c r="F223" i="16"/>
  <c r="C481" i="16"/>
  <c r="H481" i="16" s="1"/>
  <c r="I481" i="16" s="1"/>
  <c r="F259" i="16"/>
  <c r="F107" i="16"/>
  <c r="F125" i="16" s="1"/>
  <c r="F142" i="16" s="1"/>
  <c r="F157" i="16" s="1"/>
  <c r="D20" i="16"/>
  <c r="D22" i="16"/>
  <c r="D26" i="16"/>
  <c r="D32" i="16"/>
  <c r="C468" i="16"/>
  <c r="G504" i="16" s="1"/>
  <c r="F243" i="16"/>
  <c r="F41" i="16"/>
  <c r="G41" i="16" s="1"/>
  <c r="G43" i="16"/>
  <c r="F56" i="16"/>
  <c r="G56" i="16" s="1"/>
  <c r="F58" i="16"/>
  <c r="G58" i="16" s="1"/>
  <c r="G76" i="16"/>
  <c r="F87" i="16"/>
  <c r="G87" i="16" s="1"/>
  <c r="F89" i="16"/>
  <c r="G89" i="16" s="1"/>
  <c r="F92" i="16"/>
  <c r="F492" i="16"/>
  <c r="H492" i="16" s="1"/>
  <c r="I492" i="16" s="1"/>
  <c r="H456" i="16"/>
  <c r="G119" i="16"/>
  <c r="G147" i="16"/>
  <c r="F163" i="16"/>
  <c r="G158" i="16"/>
  <c r="F164" i="16"/>
  <c r="G164" i="16" s="1"/>
  <c r="F264" i="16"/>
  <c r="G264" i="16" s="1"/>
  <c r="F272" i="16"/>
  <c r="G272" i="16" s="1"/>
  <c r="E367" i="16"/>
  <c r="G367" i="16" s="1"/>
  <c r="H367" i="16" s="1"/>
  <c r="H558" i="16" s="1"/>
  <c r="G339" i="16"/>
  <c r="F391" i="16"/>
  <c r="G391" i="16" s="1"/>
  <c r="H391" i="16" s="1"/>
  <c r="C469" i="16"/>
  <c r="F227" i="16"/>
  <c r="G227" i="16" s="1"/>
  <c r="F207" i="16"/>
  <c r="G207" i="16" s="1"/>
  <c r="F244" i="16"/>
  <c r="G244" i="16" s="1"/>
  <c r="C31" i="16"/>
  <c r="D31" i="16" s="1"/>
  <c r="C477" i="16"/>
  <c r="H477" i="16" s="1"/>
  <c r="I477" i="16" s="1"/>
  <c r="N477" i="16" s="1"/>
  <c r="F241" i="16"/>
  <c r="F202" i="16"/>
  <c r="F65" i="16"/>
  <c r="F77" i="16"/>
  <c r="G77" i="16" s="1"/>
  <c r="F126" i="16"/>
  <c r="F287" i="16"/>
  <c r="G287" i="16" s="1"/>
  <c r="G317" i="16"/>
  <c r="G323" i="16" s="1"/>
  <c r="F323" i="16"/>
  <c r="F421" i="16"/>
  <c r="G421" i="16" s="1"/>
  <c r="H421" i="16" s="1"/>
  <c r="F440" i="16"/>
  <c r="G440" i="16" s="1"/>
  <c r="H440" i="16" s="1"/>
  <c r="F441" i="16"/>
  <c r="G441" i="16" s="1"/>
  <c r="H441" i="16" s="1"/>
  <c r="F425" i="16"/>
  <c r="C482" i="16"/>
  <c r="H482" i="16" s="1"/>
  <c r="I482" i="16" s="1"/>
  <c r="F326" i="16"/>
  <c r="F82" i="16"/>
  <c r="F390" i="16"/>
  <c r="G390" i="16" s="1"/>
  <c r="H390" i="16" s="1"/>
  <c r="H573" i="16" s="1"/>
  <c r="F205" i="16"/>
  <c r="F329" i="16"/>
  <c r="G329" i="16" s="1"/>
  <c r="D16" i="16"/>
  <c r="D19" i="16"/>
  <c r="D21" i="16"/>
  <c r="D23" i="16"/>
  <c r="D33" i="16"/>
  <c r="F40" i="16"/>
  <c r="G80" i="16"/>
  <c r="F93" i="16"/>
  <c r="F199" i="16"/>
  <c r="G193" i="16"/>
  <c r="G199" i="16" s="1"/>
  <c r="F262" i="16"/>
  <c r="F270" i="16"/>
  <c r="G270" i="16" s="1"/>
  <c r="F280" i="16"/>
  <c r="F284" i="16"/>
  <c r="G284" i="16" s="1"/>
  <c r="G345" i="16"/>
  <c r="H345" i="16" s="1"/>
  <c r="G349" i="16"/>
  <c r="H349" i="16" s="1"/>
  <c r="F242" i="16"/>
  <c r="F204" i="16"/>
  <c r="G123" i="16"/>
  <c r="F271" i="16"/>
  <c r="G271" i="16" s="1"/>
  <c r="F285" i="16"/>
  <c r="G285" i="16" s="1"/>
  <c r="H462" i="16"/>
  <c r="I462" i="16" s="1"/>
  <c r="F179" i="16"/>
  <c r="G179" i="16" s="1"/>
  <c r="F216" i="16"/>
  <c r="G216" i="16" s="1"/>
  <c r="F232" i="16"/>
  <c r="G232" i="16" s="1"/>
  <c r="G362" i="16"/>
  <c r="H362" i="16" s="1"/>
  <c r="G364" i="16"/>
  <c r="H364" i="16" s="1"/>
  <c r="G366" i="16"/>
  <c r="H366" i="16" s="1"/>
  <c r="H497" i="16"/>
  <c r="I497" i="16" s="1"/>
  <c r="H561" i="16"/>
  <c r="H411" i="16"/>
  <c r="H549" i="16" s="1"/>
  <c r="H463" i="16"/>
  <c r="I463" i="16" s="1"/>
  <c r="F151" i="16"/>
  <c r="G151" i="16" s="1"/>
  <c r="F178" i="16"/>
  <c r="F215" i="16"/>
  <c r="G215" i="16" s="1"/>
  <c r="F231" i="16"/>
  <c r="G231" i="16" s="1"/>
  <c r="G363" i="16"/>
  <c r="H363" i="16" s="1"/>
  <c r="G365" i="16"/>
  <c r="H365" i="16" s="1"/>
  <c r="H504" i="16"/>
  <c r="I504" i="16" s="1"/>
  <c r="O468" i="16" s="1"/>
  <c r="G510" i="16"/>
  <c r="H510" i="16" s="1"/>
  <c r="I510" i="16" s="1"/>
  <c r="H509" i="16"/>
  <c r="I509" i="16" s="1"/>
  <c r="H457" i="16"/>
  <c r="I457" i="16" s="1"/>
  <c r="F443" i="16"/>
  <c r="G443" i="16" s="1"/>
  <c r="H443" i="16" s="1"/>
  <c r="H563" i="16" s="1"/>
  <c r="H468" i="16"/>
  <c r="I468" i="16" s="1"/>
  <c r="G514" i="16"/>
  <c r="H514" i="16" s="1"/>
  <c r="I514" i="16" s="1"/>
  <c r="H513" i="16"/>
  <c r="I513" i="16" s="1"/>
  <c r="G522" i="16"/>
  <c r="H522" i="16" s="1"/>
  <c r="I522" i="16" s="1"/>
  <c r="G497" i="16"/>
  <c r="H512" i="16"/>
  <c r="I512" i="16" s="1"/>
  <c r="H517" i="16"/>
  <c r="I517" i="16" s="1"/>
  <c r="H485" i="16"/>
  <c r="I485" i="16" s="1"/>
  <c r="I490" i="16"/>
  <c r="G502" i="16"/>
  <c r="H502" i="16" s="1"/>
  <c r="I502" i="16" s="1"/>
  <c r="G521" i="16"/>
  <c r="H521" i="16" s="1"/>
  <c r="I521" i="16" s="1"/>
  <c r="AI287" i="1"/>
  <c r="AC287" i="1"/>
  <c r="AI236" i="1"/>
  <c r="AC236" i="1"/>
  <c r="AU300" i="15"/>
  <c r="G23" i="3"/>
  <c r="W179" i="1"/>
  <c r="M179" i="1"/>
  <c r="D179" i="1"/>
  <c r="W178" i="1"/>
  <c r="M178" i="1"/>
  <c r="D178" i="1"/>
  <c r="BW577" i="15"/>
  <c r="BX577" i="15" s="1"/>
  <c r="BU577" i="15"/>
  <c r="BV577" i="15" s="1"/>
  <c r="H559" i="16" l="1"/>
  <c r="H556" i="16"/>
  <c r="F86" i="16"/>
  <c r="G86" i="16" s="1"/>
  <c r="N468" i="16" s="1"/>
  <c r="F55" i="16"/>
  <c r="G55" i="16" s="1"/>
  <c r="D24" i="16"/>
  <c r="F83" i="16"/>
  <c r="G83" i="16" s="1"/>
  <c r="BJ6" i="15"/>
  <c r="BL6" i="15"/>
  <c r="O17" i="1" s="1"/>
  <c r="AU270" i="15"/>
  <c r="AV300" i="15"/>
  <c r="F102" i="16"/>
  <c r="G102" i="16" s="1"/>
  <c r="F98" i="16"/>
  <c r="F99" i="16"/>
  <c r="G99" i="16" s="1"/>
  <c r="G93" i="16"/>
  <c r="F383" i="16"/>
  <c r="G383" i="16" s="1"/>
  <c r="H383" i="16" s="1"/>
  <c r="H571" i="16" s="1"/>
  <c r="D36" i="16"/>
  <c r="F433" i="16"/>
  <c r="G433" i="16" s="1"/>
  <c r="H433" i="16" s="1"/>
  <c r="F429" i="16"/>
  <c r="G429" i="16" s="1"/>
  <c r="H429" i="16" s="1"/>
  <c r="G425" i="16"/>
  <c r="H425" i="16" s="1"/>
  <c r="F131" i="16"/>
  <c r="F134" i="16"/>
  <c r="G134" i="16" s="1"/>
  <c r="F132" i="16"/>
  <c r="G132" i="16" s="1"/>
  <c r="G126" i="16"/>
  <c r="F139" i="16"/>
  <c r="G139" i="16" s="1"/>
  <c r="F251" i="16"/>
  <c r="G251" i="16" s="1"/>
  <c r="F249" i="16"/>
  <c r="G249" i="16" s="1"/>
  <c r="G241" i="16"/>
  <c r="G155" i="16"/>
  <c r="F201" i="16"/>
  <c r="F238" i="16" s="1"/>
  <c r="F258" i="16" s="1"/>
  <c r="F277" i="16" s="1"/>
  <c r="F291" i="16" s="1"/>
  <c r="F172" i="16"/>
  <c r="F188" i="16" s="1"/>
  <c r="F431" i="16"/>
  <c r="G430" i="16"/>
  <c r="H430" i="16" s="1"/>
  <c r="G262" i="16"/>
  <c r="F274" i="16"/>
  <c r="G274" i="16" s="1"/>
  <c r="F269" i="16"/>
  <c r="G269" i="16" s="1"/>
  <c r="F90" i="16"/>
  <c r="G82" i="16"/>
  <c r="G90" i="16" s="1"/>
  <c r="G405" i="16"/>
  <c r="H339" i="16"/>
  <c r="F155" i="16"/>
  <c r="F253" i="16"/>
  <c r="G253" i="16" s="1"/>
  <c r="F254" i="16"/>
  <c r="G254" i="16" s="1"/>
  <c r="F252" i="16"/>
  <c r="G252" i="16" s="1"/>
  <c r="G243" i="16"/>
  <c r="F267" i="16"/>
  <c r="G267" i="16" s="1"/>
  <c r="G259" i="16"/>
  <c r="F266" i="16"/>
  <c r="G266" i="16" s="1"/>
  <c r="F265" i="16"/>
  <c r="F255" i="16"/>
  <c r="G255" i="16" s="1"/>
  <c r="F247" i="16"/>
  <c r="G247" i="16" s="1"/>
  <c r="F245" i="16"/>
  <c r="F246" i="16"/>
  <c r="G246" i="16" s="1"/>
  <c r="G239" i="16"/>
  <c r="F435" i="16"/>
  <c r="G434" i="16"/>
  <c r="H434" i="16" s="1"/>
  <c r="G499" i="16"/>
  <c r="H499" i="16" s="1"/>
  <c r="I499" i="16" s="1"/>
  <c r="G498" i="16"/>
  <c r="H498" i="16" s="1"/>
  <c r="I498" i="16" s="1"/>
  <c r="F213" i="16"/>
  <c r="G213" i="16" s="1"/>
  <c r="F211" i="16"/>
  <c r="G211" i="16" s="1"/>
  <c r="G204" i="16"/>
  <c r="G326" i="16"/>
  <c r="F331" i="16"/>
  <c r="G331" i="16" s="1"/>
  <c r="F330" i="16"/>
  <c r="F69" i="16"/>
  <c r="G65" i="16"/>
  <c r="F72" i="16"/>
  <c r="G72" i="16" s="1"/>
  <c r="F70" i="16"/>
  <c r="G70" i="16" s="1"/>
  <c r="G505" i="16"/>
  <c r="H505" i="16" s="1"/>
  <c r="I505" i="16" s="1"/>
  <c r="H469" i="16"/>
  <c r="I469" i="16" s="1"/>
  <c r="F424" i="16"/>
  <c r="G424" i="16" s="1"/>
  <c r="H424" i="16" s="1"/>
  <c r="G422" i="16"/>
  <c r="F423" i="16"/>
  <c r="G423" i="16" s="1"/>
  <c r="H423" i="16" s="1"/>
  <c r="P468" i="16"/>
  <c r="G178" i="16"/>
  <c r="G186" i="16" s="1"/>
  <c r="F186" i="16"/>
  <c r="F250" i="16"/>
  <c r="G250" i="16" s="1"/>
  <c r="F248" i="16"/>
  <c r="G248" i="16" s="1"/>
  <c r="G242" i="16"/>
  <c r="G280" i="16"/>
  <c r="F288" i="16"/>
  <c r="G288" i="16" s="1"/>
  <c r="F286" i="16"/>
  <c r="G286" i="16" s="1"/>
  <c r="G40" i="16"/>
  <c r="F47" i="16"/>
  <c r="G47" i="16" s="1"/>
  <c r="F46" i="16"/>
  <c r="F61" i="16"/>
  <c r="G61" i="16" s="1"/>
  <c r="F54" i="16"/>
  <c r="G54" i="16" s="1"/>
  <c r="F52" i="16"/>
  <c r="G52" i="16" s="1"/>
  <c r="F214" i="16"/>
  <c r="G214" i="16" s="1"/>
  <c r="F212" i="16"/>
  <c r="G212" i="16" s="1"/>
  <c r="G205" i="16"/>
  <c r="F283" i="16"/>
  <c r="F219" i="16"/>
  <c r="G219" i="16" s="1"/>
  <c r="F209" i="16"/>
  <c r="G209" i="16" s="1"/>
  <c r="F210" i="16"/>
  <c r="G210" i="16" s="1"/>
  <c r="F208" i="16"/>
  <c r="G202" i="16"/>
  <c r="F170" i="16"/>
  <c r="G163" i="16"/>
  <c r="G170" i="16" s="1"/>
  <c r="I456" i="16"/>
  <c r="H486" i="16"/>
  <c r="F235" i="16"/>
  <c r="G235" i="16" s="1"/>
  <c r="F229" i="16"/>
  <c r="G229" i="16" s="1"/>
  <c r="F230" i="16"/>
  <c r="G230" i="16" s="1"/>
  <c r="F228" i="16"/>
  <c r="G223" i="16"/>
  <c r="F428" i="16"/>
  <c r="G428" i="16" s="1"/>
  <c r="H428" i="16" s="1"/>
  <c r="G426" i="16"/>
  <c r="H426" i="16" s="1"/>
  <c r="F427" i="16"/>
  <c r="G427" i="16" s="1"/>
  <c r="H427" i="16" s="1"/>
  <c r="N179" i="1"/>
  <c r="I537" i="16" l="1"/>
  <c r="H552" i="16"/>
  <c r="AU6" i="15"/>
  <c r="O173" i="1" s="1"/>
  <c r="AV270" i="15"/>
  <c r="O13" i="1"/>
  <c r="O24" i="1"/>
  <c r="F62" i="16"/>
  <c r="G46" i="16"/>
  <c r="F73" i="16"/>
  <c r="G69" i="16"/>
  <c r="G73" i="16" s="1"/>
  <c r="I486" i="16"/>
  <c r="H562" i="16"/>
  <c r="G283" i="16"/>
  <c r="G289" i="16" s="1"/>
  <c r="F289" i="16"/>
  <c r="G265" i="16"/>
  <c r="G275" i="16" s="1"/>
  <c r="F275" i="16"/>
  <c r="H537" i="16"/>
  <c r="F256" i="16"/>
  <c r="G245" i="16"/>
  <c r="G256" i="16" s="1"/>
  <c r="H405" i="16"/>
  <c r="H547" i="16"/>
  <c r="F140" i="16"/>
  <c r="G131" i="16"/>
  <c r="G140" i="16" s="1"/>
  <c r="G98" i="16"/>
  <c r="G105" i="16" s="1"/>
  <c r="F105" i="16"/>
  <c r="F236" i="16"/>
  <c r="G228" i="16"/>
  <c r="G236" i="16" s="1"/>
  <c r="F220" i="16"/>
  <c r="G208" i="16"/>
  <c r="G220" i="16" s="1"/>
  <c r="H422" i="16"/>
  <c r="G330" i="16"/>
  <c r="G334" i="16" s="1"/>
  <c r="F334" i="16"/>
  <c r="F311" i="16"/>
  <c r="F325" i="16"/>
  <c r="G435" i="16"/>
  <c r="H435" i="16" s="1"/>
  <c r="F436" i="16"/>
  <c r="G436" i="16" s="1"/>
  <c r="H436" i="16" s="1"/>
  <c r="G431" i="16"/>
  <c r="H431" i="16" s="1"/>
  <c r="F432" i="16"/>
  <c r="G432" i="16" s="1"/>
  <c r="H432" i="16" s="1"/>
  <c r="O168" i="1" l="1"/>
  <c r="O172" i="1"/>
  <c r="O169" i="1"/>
  <c r="H553" i="16"/>
  <c r="G62" i="16"/>
  <c r="H451" i="16"/>
  <c r="H554" i="16"/>
  <c r="F222" i="16"/>
  <c r="F337" i="16"/>
  <c r="F408" i="16" s="1"/>
  <c r="H455" i="16" s="1"/>
  <c r="H488" i="16" s="1"/>
  <c r="H542" i="16" s="1"/>
  <c r="G451" i="16"/>
  <c r="H540" i="16" s="1"/>
  <c r="H541" i="16" s="1"/>
  <c r="Y861" i="15"/>
  <c r="AA861" i="15" s="1"/>
  <c r="AB861" i="15" s="1"/>
  <c r="U861" i="15"/>
  <c r="Y860" i="15"/>
  <c r="AA860" i="15" s="1"/>
  <c r="AB860" i="15" s="1"/>
  <c r="U860" i="15"/>
  <c r="Y859" i="15"/>
  <c r="AA859" i="15" s="1"/>
  <c r="AB859" i="15" s="1"/>
  <c r="U859" i="15"/>
  <c r="Y858" i="15"/>
  <c r="AA858" i="15" s="1"/>
  <c r="AB858" i="15" s="1"/>
  <c r="U858" i="15"/>
  <c r="Y857" i="15"/>
  <c r="AA857" i="15" s="1"/>
  <c r="AB857" i="15" s="1"/>
  <c r="U857" i="15"/>
  <c r="Y856" i="15"/>
  <c r="AA856" i="15" s="1"/>
  <c r="AB856" i="15" s="1"/>
  <c r="U856" i="15"/>
  <c r="Y855" i="15"/>
  <c r="AA855" i="15" s="1"/>
  <c r="AB855" i="15" s="1"/>
  <c r="U855" i="15"/>
  <c r="Y854" i="15"/>
  <c r="AA854" i="15" s="1"/>
  <c r="AB854" i="15" s="1"/>
  <c r="U854" i="15"/>
  <c r="Y853" i="15"/>
  <c r="AA853" i="15" s="1"/>
  <c r="AB853" i="15" s="1"/>
  <c r="U853" i="15"/>
  <c r="Y852" i="15"/>
  <c r="AA852" i="15" s="1"/>
  <c r="AB852" i="15" s="1"/>
  <c r="U852" i="15"/>
  <c r="Y851" i="15"/>
  <c r="AA851" i="15" s="1"/>
  <c r="AB851" i="15" s="1"/>
  <c r="U851" i="15"/>
  <c r="Y850" i="15"/>
  <c r="AA850" i="15" s="1"/>
  <c r="AB850" i="15" s="1"/>
  <c r="U850" i="15"/>
  <c r="Y849" i="15"/>
  <c r="AA849" i="15" s="1"/>
  <c r="AB849" i="15" s="1"/>
  <c r="U849" i="15"/>
  <c r="Y848" i="15"/>
  <c r="AA848" i="15" s="1"/>
  <c r="AB848" i="15" s="1"/>
  <c r="U848" i="15"/>
  <c r="Y847" i="15"/>
  <c r="AA847" i="15" s="1"/>
  <c r="AB847" i="15" s="1"/>
  <c r="U847" i="15"/>
  <c r="Y846" i="15"/>
  <c r="AA846" i="15" s="1"/>
  <c r="AB846" i="15" s="1"/>
  <c r="U846" i="15"/>
  <c r="Y845" i="15"/>
  <c r="AA845" i="15" s="1"/>
  <c r="AB845" i="15" s="1"/>
  <c r="U845" i="15"/>
  <c r="Y844" i="15"/>
  <c r="AA844" i="15" s="1"/>
  <c r="AB844" i="15" s="1"/>
  <c r="U844" i="15"/>
  <c r="Y843" i="15"/>
  <c r="AA843" i="15" s="1"/>
  <c r="AB843" i="15" s="1"/>
  <c r="U843" i="15"/>
  <c r="Y842" i="15"/>
  <c r="AA842" i="15" s="1"/>
  <c r="AB842" i="15" s="1"/>
  <c r="U842" i="15"/>
  <c r="Y841" i="15"/>
  <c r="AA841" i="15" s="1"/>
  <c r="AB841" i="15" s="1"/>
  <c r="U841" i="15"/>
  <c r="Y840" i="15"/>
  <c r="AA840" i="15" s="1"/>
  <c r="AB840" i="15" s="1"/>
  <c r="U840" i="15"/>
  <c r="Y839" i="15"/>
  <c r="AA839" i="15" s="1"/>
  <c r="AB839" i="15" s="1"/>
  <c r="U839" i="15"/>
  <c r="Y838" i="15"/>
  <c r="AA838" i="15" s="1"/>
  <c r="AB838" i="15" s="1"/>
  <c r="U838" i="15"/>
  <c r="Y837" i="15"/>
  <c r="AA837" i="15" s="1"/>
  <c r="AB837" i="15" s="1"/>
  <c r="U837" i="15"/>
  <c r="Y836" i="15"/>
  <c r="AA836" i="15" s="1"/>
  <c r="AB836" i="15" s="1"/>
  <c r="U836" i="15"/>
  <c r="Y835" i="15"/>
  <c r="AA835" i="15" s="1"/>
  <c r="AB835" i="15" s="1"/>
  <c r="U835" i="15"/>
  <c r="Y834" i="15"/>
  <c r="AA834" i="15" s="1"/>
  <c r="AB834" i="15" s="1"/>
  <c r="U834" i="15"/>
  <c r="Y833" i="15"/>
  <c r="AA833" i="15" s="1"/>
  <c r="AB833" i="15" s="1"/>
  <c r="U833" i="15"/>
  <c r="Y832" i="15"/>
  <c r="AA832" i="15" s="1"/>
  <c r="AB832" i="15" s="1"/>
  <c r="U832" i="15"/>
  <c r="Y831" i="15"/>
  <c r="AA831" i="15" s="1"/>
  <c r="AB831" i="15" s="1"/>
  <c r="U831" i="15"/>
  <c r="Y830" i="15"/>
  <c r="AA830" i="15" s="1"/>
  <c r="AB830" i="15" s="1"/>
  <c r="U830" i="15"/>
  <c r="Y829" i="15"/>
  <c r="AA829" i="15" s="1"/>
  <c r="AB829" i="15" s="1"/>
  <c r="U829" i="15"/>
  <c r="Y828" i="15"/>
  <c r="AA828" i="15" s="1"/>
  <c r="W828" i="15"/>
  <c r="T828" i="15"/>
  <c r="S828" i="15"/>
  <c r="R828" i="15"/>
  <c r="Q828" i="15"/>
  <c r="P828" i="15"/>
  <c r="O828" i="15"/>
  <c r="N828" i="15"/>
  <c r="M828" i="15"/>
  <c r="L828" i="15"/>
  <c r="K828" i="15"/>
  <c r="J828" i="15"/>
  <c r="I828" i="15"/>
  <c r="H828" i="15"/>
  <c r="G828" i="15"/>
  <c r="F828" i="15"/>
  <c r="E828" i="15"/>
  <c r="D828" i="15"/>
  <c r="C828" i="15"/>
  <c r="Y826" i="15"/>
  <c r="AA826" i="15" s="1"/>
  <c r="AB826" i="15" s="1"/>
  <c r="U826" i="15"/>
  <c r="Y825" i="15"/>
  <c r="AA825" i="15" s="1"/>
  <c r="AB825" i="15" s="1"/>
  <c r="U825" i="15"/>
  <c r="Y824" i="15"/>
  <c r="AA824" i="15" s="1"/>
  <c r="AB824" i="15" s="1"/>
  <c r="U824" i="15"/>
  <c r="Y823" i="15"/>
  <c r="AA823" i="15" s="1"/>
  <c r="AB823" i="15" s="1"/>
  <c r="U823" i="15"/>
  <c r="Y822" i="15"/>
  <c r="AA822" i="15" s="1"/>
  <c r="AB822" i="15" s="1"/>
  <c r="U822" i="15"/>
  <c r="Y821" i="15"/>
  <c r="AA821" i="15" s="1"/>
  <c r="AB821" i="15" s="1"/>
  <c r="U821" i="15"/>
  <c r="Y820" i="15"/>
  <c r="AA820" i="15" s="1"/>
  <c r="AB820" i="15" s="1"/>
  <c r="U820" i="15"/>
  <c r="Y819" i="15"/>
  <c r="AA819" i="15" s="1"/>
  <c r="AB819" i="15" s="1"/>
  <c r="U819" i="15"/>
  <c r="Y818" i="15"/>
  <c r="AA818" i="15" s="1"/>
  <c r="AB818" i="15" s="1"/>
  <c r="U818" i="15"/>
  <c r="Y817" i="15"/>
  <c r="AA817" i="15" s="1"/>
  <c r="AB817" i="15" s="1"/>
  <c r="U817" i="15"/>
  <c r="Y816" i="15"/>
  <c r="AA816" i="15" s="1"/>
  <c r="AB816" i="15" s="1"/>
  <c r="U816" i="15"/>
  <c r="Y815" i="15"/>
  <c r="AA815" i="15" s="1"/>
  <c r="AB815" i="15" s="1"/>
  <c r="U815" i="15"/>
  <c r="Y814" i="15"/>
  <c r="AA814" i="15" s="1"/>
  <c r="AB814" i="15" s="1"/>
  <c r="U814" i="15"/>
  <c r="Y813" i="15"/>
  <c r="AA813" i="15" s="1"/>
  <c r="AB813" i="15" s="1"/>
  <c r="U813" i="15"/>
  <c r="Y812" i="15"/>
  <c r="AA812" i="15" s="1"/>
  <c r="AB812" i="15" s="1"/>
  <c r="U812" i="15"/>
  <c r="Y811" i="15"/>
  <c r="AA811" i="15" s="1"/>
  <c r="AB811" i="15" s="1"/>
  <c r="U811" i="15"/>
  <c r="Y810" i="15"/>
  <c r="AA810" i="15" s="1"/>
  <c r="AB810" i="15" s="1"/>
  <c r="U810" i="15"/>
  <c r="Y809" i="15"/>
  <c r="AA809" i="15" s="1"/>
  <c r="AB809" i="15" s="1"/>
  <c r="U809" i="15"/>
  <c r="Y808" i="15"/>
  <c r="AA808" i="15" s="1"/>
  <c r="AB808" i="15" s="1"/>
  <c r="U808" i="15"/>
  <c r="Y807" i="15"/>
  <c r="AA807" i="15" s="1"/>
  <c r="AB807" i="15" s="1"/>
  <c r="U807" i="15"/>
  <c r="Y806" i="15"/>
  <c r="AA806" i="15" s="1"/>
  <c r="AB806" i="15" s="1"/>
  <c r="U806" i="15"/>
  <c r="Y805" i="15"/>
  <c r="AA805" i="15" s="1"/>
  <c r="AB805" i="15" s="1"/>
  <c r="U805" i="15"/>
  <c r="Y804" i="15"/>
  <c r="AA804" i="15" s="1"/>
  <c r="AB804" i="15" s="1"/>
  <c r="U804" i="15"/>
  <c r="Y803" i="15"/>
  <c r="AA803" i="15" s="1"/>
  <c r="AB803" i="15" s="1"/>
  <c r="U803" i="15"/>
  <c r="Y802" i="15"/>
  <c r="AA802" i="15" s="1"/>
  <c r="AB802" i="15" s="1"/>
  <c r="U802" i="15"/>
  <c r="Y801" i="15"/>
  <c r="AA801" i="15" s="1"/>
  <c r="AB801" i="15" s="1"/>
  <c r="U801" i="15"/>
  <c r="Y800" i="15"/>
  <c r="AA800" i="15" s="1"/>
  <c r="AB800" i="15" s="1"/>
  <c r="U800" i="15"/>
  <c r="Y799" i="15"/>
  <c r="AA799" i="15" s="1"/>
  <c r="AB799" i="15" s="1"/>
  <c r="U799" i="15"/>
  <c r="Y798" i="15"/>
  <c r="AA798" i="15" s="1"/>
  <c r="AB798" i="15" s="1"/>
  <c r="U798" i="15"/>
  <c r="Y797" i="15"/>
  <c r="AA797" i="15" s="1"/>
  <c r="AB797" i="15" s="1"/>
  <c r="U797" i="15"/>
  <c r="Y796" i="15"/>
  <c r="AA796" i="15" s="1"/>
  <c r="W796" i="15"/>
  <c r="T796" i="15"/>
  <c r="S796" i="15"/>
  <c r="R796" i="15"/>
  <c r="Q796" i="15"/>
  <c r="P796" i="15"/>
  <c r="O796" i="15"/>
  <c r="N796" i="15"/>
  <c r="M796" i="15"/>
  <c r="L796" i="15"/>
  <c r="K796" i="15"/>
  <c r="J796" i="15"/>
  <c r="I796" i="15"/>
  <c r="H796" i="15"/>
  <c r="G796" i="15"/>
  <c r="F796" i="15"/>
  <c r="E796" i="15"/>
  <c r="D796" i="15"/>
  <c r="C796" i="15"/>
  <c r="Y794" i="15"/>
  <c r="AA794" i="15" s="1"/>
  <c r="AB794" i="15" s="1"/>
  <c r="U794" i="15"/>
  <c r="Y793" i="15"/>
  <c r="AA793" i="15" s="1"/>
  <c r="AB793" i="15" s="1"/>
  <c r="U793" i="15"/>
  <c r="Y792" i="15"/>
  <c r="AA792" i="15" s="1"/>
  <c r="AB792" i="15" s="1"/>
  <c r="U792" i="15"/>
  <c r="Y791" i="15"/>
  <c r="AA791" i="15" s="1"/>
  <c r="AB791" i="15" s="1"/>
  <c r="U791" i="15"/>
  <c r="Y790" i="15"/>
  <c r="AA790" i="15" s="1"/>
  <c r="AB790" i="15" s="1"/>
  <c r="U790" i="15"/>
  <c r="Y789" i="15"/>
  <c r="AA789" i="15" s="1"/>
  <c r="AB789" i="15" s="1"/>
  <c r="U789" i="15"/>
  <c r="Y788" i="15"/>
  <c r="AA788" i="15" s="1"/>
  <c r="AB788" i="15" s="1"/>
  <c r="U788" i="15"/>
  <c r="Y787" i="15"/>
  <c r="AA787" i="15" s="1"/>
  <c r="AB787" i="15" s="1"/>
  <c r="U787" i="15"/>
  <c r="Y786" i="15"/>
  <c r="AA786" i="15" s="1"/>
  <c r="AB786" i="15" s="1"/>
  <c r="U786" i="15"/>
  <c r="Y785" i="15"/>
  <c r="AA785" i="15" s="1"/>
  <c r="AB785" i="15" s="1"/>
  <c r="U785" i="15"/>
  <c r="Y784" i="15"/>
  <c r="AA784" i="15" s="1"/>
  <c r="AB784" i="15" s="1"/>
  <c r="U784" i="15"/>
  <c r="Y783" i="15"/>
  <c r="AA783" i="15" s="1"/>
  <c r="AB783" i="15" s="1"/>
  <c r="U783" i="15"/>
  <c r="Y782" i="15"/>
  <c r="AA782" i="15" s="1"/>
  <c r="AB782" i="15" s="1"/>
  <c r="U782" i="15"/>
  <c r="Y781" i="15"/>
  <c r="AA781" i="15" s="1"/>
  <c r="AB781" i="15" s="1"/>
  <c r="U781" i="15"/>
  <c r="Y780" i="15"/>
  <c r="AA780" i="15" s="1"/>
  <c r="AB780" i="15" s="1"/>
  <c r="U780" i="15"/>
  <c r="Y779" i="15"/>
  <c r="AA779" i="15" s="1"/>
  <c r="AB779" i="15" s="1"/>
  <c r="U779" i="15"/>
  <c r="Y778" i="15"/>
  <c r="AA778" i="15" s="1"/>
  <c r="AB778" i="15" s="1"/>
  <c r="U778" i="15"/>
  <c r="Y777" i="15"/>
  <c r="AA777" i="15" s="1"/>
  <c r="AB777" i="15" s="1"/>
  <c r="U777" i="15"/>
  <c r="Y776" i="15"/>
  <c r="AA776" i="15" s="1"/>
  <c r="W776" i="15"/>
  <c r="T776" i="15"/>
  <c r="S776" i="15"/>
  <c r="R776" i="15"/>
  <c r="Q776" i="15"/>
  <c r="P776" i="15"/>
  <c r="O776" i="15"/>
  <c r="N776" i="15"/>
  <c r="M776" i="15"/>
  <c r="L776" i="15"/>
  <c r="K776" i="15"/>
  <c r="J776" i="15"/>
  <c r="I776" i="15"/>
  <c r="H776" i="15"/>
  <c r="G776" i="15"/>
  <c r="F776" i="15"/>
  <c r="E776" i="15"/>
  <c r="D776" i="15"/>
  <c r="C776" i="15"/>
  <c r="Y772" i="15"/>
  <c r="AA772" i="15" s="1"/>
  <c r="AB772" i="15" s="1"/>
  <c r="U772" i="15"/>
  <c r="Y771" i="15"/>
  <c r="AA771" i="15" s="1"/>
  <c r="AB771" i="15" s="1"/>
  <c r="U771" i="15"/>
  <c r="Y770" i="15"/>
  <c r="AA770" i="15" s="1"/>
  <c r="AB770" i="15" s="1"/>
  <c r="U770" i="15"/>
  <c r="Y769" i="15"/>
  <c r="AA769" i="15" s="1"/>
  <c r="AB769" i="15" s="1"/>
  <c r="U769" i="15"/>
  <c r="Y768" i="15"/>
  <c r="AA768" i="15" s="1"/>
  <c r="AB768" i="15" s="1"/>
  <c r="U768" i="15"/>
  <c r="Y767" i="15"/>
  <c r="AA767" i="15" s="1"/>
  <c r="AB767" i="15" s="1"/>
  <c r="U767" i="15"/>
  <c r="Y766" i="15"/>
  <c r="AA766" i="15" s="1"/>
  <c r="AB766" i="15" s="1"/>
  <c r="U766" i="15"/>
  <c r="Y765" i="15"/>
  <c r="AA765" i="15" s="1"/>
  <c r="AB765" i="15" s="1"/>
  <c r="U765" i="15"/>
  <c r="Y764" i="15"/>
  <c r="AA764" i="15" s="1"/>
  <c r="AB764" i="15" s="1"/>
  <c r="U764" i="15"/>
  <c r="Y763" i="15"/>
  <c r="AA763" i="15" s="1"/>
  <c r="AB763" i="15" s="1"/>
  <c r="U763" i="15"/>
  <c r="Y762" i="15"/>
  <c r="AA762" i="15" s="1"/>
  <c r="AB762" i="15" s="1"/>
  <c r="U762" i="15"/>
  <c r="Y761" i="15"/>
  <c r="AA761" i="15" s="1"/>
  <c r="AB761" i="15" s="1"/>
  <c r="U761" i="15"/>
  <c r="Y760" i="15"/>
  <c r="AA760" i="15" s="1"/>
  <c r="AB760" i="15" s="1"/>
  <c r="U760" i="15"/>
  <c r="Y759" i="15"/>
  <c r="AA759" i="15" s="1"/>
  <c r="AB759" i="15" s="1"/>
  <c r="U759" i="15"/>
  <c r="Y758" i="15"/>
  <c r="AA758" i="15" s="1"/>
  <c r="AB758" i="15" s="1"/>
  <c r="U758" i="15"/>
  <c r="Y774" i="15"/>
  <c r="AA774" i="15" s="1"/>
  <c r="AB774" i="15" s="1"/>
  <c r="U774" i="15"/>
  <c r="Y773" i="15"/>
  <c r="AA773" i="15" s="1"/>
  <c r="AB773" i="15" s="1"/>
  <c r="U773" i="15"/>
  <c r="Y757" i="15"/>
  <c r="AA757" i="15" s="1"/>
  <c r="AB757" i="15" s="1"/>
  <c r="U757" i="15"/>
  <c r="Y756" i="15"/>
  <c r="AA756" i="15" s="1"/>
  <c r="AB756" i="15" s="1"/>
  <c r="U756" i="15"/>
  <c r="Y755" i="15"/>
  <c r="AA755" i="15" s="1"/>
  <c r="AB755" i="15" s="1"/>
  <c r="U755" i="15"/>
  <c r="Y754" i="15"/>
  <c r="AA754" i="15" s="1"/>
  <c r="W754" i="15"/>
  <c r="T754" i="15"/>
  <c r="S754" i="15"/>
  <c r="R754" i="15"/>
  <c r="Q754" i="15"/>
  <c r="P754" i="15"/>
  <c r="O754" i="15"/>
  <c r="N754" i="15"/>
  <c r="M754" i="15"/>
  <c r="L754" i="15"/>
  <c r="K754" i="15"/>
  <c r="J754" i="15"/>
  <c r="I754" i="15"/>
  <c r="H754" i="15"/>
  <c r="G754" i="15"/>
  <c r="F754" i="15"/>
  <c r="E754" i="15"/>
  <c r="D754" i="15"/>
  <c r="C754" i="15"/>
  <c r="Y752" i="15"/>
  <c r="AA752" i="15" s="1"/>
  <c r="AB752" i="15" s="1"/>
  <c r="U752" i="15"/>
  <c r="Y751" i="15"/>
  <c r="AA751" i="15" s="1"/>
  <c r="AB751" i="15" s="1"/>
  <c r="U751" i="15"/>
  <c r="Y750" i="15"/>
  <c r="AA750" i="15" s="1"/>
  <c r="AB750" i="15" s="1"/>
  <c r="U750" i="15"/>
  <c r="Y749" i="15"/>
  <c r="AA749" i="15" s="1"/>
  <c r="AB749" i="15" s="1"/>
  <c r="U749" i="15"/>
  <c r="Y748" i="15"/>
  <c r="AA748" i="15" s="1"/>
  <c r="AB748" i="15" s="1"/>
  <c r="U748" i="15"/>
  <c r="Y747" i="15"/>
  <c r="AA747" i="15" s="1"/>
  <c r="AB747" i="15" s="1"/>
  <c r="U747" i="15"/>
  <c r="Y746" i="15"/>
  <c r="AA746" i="15" s="1"/>
  <c r="AB746" i="15" s="1"/>
  <c r="U746" i="15"/>
  <c r="Y745" i="15"/>
  <c r="AA745" i="15" s="1"/>
  <c r="AB745" i="15" s="1"/>
  <c r="U745" i="15"/>
  <c r="Y744" i="15"/>
  <c r="AA744" i="15" s="1"/>
  <c r="AB744" i="15" s="1"/>
  <c r="U744" i="15"/>
  <c r="Y743" i="15"/>
  <c r="AA743" i="15" s="1"/>
  <c r="AB743" i="15" s="1"/>
  <c r="U743" i="15"/>
  <c r="Y742" i="15"/>
  <c r="AA742" i="15" s="1"/>
  <c r="AB742" i="15" s="1"/>
  <c r="U742" i="15"/>
  <c r="Y741" i="15"/>
  <c r="AA741" i="15" s="1"/>
  <c r="AB741" i="15" s="1"/>
  <c r="U741" i="15"/>
  <c r="Y740" i="15"/>
  <c r="AA740" i="15" s="1"/>
  <c r="AB740" i="15" s="1"/>
  <c r="U740" i="15"/>
  <c r="Y739" i="15"/>
  <c r="AA739" i="15" s="1"/>
  <c r="AB739" i="15" s="1"/>
  <c r="U739" i="15"/>
  <c r="Y738" i="15"/>
  <c r="AA738" i="15" s="1"/>
  <c r="AB738" i="15" s="1"/>
  <c r="U738" i="15"/>
  <c r="Y737" i="15"/>
  <c r="AA737" i="15" s="1"/>
  <c r="AB737" i="15" s="1"/>
  <c r="U737" i="15"/>
  <c r="Y736" i="15"/>
  <c r="AA736" i="15" s="1"/>
  <c r="AB736" i="15" s="1"/>
  <c r="U736" i="15"/>
  <c r="Y735" i="15"/>
  <c r="AA735" i="15" s="1"/>
  <c r="AB735" i="15" s="1"/>
  <c r="U735" i="15"/>
  <c r="Y734" i="15"/>
  <c r="AA734" i="15" s="1"/>
  <c r="AB734" i="15" s="1"/>
  <c r="U734" i="15"/>
  <c r="Y733" i="15"/>
  <c r="AA733" i="15" s="1"/>
  <c r="AB733" i="15" s="1"/>
  <c r="U733" i="15"/>
  <c r="Y732" i="15"/>
  <c r="AA732" i="15" s="1"/>
  <c r="W732" i="15"/>
  <c r="T732" i="15"/>
  <c r="S732" i="15"/>
  <c r="R732" i="15"/>
  <c r="Q732" i="15"/>
  <c r="P732" i="15"/>
  <c r="O732" i="15"/>
  <c r="N732" i="15"/>
  <c r="M732" i="15"/>
  <c r="L732" i="15"/>
  <c r="K732" i="15"/>
  <c r="J732" i="15"/>
  <c r="I732" i="15"/>
  <c r="H732" i="15"/>
  <c r="G732" i="15"/>
  <c r="F732" i="15"/>
  <c r="E732" i="15"/>
  <c r="D732" i="15"/>
  <c r="C732" i="15"/>
  <c r="Y730" i="15"/>
  <c r="AA730" i="15" s="1"/>
  <c r="AB730" i="15" s="1"/>
  <c r="U730" i="15"/>
  <c r="Y729" i="15"/>
  <c r="AA729" i="15" s="1"/>
  <c r="AB729" i="15" s="1"/>
  <c r="U729" i="15"/>
  <c r="Y728" i="15"/>
  <c r="AA728" i="15" s="1"/>
  <c r="AB728" i="15" s="1"/>
  <c r="U728" i="15"/>
  <c r="Y727" i="15"/>
  <c r="AA727" i="15" s="1"/>
  <c r="AB727" i="15" s="1"/>
  <c r="U727" i="15"/>
  <c r="Y726" i="15"/>
  <c r="AA726" i="15" s="1"/>
  <c r="AB726" i="15" s="1"/>
  <c r="U726" i="15"/>
  <c r="Y725" i="15"/>
  <c r="AA725" i="15" s="1"/>
  <c r="AB725" i="15" s="1"/>
  <c r="U725" i="15"/>
  <c r="Y724" i="15"/>
  <c r="AA724" i="15" s="1"/>
  <c r="AB724" i="15" s="1"/>
  <c r="U724" i="15"/>
  <c r="Y723" i="15"/>
  <c r="AA723" i="15" s="1"/>
  <c r="AB723" i="15" s="1"/>
  <c r="U723" i="15"/>
  <c r="Y722" i="15"/>
  <c r="AA722" i="15" s="1"/>
  <c r="AB722" i="15" s="1"/>
  <c r="U722" i="15"/>
  <c r="Y721" i="15"/>
  <c r="AA721" i="15" s="1"/>
  <c r="AB721" i="15" s="1"/>
  <c r="U721" i="15"/>
  <c r="Y720" i="15"/>
  <c r="AA720" i="15" s="1"/>
  <c r="AB720" i="15" s="1"/>
  <c r="U720" i="15"/>
  <c r="Y719" i="15"/>
  <c r="AA719" i="15" s="1"/>
  <c r="AB719" i="15" s="1"/>
  <c r="U719" i="15"/>
  <c r="Y718" i="15"/>
  <c r="AA718" i="15" s="1"/>
  <c r="AB718" i="15" s="1"/>
  <c r="U718" i="15"/>
  <c r="Y717" i="15"/>
  <c r="AA717" i="15" s="1"/>
  <c r="AB717" i="15" s="1"/>
  <c r="U717" i="15"/>
  <c r="Y716" i="15"/>
  <c r="AA716" i="15" s="1"/>
  <c r="AB716" i="15" s="1"/>
  <c r="U716" i="15"/>
  <c r="Y715" i="15"/>
  <c r="AA715" i="15" s="1"/>
  <c r="AB715" i="15" s="1"/>
  <c r="U715" i="15"/>
  <c r="Y714" i="15"/>
  <c r="AA714" i="15" s="1"/>
  <c r="W714" i="15"/>
  <c r="T714" i="15"/>
  <c r="S714" i="15"/>
  <c r="R714" i="15"/>
  <c r="Q714" i="15"/>
  <c r="P714" i="15"/>
  <c r="O714" i="15"/>
  <c r="N714" i="15"/>
  <c r="M714" i="15"/>
  <c r="L714" i="15"/>
  <c r="K714" i="15"/>
  <c r="J714" i="15"/>
  <c r="I714" i="15"/>
  <c r="H714" i="15"/>
  <c r="G714" i="15"/>
  <c r="F714" i="15"/>
  <c r="E714" i="15"/>
  <c r="D714" i="15"/>
  <c r="C714" i="15"/>
  <c r="X713" i="15"/>
  <c r="Y711" i="15"/>
  <c r="AA711" i="15" s="1"/>
  <c r="AB711" i="15" s="1"/>
  <c r="U711" i="15"/>
  <c r="Y710" i="15"/>
  <c r="AA710" i="15" s="1"/>
  <c r="AB710" i="15" s="1"/>
  <c r="U710" i="15"/>
  <c r="Y709" i="15"/>
  <c r="AA709" i="15" s="1"/>
  <c r="AB709" i="15" s="1"/>
  <c r="U709" i="15"/>
  <c r="Y708" i="15"/>
  <c r="AA708" i="15" s="1"/>
  <c r="AB708" i="15" s="1"/>
  <c r="U708" i="15"/>
  <c r="Y707" i="15"/>
  <c r="AA707" i="15" s="1"/>
  <c r="AB707" i="15" s="1"/>
  <c r="U707" i="15"/>
  <c r="Y706" i="15"/>
  <c r="AA706" i="15" s="1"/>
  <c r="AB706" i="15" s="1"/>
  <c r="U706" i="15"/>
  <c r="Y705" i="15"/>
  <c r="AA705" i="15" s="1"/>
  <c r="AB705" i="15" s="1"/>
  <c r="U705" i="15"/>
  <c r="Y704" i="15"/>
  <c r="AA704" i="15" s="1"/>
  <c r="AB704" i="15" s="1"/>
  <c r="U704" i="15"/>
  <c r="Y703" i="15"/>
  <c r="AA703" i="15" s="1"/>
  <c r="AB703" i="15" s="1"/>
  <c r="U703" i="15"/>
  <c r="Y702" i="15"/>
  <c r="AA702" i="15" s="1"/>
  <c r="AB702" i="15" s="1"/>
  <c r="U702" i="15"/>
  <c r="Y701" i="15"/>
  <c r="AA701" i="15" s="1"/>
  <c r="AB701" i="15" s="1"/>
  <c r="U701" i="15"/>
  <c r="Y700" i="15"/>
  <c r="AA700" i="15" s="1"/>
  <c r="AB700" i="15" s="1"/>
  <c r="U700" i="15"/>
  <c r="Y699" i="15"/>
  <c r="AA699" i="15" s="1"/>
  <c r="AB699" i="15" s="1"/>
  <c r="U699" i="15"/>
  <c r="Y698" i="15"/>
  <c r="AA698" i="15" s="1"/>
  <c r="AB698" i="15" s="1"/>
  <c r="U698" i="15"/>
  <c r="Y697" i="15"/>
  <c r="AA697" i="15" s="1"/>
  <c r="AB697" i="15" s="1"/>
  <c r="U697" i="15"/>
  <c r="Y696" i="15"/>
  <c r="AA696" i="15" s="1"/>
  <c r="AB696" i="15" s="1"/>
  <c r="U696" i="15"/>
  <c r="Y695" i="15"/>
  <c r="AA695" i="15" s="1"/>
  <c r="AB695" i="15" s="1"/>
  <c r="U695" i="15"/>
  <c r="Y694" i="15"/>
  <c r="AA694" i="15" s="1"/>
  <c r="AB694" i="15" s="1"/>
  <c r="U694" i="15"/>
  <c r="Y693" i="15"/>
  <c r="AA693" i="15" s="1"/>
  <c r="AB693" i="15" s="1"/>
  <c r="U693" i="15"/>
  <c r="Y692" i="15"/>
  <c r="AA692" i="15" s="1"/>
  <c r="AB692" i="15" s="1"/>
  <c r="U692" i="15"/>
  <c r="Y691" i="15"/>
  <c r="AA691" i="15" s="1"/>
  <c r="AB691" i="15" s="1"/>
  <c r="U691" i="15"/>
  <c r="Y690" i="15"/>
  <c r="AA690" i="15" s="1"/>
  <c r="AB690" i="15" s="1"/>
  <c r="U690" i="15"/>
  <c r="Y689" i="15"/>
  <c r="AA689" i="15" s="1"/>
  <c r="AB689" i="15" s="1"/>
  <c r="U689" i="15"/>
  <c r="Y688" i="15"/>
  <c r="AA688" i="15" s="1"/>
  <c r="W688" i="15"/>
  <c r="T688" i="15"/>
  <c r="S688" i="15"/>
  <c r="R688" i="15"/>
  <c r="Q688" i="15"/>
  <c r="P688" i="15"/>
  <c r="O688" i="15"/>
  <c r="N688" i="15"/>
  <c r="M688" i="15"/>
  <c r="L688" i="15"/>
  <c r="K688" i="15"/>
  <c r="J688" i="15"/>
  <c r="I688" i="15"/>
  <c r="H688" i="15"/>
  <c r="G688" i="15"/>
  <c r="F688" i="15"/>
  <c r="E688" i="15"/>
  <c r="D688" i="15"/>
  <c r="C688" i="15"/>
  <c r="Y686" i="15"/>
  <c r="AA686" i="15" s="1"/>
  <c r="AB686" i="15" s="1"/>
  <c r="U686" i="15"/>
  <c r="Y685" i="15"/>
  <c r="AA685" i="15" s="1"/>
  <c r="AB685" i="15" s="1"/>
  <c r="U685" i="15"/>
  <c r="Y684" i="15"/>
  <c r="AA684" i="15" s="1"/>
  <c r="AB684" i="15" s="1"/>
  <c r="U684" i="15"/>
  <c r="Y683" i="15"/>
  <c r="AA683" i="15" s="1"/>
  <c r="AB683" i="15" s="1"/>
  <c r="U683" i="15"/>
  <c r="Y682" i="15"/>
  <c r="AA682" i="15" s="1"/>
  <c r="AB682" i="15" s="1"/>
  <c r="U682" i="15"/>
  <c r="Y681" i="15"/>
  <c r="AA681" i="15" s="1"/>
  <c r="AB681" i="15" s="1"/>
  <c r="U681" i="15"/>
  <c r="Y680" i="15"/>
  <c r="AA680" i="15" s="1"/>
  <c r="AB680" i="15" s="1"/>
  <c r="U680" i="15"/>
  <c r="Y679" i="15"/>
  <c r="AA679" i="15" s="1"/>
  <c r="AB679" i="15" s="1"/>
  <c r="U679" i="15"/>
  <c r="Y678" i="15"/>
  <c r="AA678" i="15" s="1"/>
  <c r="AB678" i="15" s="1"/>
  <c r="U678" i="15"/>
  <c r="Y677" i="15"/>
  <c r="AA677" i="15" s="1"/>
  <c r="AB677" i="15" s="1"/>
  <c r="U677" i="15"/>
  <c r="Y676" i="15"/>
  <c r="AA676" i="15" s="1"/>
  <c r="AB676" i="15" s="1"/>
  <c r="U676" i="15"/>
  <c r="Y675" i="15"/>
  <c r="AA675" i="15" s="1"/>
  <c r="AB675" i="15" s="1"/>
  <c r="U675" i="15"/>
  <c r="Y674" i="15"/>
  <c r="AA674" i="15" s="1"/>
  <c r="AB674" i="15" s="1"/>
  <c r="U674" i="15"/>
  <c r="Y673" i="15"/>
  <c r="AA673" i="15" s="1"/>
  <c r="AB673" i="15" s="1"/>
  <c r="U673" i="15"/>
  <c r="Y672" i="15"/>
  <c r="AA672" i="15" s="1"/>
  <c r="AB672" i="15" s="1"/>
  <c r="U672" i="15"/>
  <c r="Y671" i="15"/>
  <c r="AA671" i="15" s="1"/>
  <c r="AB671" i="15" s="1"/>
  <c r="U671" i="15"/>
  <c r="Y670" i="15"/>
  <c r="AA670" i="15" s="1"/>
  <c r="AB670" i="15" s="1"/>
  <c r="U670" i="15"/>
  <c r="Y669" i="15"/>
  <c r="AA669" i="15" s="1"/>
  <c r="AB669" i="15" s="1"/>
  <c r="U669" i="15"/>
  <c r="Y668" i="15"/>
  <c r="AA668" i="15" s="1"/>
  <c r="W668" i="15"/>
  <c r="T668" i="15"/>
  <c r="S668" i="15"/>
  <c r="R668" i="15"/>
  <c r="Q668" i="15"/>
  <c r="P668" i="15"/>
  <c r="O668" i="15"/>
  <c r="N668" i="15"/>
  <c r="M668" i="15"/>
  <c r="L668" i="15"/>
  <c r="K668" i="15"/>
  <c r="J668" i="15"/>
  <c r="I668" i="15"/>
  <c r="H668" i="15"/>
  <c r="G668" i="15"/>
  <c r="F668" i="15"/>
  <c r="E668" i="15"/>
  <c r="D668" i="15"/>
  <c r="C668" i="15"/>
  <c r="Y666" i="15"/>
  <c r="AA666" i="15" s="1"/>
  <c r="AB666" i="15" s="1"/>
  <c r="BJ666" i="15" s="1"/>
  <c r="U666" i="15"/>
  <c r="Y665" i="15"/>
  <c r="AA665" i="15" s="1"/>
  <c r="AB665" i="15" s="1"/>
  <c r="BJ665" i="15" s="1"/>
  <c r="U665" i="15"/>
  <c r="Y664" i="15"/>
  <c r="AA664" i="15" s="1"/>
  <c r="AB664" i="15" s="1"/>
  <c r="BJ664" i="15" s="1"/>
  <c r="U664" i="15"/>
  <c r="Y663" i="15"/>
  <c r="AA663" i="15" s="1"/>
  <c r="AB663" i="15" s="1"/>
  <c r="BJ663" i="15" s="1"/>
  <c r="U663" i="15"/>
  <c r="Y662" i="15"/>
  <c r="AA662" i="15" s="1"/>
  <c r="AB662" i="15" s="1"/>
  <c r="BJ662" i="15" s="1"/>
  <c r="U662" i="15"/>
  <c r="Y661" i="15"/>
  <c r="AA661" i="15" s="1"/>
  <c r="AB661" i="15" s="1"/>
  <c r="BJ661" i="15" s="1"/>
  <c r="U661" i="15"/>
  <c r="Y660" i="15"/>
  <c r="AA660" i="15" s="1"/>
  <c r="AB660" i="15" s="1"/>
  <c r="BJ660" i="15" s="1"/>
  <c r="U660" i="15"/>
  <c r="Y659" i="15"/>
  <c r="AA659" i="15" s="1"/>
  <c r="AB659" i="15" s="1"/>
  <c r="BJ659" i="15" s="1"/>
  <c r="U659" i="15"/>
  <c r="Y658" i="15"/>
  <c r="AA658" i="15" s="1"/>
  <c r="AB658" i="15" s="1"/>
  <c r="BJ658" i="15" s="1"/>
  <c r="U658" i="15"/>
  <c r="Y657" i="15"/>
  <c r="AA657" i="15" s="1"/>
  <c r="AB657" i="15" s="1"/>
  <c r="BJ657" i="15" s="1"/>
  <c r="U657" i="15"/>
  <c r="Y656" i="15"/>
  <c r="AA656" i="15" s="1"/>
  <c r="AB656" i="15" s="1"/>
  <c r="BJ656" i="15" s="1"/>
  <c r="U656" i="15"/>
  <c r="Y655" i="15"/>
  <c r="AA655" i="15" s="1"/>
  <c r="AB655" i="15" s="1"/>
  <c r="BJ655" i="15" s="1"/>
  <c r="U655" i="15"/>
  <c r="Y654" i="15"/>
  <c r="AA654" i="15" s="1"/>
  <c r="AB654" i="15" s="1"/>
  <c r="BJ654" i="15" s="1"/>
  <c r="U654" i="15"/>
  <c r="Y653" i="15"/>
  <c r="AA653" i="15" s="1"/>
  <c r="AB653" i="15" s="1"/>
  <c r="BJ653" i="15" s="1"/>
  <c r="U653" i="15"/>
  <c r="Y652" i="15"/>
  <c r="AA652" i="15" s="1"/>
  <c r="AB652" i="15" s="1"/>
  <c r="BJ652" i="15" s="1"/>
  <c r="U652" i="15"/>
  <c r="Y651" i="15"/>
  <c r="AA651" i="15" s="1"/>
  <c r="AB651" i="15" s="1"/>
  <c r="BJ651" i="15" s="1"/>
  <c r="U651" i="15"/>
  <c r="Y650" i="15"/>
  <c r="AA650" i="15" s="1"/>
  <c r="AB650" i="15" s="1"/>
  <c r="BJ650" i="15" s="1"/>
  <c r="U650" i="15"/>
  <c r="Y649" i="15"/>
  <c r="AA649" i="15" s="1"/>
  <c r="AB649" i="15" s="1"/>
  <c r="BJ649" i="15" s="1"/>
  <c r="U649" i="15"/>
  <c r="Y648" i="15"/>
  <c r="AA648" i="15" s="1"/>
  <c r="AB648" i="15" s="1"/>
  <c r="BJ648" i="15" s="1"/>
  <c r="U648" i="15"/>
  <c r="Y647" i="15"/>
  <c r="AA647" i="15" s="1"/>
  <c r="AB647" i="15" s="1"/>
  <c r="BJ647" i="15" s="1"/>
  <c r="U647" i="15"/>
  <c r="Y646" i="15"/>
  <c r="AA646" i="15" s="1"/>
  <c r="AB646" i="15" s="1"/>
  <c r="BJ646" i="15" s="1"/>
  <c r="U646" i="15"/>
  <c r="Y645" i="15"/>
  <c r="AA645" i="15" s="1"/>
  <c r="AB645" i="15" s="1"/>
  <c r="BJ645" i="15" s="1"/>
  <c r="U645" i="15"/>
  <c r="Y644" i="15"/>
  <c r="AA644" i="15" s="1"/>
  <c r="AB644" i="15" s="1"/>
  <c r="BJ644" i="15" s="1"/>
  <c r="U644" i="15"/>
  <c r="Y643" i="15"/>
  <c r="AA643" i="15" s="1"/>
  <c r="AB643" i="15" s="1"/>
  <c r="BJ643" i="15" s="1"/>
  <c r="U643" i="15"/>
  <c r="Y642" i="15"/>
  <c r="AA642" i="15" s="1"/>
  <c r="AB642" i="15" s="1"/>
  <c r="BJ642" i="15" s="1"/>
  <c r="U642" i="15"/>
  <c r="Y641" i="15"/>
  <c r="AA641" i="15" s="1"/>
  <c r="W641" i="15"/>
  <c r="T641" i="15"/>
  <c r="S641" i="15"/>
  <c r="R641" i="15"/>
  <c r="Q641" i="15"/>
  <c r="P641" i="15"/>
  <c r="O641" i="15"/>
  <c r="N641" i="15"/>
  <c r="M641" i="15"/>
  <c r="L641" i="15"/>
  <c r="K641" i="15"/>
  <c r="J641" i="15"/>
  <c r="I641" i="15"/>
  <c r="H641" i="15"/>
  <c r="G641" i="15"/>
  <c r="F641" i="15"/>
  <c r="E641" i="15"/>
  <c r="D641" i="15"/>
  <c r="C641" i="15"/>
  <c r="Y639" i="15"/>
  <c r="AA639" i="15" s="1"/>
  <c r="AB639" i="15" s="1"/>
  <c r="U639" i="15"/>
  <c r="Y638" i="15"/>
  <c r="AA638" i="15" s="1"/>
  <c r="AB638" i="15" s="1"/>
  <c r="U638" i="15"/>
  <c r="Y637" i="15"/>
  <c r="AA637" i="15" s="1"/>
  <c r="AB637" i="15" s="1"/>
  <c r="U637" i="15"/>
  <c r="Y636" i="15"/>
  <c r="AA636" i="15" s="1"/>
  <c r="AB636" i="15" s="1"/>
  <c r="U636" i="15"/>
  <c r="Y635" i="15"/>
  <c r="AA635" i="15" s="1"/>
  <c r="AB635" i="15" s="1"/>
  <c r="U635" i="15"/>
  <c r="Y634" i="15"/>
  <c r="AA634" i="15" s="1"/>
  <c r="AB634" i="15" s="1"/>
  <c r="U634" i="15"/>
  <c r="Y633" i="15"/>
  <c r="AA633" i="15" s="1"/>
  <c r="AB633" i="15" s="1"/>
  <c r="U633" i="15"/>
  <c r="Y632" i="15"/>
  <c r="AA632" i="15" s="1"/>
  <c r="AB632" i="15" s="1"/>
  <c r="U632" i="15"/>
  <c r="Y631" i="15"/>
  <c r="AA631" i="15" s="1"/>
  <c r="AB631" i="15" s="1"/>
  <c r="U631" i="15"/>
  <c r="Y630" i="15"/>
  <c r="AA630" i="15" s="1"/>
  <c r="AB630" i="15" s="1"/>
  <c r="U630" i="15"/>
  <c r="Y628" i="15"/>
  <c r="AA628" i="15" s="1"/>
  <c r="AB628" i="15" s="1"/>
  <c r="U628" i="15"/>
  <c r="Y627" i="15"/>
  <c r="AA627" i="15" s="1"/>
  <c r="AB627" i="15" s="1"/>
  <c r="U627" i="15"/>
  <c r="Y626" i="15"/>
  <c r="AA626" i="15" s="1"/>
  <c r="AB626" i="15" s="1"/>
  <c r="U626" i="15"/>
  <c r="Y625" i="15"/>
  <c r="AA625" i="15" s="1"/>
  <c r="AB625" i="15" s="1"/>
  <c r="U625" i="15"/>
  <c r="Y624" i="15"/>
  <c r="AA624" i="15" s="1"/>
  <c r="AB624" i="15" s="1"/>
  <c r="U624" i="15"/>
  <c r="Y623" i="15"/>
  <c r="AA623" i="15" s="1"/>
  <c r="AB623" i="15" s="1"/>
  <c r="U623" i="15"/>
  <c r="Y622" i="15"/>
  <c r="AA622" i="15" s="1"/>
  <c r="AB622" i="15" s="1"/>
  <c r="U622" i="15"/>
  <c r="Y621" i="15"/>
  <c r="AA621" i="15" s="1"/>
  <c r="W621" i="15"/>
  <c r="T621" i="15"/>
  <c r="S621" i="15"/>
  <c r="R621" i="15"/>
  <c r="Q621" i="15"/>
  <c r="P621" i="15"/>
  <c r="O621" i="15"/>
  <c r="N621" i="15"/>
  <c r="M621" i="15"/>
  <c r="L621" i="15"/>
  <c r="K621" i="15"/>
  <c r="J621" i="15"/>
  <c r="I621" i="15"/>
  <c r="H621" i="15"/>
  <c r="G621" i="15"/>
  <c r="F621" i="15"/>
  <c r="E621" i="15"/>
  <c r="D621" i="15"/>
  <c r="C621" i="15"/>
  <c r="Y619" i="15"/>
  <c r="AA619" i="15" s="1"/>
  <c r="AB619" i="15" s="1"/>
  <c r="U619" i="15"/>
  <c r="Y618" i="15"/>
  <c r="AA618" i="15" s="1"/>
  <c r="AB618" i="15" s="1"/>
  <c r="U618" i="15"/>
  <c r="Y617" i="15"/>
  <c r="AA617" i="15" s="1"/>
  <c r="AB617" i="15" s="1"/>
  <c r="U617" i="15"/>
  <c r="Y616" i="15"/>
  <c r="AA616" i="15" s="1"/>
  <c r="AB616" i="15" s="1"/>
  <c r="U616" i="15"/>
  <c r="Y615" i="15"/>
  <c r="AA615" i="15" s="1"/>
  <c r="AB615" i="15" s="1"/>
  <c r="U615" i="15"/>
  <c r="Y614" i="15"/>
  <c r="AA614" i="15" s="1"/>
  <c r="AB614" i="15" s="1"/>
  <c r="U614" i="15"/>
  <c r="Y613" i="15"/>
  <c r="AA613" i="15" s="1"/>
  <c r="AB613" i="15" s="1"/>
  <c r="U613" i="15"/>
  <c r="Y612" i="15"/>
  <c r="AA612" i="15" s="1"/>
  <c r="AB612" i="15" s="1"/>
  <c r="U612" i="15"/>
  <c r="Y611" i="15"/>
  <c r="AA611" i="15" s="1"/>
  <c r="W611" i="15"/>
  <c r="T611" i="15"/>
  <c r="S611" i="15"/>
  <c r="R611" i="15"/>
  <c r="Q611" i="15"/>
  <c r="P611" i="15"/>
  <c r="O611" i="15"/>
  <c r="N611" i="15"/>
  <c r="M611" i="15"/>
  <c r="L611" i="15"/>
  <c r="K611" i="15"/>
  <c r="J611" i="15"/>
  <c r="I611" i="15"/>
  <c r="H611" i="15"/>
  <c r="G611" i="15"/>
  <c r="F611" i="15"/>
  <c r="E611" i="15"/>
  <c r="D611" i="15"/>
  <c r="C611" i="15"/>
  <c r="Y609" i="15"/>
  <c r="AA609" i="15" s="1"/>
  <c r="AB609" i="15" s="1"/>
  <c r="BJ609" i="15" s="1"/>
  <c r="U609" i="15"/>
  <c r="Y608" i="15"/>
  <c r="AA608" i="15" s="1"/>
  <c r="AB608" i="15" s="1"/>
  <c r="BJ608" i="15" s="1"/>
  <c r="U608" i="15"/>
  <c r="Y607" i="15"/>
  <c r="AA607" i="15" s="1"/>
  <c r="AB607" i="15" s="1"/>
  <c r="BJ607" i="15" s="1"/>
  <c r="U607" i="15"/>
  <c r="Y606" i="15"/>
  <c r="AA606" i="15" s="1"/>
  <c r="AB606" i="15" s="1"/>
  <c r="BJ606" i="15" s="1"/>
  <c r="U606" i="15"/>
  <c r="Y605" i="15"/>
  <c r="AA605" i="15" s="1"/>
  <c r="AB605" i="15" s="1"/>
  <c r="BJ605" i="15" s="1"/>
  <c r="U605" i="15"/>
  <c r="Y604" i="15"/>
  <c r="AA604" i="15" s="1"/>
  <c r="AB604" i="15" s="1"/>
  <c r="BJ604" i="15" s="1"/>
  <c r="U604" i="15"/>
  <c r="Y603" i="15"/>
  <c r="AA603" i="15" s="1"/>
  <c r="AB603" i="15" s="1"/>
  <c r="BJ603" i="15" s="1"/>
  <c r="U603" i="15"/>
  <c r="Y602" i="15"/>
  <c r="AA602" i="15" s="1"/>
  <c r="AB602" i="15" s="1"/>
  <c r="BJ602" i="15" s="1"/>
  <c r="U602" i="15"/>
  <c r="Y601" i="15"/>
  <c r="AA601" i="15" s="1"/>
  <c r="AB601" i="15" s="1"/>
  <c r="BJ601" i="15" s="1"/>
  <c r="U601" i="15"/>
  <c r="Y600" i="15"/>
  <c r="AA600" i="15" s="1"/>
  <c r="AB600" i="15" s="1"/>
  <c r="BJ600" i="15" s="1"/>
  <c r="U600" i="15"/>
  <c r="Y599" i="15"/>
  <c r="AA599" i="15" s="1"/>
  <c r="AB599" i="15" s="1"/>
  <c r="BJ599" i="15" s="1"/>
  <c r="U599" i="15"/>
  <c r="Y598" i="15"/>
  <c r="AA598" i="15" s="1"/>
  <c r="AB598" i="15" s="1"/>
  <c r="BJ598" i="15" s="1"/>
  <c r="U598" i="15"/>
  <c r="Y597" i="15"/>
  <c r="AA597" i="15" s="1"/>
  <c r="AB597" i="15" s="1"/>
  <c r="BJ597" i="15" s="1"/>
  <c r="U597" i="15"/>
  <c r="Y596" i="15"/>
  <c r="AA596" i="15" s="1"/>
  <c r="AB596" i="15" s="1"/>
  <c r="BJ596" i="15" s="1"/>
  <c r="U596" i="15"/>
  <c r="Y595" i="15"/>
  <c r="AA595" i="15" s="1"/>
  <c r="AB595" i="15" s="1"/>
  <c r="BJ595" i="15" s="1"/>
  <c r="U595" i="15"/>
  <c r="Y594" i="15"/>
  <c r="AA594" i="15" s="1"/>
  <c r="AB594" i="15" s="1"/>
  <c r="BJ594" i="15" s="1"/>
  <c r="U594" i="15"/>
  <c r="Y593" i="15"/>
  <c r="AA593" i="15" s="1"/>
  <c r="AB593" i="15" s="1"/>
  <c r="BJ593" i="15" s="1"/>
  <c r="U593" i="15"/>
  <c r="Y592" i="15"/>
  <c r="AA592" i="15" s="1"/>
  <c r="AB592" i="15" s="1"/>
  <c r="BJ592" i="15" s="1"/>
  <c r="U592" i="15"/>
  <c r="Y591" i="15"/>
  <c r="AA591" i="15" s="1"/>
  <c r="AB591" i="15" s="1"/>
  <c r="BJ591" i="15" s="1"/>
  <c r="U591" i="15"/>
  <c r="Y590" i="15"/>
  <c r="AA590" i="15" s="1"/>
  <c r="AB590" i="15" s="1"/>
  <c r="BJ590" i="15" s="1"/>
  <c r="U590" i="15"/>
  <c r="Y589" i="15"/>
  <c r="AA589" i="15" s="1"/>
  <c r="AB589" i="15" s="1"/>
  <c r="BJ589" i="15" s="1"/>
  <c r="U589" i="15"/>
  <c r="Y588" i="15"/>
  <c r="AA588" i="15" s="1"/>
  <c r="AB588" i="15" s="1"/>
  <c r="BJ588" i="15" s="1"/>
  <c r="U588" i="15"/>
  <c r="Y587" i="15"/>
  <c r="AA587" i="15" s="1"/>
  <c r="AB587" i="15" s="1"/>
  <c r="BJ587" i="15" s="1"/>
  <c r="U587" i="15"/>
  <c r="Y586" i="15"/>
  <c r="AA586" i="15" s="1"/>
  <c r="AB586" i="15" s="1"/>
  <c r="BJ586" i="15" s="1"/>
  <c r="U586" i="15"/>
  <c r="Y585" i="15"/>
  <c r="AA585" i="15" s="1"/>
  <c r="AB585" i="15" s="1"/>
  <c r="BJ585" i="15" s="1"/>
  <c r="U585" i="15"/>
  <c r="Y584" i="15"/>
  <c r="AA584" i="15" s="1"/>
  <c r="AB584" i="15" s="1"/>
  <c r="BJ584" i="15" s="1"/>
  <c r="U584" i="15"/>
  <c r="Y583" i="15"/>
  <c r="AA583" i="15" s="1"/>
  <c r="AB583" i="15" s="1"/>
  <c r="BJ583" i="15" s="1"/>
  <c r="U583" i="15"/>
  <c r="Y582" i="15"/>
  <c r="AA582" i="15" s="1"/>
  <c r="AB582" i="15" s="1"/>
  <c r="BJ582" i="15" s="1"/>
  <c r="U582" i="15"/>
  <c r="Y581" i="15"/>
  <c r="AA581" i="15" s="1"/>
  <c r="AB581" i="15" s="1"/>
  <c r="BJ581" i="15" s="1"/>
  <c r="U581" i="15"/>
  <c r="Y580" i="15"/>
  <c r="AA580" i="15" s="1"/>
  <c r="AB580" i="15" s="1"/>
  <c r="BJ580" i="15" s="1"/>
  <c r="U580" i="15"/>
  <c r="Y579" i="15"/>
  <c r="AA579" i="15" s="1"/>
  <c r="AB579" i="15" s="1"/>
  <c r="BJ579" i="15" s="1"/>
  <c r="U579" i="15"/>
  <c r="Y578" i="15"/>
  <c r="AA578" i="15" s="1"/>
  <c r="W578" i="15"/>
  <c r="T578" i="15"/>
  <c r="S578" i="15"/>
  <c r="R578" i="15"/>
  <c r="Q578" i="15"/>
  <c r="P578" i="15"/>
  <c r="O578" i="15"/>
  <c r="N578" i="15"/>
  <c r="M578" i="15"/>
  <c r="L578" i="15"/>
  <c r="K578" i="15"/>
  <c r="J578" i="15"/>
  <c r="I578" i="15"/>
  <c r="H578" i="15"/>
  <c r="G578" i="15"/>
  <c r="F578" i="15"/>
  <c r="E578" i="15"/>
  <c r="D578" i="15"/>
  <c r="C578" i="15"/>
  <c r="X577" i="15"/>
  <c r="Y575" i="15"/>
  <c r="AA575" i="15" s="1"/>
  <c r="AB575" i="15" s="1"/>
  <c r="U575" i="15"/>
  <c r="Y572" i="15"/>
  <c r="AA572" i="15" s="1"/>
  <c r="AB572" i="15" s="1"/>
  <c r="U572" i="15"/>
  <c r="Y574" i="15"/>
  <c r="AA574" i="15" s="1"/>
  <c r="AB574" i="15" s="1"/>
  <c r="U574" i="15"/>
  <c r="Y573" i="15"/>
  <c r="AA573" i="15" s="1"/>
  <c r="AB573" i="15" s="1"/>
  <c r="U573" i="15"/>
  <c r="Y571" i="15"/>
  <c r="AA571" i="15" s="1"/>
  <c r="AB571" i="15" s="1"/>
  <c r="U571" i="15"/>
  <c r="Y570" i="15"/>
  <c r="AA570" i="15" s="1"/>
  <c r="AB570" i="15" s="1"/>
  <c r="U570" i="15"/>
  <c r="Y569" i="15"/>
  <c r="AA569" i="15" s="1"/>
  <c r="AB569" i="15" s="1"/>
  <c r="U569" i="15"/>
  <c r="Y568" i="15"/>
  <c r="AA568" i="15" s="1"/>
  <c r="AB568" i="15" s="1"/>
  <c r="U568" i="15"/>
  <c r="Y567" i="15"/>
  <c r="AA567" i="15" s="1"/>
  <c r="AB567" i="15" s="1"/>
  <c r="U567" i="15"/>
  <c r="Y566" i="15"/>
  <c r="AA566" i="15" s="1"/>
  <c r="AB566" i="15" s="1"/>
  <c r="U566" i="15"/>
  <c r="Y565" i="15"/>
  <c r="AA565" i="15" s="1"/>
  <c r="AB565" i="15" s="1"/>
  <c r="U565" i="15"/>
  <c r="Y564" i="15"/>
  <c r="AA564" i="15" s="1"/>
  <c r="AB564" i="15" s="1"/>
  <c r="U564" i="15"/>
  <c r="Y563" i="15"/>
  <c r="AA563" i="15" s="1"/>
  <c r="AB563" i="15" s="1"/>
  <c r="U563" i="15"/>
  <c r="Y562" i="15"/>
  <c r="AA562" i="15" s="1"/>
  <c r="AB562" i="15" s="1"/>
  <c r="U562" i="15"/>
  <c r="Y561" i="15"/>
  <c r="AA561" i="15" s="1"/>
  <c r="AB561" i="15" s="1"/>
  <c r="U561" i="15"/>
  <c r="Y560" i="15"/>
  <c r="AA560" i="15" s="1"/>
  <c r="AB560" i="15" s="1"/>
  <c r="U560" i="15"/>
  <c r="Y559" i="15"/>
  <c r="AA559" i="15" s="1"/>
  <c r="AB559" i="15" s="1"/>
  <c r="U559" i="15"/>
  <c r="Y558" i="15"/>
  <c r="AA558" i="15" s="1"/>
  <c r="AB558" i="15" s="1"/>
  <c r="U558" i="15"/>
  <c r="Y557" i="15"/>
  <c r="AA557" i="15" s="1"/>
  <c r="AB557" i="15" s="1"/>
  <c r="U557" i="15"/>
  <c r="Y556" i="15"/>
  <c r="AA556" i="15" s="1"/>
  <c r="AB556" i="15" s="1"/>
  <c r="U556" i="15"/>
  <c r="Y555" i="15"/>
  <c r="AA555" i="15" s="1"/>
  <c r="AB555" i="15" s="1"/>
  <c r="U555" i="15"/>
  <c r="Y554" i="15"/>
  <c r="AA554" i="15" s="1"/>
  <c r="AB554" i="15" s="1"/>
  <c r="U554" i="15"/>
  <c r="Y553" i="15"/>
  <c r="AA553" i="15" s="1"/>
  <c r="AB553" i="15" s="1"/>
  <c r="U553" i="15"/>
  <c r="Y552" i="15"/>
  <c r="AA552" i="15" s="1"/>
  <c r="AB552" i="15" s="1"/>
  <c r="U552" i="15"/>
  <c r="Y551" i="15"/>
  <c r="AA551" i="15" s="1"/>
  <c r="AB551" i="15" s="1"/>
  <c r="U551" i="15"/>
  <c r="Y550" i="15"/>
  <c r="AA550" i="15" s="1"/>
  <c r="AB550" i="15" s="1"/>
  <c r="U550" i="15"/>
  <c r="Y549" i="15"/>
  <c r="AA549" i="15" s="1"/>
  <c r="AB549" i="15" s="1"/>
  <c r="U549" i="15"/>
  <c r="Y548" i="15"/>
  <c r="AA548" i="15" s="1"/>
  <c r="W548" i="15"/>
  <c r="T548" i="15"/>
  <c r="S548" i="15"/>
  <c r="R548" i="15"/>
  <c r="Q548" i="15"/>
  <c r="P548" i="15"/>
  <c r="O548" i="15"/>
  <c r="N548" i="15"/>
  <c r="M548" i="15"/>
  <c r="L548" i="15"/>
  <c r="K548" i="15"/>
  <c r="J548" i="15"/>
  <c r="I548" i="15"/>
  <c r="H548" i="15"/>
  <c r="G548" i="15"/>
  <c r="F548" i="15"/>
  <c r="E548" i="15"/>
  <c r="D548" i="15"/>
  <c r="C548" i="15"/>
  <c r="Y546" i="15"/>
  <c r="AA546" i="15" s="1"/>
  <c r="AB546" i="15" s="1"/>
  <c r="U546" i="15"/>
  <c r="Y545" i="15"/>
  <c r="AA545" i="15" s="1"/>
  <c r="AB545" i="15" s="1"/>
  <c r="U545" i="15"/>
  <c r="Y544" i="15"/>
  <c r="AA544" i="15" s="1"/>
  <c r="AB544" i="15" s="1"/>
  <c r="U544" i="15"/>
  <c r="Y543" i="15"/>
  <c r="AA543" i="15" s="1"/>
  <c r="AB543" i="15" s="1"/>
  <c r="U543" i="15"/>
  <c r="Y542" i="15"/>
  <c r="AA542" i="15" s="1"/>
  <c r="AB542" i="15" s="1"/>
  <c r="U542" i="15"/>
  <c r="Y541" i="15"/>
  <c r="AA541" i="15" s="1"/>
  <c r="AB541" i="15" s="1"/>
  <c r="U541" i="15"/>
  <c r="Y540" i="15"/>
  <c r="AA540" i="15" s="1"/>
  <c r="AB540" i="15" s="1"/>
  <c r="U540" i="15"/>
  <c r="Y539" i="15"/>
  <c r="AA539" i="15" s="1"/>
  <c r="AB539" i="15" s="1"/>
  <c r="U539" i="15"/>
  <c r="Y538" i="15"/>
  <c r="AA538" i="15" s="1"/>
  <c r="AB538" i="15" s="1"/>
  <c r="U538" i="15"/>
  <c r="Y537" i="15"/>
  <c r="AA537" i="15" s="1"/>
  <c r="AB537" i="15" s="1"/>
  <c r="U537" i="15"/>
  <c r="Y536" i="15"/>
  <c r="AA536" i="15" s="1"/>
  <c r="AB536" i="15" s="1"/>
  <c r="U536" i="15"/>
  <c r="Y535" i="15"/>
  <c r="AA535" i="15" s="1"/>
  <c r="AB535" i="15" s="1"/>
  <c r="U535" i="15"/>
  <c r="Y534" i="15"/>
  <c r="AA534" i="15" s="1"/>
  <c r="AB534" i="15" s="1"/>
  <c r="U534" i="15"/>
  <c r="Y533" i="15"/>
  <c r="AA533" i="15" s="1"/>
  <c r="AB533" i="15" s="1"/>
  <c r="U533" i="15"/>
  <c r="Y532" i="15"/>
  <c r="AA532" i="15" s="1"/>
  <c r="AB532" i="15" s="1"/>
  <c r="U532" i="15"/>
  <c r="Y531" i="15"/>
  <c r="AA531" i="15" s="1"/>
  <c r="AB531" i="15" s="1"/>
  <c r="U531" i="15"/>
  <c r="Y530" i="15"/>
  <c r="AA530" i="15" s="1"/>
  <c r="AB530" i="15" s="1"/>
  <c r="U530" i="15"/>
  <c r="Y529" i="15"/>
  <c r="AA529" i="15" s="1"/>
  <c r="W529" i="15"/>
  <c r="T529" i="15"/>
  <c r="S529" i="15"/>
  <c r="R529" i="15"/>
  <c r="Q529" i="15"/>
  <c r="P529" i="15"/>
  <c r="O529" i="15"/>
  <c r="N529" i="15"/>
  <c r="M529" i="15"/>
  <c r="L529" i="15"/>
  <c r="K529" i="15"/>
  <c r="J529" i="15"/>
  <c r="I529" i="15"/>
  <c r="H529" i="15"/>
  <c r="G529" i="15"/>
  <c r="F529" i="15"/>
  <c r="E529" i="15"/>
  <c r="D529" i="15"/>
  <c r="C529" i="15"/>
  <c r="Y527" i="15"/>
  <c r="AA527" i="15" s="1"/>
  <c r="AB527" i="15" s="1"/>
  <c r="U527" i="15"/>
  <c r="Y526" i="15"/>
  <c r="AA526" i="15" s="1"/>
  <c r="AB526" i="15" s="1"/>
  <c r="U526" i="15"/>
  <c r="Y525" i="15"/>
  <c r="AA525" i="15" s="1"/>
  <c r="AB525" i="15" s="1"/>
  <c r="U525" i="15"/>
  <c r="Y524" i="15"/>
  <c r="AA524" i="15" s="1"/>
  <c r="AB524" i="15" s="1"/>
  <c r="U524" i="15"/>
  <c r="Y523" i="15"/>
  <c r="AA523" i="15" s="1"/>
  <c r="AB523" i="15" s="1"/>
  <c r="U523" i="15"/>
  <c r="Y522" i="15"/>
  <c r="AA522" i="15" s="1"/>
  <c r="AB522" i="15" s="1"/>
  <c r="U522" i="15"/>
  <c r="Y521" i="15"/>
  <c r="AA521" i="15" s="1"/>
  <c r="AB521" i="15" s="1"/>
  <c r="U521" i="15"/>
  <c r="Y520" i="15"/>
  <c r="AA520" i="15" s="1"/>
  <c r="AB520" i="15" s="1"/>
  <c r="U520" i="15"/>
  <c r="Y519" i="15"/>
  <c r="AA519" i="15" s="1"/>
  <c r="AB519" i="15" s="1"/>
  <c r="U519" i="15"/>
  <c r="Y518" i="15"/>
  <c r="AA518" i="15" s="1"/>
  <c r="AB518" i="15" s="1"/>
  <c r="U518" i="15"/>
  <c r="Y517" i="15"/>
  <c r="AA517" i="15" s="1"/>
  <c r="AB517" i="15" s="1"/>
  <c r="U517" i="15"/>
  <c r="Y516" i="15"/>
  <c r="AA516" i="15" s="1"/>
  <c r="AB516" i="15" s="1"/>
  <c r="U516" i="15"/>
  <c r="Y515" i="15"/>
  <c r="AA515" i="15" s="1"/>
  <c r="AB515" i="15" s="1"/>
  <c r="U515" i="15"/>
  <c r="Y514" i="15"/>
  <c r="AA514" i="15" s="1"/>
  <c r="W514" i="15"/>
  <c r="T514" i="15"/>
  <c r="S514" i="15"/>
  <c r="R514" i="15"/>
  <c r="Q514" i="15"/>
  <c r="P514" i="15"/>
  <c r="O514" i="15"/>
  <c r="N514" i="15"/>
  <c r="M514" i="15"/>
  <c r="L514" i="15"/>
  <c r="K514" i="15"/>
  <c r="J514" i="15"/>
  <c r="I514" i="15"/>
  <c r="H514" i="15"/>
  <c r="G514" i="15"/>
  <c r="F514" i="15"/>
  <c r="E514" i="15"/>
  <c r="D514" i="15"/>
  <c r="C514" i="15"/>
  <c r="Y512" i="15"/>
  <c r="AA512" i="15" s="1"/>
  <c r="AB512" i="15" s="1"/>
  <c r="BJ512" i="15" s="1"/>
  <c r="U512" i="15"/>
  <c r="Y511" i="15"/>
  <c r="AA511" i="15" s="1"/>
  <c r="AB511" i="15" s="1"/>
  <c r="BJ511" i="15" s="1"/>
  <c r="U511" i="15"/>
  <c r="Y510" i="15"/>
  <c r="AA510" i="15" s="1"/>
  <c r="AB510" i="15" s="1"/>
  <c r="BJ510" i="15" s="1"/>
  <c r="U510" i="15"/>
  <c r="Y509" i="15"/>
  <c r="AA509" i="15" s="1"/>
  <c r="AB509" i="15" s="1"/>
  <c r="BJ509" i="15" s="1"/>
  <c r="U509" i="15"/>
  <c r="Y508" i="15"/>
  <c r="AA508" i="15" s="1"/>
  <c r="AB508" i="15" s="1"/>
  <c r="BJ508" i="15" s="1"/>
  <c r="U508" i="15"/>
  <c r="Y507" i="15"/>
  <c r="AA507" i="15" s="1"/>
  <c r="AB507" i="15" s="1"/>
  <c r="BJ507" i="15" s="1"/>
  <c r="U507" i="15"/>
  <c r="Y506" i="15"/>
  <c r="AA506" i="15" s="1"/>
  <c r="AB506" i="15" s="1"/>
  <c r="BJ506" i="15" s="1"/>
  <c r="U506" i="15"/>
  <c r="Y505" i="15"/>
  <c r="AA505" i="15" s="1"/>
  <c r="AB505" i="15" s="1"/>
  <c r="BJ505" i="15" s="1"/>
  <c r="U505" i="15"/>
  <c r="Y504" i="15"/>
  <c r="AA504" i="15" s="1"/>
  <c r="AB504" i="15" s="1"/>
  <c r="BJ504" i="15" s="1"/>
  <c r="U504" i="15"/>
  <c r="Y503" i="15"/>
  <c r="AA503" i="15" s="1"/>
  <c r="AB503" i="15" s="1"/>
  <c r="BJ503" i="15" s="1"/>
  <c r="U503" i="15"/>
  <c r="Y502" i="15"/>
  <c r="AA502" i="15" s="1"/>
  <c r="AB502" i="15" s="1"/>
  <c r="BJ502" i="15" s="1"/>
  <c r="U502" i="15"/>
  <c r="Y501" i="15"/>
  <c r="AA501" i="15" s="1"/>
  <c r="AB501" i="15" s="1"/>
  <c r="BJ501" i="15" s="1"/>
  <c r="U501" i="15"/>
  <c r="Y500" i="15"/>
  <c r="AA500" i="15" s="1"/>
  <c r="AB500" i="15" s="1"/>
  <c r="BJ500" i="15" s="1"/>
  <c r="U500" i="15"/>
  <c r="Y499" i="15"/>
  <c r="AA499" i="15" s="1"/>
  <c r="AB499" i="15" s="1"/>
  <c r="BJ499" i="15" s="1"/>
  <c r="U499" i="15"/>
  <c r="Y498" i="15"/>
  <c r="AA498" i="15" s="1"/>
  <c r="AB498" i="15" s="1"/>
  <c r="BJ498" i="15" s="1"/>
  <c r="U498" i="15"/>
  <c r="Y497" i="15"/>
  <c r="AA497" i="15" s="1"/>
  <c r="AB497" i="15" s="1"/>
  <c r="BJ497" i="15" s="1"/>
  <c r="U497" i="15"/>
  <c r="Y496" i="15"/>
  <c r="AA496" i="15" s="1"/>
  <c r="AB496" i="15" s="1"/>
  <c r="BJ496" i="15" s="1"/>
  <c r="U496" i="15"/>
  <c r="Y495" i="15"/>
  <c r="AA495" i="15" s="1"/>
  <c r="AB495" i="15" s="1"/>
  <c r="BJ495" i="15" s="1"/>
  <c r="U495" i="15"/>
  <c r="Y494" i="15"/>
  <c r="AA494" i="15" s="1"/>
  <c r="AB494" i="15" s="1"/>
  <c r="BJ494" i="15" s="1"/>
  <c r="U494" i="15"/>
  <c r="Y493" i="15"/>
  <c r="AA493" i="15" s="1"/>
  <c r="AB493" i="15" s="1"/>
  <c r="BJ493" i="15" s="1"/>
  <c r="U493" i="15"/>
  <c r="Y492" i="15"/>
  <c r="AA492" i="15" s="1"/>
  <c r="AB492" i="15" s="1"/>
  <c r="BJ492" i="15" s="1"/>
  <c r="U492" i="15"/>
  <c r="Y491" i="15"/>
  <c r="AA491" i="15" s="1"/>
  <c r="W491" i="15"/>
  <c r="T491" i="15"/>
  <c r="S491" i="15"/>
  <c r="R491" i="15"/>
  <c r="Q491" i="15"/>
  <c r="P491" i="15"/>
  <c r="O491" i="15"/>
  <c r="N491" i="15"/>
  <c r="M491" i="15"/>
  <c r="L491" i="15"/>
  <c r="K491" i="15"/>
  <c r="J491" i="15"/>
  <c r="I491" i="15"/>
  <c r="H491" i="15"/>
  <c r="G491" i="15"/>
  <c r="F491" i="15"/>
  <c r="E491" i="15"/>
  <c r="D491" i="15"/>
  <c r="C491" i="15"/>
  <c r="Y489" i="15"/>
  <c r="AA489" i="15" s="1"/>
  <c r="AB489" i="15" s="1"/>
  <c r="U489" i="15"/>
  <c r="Y488" i="15"/>
  <c r="AA488" i="15" s="1"/>
  <c r="AB488" i="15" s="1"/>
  <c r="U488" i="15"/>
  <c r="Y487" i="15"/>
  <c r="AA487" i="15" s="1"/>
  <c r="AB487" i="15" s="1"/>
  <c r="U487" i="15"/>
  <c r="Y486" i="15"/>
  <c r="AA486" i="15" s="1"/>
  <c r="AB486" i="15" s="1"/>
  <c r="U486" i="15"/>
  <c r="Y485" i="15"/>
  <c r="AA485" i="15" s="1"/>
  <c r="AB485" i="15" s="1"/>
  <c r="U485" i="15"/>
  <c r="Y484" i="15"/>
  <c r="AA484" i="15" s="1"/>
  <c r="AB484" i="15" s="1"/>
  <c r="U484" i="15"/>
  <c r="Y483" i="15"/>
  <c r="AA483" i="15" s="1"/>
  <c r="AB483" i="15" s="1"/>
  <c r="U483" i="15"/>
  <c r="Y482" i="15"/>
  <c r="AA482" i="15" s="1"/>
  <c r="AB482" i="15" s="1"/>
  <c r="U482" i="15"/>
  <c r="Y481" i="15"/>
  <c r="AA481" i="15" s="1"/>
  <c r="AB481" i="15" s="1"/>
  <c r="U481" i="15"/>
  <c r="Y480" i="15"/>
  <c r="AA480" i="15" s="1"/>
  <c r="AB480" i="15" s="1"/>
  <c r="U480" i="15"/>
  <c r="Y479" i="15"/>
  <c r="AA479" i="15" s="1"/>
  <c r="AB479" i="15" s="1"/>
  <c r="U479" i="15"/>
  <c r="Y478" i="15"/>
  <c r="AA478" i="15" s="1"/>
  <c r="AB478" i="15" s="1"/>
  <c r="U478" i="15"/>
  <c r="Y477" i="15"/>
  <c r="AA477" i="15" s="1"/>
  <c r="AB477" i="15" s="1"/>
  <c r="U477" i="15"/>
  <c r="Y476" i="15"/>
  <c r="AA476" i="15" s="1"/>
  <c r="AB476" i="15" s="1"/>
  <c r="U476" i="15"/>
  <c r="Y475" i="15"/>
  <c r="AA475" i="15" s="1"/>
  <c r="AB475" i="15" s="1"/>
  <c r="U475" i="15"/>
  <c r="Y474" i="15"/>
  <c r="AA474" i="15" s="1"/>
  <c r="AB474" i="15" s="1"/>
  <c r="U474" i="15"/>
  <c r="Y473" i="15"/>
  <c r="AA473" i="15" s="1"/>
  <c r="AB473" i="15" s="1"/>
  <c r="U473" i="15"/>
  <c r="Y472" i="15"/>
  <c r="AA472" i="15" s="1"/>
  <c r="W472" i="15"/>
  <c r="T472" i="15"/>
  <c r="S472" i="15"/>
  <c r="R472" i="15"/>
  <c r="Q472" i="15"/>
  <c r="P472" i="15"/>
  <c r="O472" i="15"/>
  <c r="N472" i="15"/>
  <c r="M472" i="15"/>
  <c r="L472" i="15"/>
  <c r="K472" i="15"/>
  <c r="J472" i="15"/>
  <c r="I472" i="15"/>
  <c r="H472" i="15"/>
  <c r="G472" i="15"/>
  <c r="F472" i="15"/>
  <c r="E472" i="15"/>
  <c r="D472" i="15"/>
  <c r="C472" i="15"/>
  <c r="X471" i="15"/>
  <c r="Y469" i="15"/>
  <c r="AA469" i="15" s="1"/>
  <c r="AB469" i="15" s="1"/>
  <c r="U469" i="15"/>
  <c r="Y468" i="15"/>
  <c r="AA468" i="15" s="1"/>
  <c r="AB468" i="15" s="1"/>
  <c r="U468" i="15"/>
  <c r="Y467" i="15"/>
  <c r="AA467" i="15" s="1"/>
  <c r="AB467" i="15" s="1"/>
  <c r="U467" i="15"/>
  <c r="Y466" i="15"/>
  <c r="AA466" i="15" s="1"/>
  <c r="AB466" i="15" s="1"/>
  <c r="U466" i="15"/>
  <c r="Y465" i="15"/>
  <c r="AA465" i="15" s="1"/>
  <c r="AB465" i="15" s="1"/>
  <c r="U465" i="15"/>
  <c r="Y464" i="15"/>
  <c r="AA464" i="15" s="1"/>
  <c r="AB464" i="15" s="1"/>
  <c r="U464" i="15"/>
  <c r="Y463" i="15"/>
  <c r="AA463" i="15" s="1"/>
  <c r="AB463" i="15" s="1"/>
  <c r="U463" i="15"/>
  <c r="Y462" i="15"/>
  <c r="AA462" i="15" s="1"/>
  <c r="AB462" i="15" s="1"/>
  <c r="U462" i="15"/>
  <c r="Y461" i="15"/>
  <c r="AA461" i="15" s="1"/>
  <c r="AB461" i="15" s="1"/>
  <c r="U461" i="15"/>
  <c r="Y460" i="15"/>
  <c r="AA460" i="15" s="1"/>
  <c r="AB460" i="15" s="1"/>
  <c r="U460" i="15"/>
  <c r="Y459" i="15"/>
  <c r="AA459" i="15" s="1"/>
  <c r="AB459" i="15" s="1"/>
  <c r="U459" i="15"/>
  <c r="Y458" i="15"/>
  <c r="AA458" i="15" s="1"/>
  <c r="AB458" i="15" s="1"/>
  <c r="U458" i="15"/>
  <c r="Y457" i="15"/>
  <c r="AA457" i="15" s="1"/>
  <c r="AB457" i="15" s="1"/>
  <c r="U457" i="15"/>
  <c r="Y456" i="15"/>
  <c r="AA456" i="15" s="1"/>
  <c r="AB456" i="15" s="1"/>
  <c r="U456" i="15"/>
  <c r="Y455" i="15"/>
  <c r="AA455" i="15" s="1"/>
  <c r="W455" i="15"/>
  <c r="T455" i="15"/>
  <c r="S455" i="15"/>
  <c r="R455" i="15"/>
  <c r="Q455" i="15"/>
  <c r="P455" i="15"/>
  <c r="O455" i="15"/>
  <c r="N455" i="15"/>
  <c r="M455" i="15"/>
  <c r="L455" i="15"/>
  <c r="K455" i="15"/>
  <c r="J455" i="15"/>
  <c r="I455" i="15"/>
  <c r="H455" i="15"/>
  <c r="G455" i="15"/>
  <c r="F455" i="15"/>
  <c r="E455" i="15"/>
  <c r="D455" i="15"/>
  <c r="C455" i="15"/>
  <c r="Y453" i="15"/>
  <c r="AA453" i="15" s="1"/>
  <c r="AB453" i="15" s="1"/>
  <c r="BJ453" i="15" s="1"/>
  <c r="U453" i="15"/>
  <c r="Y452" i="15"/>
  <c r="AA452" i="15" s="1"/>
  <c r="AB452" i="15" s="1"/>
  <c r="BJ452" i="15" s="1"/>
  <c r="U452" i="15"/>
  <c r="Y451" i="15"/>
  <c r="AA451" i="15" s="1"/>
  <c r="AB451" i="15" s="1"/>
  <c r="BJ451" i="15" s="1"/>
  <c r="U451" i="15"/>
  <c r="Y450" i="15"/>
  <c r="AA450" i="15" s="1"/>
  <c r="AB450" i="15" s="1"/>
  <c r="BJ450" i="15" s="1"/>
  <c r="U450" i="15"/>
  <c r="Y449" i="15"/>
  <c r="AA449" i="15" s="1"/>
  <c r="AB449" i="15" s="1"/>
  <c r="BJ449" i="15" s="1"/>
  <c r="U449" i="15"/>
  <c r="Y448" i="15"/>
  <c r="AA448" i="15" s="1"/>
  <c r="AB448" i="15" s="1"/>
  <c r="BJ448" i="15" s="1"/>
  <c r="U448" i="15"/>
  <c r="Y447" i="15"/>
  <c r="AA447" i="15" s="1"/>
  <c r="AB447" i="15" s="1"/>
  <c r="BJ447" i="15" s="1"/>
  <c r="U447" i="15"/>
  <c r="Y446" i="15"/>
  <c r="AA446" i="15" s="1"/>
  <c r="AB446" i="15" s="1"/>
  <c r="BJ446" i="15" s="1"/>
  <c r="U446" i="15"/>
  <c r="Y445" i="15"/>
  <c r="AA445" i="15" s="1"/>
  <c r="AB445" i="15" s="1"/>
  <c r="BJ445" i="15" s="1"/>
  <c r="U445" i="15"/>
  <c r="Y444" i="15"/>
  <c r="AA444" i="15" s="1"/>
  <c r="AB444" i="15" s="1"/>
  <c r="BJ444" i="15" s="1"/>
  <c r="U444" i="15"/>
  <c r="Y443" i="15"/>
  <c r="AA443" i="15" s="1"/>
  <c r="AB443" i="15" s="1"/>
  <c r="BJ443" i="15" s="1"/>
  <c r="U443" i="15"/>
  <c r="Y442" i="15"/>
  <c r="AA442" i="15" s="1"/>
  <c r="AB442" i="15" s="1"/>
  <c r="BJ442" i="15" s="1"/>
  <c r="U442" i="15"/>
  <c r="Y441" i="15"/>
  <c r="AA441" i="15" s="1"/>
  <c r="AB441" i="15" s="1"/>
  <c r="BJ441" i="15" s="1"/>
  <c r="U441" i="15"/>
  <c r="Y440" i="15"/>
  <c r="AA440" i="15" s="1"/>
  <c r="AB440" i="15" s="1"/>
  <c r="BJ440" i="15" s="1"/>
  <c r="U440" i="15"/>
  <c r="Y439" i="15"/>
  <c r="AA439" i="15" s="1"/>
  <c r="AB439" i="15" s="1"/>
  <c r="BJ439" i="15" s="1"/>
  <c r="U439" i="15"/>
  <c r="Y438" i="15"/>
  <c r="AA438" i="15" s="1"/>
  <c r="AB438" i="15" s="1"/>
  <c r="BJ438" i="15" s="1"/>
  <c r="U438" i="15"/>
  <c r="Y437" i="15"/>
  <c r="AA437" i="15" s="1"/>
  <c r="AB437" i="15" s="1"/>
  <c r="BJ437" i="15" s="1"/>
  <c r="U437" i="15"/>
  <c r="Y436" i="15"/>
  <c r="AA436" i="15" s="1"/>
  <c r="AB436" i="15" s="1"/>
  <c r="BJ436" i="15" s="1"/>
  <c r="U436" i="15"/>
  <c r="Y435" i="15"/>
  <c r="AA435" i="15" s="1"/>
  <c r="AB435" i="15" s="1"/>
  <c r="BJ435" i="15" s="1"/>
  <c r="U435" i="15"/>
  <c r="Y434" i="15"/>
  <c r="AA434" i="15" s="1"/>
  <c r="AB434" i="15" s="1"/>
  <c r="BJ434" i="15" s="1"/>
  <c r="U434" i="15"/>
  <c r="Y433" i="15"/>
  <c r="AA433" i="15" s="1"/>
  <c r="AB433" i="15" s="1"/>
  <c r="BJ433" i="15" s="1"/>
  <c r="U433" i="15"/>
  <c r="Y432" i="15"/>
  <c r="AA432" i="15" s="1"/>
  <c r="AB432" i="15" s="1"/>
  <c r="BJ432" i="15" s="1"/>
  <c r="U432" i="15"/>
  <c r="Y431" i="15"/>
  <c r="AA431" i="15" s="1"/>
  <c r="AB431" i="15" s="1"/>
  <c r="BJ431" i="15" s="1"/>
  <c r="U431" i="15"/>
  <c r="Y430" i="15"/>
  <c r="AA430" i="15" s="1"/>
  <c r="W430" i="15"/>
  <c r="T430" i="15"/>
  <c r="S430" i="15"/>
  <c r="R430" i="15"/>
  <c r="Q430" i="15"/>
  <c r="P430" i="15"/>
  <c r="O430" i="15"/>
  <c r="N430" i="15"/>
  <c r="M430" i="15"/>
  <c r="L430" i="15"/>
  <c r="K430" i="15"/>
  <c r="J430" i="15"/>
  <c r="I430" i="15"/>
  <c r="H430" i="15"/>
  <c r="G430" i="15"/>
  <c r="F430" i="15"/>
  <c r="E430" i="15"/>
  <c r="D430" i="15"/>
  <c r="C430" i="15"/>
  <c r="Y428" i="15"/>
  <c r="AA428" i="15" s="1"/>
  <c r="AB428" i="15" s="1"/>
  <c r="BJ428" i="15" s="1"/>
  <c r="U428" i="15"/>
  <c r="Y427" i="15"/>
  <c r="AA427" i="15" s="1"/>
  <c r="AB427" i="15" s="1"/>
  <c r="BJ427" i="15" s="1"/>
  <c r="U427" i="15"/>
  <c r="Y426" i="15"/>
  <c r="AA426" i="15" s="1"/>
  <c r="AB426" i="15" s="1"/>
  <c r="BJ426" i="15" s="1"/>
  <c r="U426" i="15"/>
  <c r="Y425" i="15"/>
  <c r="AA425" i="15" s="1"/>
  <c r="AB425" i="15" s="1"/>
  <c r="BJ425" i="15" s="1"/>
  <c r="U425" i="15"/>
  <c r="Y424" i="15"/>
  <c r="AA424" i="15" s="1"/>
  <c r="AB424" i="15" s="1"/>
  <c r="BJ424" i="15" s="1"/>
  <c r="U424" i="15"/>
  <c r="Y423" i="15"/>
  <c r="AA423" i="15" s="1"/>
  <c r="AB423" i="15" s="1"/>
  <c r="BJ423" i="15" s="1"/>
  <c r="U423" i="15"/>
  <c r="Y422" i="15"/>
  <c r="AA422" i="15" s="1"/>
  <c r="AB422" i="15" s="1"/>
  <c r="BJ422" i="15" s="1"/>
  <c r="U422" i="15"/>
  <c r="Y421" i="15"/>
  <c r="AA421" i="15" s="1"/>
  <c r="AB421" i="15" s="1"/>
  <c r="BJ421" i="15" s="1"/>
  <c r="U421" i="15"/>
  <c r="Y420" i="15"/>
  <c r="AA420" i="15" s="1"/>
  <c r="AB420" i="15" s="1"/>
  <c r="BJ420" i="15" s="1"/>
  <c r="U420" i="15"/>
  <c r="Y419" i="15"/>
  <c r="AA419" i="15" s="1"/>
  <c r="AB419" i="15" s="1"/>
  <c r="BJ419" i="15" s="1"/>
  <c r="U419" i="15"/>
  <c r="Y418" i="15"/>
  <c r="AA418" i="15" s="1"/>
  <c r="AB418" i="15" s="1"/>
  <c r="BJ418" i="15" s="1"/>
  <c r="U418" i="15"/>
  <c r="Y417" i="15"/>
  <c r="AA417" i="15" s="1"/>
  <c r="AB417" i="15" s="1"/>
  <c r="BJ417" i="15" s="1"/>
  <c r="U417" i="15"/>
  <c r="Y416" i="15"/>
  <c r="AA416" i="15" s="1"/>
  <c r="AB416" i="15" s="1"/>
  <c r="BJ416" i="15" s="1"/>
  <c r="U416" i="15"/>
  <c r="Y415" i="15"/>
  <c r="AA415" i="15" s="1"/>
  <c r="AB415" i="15" s="1"/>
  <c r="BJ415" i="15" s="1"/>
  <c r="U415" i="15"/>
  <c r="Y414" i="15"/>
  <c r="AA414" i="15" s="1"/>
  <c r="AB414" i="15" s="1"/>
  <c r="BJ414" i="15" s="1"/>
  <c r="U414" i="15"/>
  <c r="Y413" i="15"/>
  <c r="AA413" i="15" s="1"/>
  <c r="AB413" i="15" s="1"/>
  <c r="BJ413" i="15" s="1"/>
  <c r="U413" i="15"/>
  <c r="Y412" i="15"/>
  <c r="AA412" i="15" s="1"/>
  <c r="AB412" i="15" s="1"/>
  <c r="BJ412" i="15" s="1"/>
  <c r="U412" i="15"/>
  <c r="Y411" i="15"/>
  <c r="AA411" i="15" s="1"/>
  <c r="AB411" i="15" s="1"/>
  <c r="BJ411" i="15" s="1"/>
  <c r="U411" i="15"/>
  <c r="Y410" i="15"/>
  <c r="AA410" i="15" s="1"/>
  <c r="AB410" i="15" s="1"/>
  <c r="BJ410" i="15" s="1"/>
  <c r="U410" i="15"/>
  <c r="Y409" i="15"/>
  <c r="AA409" i="15" s="1"/>
  <c r="AB409" i="15" s="1"/>
  <c r="BJ409" i="15" s="1"/>
  <c r="U409" i="15"/>
  <c r="Y408" i="15"/>
  <c r="AA408" i="15" s="1"/>
  <c r="AB408" i="15" s="1"/>
  <c r="BJ408" i="15" s="1"/>
  <c r="U408" i="15"/>
  <c r="Y407" i="15"/>
  <c r="AA407" i="15" s="1"/>
  <c r="W407" i="15"/>
  <c r="T407" i="15"/>
  <c r="S407" i="15"/>
  <c r="R407" i="15"/>
  <c r="Q407" i="15"/>
  <c r="P407" i="15"/>
  <c r="O407" i="15"/>
  <c r="N407" i="15"/>
  <c r="M407" i="15"/>
  <c r="L407" i="15"/>
  <c r="K407" i="15"/>
  <c r="J407" i="15"/>
  <c r="I407" i="15"/>
  <c r="H407" i="15"/>
  <c r="G407" i="15"/>
  <c r="F407" i="15"/>
  <c r="E407" i="15"/>
  <c r="D407" i="15"/>
  <c r="C407" i="15"/>
  <c r="Y405" i="15"/>
  <c r="AA405" i="15" s="1"/>
  <c r="AB405" i="15" s="1"/>
  <c r="BJ405" i="15" s="1"/>
  <c r="U405" i="15"/>
  <c r="Y404" i="15"/>
  <c r="AA404" i="15" s="1"/>
  <c r="AB404" i="15" s="1"/>
  <c r="BJ404" i="15" s="1"/>
  <c r="U404" i="15"/>
  <c r="Y403" i="15"/>
  <c r="AA403" i="15" s="1"/>
  <c r="AB403" i="15" s="1"/>
  <c r="BJ403" i="15" s="1"/>
  <c r="U403" i="15"/>
  <c r="Y402" i="15"/>
  <c r="AA402" i="15" s="1"/>
  <c r="AB402" i="15" s="1"/>
  <c r="BJ402" i="15" s="1"/>
  <c r="U402" i="15"/>
  <c r="Y401" i="15"/>
  <c r="AA401" i="15" s="1"/>
  <c r="AB401" i="15" s="1"/>
  <c r="BJ401" i="15" s="1"/>
  <c r="U401" i="15"/>
  <c r="Y400" i="15"/>
  <c r="AA400" i="15" s="1"/>
  <c r="AB400" i="15" s="1"/>
  <c r="BJ400" i="15" s="1"/>
  <c r="U400" i="15"/>
  <c r="Y399" i="15"/>
  <c r="AA399" i="15" s="1"/>
  <c r="AB399" i="15" s="1"/>
  <c r="BJ399" i="15" s="1"/>
  <c r="U399" i="15"/>
  <c r="Y398" i="15"/>
  <c r="AA398" i="15" s="1"/>
  <c r="AB398" i="15" s="1"/>
  <c r="BJ398" i="15" s="1"/>
  <c r="U398" i="15"/>
  <c r="Y397" i="15"/>
  <c r="AA397" i="15" s="1"/>
  <c r="AB397" i="15" s="1"/>
  <c r="BJ397" i="15" s="1"/>
  <c r="U397" i="15"/>
  <c r="Y396" i="15"/>
  <c r="AA396" i="15" s="1"/>
  <c r="AB396" i="15" s="1"/>
  <c r="BJ396" i="15" s="1"/>
  <c r="U396" i="15"/>
  <c r="Y395" i="15"/>
  <c r="AA395" i="15" s="1"/>
  <c r="AB395" i="15" s="1"/>
  <c r="BJ395" i="15" s="1"/>
  <c r="U395" i="15"/>
  <c r="Y394" i="15"/>
  <c r="AA394" i="15" s="1"/>
  <c r="AB394" i="15" s="1"/>
  <c r="BJ394" i="15" s="1"/>
  <c r="U394" i="15"/>
  <c r="Y393" i="15"/>
  <c r="AA393" i="15" s="1"/>
  <c r="AB393" i="15" s="1"/>
  <c r="BJ393" i="15" s="1"/>
  <c r="U393" i="15"/>
  <c r="Y392" i="15"/>
  <c r="AA392" i="15" s="1"/>
  <c r="AB392" i="15" s="1"/>
  <c r="BJ392" i="15" s="1"/>
  <c r="U392" i="15"/>
  <c r="Y391" i="15"/>
  <c r="AA391" i="15" s="1"/>
  <c r="AB391" i="15" s="1"/>
  <c r="BJ391" i="15" s="1"/>
  <c r="U391" i="15"/>
  <c r="Y390" i="15"/>
  <c r="AA390" i="15" s="1"/>
  <c r="AB390" i="15" s="1"/>
  <c r="BJ390" i="15" s="1"/>
  <c r="U390" i="15"/>
  <c r="Y389" i="15"/>
  <c r="AA389" i="15" s="1"/>
  <c r="AB389" i="15" s="1"/>
  <c r="BJ389" i="15" s="1"/>
  <c r="U389" i="15"/>
  <c r="Y388" i="15"/>
  <c r="AA388" i="15" s="1"/>
  <c r="AB388" i="15" s="1"/>
  <c r="BJ388" i="15" s="1"/>
  <c r="U388" i="15"/>
  <c r="Y387" i="15"/>
  <c r="AA387" i="15" s="1"/>
  <c r="AB387" i="15" s="1"/>
  <c r="BJ387" i="15" s="1"/>
  <c r="U387" i="15"/>
  <c r="Y386" i="15"/>
  <c r="AA386" i="15" s="1"/>
  <c r="AB386" i="15" s="1"/>
  <c r="BJ386" i="15" s="1"/>
  <c r="U386" i="15"/>
  <c r="Y385" i="15"/>
  <c r="AA385" i="15" s="1"/>
  <c r="AB385" i="15" s="1"/>
  <c r="BJ385" i="15" s="1"/>
  <c r="U385" i="15"/>
  <c r="Y384" i="15"/>
  <c r="AA384" i="15" s="1"/>
  <c r="AB384" i="15" s="1"/>
  <c r="BJ384" i="15" s="1"/>
  <c r="U384" i="15"/>
  <c r="Y383" i="15"/>
  <c r="AA383" i="15" s="1"/>
  <c r="AB383" i="15" s="1"/>
  <c r="BJ383" i="15" s="1"/>
  <c r="U383" i="15"/>
  <c r="Y382" i="15"/>
  <c r="AA382" i="15" s="1"/>
  <c r="AB382" i="15" s="1"/>
  <c r="BJ382" i="15" s="1"/>
  <c r="U382" i="15"/>
  <c r="Y381" i="15"/>
  <c r="AA381" i="15" s="1"/>
  <c r="AB381" i="15" s="1"/>
  <c r="BJ381" i="15" s="1"/>
  <c r="U381" i="15"/>
  <c r="Y379" i="15"/>
  <c r="AA379" i="15" s="1"/>
  <c r="AB379" i="15" s="1"/>
  <c r="BJ379" i="15" s="1"/>
  <c r="U379" i="15"/>
  <c r="Y378" i="15"/>
  <c r="AA378" i="15" s="1"/>
  <c r="AB378" i="15" s="1"/>
  <c r="BJ378" i="15" s="1"/>
  <c r="U378" i="15"/>
  <c r="Y377" i="15"/>
  <c r="AA377" i="15" s="1"/>
  <c r="AB377" i="15" s="1"/>
  <c r="BJ377" i="15" s="1"/>
  <c r="U377" i="15"/>
  <c r="Y376" i="15"/>
  <c r="AA376" i="15" s="1"/>
  <c r="AB376" i="15" s="1"/>
  <c r="BJ376" i="15" s="1"/>
  <c r="U376" i="15"/>
  <c r="Y375" i="15"/>
  <c r="AA375" i="15" s="1"/>
  <c r="AB375" i="15" s="1"/>
  <c r="BJ375" i="15" s="1"/>
  <c r="U375" i="15"/>
  <c r="Y374" i="15"/>
  <c r="AA374" i="15" s="1"/>
  <c r="AB374" i="15" s="1"/>
  <c r="BJ374" i="15" s="1"/>
  <c r="U374" i="15"/>
  <c r="Y373" i="15"/>
  <c r="AA373" i="15" s="1"/>
  <c r="AB373" i="15" s="1"/>
  <c r="BJ373" i="15" s="1"/>
  <c r="U373" i="15"/>
  <c r="Y372" i="15"/>
  <c r="AA372" i="15" s="1"/>
  <c r="AB372" i="15" s="1"/>
  <c r="BJ372" i="15" s="1"/>
  <c r="U372" i="15"/>
  <c r="Y371" i="15"/>
  <c r="AA371" i="15" s="1"/>
  <c r="W371" i="15"/>
  <c r="T371" i="15"/>
  <c r="S371" i="15"/>
  <c r="R371" i="15"/>
  <c r="Q371" i="15"/>
  <c r="P371" i="15"/>
  <c r="O371" i="15"/>
  <c r="N371" i="15"/>
  <c r="M371" i="15"/>
  <c r="L371" i="15"/>
  <c r="K371" i="15"/>
  <c r="J371" i="15"/>
  <c r="I371" i="15"/>
  <c r="H371" i="15"/>
  <c r="G371" i="15"/>
  <c r="F371" i="15"/>
  <c r="E371" i="15"/>
  <c r="D371" i="15"/>
  <c r="C371" i="15"/>
  <c r="Y369" i="15"/>
  <c r="AA369" i="15" s="1"/>
  <c r="AB369" i="15" s="1"/>
  <c r="BJ369" i="15" s="1"/>
  <c r="U369" i="15"/>
  <c r="Y368" i="15"/>
  <c r="AA368" i="15" s="1"/>
  <c r="AB368" i="15" s="1"/>
  <c r="BJ368" i="15" s="1"/>
  <c r="U368" i="15"/>
  <c r="Y367" i="15"/>
  <c r="AA367" i="15" s="1"/>
  <c r="AB367" i="15" s="1"/>
  <c r="BJ367" i="15" s="1"/>
  <c r="U367" i="15"/>
  <c r="Y366" i="15"/>
  <c r="AA366" i="15" s="1"/>
  <c r="AB366" i="15" s="1"/>
  <c r="BJ366" i="15" s="1"/>
  <c r="U366" i="15"/>
  <c r="Y365" i="15"/>
  <c r="AA365" i="15" s="1"/>
  <c r="AB365" i="15" s="1"/>
  <c r="BJ365" i="15" s="1"/>
  <c r="U365" i="15"/>
  <c r="Y364" i="15"/>
  <c r="AA364" i="15" s="1"/>
  <c r="AB364" i="15" s="1"/>
  <c r="BJ364" i="15" s="1"/>
  <c r="U364" i="15"/>
  <c r="Y363" i="15"/>
  <c r="AA363" i="15" s="1"/>
  <c r="AB363" i="15" s="1"/>
  <c r="BJ363" i="15" s="1"/>
  <c r="U363" i="15"/>
  <c r="Y362" i="15"/>
  <c r="AA362" i="15" s="1"/>
  <c r="AB362" i="15" s="1"/>
  <c r="BJ362" i="15" s="1"/>
  <c r="U362" i="15"/>
  <c r="Y361" i="15"/>
  <c r="AA361" i="15" s="1"/>
  <c r="AB361" i="15" s="1"/>
  <c r="BJ361" i="15" s="1"/>
  <c r="U361" i="15"/>
  <c r="Y360" i="15"/>
  <c r="AA360" i="15" s="1"/>
  <c r="AB360" i="15" s="1"/>
  <c r="BJ360" i="15" s="1"/>
  <c r="U360" i="15"/>
  <c r="Y359" i="15"/>
  <c r="AA359" i="15" s="1"/>
  <c r="AB359" i="15" s="1"/>
  <c r="BJ359" i="15" s="1"/>
  <c r="U359" i="15"/>
  <c r="Y358" i="15"/>
  <c r="AA358" i="15" s="1"/>
  <c r="AB358" i="15" s="1"/>
  <c r="BJ358" i="15" s="1"/>
  <c r="U358" i="15"/>
  <c r="Y357" i="15"/>
  <c r="AA357" i="15" s="1"/>
  <c r="AB357" i="15" s="1"/>
  <c r="BJ357" i="15" s="1"/>
  <c r="U357" i="15"/>
  <c r="Y356" i="15"/>
  <c r="AA356" i="15" s="1"/>
  <c r="AB356" i="15" s="1"/>
  <c r="BJ356" i="15" s="1"/>
  <c r="U356" i="15"/>
  <c r="Y355" i="15"/>
  <c r="AA355" i="15" s="1"/>
  <c r="AB355" i="15" s="1"/>
  <c r="BJ355" i="15" s="1"/>
  <c r="U355" i="15"/>
  <c r="Y354" i="15"/>
  <c r="AA354" i="15" s="1"/>
  <c r="AB354" i="15" s="1"/>
  <c r="BJ354" i="15" s="1"/>
  <c r="U354" i="15"/>
  <c r="Y353" i="15"/>
  <c r="AA353" i="15" s="1"/>
  <c r="AB353" i="15" s="1"/>
  <c r="BJ353" i="15" s="1"/>
  <c r="U353" i="15"/>
  <c r="Y352" i="15"/>
  <c r="AA352" i="15" s="1"/>
  <c r="AB352" i="15" s="1"/>
  <c r="BJ352" i="15" s="1"/>
  <c r="U352" i="15"/>
  <c r="Y351" i="15"/>
  <c r="AA351" i="15" s="1"/>
  <c r="AB351" i="15" s="1"/>
  <c r="BJ351" i="15" s="1"/>
  <c r="U351" i="15"/>
  <c r="Y350" i="15"/>
  <c r="AA350" i="15" s="1"/>
  <c r="AB350" i="15" s="1"/>
  <c r="BJ350" i="15" s="1"/>
  <c r="U350" i="15"/>
  <c r="Y349" i="15"/>
  <c r="AA349" i="15" s="1"/>
  <c r="AB349" i="15" s="1"/>
  <c r="BJ349" i="15" s="1"/>
  <c r="U349" i="15"/>
  <c r="Y348" i="15"/>
  <c r="AA348" i="15" s="1"/>
  <c r="AB348" i="15" s="1"/>
  <c r="BJ348" i="15" s="1"/>
  <c r="U348" i="15"/>
  <c r="Y347" i="15"/>
  <c r="AA347" i="15" s="1"/>
  <c r="AB347" i="15" s="1"/>
  <c r="BJ347" i="15" s="1"/>
  <c r="U347" i="15"/>
  <c r="Y346" i="15"/>
  <c r="AA346" i="15" s="1"/>
  <c r="AB346" i="15" s="1"/>
  <c r="BJ346" i="15" s="1"/>
  <c r="U346" i="15"/>
  <c r="Y345" i="15"/>
  <c r="AA345" i="15" s="1"/>
  <c r="AB345" i="15" s="1"/>
  <c r="BJ345" i="15" s="1"/>
  <c r="U345" i="15"/>
  <c r="Y344" i="15"/>
  <c r="AA344" i="15" s="1"/>
  <c r="AB344" i="15" s="1"/>
  <c r="BJ344" i="15" s="1"/>
  <c r="U344" i="15"/>
  <c r="Y343" i="15"/>
  <c r="AA343" i="15" s="1"/>
  <c r="AB343" i="15" s="1"/>
  <c r="BJ343" i="15" s="1"/>
  <c r="U343" i="15"/>
  <c r="Y342" i="15"/>
  <c r="AA342" i="15" s="1"/>
  <c r="AB342" i="15" s="1"/>
  <c r="BJ342" i="15" s="1"/>
  <c r="U342" i="15"/>
  <c r="Y341" i="15"/>
  <c r="AA341" i="15" s="1"/>
  <c r="AB341" i="15" s="1"/>
  <c r="BJ341" i="15" s="1"/>
  <c r="U341" i="15"/>
  <c r="Y340" i="15"/>
  <c r="AA340" i="15" s="1"/>
  <c r="AB340" i="15" s="1"/>
  <c r="BJ340" i="15" s="1"/>
  <c r="U340" i="15"/>
  <c r="Y339" i="15"/>
  <c r="AA339" i="15" s="1"/>
  <c r="AB339" i="15" s="1"/>
  <c r="BJ339" i="15" s="1"/>
  <c r="U339" i="15"/>
  <c r="Y338" i="15"/>
  <c r="AA338" i="15" s="1"/>
  <c r="AB338" i="15" s="1"/>
  <c r="BJ338" i="15" s="1"/>
  <c r="U338" i="15"/>
  <c r="Y337" i="15"/>
  <c r="AA337" i="15" s="1"/>
  <c r="AB337" i="15" s="1"/>
  <c r="BJ337" i="15" s="1"/>
  <c r="U337" i="15"/>
  <c r="Y336" i="15"/>
  <c r="AA336" i="15" s="1"/>
  <c r="AB336" i="15" s="1"/>
  <c r="BJ336" i="15" s="1"/>
  <c r="U336" i="15"/>
  <c r="Y335" i="15"/>
  <c r="AA335" i="15" s="1"/>
  <c r="AB335" i="15" s="1"/>
  <c r="BJ335" i="15" s="1"/>
  <c r="U335" i="15"/>
  <c r="Y334" i="15"/>
  <c r="AA334" i="15" s="1"/>
  <c r="AB334" i="15" s="1"/>
  <c r="BJ334" i="15" s="1"/>
  <c r="U334" i="15"/>
  <c r="Y333" i="15"/>
  <c r="AA333" i="15" s="1"/>
  <c r="AB333" i="15" s="1"/>
  <c r="BJ333" i="15" s="1"/>
  <c r="U333" i="15"/>
  <c r="Y332" i="15"/>
  <c r="AA332" i="15" s="1"/>
  <c r="AB332" i="15" s="1"/>
  <c r="BJ332" i="15" s="1"/>
  <c r="U332" i="15"/>
  <c r="Y331" i="15"/>
  <c r="AA331" i="15" s="1"/>
  <c r="AB331" i="15" s="1"/>
  <c r="BJ331" i="15" s="1"/>
  <c r="U331" i="15"/>
  <c r="Y330" i="15"/>
  <c r="AA330" i="15" s="1"/>
  <c r="AB330" i="15" s="1"/>
  <c r="BJ330" i="15" s="1"/>
  <c r="U330" i="15"/>
  <c r="Y329" i="15"/>
  <c r="AA329" i="15" s="1"/>
  <c r="AB329" i="15" s="1"/>
  <c r="BJ329" i="15" s="1"/>
  <c r="U329" i="15"/>
  <c r="Y328" i="15"/>
  <c r="AA328" i="15" s="1"/>
  <c r="AB328" i="15" s="1"/>
  <c r="BJ328" i="15" s="1"/>
  <c r="U328" i="15"/>
  <c r="Y327" i="15"/>
  <c r="AA327" i="15" s="1"/>
  <c r="AB327" i="15" s="1"/>
  <c r="BJ327" i="15" s="1"/>
  <c r="U327" i="15"/>
  <c r="Y326" i="15"/>
  <c r="AA326" i="15" s="1"/>
  <c r="AB326" i="15" s="1"/>
  <c r="BJ326" i="15" s="1"/>
  <c r="U326" i="15"/>
  <c r="Y325" i="15"/>
  <c r="AA325" i="15" s="1"/>
  <c r="W325" i="15"/>
  <c r="T325" i="15"/>
  <c r="S325" i="15"/>
  <c r="R325" i="15"/>
  <c r="Q325" i="15"/>
  <c r="P325" i="15"/>
  <c r="O325" i="15"/>
  <c r="N325" i="15"/>
  <c r="M325" i="15"/>
  <c r="L325" i="15"/>
  <c r="K325" i="15"/>
  <c r="J325" i="15"/>
  <c r="I325" i="15"/>
  <c r="H325" i="15"/>
  <c r="G325" i="15"/>
  <c r="F325" i="15"/>
  <c r="E325" i="15"/>
  <c r="D325" i="15"/>
  <c r="C325" i="15"/>
  <c r="Y323" i="15"/>
  <c r="AA323" i="15" s="1"/>
  <c r="AB323" i="15" s="1"/>
  <c r="BJ323" i="15" s="1"/>
  <c r="U323" i="15"/>
  <c r="Y322" i="15"/>
  <c r="AA322" i="15" s="1"/>
  <c r="AB322" i="15" s="1"/>
  <c r="BJ322" i="15" s="1"/>
  <c r="U322" i="15"/>
  <c r="Y321" i="15"/>
  <c r="AA321" i="15" s="1"/>
  <c r="AB321" i="15" s="1"/>
  <c r="BJ321" i="15" s="1"/>
  <c r="U321" i="15"/>
  <c r="Y320" i="15"/>
  <c r="AA320" i="15" s="1"/>
  <c r="AB320" i="15" s="1"/>
  <c r="BJ320" i="15" s="1"/>
  <c r="U320" i="15"/>
  <c r="Y319" i="15"/>
  <c r="AA319" i="15" s="1"/>
  <c r="AB319" i="15" s="1"/>
  <c r="BJ319" i="15" s="1"/>
  <c r="U319" i="15"/>
  <c r="Y318" i="15"/>
  <c r="AA318" i="15" s="1"/>
  <c r="AB318" i="15" s="1"/>
  <c r="BJ318" i="15" s="1"/>
  <c r="U318" i="15"/>
  <c r="Y317" i="15"/>
  <c r="AA317" i="15" s="1"/>
  <c r="AB317" i="15" s="1"/>
  <c r="BJ317" i="15" s="1"/>
  <c r="U317" i="15"/>
  <c r="Y316" i="15"/>
  <c r="AA316" i="15" s="1"/>
  <c r="AB316" i="15" s="1"/>
  <c r="BJ316" i="15" s="1"/>
  <c r="U316" i="15"/>
  <c r="Y315" i="15"/>
  <c r="AA315" i="15" s="1"/>
  <c r="AB315" i="15" s="1"/>
  <c r="BJ315" i="15" s="1"/>
  <c r="U315" i="15"/>
  <c r="Y314" i="15"/>
  <c r="AA314" i="15" s="1"/>
  <c r="AB314" i="15" s="1"/>
  <c r="BJ314" i="15" s="1"/>
  <c r="U314" i="15"/>
  <c r="Y313" i="15"/>
  <c r="AA313" i="15" s="1"/>
  <c r="AB313" i="15" s="1"/>
  <c r="BJ313" i="15" s="1"/>
  <c r="U313" i="15"/>
  <c r="Y312" i="15"/>
  <c r="AA312" i="15" s="1"/>
  <c r="AB312" i="15" s="1"/>
  <c r="BJ312" i="15" s="1"/>
  <c r="U312" i="15"/>
  <c r="Y311" i="15"/>
  <c r="AA311" i="15" s="1"/>
  <c r="AB311" i="15" s="1"/>
  <c r="BJ311" i="15" s="1"/>
  <c r="U311" i="15"/>
  <c r="Y310" i="15"/>
  <c r="AA310" i="15" s="1"/>
  <c r="AB310" i="15" s="1"/>
  <c r="BJ310" i="15" s="1"/>
  <c r="U310" i="15"/>
  <c r="Y309" i="15"/>
  <c r="AA309" i="15" s="1"/>
  <c r="AB309" i="15" s="1"/>
  <c r="BJ309" i="15" s="1"/>
  <c r="U309" i="15"/>
  <c r="Y308" i="15"/>
  <c r="AA308" i="15" s="1"/>
  <c r="AB308" i="15" s="1"/>
  <c r="BJ308" i="15" s="1"/>
  <c r="U308" i="15"/>
  <c r="Y307" i="15"/>
  <c r="AA307" i="15" s="1"/>
  <c r="AB307" i="15" s="1"/>
  <c r="BJ307" i="15" s="1"/>
  <c r="U307" i="15"/>
  <c r="Y306" i="15"/>
  <c r="AA306" i="15" s="1"/>
  <c r="AB306" i="15" s="1"/>
  <c r="BJ306" i="15" s="1"/>
  <c r="U306" i="15"/>
  <c r="Y305" i="15"/>
  <c r="AA305" i="15" s="1"/>
  <c r="AB305" i="15" s="1"/>
  <c r="BJ305" i="15" s="1"/>
  <c r="U305" i="15"/>
  <c r="Y304" i="15"/>
  <c r="AA304" i="15" s="1"/>
  <c r="AB304" i="15" s="1"/>
  <c r="BJ304" i="15" s="1"/>
  <c r="U304" i="15"/>
  <c r="Y303" i="15"/>
  <c r="AA303" i="15" s="1"/>
  <c r="AB303" i="15" s="1"/>
  <c r="BJ303" i="15" s="1"/>
  <c r="U303" i="15"/>
  <c r="Y302" i="15"/>
  <c r="AA302" i="15" s="1"/>
  <c r="AB302" i="15" s="1"/>
  <c r="BJ302" i="15" s="1"/>
  <c r="U302" i="15"/>
  <c r="Y301" i="15"/>
  <c r="AA301" i="15" s="1"/>
  <c r="AB301" i="15" s="1"/>
  <c r="BJ301" i="15" s="1"/>
  <c r="U301" i="15"/>
  <c r="Y300" i="15"/>
  <c r="AA300" i="15" s="1"/>
  <c r="W300" i="15"/>
  <c r="T300" i="15"/>
  <c r="S300" i="15"/>
  <c r="R300" i="15"/>
  <c r="Q300" i="15"/>
  <c r="P300" i="15"/>
  <c r="O300" i="15"/>
  <c r="N300" i="15"/>
  <c r="M300" i="15"/>
  <c r="L300" i="15"/>
  <c r="K300" i="15"/>
  <c r="J300" i="15"/>
  <c r="I300" i="15"/>
  <c r="H300" i="15"/>
  <c r="G300" i="15"/>
  <c r="F300" i="15"/>
  <c r="E300" i="15"/>
  <c r="D300" i="15"/>
  <c r="C300" i="15"/>
  <c r="Y298" i="15"/>
  <c r="AA298" i="15" s="1"/>
  <c r="AB298" i="15" s="1"/>
  <c r="U298" i="15"/>
  <c r="Y297" i="15"/>
  <c r="AA297" i="15" s="1"/>
  <c r="AB297" i="15" s="1"/>
  <c r="U297" i="15"/>
  <c r="Y296" i="15"/>
  <c r="AA296" i="15" s="1"/>
  <c r="AB296" i="15" s="1"/>
  <c r="U296" i="15"/>
  <c r="Y295" i="15"/>
  <c r="AA295" i="15" s="1"/>
  <c r="AB295" i="15" s="1"/>
  <c r="U295" i="15"/>
  <c r="Y294" i="15"/>
  <c r="AA294" i="15" s="1"/>
  <c r="AB294" i="15" s="1"/>
  <c r="U294" i="15"/>
  <c r="Y293" i="15"/>
  <c r="AA293" i="15" s="1"/>
  <c r="AB293" i="15" s="1"/>
  <c r="U293" i="15"/>
  <c r="Y292" i="15"/>
  <c r="AA292" i="15" s="1"/>
  <c r="AB292" i="15" s="1"/>
  <c r="U292" i="15"/>
  <c r="Y291" i="15"/>
  <c r="AA291" i="15" s="1"/>
  <c r="AB291" i="15" s="1"/>
  <c r="U291" i="15"/>
  <c r="Y290" i="15"/>
  <c r="AA290" i="15" s="1"/>
  <c r="AB290" i="15" s="1"/>
  <c r="U290" i="15"/>
  <c r="Y289" i="15"/>
  <c r="AA289" i="15" s="1"/>
  <c r="AB289" i="15" s="1"/>
  <c r="U289" i="15"/>
  <c r="Y288" i="15"/>
  <c r="AA288" i="15" s="1"/>
  <c r="AB288" i="15" s="1"/>
  <c r="U288" i="15"/>
  <c r="Y287" i="15"/>
  <c r="AA287" i="15" s="1"/>
  <c r="AB287" i="15" s="1"/>
  <c r="U287" i="15"/>
  <c r="Y286" i="15"/>
  <c r="AA286" i="15" s="1"/>
  <c r="AB286" i="15" s="1"/>
  <c r="U286" i="15"/>
  <c r="Y285" i="15"/>
  <c r="AA285" i="15" s="1"/>
  <c r="AB285" i="15" s="1"/>
  <c r="U285" i="15"/>
  <c r="Y284" i="15"/>
  <c r="AA284" i="15" s="1"/>
  <c r="AB284" i="15" s="1"/>
  <c r="U284" i="15"/>
  <c r="Y283" i="15"/>
  <c r="AA283" i="15" s="1"/>
  <c r="AB283" i="15" s="1"/>
  <c r="U283" i="15"/>
  <c r="Y282" i="15"/>
  <c r="AA282" i="15" s="1"/>
  <c r="AB282" i="15" s="1"/>
  <c r="U282" i="15"/>
  <c r="Y281" i="15"/>
  <c r="AA281" i="15" s="1"/>
  <c r="AB281" i="15" s="1"/>
  <c r="U281" i="15"/>
  <c r="Y280" i="15"/>
  <c r="AA280" i="15" s="1"/>
  <c r="AB280" i="15" s="1"/>
  <c r="U280" i="15"/>
  <c r="Y279" i="15"/>
  <c r="AA279" i="15" s="1"/>
  <c r="AB279" i="15" s="1"/>
  <c r="U279" i="15"/>
  <c r="Y278" i="15"/>
  <c r="AA278" i="15" s="1"/>
  <c r="AB278" i="15" s="1"/>
  <c r="U278" i="15"/>
  <c r="Y277" i="15"/>
  <c r="AA277" i="15" s="1"/>
  <c r="AB277" i="15" s="1"/>
  <c r="U277" i="15"/>
  <c r="Y276" i="15"/>
  <c r="AA276" i="15" s="1"/>
  <c r="AB276" i="15" s="1"/>
  <c r="U276" i="15"/>
  <c r="Y274" i="15"/>
  <c r="AA274" i="15" s="1"/>
  <c r="AB274" i="15" s="1"/>
  <c r="U274" i="15"/>
  <c r="Y275" i="15"/>
  <c r="AA275" i="15" s="1"/>
  <c r="AB275" i="15" s="1"/>
  <c r="U275" i="15"/>
  <c r="Y273" i="15"/>
  <c r="AA273" i="15" s="1"/>
  <c r="AB273" i="15" s="1"/>
  <c r="U273" i="15"/>
  <c r="Y272" i="15"/>
  <c r="AA272" i="15" s="1"/>
  <c r="AB272" i="15" s="1"/>
  <c r="U272" i="15"/>
  <c r="Y271" i="15"/>
  <c r="AA271" i="15" s="1"/>
  <c r="W271" i="15"/>
  <c r="T271" i="15"/>
  <c r="S271" i="15"/>
  <c r="R271" i="15"/>
  <c r="Q271" i="15"/>
  <c r="P271" i="15"/>
  <c r="O271" i="15"/>
  <c r="N271" i="15"/>
  <c r="M271" i="15"/>
  <c r="L271" i="15"/>
  <c r="K271" i="15"/>
  <c r="J271" i="15"/>
  <c r="I271" i="15"/>
  <c r="H271" i="15"/>
  <c r="G271" i="15"/>
  <c r="F271" i="15"/>
  <c r="E271" i="15"/>
  <c r="D271" i="15"/>
  <c r="C271" i="15"/>
  <c r="X270" i="15"/>
  <c r="Y268" i="15"/>
  <c r="AA268" i="15" s="1"/>
  <c r="AB268" i="15" s="1"/>
  <c r="BJ268" i="15" s="1"/>
  <c r="U268" i="15"/>
  <c r="Y267" i="15"/>
  <c r="AA267" i="15" s="1"/>
  <c r="AB267" i="15" s="1"/>
  <c r="BJ267" i="15" s="1"/>
  <c r="U267" i="15"/>
  <c r="Y266" i="15"/>
  <c r="AA266" i="15" s="1"/>
  <c r="AB266" i="15" s="1"/>
  <c r="BJ266" i="15" s="1"/>
  <c r="U266" i="15"/>
  <c r="Y265" i="15"/>
  <c r="AA265" i="15" s="1"/>
  <c r="AB265" i="15" s="1"/>
  <c r="BJ265" i="15" s="1"/>
  <c r="U265" i="15"/>
  <c r="Y264" i="15"/>
  <c r="AA264" i="15" s="1"/>
  <c r="AB264" i="15" s="1"/>
  <c r="BJ264" i="15" s="1"/>
  <c r="U264" i="15"/>
  <c r="Y263" i="15"/>
  <c r="AA263" i="15" s="1"/>
  <c r="AB263" i="15" s="1"/>
  <c r="BJ263" i="15" s="1"/>
  <c r="U263" i="15"/>
  <c r="Y262" i="15"/>
  <c r="AA262" i="15" s="1"/>
  <c r="AB262" i="15" s="1"/>
  <c r="BJ262" i="15" s="1"/>
  <c r="U262" i="15"/>
  <c r="Y261" i="15"/>
  <c r="AA261" i="15" s="1"/>
  <c r="AB261" i="15" s="1"/>
  <c r="BJ261" i="15" s="1"/>
  <c r="U261" i="15"/>
  <c r="Y260" i="15"/>
  <c r="AA260" i="15" s="1"/>
  <c r="AB260" i="15" s="1"/>
  <c r="BJ260" i="15" s="1"/>
  <c r="U260" i="15"/>
  <c r="Y259" i="15"/>
  <c r="AA259" i="15" s="1"/>
  <c r="AB259" i="15" s="1"/>
  <c r="BJ259" i="15" s="1"/>
  <c r="U259" i="15"/>
  <c r="Y258" i="15"/>
  <c r="AA258" i="15" s="1"/>
  <c r="AB258" i="15" s="1"/>
  <c r="BJ258" i="15" s="1"/>
  <c r="U258" i="15"/>
  <c r="Y257" i="15"/>
  <c r="AA257" i="15" s="1"/>
  <c r="AB257" i="15" s="1"/>
  <c r="BJ257" i="15" s="1"/>
  <c r="U257" i="15"/>
  <c r="Y256" i="15"/>
  <c r="AA256" i="15" s="1"/>
  <c r="AB256" i="15" s="1"/>
  <c r="BJ256" i="15" s="1"/>
  <c r="U256" i="15"/>
  <c r="Y255" i="15"/>
  <c r="AA255" i="15" s="1"/>
  <c r="AB255" i="15" s="1"/>
  <c r="BJ255" i="15" s="1"/>
  <c r="U255" i="15"/>
  <c r="Y254" i="15"/>
  <c r="AA254" i="15" s="1"/>
  <c r="AB254" i="15" s="1"/>
  <c r="BJ254" i="15" s="1"/>
  <c r="U254" i="15"/>
  <c r="Y253" i="15"/>
  <c r="AA253" i="15" s="1"/>
  <c r="AB253" i="15" s="1"/>
  <c r="BJ253" i="15" s="1"/>
  <c r="U253" i="15"/>
  <c r="Y252" i="15"/>
  <c r="AA252" i="15" s="1"/>
  <c r="AB252" i="15" s="1"/>
  <c r="BJ252" i="15" s="1"/>
  <c r="U252" i="15"/>
  <c r="Y251" i="15"/>
  <c r="AA251" i="15" s="1"/>
  <c r="W251" i="15"/>
  <c r="T251" i="15"/>
  <c r="S251" i="15"/>
  <c r="R251" i="15"/>
  <c r="Q251" i="15"/>
  <c r="P251" i="15"/>
  <c r="O251" i="15"/>
  <c r="N251" i="15"/>
  <c r="M251" i="15"/>
  <c r="L251" i="15"/>
  <c r="K251" i="15"/>
  <c r="J251" i="15"/>
  <c r="I251" i="15"/>
  <c r="H251" i="15"/>
  <c r="G251" i="15"/>
  <c r="F251" i="15"/>
  <c r="E251" i="15"/>
  <c r="D251" i="15"/>
  <c r="C251" i="15"/>
  <c r="Y249" i="15"/>
  <c r="AA249" i="15" s="1"/>
  <c r="AB249" i="15" s="1"/>
  <c r="BJ249" i="15" s="1"/>
  <c r="Y248" i="15"/>
  <c r="AA248" i="15" s="1"/>
  <c r="AB248" i="15" s="1"/>
  <c r="BJ248" i="15" s="1"/>
  <c r="U248" i="15"/>
  <c r="Y247" i="15"/>
  <c r="AA247" i="15" s="1"/>
  <c r="AB247" i="15" s="1"/>
  <c r="BJ247" i="15" s="1"/>
  <c r="U247" i="15"/>
  <c r="Y246" i="15"/>
  <c r="AA246" i="15" s="1"/>
  <c r="AB246" i="15" s="1"/>
  <c r="BJ246" i="15" s="1"/>
  <c r="U246" i="15"/>
  <c r="Y245" i="15"/>
  <c r="AA245" i="15" s="1"/>
  <c r="AB245" i="15" s="1"/>
  <c r="BJ245" i="15" s="1"/>
  <c r="U245" i="15"/>
  <c r="Y244" i="15"/>
  <c r="AA244" i="15" s="1"/>
  <c r="AB244" i="15" s="1"/>
  <c r="BJ244" i="15" s="1"/>
  <c r="U244" i="15"/>
  <c r="Y243" i="15"/>
  <c r="AA243" i="15" s="1"/>
  <c r="AB243" i="15" s="1"/>
  <c r="BJ243" i="15" s="1"/>
  <c r="U243" i="15"/>
  <c r="Y242" i="15"/>
  <c r="AA242" i="15" s="1"/>
  <c r="AB242" i="15" s="1"/>
  <c r="BJ242" i="15" s="1"/>
  <c r="U242" i="15"/>
  <c r="Y241" i="15"/>
  <c r="AA241" i="15" s="1"/>
  <c r="AB241" i="15" s="1"/>
  <c r="BJ241" i="15" s="1"/>
  <c r="U241" i="15"/>
  <c r="Y240" i="15"/>
  <c r="AA240" i="15" s="1"/>
  <c r="AB240" i="15" s="1"/>
  <c r="BJ240" i="15" s="1"/>
  <c r="U240" i="15"/>
  <c r="Y239" i="15"/>
  <c r="AA239" i="15" s="1"/>
  <c r="AB239" i="15" s="1"/>
  <c r="BJ239" i="15" s="1"/>
  <c r="U239" i="15"/>
  <c r="Y238" i="15"/>
  <c r="AA238" i="15" s="1"/>
  <c r="AB238" i="15" s="1"/>
  <c r="BJ238" i="15" s="1"/>
  <c r="U238" i="15"/>
  <c r="Y237" i="15"/>
  <c r="AA237" i="15" s="1"/>
  <c r="AB237" i="15" s="1"/>
  <c r="BJ237" i="15" s="1"/>
  <c r="U237" i="15"/>
  <c r="Y236" i="15"/>
  <c r="AA236" i="15" s="1"/>
  <c r="AB236" i="15" s="1"/>
  <c r="BJ236" i="15" s="1"/>
  <c r="U236" i="15"/>
  <c r="Y235" i="15"/>
  <c r="AA235" i="15" s="1"/>
  <c r="AB235" i="15" s="1"/>
  <c r="BJ235" i="15" s="1"/>
  <c r="U235" i="15"/>
  <c r="Y234" i="15"/>
  <c r="AA234" i="15" s="1"/>
  <c r="AB234" i="15" s="1"/>
  <c r="BJ234" i="15" s="1"/>
  <c r="U234" i="15"/>
  <c r="Y233" i="15"/>
  <c r="AA233" i="15" s="1"/>
  <c r="AB233" i="15" s="1"/>
  <c r="BJ233" i="15" s="1"/>
  <c r="U233" i="15"/>
  <c r="Y232" i="15"/>
  <c r="AA232" i="15" s="1"/>
  <c r="W232" i="15"/>
  <c r="T232" i="15"/>
  <c r="S232" i="15"/>
  <c r="R232" i="15"/>
  <c r="Q232" i="15"/>
  <c r="P232" i="15"/>
  <c r="O232" i="15"/>
  <c r="N232" i="15"/>
  <c r="M232" i="15"/>
  <c r="L232" i="15"/>
  <c r="K232" i="15"/>
  <c r="J232" i="15"/>
  <c r="I232" i="15"/>
  <c r="H232" i="15"/>
  <c r="G232" i="15"/>
  <c r="F232" i="15"/>
  <c r="E232" i="15"/>
  <c r="D232" i="15"/>
  <c r="C232" i="15"/>
  <c r="Y230" i="15"/>
  <c r="AA230" i="15" s="1"/>
  <c r="AB230" i="15" s="1"/>
  <c r="U230" i="15"/>
  <c r="Y229" i="15"/>
  <c r="AA229" i="15" s="1"/>
  <c r="AB229" i="15" s="1"/>
  <c r="U229" i="15"/>
  <c r="Y228" i="15"/>
  <c r="AA228" i="15" s="1"/>
  <c r="AB228" i="15" s="1"/>
  <c r="U228" i="15"/>
  <c r="Y227" i="15"/>
  <c r="AA227" i="15" s="1"/>
  <c r="AB227" i="15" s="1"/>
  <c r="U227" i="15"/>
  <c r="Y226" i="15"/>
  <c r="AA226" i="15" s="1"/>
  <c r="AB226" i="15" s="1"/>
  <c r="U226" i="15"/>
  <c r="Y225" i="15"/>
  <c r="AA225" i="15" s="1"/>
  <c r="AB225" i="15" s="1"/>
  <c r="U225" i="15"/>
  <c r="Y224" i="15"/>
  <c r="AA224" i="15" s="1"/>
  <c r="AB224" i="15" s="1"/>
  <c r="U224" i="15"/>
  <c r="Y223" i="15"/>
  <c r="AA223" i="15" s="1"/>
  <c r="AB223" i="15" s="1"/>
  <c r="U223" i="15"/>
  <c r="Y222" i="15"/>
  <c r="AA222" i="15" s="1"/>
  <c r="AB222" i="15" s="1"/>
  <c r="U222" i="15"/>
  <c r="Y221" i="15"/>
  <c r="AA221" i="15" s="1"/>
  <c r="AB221" i="15" s="1"/>
  <c r="U221" i="15"/>
  <c r="Y220" i="15"/>
  <c r="AA220" i="15" s="1"/>
  <c r="AB220" i="15" s="1"/>
  <c r="U220" i="15"/>
  <c r="Y219" i="15"/>
  <c r="AA219" i="15" s="1"/>
  <c r="W219" i="15"/>
  <c r="T219" i="15"/>
  <c r="S219" i="15"/>
  <c r="R219" i="15"/>
  <c r="Q219" i="15"/>
  <c r="P219" i="15"/>
  <c r="O219" i="15"/>
  <c r="N219" i="15"/>
  <c r="M219" i="15"/>
  <c r="L219" i="15"/>
  <c r="K219" i="15"/>
  <c r="J219" i="15"/>
  <c r="I219" i="15"/>
  <c r="H219" i="15"/>
  <c r="G219" i="15"/>
  <c r="F219" i="15"/>
  <c r="E219" i="15"/>
  <c r="D219" i="15"/>
  <c r="C219" i="15"/>
  <c r="Y217" i="15"/>
  <c r="AA217" i="15" s="1"/>
  <c r="AB217" i="15" s="1"/>
  <c r="U217" i="15"/>
  <c r="Y216" i="15"/>
  <c r="AA216" i="15" s="1"/>
  <c r="AB216" i="15" s="1"/>
  <c r="U216" i="15"/>
  <c r="Y215" i="15"/>
  <c r="AA215" i="15" s="1"/>
  <c r="AB215" i="15" s="1"/>
  <c r="U215" i="15"/>
  <c r="Y214" i="15"/>
  <c r="AA214" i="15" s="1"/>
  <c r="AB214" i="15" s="1"/>
  <c r="U214" i="15"/>
  <c r="Y213" i="15"/>
  <c r="AA213" i="15" s="1"/>
  <c r="AB213" i="15" s="1"/>
  <c r="U213" i="15"/>
  <c r="Y212" i="15"/>
  <c r="AA212" i="15" s="1"/>
  <c r="AB212" i="15" s="1"/>
  <c r="U212" i="15"/>
  <c r="Y211" i="15"/>
  <c r="AA211" i="15" s="1"/>
  <c r="AB211" i="15" s="1"/>
  <c r="U211" i="15"/>
  <c r="Y210" i="15"/>
  <c r="AA210" i="15" s="1"/>
  <c r="AB210" i="15" s="1"/>
  <c r="U210" i="15"/>
  <c r="Y209" i="15"/>
  <c r="AA209" i="15" s="1"/>
  <c r="AB209" i="15" s="1"/>
  <c r="U209" i="15"/>
  <c r="Y208" i="15"/>
  <c r="AA208" i="15" s="1"/>
  <c r="AB208" i="15" s="1"/>
  <c r="U208" i="15"/>
  <c r="Y207" i="15"/>
  <c r="AA207" i="15" s="1"/>
  <c r="AB207" i="15" s="1"/>
  <c r="U207" i="15"/>
  <c r="Y206" i="15"/>
  <c r="AA206" i="15" s="1"/>
  <c r="AB206" i="15" s="1"/>
  <c r="U206" i="15"/>
  <c r="Y205" i="15"/>
  <c r="AA205" i="15" s="1"/>
  <c r="AB205" i="15" s="1"/>
  <c r="U205" i="15"/>
  <c r="Y204" i="15"/>
  <c r="AA204" i="15" s="1"/>
  <c r="AB204" i="15" s="1"/>
  <c r="U204" i="15"/>
  <c r="Y203" i="15"/>
  <c r="AA203" i="15" s="1"/>
  <c r="AB203" i="15" s="1"/>
  <c r="U203" i="15"/>
  <c r="Y202" i="15"/>
  <c r="AA202" i="15" s="1"/>
  <c r="AB202" i="15" s="1"/>
  <c r="U202" i="15"/>
  <c r="Y201" i="15"/>
  <c r="AA201" i="15" s="1"/>
  <c r="AB201" i="15" s="1"/>
  <c r="U201" i="15"/>
  <c r="Y200" i="15"/>
  <c r="AA200" i="15" s="1"/>
  <c r="AB200" i="15" s="1"/>
  <c r="U200" i="15"/>
  <c r="Y199" i="15"/>
  <c r="AA199" i="15" s="1"/>
  <c r="AB199" i="15" s="1"/>
  <c r="U199" i="15"/>
  <c r="Y198" i="15"/>
  <c r="AA198" i="15" s="1"/>
  <c r="AB198" i="15" s="1"/>
  <c r="U198" i="15"/>
  <c r="Y197" i="15"/>
  <c r="AA197" i="15" s="1"/>
  <c r="AB197" i="15" s="1"/>
  <c r="U197" i="15"/>
  <c r="Y196" i="15"/>
  <c r="AA196" i="15" s="1"/>
  <c r="AB196" i="15" s="1"/>
  <c r="U196" i="15"/>
  <c r="Y195" i="15"/>
  <c r="AA195" i="15" s="1"/>
  <c r="AB195" i="15" s="1"/>
  <c r="U195" i="15"/>
  <c r="Y194" i="15"/>
  <c r="AA194" i="15" s="1"/>
  <c r="AB194" i="15" s="1"/>
  <c r="U194" i="15"/>
  <c r="Y193" i="15"/>
  <c r="AA193" i="15" s="1"/>
  <c r="AB193" i="15" s="1"/>
  <c r="U193" i="15"/>
  <c r="Y192" i="15"/>
  <c r="AA192" i="15" s="1"/>
  <c r="AB192" i="15" s="1"/>
  <c r="U192" i="15"/>
  <c r="Y191" i="15"/>
  <c r="AA191" i="15" s="1"/>
  <c r="AB191" i="15" s="1"/>
  <c r="U191" i="15"/>
  <c r="Y190" i="15"/>
  <c r="AA190" i="15" s="1"/>
  <c r="W190" i="15"/>
  <c r="T190" i="15"/>
  <c r="S190" i="15"/>
  <c r="R190" i="15"/>
  <c r="Q190" i="15"/>
  <c r="P190" i="15"/>
  <c r="O190" i="15"/>
  <c r="N190" i="15"/>
  <c r="M190" i="15"/>
  <c r="L190" i="15"/>
  <c r="K190" i="15"/>
  <c r="J190" i="15"/>
  <c r="I190" i="15"/>
  <c r="H190" i="15"/>
  <c r="G190" i="15"/>
  <c r="F190" i="15"/>
  <c r="E190" i="15"/>
  <c r="D190" i="15"/>
  <c r="C190" i="15"/>
  <c r="Y188" i="15"/>
  <c r="AA188" i="15" s="1"/>
  <c r="AB188" i="15" s="1"/>
  <c r="U188" i="15"/>
  <c r="Y187" i="15"/>
  <c r="AA187" i="15" s="1"/>
  <c r="AB187" i="15" s="1"/>
  <c r="U187" i="15"/>
  <c r="Y186" i="15"/>
  <c r="AA186" i="15" s="1"/>
  <c r="AB186" i="15" s="1"/>
  <c r="U186" i="15"/>
  <c r="Y185" i="15"/>
  <c r="AA185" i="15" s="1"/>
  <c r="AB185" i="15" s="1"/>
  <c r="U185" i="15"/>
  <c r="Y184" i="15"/>
  <c r="AA184" i="15" s="1"/>
  <c r="AB184" i="15" s="1"/>
  <c r="U184" i="15"/>
  <c r="Y183" i="15"/>
  <c r="AA183" i="15" s="1"/>
  <c r="AB183" i="15" s="1"/>
  <c r="U183" i="15"/>
  <c r="Y182" i="15"/>
  <c r="AA182" i="15" s="1"/>
  <c r="AB182" i="15" s="1"/>
  <c r="U182" i="15"/>
  <c r="Y181" i="15"/>
  <c r="AA181" i="15" s="1"/>
  <c r="AB181" i="15" s="1"/>
  <c r="U181" i="15"/>
  <c r="Y180" i="15"/>
  <c r="AA180" i="15" s="1"/>
  <c r="AB180" i="15" s="1"/>
  <c r="U180" i="15"/>
  <c r="Y179" i="15"/>
  <c r="AA179" i="15" s="1"/>
  <c r="AB179" i="15" s="1"/>
  <c r="U179" i="15"/>
  <c r="Y178" i="15"/>
  <c r="AA178" i="15" s="1"/>
  <c r="AB178" i="15" s="1"/>
  <c r="U178" i="15"/>
  <c r="Y177" i="15"/>
  <c r="AA177" i="15" s="1"/>
  <c r="AB177" i="15" s="1"/>
  <c r="U177" i="15"/>
  <c r="Y176" i="15"/>
  <c r="AA176" i="15" s="1"/>
  <c r="AB176" i="15" s="1"/>
  <c r="U176" i="15"/>
  <c r="Y175" i="15"/>
  <c r="AA175" i="15" s="1"/>
  <c r="AB175" i="15" s="1"/>
  <c r="U175" i="15"/>
  <c r="Y174" i="15"/>
  <c r="AA174" i="15" s="1"/>
  <c r="AB174" i="15" s="1"/>
  <c r="U174" i="15"/>
  <c r="Y173" i="15"/>
  <c r="AA173" i="15" s="1"/>
  <c r="AB173" i="15" s="1"/>
  <c r="U173" i="15"/>
  <c r="Y172" i="15"/>
  <c r="AA172" i="15" s="1"/>
  <c r="AB172" i="15" s="1"/>
  <c r="U172" i="15"/>
  <c r="Y171" i="15"/>
  <c r="AA171" i="15" s="1"/>
  <c r="AB171" i="15" s="1"/>
  <c r="U171" i="15"/>
  <c r="Y170" i="15"/>
  <c r="AA170" i="15" s="1"/>
  <c r="AB170" i="15" s="1"/>
  <c r="U170" i="15"/>
  <c r="Y169" i="15"/>
  <c r="AA169" i="15" s="1"/>
  <c r="AB169" i="15" s="1"/>
  <c r="U169" i="15"/>
  <c r="Y168" i="15"/>
  <c r="AA168" i="15" s="1"/>
  <c r="W168" i="15"/>
  <c r="T168" i="15"/>
  <c r="S168" i="15"/>
  <c r="R168" i="15"/>
  <c r="Q168" i="15"/>
  <c r="P168" i="15"/>
  <c r="O168" i="15"/>
  <c r="N168" i="15"/>
  <c r="M168" i="15"/>
  <c r="L168" i="15"/>
  <c r="K168" i="15"/>
  <c r="J168" i="15"/>
  <c r="I168" i="15"/>
  <c r="H168" i="15"/>
  <c r="G168" i="15"/>
  <c r="F168" i="15"/>
  <c r="E168" i="15"/>
  <c r="D168" i="15"/>
  <c r="C168" i="15"/>
  <c r="Y166" i="15"/>
  <c r="AA166" i="15" s="1"/>
  <c r="AB166" i="15" s="1"/>
  <c r="U166" i="15"/>
  <c r="Y165" i="15"/>
  <c r="AA165" i="15" s="1"/>
  <c r="AB165" i="15" s="1"/>
  <c r="U165" i="15"/>
  <c r="Y164" i="15"/>
  <c r="AA164" i="15" s="1"/>
  <c r="AB164" i="15" s="1"/>
  <c r="U164" i="15"/>
  <c r="Y163" i="15"/>
  <c r="AA163" i="15" s="1"/>
  <c r="AB163" i="15" s="1"/>
  <c r="U163" i="15"/>
  <c r="Y162" i="15"/>
  <c r="AA162" i="15" s="1"/>
  <c r="AB162" i="15" s="1"/>
  <c r="U162" i="15"/>
  <c r="Y161" i="15"/>
  <c r="AA161" i="15" s="1"/>
  <c r="AB161" i="15" s="1"/>
  <c r="U161" i="15"/>
  <c r="Y160" i="15"/>
  <c r="AA160" i="15" s="1"/>
  <c r="AB160" i="15" s="1"/>
  <c r="U160" i="15"/>
  <c r="Y159" i="15"/>
  <c r="AA159" i="15" s="1"/>
  <c r="AB159" i="15" s="1"/>
  <c r="U159" i="15"/>
  <c r="Y158" i="15"/>
  <c r="AA158" i="15" s="1"/>
  <c r="AB158" i="15" s="1"/>
  <c r="U158" i="15"/>
  <c r="Y157" i="15"/>
  <c r="AA157" i="15" s="1"/>
  <c r="AB157" i="15" s="1"/>
  <c r="U157" i="15"/>
  <c r="Y156" i="15"/>
  <c r="AA156" i="15" s="1"/>
  <c r="AB156" i="15" s="1"/>
  <c r="U156" i="15"/>
  <c r="Y155" i="15"/>
  <c r="AA155" i="15" s="1"/>
  <c r="AB155" i="15" s="1"/>
  <c r="U155" i="15"/>
  <c r="Y154" i="15"/>
  <c r="AA154" i="15" s="1"/>
  <c r="AB154" i="15" s="1"/>
  <c r="U154" i="15"/>
  <c r="Y153" i="15"/>
  <c r="AA153" i="15" s="1"/>
  <c r="AB153" i="15" s="1"/>
  <c r="U153" i="15"/>
  <c r="Y152" i="15"/>
  <c r="AA152" i="15" s="1"/>
  <c r="AB152" i="15" s="1"/>
  <c r="U152" i="15"/>
  <c r="Y151" i="15"/>
  <c r="AA151" i="15" s="1"/>
  <c r="AB151" i="15" s="1"/>
  <c r="U151" i="15"/>
  <c r="Y150" i="15"/>
  <c r="AA150" i="15" s="1"/>
  <c r="AB150" i="15" s="1"/>
  <c r="U150" i="15"/>
  <c r="Y149" i="15"/>
  <c r="AA149" i="15" s="1"/>
  <c r="AB149" i="15" s="1"/>
  <c r="U149" i="15"/>
  <c r="Y148" i="15"/>
  <c r="AA148" i="15" s="1"/>
  <c r="AB148" i="15" s="1"/>
  <c r="U148" i="15"/>
  <c r="Y147" i="15"/>
  <c r="AA147" i="15" s="1"/>
  <c r="AB147" i="15" s="1"/>
  <c r="U147" i="15"/>
  <c r="Y146" i="15"/>
  <c r="AA146" i="15" s="1"/>
  <c r="AB146" i="15" s="1"/>
  <c r="U146" i="15"/>
  <c r="Y145" i="15"/>
  <c r="AA145" i="15" s="1"/>
  <c r="W145" i="15"/>
  <c r="T145" i="15"/>
  <c r="S145" i="15"/>
  <c r="R145" i="15"/>
  <c r="Q145" i="15"/>
  <c r="P145" i="15"/>
  <c r="O145" i="15"/>
  <c r="N145" i="15"/>
  <c r="M145" i="15"/>
  <c r="L145" i="15"/>
  <c r="K145" i="15"/>
  <c r="J145" i="15"/>
  <c r="I145" i="15"/>
  <c r="H145" i="15"/>
  <c r="G145" i="15"/>
  <c r="F145" i="15"/>
  <c r="E145" i="15"/>
  <c r="D145" i="15"/>
  <c r="C145" i="15"/>
  <c r="X144" i="15"/>
  <c r="Y142" i="15"/>
  <c r="AA142" i="15" s="1"/>
  <c r="AB142" i="15" s="1"/>
  <c r="U142" i="15"/>
  <c r="Y141" i="15"/>
  <c r="AA141" i="15" s="1"/>
  <c r="AB141" i="15" s="1"/>
  <c r="U141" i="15"/>
  <c r="Y140" i="15"/>
  <c r="AA140" i="15" s="1"/>
  <c r="AB140" i="15" s="1"/>
  <c r="U140" i="15"/>
  <c r="Y139" i="15"/>
  <c r="AA139" i="15" s="1"/>
  <c r="AB139" i="15" s="1"/>
  <c r="U139" i="15"/>
  <c r="Y138" i="15"/>
  <c r="AA138" i="15" s="1"/>
  <c r="AB138" i="15" s="1"/>
  <c r="U138" i="15"/>
  <c r="Y137" i="15"/>
  <c r="AA137" i="15" s="1"/>
  <c r="AB137" i="15" s="1"/>
  <c r="U137" i="15"/>
  <c r="Y136" i="15"/>
  <c r="AA136" i="15" s="1"/>
  <c r="AB136" i="15" s="1"/>
  <c r="U136" i="15"/>
  <c r="Y135" i="15"/>
  <c r="AA135" i="15" s="1"/>
  <c r="AB135" i="15" s="1"/>
  <c r="U135" i="15"/>
  <c r="Y134" i="15"/>
  <c r="AA134" i="15" s="1"/>
  <c r="AB134" i="15" s="1"/>
  <c r="U134" i="15"/>
  <c r="Y133" i="15"/>
  <c r="AA133" i="15" s="1"/>
  <c r="AB133" i="15" s="1"/>
  <c r="U133" i="15"/>
  <c r="Y132" i="15"/>
  <c r="AA132" i="15" s="1"/>
  <c r="AB132" i="15" s="1"/>
  <c r="U132" i="15"/>
  <c r="Y131" i="15"/>
  <c r="AA131" i="15" s="1"/>
  <c r="AB131" i="15" s="1"/>
  <c r="U131" i="15"/>
  <c r="Y130" i="15"/>
  <c r="AA130" i="15" s="1"/>
  <c r="AB130" i="15" s="1"/>
  <c r="U130" i="15"/>
  <c r="Y129" i="15"/>
  <c r="AA129" i="15" s="1"/>
  <c r="AB129" i="15" s="1"/>
  <c r="U129" i="15"/>
  <c r="Y128" i="15"/>
  <c r="AA128" i="15" s="1"/>
  <c r="AB128" i="15" s="1"/>
  <c r="U128" i="15"/>
  <c r="Y127" i="15"/>
  <c r="AA127" i="15" s="1"/>
  <c r="AB127" i="15" s="1"/>
  <c r="U127" i="15"/>
  <c r="Y126" i="15"/>
  <c r="AA126" i="15" s="1"/>
  <c r="AB126" i="15" s="1"/>
  <c r="U126" i="15"/>
  <c r="Y125" i="15"/>
  <c r="AA125" i="15" s="1"/>
  <c r="W125" i="15"/>
  <c r="T125" i="15"/>
  <c r="S125" i="15"/>
  <c r="R125" i="15"/>
  <c r="Q125" i="15"/>
  <c r="P125" i="15"/>
  <c r="O125" i="15"/>
  <c r="N125" i="15"/>
  <c r="M125" i="15"/>
  <c r="L125" i="15"/>
  <c r="K125" i="15"/>
  <c r="J125" i="15"/>
  <c r="I125" i="15"/>
  <c r="H125" i="15"/>
  <c r="G125" i="15"/>
  <c r="F125" i="15"/>
  <c r="E125" i="15"/>
  <c r="D125" i="15"/>
  <c r="C125" i="15"/>
  <c r="Y123" i="15"/>
  <c r="AA123" i="15" s="1"/>
  <c r="AB123" i="15" s="1"/>
  <c r="BJ123" i="15" s="1"/>
  <c r="U123" i="15"/>
  <c r="Y122" i="15"/>
  <c r="AA122" i="15" s="1"/>
  <c r="AB122" i="15" s="1"/>
  <c r="BJ122" i="15" s="1"/>
  <c r="U122" i="15"/>
  <c r="Y121" i="15"/>
  <c r="AA121" i="15" s="1"/>
  <c r="AB121" i="15" s="1"/>
  <c r="BJ121" i="15" s="1"/>
  <c r="U121" i="15"/>
  <c r="Y120" i="15"/>
  <c r="AA120" i="15" s="1"/>
  <c r="AB120" i="15" s="1"/>
  <c r="BJ120" i="15" s="1"/>
  <c r="U120" i="15"/>
  <c r="Y119" i="15"/>
  <c r="AA119" i="15" s="1"/>
  <c r="AB119" i="15" s="1"/>
  <c r="BJ119" i="15" s="1"/>
  <c r="U119" i="15"/>
  <c r="Y118" i="15"/>
  <c r="AA118" i="15" s="1"/>
  <c r="AB118" i="15" s="1"/>
  <c r="BJ118" i="15" s="1"/>
  <c r="U118" i="15"/>
  <c r="Y117" i="15"/>
  <c r="AA117" i="15" s="1"/>
  <c r="AB117" i="15" s="1"/>
  <c r="BJ117" i="15" s="1"/>
  <c r="U117" i="15"/>
  <c r="Y116" i="15"/>
  <c r="AA116" i="15" s="1"/>
  <c r="AB116" i="15" s="1"/>
  <c r="BJ116" i="15" s="1"/>
  <c r="U116" i="15"/>
  <c r="Y115" i="15"/>
  <c r="AA115" i="15" s="1"/>
  <c r="AB115" i="15" s="1"/>
  <c r="BJ115" i="15" s="1"/>
  <c r="U115" i="15"/>
  <c r="Y114" i="15"/>
  <c r="AA114" i="15" s="1"/>
  <c r="AB114" i="15" s="1"/>
  <c r="BJ114" i="15" s="1"/>
  <c r="U114" i="15"/>
  <c r="Y113" i="15"/>
  <c r="AA113" i="15" s="1"/>
  <c r="AB113" i="15" s="1"/>
  <c r="BJ113" i="15" s="1"/>
  <c r="U113" i="15"/>
  <c r="Y112" i="15"/>
  <c r="AA112" i="15" s="1"/>
  <c r="AB112" i="15" s="1"/>
  <c r="BJ112" i="15" s="1"/>
  <c r="U112" i="15"/>
  <c r="Y111" i="15"/>
  <c r="AA111" i="15" s="1"/>
  <c r="AB111" i="15" s="1"/>
  <c r="BJ111" i="15" s="1"/>
  <c r="U111" i="15"/>
  <c r="Y110" i="15"/>
  <c r="AA110" i="15" s="1"/>
  <c r="AB110" i="15" s="1"/>
  <c r="BJ110" i="15" s="1"/>
  <c r="U110" i="15"/>
  <c r="Y109" i="15"/>
  <c r="AA109" i="15" s="1"/>
  <c r="AB109" i="15" s="1"/>
  <c r="BJ109" i="15" s="1"/>
  <c r="U109" i="15"/>
  <c r="Y108" i="15"/>
  <c r="AA108" i="15" s="1"/>
  <c r="AB108" i="15" s="1"/>
  <c r="BJ108" i="15" s="1"/>
  <c r="U108" i="15"/>
  <c r="Y107" i="15"/>
  <c r="AA107" i="15" s="1"/>
  <c r="AB107" i="15" s="1"/>
  <c r="BJ107" i="15" s="1"/>
  <c r="U107" i="15"/>
  <c r="Y106" i="15"/>
  <c r="AA106" i="15" s="1"/>
  <c r="AB106" i="15" s="1"/>
  <c r="BJ106" i="15" s="1"/>
  <c r="U106" i="15"/>
  <c r="Y105" i="15"/>
  <c r="AA105" i="15" s="1"/>
  <c r="AB105" i="15" s="1"/>
  <c r="BJ105" i="15" s="1"/>
  <c r="U105" i="15"/>
  <c r="Y104" i="15"/>
  <c r="AA104" i="15" s="1"/>
  <c r="AB104" i="15" s="1"/>
  <c r="BJ104" i="15" s="1"/>
  <c r="U104" i="15"/>
  <c r="Y103" i="15"/>
  <c r="AA103" i="15" s="1"/>
  <c r="AB103" i="15" s="1"/>
  <c r="BJ103" i="15" s="1"/>
  <c r="U103" i="15"/>
  <c r="Y102" i="15"/>
  <c r="AA102" i="15" s="1"/>
  <c r="AB102" i="15" s="1"/>
  <c r="BJ102" i="15" s="1"/>
  <c r="U102" i="15"/>
  <c r="Y101" i="15"/>
  <c r="AA101" i="15" s="1"/>
  <c r="AB101" i="15" s="1"/>
  <c r="BJ101" i="15" s="1"/>
  <c r="U101" i="15"/>
  <c r="Y100" i="15"/>
  <c r="AA100" i="15" s="1"/>
  <c r="AB100" i="15" s="1"/>
  <c r="BJ100" i="15" s="1"/>
  <c r="U100" i="15"/>
  <c r="Y99" i="15"/>
  <c r="AA99" i="15" s="1"/>
  <c r="AB99" i="15" s="1"/>
  <c r="BJ99" i="15" s="1"/>
  <c r="U99" i="15"/>
  <c r="Y98" i="15"/>
  <c r="AA98" i="15" s="1"/>
  <c r="W98" i="15"/>
  <c r="T98" i="15"/>
  <c r="S98" i="15"/>
  <c r="R98" i="15"/>
  <c r="Q98" i="15"/>
  <c r="P98" i="15"/>
  <c r="O98" i="15"/>
  <c r="N98" i="15"/>
  <c r="M98" i="15"/>
  <c r="L98" i="15"/>
  <c r="K98" i="15"/>
  <c r="J98" i="15"/>
  <c r="I98" i="15"/>
  <c r="H98" i="15"/>
  <c r="G98" i="15"/>
  <c r="F98" i="15"/>
  <c r="E98" i="15"/>
  <c r="D98" i="15"/>
  <c r="C98" i="15"/>
  <c r="Y96" i="15"/>
  <c r="AA96" i="15" s="1"/>
  <c r="AB96" i="15" s="1"/>
  <c r="BJ96" i="15" s="1"/>
  <c r="U96" i="15"/>
  <c r="Y95" i="15"/>
  <c r="AA95" i="15" s="1"/>
  <c r="AB95" i="15" s="1"/>
  <c r="BJ95" i="15" s="1"/>
  <c r="U95" i="15"/>
  <c r="Y94" i="15"/>
  <c r="AA94" i="15" s="1"/>
  <c r="AB94" i="15" s="1"/>
  <c r="BJ94" i="15" s="1"/>
  <c r="U94" i="15"/>
  <c r="Y92" i="15"/>
  <c r="AA92" i="15" s="1"/>
  <c r="AB92" i="15" s="1"/>
  <c r="BJ92" i="15" s="1"/>
  <c r="U92" i="15"/>
  <c r="Y93" i="15"/>
  <c r="AA93" i="15" s="1"/>
  <c r="AB93" i="15" s="1"/>
  <c r="BJ93" i="15" s="1"/>
  <c r="U93" i="15"/>
  <c r="Y91" i="15"/>
  <c r="AA91" i="15" s="1"/>
  <c r="AB91" i="15" s="1"/>
  <c r="BJ91" i="15" s="1"/>
  <c r="U91" i="15"/>
  <c r="Y90" i="15"/>
  <c r="AA90" i="15" s="1"/>
  <c r="AB90" i="15" s="1"/>
  <c r="BJ90" i="15" s="1"/>
  <c r="U90" i="15"/>
  <c r="Y89" i="15"/>
  <c r="AA89" i="15" s="1"/>
  <c r="AB89" i="15" s="1"/>
  <c r="BJ89" i="15" s="1"/>
  <c r="U89" i="15"/>
  <c r="Y88" i="15"/>
  <c r="AA88" i="15" s="1"/>
  <c r="AB88" i="15" s="1"/>
  <c r="BJ88" i="15" s="1"/>
  <c r="U88" i="15"/>
  <c r="Y87" i="15"/>
  <c r="AA87" i="15" s="1"/>
  <c r="AB87" i="15" s="1"/>
  <c r="BJ87" i="15" s="1"/>
  <c r="U87" i="15"/>
  <c r="Y86" i="15"/>
  <c r="AA86" i="15" s="1"/>
  <c r="AB86" i="15" s="1"/>
  <c r="BJ86" i="15" s="1"/>
  <c r="U86" i="15"/>
  <c r="Y85" i="15"/>
  <c r="AA85" i="15" s="1"/>
  <c r="AB85" i="15" s="1"/>
  <c r="BJ85" i="15" s="1"/>
  <c r="U85" i="15"/>
  <c r="Y84" i="15"/>
  <c r="AA84" i="15" s="1"/>
  <c r="AB84" i="15" s="1"/>
  <c r="BJ84" i="15" s="1"/>
  <c r="U84" i="15"/>
  <c r="Y83" i="15"/>
  <c r="AA83" i="15" s="1"/>
  <c r="T83" i="15"/>
  <c r="S83" i="15"/>
  <c r="R83" i="15"/>
  <c r="Q83" i="15"/>
  <c r="P83" i="15"/>
  <c r="O83" i="15"/>
  <c r="N83" i="15"/>
  <c r="M83" i="15"/>
  <c r="L83" i="15"/>
  <c r="K83" i="15"/>
  <c r="J83" i="15"/>
  <c r="I83" i="15"/>
  <c r="H83" i="15"/>
  <c r="G83" i="15"/>
  <c r="F83" i="15"/>
  <c r="E83" i="15"/>
  <c r="D83" i="15"/>
  <c r="C83" i="15"/>
  <c r="Y81" i="15"/>
  <c r="AA81" i="15" s="1"/>
  <c r="AB81" i="15" s="1"/>
  <c r="U81" i="15"/>
  <c r="Y80" i="15"/>
  <c r="AA80" i="15" s="1"/>
  <c r="AB80" i="15" s="1"/>
  <c r="U80" i="15"/>
  <c r="Y79" i="15"/>
  <c r="AA79" i="15" s="1"/>
  <c r="AB79" i="15" s="1"/>
  <c r="U79" i="15"/>
  <c r="Y78" i="15"/>
  <c r="AA78" i="15" s="1"/>
  <c r="AB78" i="15" s="1"/>
  <c r="U78" i="15"/>
  <c r="Y77" i="15"/>
  <c r="AA77" i="15" s="1"/>
  <c r="AB77" i="15" s="1"/>
  <c r="U77" i="15"/>
  <c r="Y76" i="15"/>
  <c r="AA76" i="15" s="1"/>
  <c r="AB76" i="15" s="1"/>
  <c r="U76" i="15"/>
  <c r="Y75" i="15"/>
  <c r="AA75" i="15" s="1"/>
  <c r="AB75" i="15" s="1"/>
  <c r="U75" i="15"/>
  <c r="Y74" i="15"/>
  <c r="AA74" i="15" s="1"/>
  <c r="AB74" i="15" s="1"/>
  <c r="U74" i="15"/>
  <c r="Y73" i="15"/>
  <c r="AA73" i="15" s="1"/>
  <c r="AB73" i="15" s="1"/>
  <c r="U73" i="15"/>
  <c r="Y72" i="15"/>
  <c r="AA72" i="15" s="1"/>
  <c r="AB72" i="15" s="1"/>
  <c r="U72" i="15"/>
  <c r="Y71" i="15"/>
  <c r="AA71" i="15" s="1"/>
  <c r="AB71" i="15" s="1"/>
  <c r="U71" i="15"/>
  <c r="Y70" i="15"/>
  <c r="AA70" i="15" s="1"/>
  <c r="AB70" i="15" s="1"/>
  <c r="U70" i="15"/>
  <c r="Y69" i="15"/>
  <c r="AA69" i="15" s="1"/>
  <c r="AB69" i="15" s="1"/>
  <c r="U69" i="15"/>
  <c r="Y68" i="15"/>
  <c r="AA68" i="15" s="1"/>
  <c r="AB68" i="15" s="1"/>
  <c r="U68" i="15"/>
  <c r="Y67" i="15"/>
  <c r="AA67" i="15" s="1"/>
  <c r="AB67" i="15" s="1"/>
  <c r="U67" i="15"/>
  <c r="Y65" i="15"/>
  <c r="AA65" i="15" s="1"/>
  <c r="W65" i="15"/>
  <c r="T65" i="15"/>
  <c r="S65" i="15"/>
  <c r="R65" i="15"/>
  <c r="Q65" i="15"/>
  <c r="P65" i="15"/>
  <c r="O65" i="15"/>
  <c r="N65" i="15"/>
  <c r="M65" i="15"/>
  <c r="L65" i="15"/>
  <c r="K65" i="15"/>
  <c r="J65" i="15"/>
  <c r="I65" i="15"/>
  <c r="H65" i="15"/>
  <c r="G65" i="15"/>
  <c r="F65" i="15"/>
  <c r="E65" i="15"/>
  <c r="D65" i="15"/>
  <c r="C65" i="15"/>
  <c r="Y63" i="15"/>
  <c r="AA63" i="15" s="1"/>
  <c r="AB63" i="15" s="1"/>
  <c r="U63" i="15"/>
  <c r="Y62" i="15"/>
  <c r="AA62" i="15" s="1"/>
  <c r="AB62" i="15" s="1"/>
  <c r="U62" i="15"/>
  <c r="Y61" i="15"/>
  <c r="AA61" i="15" s="1"/>
  <c r="AB61" i="15" s="1"/>
  <c r="U61" i="15"/>
  <c r="Y60" i="15"/>
  <c r="AA60" i="15" s="1"/>
  <c r="AB60" i="15" s="1"/>
  <c r="U60" i="15"/>
  <c r="Y59" i="15"/>
  <c r="AA59" i="15" s="1"/>
  <c r="AB59" i="15" s="1"/>
  <c r="U59" i="15"/>
  <c r="Y58" i="15"/>
  <c r="AA58" i="15" s="1"/>
  <c r="AB58" i="15" s="1"/>
  <c r="U58" i="15"/>
  <c r="Y57" i="15"/>
  <c r="AA57" i="15" s="1"/>
  <c r="AB57" i="15" s="1"/>
  <c r="U57" i="15"/>
  <c r="Y56" i="15"/>
  <c r="AA56" i="15" s="1"/>
  <c r="AB56" i="15" s="1"/>
  <c r="U56" i="15"/>
  <c r="Y55" i="15"/>
  <c r="AA55" i="15" s="1"/>
  <c r="AB55" i="15" s="1"/>
  <c r="U55" i="15"/>
  <c r="Y54" i="15"/>
  <c r="AA54" i="15" s="1"/>
  <c r="AB54" i="15" s="1"/>
  <c r="U54" i="15"/>
  <c r="Y53" i="15"/>
  <c r="AA53" i="15" s="1"/>
  <c r="AB53" i="15" s="1"/>
  <c r="U53" i="15"/>
  <c r="Y52" i="15"/>
  <c r="AA52" i="15" s="1"/>
  <c r="AB52" i="15" s="1"/>
  <c r="U52" i="15"/>
  <c r="Y51" i="15"/>
  <c r="AA51" i="15" s="1"/>
  <c r="AB51" i="15" s="1"/>
  <c r="U51" i="15"/>
  <c r="Y50" i="15"/>
  <c r="AA50" i="15" s="1"/>
  <c r="AB50" i="15" s="1"/>
  <c r="U50" i="15"/>
  <c r="Y49" i="15"/>
  <c r="AA49" i="15" s="1"/>
  <c r="AB49" i="15" s="1"/>
  <c r="U49" i="15"/>
  <c r="Y48" i="15"/>
  <c r="AA48" i="15" s="1"/>
  <c r="AB48" i="15" s="1"/>
  <c r="U48" i="15"/>
  <c r="Y47" i="15"/>
  <c r="AA47" i="15" s="1"/>
  <c r="AB47" i="15" s="1"/>
  <c r="U47" i="15"/>
  <c r="Y46" i="15"/>
  <c r="AA46" i="15" s="1"/>
  <c r="AB46" i="15" s="1"/>
  <c r="U46" i="15"/>
  <c r="Y45" i="15"/>
  <c r="AA45" i="15" s="1"/>
  <c r="AB45" i="15" s="1"/>
  <c r="U45" i="15"/>
  <c r="Y44" i="15"/>
  <c r="AA44" i="15" s="1"/>
  <c r="AB44" i="15" s="1"/>
  <c r="U44" i="15"/>
  <c r="Y42" i="15"/>
  <c r="AA42" i="15" s="1"/>
  <c r="W42" i="15"/>
  <c r="T42" i="15"/>
  <c r="S42" i="15"/>
  <c r="R42" i="15"/>
  <c r="Q42" i="15"/>
  <c r="P42" i="15"/>
  <c r="O42" i="15"/>
  <c r="N42" i="15"/>
  <c r="M42" i="15"/>
  <c r="L42" i="15"/>
  <c r="K42" i="15"/>
  <c r="J42" i="15"/>
  <c r="I42" i="15"/>
  <c r="H42" i="15"/>
  <c r="G42" i="15"/>
  <c r="F42" i="15"/>
  <c r="E42" i="15"/>
  <c r="D42" i="15"/>
  <c r="C42" i="15"/>
  <c r="Y40" i="15"/>
  <c r="AA40" i="15" s="1"/>
  <c r="AB40" i="15" s="1"/>
  <c r="U40" i="15"/>
  <c r="Y39" i="15"/>
  <c r="AA39" i="15" s="1"/>
  <c r="AB39" i="15" s="1"/>
  <c r="U39" i="15"/>
  <c r="Y38" i="15"/>
  <c r="AA38" i="15" s="1"/>
  <c r="AB38" i="15" s="1"/>
  <c r="U38" i="15"/>
  <c r="Y37" i="15"/>
  <c r="AA37" i="15" s="1"/>
  <c r="AB37" i="15" s="1"/>
  <c r="U37" i="15"/>
  <c r="Y36" i="15"/>
  <c r="AA36" i="15" s="1"/>
  <c r="AB36" i="15" s="1"/>
  <c r="U36" i="15"/>
  <c r="Y34" i="15"/>
  <c r="AA34" i="15" s="1"/>
  <c r="W34" i="15"/>
  <c r="T34" i="15"/>
  <c r="S34" i="15"/>
  <c r="R34" i="15"/>
  <c r="Q34" i="15"/>
  <c r="P34" i="15"/>
  <c r="O34" i="15"/>
  <c r="N34" i="15"/>
  <c r="M34" i="15"/>
  <c r="L34" i="15"/>
  <c r="K34" i="15"/>
  <c r="J34" i="15"/>
  <c r="I34" i="15"/>
  <c r="H34" i="15"/>
  <c r="G34" i="15"/>
  <c r="F34" i="15"/>
  <c r="E34" i="15"/>
  <c r="D34" i="15"/>
  <c r="Y32" i="15"/>
  <c r="AA32" i="15" s="1"/>
  <c r="AB32" i="15" s="1"/>
  <c r="U32" i="15"/>
  <c r="Y31" i="15"/>
  <c r="AA31" i="15" s="1"/>
  <c r="AB31" i="15" s="1"/>
  <c r="U31" i="15"/>
  <c r="Y30" i="15"/>
  <c r="AA30" i="15" s="1"/>
  <c r="AB30" i="15" s="1"/>
  <c r="U30" i="15"/>
  <c r="Y29" i="15"/>
  <c r="AA29" i="15" s="1"/>
  <c r="AB29" i="15" s="1"/>
  <c r="U29" i="15"/>
  <c r="Y28" i="15"/>
  <c r="AA28" i="15" s="1"/>
  <c r="AB28" i="15" s="1"/>
  <c r="U28" i="15"/>
  <c r="Y27" i="15"/>
  <c r="AA27" i="15" s="1"/>
  <c r="AB27" i="15" s="1"/>
  <c r="U27" i="15"/>
  <c r="Y26" i="15"/>
  <c r="AA26" i="15" s="1"/>
  <c r="AB26" i="15" s="1"/>
  <c r="U26" i="15"/>
  <c r="Y25" i="15"/>
  <c r="AA25" i="15" s="1"/>
  <c r="AB25" i="15" s="1"/>
  <c r="U25" i="15"/>
  <c r="Y24" i="15"/>
  <c r="AA24" i="15" s="1"/>
  <c r="AB24" i="15" s="1"/>
  <c r="U24" i="15"/>
  <c r="Y23" i="15"/>
  <c r="AA23" i="15" s="1"/>
  <c r="AB23" i="15" s="1"/>
  <c r="U23" i="15"/>
  <c r="Y22" i="15"/>
  <c r="AA22" i="15" s="1"/>
  <c r="AB22" i="15" s="1"/>
  <c r="U22" i="15"/>
  <c r="Y21" i="15"/>
  <c r="AA21" i="15" s="1"/>
  <c r="AB21" i="15" s="1"/>
  <c r="U21" i="15"/>
  <c r="Y20" i="15"/>
  <c r="AA20" i="15" s="1"/>
  <c r="AB20" i="15" s="1"/>
  <c r="U20" i="15"/>
  <c r="Y19" i="15"/>
  <c r="AA19" i="15" s="1"/>
  <c r="AB19" i="15" s="1"/>
  <c r="U19" i="15"/>
  <c r="Y18" i="15"/>
  <c r="AA18" i="15" s="1"/>
  <c r="AB18" i="15" s="1"/>
  <c r="U18" i="15"/>
  <c r="Y17" i="15"/>
  <c r="AA17" i="15" s="1"/>
  <c r="AB17" i="15" s="1"/>
  <c r="U17" i="15"/>
  <c r="Y16" i="15"/>
  <c r="AA16" i="15" s="1"/>
  <c r="AB16" i="15" s="1"/>
  <c r="U16" i="15"/>
  <c r="Y15" i="15"/>
  <c r="AA15" i="15" s="1"/>
  <c r="AB15" i="15" s="1"/>
  <c r="U15" i="15"/>
  <c r="Y14" i="15"/>
  <c r="AA14" i="15" s="1"/>
  <c r="AB14" i="15" s="1"/>
  <c r="U14" i="15"/>
  <c r="Y13" i="15"/>
  <c r="AA13" i="15" s="1"/>
  <c r="AB13" i="15" s="1"/>
  <c r="U13" i="15"/>
  <c r="Y12" i="15"/>
  <c r="AA12" i="15" s="1"/>
  <c r="AB12" i="15" s="1"/>
  <c r="U12" i="15"/>
  <c r="Y11" i="15"/>
  <c r="AA11" i="15" s="1"/>
  <c r="AB11" i="15" s="1"/>
  <c r="U11" i="15"/>
  <c r="Y10" i="15"/>
  <c r="AA10" i="15" s="1"/>
  <c r="AB10" i="15" s="1"/>
  <c r="U10" i="15"/>
  <c r="Y9" i="15"/>
  <c r="AA9" i="15" s="1"/>
  <c r="T9" i="15"/>
  <c r="S9" i="15"/>
  <c r="R9" i="15"/>
  <c r="Q9" i="15"/>
  <c r="P9" i="15"/>
  <c r="O9" i="15"/>
  <c r="N9" i="15"/>
  <c r="M9" i="15"/>
  <c r="L9" i="15"/>
  <c r="K9" i="15"/>
  <c r="J9" i="15"/>
  <c r="I9" i="15"/>
  <c r="H9" i="15"/>
  <c r="G9" i="15"/>
  <c r="F9" i="15"/>
  <c r="E9" i="15"/>
  <c r="D9" i="15"/>
  <c r="C9" i="15"/>
  <c r="H575" i="16" l="1"/>
  <c r="BL493" i="15"/>
  <c r="BM493" i="15" s="1"/>
  <c r="BK493" i="15"/>
  <c r="BL495" i="15"/>
  <c r="BM495" i="15" s="1"/>
  <c r="BK495" i="15"/>
  <c r="BL497" i="15"/>
  <c r="BM497" i="15" s="1"/>
  <c r="BK497" i="15"/>
  <c r="BL499" i="15"/>
  <c r="BM499" i="15" s="1"/>
  <c r="BK499" i="15"/>
  <c r="BL501" i="15"/>
  <c r="BM501" i="15" s="1"/>
  <c r="BK501" i="15"/>
  <c r="BL503" i="15"/>
  <c r="BM503" i="15" s="1"/>
  <c r="BK503" i="15"/>
  <c r="BL505" i="15"/>
  <c r="BM505" i="15" s="1"/>
  <c r="BK505" i="15"/>
  <c r="BL507" i="15"/>
  <c r="BM507" i="15" s="1"/>
  <c r="BK507" i="15"/>
  <c r="BL509" i="15"/>
  <c r="BM509" i="15" s="1"/>
  <c r="BK509" i="15"/>
  <c r="BL511" i="15"/>
  <c r="BM511" i="15" s="1"/>
  <c r="BK511" i="15"/>
  <c r="BL84" i="15"/>
  <c r="BM84" i="15" s="1"/>
  <c r="BK84" i="15"/>
  <c r="BK86" i="15"/>
  <c r="BL86" i="15"/>
  <c r="BM86" i="15" s="1"/>
  <c r="BK90" i="15"/>
  <c r="BL90" i="15"/>
  <c r="BM90" i="15" s="1"/>
  <c r="BK94" i="15"/>
  <c r="BL94" i="15"/>
  <c r="BM94" i="15" s="1"/>
  <c r="BK102" i="15"/>
  <c r="BL102" i="15"/>
  <c r="BM102" i="15" s="1"/>
  <c r="BK106" i="15"/>
  <c r="BL106" i="15"/>
  <c r="BM106" i="15" s="1"/>
  <c r="BK110" i="15"/>
  <c r="BL110" i="15"/>
  <c r="BM110" i="15" s="1"/>
  <c r="BK114" i="15"/>
  <c r="BL114" i="15"/>
  <c r="BM114" i="15" s="1"/>
  <c r="BK118" i="15"/>
  <c r="BL118" i="15"/>
  <c r="BM118" i="15" s="1"/>
  <c r="BK120" i="15"/>
  <c r="BL120" i="15"/>
  <c r="BM120" i="15" s="1"/>
  <c r="BL233" i="15"/>
  <c r="BM233" i="15" s="1"/>
  <c r="BK233" i="15"/>
  <c r="BK235" i="15"/>
  <c r="BL235" i="15"/>
  <c r="BM235" i="15" s="1"/>
  <c r="BL237" i="15"/>
  <c r="BM237" i="15" s="1"/>
  <c r="BK237" i="15"/>
  <c r="BK239" i="15"/>
  <c r="BL239" i="15"/>
  <c r="BM239" i="15" s="1"/>
  <c r="BL241" i="15"/>
  <c r="BM241" i="15" s="1"/>
  <c r="BK241" i="15"/>
  <c r="BK243" i="15"/>
  <c r="BL243" i="15"/>
  <c r="BM243" i="15" s="1"/>
  <c r="BL245" i="15"/>
  <c r="BM245" i="15" s="1"/>
  <c r="BK245" i="15"/>
  <c r="BK247" i="15"/>
  <c r="BL247" i="15"/>
  <c r="BM247" i="15" s="1"/>
  <c r="BK302" i="15"/>
  <c r="BL302" i="15"/>
  <c r="BM302" i="15" s="1"/>
  <c r="BL304" i="15"/>
  <c r="BM304" i="15" s="1"/>
  <c r="BK304" i="15"/>
  <c r="BK306" i="15"/>
  <c r="BL306" i="15"/>
  <c r="BM306" i="15" s="1"/>
  <c r="BL308" i="15"/>
  <c r="BM308" i="15" s="1"/>
  <c r="BK308" i="15"/>
  <c r="BK310" i="15"/>
  <c r="BL310" i="15"/>
  <c r="BM310" i="15" s="1"/>
  <c r="BL312" i="15"/>
  <c r="BM312" i="15" s="1"/>
  <c r="BK312" i="15"/>
  <c r="BK314" i="15"/>
  <c r="BL314" i="15"/>
  <c r="BM314" i="15" s="1"/>
  <c r="BL316" i="15"/>
  <c r="BM316" i="15" s="1"/>
  <c r="BK316" i="15"/>
  <c r="BK318" i="15"/>
  <c r="BL318" i="15"/>
  <c r="BM318" i="15" s="1"/>
  <c r="BL320" i="15"/>
  <c r="BM320" i="15" s="1"/>
  <c r="BK320" i="15"/>
  <c r="BK322" i="15"/>
  <c r="BL322" i="15"/>
  <c r="BM322" i="15" s="1"/>
  <c r="BK326" i="15"/>
  <c r="BL326" i="15"/>
  <c r="BM326" i="15" s="1"/>
  <c r="BL328" i="15"/>
  <c r="BM328" i="15" s="1"/>
  <c r="BK328" i="15"/>
  <c r="BL330" i="15"/>
  <c r="BM330" i="15" s="1"/>
  <c r="BK330" i="15"/>
  <c r="BK332" i="15"/>
  <c r="BL332" i="15"/>
  <c r="BM332" i="15" s="1"/>
  <c r="BL334" i="15"/>
  <c r="BM334" i="15" s="1"/>
  <c r="BK334" i="15"/>
  <c r="BL336" i="15"/>
  <c r="BM336" i="15" s="1"/>
  <c r="BK336" i="15"/>
  <c r="BL338" i="15"/>
  <c r="BM338" i="15" s="1"/>
  <c r="BK338" i="15"/>
  <c r="BK340" i="15"/>
  <c r="BL340" i="15"/>
  <c r="BM340" i="15" s="1"/>
  <c r="BL342" i="15"/>
  <c r="BM342" i="15" s="1"/>
  <c r="BK342" i="15"/>
  <c r="BL344" i="15"/>
  <c r="BM344" i="15" s="1"/>
  <c r="BK344" i="15"/>
  <c r="BL346" i="15"/>
  <c r="BM346" i="15" s="1"/>
  <c r="BK346" i="15"/>
  <c r="BK348" i="15"/>
  <c r="BL348" i="15"/>
  <c r="BM348" i="15" s="1"/>
  <c r="BL350" i="15"/>
  <c r="BM350" i="15" s="1"/>
  <c r="BK350" i="15"/>
  <c r="BL352" i="15"/>
  <c r="BM352" i="15" s="1"/>
  <c r="BK352" i="15"/>
  <c r="BL354" i="15"/>
  <c r="BM354" i="15" s="1"/>
  <c r="BK354" i="15"/>
  <c r="BK356" i="15"/>
  <c r="BL356" i="15"/>
  <c r="BM356" i="15" s="1"/>
  <c r="BL358" i="15"/>
  <c r="BM358" i="15" s="1"/>
  <c r="BK358" i="15"/>
  <c r="BL360" i="15"/>
  <c r="BM360" i="15" s="1"/>
  <c r="BK360" i="15"/>
  <c r="BL362" i="15"/>
  <c r="BM362" i="15" s="1"/>
  <c r="BK362" i="15"/>
  <c r="BK364" i="15"/>
  <c r="BL364" i="15"/>
  <c r="BM364" i="15" s="1"/>
  <c r="BL366" i="15"/>
  <c r="BM366" i="15" s="1"/>
  <c r="BK366" i="15"/>
  <c r="BL368" i="15"/>
  <c r="BM368" i="15" s="1"/>
  <c r="BK368" i="15"/>
  <c r="BK372" i="15"/>
  <c r="BL372" i="15"/>
  <c r="BM372" i="15" s="1"/>
  <c r="BK374" i="15"/>
  <c r="BL374" i="15"/>
  <c r="BM374" i="15" s="1"/>
  <c r="BL376" i="15"/>
  <c r="BM376" i="15" s="1"/>
  <c r="BK376" i="15"/>
  <c r="BK378" i="15"/>
  <c r="BL378" i="15"/>
  <c r="BM378" i="15" s="1"/>
  <c r="BK381" i="15"/>
  <c r="BL381" i="15"/>
  <c r="BM381" i="15" s="1"/>
  <c r="BK383" i="15"/>
  <c r="BL383" i="15"/>
  <c r="BM383" i="15" s="1"/>
  <c r="BL385" i="15"/>
  <c r="BM385" i="15" s="1"/>
  <c r="BK385" i="15"/>
  <c r="BL387" i="15"/>
  <c r="BM387" i="15" s="1"/>
  <c r="BK387" i="15"/>
  <c r="BL389" i="15"/>
  <c r="BM389" i="15" s="1"/>
  <c r="BK389" i="15"/>
  <c r="BK391" i="15"/>
  <c r="BL391" i="15"/>
  <c r="BM391" i="15" s="1"/>
  <c r="BL393" i="15"/>
  <c r="BM393" i="15" s="1"/>
  <c r="BK393" i="15"/>
  <c r="BK395" i="15"/>
  <c r="BL395" i="15"/>
  <c r="BM395" i="15" s="1"/>
  <c r="BK397" i="15"/>
  <c r="BL397" i="15"/>
  <c r="BM397" i="15" s="1"/>
  <c r="BK399" i="15"/>
  <c r="BL399" i="15"/>
  <c r="BM399" i="15" s="1"/>
  <c r="BL401" i="15"/>
  <c r="BM401" i="15" s="1"/>
  <c r="BK401" i="15"/>
  <c r="BL403" i="15"/>
  <c r="BM403" i="15" s="1"/>
  <c r="BK403" i="15"/>
  <c r="BL405" i="15"/>
  <c r="BM405" i="15" s="1"/>
  <c r="BK405" i="15"/>
  <c r="BL409" i="15"/>
  <c r="BM409" i="15" s="1"/>
  <c r="BK409" i="15"/>
  <c r="BK411" i="15"/>
  <c r="BL411" i="15"/>
  <c r="BM411" i="15" s="1"/>
  <c r="BL413" i="15"/>
  <c r="BM413" i="15" s="1"/>
  <c r="BK413" i="15"/>
  <c r="BK415" i="15"/>
  <c r="BL415" i="15"/>
  <c r="BM415" i="15" s="1"/>
  <c r="BL417" i="15"/>
  <c r="BM417" i="15" s="1"/>
  <c r="BK417" i="15"/>
  <c r="BK419" i="15"/>
  <c r="BL419" i="15"/>
  <c r="BM419" i="15" s="1"/>
  <c r="BL421" i="15"/>
  <c r="BM421" i="15" s="1"/>
  <c r="BK421" i="15"/>
  <c r="BL423" i="15"/>
  <c r="BM423" i="15" s="1"/>
  <c r="BK423" i="15"/>
  <c r="BL425" i="15"/>
  <c r="BM425" i="15" s="1"/>
  <c r="BK425" i="15"/>
  <c r="BK427" i="15"/>
  <c r="BL427" i="15"/>
  <c r="BM427" i="15" s="1"/>
  <c r="BK431" i="15"/>
  <c r="BL431" i="15"/>
  <c r="BM431" i="15" s="1"/>
  <c r="BL433" i="15"/>
  <c r="BM433" i="15" s="1"/>
  <c r="BK433" i="15"/>
  <c r="BL435" i="15"/>
  <c r="BM435" i="15" s="1"/>
  <c r="BK435" i="15"/>
  <c r="BL437" i="15"/>
  <c r="BM437" i="15" s="1"/>
  <c r="BK437" i="15"/>
  <c r="BL439" i="15"/>
  <c r="BM439" i="15" s="1"/>
  <c r="BK439" i="15"/>
  <c r="BL441" i="15"/>
  <c r="BM441" i="15" s="1"/>
  <c r="BK441" i="15"/>
  <c r="BL443" i="15"/>
  <c r="BM443" i="15" s="1"/>
  <c r="BK443" i="15"/>
  <c r="BL445" i="15"/>
  <c r="BM445" i="15" s="1"/>
  <c r="BK445" i="15"/>
  <c r="BL447" i="15"/>
  <c r="BM447" i="15" s="1"/>
  <c r="BK447" i="15"/>
  <c r="BL449" i="15"/>
  <c r="BM449" i="15" s="1"/>
  <c r="BK449" i="15"/>
  <c r="BL451" i="15"/>
  <c r="BM451" i="15" s="1"/>
  <c r="BK451" i="15"/>
  <c r="BL453" i="15"/>
  <c r="BM453" i="15" s="1"/>
  <c r="BK453" i="15"/>
  <c r="BL580" i="15"/>
  <c r="BM580" i="15" s="1"/>
  <c r="BK580" i="15"/>
  <c r="BK582" i="15"/>
  <c r="BL582" i="15"/>
  <c r="BM582" i="15" s="1"/>
  <c r="BL584" i="15"/>
  <c r="BM584" i="15" s="1"/>
  <c r="BK584" i="15"/>
  <c r="BK586" i="15"/>
  <c r="BL586" i="15"/>
  <c r="BM586" i="15" s="1"/>
  <c r="BL588" i="15"/>
  <c r="BM588" i="15" s="1"/>
  <c r="BK588" i="15"/>
  <c r="BK590" i="15"/>
  <c r="BL590" i="15"/>
  <c r="BM590" i="15" s="1"/>
  <c r="BL592" i="15"/>
  <c r="BM592" i="15" s="1"/>
  <c r="BK592" i="15"/>
  <c r="BK594" i="15"/>
  <c r="BL594" i="15"/>
  <c r="BM594" i="15" s="1"/>
  <c r="BL596" i="15"/>
  <c r="BM596" i="15" s="1"/>
  <c r="BK596" i="15"/>
  <c r="BK598" i="15"/>
  <c r="BL598" i="15"/>
  <c r="BM598" i="15" s="1"/>
  <c r="BL600" i="15"/>
  <c r="BM600" i="15" s="1"/>
  <c r="BK600" i="15"/>
  <c r="BK602" i="15"/>
  <c r="BL602" i="15"/>
  <c r="BM602" i="15" s="1"/>
  <c r="BL604" i="15"/>
  <c r="BM604" i="15" s="1"/>
  <c r="BK604" i="15"/>
  <c r="BK606" i="15"/>
  <c r="BL606" i="15"/>
  <c r="BM606" i="15" s="1"/>
  <c r="BL608" i="15"/>
  <c r="BM608" i="15" s="1"/>
  <c r="BK608" i="15"/>
  <c r="BL643" i="15"/>
  <c r="BM643" i="15" s="1"/>
  <c r="BK643" i="15"/>
  <c r="BL645" i="15"/>
  <c r="BM645" i="15" s="1"/>
  <c r="BK645" i="15"/>
  <c r="BL647" i="15"/>
  <c r="BM647" i="15" s="1"/>
  <c r="BK647" i="15"/>
  <c r="BL649" i="15"/>
  <c r="BM649" i="15" s="1"/>
  <c r="BK649" i="15"/>
  <c r="BL651" i="15"/>
  <c r="BM651" i="15" s="1"/>
  <c r="BK651" i="15"/>
  <c r="BL653" i="15"/>
  <c r="BM653" i="15" s="1"/>
  <c r="BK653" i="15"/>
  <c r="BL655" i="15"/>
  <c r="BM655" i="15" s="1"/>
  <c r="BK655" i="15"/>
  <c r="BL657" i="15"/>
  <c r="BM657" i="15" s="1"/>
  <c r="BK657" i="15"/>
  <c r="BL659" i="15"/>
  <c r="BM659" i="15" s="1"/>
  <c r="BK659" i="15"/>
  <c r="BL661" i="15"/>
  <c r="BM661" i="15" s="1"/>
  <c r="BK661" i="15"/>
  <c r="BL663" i="15"/>
  <c r="BM663" i="15" s="1"/>
  <c r="BK663" i="15"/>
  <c r="BL665" i="15"/>
  <c r="BM665" i="15" s="1"/>
  <c r="BK665" i="15"/>
  <c r="BL88" i="15"/>
  <c r="BM88" i="15" s="1"/>
  <c r="BK88" i="15"/>
  <c r="BK93" i="15"/>
  <c r="BL93" i="15"/>
  <c r="BM93" i="15" s="1"/>
  <c r="BK96" i="15"/>
  <c r="BL96" i="15"/>
  <c r="BM96" i="15" s="1"/>
  <c r="BK100" i="15"/>
  <c r="BL100" i="15"/>
  <c r="BM100" i="15" s="1"/>
  <c r="BK104" i="15"/>
  <c r="BL104" i="15"/>
  <c r="BM104" i="15" s="1"/>
  <c r="BK108" i="15"/>
  <c r="BL108" i="15"/>
  <c r="BM108" i="15" s="1"/>
  <c r="BK112" i="15"/>
  <c r="BL112" i="15"/>
  <c r="BM112" i="15" s="1"/>
  <c r="BK116" i="15"/>
  <c r="BL116" i="15"/>
  <c r="BM116" i="15" s="1"/>
  <c r="BK122" i="15"/>
  <c r="BL122" i="15"/>
  <c r="BM122" i="15" s="1"/>
  <c r="BL249" i="15"/>
  <c r="BM249" i="15" s="1"/>
  <c r="BK249" i="15"/>
  <c r="BL253" i="15"/>
  <c r="BM253" i="15" s="1"/>
  <c r="BK253" i="15"/>
  <c r="BK255" i="15"/>
  <c r="BL255" i="15"/>
  <c r="BM255" i="15" s="1"/>
  <c r="BL257" i="15"/>
  <c r="BM257" i="15" s="1"/>
  <c r="BK257" i="15"/>
  <c r="BK259" i="15"/>
  <c r="BL259" i="15"/>
  <c r="BM259" i="15" s="1"/>
  <c r="BK261" i="15"/>
  <c r="BL261" i="15"/>
  <c r="BM261" i="15" s="1"/>
  <c r="BK263" i="15"/>
  <c r="BL263" i="15"/>
  <c r="BM263" i="15" s="1"/>
  <c r="BK265" i="15"/>
  <c r="BL265" i="15"/>
  <c r="BM265" i="15" s="1"/>
  <c r="BK267" i="15"/>
  <c r="BL267" i="15"/>
  <c r="BM267" i="15" s="1"/>
  <c r="BL85" i="15"/>
  <c r="BM85" i="15" s="1"/>
  <c r="BK85" i="15"/>
  <c r="BK87" i="15"/>
  <c r="BL87" i="15"/>
  <c r="BM87" i="15" s="1"/>
  <c r="BK89" i="15"/>
  <c r="BL89" i="15"/>
  <c r="BM89" i="15" s="1"/>
  <c r="BK91" i="15"/>
  <c r="BL91" i="15"/>
  <c r="BM91" i="15" s="1"/>
  <c r="BL92" i="15"/>
  <c r="BM92" i="15" s="1"/>
  <c r="BK92" i="15"/>
  <c r="BK95" i="15"/>
  <c r="BL95" i="15"/>
  <c r="BM95" i="15" s="1"/>
  <c r="BK99" i="15"/>
  <c r="BL99" i="15"/>
  <c r="BM99" i="15" s="1"/>
  <c r="BL101" i="15"/>
  <c r="BM101" i="15" s="1"/>
  <c r="BK101" i="15"/>
  <c r="BK103" i="15"/>
  <c r="BL103" i="15"/>
  <c r="BM103" i="15" s="1"/>
  <c r="BL105" i="15"/>
  <c r="BM105" i="15" s="1"/>
  <c r="BK105" i="15"/>
  <c r="BK107" i="15"/>
  <c r="BL107" i="15"/>
  <c r="BM107" i="15" s="1"/>
  <c r="BL109" i="15"/>
  <c r="BM109" i="15" s="1"/>
  <c r="BK109" i="15"/>
  <c r="BK111" i="15"/>
  <c r="BL111" i="15"/>
  <c r="BM111" i="15" s="1"/>
  <c r="BL113" i="15"/>
  <c r="BM113" i="15" s="1"/>
  <c r="BK113" i="15"/>
  <c r="BK115" i="15"/>
  <c r="BL115" i="15"/>
  <c r="BM115" i="15" s="1"/>
  <c r="BL117" i="15"/>
  <c r="BM117" i="15" s="1"/>
  <c r="BK117" i="15"/>
  <c r="BK119" i="15"/>
  <c r="BL119" i="15"/>
  <c r="BM119" i="15" s="1"/>
  <c r="BL121" i="15"/>
  <c r="BM121" i="15" s="1"/>
  <c r="BK121" i="15"/>
  <c r="BK123" i="15"/>
  <c r="BL123" i="15"/>
  <c r="BM123" i="15" s="1"/>
  <c r="BL252" i="15"/>
  <c r="BM252" i="15" s="1"/>
  <c r="BK252" i="15"/>
  <c r="BK254" i="15"/>
  <c r="BL254" i="15"/>
  <c r="BM254" i="15" s="1"/>
  <c r="BL256" i="15"/>
  <c r="BM256" i="15" s="1"/>
  <c r="BK256" i="15"/>
  <c r="BL258" i="15"/>
  <c r="BM258" i="15" s="1"/>
  <c r="BK258" i="15"/>
  <c r="BL260" i="15"/>
  <c r="BM260" i="15" s="1"/>
  <c r="BK260" i="15"/>
  <c r="BL262" i="15"/>
  <c r="BM262" i="15" s="1"/>
  <c r="BK262" i="15"/>
  <c r="BL264" i="15"/>
  <c r="BM264" i="15" s="1"/>
  <c r="BK264" i="15"/>
  <c r="BK266" i="15"/>
  <c r="BL266" i="15"/>
  <c r="BM266" i="15" s="1"/>
  <c r="BL268" i="15"/>
  <c r="BM268" i="15" s="1"/>
  <c r="BK268" i="15"/>
  <c r="BK492" i="15"/>
  <c r="BL492" i="15"/>
  <c r="BM492" i="15" s="1"/>
  <c r="BK494" i="15"/>
  <c r="BL494" i="15"/>
  <c r="BM494" i="15" s="1"/>
  <c r="BL496" i="15"/>
  <c r="BM496" i="15" s="1"/>
  <c r="BK496" i="15"/>
  <c r="BK498" i="15"/>
  <c r="BL498" i="15"/>
  <c r="BM498" i="15" s="1"/>
  <c r="BL500" i="15"/>
  <c r="BM500" i="15" s="1"/>
  <c r="BK500" i="15"/>
  <c r="BK502" i="15"/>
  <c r="BL502" i="15"/>
  <c r="BM502" i="15" s="1"/>
  <c r="BL504" i="15"/>
  <c r="BM504" i="15" s="1"/>
  <c r="BK504" i="15"/>
  <c r="BK506" i="15"/>
  <c r="BL506" i="15"/>
  <c r="BM506" i="15" s="1"/>
  <c r="BL508" i="15"/>
  <c r="BM508" i="15" s="1"/>
  <c r="BK508" i="15"/>
  <c r="BK510" i="15"/>
  <c r="BL510" i="15"/>
  <c r="BM510" i="15" s="1"/>
  <c r="BL512" i="15"/>
  <c r="BM512" i="15" s="1"/>
  <c r="BK512" i="15"/>
  <c r="BK234" i="15"/>
  <c r="BL234" i="15"/>
  <c r="BM234" i="15" s="1"/>
  <c r="BK236" i="15"/>
  <c r="BL236" i="15"/>
  <c r="BM236" i="15" s="1"/>
  <c r="BK238" i="15"/>
  <c r="BL238" i="15"/>
  <c r="BM238" i="15" s="1"/>
  <c r="BL240" i="15"/>
  <c r="BM240" i="15" s="1"/>
  <c r="BK240" i="15"/>
  <c r="BK242" i="15"/>
  <c r="BL242" i="15"/>
  <c r="BM242" i="15" s="1"/>
  <c r="BK244" i="15"/>
  <c r="BL244" i="15"/>
  <c r="BM244" i="15" s="1"/>
  <c r="BK246" i="15"/>
  <c r="BL246" i="15"/>
  <c r="BM246" i="15" s="1"/>
  <c r="BK248" i="15"/>
  <c r="BL248" i="15"/>
  <c r="BM248" i="15" s="1"/>
  <c r="BL301" i="15"/>
  <c r="BM301" i="15" s="1"/>
  <c r="BK301" i="15"/>
  <c r="BK303" i="15"/>
  <c r="BL303" i="15"/>
  <c r="BM303" i="15" s="1"/>
  <c r="BL305" i="15"/>
  <c r="BM305" i="15" s="1"/>
  <c r="BK305" i="15"/>
  <c r="BK307" i="15"/>
  <c r="BL307" i="15"/>
  <c r="BM307" i="15" s="1"/>
  <c r="BL309" i="15"/>
  <c r="BM309" i="15" s="1"/>
  <c r="BK309" i="15"/>
  <c r="BK311" i="15"/>
  <c r="BL311" i="15"/>
  <c r="BM311" i="15" s="1"/>
  <c r="BL313" i="15"/>
  <c r="BM313" i="15" s="1"/>
  <c r="BK313" i="15"/>
  <c r="BK315" i="15"/>
  <c r="BL315" i="15"/>
  <c r="BM315" i="15" s="1"/>
  <c r="BL317" i="15"/>
  <c r="BM317" i="15" s="1"/>
  <c r="BK317" i="15"/>
  <c r="BK319" i="15"/>
  <c r="BL319" i="15"/>
  <c r="BM319" i="15" s="1"/>
  <c r="BL321" i="15"/>
  <c r="BM321" i="15" s="1"/>
  <c r="BK321" i="15"/>
  <c r="BK323" i="15"/>
  <c r="BL323" i="15"/>
  <c r="BM323" i="15" s="1"/>
  <c r="BK327" i="15"/>
  <c r="BL327" i="15"/>
  <c r="BM327" i="15" s="1"/>
  <c r="BL329" i="15"/>
  <c r="BM329" i="15" s="1"/>
  <c r="BK329" i="15"/>
  <c r="BK331" i="15"/>
  <c r="BL331" i="15"/>
  <c r="BM331" i="15" s="1"/>
  <c r="BL333" i="15"/>
  <c r="BM333" i="15" s="1"/>
  <c r="BK333" i="15"/>
  <c r="BK335" i="15"/>
  <c r="BL335" i="15"/>
  <c r="BM335" i="15" s="1"/>
  <c r="BL337" i="15"/>
  <c r="BM337" i="15" s="1"/>
  <c r="BK337" i="15"/>
  <c r="BK339" i="15"/>
  <c r="BL339" i="15"/>
  <c r="BM339" i="15" s="1"/>
  <c r="BL341" i="15"/>
  <c r="BM341" i="15" s="1"/>
  <c r="BK341" i="15"/>
  <c r="BK343" i="15"/>
  <c r="BL343" i="15"/>
  <c r="BM343" i="15" s="1"/>
  <c r="BL345" i="15"/>
  <c r="BM345" i="15" s="1"/>
  <c r="BK345" i="15"/>
  <c r="BK347" i="15"/>
  <c r="BL347" i="15"/>
  <c r="BM347" i="15" s="1"/>
  <c r="BL349" i="15"/>
  <c r="BM349" i="15" s="1"/>
  <c r="BK349" i="15"/>
  <c r="BK351" i="15"/>
  <c r="BL351" i="15"/>
  <c r="BM351" i="15" s="1"/>
  <c r="BL353" i="15"/>
  <c r="BM353" i="15" s="1"/>
  <c r="BK353" i="15"/>
  <c r="BK355" i="15"/>
  <c r="BL355" i="15"/>
  <c r="BM355" i="15" s="1"/>
  <c r="BL357" i="15"/>
  <c r="BM357" i="15" s="1"/>
  <c r="BK357" i="15"/>
  <c r="BK359" i="15"/>
  <c r="BL359" i="15"/>
  <c r="BM359" i="15" s="1"/>
  <c r="BL361" i="15"/>
  <c r="BM361" i="15" s="1"/>
  <c r="BK361" i="15"/>
  <c r="BK363" i="15"/>
  <c r="BL363" i="15"/>
  <c r="BM363" i="15" s="1"/>
  <c r="BL365" i="15"/>
  <c r="BM365" i="15" s="1"/>
  <c r="BK365" i="15"/>
  <c r="BK367" i="15"/>
  <c r="BL367" i="15"/>
  <c r="BM367" i="15" s="1"/>
  <c r="BL369" i="15"/>
  <c r="BM369" i="15" s="1"/>
  <c r="BK369" i="15"/>
  <c r="BL373" i="15"/>
  <c r="BM373" i="15" s="1"/>
  <c r="BK373" i="15"/>
  <c r="BK375" i="15"/>
  <c r="BL375" i="15"/>
  <c r="BM375" i="15" s="1"/>
  <c r="BL377" i="15"/>
  <c r="BM377" i="15" s="1"/>
  <c r="BK377" i="15"/>
  <c r="BK379" i="15"/>
  <c r="BL379" i="15"/>
  <c r="BM379" i="15" s="1"/>
  <c r="BK382" i="15"/>
  <c r="BL382" i="15"/>
  <c r="BM382" i="15" s="1"/>
  <c r="BL384" i="15"/>
  <c r="BM384" i="15" s="1"/>
  <c r="BK384" i="15"/>
  <c r="BK386" i="15"/>
  <c r="BL386" i="15"/>
  <c r="BM386" i="15" s="1"/>
  <c r="BL388" i="15"/>
  <c r="BM388" i="15" s="1"/>
  <c r="BK388" i="15"/>
  <c r="BK390" i="15"/>
  <c r="BL390" i="15"/>
  <c r="BM390" i="15" s="1"/>
  <c r="BL392" i="15"/>
  <c r="BM392" i="15" s="1"/>
  <c r="BK392" i="15"/>
  <c r="BK394" i="15"/>
  <c r="BL394" i="15"/>
  <c r="BM394" i="15" s="1"/>
  <c r="BL396" i="15"/>
  <c r="BM396" i="15" s="1"/>
  <c r="BK396" i="15"/>
  <c r="BK398" i="15"/>
  <c r="BL398" i="15"/>
  <c r="BM398" i="15" s="1"/>
  <c r="BL400" i="15"/>
  <c r="BM400" i="15" s="1"/>
  <c r="BK400" i="15"/>
  <c r="BK402" i="15"/>
  <c r="BL402" i="15"/>
  <c r="BM402" i="15" s="1"/>
  <c r="BL404" i="15"/>
  <c r="BM404" i="15" s="1"/>
  <c r="BK404" i="15"/>
  <c r="BL408" i="15"/>
  <c r="BM408" i="15" s="1"/>
  <c r="BK408" i="15"/>
  <c r="BK410" i="15"/>
  <c r="BL410" i="15"/>
  <c r="BM410" i="15" s="1"/>
  <c r="BL412" i="15"/>
  <c r="BM412" i="15" s="1"/>
  <c r="BK412" i="15"/>
  <c r="BK414" i="15"/>
  <c r="BL414" i="15"/>
  <c r="BM414" i="15" s="1"/>
  <c r="BL416" i="15"/>
  <c r="BM416" i="15" s="1"/>
  <c r="BK416" i="15"/>
  <c r="BK418" i="15"/>
  <c r="BL418" i="15"/>
  <c r="BM418" i="15" s="1"/>
  <c r="BL420" i="15"/>
  <c r="BM420" i="15" s="1"/>
  <c r="BK420" i="15"/>
  <c r="BK422" i="15"/>
  <c r="BL422" i="15"/>
  <c r="BM422" i="15" s="1"/>
  <c r="BL424" i="15"/>
  <c r="BM424" i="15" s="1"/>
  <c r="BK424" i="15"/>
  <c r="BK426" i="15"/>
  <c r="BL426" i="15"/>
  <c r="BM426" i="15" s="1"/>
  <c r="BL428" i="15"/>
  <c r="BM428" i="15" s="1"/>
  <c r="BK428" i="15"/>
  <c r="BL432" i="15"/>
  <c r="BM432" i="15" s="1"/>
  <c r="BK432" i="15"/>
  <c r="BK434" i="15"/>
  <c r="BL434" i="15"/>
  <c r="BM434" i="15" s="1"/>
  <c r="BL436" i="15"/>
  <c r="BM436" i="15" s="1"/>
  <c r="BK436" i="15"/>
  <c r="BK438" i="15"/>
  <c r="BL438" i="15"/>
  <c r="BM438" i="15" s="1"/>
  <c r="BL440" i="15"/>
  <c r="BM440" i="15" s="1"/>
  <c r="BK440" i="15"/>
  <c r="BK442" i="15"/>
  <c r="BL442" i="15"/>
  <c r="BM442" i="15" s="1"/>
  <c r="BL444" i="15"/>
  <c r="BM444" i="15" s="1"/>
  <c r="BK444" i="15"/>
  <c r="BK446" i="15"/>
  <c r="BL446" i="15"/>
  <c r="BM446" i="15" s="1"/>
  <c r="BL448" i="15"/>
  <c r="BM448" i="15" s="1"/>
  <c r="BK448" i="15"/>
  <c r="BK450" i="15"/>
  <c r="BL450" i="15"/>
  <c r="BM450" i="15" s="1"/>
  <c r="BL452" i="15"/>
  <c r="BM452" i="15" s="1"/>
  <c r="BK452" i="15"/>
  <c r="BK579" i="15"/>
  <c r="BL579" i="15"/>
  <c r="BM579" i="15" s="1"/>
  <c r="BL581" i="15"/>
  <c r="BM581" i="15" s="1"/>
  <c r="BK581" i="15"/>
  <c r="BK583" i="15"/>
  <c r="BL583" i="15"/>
  <c r="BM583" i="15" s="1"/>
  <c r="BL585" i="15"/>
  <c r="BM585" i="15" s="1"/>
  <c r="BK585" i="15"/>
  <c r="BK587" i="15"/>
  <c r="BL587" i="15"/>
  <c r="BM587" i="15" s="1"/>
  <c r="BL589" i="15"/>
  <c r="BM589" i="15" s="1"/>
  <c r="BK589" i="15"/>
  <c r="BK591" i="15"/>
  <c r="BL591" i="15"/>
  <c r="BM591" i="15" s="1"/>
  <c r="BL593" i="15"/>
  <c r="BM593" i="15" s="1"/>
  <c r="BK593" i="15"/>
  <c r="BK595" i="15"/>
  <c r="BL595" i="15"/>
  <c r="BM595" i="15" s="1"/>
  <c r="BL597" i="15"/>
  <c r="BM597" i="15" s="1"/>
  <c r="BK597" i="15"/>
  <c r="BK599" i="15"/>
  <c r="BL599" i="15"/>
  <c r="BM599" i="15" s="1"/>
  <c r="BL601" i="15"/>
  <c r="BM601" i="15" s="1"/>
  <c r="BK601" i="15"/>
  <c r="BK603" i="15"/>
  <c r="BL603" i="15"/>
  <c r="BM603" i="15" s="1"/>
  <c r="BL605" i="15"/>
  <c r="BM605" i="15" s="1"/>
  <c r="BK605" i="15"/>
  <c r="BK607" i="15"/>
  <c r="BL607" i="15"/>
  <c r="BM607" i="15" s="1"/>
  <c r="BL609" i="15"/>
  <c r="BM609" i="15" s="1"/>
  <c r="BK609" i="15"/>
  <c r="BK642" i="15"/>
  <c r="BL642" i="15"/>
  <c r="BM642" i="15" s="1"/>
  <c r="BL644" i="15"/>
  <c r="BM644" i="15" s="1"/>
  <c r="BK644" i="15"/>
  <c r="BK646" i="15"/>
  <c r="BL646" i="15"/>
  <c r="BM646" i="15" s="1"/>
  <c r="BL648" i="15"/>
  <c r="BM648" i="15" s="1"/>
  <c r="BK648" i="15"/>
  <c r="BK650" i="15"/>
  <c r="BL650" i="15"/>
  <c r="BM650" i="15" s="1"/>
  <c r="BL652" i="15"/>
  <c r="BM652" i="15" s="1"/>
  <c r="BK652" i="15"/>
  <c r="BK654" i="15"/>
  <c r="BL654" i="15"/>
  <c r="BM654" i="15" s="1"/>
  <c r="BL656" i="15"/>
  <c r="BM656" i="15" s="1"/>
  <c r="BK656" i="15"/>
  <c r="BK658" i="15"/>
  <c r="BL658" i="15"/>
  <c r="BM658" i="15" s="1"/>
  <c r="BL660" i="15"/>
  <c r="BM660" i="15" s="1"/>
  <c r="BK660" i="15"/>
  <c r="BK662" i="15"/>
  <c r="BL662" i="15"/>
  <c r="BM662" i="15" s="1"/>
  <c r="BL664" i="15"/>
  <c r="BM664" i="15" s="1"/>
  <c r="BK664" i="15"/>
  <c r="BL666" i="15"/>
  <c r="BM666" i="15" s="1"/>
  <c r="BK666" i="15"/>
  <c r="AO16" i="15"/>
  <c r="AO24" i="15"/>
  <c r="AO32" i="15"/>
  <c r="AO86" i="15"/>
  <c r="CG86" i="15" s="1"/>
  <c r="CH86" i="15" s="1"/>
  <c r="AO94" i="15"/>
  <c r="AP94" i="15" s="1"/>
  <c r="AO100" i="15"/>
  <c r="CG100" i="15" s="1"/>
  <c r="CH100" i="15" s="1"/>
  <c r="AO108" i="15"/>
  <c r="CG108" i="15" s="1"/>
  <c r="CH108" i="15" s="1"/>
  <c r="AO116" i="15"/>
  <c r="CG116" i="15" s="1"/>
  <c r="CH116" i="15" s="1"/>
  <c r="AO126" i="15"/>
  <c r="CG126" i="15" s="1"/>
  <c r="CH126" i="15" s="1"/>
  <c r="AO134" i="15"/>
  <c r="CG134" i="15" s="1"/>
  <c r="CH134" i="15" s="1"/>
  <c r="AO142" i="15"/>
  <c r="AP142" i="15" s="1"/>
  <c r="AO253" i="15"/>
  <c r="AO261" i="15"/>
  <c r="CG261" i="15" s="1"/>
  <c r="CH261" i="15" s="1"/>
  <c r="AO479" i="15"/>
  <c r="AO485" i="15"/>
  <c r="AO493" i="15"/>
  <c r="CG493" i="15" s="1"/>
  <c r="CH493" i="15" s="1"/>
  <c r="AO501" i="15"/>
  <c r="AO509" i="15"/>
  <c r="AO515" i="15"/>
  <c r="AO523" i="15"/>
  <c r="CG523" i="15" s="1"/>
  <c r="CH523" i="15" s="1"/>
  <c r="AO533" i="15"/>
  <c r="CG533" i="15" s="1"/>
  <c r="CH533" i="15" s="1"/>
  <c r="AO541" i="15"/>
  <c r="AO549" i="15"/>
  <c r="AO555" i="15"/>
  <c r="CG555" i="15" s="1"/>
  <c r="CH555" i="15" s="1"/>
  <c r="AO561" i="15"/>
  <c r="AP561" i="15" s="1"/>
  <c r="AO569" i="15"/>
  <c r="AO12" i="15"/>
  <c r="CG12" i="15" s="1"/>
  <c r="CH12" i="15" s="1"/>
  <c r="AO20" i="15"/>
  <c r="CG20" i="15" s="1"/>
  <c r="CH20" i="15" s="1"/>
  <c r="AO26" i="15"/>
  <c r="CG26" i="15" s="1"/>
  <c r="CH26" i="15" s="1"/>
  <c r="AO90" i="15"/>
  <c r="AO102" i="15"/>
  <c r="CG102" i="15" s="1"/>
  <c r="CH102" i="15" s="1"/>
  <c r="AO110" i="15"/>
  <c r="CG110" i="15" s="1"/>
  <c r="CH110" i="15" s="1"/>
  <c r="AO118" i="15"/>
  <c r="AP118" i="15" s="1"/>
  <c r="AO128" i="15"/>
  <c r="AP128" i="15" s="1"/>
  <c r="AO140" i="15"/>
  <c r="CG140" i="15" s="1"/>
  <c r="CH140" i="15" s="1"/>
  <c r="AO257" i="15"/>
  <c r="AP257" i="15" s="1"/>
  <c r="AO263" i="15"/>
  <c r="AP263" i="15" s="1"/>
  <c r="AO475" i="15"/>
  <c r="AO483" i="15"/>
  <c r="AO497" i="15"/>
  <c r="CG497" i="15" s="1"/>
  <c r="CH497" i="15" s="1"/>
  <c r="AO505" i="15"/>
  <c r="CG505" i="15" s="1"/>
  <c r="CH505" i="15" s="1"/>
  <c r="AO521" i="15"/>
  <c r="AO537" i="15"/>
  <c r="AO545" i="15"/>
  <c r="CG545" i="15" s="1"/>
  <c r="CH545" i="15" s="1"/>
  <c r="AO553" i="15"/>
  <c r="AO563" i="15"/>
  <c r="AO574" i="15"/>
  <c r="AO10" i="15"/>
  <c r="AO18" i="15"/>
  <c r="CG18" i="15" s="1"/>
  <c r="CH18" i="15" s="1"/>
  <c r="AO28" i="15"/>
  <c r="AO84" i="15"/>
  <c r="AO93" i="15"/>
  <c r="AO104" i="15"/>
  <c r="AP104" i="15" s="1"/>
  <c r="AO112" i="15"/>
  <c r="CG112" i="15" s="1"/>
  <c r="CH112" i="15" s="1"/>
  <c r="AO122" i="15"/>
  <c r="AO130" i="15"/>
  <c r="AO138" i="15"/>
  <c r="CG138" i="15" s="1"/>
  <c r="CH138" i="15" s="1"/>
  <c r="AO249" i="15"/>
  <c r="AP249" i="15" s="1"/>
  <c r="AO255" i="15"/>
  <c r="AO267" i="15"/>
  <c r="CG267" i="15" s="1"/>
  <c r="CH267" i="15" s="1"/>
  <c r="AO477" i="15"/>
  <c r="AO487" i="15"/>
  <c r="AO499" i="15"/>
  <c r="CG499" i="15" s="1"/>
  <c r="CH499" i="15" s="1"/>
  <c r="AO507" i="15"/>
  <c r="CG507" i="15" s="1"/>
  <c r="CH507" i="15" s="1"/>
  <c r="AO517" i="15"/>
  <c r="AO527" i="15"/>
  <c r="CG527" i="15" s="1"/>
  <c r="CH527" i="15" s="1"/>
  <c r="AO531" i="15"/>
  <c r="AP531" i="15" s="1"/>
  <c r="AO539" i="15"/>
  <c r="CG539" i="15" s="1"/>
  <c r="CH539" i="15" s="1"/>
  <c r="AO559" i="15"/>
  <c r="AO567" i="15"/>
  <c r="CG567" i="15" s="1"/>
  <c r="CH567" i="15" s="1"/>
  <c r="AO571" i="15"/>
  <c r="AO717" i="15"/>
  <c r="CG717" i="15" s="1"/>
  <c r="CH717" i="15" s="1"/>
  <c r="AO14" i="15"/>
  <c r="AP14" i="15" s="1"/>
  <c r="AO22" i="15"/>
  <c r="AP22" i="15" s="1"/>
  <c r="AO30" i="15"/>
  <c r="CG30" i="15" s="1"/>
  <c r="CH30" i="15" s="1"/>
  <c r="AO88" i="15"/>
  <c r="CG88" i="15" s="1"/>
  <c r="CH88" i="15" s="1"/>
  <c r="AO96" i="15"/>
  <c r="AP96" i="15" s="1"/>
  <c r="AO106" i="15"/>
  <c r="AP106" i="15" s="1"/>
  <c r="AO114" i="15"/>
  <c r="CG114" i="15" s="1"/>
  <c r="CH114" i="15" s="1"/>
  <c r="AO120" i="15"/>
  <c r="CG120" i="15" s="1"/>
  <c r="CH120" i="15" s="1"/>
  <c r="AO132" i="15"/>
  <c r="AP132" i="15" s="1"/>
  <c r="AO136" i="15"/>
  <c r="AP136" i="15" s="1"/>
  <c r="AO259" i="15"/>
  <c r="AP259" i="15" s="1"/>
  <c r="AO265" i="15"/>
  <c r="CG265" i="15" s="1"/>
  <c r="CH265" i="15" s="1"/>
  <c r="AO473" i="15"/>
  <c r="CG473" i="15" s="1"/>
  <c r="CH473" i="15" s="1"/>
  <c r="AO481" i="15"/>
  <c r="AO489" i="15"/>
  <c r="CG489" i="15" s="1"/>
  <c r="CH489" i="15" s="1"/>
  <c r="AO495" i="15"/>
  <c r="CG495" i="15" s="1"/>
  <c r="CH495" i="15" s="1"/>
  <c r="AO503" i="15"/>
  <c r="AP503" i="15" s="1"/>
  <c r="AO511" i="15"/>
  <c r="AO519" i="15"/>
  <c r="AO525" i="15"/>
  <c r="CG525" i="15" s="1"/>
  <c r="CH525" i="15" s="1"/>
  <c r="AO535" i="15"/>
  <c r="AO543" i="15"/>
  <c r="CG543" i="15" s="1"/>
  <c r="CH543" i="15" s="1"/>
  <c r="AO551" i="15"/>
  <c r="AO557" i="15"/>
  <c r="CG557" i="15" s="1"/>
  <c r="CH557" i="15" s="1"/>
  <c r="AO565" i="15"/>
  <c r="AO575" i="15"/>
  <c r="AO719" i="15"/>
  <c r="AO721" i="15"/>
  <c r="CG721" i="15" s="1"/>
  <c r="CH721" i="15" s="1"/>
  <c r="AO725" i="15"/>
  <c r="CG725" i="15" s="1"/>
  <c r="CH725" i="15" s="1"/>
  <c r="AO729" i="15"/>
  <c r="AO733" i="15"/>
  <c r="AO737" i="15"/>
  <c r="CG737" i="15" s="1"/>
  <c r="CH737" i="15" s="1"/>
  <c r="AO739" i="15"/>
  <c r="AO743" i="15"/>
  <c r="AO747" i="15"/>
  <c r="AO751" i="15"/>
  <c r="CG751" i="15" s="1"/>
  <c r="CH751" i="15" s="1"/>
  <c r="AO755" i="15"/>
  <c r="AO774" i="15"/>
  <c r="AO761" i="15"/>
  <c r="CG761" i="15" s="1"/>
  <c r="CH761" i="15" s="1"/>
  <c r="AO765" i="15"/>
  <c r="CG765" i="15" s="1"/>
  <c r="CH765" i="15" s="1"/>
  <c r="AO769" i="15"/>
  <c r="AO777" i="15"/>
  <c r="AO781" i="15"/>
  <c r="AP781" i="15" s="1"/>
  <c r="AO785" i="15"/>
  <c r="CG785" i="15" s="1"/>
  <c r="CH785" i="15" s="1"/>
  <c r="AO789" i="15"/>
  <c r="AO793" i="15"/>
  <c r="AO799" i="15"/>
  <c r="CG799" i="15" s="1"/>
  <c r="CH799" i="15" s="1"/>
  <c r="AO803" i="15"/>
  <c r="CG803" i="15" s="1"/>
  <c r="CH803" i="15" s="1"/>
  <c r="AO805" i="15"/>
  <c r="AP805" i="15" s="1"/>
  <c r="AO809" i="15"/>
  <c r="AO813" i="15"/>
  <c r="CG813" i="15" s="1"/>
  <c r="CH813" i="15" s="1"/>
  <c r="AO817" i="15"/>
  <c r="CG817" i="15" s="1"/>
  <c r="CH817" i="15" s="1"/>
  <c r="AO821" i="15"/>
  <c r="AO825" i="15"/>
  <c r="CG825" i="15" s="1"/>
  <c r="CH825" i="15" s="1"/>
  <c r="AO831" i="15"/>
  <c r="CG831" i="15" s="1"/>
  <c r="CH831" i="15" s="1"/>
  <c r="AO835" i="15"/>
  <c r="CG835" i="15" s="1"/>
  <c r="CH835" i="15" s="1"/>
  <c r="AO839" i="15"/>
  <c r="AP839" i="15" s="1"/>
  <c r="AO841" i="15"/>
  <c r="AO845" i="15"/>
  <c r="CG845" i="15" s="1"/>
  <c r="CH845" i="15" s="1"/>
  <c r="AO851" i="15"/>
  <c r="AP851" i="15" s="1"/>
  <c r="AO861" i="15"/>
  <c r="AO715" i="15"/>
  <c r="CG715" i="15" s="1"/>
  <c r="CH715" i="15" s="1"/>
  <c r="AO723" i="15"/>
  <c r="AP723" i="15" s="1"/>
  <c r="AO727" i="15"/>
  <c r="CG727" i="15" s="1"/>
  <c r="CH727" i="15" s="1"/>
  <c r="AO735" i="15"/>
  <c r="AP735" i="15" s="1"/>
  <c r="AO741" i="15"/>
  <c r="AO745" i="15"/>
  <c r="AP745" i="15" s="1"/>
  <c r="AO749" i="15"/>
  <c r="CG749" i="15" s="1"/>
  <c r="CH749" i="15" s="1"/>
  <c r="AO757" i="15"/>
  <c r="AO759" i="15"/>
  <c r="AO763" i="15"/>
  <c r="AO767" i="15"/>
  <c r="CG767" i="15" s="1"/>
  <c r="CH767" i="15" s="1"/>
  <c r="AO771" i="15"/>
  <c r="AO779" i="15"/>
  <c r="AO783" i="15"/>
  <c r="AO787" i="15"/>
  <c r="CG787" i="15" s="1"/>
  <c r="CH787" i="15" s="1"/>
  <c r="AO791" i="15"/>
  <c r="AO797" i="15"/>
  <c r="AO801" i="15"/>
  <c r="AO807" i="15"/>
  <c r="CG807" i="15" s="1"/>
  <c r="CH807" i="15" s="1"/>
  <c r="AO811" i="15"/>
  <c r="AP811" i="15" s="1"/>
  <c r="AO815" i="15"/>
  <c r="AO819" i="15"/>
  <c r="AO823" i="15"/>
  <c r="CG823" i="15" s="1"/>
  <c r="CH823" i="15" s="1"/>
  <c r="AO829" i="15"/>
  <c r="AO833" i="15"/>
  <c r="CG833" i="15" s="1"/>
  <c r="CH833" i="15" s="1"/>
  <c r="AO837" i="15"/>
  <c r="AO843" i="15"/>
  <c r="CG843" i="15" s="1"/>
  <c r="CH843" i="15" s="1"/>
  <c r="AO847" i="15"/>
  <c r="CG847" i="15" s="1"/>
  <c r="CH847" i="15" s="1"/>
  <c r="AO849" i="15"/>
  <c r="AO853" i="15"/>
  <c r="CG853" i="15" s="1"/>
  <c r="CH853" i="15" s="1"/>
  <c r="AO855" i="15"/>
  <c r="CG855" i="15" s="1"/>
  <c r="CH855" i="15" s="1"/>
  <c r="AO857" i="15"/>
  <c r="CG857" i="15" s="1"/>
  <c r="CH857" i="15" s="1"/>
  <c r="AO859" i="15"/>
  <c r="CG859" i="15" s="1"/>
  <c r="CH859" i="15" s="1"/>
  <c r="AO36" i="15"/>
  <c r="AP36" i="15" s="1"/>
  <c r="AO38" i="15"/>
  <c r="CG38" i="15" s="1"/>
  <c r="CH38" i="15" s="1"/>
  <c r="AO40" i="15"/>
  <c r="AO45" i="15"/>
  <c r="CG45" i="15" s="1"/>
  <c r="CH45" i="15" s="1"/>
  <c r="AO47" i="15"/>
  <c r="AP47" i="15" s="1"/>
  <c r="AO49" i="15"/>
  <c r="CG49" i="15" s="1"/>
  <c r="CH49" i="15" s="1"/>
  <c r="AO51" i="15"/>
  <c r="CG51" i="15" s="1"/>
  <c r="CH51" i="15" s="1"/>
  <c r="AO53" i="15"/>
  <c r="AO55" i="15"/>
  <c r="CG55" i="15" s="1"/>
  <c r="CH55" i="15" s="1"/>
  <c r="AO57" i="15"/>
  <c r="CG57" i="15" s="1"/>
  <c r="CH57" i="15" s="1"/>
  <c r="AO59" i="15"/>
  <c r="AO61" i="15"/>
  <c r="CG61" i="15" s="1"/>
  <c r="CH61" i="15" s="1"/>
  <c r="AO63" i="15"/>
  <c r="CG63" i="15" s="1"/>
  <c r="CH63" i="15" s="1"/>
  <c r="AO68" i="15"/>
  <c r="CG68" i="15" s="1"/>
  <c r="CH68" i="15" s="1"/>
  <c r="AO70" i="15"/>
  <c r="AP70" i="15" s="1"/>
  <c r="AO72" i="15"/>
  <c r="AO74" i="15"/>
  <c r="AP74" i="15" s="1"/>
  <c r="AO76" i="15"/>
  <c r="CG76" i="15" s="1"/>
  <c r="CH76" i="15" s="1"/>
  <c r="AO78" i="15"/>
  <c r="AO80" i="15"/>
  <c r="AO147" i="15"/>
  <c r="AP147" i="15" s="1"/>
  <c r="AO149" i="15"/>
  <c r="CG149" i="15" s="1"/>
  <c r="CH149" i="15" s="1"/>
  <c r="AO151" i="15"/>
  <c r="AO153" i="15"/>
  <c r="AO155" i="15"/>
  <c r="CG155" i="15" s="1"/>
  <c r="CH155" i="15" s="1"/>
  <c r="AO157" i="15"/>
  <c r="CG157" i="15" s="1"/>
  <c r="CH157" i="15" s="1"/>
  <c r="AO159" i="15"/>
  <c r="AO161" i="15"/>
  <c r="AO163" i="15"/>
  <c r="CG163" i="15" s="1"/>
  <c r="CH163" i="15" s="1"/>
  <c r="AO165" i="15"/>
  <c r="CG165" i="15" s="1"/>
  <c r="CH165" i="15" s="1"/>
  <c r="AO169" i="15"/>
  <c r="CG169" i="15" s="1"/>
  <c r="CH169" i="15" s="1"/>
  <c r="AO171" i="15"/>
  <c r="AO173" i="15"/>
  <c r="CG173" i="15" s="1"/>
  <c r="CH173" i="15" s="1"/>
  <c r="AO175" i="15"/>
  <c r="CG175" i="15" s="1"/>
  <c r="CH175" i="15" s="1"/>
  <c r="AO177" i="15"/>
  <c r="AO179" i="15"/>
  <c r="CG179" i="15" s="1"/>
  <c r="CH179" i="15" s="1"/>
  <c r="AO181" i="15"/>
  <c r="AP181" i="15" s="1"/>
  <c r="AO183" i="15"/>
  <c r="CG183" i="15" s="1"/>
  <c r="CH183" i="15" s="1"/>
  <c r="AO185" i="15"/>
  <c r="CG185" i="15" s="1"/>
  <c r="CH185" i="15" s="1"/>
  <c r="AO187" i="15"/>
  <c r="AO191" i="15"/>
  <c r="CG191" i="15" s="1"/>
  <c r="CH191" i="15" s="1"/>
  <c r="AO193" i="15"/>
  <c r="CG193" i="15" s="1"/>
  <c r="CH193" i="15" s="1"/>
  <c r="AO195" i="15"/>
  <c r="AO197" i="15"/>
  <c r="CG197" i="15" s="1"/>
  <c r="CH197" i="15" s="1"/>
  <c r="AO199" i="15"/>
  <c r="AP199" i="15" s="1"/>
  <c r="AO201" i="15"/>
  <c r="CG201" i="15" s="1"/>
  <c r="CH201" i="15" s="1"/>
  <c r="AO203" i="15"/>
  <c r="AP203" i="15" s="1"/>
  <c r="AO205" i="15"/>
  <c r="AO207" i="15"/>
  <c r="AP207" i="15" s="1"/>
  <c r="AO209" i="15"/>
  <c r="CG209" i="15" s="1"/>
  <c r="CH209" i="15" s="1"/>
  <c r="AO211" i="15"/>
  <c r="AO213" i="15"/>
  <c r="AO215" i="15"/>
  <c r="AP215" i="15" s="1"/>
  <c r="AO217" i="15"/>
  <c r="CG217" i="15" s="1"/>
  <c r="CH217" i="15" s="1"/>
  <c r="AO221" i="15"/>
  <c r="AO223" i="15"/>
  <c r="AO225" i="15"/>
  <c r="CG225" i="15" s="1"/>
  <c r="CH225" i="15" s="1"/>
  <c r="AO227" i="15"/>
  <c r="AP227" i="15" s="1"/>
  <c r="AO229" i="15"/>
  <c r="AO233" i="15"/>
  <c r="AO235" i="15"/>
  <c r="CG235" i="15" s="1"/>
  <c r="CH235" i="15" s="1"/>
  <c r="AO237" i="15"/>
  <c r="CG237" i="15" s="1"/>
  <c r="CH237" i="15" s="1"/>
  <c r="AO239" i="15"/>
  <c r="CG239" i="15" s="1"/>
  <c r="CH239" i="15" s="1"/>
  <c r="AO241" i="15"/>
  <c r="AO243" i="15"/>
  <c r="AP243" i="15" s="1"/>
  <c r="AO245" i="15"/>
  <c r="CG245" i="15" s="1"/>
  <c r="CH245" i="15" s="1"/>
  <c r="AO247" i="15"/>
  <c r="AO272" i="15"/>
  <c r="AO275" i="15"/>
  <c r="CG275" i="15" s="1"/>
  <c r="CH275" i="15" s="1"/>
  <c r="AO276" i="15"/>
  <c r="AP276" i="15" s="1"/>
  <c r="AO278" i="15"/>
  <c r="AO280" i="15"/>
  <c r="CG280" i="15" s="1"/>
  <c r="CH280" i="15" s="1"/>
  <c r="AO282" i="15"/>
  <c r="CG282" i="15" s="1"/>
  <c r="CH282" i="15" s="1"/>
  <c r="AO284" i="15"/>
  <c r="AP284" i="15" s="1"/>
  <c r="AO286" i="15"/>
  <c r="AP286" i="15" s="1"/>
  <c r="AO288" i="15"/>
  <c r="AO290" i="15"/>
  <c r="CG290" i="15" s="1"/>
  <c r="CH290" i="15" s="1"/>
  <c r="AO292" i="15"/>
  <c r="AP292" i="15" s="1"/>
  <c r="AO294" i="15"/>
  <c r="AO296" i="15"/>
  <c r="AO298" i="15"/>
  <c r="AO302" i="15"/>
  <c r="AP302" i="15" s="1"/>
  <c r="AO304" i="15"/>
  <c r="CG304" i="15" s="1"/>
  <c r="CH304" i="15" s="1"/>
  <c r="AO306" i="15"/>
  <c r="CG306" i="15" s="1"/>
  <c r="CH306" i="15" s="1"/>
  <c r="AO308" i="15"/>
  <c r="AO310" i="15"/>
  <c r="AP310" i="15" s="1"/>
  <c r="AO312" i="15"/>
  <c r="AO314" i="15"/>
  <c r="AO316" i="15"/>
  <c r="AO318" i="15"/>
  <c r="AP318" i="15" s="1"/>
  <c r="AO320" i="15"/>
  <c r="AO322" i="15"/>
  <c r="AO326" i="15"/>
  <c r="AO328" i="15"/>
  <c r="AP328" i="15" s="1"/>
  <c r="AO330" i="15"/>
  <c r="AP330" i="15" s="1"/>
  <c r="AO332" i="15"/>
  <c r="AO334" i="15"/>
  <c r="AO336" i="15"/>
  <c r="AP336" i="15" s="1"/>
  <c r="AO338" i="15"/>
  <c r="AO340" i="15"/>
  <c r="AO342" i="15"/>
  <c r="AP342" i="15" s="1"/>
  <c r="AO344" i="15"/>
  <c r="AP344" i="15" s="1"/>
  <c r="AO346" i="15"/>
  <c r="AO348" i="15"/>
  <c r="CG348" i="15" s="1"/>
  <c r="CH348" i="15" s="1"/>
  <c r="AO350" i="15"/>
  <c r="AP350" i="15" s="1"/>
  <c r="AO352" i="15"/>
  <c r="AP352" i="15" s="1"/>
  <c r="AO354" i="15"/>
  <c r="AP354" i="15" s="1"/>
  <c r="AO356" i="15"/>
  <c r="AO358" i="15"/>
  <c r="CG358" i="15" s="1"/>
  <c r="CH358" i="15" s="1"/>
  <c r="AO360" i="15"/>
  <c r="AP360" i="15" s="1"/>
  <c r="AO362" i="15"/>
  <c r="AO364" i="15"/>
  <c r="AO366" i="15"/>
  <c r="CG366" i="15" s="1"/>
  <c r="CH366" i="15" s="1"/>
  <c r="AO368" i="15"/>
  <c r="AP368" i="15" s="1"/>
  <c r="AO372" i="15"/>
  <c r="CG372" i="15" s="1"/>
  <c r="CH372" i="15" s="1"/>
  <c r="AO374" i="15"/>
  <c r="CG374" i="15" s="1"/>
  <c r="CH374" i="15" s="1"/>
  <c r="AO376" i="15"/>
  <c r="CG376" i="15" s="1"/>
  <c r="CH376" i="15" s="1"/>
  <c r="AO378" i="15"/>
  <c r="CG378" i="15" s="1"/>
  <c r="CH378" i="15" s="1"/>
  <c r="AO381" i="15"/>
  <c r="AO383" i="15"/>
  <c r="AO385" i="15"/>
  <c r="CG385" i="15" s="1"/>
  <c r="CH385" i="15" s="1"/>
  <c r="AO387" i="15"/>
  <c r="CG387" i="15" s="1"/>
  <c r="CH387" i="15" s="1"/>
  <c r="AO389" i="15"/>
  <c r="AO391" i="15"/>
  <c r="AO393" i="15"/>
  <c r="CG393" i="15" s="1"/>
  <c r="CH393" i="15" s="1"/>
  <c r="AO395" i="15"/>
  <c r="CG395" i="15" s="1"/>
  <c r="CH395" i="15" s="1"/>
  <c r="AO397" i="15"/>
  <c r="CG397" i="15" s="1"/>
  <c r="CH397" i="15" s="1"/>
  <c r="AO399" i="15"/>
  <c r="AO401" i="15"/>
  <c r="CG401" i="15" s="1"/>
  <c r="CH401" i="15" s="1"/>
  <c r="AO403" i="15"/>
  <c r="CG403" i="15" s="1"/>
  <c r="CH403" i="15" s="1"/>
  <c r="AO405" i="15"/>
  <c r="AO409" i="15"/>
  <c r="AO411" i="15"/>
  <c r="AO413" i="15"/>
  <c r="CG413" i="15" s="1"/>
  <c r="CH413" i="15" s="1"/>
  <c r="AO415" i="15"/>
  <c r="AO417" i="15"/>
  <c r="CG417" i="15" s="1"/>
  <c r="CH417" i="15" s="1"/>
  <c r="AO419" i="15"/>
  <c r="AO421" i="15"/>
  <c r="CG421" i="15" s="1"/>
  <c r="CH421" i="15" s="1"/>
  <c r="AO423" i="15"/>
  <c r="AP423" i="15" s="1"/>
  <c r="AO425" i="15"/>
  <c r="AO427" i="15"/>
  <c r="AO431" i="15"/>
  <c r="CG431" i="15" s="1"/>
  <c r="CH431" i="15" s="1"/>
  <c r="AO433" i="15"/>
  <c r="AO435" i="15"/>
  <c r="AO437" i="15"/>
  <c r="AO439" i="15"/>
  <c r="CG439" i="15" s="1"/>
  <c r="CH439" i="15" s="1"/>
  <c r="AO441" i="15"/>
  <c r="CG441" i="15" s="1"/>
  <c r="CH441" i="15" s="1"/>
  <c r="AO443" i="15"/>
  <c r="CG443" i="15" s="1"/>
  <c r="CH443" i="15" s="1"/>
  <c r="AO445" i="15"/>
  <c r="CG445" i="15" s="1"/>
  <c r="CH445" i="15" s="1"/>
  <c r="AO447" i="15"/>
  <c r="CG447" i="15" s="1"/>
  <c r="CH447" i="15" s="1"/>
  <c r="AO449" i="15"/>
  <c r="AO451" i="15"/>
  <c r="AO453" i="15"/>
  <c r="AO457" i="15"/>
  <c r="CG457" i="15" s="1"/>
  <c r="CH457" i="15" s="1"/>
  <c r="AO459" i="15"/>
  <c r="AO461" i="15"/>
  <c r="AO463" i="15"/>
  <c r="CG463" i="15" s="1"/>
  <c r="CH463" i="15" s="1"/>
  <c r="AO465" i="15"/>
  <c r="CG465" i="15" s="1"/>
  <c r="CH465" i="15" s="1"/>
  <c r="AO467" i="15"/>
  <c r="AP467" i="15" s="1"/>
  <c r="AO469" i="15"/>
  <c r="AO580" i="15"/>
  <c r="AP580" i="15" s="1"/>
  <c r="AO582" i="15"/>
  <c r="CG582" i="15" s="1"/>
  <c r="CH582" i="15" s="1"/>
  <c r="AO584" i="15"/>
  <c r="AO586" i="15"/>
  <c r="AO588" i="15"/>
  <c r="AO590" i="15"/>
  <c r="CG590" i="15" s="1"/>
  <c r="CH590" i="15" s="1"/>
  <c r="AO592" i="15"/>
  <c r="AO594" i="15"/>
  <c r="CG594" i="15" s="1"/>
  <c r="CH594" i="15" s="1"/>
  <c r="AO596" i="15"/>
  <c r="CG596" i="15" s="1"/>
  <c r="CH596" i="15" s="1"/>
  <c r="AO598" i="15"/>
  <c r="CG598" i="15" s="1"/>
  <c r="CH598" i="15" s="1"/>
  <c r="AO600" i="15"/>
  <c r="AP600" i="15" s="1"/>
  <c r="AO602" i="15"/>
  <c r="AO604" i="15"/>
  <c r="AP604" i="15" s="1"/>
  <c r="AO606" i="15"/>
  <c r="AP606" i="15" s="1"/>
  <c r="AO608" i="15"/>
  <c r="AO612" i="15"/>
  <c r="AO614" i="15"/>
  <c r="AP614" i="15" s="1"/>
  <c r="AO616" i="15"/>
  <c r="AP616" i="15" s="1"/>
  <c r="AO618" i="15"/>
  <c r="CG618" i="15" s="1"/>
  <c r="CH618" i="15" s="1"/>
  <c r="AO622" i="15"/>
  <c r="CG622" i="15" s="1"/>
  <c r="CH622" i="15" s="1"/>
  <c r="AO624" i="15"/>
  <c r="CG624" i="15" s="1"/>
  <c r="CH624" i="15" s="1"/>
  <c r="AO626" i="15"/>
  <c r="CG626" i="15" s="1"/>
  <c r="CH626" i="15" s="1"/>
  <c r="AO628" i="15"/>
  <c r="AO631" i="15"/>
  <c r="AO633" i="15"/>
  <c r="AO635" i="15"/>
  <c r="CG635" i="15" s="1"/>
  <c r="CH635" i="15" s="1"/>
  <c r="AO637" i="15"/>
  <c r="AO639" i="15"/>
  <c r="AO643" i="15"/>
  <c r="AO645" i="15"/>
  <c r="CG645" i="15" s="1"/>
  <c r="CH645" i="15" s="1"/>
  <c r="AO647" i="15"/>
  <c r="CG647" i="15" s="1"/>
  <c r="CH647" i="15" s="1"/>
  <c r="AO649" i="15"/>
  <c r="AO651" i="15"/>
  <c r="AO653" i="15"/>
  <c r="CG653" i="15" s="1"/>
  <c r="CH653" i="15" s="1"/>
  <c r="AO655" i="15"/>
  <c r="AO657" i="15"/>
  <c r="AO659" i="15"/>
  <c r="AO661" i="15"/>
  <c r="CG661" i="15" s="1"/>
  <c r="CH661" i="15" s="1"/>
  <c r="AO663" i="15"/>
  <c r="AO665" i="15"/>
  <c r="CG665" i="15" s="1"/>
  <c r="CH665" i="15" s="1"/>
  <c r="AO669" i="15"/>
  <c r="AO671" i="15"/>
  <c r="CG671" i="15" s="1"/>
  <c r="CH671" i="15" s="1"/>
  <c r="AO673" i="15"/>
  <c r="AP673" i="15" s="1"/>
  <c r="AO675" i="15"/>
  <c r="AO677" i="15"/>
  <c r="CG677" i="15" s="1"/>
  <c r="CH677" i="15" s="1"/>
  <c r="AO679" i="15"/>
  <c r="CG679" i="15" s="1"/>
  <c r="CH679" i="15" s="1"/>
  <c r="AO681" i="15"/>
  <c r="AO683" i="15"/>
  <c r="AO685" i="15"/>
  <c r="CG685" i="15" s="1"/>
  <c r="CH685" i="15" s="1"/>
  <c r="AO689" i="15"/>
  <c r="CG689" i="15" s="1"/>
  <c r="CH689" i="15" s="1"/>
  <c r="AO691" i="15"/>
  <c r="CG691" i="15" s="1"/>
  <c r="CH691" i="15" s="1"/>
  <c r="AO693" i="15"/>
  <c r="CG693" i="15" s="1"/>
  <c r="CH693" i="15" s="1"/>
  <c r="AO695" i="15"/>
  <c r="CG695" i="15" s="1"/>
  <c r="CH695" i="15" s="1"/>
  <c r="AO697" i="15"/>
  <c r="CG697" i="15" s="1"/>
  <c r="CH697" i="15" s="1"/>
  <c r="AO699" i="15"/>
  <c r="AO701" i="15"/>
  <c r="AO703" i="15"/>
  <c r="AP703" i="15" s="1"/>
  <c r="AO705" i="15"/>
  <c r="CG705" i="15" s="1"/>
  <c r="CH705" i="15" s="1"/>
  <c r="AO707" i="15"/>
  <c r="AO709" i="15"/>
  <c r="AO711" i="15"/>
  <c r="CG711" i="15" s="1"/>
  <c r="CH711" i="15" s="1"/>
  <c r="AO13" i="15"/>
  <c r="AP13" i="15" s="1"/>
  <c r="AO17" i="15"/>
  <c r="AO21" i="15"/>
  <c r="AO27" i="15"/>
  <c r="CG27" i="15" s="1"/>
  <c r="CH27" i="15" s="1"/>
  <c r="AO31" i="15"/>
  <c r="CG31" i="15" s="1"/>
  <c r="CH31" i="15" s="1"/>
  <c r="AO87" i="15"/>
  <c r="AO91" i="15"/>
  <c r="CG91" i="15" s="1"/>
  <c r="CH91" i="15" s="1"/>
  <c r="AO95" i="15"/>
  <c r="AP95" i="15" s="1"/>
  <c r="AO99" i="15"/>
  <c r="CG99" i="15" s="1"/>
  <c r="CH99" i="15" s="1"/>
  <c r="AO101" i="15"/>
  <c r="AP101" i="15" s="1"/>
  <c r="AO107" i="15"/>
  <c r="AO111" i="15"/>
  <c r="CG111" i="15" s="1"/>
  <c r="CH111" i="15" s="1"/>
  <c r="AO115" i="15"/>
  <c r="CG115" i="15" s="1"/>
  <c r="CH115" i="15" s="1"/>
  <c r="AO119" i="15"/>
  <c r="AO123" i="15"/>
  <c r="AO127" i="15"/>
  <c r="AP127" i="15" s="1"/>
  <c r="AO131" i="15"/>
  <c r="CG131" i="15" s="1"/>
  <c r="CH131" i="15" s="1"/>
  <c r="AO133" i="15"/>
  <c r="CG133" i="15" s="1"/>
  <c r="CH133" i="15" s="1"/>
  <c r="AO135" i="15"/>
  <c r="AO137" i="15"/>
  <c r="CG137" i="15" s="1"/>
  <c r="CH137" i="15" s="1"/>
  <c r="AO139" i="15"/>
  <c r="CG139" i="15" s="1"/>
  <c r="CH139" i="15" s="1"/>
  <c r="AO141" i="15"/>
  <c r="AO252" i="15"/>
  <c r="CG252" i="15" s="1"/>
  <c r="CH252" i="15" s="1"/>
  <c r="AO254" i="15"/>
  <c r="AP254" i="15" s="1"/>
  <c r="AO256" i="15"/>
  <c r="CG256" i="15" s="1"/>
  <c r="CH256" i="15" s="1"/>
  <c r="AO258" i="15"/>
  <c r="AP258" i="15" s="1"/>
  <c r="AO260" i="15"/>
  <c r="AO262" i="15"/>
  <c r="AP262" i="15" s="1"/>
  <c r="AO264" i="15"/>
  <c r="CG264" i="15" s="1"/>
  <c r="CH264" i="15" s="1"/>
  <c r="AO266" i="15"/>
  <c r="AO268" i="15"/>
  <c r="AO474" i="15"/>
  <c r="AO476" i="15"/>
  <c r="AP476" i="15" s="1"/>
  <c r="AO478" i="15"/>
  <c r="AP478" i="15" s="1"/>
  <c r="AO480" i="15"/>
  <c r="CG480" i="15" s="1"/>
  <c r="CH480" i="15" s="1"/>
  <c r="AO482" i="15"/>
  <c r="AP482" i="15" s="1"/>
  <c r="AO484" i="15"/>
  <c r="AP484" i="15" s="1"/>
  <c r="AO486" i="15"/>
  <c r="AP486" i="15" s="1"/>
  <c r="AO488" i="15"/>
  <c r="CG488" i="15" s="1"/>
  <c r="CH488" i="15" s="1"/>
  <c r="AO492" i="15"/>
  <c r="CG492" i="15" s="1"/>
  <c r="CH492" i="15" s="1"/>
  <c r="AO494" i="15"/>
  <c r="AP494" i="15" s="1"/>
  <c r="AO496" i="15"/>
  <c r="AP496" i="15" s="1"/>
  <c r="AO498" i="15"/>
  <c r="CG498" i="15" s="1"/>
  <c r="CH498" i="15" s="1"/>
  <c r="AO500" i="15"/>
  <c r="CG500" i="15" s="1"/>
  <c r="CH500" i="15" s="1"/>
  <c r="AO502" i="15"/>
  <c r="AP502" i="15" s="1"/>
  <c r="AO504" i="15"/>
  <c r="AP504" i="15" s="1"/>
  <c r="AO506" i="15"/>
  <c r="CG506" i="15" s="1"/>
  <c r="CH506" i="15" s="1"/>
  <c r="AO508" i="15"/>
  <c r="AO510" i="15"/>
  <c r="AP510" i="15" s="1"/>
  <c r="AO512" i="15"/>
  <c r="AP512" i="15" s="1"/>
  <c r="AO516" i="15"/>
  <c r="AP516" i="15" s="1"/>
  <c r="AO518" i="15"/>
  <c r="CG518" i="15" s="1"/>
  <c r="CH518" i="15" s="1"/>
  <c r="AO520" i="15"/>
  <c r="AP520" i="15" s="1"/>
  <c r="AO522" i="15"/>
  <c r="AP522" i="15" s="1"/>
  <c r="AO524" i="15"/>
  <c r="CG524" i="15" s="1"/>
  <c r="CH524" i="15" s="1"/>
  <c r="AO526" i="15"/>
  <c r="CG526" i="15" s="1"/>
  <c r="CH526" i="15" s="1"/>
  <c r="AO530" i="15"/>
  <c r="AP530" i="15" s="1"/>
  <c r="AO532" i="15"/>
  <c r="AP532" i="15" s="1"/>
  <c r="AO534" i="15"/>
  <c r="CG534" i="15" s="1"/>
  <c r="CH534" i="15" s="1"/>
  <c r="AO536" i="15"/>
  <c r="CG536" i="15" s="1"/>
  <c r="CH536" i="15" s="1"/>
  <c r="AO538" i="15"/>
  <c r="AP538" i="15" s="1"/>
  <c r="AO540" i="15"/>
  <c r="AP540" i="15" s="1"/>
  <c r="AO542" i="15"/>
  <c r="CG542" i="15" s="1"/>
  <c r="CH542" i="15" s="1"/>
  <c r="AO544" i="15"/>
  <c r="CG544" i="15" s="1"/>
  <c r="CH544" i="15" s="1"/>
  <c r="AO546" i="15"/>
  <c r="CG546" i="15" s="1"/>
  <c r="CH546" i="15" s="1"/>
  <c r="AO550" i="15"/>
  <c r="AP550" i="15" s="1"/>
  <c r="AO552" i="15"/>
  <c r="CG552" i="15" s="1"/>
  <c r="CH552" i="15" s="1"/>
  <c r="AO554" i="15"/>
  <c r="AO556" i="15"/>
  <c r="AP556" i="15" s="1"/>
  <c r="AO558" i="15"/>
  <c r="AP558" i="15" s="1"/>
  <c r="AO560" i="15"/>
  <c r="CG560" i="15" s="1"/>
  <c r="CH560" i="15" s="1"/>
  <c r="AO562" i="15"/>
  <c r="AO564" i="15"/>
  <c r="AP564" i="15" s="1"/>
  <c r="AO566" i="15"/>
  <c r="AP566" i="15" s="1"/>
  <c r="AO568" i="15"/>
  <c r="CG568" i="15" s="1"/>
  <c r="CH568" i="15" s="1"/>
  <c r="AO570" i="15"/>
  <c r="AO573" i="15"/>
  <c r="CG573" i="15" s="1"/>
  <c r="CH573" i="15" s="1"/>
  <c r="AO572" i="15"/>
  <c r="AP572" i="15" s="1"/>
  <c r="AO716" i="15"/>
  <c r="CG716" i="15" s="1"/>
  <c r="CH716" i="15" s="1"/>
  <c r="AO718" i="15"/>
  <c r="AO720" i="15"/>
  <c r="CG720" i="15" s="1"/>
  <c r="CH720" i="15" s="1"/>
  <c r="AO722" i="15"/>
  <c r="AP722" i="15" s="1"/>
  <c r="AO724" i="15"/>
  <c r="CG724" i="15" s="1"/>
  <c r="CH724" i="15" s="1"/>
  <c r="AO726" i="15"/>
  <c r="AO728" i="15"/>
  <c r="CG728" i="15" s="1"/>
  <c r="CH728" i="15" s="1"/>
  <c r="AO730" i="15"/>
  <c r="AP730" i="15" s="1"/>
  <c r="AO734" i="15"/>
  <c r="CG734" i="15" s="1"/>
  <c r="CH734" i="15" s="1"/>
  <c r="AO736" i="15"/>
  <c r="AO738" i="15"/>
  <c r="CG738" i="15" s="1"/>
  <c r="CH738" i="15" s="1"/>
  <c r="AO740" i="15"/>
  <c r="AP740" i="15" s="1"/>
  <c r="AO742" i="15"/>
  <c r="CG742" i="15" s="1"/>
  <c r="CH742" i="15" s="1"/>
  <c r="AO744" i="15"/>
  <c r="CG744" i="15" s="1"/>
  <c r="CH744" i="15" s="1"/>
  <c r="AO746" i="15"/>
  <c r="CG746" i="15" s="1"/>
  <c r="CH746" i="15" s="1"/>
  <c r="AO748" i="15"/>
  <c r="AP748" i="15" s="1"/>
  <c r="AO750" i="15"/>
  <c r="CG750" i="15" s="1"/>
  <c r="CH750" i="15" s="1"/>
  <c r="AO752" i="15"/>
  <c r="CG752" i="15" s="1"/>
  <c r="CH752" i="15" s="1"/>
  <c r="AO756" i="15"/>
  <c r="CG756" i="15" s="1"/>
  <c r="CH756" i="15" s="1"/>
  <c r="AO773" i="15"/>
  <c r="AP773" i="15" s="1"/>
  <c r="AO758" i="15"/>
  <c r="CG758" i="15" s="1"/>
  <c r="CH758" i="15" s="1"/>
  <c r="AO760" i="15"/>
  <c r="AP760" i="15" s="1"/>
  <c r="AO762" i="15"/>
  <c r="CG762" i="15" s="1"/>
  <c r="CH762" i="15" s="1"/>
  <c r="AO764" i="15"/>
  <c r="AP764" i="15" s="1"/>
  <c r="AO766" i="15"/>
  <c r="CG766" i="15" s="1"/>
  <c r="CH766" i="15" s="1"/>
  <c r="AO768" i="15"/>
  <c r="CG768" i="15" s="1"/>
  <c r="CH768" i="15" s="1"/>
  <c r="AO770" i="15"/>
  <c r="CG770" i="15" s="1"/>
  <c r="CH770" i="15" s="1"/>
  <c r="AO772" i="15"/>
  <c r="AP772" i="15" s="1"/>
  <c r="AO778" i="15"/>
  <c r="CG778" i="15" s="1"/>
  <c r="CH778" i="15" s="1"/>
  <c r="AO780" i="15"/>
  <c r="CG780" i="15" s="1"/>
  <c r="CH780" i="15" s="1"/>
  <c r="AO782" i="15"/>
  <c r="AP782" i="15" s="1"/>
  <c r="AO784" i="15"/>
  <c r="AP784" i="15" s="1"/>
  <c r="AO786" i="15"/>
  <c r="CG786" i="15" s="1"/>
  <c r="CH786" i="15" s="1"/>
  <c r="AO788" i="15"/>
  <c r="CG788" i="15" s="1"/>
  <c r="CH788" i="15" s="1"/>
  <c r="AO790" i="15"/>
  <c r="AP790" i="15" s="1"/>
  <c r="AO792" i="15"/>
  <c r="AP792" i="15" s="1"/>
  <c r="AO794" i="15"/>
  <c r="CG794" i="15" s="1"/>
  <c r="CH794" i="15" s="1"/>
  <c r="AO798" i="15"/>
  <c r="CG798" i="15" s="1"/>
  <c r="CH798" i="15" s="1"/>
  <c r="AO800" i="15"/>
  <c r="AP800" i="15" s="1"/>
  <c r="AO802" i="15"/>
  <c r="AP802" i="15" s="1"/>
  <c r="AO804" i="15"/>
  <c r="CG804" i="15" s="1"/>
  <c r="CH804" i="15" s="1"/>
  <c r="AO806" i="15"/>
  <c r="AO808" i="15"/>
  <c r="AP808" i="15" s="1"/>
  <c r="AO810" i="15"/>
  <c r="AP810" i="15" s="1"/>
  <c r="AO812" i="15"/>
  <c r="CG812" i="15" s="1"/>
  <c r="CH812" i="15" s="1"/>
  <c r="AO814" i="15"/>
  <c r="AO816" i="15"/>
  <c r="CG816" i="15" s="1"/>
  <c r="CH816" i="15" s="1"/>
  <c r="AO818" i="15"/>
  <c r="AP818" i="15" s="1"/>
  <c r="AO820" i="15"/>
  <c r="CG820" i="15" s="1"/>
  <c r="CH820" i="15" s="1"/>
  <c r="AO822" i="15"/>
  <c r="AO824" i="15"/>
  <c r="AP824" i="15" s="1"/>
  <c r="AO826" i="15"/>
  <c r="AP826" i="15" s="1"/>
  <c r="AO830" i="15"/>
  <c r="CG830" i="15" s="1"/>
  <c r="CH830" i="15" s="1"/>
  <c r="AO832" i="15"/>
  <c r="AO834" i="15"/>
  <c r="CG834" i="15" s="1"/>
  <c r="CH834" i="15" s="1"/>
  <c r="AO836" i="15"/>
  <c r="AP836" i="15" s="1"/>
  <c r="AO838" i="15"/>
  <c r="CG838" i="15" s="1"/>
  <c r="CH838" i="15" s="1"/>
  <c r="AO840" i="15"/>
  <c r="AO842" i="15"/>
  <c r="CG842" i="15" s="1"/>
  <c r="CH842" i="15" s="1"/>
  <c r="AO844" i="15"/>
  <c r="AP844" i="15" s="1"/>
  <c r="AO846" i="15"/>
  <c r="CG846" i="15" s="1"/>
  <c r="CH846" i="15" s="1"/>
  <c r="AO848" i="15"/>
  <c r="CG848" i="15" s="1"/>
  <c r="CH848" i="15" s="1"/>
  <c r="AO850" i="15"/>
  <c r="CG850" i="15" s="1"/>
  <c r="CH850" i="15" s="1"/>
  <c r="AO852" i="15"/>
  <c r="AP852" i="15" s="1"/>
  <c r="AO854" i="15"/>
  <c r="CG854" i="15" s="1"/>
  <c r="CH854" i="15" s="1"/>
  <c r="AO856" i="15"/>
  <c r="AP856" i="15" s="1"/>
  <c r="AO858" i="15"/>
  <c r="CG858" i="15" s="1"/>
  <c r="CH858" i="15" s="1"/>
  <c r="AO860" i="15"/>
  <c r="AP860" i="15" s="1"/>
  <c r="AO11" i="15"/>
  <c r="AO15" i="15"/>
  <c r="AP15" i="15" s="1"/>
  <c r="AO19" i="15"/>
  <c r="CG19" i="15" s="1"/>
  <c r="CH19" i="15" s="1"/>
  <c r="AO23" i="15"/>
  <c r="AO25" i="15"/>
  <c r="CG25" i="15" s="1"/>
  <c r="CH25" i="15" s="1"/>
  <c r="AO29" i="15"/>
  <c r="CG29" i="15" s="1"/>
  <c r="CH29" i="15" s="1"/>
  <c r="AO85" i="15"/>
  <c r="CG85" i="15" s="1"/>
  <c r="CH85" i="15" s="1"/>
  <c r="AO89" i="15"/>
  <c r="CG89" i="15" s="1"/>
  <c r="CH89" i="15" s="1"/>
  <c r="AO92" i="15"/>
  <c r="AO103" i="15"/>
  <c r="CG103" i="15" s="1"/>
  <c r="CH103" i="15" s="1"/>
  <c r="AO105" i="15"/>
  <c r="CG105" i="15" s="1"/>
  <c r="CH105" i="15" s="1"/>
  <c r="AO109" i="15"/>
  <c r="CG109" i="15" s="1"/>
  <c r="CH109" i="15" s="1"/>
  <c r="AO113" i="15"/>
  <c r="AO117" i="15"/>
  <c r="CG117" i="15" s="1"/>
  <c r="CH117" i="15" s="1"/>
  <c r="AO121" i="15"/>
  <c r="CG121" i="15" s="1"/>
  <c r="CH121" i="15" s="1"/>
  <c r="AO129" i="15"/>
  <c r="AO37" i="15"/>
  <c r="AO39" i="15"/>
  <c r="CG39" i="15" s="1"/>
  <c r="CH39" i="15" s="1"/>
  <c r="AO44" i="15"/>
  <c r="AP44" i="15" s="1"/>
  <c r="AO46" i="15"/>
  <c r="AO48" i="15"/>
  <c r="CG48" i="15" s="1"/>
  <c r="CH48" i="15" s="1"/>
  <c r="AO50" i="15"/>
  <c r="CG50" i="15" s="1"/>
  <c r="CH50" i="15" s="1"/>
  <c r="AO52" i="15"/>
  <c r="AP52" i="15" s="1"/>
  <c r="AO54" i="15"/>
  <c r="AO56" i="15"/>
  <c r="CG56" i="15" s="1"/>
  <c r="CH56" i="15" s="1"/>
  <c r="AO58" i="15"/>
  <c r="AO60" i="15"/>
  <c r="AP60" i="15" s="1"/>
  <c r="AO62" i="15"/>
  <c r="AO67" i="15"/>
  <c r="AO69" i="15"/>
  <c r="AO71" i="15"/>
  <c r="AP71" i="15" s="1"/>
  <c r="AO73" i="15"/>
  <c r="CG73" i="15" s="1"/>
  <c r="CH73" i="15" s="1"/>
  <c r="AO75" i="15"/>
  <c r="AO77" i="15"/>
  <c r="CG77" i="15" s="1"/>
  <c r="CH77" i="15" s="1"/>
  <c r="AO79" i="15"/>
  <c r="AP79" i="15" s="1"/>
  <c r="AO81" i="15"/>
  <c r="CG81" i="15" s="1"/>
  <c r="CH81" i="15" s="1"/>
  <c r="AO146" i="15"/>
  <c r="CG146" i="15" s="1"/>
  <c r="CH146" i="15" s="1"/>
  <c r="AO148" i="15"/>
  <c r="CG148" i="15" s="1"/>
  <c r="CH148" i="15" s="1"/>
  <c r="AO150" i="15"/>
  <c r="AP150" i="15" s="1"/>
  <c r="AO152" i="15"/>
  <c r="AO154" i="15"/>
  <c r="CG154" i="15" s="1"/>
  <c r="CH154" i="15" s="1"/>
  <c r="AO156" i="15"/>
  <c r="CG156" i="15" s="1"/>
  <c r="CH156" i="15" s="1"/>
  <c r="AO158" i="15"/>
  <c r="AP158" i="15" s="1"/>
  <c r="AO160" i="15"/>
  <c r="AP160" i="15" s="1"/>
  <c r="AO162" i="15"/>
  <c r="AO164" i="15"/>
  <c r="CG164" i="15" s="1"/>
  <c r="CH164" i="15" s="1"/>
  <c r="AO166" i="15"/>
  <c r="CG166" i="15" s="1"/>
  <c r="CH166" i="15" s="1"/>
  <c r="AO170" i="15"/>
  <c r="CG170" i="15" s="1"/>
  <c r="CH170" i="15" s="1"/>
  <c r="AO172" i="15"/>
  <c r="AO174" i="15"/>
  <c r="CG174" i="15" s="1"/>
  <c r="CH174" i="15" s="1"/>
  <c r="AO176" i="15"/>
  <c r="CG176" i="15" s="1"/>
  <c r="CH176" i="15" s="1"/>
  <c r="AO178" i="15"/>
  <c r="CG178" i="15" s="1"/>
  <c r="CH178" i="15" s="1"/>
  <c r="AO180" i="15"/>
  <c r="CG180" i="15" s="1"/>
  <c r="CH180" i="15" s="1"/>
  <c r="AO182" i="15"/>
  <c r="AP182" i="15" s="1"/>
  <c r="AO184" i="15"/>
  <c r="AP184" i="15" s="1"/>
  <c r="AO186" i="15"/>
  <c r="AO188" i="15"/>
  <c r="CG188" i="15" s="1"/>
  <c r="CH188" i="15" s="1"/>
  <c r="AO192" i="15"/>
  <c r="AP192" i="15" s="1"/>
  <c r="AO194" i="15"/>
  <c r="CG194" i="15" s="1"/>
  <c r="CH194" i="15" s="1"/>
  <c r="AO196" i="15"/>
  <c r="AP196" i="15" s="1"/>
  <c r="AO198" i="15"/>
  <c r="AO200" i="15"/>
  <c r="AP200" i="15" s="1"/>
  <c r="AO202" i="15"/>
  <c r="AP202" i="15" s="1"/>
  <c r="AO204" i="15"/>
  <c r="CG204" i="15" s="1"/>
  <c r="CH204" i="15" s="1"/>
  <c r="AO206" i="15"/>
  <c r="AO208" i="15"/>
  <c r="CG208" i="15" s="1"/>
  <c r="CH208" i="15" s="1"/>
  <c r="AO210" i="15"/>
  <c r="AP210" i="15" s="1"/>
  <c r="AO212" i="15"/>
  <c r="CG212" i="15" s="1"/>
  <c r="CH212" i="15" s="1"/>
  <c r="AO214" i="15"/>
  <c r="CG214" i="15" s="1"/>
  <c r="CH214" i="15" s="1"/>
  <c r="AO216" i="15"/>
  <c r="CG216" i="15" s="1"/>
  <c r="CH216" i="15" s="1"/>
  <c r="AO220" i="15"/>
  <c r="AP220" i="15" s="1"/>
  <c r="AO222" i="15"/>
  <c r="AO224" i="15"/>
  <c r="CG224" i="15" s="1"/>
  <c r="CH224" i="15" s="1"/>
  <c r="AO226" i="15"/>
  <c r="CG226" i="15" s="1"/>
  <c r="CH226" i="15" s="1"/>
  <c r="AO228" i="15"/>
  <c r="AP228" i="15" s="1"/>
  <c r="AO230" i="15"/>
  <c r="AP230" i="15" s="1"/>
  <c r="AO234" i="15"/>
  <c r="AO236" i="15"/>
  <c r="CG236" i="15" s="1"/>
  <c r="CH236" i="15" s="1"/>
  <c r="AO238" i="15"/>
  <c r="CG238" i="15" s="1"/>
  <c r="CH238" i="15" s="1"/>
  <c r="AO240" i="15"/>
  <c r="CG240" i="15" s="1"/>
  <c r="CH240" i="15" s="1"/>
  <c r="AO242" i="15"/>
  <c r="AO244" i="15"/>
  <c r="CG244" i="15" s="1"/>
  <c r="CH244" i="15" s="1"/>
  <c r="AO246" i="15"/>
  <c r="CG246" i="15" s="1"/>
  <c r="CH246" i="15" s="1"/>
  <c r="AO248" i="15"/>
  <c r="CG248" i="15" s="1"/>
  <c r="CH248" i="15" s="1"/>
  <c r="AO273" i="15"/>
  <c r="CG273" i="15" s="1"/>
  <c r="CH273" i="15" s="1"/>
  <c r="AO274" i="15"/>
  <c r="AO277" i="15"/>
  <c r="AP277" i="15" s="1"/>
  <c r="AO279" i="15"/>
  <c r="AP279" i="15" s="1"/>
  <c r="AO281" i="15"/>
  <c r="AP281" i="15" s="1"/>
  <c r="AO283" i="15"/>
  <c r="AO285" i="15"/>
  <c r="AP285" i="15" s="1"/>
  <c r="AO287" i="15"/>
  <c r="AP287" i="15" s="1"/>
  <c r="AO289" i="15"/>
  <c r="CG289" i="15" s="1"/>
  <c r="CH289" i="15" s="1"/>
  <c r="AO291" i="15"/>
  <c r="CG291" i="15" s="1"/>
  <c r="CH291" i="15" s="1"/>
  <c r="AO293" i="15"/>
  <c r="AP293" i="15" s="1"/>
  <c r="AO295" i="15"/>
  <c r="AP295" i="15" s="1"/>
  <c r="AO297" i="15"/>
  <c r="CG297" i="15" s="1"/>
  <c r="CH297" i="15" s="1"/>
  <c r="AO301" i="15"/>
  <c r="CG301" i="15" s="1"/>
  <c r="CH301" i="15" s="1"/>
  <c r="AO303" i="15"/>
  <c r="AP303" i="15" s="1"/>
  <c r="AO305" i="15"/>
  <c r="AP305" i="15" s="1"/>
  <c r="AO307" i="15"/>
  <c r="CG307" i="15" s="1"/>
  <c r="CH307" i="15" s="1"/>
  <c r="AO309" i="15"/>
  <c r="AP309" i="15" s="1"/>
  <c r="AO311" i="15"/>
  <c r="AP311" i="15" s="1"/>
  <c r="AO313" i="15"/>
  <c r="AP313" i="15" s="1"/>
  <c r="AO315" i="15"/>
  <c r="AP315" i="15" s="1"/>
  <c r="AO317" i="15"/>
  <c r="CG317" i="15" s="1"/>
  <c r="CH317" i="15" s="1"/>
  <c r="AO319" i="15"/>
  <c r="AP319" i="15" s="1"/>
  <c r="AO321" i="15"/>
  <c r="AP321" i="15" s="1"/>
  <c r="AO323" i="15"/>
  <c r="CG323" i="15" s="1"/>
  <c r="CH323" i="15" s="1"/>
  <c r="AO327" i="15"/>
  <c r="AO329" i="15"/>
  <c r="AP329" i="15" s="1"/>
  <c r="AO331" i="15"/>
  <c r="AP331" i="15" s="1"/>
  <c r="AO333" i="15"/>
  <c r="AP333" i="15" s="1"/>
  <c r="AO335" i="15"/>
  <c r="AP335" i="15" s="1"/>
  <c r="AO337" i="15"/>
  <c r="AP337" i="15" s="1"/>
  <c r="AO339" i="15"/>
  <c r="AP339" i="15" s="1"/>
  <c r="AO341" i="15"/>
  <c r="CG341" i="15" s="1"/>
  <c r="CH341" i="15" s="1"/>
  <c r="AO343" i="15"/>
  <c r="AP343" i="15" s="1"/>
  <c r="AO345" i="15"/>
  <c r="CG345" i="15" s="1"/>
  <c r="CH345" i="15" s="1"/>
  <c r="AO347" i="15"/>
  <c r="AP347" i="15" s="1"/>
  <c r="AO349" i="15"/>
  <c r="CG349" i="15" s="1"/>
  <c r="CH349" i="15" s="1"/>
  <c r="AO351" i="15"/>
  <c r="CG351" i="15" s="1"/>
  <c r="CH351" i="15" s="1"/>
  <c r="AO353" i="15"/>
  <c r="AP353" i="15" s="1"/>
  <c r="AO355" i="15"/>
  <c r="AP355" i="15" s="1"/>
  <c r="AO357" i="15"/>
  <c r="AP357" i="15" s="1"/>
  <c r="AO359" i="15"/>
  <c r="AP359" i="15" s="1"/>
  <c r="AO361" i="15"/>
  <c r="AP361" i="15" s="1"/>
  <c r="AO363" i="15"/>
  <c r="AP363" i="15" s="1"/>
  <c r="AO365" i="15"/>
  <c r="AP365" i="15" s="1"/>
  <c r="AO367" i="15"/>
  <c r="AP367" i="15" s="1"/>
  <c r="AO369" i="15"/>
  <c r="CG369" i="15" s="1"/>
  <c r="CH369" i="15" s="1"/>
  <c r="AO373" i="15"/>
  <c r="AP373" i="15" s="1"/>
  <c r="AO375" i="15"/>
  <c r="AP375" i="15" s="1"/>
  <c r="AO377" i="15"/>
  <c r="CG377" i="15" s="1"/>
  <c r="CH377" i="15" s="1"/>
  <c r="AO379" i="15"/>
  <c r="AP379" i="15" s="1"/>
  <c r="AO382" i="15"/>
  <c r="AP382" i="15" s="1"/>
  <c r="AO384" i="15"/>
  <c r="CG384" i="15" s="1"/>
  <c r="CH384" i="15" s="1"/>
  <c r="AO386" i="15"/>
  <c r="CG386" i="15" s="1"/>
  <c r="CH386" i="15" s="1"/>
  <c r="AO388" i="15"/>
  <c r="CG388" i="15" s="1"/>
  <c r="CH388" i="15" s="1"/>
  <c r="AO390" i="15"/>
  <c r="AP390" i="15" s="1"/>
  <c r="AO392" i="15"/>
  <c r="CG392" i="15" s="1"/>
  <c r="CH392" i="15" s="1"/>
  <c r="AO394" i="15"/>
  <c r="CG394" i="15" s="1"/>
  <c r="CH394" i="15" s="1"/>
  <c r="AO396" i="15"/>
  <c r="AP396" i="15" s="1"/>
  <c r="AO398" i="15"/>
  <c r="AP398" i="15" s="1"/>
  <c r="AO400" i="15"/>
  <c r="CG400" i="15" s="1"/>
  <c r="CH400" i="15" s="1"/>
  <c r="AO402" i="15"/>
  <c r="CG402" i="15" s="1"/>
  <c r="CH402" i="15" s="1"/>
  <c r="AO404" i="15"/>
  <c r="CG404" i="15" s="1"/>
  <c r="CH404" i="15" s="1"/>
  <c r="AO408" i="15"/>
  <c r="AP408" i="15" s="1"/>
  <c r="AO410" i="15"/>
  <c r="AP410" i="15" s="1"/>
  <c r="AO412" i="15"/>
  <c r="AP412" i="15" s="1"/>
  <c r="AO414" i="15"/>
  <c r="AP414" i="15" s="1"/>
  <c r="AO416" i="15"/>
  <c r="AP416" i="15" s="1"/>
  <c r="AO418" i="15"/>
  <c r="AP418" i="15" s="1"/>
  <c r="AO420" i="15"/>
  <c r="CG420" i="15" s="1"/>
  <c r="CH420" i="15" s="1"/>
  <c r="AO422" i="15"/>
  <c r="AP422" i="15" s="1"/>
  <c r="AO424" i="15"/>
  <c r="AP424" i="15" s="1"/>
  <c r="AO426" i="15"/>
  <c r="AP426" i="15" s="1"/>
  <c r="AO428" i="15"/>
  <c r="AP428" i="15" s="1"/>
  <c r="AO432" i="15"/>
  <c r="AP432" i="15" s="1"/>
  <c r="AO434" i="15"/>
  <c r="AP434" i="15" s="1"/>
  <c r="AO436" i="15"/>
  <c r="AP436" i="15" s="1"/>
  <c r="AO438" i="15"/>
  <c r="AP438" i="15" s="1"/>
  <c r="AO440" i="15"/>
  <c r="AP440" i="15" s="1"/>
  <c r="AO442" i="15"/>
  <c r="AP442" i="15" s="1"/>
  <c r="AO444" i="15"/>
  <c r="AP444" i="15" s="1"/>
  <c r="AO446" i="15"/>
  <c r="AP446" i="15" s="1"/>
  <c r="AO448" i="15"/>
  <c r="AP448" i="15" s="1"/>
  <c r="AO450" i="15"/>
  <c r="AP450" i="15" s="1"/>
  <c r="AO452" i="15"/>
  <c r="CG452" i="15" s="1"/>
  <c r="CH452" i="15" s="1"/>
  <c r="AO456" i="15"/>
  <c r="CG456" i="15" s="1"/>
  <c r="CH456" i="15" s="1"/>
  <c r="AO458" i="15"/>
  <c r="CG458" i="15" s="1"/>
  <c r="CH458" i="15" s="1"/>
  <c r="AO460" i="15"/>
  <c r="AP460" i="15" s="1"/>
  <c r="AO462" i="15"/>
  <c r="CG462" i="15" s="1"/>
  <c r="CH462" i="15" s="1"/>
  <c r="AO464" i="15"/>
  <c r="AP464" i="15" s="1"/>
  <c r="AO466" i="15"/>
  <c r="CG466" i="15" s="1"/>
  <c r="CH466" i="15" s="1"/>
  <c r="AO468" i="15"/>
  <c r="AP468" i="15" s="1"/>
  <c r="AO579" i="15"/>
  <c r="AP579" i="15" s="1"/>
  <c r="AO581" i="15"/>
  <c r="AP581" i="15" s="1"/>
  <c r="AO583" i="15"/>
  <c r="AP583" i="15" s="1"/>
  <c r="AO585" i="15"/>
  <c r="AP585" i="15" s="1"/>
  <c r="AO587" i="15"/>
  <c r="AP587" i="15" s="1"/>
  <c r="AO589" i="15"/>
  <c r="CG589" i="15" s="1"/>
  <c r="CH589" i="15" s="1"/>
  <c r="AO591" i="15"/>
  <c r="CG591" i="15" s="1"/>
  <c r="CH591" i="15" s="1"/>
  <c r="AO593" i="15"/>
  <c r="AP593" i="15" s="1"/>
  <c r="AO595" i="15"/>
  <c r="AP595" i="15" s="1"/>
  <c r="AO597" i="15"/>
  <c r="AP597" i="15" s="1"/>
  <c r="AO599" i="15"/>
  <c r="AP599" i="15" s="1"/>
  <c r="AO601" i="15"/>
  <c r="CG601" i="15" s="1"/>
  <c r="CH601" i="15" s="1"/>
  <c r="AO603" i="15"/>
  <c r="AP603" i="15" s="1"/>
  <c r="AO605" i="15"/>
  <c r="CG605" i="15" s="1"/>
  <c r="CH605" i="15" s="1"/>
  <c r="AO607" i="15"/>
  <c r="CG607" i="15" s="1"/>
  <c r="CH607" i="15" s="1"/>
  <c r="AO609" i="15"/>
  <c r="CG609" i="15" s="1"/>
  <c r="CH609" i="15" s="1"/>
  <c r="AO613" i="15"/>
  <c r="CG613" i="15" s="1"/>
  <c r="CH613" i="15" s="1"/>
  <c r="AO615" i="15"/>
  <c r="CG615" i="15" s="1"/>
  <c r="CH615" i="15" s="1"/>
  <c r="AO617" i="15"/>
  <c r="AP617" i="15" s="1"/>
  <c r="AO619" i="15"/>
  <c r="AP619" i="15" s="1"/>
  <c r="AO623" i="15"/>
  <c r="CG623" i="15" s="1"/>
  <c r="CH623" i="15" s="1"/>
  <c r="AO625" i="15"/>
  <c r="CG625" i="15" s="1"/>
  <c r="CH625" i="15" s="1"/>
  <c r="AO627" i="15"/>
  <c r="CG627" i="15" s="1"/>
  <c r="CH627" i="15" s="1"/>
  <c r="AO630" i="15"/>
  <c r="AP630" i="15" s="1"/>
  <c r="AO632" i="15"/>
  <c r="CG632" i="15" s="1"/>
  <c r="CH632" i="15" s="1"/>
  <c r="AO634" i="15"/>
  <c r="CG634" i="15" s="1"/>
  <c r="CH634" i="15" s="1"/>
  <c r="AO636" i="15"/>
  <c r="AP636" i="15" s="1"/>
  <c r="AO638" i="15"/>
  <c r="AP638" i="15" s="1"/>
  <c r="AO642" i="15"/>
  <c r="AP642" i="15" s="1"/>
  <c r="AO644" i="15"/>
  <c r="CG644" i="15" s="1"/>
  <c r="CH644" i="15" s="1"/>
  <c r="AO646" i="15"/>
  <c r="CG646" i="15" s="1"/>
  <c r="CH646" i="15" s="1"/>
  <c r="AO648" i="15"/>
  <c r="AP648" i="15" s="1"/>
  <c r="AO650" i="15"/>
  <c r="CG650" i="15" s="1"/>
  <c r="CH650" i="15" s="1"/>
  <c r="AO652" i="15"/>
  <c r="AP652" i="15" s="1"/>
  <c r="AO654" i="15"/>
  <c r="AP654" i="15" s="1"/>
  <c r="AO656" i="15"/>
  <c r="AP656" i="15" s="1"/>
  <c r="AO658" i="15"/>
  <c r="CG658" i="15" s="1"/>
  <c r="CH658" i="15" s="1"/>
  <c r="AO660" i="15"/>
  <c r="CG660" i="15" s="1"/>
  <c r="CH660" i="15" s="1"/>
  <c r="AO662" i="15"/>
  <c r="AP662" i="15" s="1"/>
  <c r="AO664" i="15"/>
  <c r="AP664" i="15" s="1"/>
  <c r="AO666" i="15"/>
  <c r="AP666" i="15" s="1"/>
  <c r="AO670" i="15"/>
  <c r="AP670" i="15" s="1"/>
  <c r="AO672" i="15"/>
  <c r="AP672" i="15" s="1"/>
  <c r="AO674" i="15"/>
  <c r="AP674" i="15" s="1"/>
  <c r="AO676" i="15"/>
  <c r="AP676" i="15" s="1"/>
  <c r="AO678" i="15"/>
  <c r="AP678" i="15" s="1"/>
  <c r="AO680" i="15"/>
  <c r="CG680" i="15" s="1"/>
  <c r="CH680" i="15" s="1"/>
  <c r="AO682" i="15"/>
  <c r="AP682" i="15" s="1"/>
  <c r="AO684" i="15"/>
  <c r="CG684" i="15" s="1"/>
  <c r="CH684" i="15" s="1"/>
  <c r="AO686" i="15"/>
  <c r="AP686" i="15" s="1"/>
  <c r="AO690" i="15"/>
  <c r="AP690" i="15" s="1"/>
  <c r="AO692" i="15"/>
  <c r="AP692" i="15" s="1"/>
  <c r="AO694" i="15"/>
  <c r="CG694" i="15" s="1"/>
  <c r="CH694" i="15" s="1"/>
  <c r="AO696" i="15"/>
  <c r="CG696" i="15" s="1"/>
  <c r="CH696" i="15" s="1"/>
  <c r="AO698" i="15"/>
  <c r="CG698" i="15" s="1"/>
  <c r="CH698" i="15" s="1"/>
  <c r="AO700" i="15"/>
  <c r="AP700" i="15" s="1"/>
  <c r="AO702" i="15"/>
  <c r="CG702" i="15" s="1"/>
  <c r="CH702" i="15" s="1"/>
  <c r="AO704" i="15"/>
  <c r="AP704" i="15" s="1"/>
  <c r="AO706" i="15"/>
  <c r="CG706" i="15" s="1"/>
  <c r="CH706" i="15" s="1"/>
  <c r="AO708" i="15"/>
  <c r="CG708" i="15" s="1"/>
  <c r="CH708" i="15" s="1"/>
  <c r="AO710" i="15"/>
  <c r="CG710" i="15" s="1"/>
  <c r="CH710" i="15" s="1"/>
  <c r="CG16" i="15"/>
  <c r="CH16" i="15" s="1"/>
  <c r="AP16" i="15"/>
  <c r="CG32" i="15"/>
  <c r="CH32" i="15" s="1"/>
  <c r="AP32" i="15"/>
  <c r="CG199" i="15"/>
  <c r="CH199" i="15" s="1"/>
  <c r="CG483" i="15"/>
  <c r="CH483" i="15" s="1"/>
  <c r="AP483" i="15"/>
  <c r="CG485" i="15"/>
  <c r="CH485" i="15" s="1"/>
  <c r="AP485" i="15"/>
  <c r="AP497" i="15"/>
  <c r="CG515" i="15"/>
  <c r="CH515" i="15" s="1"/>
  <c r="AP515" i="15"/>
  <c r="CG519" i="15"/>
  <c r="CH519" i="15" s="1"/>
  <c r="AP519" i="15"/>
  <c r="CG531" i="15"/>
  <c r="CH531" i="15" s="1"/>
  <c r="CG537" i="15"/>
  <c r="CH537" i="15" s="1"/>
  <c r="AP537" i="15"/>
  <c r="CG549" i="15"/>
  <c r="CH549" i="15" s="1"/>
  <c r="AP549" i="15"/>
  <c r="CG551" i="15"/>
  <c r="CH551" i="15" s="1"/>
  <c r="AP551" i="15"/>
  <c r="AP557" i="15"/>
  <c r="CG571" i="15"/>
  <c r="CH571" i="15" s="1"/>
  <c r="AP571" i="15"/>
  <c r="CG574" i="15"/>
  <c r="CH574" i="15" s="1"/>
  <c r="AP574" i="15"/>
  <c r="CG719" i="15"/>
  <c r="CH719" i="15" s="1"/>
  <c r="AP719" i="15"/>
  <c r="CG733" i="15"/>
  <c r="CH733" i="15" s="1"/>
  <c r="AP733" i="15"/>
  <c r="CG745" i="15"/>
  <c r="CH745" i="15" s="1"/>
  <c r="AP747" i="15"/>
  <c r="CG747" i="15"/>
  <c r="CH747" i="15" s="1"/>
  <c r="CG763" i="15"/>
  <c r="CH763" i="15" s="1"/>
  <c r="AP763" i="15"/>
  <c r="CG781" i="15"/>
  <c r="CH781" i="15" s="1"/>
  <c r="CG783" i="15"/>
  <c r="CH783" i="15" s="1"/>
  <c r="AP783" i="15"/>
  <c r="CG801" i="15"/>
  <c r="CH801" i="15" s="1"/>
  <c r="AP801" i="15"/>
  <c r="AP803" i="15"/>
  <c r="CG819" i="15"/>
  <c r="CH819" i="15" s="1"/>
  <c r="AP819" i="15"/>
  <c r="CG837" i="15"/>
  <c r="CH837" i="15" s="1"/>
  <c r="AP837" i="15"/>
  <c r="CG127" i="15"/>
  <c r="CH127" i="15" s="1"/>
  <c r="CG254" i="15"/>
  <c r="CH254" i="15" s="1"/>
  <c r="CG298" i="15"/>
  <c r="CH298" i="15" s="1"/>
  <c r="AP298" i="15"/>
  <c r="CG308" i="15"/>
  <c r="CH308" i="15" s="1"/>
  <c r="AP308" i="15"/>
  <c r="CG316" i="15"/>
  <c r="CH316" i="15" s="1"/>
  <c r="AP316" i="15"/>
  <c r="CG326" i="15"/>
  <c r="CH326" i="15" s="1"/>
  <c r="AP326" i="15"/>
  <c r="CG334" i="15"/>
  <c r="CH334" i="15" s="1"/>
  <c r="AP334" i="15"/>
  <c r="CG342" i="15"/>
  <c r="CH342" i="15" s="1"/>
  <c r="CG350" i="15"/>
  <c r="CH350" i="15" s="1"/>
  <c r="CG411" i="15"/>
  <c r="CH411" i="15" s="1"/>
  <c r="AP411" i="15"/>
  <c r="CG419" i="15"/>
  <c r="CH419" i="15" s="1"/>
  <c r="AP419" i="15"/>
  <c r="CG427" i="15"/>
  <c r="CH427" i="15" s="1"/>
  <c r="AP427" i="15"/>
  <c r="CG437" i="15"/>
  <c r="CH437" i="15" s="1"/>
  <c r="AP437" i="15"/>
  <c r="AP445" i="15"/>
  <c r="CG453" i="15"/>
  <c r="CH453" i="15" s="1"/>
  <c r="AP453" i="15"/>
  <c r="CG580" i="15"/>
  <c r="CH580" i="15" s="1"/>
  <c r="CG588" i="15"/>
  <c r="CH588" i="15" s="1"/>
  <c r="AP588" i="15"/>
  <c r="CG604" i="15"/>
  <c r="CH604" i="15" s="1"/>
  <c r="CG614" i="15"/>
  <c r="CH614" i="15" s="1"/>
  <c r="CG633" i="15"/>
  <c r="CH633" i="15" s="1"/>
  <c r="AP633" i="15"/>
  <c r="CG643" i="15"/>
  <c r="CH643" i="15" s="1"/>
  <c r="AP643" i="15"/>
  <c r="CG651" i="15"/>
  <c r="CH651" i="15" s="1"/>
  <c r="AP651" i="15"/>
  <c r="CG659" i="15"/>
  <c r="CH659" i="15" s="1"/>
  <c r="AP659" i="15"/>
  <c r="CG669" i="15"/>
  <c r="CH669" i="15" s="1"/>
  <c r="AP669" i="15"/>
  <c r="CG58" i="15"/>
  <c r="CH58" i="15" s="1"/>
  <c r="AP58" i="15"/>
  <c r="CG69" i="15"/>
  <c r="CH69" i="15" s="1"/>
  <c r="AP69" i="15"/>
  <c r="AP236" i="15"/>
  <c r="CG474" i="15"/>
  <c r="CH474" i="15" s="1"/>
  <c r="AP474" i="15"/>
  <c r="CG508" i="15"/>
  <c r="CH508" i="15" s="1"/>
  <c r="AP508" i="15"/>
  <c r="AP518" i="15"/>
  <c r="AP526" i="15"/>
  <c r="CG554" i="15"/>
  <c r="CH554" i="15" s="1"/>
  <c r="AP554" i="15"/>
  <c r="AP562" i="15"/>
  <c r="CG562" i="15"/>
  <c r="CH562" i="15" s="1"/>
  <c r="CG570" i="15"/>
  <c r="CH570" i="15" s="1"/>
  <c r="AP570" i="15"/>
  <c r="AP718" i="15"/>
  <c r="CG718" i="15"/>
  <c r="CH718" i="15" s="1"/>
  <c r="CG726" i="15"/>
  <c r="CH726" i="15" s="1"/>
  <c r="AP726" i="15"/>
  <c r="CG736" i="15"/>
  <c r="CH736" i="15" s="1"/>
  <c r="AP736" i="15"/>
  <c r="CG806" i="15"/>
  <c r="CH806" i="15" s="1"/>
  <c r="AP806" i="15"/>
  <c r="CG814" i="15"/>
  <c r="CH814" i="15" s="1"/>
  <c r="AP814" i="15"/>
  <c r="CG822" i="15"/>
  <c r="CH822" i="15" s="1"/>
  <c r="AP822" i="15"/>
  <c r="CG832" i="15"/>
  <c r="CH832" i="15" s="1"/>
  <c r="AP832" i="15"/>
  <c r="CG840" i="15"/>
  <c r="CH840" i="15" s="1"/>
  <c r="AP840" i="15"/>
  <c r="CG856" i="15"/>
  <c r="CH856" i="15" s="1"/>
  <c r="CG10" i="15"/>
  <c r="CH10" i="15" s="1"/>
  <c r="AP10" i="15"/>
  <c r="AP18" i="15"/>
  <c r="CG84" i="15"/>
  <c r="CH84" i="15" s="1"/>
  <c r="AP84" i="15"/>
  <c r="CG93" i="15"/>
  <c r="CH93" i="15" s="1"/>
  <c r="AP93" i="15"/>
  <c r="CG104" i="15"/>
  <c r="CH104" i="15" s="1"/>
  <c r="CG122" i="15"/>
  <c r="CH122" i="15" s="1"/>
  <c r="AP122" i="15"/>
  <c r="CG130" i="15"/>
  <c r="CH130" i="15" s="1"/>
  <c r="AP130" i="15"/>
  <c r="CG142" i="15"/>
  <c r="CH142" i="15" s="1"/>
  <c r="CG253" i="15"/>
  <c r="CH253" i="15" s="1"/>
  <c r="AP253" i="15"/>
  <c r="CG255" i="15"/>
  <c r="CH255" i="15" s="1"/>
  <c r="AP255" i="15"/>
  <c r="CG274" i="15"/>
  <c r="CH274" i="15" s="1"/>
  <c r="AP274" i="15"/>
  <c r="CG283" i="15"/>
  <c r="CH283" i="15" s="1"/>
  <c r="AP283" i="15"/>
  <c r="AP291" i="15"/>
  <c r="AP301" i="15"/>
  <c r="AP317" i="15"/>
  <c r="CG327" i="15"/>
  <c r="CH327" i="15" s="1"/>
  <c r="AP327" i="15"/>
  <c r="CG335" i="15"/>
  <c r="CH335" i="15" s="1"/>
  <c r="CG343" i="15"/>
  <c r="CH343" i="15" s="1"/>
  <c r="AP589" i="15"/>
  <c r="CG597" i="15"/>
  <c r="CH597" i="15" s="1"/>
  <c r="AH861" i="15"/>
  <c r="CE861" i="15" s="1"/>
  <c r="CF861" i="15" s="1"/>
  <c r="AK861" i="15"/>
  <c r="AL861" i="15"/>
  <c r="CB861" i="15" s="1"/>
  <c r="AL340" i="15"/>
  <c r="CB340" i="15" s="1"/>
  <c r="AK340" i="15"/>
  <c r="AL11" i="15"/>
  <c r="CB11" i="15" s="1"/>
  <c r="AK11" i="15"/>
  <c r="AK15" i="15"/>
  <c r="AL15" i="15"/>
  <c r="CB15" i="15" s="1"/>
  <c r="AK19" i="15"/>
  <c r="AL19" i="15"/>
  <c r="CB19" i="15" s="1"/>
  <c r="AK23" i="15"/>
  <c r="AL23" i="15"/>
  <c r="CB23" i="15" s="1"/>
  <c r="AK27" i="15"/>
  <c r="AL27" i="15"/>
  <c r="CB27" i="15" s="1"/>
  <c r="AK31" i="15"/>
  <c r="AL31" i="15"/>
  <c r="CB31" i="15" s="1"/>
  <c r="AH149" i="15"/>
  <c r="CE149" i="15" s="1"/>
  <c r="CF149" i="15" s="1"/>
  <c r="AL149" i="15"/>
  <c r="CB149" i="15" s="1"/>
  <c r="AK149" i="15"/>
  <c r="AH153" i="15"/>
  <c r="AI153" i="15" s="1"/>
  <c r="AL153" i="15"/>
  <c r="CB153" i="15" s="1"/>
  <c r="AK153" i="15"/>
  <c r="AH157" i="15"/>
  <c r="CE157" i="15" s="1"/>
  <c r="CF157" i="15" s="1"/>
  <c r="AL157" i="15"/>
  <c r="CB157" i="15" s="1"/>
  <c r="AK157" i="15"/>
  <c r="AH161" i="15"/>
  <c r="CE161" i="15" s="1"/>
  <c r="CF161" i="15" s="1"/>
  <c r="AL161" i="15"/>
  <c r="CB161" i="15" s="1"/>
  <c r="AK161" i="15"/>
  <c r="AH163" i="15"/>
  <c r="CE163" i="15" s="1"/>
  <c r="CF163" i="15" s="1"/>
  <c r="AK163" i="15"/>
  <c r="AL163" i="15"/>
  <c r="CB163" i="15" s="1"/>
  <c r="AH171" i="15"/>
  <c r="AI171" i="15" s="1"/>
  <c r="AK171" i="15"/>
  <c r="AL171" i="15"/>
  <c r="CB171" i="15" s="1"/>
  <c r="AH175" i="15"/>
  <c r="CE175" i="15" s="1"/>
  <c r="CF175" i="15" s="1"/>
  <c r="AK175" i="15"/>
  <c r="AL175" i="15"/>
  <c r="CB175" i="15" s="1"/>
  <c r="AH179" i="15"/>
  <c r="CE179" i="15" s="1"/>
  <c r="CF179" i="15" s="1"/>
  <c r="AK179" i="15"/>
  <c r="AL179" i="15"/>
  <c r="CB179" i="15" s="1"/>
  <c r="AH183" i="15"/>
  <c r="CE183" i="15" s="1"/>
  <c r="CF183" i="15" s="1"/>
  <c r="AK183" i="15"/>
  <c r="AL183" i="15"/>
  <c r="CB183" i="15" s="1"/>
  <c r="AH187" i="15"/>
  <c r="CE187" i="15" s="1"/>
  <c r="CF187" i="15" s="1"/>
  <c r="AK187" i="15"/>
  <c r="AL187" i="15"/>
  <c r="CB187" i="15" s="1"/>
  <c r="AH191" i="15"/>
  <c r="AI191" i="15" s="1"/>
  <c r="AK191" i="15"/>
  <c r="AL191" i="15"/>
  <c r="CB191" i="15" s="1"/>
  <c r="AH195" i="15"/>
  <c r="AI195" i="15" s="1"/>
  <c r="AK195" i="15"/>
  <c r="AL195" i="15"/>
  <c r="CB195" i="15" s="1"/>
  <c r="AH199" i="15"/>
  <c r="CE199" i="15" s="1"/>
  <c r="CF199" i="15" s="1"/>
  <c r="AL199" i="15"/>
  <c r="CB199" i="15" s="1"/>
  <c r="AK199" i="15"/>
  <c r="AH203" i="15"/>
  <c r="CE203" i="15" s="1"/>
  <c r="CF203" i="15" s="1"/>
  <c r="AK203" i="15"/>
  <c r="AL203" i="15"/>
  <c r="CB203" i="15" s="1"/>
  <c r="AH207" i="15"/>
  <c r="CE207" i="15" s="1"/>
  <c r="CF207" i="15" s="1"/>
  <c r="AL207" i="15"/>
  <c r="CB207" i="15" s="1"/>
  <c r="AK207" i="15"/>
  <c r="AH211" i="15"/>
  <c r="CE211" i="15" s="1"/>
  <c r="CF211" i="15" s="1"/>
  <c r="AK211" i="15"/>
  <c r="AL211" i="15"/>
  <c r="CB211" i="15" s="1"/>
  <c r="AH215" i="15"/>
  <c r="AI215" i="15" s="1"/>
  <c r="AL215" i="15"/>
  <c r="CB215" i="15" s="1"/>
  <c r="AK215" i="15"/>
  <c r="AL223" i="15"/>
  <c r="CB223" i="15" s="1"/>
  <c r="AK223" i="15"/>
  <c r="AH229" i="15"/>
  <c r="CE229" i="15" s="1"/>
  <c r="CF229" i="15" s="1"/>
  <c r="AL229" i="15"/>
  <c r="CB229" i="15" s="1"/>
  <c r="AK229" i="15"/>
  <c r="AH233" i="15"/>
  <c r="AI233" i="15" s="1"/>
  <c r="AK233" i="15"/>
  <c r="AL233" i="15"/>
  <c r="CB233" i="15" s="1"/>
  <c r="AH237" i="15"/>
  <c r="CE237" i="15" s="1"/>
  <c r="CF237" i="15" s="1"/>
  <c r="AL237" i="15"/>
  <c r="CB237" i="15" s="1"/>
  <c r="AK237" i="15"/>
  <c r="AH243" i="15"/>
  <c r="CE243" i="15" s="1"/>
  <c r="CF243" i="15" s="1"/>
  <c r="AK243" i="15"/>
  <c r="AL243" i="15"/>
  <c r="CB243" i="15" s="1"/>
  <c r="AH247" i="15"/>
  <c r="CE247" i="15" s="1"/>
  <c r="CF247" i="15" s="1"/>
  <c r="AK247" i="15"/>
  <c r="AL247" i="15"/>
  <c r="CB247" i="15" s="1"/>
  <c r="AH475" i="15"/>
  <c r="CE475" i="15" s="1"/>
  <c r="CF475" i="15" s="1"/>
  <c r="AL475" i="15"/>
  <c r="CB475" i="15" s="1"/>
  <c r="AK475" i="15"/>
  <c r="AH483" i="15"/>
  <c r="CE483" i="15" s="1"/>
  <c r="CF483" i="15" s="1"/>
  <c r="AK483" i="15"/>
  <c r="AL483" i="15"/>
  <c r="CB483" i="15" s="1"/>
  <c r="AH487" i="15"/>
  <c r="CE487" i="15" s="1"/>
  <c r="CF487" i="15" s="1"/>
  <c r="AL487" i="15"/>
  <c r="CB487" i="15" s="1"/>
  <c r="AK487" i="15"/>
  <c r="AH495" i="15"/>
  <c r="CE495" i="15" s="1"/>
  <c r="CF495" i="15" s="1"/>
  <c r="AL495" i="15"/>
  <c r="CB495" i="15" s="1"/>
  <c r="AK495" i="15"/>
  <c r="AH499" i="15"/>
  <c r="CE499" i="15" s="1"/>
  <c r="CF499" i="15" s="1"/>
  <c r="AL499" i="15"/>
  <c r="CB499" i="15" s="1"/>
  <c r="AK499" i="15"/>
  <c r="AH503" i="15"/>
  <c r="CE503" i="15" s="1"/>
  <c r="CF503" i="15" s="1"/>
  <c r="AL503" i="15"/>
  <c r="CB503" i="15" s="1"/>
  <c r="AK503" i="15"/>
  <c r="AH507" i="15"/>
  <c r="CE507" i="15" s="1"/>
  <c r="CF507" i="15" s="1"/>
  <c r="AL507" i="15"/>
  <c r="CB507" i="15" s="1"/>
  <c r="AK507" i="15"/>
  <c r="AH511" i="15"/>
  <c r="CE511" i="15" s="1"/>
  <c r="CF511" i="15" s="1"/>
  <c r="AL511" i="15"/>
  <c r="CB511" i="15" s="1"/>
  <c r="AK511" i="15"/>
  <c r="AK515" i="15"/>
  <c r="AL515" i="15"/>
  <c r="CB515" i="15" s="1"/>
  <c r="AL519" i="15"/>
  <c r="CB519" i="15" s="1"/>
  <c r="AK519" i="15"/>
  <c r="AK523" i="15"/>
  <c r="AL523" i="15"/>
  <c r="CB523" i="15" s="1"/>
  <c r="AL527" i="15"/>
  <c r="CB527" i="15" s="1"/>
  <c r="AK527" i="15"/>
  <c r="AH533" i="15"/>
  <c r="CE533" i="15" s="1"/>
  <c r="CF533" i="15" s="1"/>
  <c r="AL533" i="15"/>
  <c r="CB533" i="15" s="1"/>
  <c r="AK533" i="15"/>
  <c r="AH537" i="15"/>
  <c r="CE537" i="15" s="1"/>
  <c r="CF537" i="15" s="1"/>
  <c r="AL537" i="15"/>
  <c r="CB537" i="15" s="1"/>
  <c r="AK537" i="15"/>
  <c r="AH541" i="15"/>
  <c r="CE541" i="15" s="1"/>
  <c r="CF541" i="15" s="1"/>
  <c r="AL541" i="15"/>
  <c r="CB541" i="15" s="1"/>
  <c r="AK541" i="15"/>
  <c r="AH545" i="15"/>
  <c r="CE545" i="15" s="1"/>
  <c r="CF545" i="15" s="1"/>
  <c r="AL545" i="15"/>
  <c r="CB545" i="15" s="1"/>
  <c r="AK545" i="15"/>
  <c r="AH551" i="15"/>
  <c r="AI551" i="15" s="1"/>
  <c r="AL551" i="15"/>
  <c r="CB551" i="15" s="1"/>
  <c r="AK551" i="15"/>
  <c r="AH717" i="15"/>
  <c r="CE717" i="15" s="1"/>
  <c r="CF717" i="15" s="1"/>
  <c r="AL717" i="15"/>
  <c r="CB717" i="15" s="1"/>
  <c r="AK717" i="15"/>
  <c r="AH721" i="15"/>
  <c r="CE721" i="15" s="1"/>
  <c r="CF721" i="15" s="1"/>
  <c r="AL721" i="15"/>
  <c r="CB721" i="15" s="1"/>
  <c r="AK721" i="15"/>
  <c r="AH725" i="15"/>
  <c r="CE725" i="15" s="1"/>
  <c r="CF725" i="15" s="1"/>
  <c r="AL725" i="15"/>
  <c r="CB725" i="15" s="1"/>
  <c r="AK725" i="15"/>
  <c r="AH729" i="15"/>
  <c r="AI729" i="15" s="1"/>
  <c r="AL729" i="15"/>
  <c r="CB729" i="15" s="1"/>
  <c r="AK729" i="15"/>
  <c r="AK733" i="15"/>
  <c r="AL733" i="15"/>
  <c r="CB733" i="15" s="1"/>
  <c r="AH737" i="15"/>
  <c r="CE737" i="15" s="1"/>
  <c r="CF737" i="15" s="1"/>
  <c r="AK737" i="15"/>
  <c r="AL737" i="15"/>
  <c r="CB737" i="15" s="1"/>
  <c r="AL741" i="15"/>
  <c r="CB741" i="15" s="1"/>
  <c r="AK741" i="15"/>
  <c r="AH745" i="15"/>
  <c r="CE745" i="15" s="1"/>
  <c r="CF745" i="15" s="1"/>
  <c r="AK745" i="15"/>
  <c r="AL745" i="15"/>
  <c r="CB745" i="15" s="1"/>
  <c r="AL749" i="15"/>
  <c r="CB749" i="15" s="1"/>
  <c r="AK749" i="15"/>
  <c r="AL757" i="15"/>
  <c r="CB757" i="15" s="1"/>
  <c r="AK757" i="15"/>
  <c r="AL761" i="15"/>
  <c r="CB761" i="15" s="1"/>
  <c r="AK761" i="15"/>
  <c r="AH799" i="15"/>
  <c r="CE799" i="15" s="1"/>
  <c r="CF799" i="15" s="1"/>
  <c r="AL799" i="15"/>
  <c r="CB799" i="15" s="1"/>
  <c r="AK799" i="15"/>
  <c r="AH803" i="15"/>
  <c r="CE803" i="15" s="1"/>
  <c r="CF803" i="15" s="1"/>
  <c r="AL803" i="15"/>
  <c r="CB803" i="15" s="1"/>
  <c r="AK803" i="15"/>
  <c r="AH807" i="15"/>
  <c r="AI807" i="15" s="1"/>
  <c r="AL807" i="15"/>
  <c r="CB807" i="15" s="1"/>
  <c r="AK807" i="15"/>
  <c r="AH811" i="15"/>
  <c r="CE811" i="15" s="1"/>
  <c r="CF811" i="15" s="1"/>
  <c r="AL811" i="15"/>
  <c r="CB811" i="15" s="1"/>
  <c r="AK811" i="15"/>
  <c r="AH813" i="15"/>
  <c r="AI813" i="15" s="1"/>
  <c r="AL813" i="15"/>
  <c r="CB813" i="15" s="1"/>
  <c r="AK813" i="15"/>
  <c r="AH817" i="15"/>
  <c r="CE817" i="15" s="1"/>
  <c r="CF817" i="15" s="1"/>
  <c r="AL817" i="15"/>
  <c r="CB817" i="15" s="1"/>
  <c r="AK817" i="15"/>
  <c r="AH821" i="15"/>
  <c r="CE821" i="15" s="1"/>
  <c r="CF821" i="15" s="1"/>
  <c r="AL821" i="15"/>
  <c r="CB821" i="15" s="1"/>
  <c r="AK821" i="15"/>
  <c r="AH825" i="15"/>
  <c r="CE825" i="15" s="1"/>
  <c r="CF825" i="15" s="1"/>
  <c r="AL825" i="15"/>
  <c r="CB825" i="15" s="1"/>
  <c r="AK825" i="15"/>
  <c r="AK857" i="15"/>
  <c r="AL857" i="15"/>
  <c r="CB857" i="15" s="1"/>
  <c r="AH37" i="15"/>
  <c r="CE37" i="15" s="1"/>
  <c r="CF37" i="15" s="1"/>
  <c r="AK37" i="15"/>
  <c r="AL37" i="15"/>
  <c r="CB37" i="15" s="1"/>
  <c r="AK46" i="15"/>
  <c r="AL46" i="15"/>
  <c r="CB46" i="15" s="1"/>
  <c r="AK50" i="15"/>
  <c r="AL50" i="15"/>
  <c r="CB50" i="15" s="1"/>
  <c r="AK54" i="15"/>
  <c r="AL54" i="15"/>
  <c r="CB54" i="15" s="1"/>
  <c r="AK58" i="15"/>
  <c r="AL58" i="15"/>
  <c r="CB58" i="15" s="1"/>
  <c r="AK62" i="15"/>
  <c r="AL62" i="15"/>
  <c r="CB62" i="15" s="1"/>
  <c r="AH67" i="15"/>
  <c r="CE67" i="15" s="1"/>
  <c r="CF67" i="15" s="1"/>
  <c r="AK67" i="15"/>
  <c r="AL67" i="15"/>
  <c r="CB67" i="15" s="1"/>
  <c r="AK71" i="15"/>
  <c r="AL71" i="15"/>
  <c r="CB71" i="15" s="1"/>
  <c r="AK75" i="15"/>
  <c r="AL75" i="15"/>
  <c r="CB75" i="15" s="1"/>
  <c r="AK79" i="15"/>
  <c r="AL79" i="15"/>
  <c r="CB79" i="15" s="1"/>
  <c r="AK87" i="15"/>
  <c r="AL87" i="15"/>
  <c r="CB87" i="15" s="1"/>
  <c r="AK91" i="15"/>
  <c r="AL91" i="15"/>
  <c r="CB91" i="15" s="1"/>
  <c r="AK95" i="15"/>
  <c r="AL95" i="15"/>
  <c r="CB95" i="15" s="1"/>
  <c r="AH99" i="15"/>
  <c r="AI99" i="15" s="1"/>
  <c r="AK99" i="15"/>
  <c r="AL99" i="15"/>
  <c r="CB99" i="15" s="1"/>
  <c r="AH103" i="15"/>
  <c r="CE103" i="15" s="1"/>
  <c r="CF103" i="15" s="1"/>
  <c r="AK103" i="15"/>
  <c r="AL103" i="15"/>
  <c r="CB103" i="15" s="1"/>
  <c r="AH107" i="15"/>
  <c r="AI107" i="15" s="1"/>
  <c r="AK107" i="15"/>
  <c r="AL107" i="15"/>
  <c r="CB107" i="15" s="1"/>
  <c r="AH111" i="15"/>
  <c r="CE111" i="15" s="1"/>
  <c r="CF111" i="15" s="1"/>
  <c r="AK111" i="15"/>
  <c r="AL111" i="15"/>
  <c r="CB111" i="15" s="1"/>
  <c r="AH115" i="15"/>
  <c r="CE115" i="15" s="1"/>
  <c r="CF115" i="15" s="1"/>
  <c r="AK115" i="15"/>
  <c r="AL115" i="15"/>
  <c r="CB115" i="15" s="1"/>
  <c r="AH119" i="15"/>
  <c r="CE119" i="15" s="1"/>
  <c r="CF119" i="15" s="1"/>
  <c r="AK119" i="15"/>
  <c r="AL119" i="15"/>
  <c r="CB119" i="15" s="1"/>
  <c r="AH123" i="15"/>
  <c r="AI123" i="15" s="1"/>
  <c r="AK123" i="15"/>
  <c r="AL123" i="15"/>
  <c r="CB123" i="15" s="1"/>
  <c r="AH127" i="15"/>
  <c r="CE127" i="15" s="1"/>
  <c r="CF127" i="15" s="1"/>
  <c r="AK127" i="15"/>
  <c r="AL127" i="15"/>
  <c r="CB127" i="15" s="1"/>
  <c r="AH133" i="15"/>
  <c r="AI133" i="15" s="1"/>
  <c r="AK133" i="15"/>
  <c r="AL133" i="15"/>
  <c r="CB133" i="15" s="1"/>
  <c r="AH137" i="15"/>
  <c r="CE137" i="15" s="1"/>
  <c r="CF137" i="15" s="1"/>
  <c r="AK137" i="15"/>
  <c r="AL137" i="15"/>
  <c r="CB137" i="15" s="1"/>
  <c r="AH139" i="15"/>
  <c r="CE139" i="15" s="1"/>
  <c r="CF139" i="15" s="1"/>
  <c r="AK139" i="15"/>
  <c r="AL139" i="15"/>
  <c r="CB139" i="15" s="1"/>
  <c r="AH254" i="15"/>
  <c r="CE254" i="15" s="1"/>
  <c r="CF254" i="15" s="1"/>
  <c r="AK254" i="15"/>
  <c r="AL254" i="15"/>
  <c r="CB254" i="15" s="1"/>
  <c r="AH258" i="15"/>
  <c r="CE258" i="15" s="1"/>
  <c r="CF258" i="15" s="1"/>
  <c r="AK258" i="15"/>
  <c r="AL258" i="15"/>
  <c r="CB258" i="15" s="1"/>
  <c r="AH262" i="15"/>
  <c r="CE262" i="15" s="1"/>
  <c r="CF262" i="15" s="1"/>
  <c r="AK262" i="15"/>
  <c r="AL262" i="15"/>
  <c r="CB262" i="15" s="1"/>
  <c r="AH266" i="15"/>
  <c r="AI266" i="15" s="1"/>
  <c r="AL266" i="15"/>
  <c r="CB266" i="15" s="1"/>
  <c r="AK266" i="15"/>
  <c r="AH275" i="15"/>
  <c r="CE275" i="15" s="1"/>
  <c r="CF275" i="15" s="1"/>
  <c r="AL275" i="15"/>
  <c r="CB275" i="15" s="1"/>
  <c r="AK275" i="15"/>
  <c r="AH278" i="15"/>
  <c r="CE278" i="15" s="1"/>
  <c r="CF278" i="15" s="1"/>
  <c r="AL278" i="15"/>
  <c r="CB278" i="15" s="1"/>
  <c r="AK278" i="15"/>
  <c r="AH282" i="15"/>
  <c r="CE282" i="15" s="1"/>
  <c r="CF282" i="15" s="1"/>
  <c r="AL282" i="15"/>
  <c r="CB282" i="15" s="1"/>
  <c r="AK282" i="15"/>
  <c r="AH286" i="15"/>
  <c r="CE286" i="15" s="1"/>
  <c r="CF286" i="15" s="1"/>
  <c r="AL286" i="15"/>
  <c r="CB286" i="15" s="1"/>
  <c r="AK286" i="15"/>
  <c r="AH290" i="15"/>
  <c r="CE290" i="15" s="1"/>
  <c r="CF290" i="15" s="1"/>
  <c r="AL290" i="15"/>
  <c r="CB290" i="15" s="1"/>
  <c r="AK290" i="15"/>
  <c r="AH294" i="15"/>
  <c r="CE294" i="15" s="1"/>
  <c r="CF294" i="15" s="1"/>
  <c r="AL294" i="15"/>
  <c r="CB294" i="15" s="1"/>
  <c r="AK294" i="15"/>
  <c r="AH298" i="15"/>
  <c r="CE298" i="15" s="1"/>
  <c r="CF298" i="15" s="1"/>
  <c r="AL298" i="15"/>
  <c r="CB298" i="15" s="1"/>
  <c r="AK298" i="15"/>
  <c r="AH302" i="15"/>
  <c r="CE302" i="15" s="1"/>
  <c r="CF302" i="15" s="1"/>
  <c r="AK302" i="15"/>
  <c r="AL302" i="15"/>
  <c r="CB302" i="15" s="1"/>
  <c r="AH306" i="15"/>
  <c r="CE306" i="15" s="1"/>
  <c r="CF306" i="15" s="1"/>
  <c r="AK306" i="15"/>
  <c r="AL306" i="15"/>
  <c r="CB306" i="15" s="1"/>
  <c r="AH310" i="15"/>
  <c r="CE310" i="15" s="1"/>
  <c r="CF310" i="15" s="1"/>
  <c r="AK310" i="15"/>
  <c r="AL310" i="15"/>
  <c r="CB310" i="15" s="1"/>
  <c r="AH314" i="15"/>
  <c r="AI314" i="15" s="1"/>
  <c r="AK314" i="15"/>
  <c r="AL314" i="15"/>
  <c r="CB314" i="15" s="1"/>
  <c r="AH318" i="15"/>
  <c r="CE318" i="15" s="1"/>
  <c r="CF318" i="15" s="1"/>
  <c r="AK318" i="15"/>
  <c r="AL318" i="15"/>
  <c r="CB318" i="15" s="1"/>
  <c r="AH322" i="15"/>
  <c r="CE322" i="15" s="1"/>
  <c r="CF322" i="15" s="1"/>
  <c r="AK322" i="15"/>
  <c r="AL322" i="15"/>
  <c r="CB322" i="15" s="1"/>
  <c r="AL342" i="15"/>
  <c r="CB342" i="15" s="1"/>
  <c r="AK342" i="15"/>
  <c r="AL344" i="15"/>
  <c r="CB344" i="15" s="1"/>
  <c r="AK344" i="15"/>
  <c r="AL346" i="15"/>
  <c r="CB346" i="15" s="1"/>
  <c r="AK346" i="15"/>
  <c r="AL348" i="15"/>
  <c r="CB348" i="15" s="1"/>
  <c r="AK348" i="15"/>
  <c r="AH350" i="15"/>
  <c r="CE350" i="15" s="1"/>
  <c r="CF350" i="15" s="1"/>
  <c r="AL350" i="15"/>
  <c r="CB350" i="15" s="1"/>
  <c r="AK350" i="15"/>
  <c r="AL352" i="15"/>
  <c r="CB352" i="15" s="1"/>
  <c r="AK352" i="15"/>
  <c r="AL354" i="15"/>
  <c r="CB354" i="15" s="1"/>
  <c r="AK354" i="15"/>
  <c r="AL356" i="15"/>
  <c r="CB356" i="15" s="1"/>
  <c r="AK356" i="15"/>
  <c r="AL358" i="15"/>
  <c r="CB358" i="15" s="1"/>
  <c r="AK358" i="15"/>
  <c r="AL360" i="15"/>
  <c r="CB360" i="15" s="1"/>
  <c r="AK360" i="15"/>
  <c r="AL362" i="15"/>
  <c r="CB362" i="15" s="1"/>
  <c r="AK362" i="15"/>
  <c r="AL364" i="15"/>
  <c r="CB364" i="15" s="1"/>
  <c r="AK364" i="15"/>
  <c r="AL368" i="15"/>
  <c r="CB368" i="15" s="1"/>
  <c r="AK368" i="15"/>
  <c r="AL374" i="15"/>
  <c r="CB374" i="15" s="1"/>
  <c r="AK374" i="15"/>
  <c r="AH378" i="15"/>
  <c r="CE378" i="15" s="1"/>
  <c r="CF378" i="15" s="1"/>
  <c r="AL378" i="15"/>
  <c r="CB378" i="15" s="1"/>
  <c r="AK378" i="15"/>
  <c r="AH383" i="15"/>
  <c r="AI383" i="15" s="1"/>
  <c r="AL383" i="15"/>
  <c r="CB383" i="15" s="1"/>
  <c r="AK383" i="15"/>
  <c r="AH387" i="15"/>
  <c r="AI387" i="15" s="1"/>
  <c r="AL387" i="15"/>
  <c r="CB387" i="15" s="1"/>
  <c r="AK387" i="15"/>
  <c r="AL391" i="15"/>
  <c r="CB391" i="15" s="1"/>
  <c r="AK391" i="15"/>
  <c r="AH395" i="15"/>
  <c r="AI395" i="15" s="1"/>
  <c r="AL395" i="15"/>
  <c r="CB395" i="15" s="1"/>
  <c r="AK395" i="15"/>
  <c r="AL399" i="15"/>
  <c r="CB399" i="15" s="1"/>
  <c r="AK399" i="15"/>
  <c r="AL405" i="15"/>
  <c r="CB405" i="15" s="1"/>
  <c r="AK405" i="15"/>
  <c r="AH411" i="15"/>
  <c r="CE411" i="15" s="1"/>
  <c r="CF411" i="15" s="1"/>
  <c r="AL411" i="15"/>
  <c r="CB411" i="15" s="1"/>
  <c r="AK411" i="15"/>
  <c r="AH415" i="15"/>
  <c r="CE415" i="15" s="1"/>
  <c r="CF415" i="15" s="1"/>
  <c r="AK415" i="15"/>
  <c r="AL415" i="15"/>
  <c r="CB415" i="15" s="1"/>
  <c r="AH419" i="15"/>
  <c r="CE419" i="15" s="1"/>
  <c r="CF419" i="15" s="1"/>
  <c r="AK419" i="15"/>
  <c r="AL419" i="15"/>
  <c r="CB419" i="15" s="1"/>
  <c r="AH423" i="15"/>
  <c r="CE423" i="15" s="1"/>
  <c r="CF423" i="15" s="1"/>
  <c r="AK423" i="15"/>
  <c r="AL423" i="15"/>
  <c r="CB423" i="15" s="1"/>
  <c r="AH427" i="15"/>
  <c r="CE427" i="15" s="1"/>
  <c r="CF427" i="15" s="1"/>
  <c r="AK427" i="15"/>
  <c r="AL427" i="15"/>
  <c r="CB427" i="15" s="1"/>
  <c r="AH431" i="15"/>
  <c r="AI431" i="15" s="1"/>
  <c r="AL431" i="15"/>
  <c r="CB431" i="15" s="1"/>
  <c r="AK431" i="15"/>
  <c r="AL433" i="15"/>
  <c r="CB433" i="15" s="1"/>
  <c r="AK433" i="15"/>
  <c r="AH435" i="15"/>
  <c r="CE435" i="15" s="1"/>
  <c r="CF435" i="15" s="1"/>
  <c r="AL435" i="15"/>
  <c r="CB435" i="15" s="1"/>
  <c r="AK435" i="15"/>
  <c r="AH437" i="15"/>
  <c r="AI437" i="15" s="1"/>
  <c r="AL437" i="15"/>
  <c r="CB437" i="15" s="1"/>
  <c r="AK437" i="15"/>
  <c r="AH439" i="15"/>
  <c r="CE439" i="15" s="1"/>
  <c r="CF439" i="15" s="1"/>
  <c r="AL439" i="15"/>
  <c r="CB439" i="15" s="1"/>
  <c r="AK439" i="15"/>
  <c r="AL441" i="15"/>
  <c r="CB441" i="15" s="1"/>
  <c r="AK441" i="15"/>
  <c r="AH443" i="15"/>
  <c r="CE443" i="15" s="1"/>
  <c r="CF443" i="15" s="1"/>
  <c r="AL443" i="15"/>
  <c r="CB443" i="15" s="1"/>
  <c r="AK443" i="15"/>
  <c r="AH445" i="15"/>
  <c r="CE445" i="15" s="1"/>
  <c r="CF445" i="15" s="1"/>
  <c r="AL445" i="15"/>
  <c r="CB445" i="15" s="1"/>
  <c r="AK445" i="15"/>
  <c r="AH447" i="15"/>
  <c r="CE447" i="15" s="1"/>
  <c r="CF447" i="15" s="1"/>
  <c r="AL447" i="15"/>
  <c r="CB447" i="15" s="1"/>
  <c r="AK447" i="15"/>
  <c r="AH449" i="15"/>
  <c r="CE449" i="15" s="1"/>
  <c r="CF449" i="15" s="1"/>
  <c r="AL449" i="15"/>
  <c r="CB449" i="15" s="1"/>
  <c r="AK449" i="15"/>
  <c r="AH451" i="15"/>
  <c r="CE451" i="15" s="1"/>
  <c r="CF451" i="15" s="1"/>
  <c r="AL451" i="15"/>
  <c r="CB451" i="15" s="1"/>
  <c r="AK451" i="15"/>
  <c r="AH453" i="15"/>
  <c r="CE453" i="15" s="1"/>
  <c r="CF453" i="15" s="1"/>
  <c r="AL453" i="15"/>
  <c r="CB453" i="15" s="1"/>
  <c r="AK453" i="15"/>
  <c r="AH457" i="15"/>
  <c r="CE457" i="15" s="1"/>
  <c r="CF457" i="15" s="1"/>
  <c r="AK457" i="15"/>
  <c r="AL457" i="15"/>
  <c r="CB457" i="15" s="1"/>
  <c r="AK459" i="15"/>
  <c r="AL459" i="15"/>
  <c r="CB459" i="15" s="1"/>
  <c r="AK461" i="15"/>
  <c r="AL461" i="15"/>
  <c r="CB461" i="15" s="1"/>
  <c r="AH465" i="15"/>
  <c r="CE465" i="15" s="1"/>
  <c r="CF465" i="15" s="1"/>
  <c r="AK465" i="15"/>
  <c r="AL465" i="15"/>
  <c r="CB465" i="15" s="1"/>
  <c r="AK469" i="15"/>
  <c r="AL469" i="15"/>
  <c r="CB469" i="15" s="1"/>
  <c r="AL580" i="15"/>
  <c r="CB580" i="15" s="1"/>
  <c r="AK580" i="15"/>
  <c r="AK582" i="15"/>
  <c r="AL582" i="15"/>
  <c r="CB582" i="15" s="1"/>
  <c r="AK584" i="15"/>
  <c r="AL584" i="15"/>
  <c r="CB584" i="15" s="1"/>
  <c r="AK586" i="15"/>
  <c r="AL586" i="15"/>
  <c r="CB586" i="15" s="1"/>
  <c r="AL588" i="15"/>
  <c r="CB588" i="15" s="1"/>
  <c r="AK588" i="15"/>
  <c r="AH590" i="15"/>
  <c r="AI590" i="15" s="1"/>
  <c r="AL590" i="15"/>
  <c r="CB590" i="15" s="1"/>
  <c r="AK590" i="15"/>
  <c r="AK592" i="15"/>
  <c r="AL592" i="15"/>
  <c r="CB592" i="15" s="1"/>
  <c r="AK594" i="15"/>
  <c r="AL594" i="15"/>
  <c r="CB594" i="15" s="1"/>
  <c r="AL596" i="15"/>
  <c r="CB596" i="15" s="1"/>
  <c r="AK596" i="15"/>
  <c r="AK598" i="15"/>
  <c r="AL598" i="15"/>
  <c r="CB598" i="15" s="1"/>
  <c r="AK600" i="15"/>
  <c r="AL600" i="15"/>
  <c r="CB600" i="15" s="1"/>
  <c r="AK602" i="15"/>
  <c r="AL602" i="15"/>
  <c r="CB602" i="15" s="1"/>
  <c r="AL604" i="15"/>
  <c r="CB604" i="15" s="1"/>
  <c r="AK604" i="15"/>
  <c r="AK606" i="15"/>
  <c r="AL606" i="15"/>
  <c r="CB606" i="15" s="1"/>
  <c r="AH614" i="15"/>
  <c r="CE614" i="15" s="1"/>
  <c r="CF614" i="15" s="1"/>
  <c r="AL614" i="15"/>
  <c r="CB614" i="15" s="1"/>
  <c r="AK614" i="15"/>
  <c r="AH618" i="15"/>
  <c r="CE618" i="15" s="1"/>
  <c r="CF618" i="15" s="1"/>
  <c r="AL618" i="15"/>
  <c r="CB618" i="15" s="1"/>
  <c r="AK618" i="15"/>
  <c r="AH622" i="15"/>
  <c r="AI622" i="15" s="1"/>
  <c r="AL622" i="15"/>
  <c r="CB622" i="15" s="1"/>
  <c r="AK622" i="15"/>
  <c r="AH626" i="15"/>
  <c r="AI626" i="15" s="1"/>
  <c r="AK626" i="15"/>
  <c r="AL626" i="15"/>
  <c r="CB626" i="15" s="1"/>
  <c r="AH631" i="15"/>
  <c r="CE631" i="15" s="1"/>
  <c r="CF631" i="15" s="1"/>
  <c r="AL631" i="15"/>
  <c r="CB631" i="15" s="1"/>
  <c r="AK631" i="15"/>
  <c r="AH635" i="15"/>
  <c r="CE635" i="15" s="1"/>
  <c r="CF635" i="15" s="1"/>
  <c r="AL635" i="15"/>
  <c r="CB635" i="15" s="1"/>
  <c r="AK635" i="15"/>
  <c r="AH639" i="15"/>
  <c r="AI639" i="15" s="1"/>
  <c r="AL639" i="15"/>
  <c r="CB639" i="15" s="1"/>
  <c r="AK639" i="15"/>
  <c r="AK643" i="15"/>
  <c r="AL643" i="15"/>
  <c r="CB643" i="15" s="1"/>
  <c r="AH647" i="15"/>
  <c r="CE647" i="15" s="1"/>
  <c r="CF647" i="15" s="1"/>
  <c r="AL647" i="15"/>
  <c r="CB647" i="15" s="1"/>
  <c r="AK647" i="15"/>
  <c r="AK651" i="15"/>
  <c r="AL651" i="15"/>
  <c r="CB651" i="15" s="1"/>
  <c r="AL655" i="15"/>
  <c r="CB655" i="15" s="1"/>
  <c r="AK655" i="15"/>
  <c r="AK659" i="15"/>
  <c r="AL659" i="15"/>
  <c r="CB659" i="15" s="1"/>
  <c r="AH663" i="15"/>
  <c r="CE663" i="15" s="1"/>
  <c r="CF663" i="15" s="1"/>
  <c r="AK663" i="15"/>
  <c r="AL663" i="15"/>
  <c r="CB663" i="15" s="1"/>
  <c r="AL669" i="15"/>
  <c r="CB669" i="15" s="1"/>
  <c r="AK669" i="15"/>
  <c r="AL671" i="15"/>
  <c r="CB671" i="15" s="1"/>
  <c r="AK671" i="15"/>
  <c r="AL673" i="15"/>
  <c r="CB673" i="15" s="1"/>
  <c r="AK673" i="15"/>
  <c r="AL675" i="15"/>
  <c r="CB675" i="15" s="1"/>
  <c r="AK675" i="15"/>
  <c r="AL677" i="15"/>
  <c r="CB677" i="15" s="1"/>
  <c r="AK677" i="15"/>
  <c r="AL681" i="15"/>
  <c r="CB681" i="15" s="1"/>
  <c r="AK681" i="15"/>
  <c r="AL683" i="15"/>
  <c r="CB683" i="15" s="1"/>
  <c r="AK683" i="15"/>
  <c r="AH685" i="15"/>
  <c r="AI685" i="15" s="1"/>
  <c r="AL685" i="15"/>
  <c r="CB685" i="15" s="1"/>
  <c r="AK685" i="15"/>
  <c r="AH689" i="15"/>
  <c r="AI689" i="15" s="1"/>
  <c r="AK689" i="15"/>
  <c r="AL689" i="15"/>
  <c r="CB689" i="15" s="1"/>
  <c r="AH691" i="15"/>
  <c r="CE691" i="15" s="1"/>
  <c r="CF691" i="15" s="1"/>
  <c r="AL691" i="15"/>
  <c r="CB691" i="15" s="1"/>
  <c r="AK691" i="15"/>
  <c r="AH693" i="15"/>
  <c r="CE693" i="15" s="1"/>
  <c r="CF693" i="15" s="1"/>
  <c r="AK693" i="15"/>
  <c r="AL693" i="15"/>
  <c r="CB693" i="15" s="1"/>
  <c r="AH695" i="15"/>
  <c r="AI695" i="15" s="1"/>
  <c r="AL695" i="15"/>
  <c r="CB695" i="15" s="1"/>
  <c r="AK695" i="15"/>
  <c r="AH697" i="15"/>
  <c r="CE697" i="15" s="1"/>
  <c r="CF697" i="15" s="1"/>
  <c r="AL697" i="15"/>
  <c r="CB697" i="15" s="1"/>
  <c r="AK697" i="15"/>
  <c r="AH699" i="15"/>
  <c r="CE699" i="15" s="1"/>
  <c r="CF699" i="15" s="1"/>
  <c r="AK699" i="15"/>
  <c r="AL699" i="15"/>
  <c r="CB699" i="15" s="1"/>
  <c r="AH701" i="15"/>
  <c r="CE701" i="15" s="1"/>
  <c r="CF701" i="15" s="1"/>
  <c r="AK701" i="15"/>
  <c r="AL701" i="15"/>
  <c r="CB701" i="15" s="1"/>
  <c r="AH703" i="15"/>
  <c r="AI703" i="15" s="1"/>
  <c r="AL703" i="15"/>
  <c r="CB703" i="15" s="1"/>
  <c r="AK703" i="15"/>
  <c r="AH705" i="15"/>
  <c r="CE705" i="15" s="1"/>
  <c r="CF705" i="15" s="1"/>
  <c r="AL705" i="15"/>
  <c r="CB705" i="15" s="1"/>
  <c r="AK705" i="15"/>
  <c r="AH707" i="15"/>
  <c r="CE707" i="15" s="1"/>
  <c r="CF707" i="15" s="1"/>
  <c r="AK707" i="15"/>
  <c r="AL707" i="15"/>
  <c r="CB707" i="15" s="1"/>
  <c r="AH709" i="15"/>
  <c r="CE709" i="15" s="1"/>
  <c r="CF709" i="15" s="1"/>
  <c r="AK709" i="15"/>
  <c r="AL709" i="15"/>
  <c r="CB709" i="15" s="1"/>
  <c r="AH711" i="15"/>
  <c r="CE711" i="15" s="1"/>
  <c r="CF711" i="15" s="1"/>
  <c r="AL711" i="15"/>
  <c r="CB711" i="15" s="1"/>
  <c r="AK711" i="15"/>
  <c r="AH10" i="15"/>
  <c r="CE10" i="15" s="1"/>
  <c r="CF10" i="15" s="1"/>
  <c r="AL10" i="15"/>
  <c r="CB10" i="15" s="1"/>
  <c r="AK10" i="15"/>
  <c r="AH12" i="15"/>
  <c r="CE12" i="15" s="1"/>
  <c r="CF12" i="15" s="1"/>
  <c r="AL12" i="15"/>
  <c r="CB12" i="15" s="1"/>
  <c r="AK12" i="15"/>
  <c r="AH14" i="15"/>
  <c r="CE14" i="15" s="1"/>
  <c r="CF14" i="15" s="1"/>
  <c r="AL14" i="15"/>
  <c r="CB14" i="15" s="1"/>
  <c r="AK14" i="15"/>
  <c r="AH16" i="15"/>
  <c r="AI16" i="15" s="1"/>
  <c r="AK16" i="15"/>
  <c r="AL16" i="15"/>
  <c r="CB16" i="15" s="1"/>
  <c r="AH18" i="15"/>
  <c r="CE18" i="15" s="1"/>
  <c r="CF18" i="15" s="1"/>
  <c r="AK18" i="15"/>
  <c r="AL18" i="15"/>
  <c r="CB18" i="15" s="1"/>
  <c r="AH20" i="15"/>
  <c r="CE20" i="15" s="1"/>
  <c r="CF20" i="15" s="1"/>
  <c r="AK20" i="15"/>
  <c r="AL20" i="15"/>
  <c r="CB20" i="15" s="1"/>
  <c r="AH22" i="15"/>
  <c r="CE22" i="15" s="1"/>
  <c r="CF22" i="15" s="1"/>
  <c r="AK22" i="15"/>
  <c r="AL22" i="15"/>
  <c r="CB22" i="15" s="1"/>
  <c r="AH24" i="15"/>
  <c r="CE24" i="15" s="1"/>
  <c r="CF24" i="15" s="1"/>
  <c r="AK24" i="15"/>
  <c r="AL24" i="15"/>
  <c r="CB24" i="15" s="1"/>
  <c r="AH26" i="15"/>
  <c r="CE26" i="15" s="1"/>
  <c r="CF26" i="15" s="1"/>
  <c r="AK26" i="15"/>
  <c r="AL26" i="15"/>
  <c r="CB26" i="15" s="1"/>
  <c r="AH28" i="15"/>
  <c r="CE28" i="15" s="1"/>
  <c r="CF28" i="15" s="1"/>
  <c r="AK28" i="15"/>
  <c r="AL28" i="15"/>
  <c r="CB28" i="15" s="1"/>
  <c r="AH30" i="15"/>
  <c r="CE30" i="15" s="1"/>
  <c r="CF30" i="15" s="1"/>
  <c r="AK30" i="15"/>
  <c r="AL30" i="15"/>
  <c r="CB30" i="15" s="1"/>
  <c r="AH32" i="15"/>
  <c r="CE32" i="15" s="1"/>
  <c r="CF32" i="15" s="1"/>
  <c r="AK32" i="15"/>
  <c r="AL32" i="15"/>
  <c r="CB32" i="15" s="1"/>
  <c r="AK146" i="15"/>
  <c r="AL146" i="15"/>
  <c r="CB146" i="15" s="1"/>
  <c r="AH148" i="15"/>
  <c r="CE148" i="15" s="1"/>
  <c r="CF148" i="15" s="1"/>
  <c r="AK148" i="15"/>
  <c r="AL148" i="15"/>
  <c r="CB148" i="15" s="1"/>
  <c r="AK150" i="15"/>
  <c r="AL150" i="15"/>
  <c r="CB150" i="15" s="1"/>
  <c r="AH152" i="15"/>
  <c r="CE152" i="15" s="1"/>
  <c r="CF152" i="15" s="1"/>
  <c r="AK152" i="15"/>
  <c r="AL152" i="15"/>
  <c r="CB152" i="15" s="1"/>
  <c r="AK154" i="15"/>
  <c r="AL154" i="15"/>
  <c r="CB154" i="15" s="1"/>
  <c r="AH156" i="15"/>
  <c r="CE156" i="15" s="1"/>
  <c r="CF156" i="15" s="1"/>
  <c r="AK156" i="15"/>
  <c r="AL156" i="15"/>
  <c r="CB156" i="15" s="1"/>
  <c r="AK158" i="15"/>
  <c r="AL158" i="15"/>
  <c r="CB158" i="15" s="1"/>
  <c r="AH160" i="15"/>
  <c r="CE160" i="15" s="1"/>
  <c r="CF160" i="15" s="1"/>
  <c r="AK160" i="15"/>
  <c r="AL160" i="15"/>
  <c r="CB160" i="15" s="1"/>
  <c r="AK162" i="15"/>
  <c r="AL162" i="15"/>
  <c r="CB162" i="15" s="1"/>
  <c r="AH164" i="15"/>
  <c r="CE164" i="15" s="1"/>
  <c r="CF164" i="15" s="1"/>
  <c r="AK164" i="15"/>
  <c r="AL164" i="15"/>
  <c r="CB164" i="15" s="1"/>
  <c r="AK166" i="15"/>
  <c r="AL166" i="15"/>
  <c r="CB166" i="15" s="1"/>
  <c r="AH170" i="15"/>
  <c r="CE170" i="15" s="1"/>
  <c r="CF170" i="15" s="1"/>
  <c r="AL170" i="15"/>
  <c r="CB170" i="15" s="1"/>
  <c r="AK170" i="15"/>
  <c r="AH172" i="15"/>
  <c r="CE172" i="15" s="1"/>
  <c r="CF172" i="15" s="1"/>
  <c r="AK172" i="15"/>
  <c r="AL172" i="15"/>
  <c r="CB172" i="15" s="1"/>
  <c r="AH174" i="15"/>
  <c r="CE174" i="15" s="1"/>
  <c r="CF174" i="15" s="1"/>
  <c r="AL174" i="15"/>
  <c r="CB174" i="15" s="1"/>
  <c r="AK174" i="15"/>
  <c r="AH176" i="15"/>
  <c r="CE176" i="15" s="1"/>
  <c r="CF176" i="15" s="1"/>
  <c r="AK176" i="15"/>
  <c r="AL176" i="15"/>
  <c r="CB176" i="15" s="1"/>
  <c r="AH178" i="15"/>
  <c r="CE178" i="15" s="1"/>
  <c r="CF178" i="15" s="1"/>
  <c r="AK178" i="15"/>
  <c r="AL178" i="15"/>
  <c r="CB178" i="15" s="1"/>
  <c r="AH180" i="15"/>
  <c r="CE180" i="15" s="1"/>
  <c r="CF180" i="15" s="1"/>
  <c r="AK180" i="15"/>
  <c r="AL180" i="15"/>
  <c r="CB180" i="15" s="1"/>
  <c r="AH182" i="15"/>
  <c r="CE182" i="15" s="1"/>
  <c r="CF182" i="15" s="1"/>
  <c r="AL182" i="15"/>
  <c r="CB182" i="15" s="1"/>
  <c r="AK182" i="15"/>
  <c r="AH184" i="15"/>
  <c r="CE184" i="15" s="1"/>
  <c r="CF184" i="15" s="1"/>
  <c r="AL184" i="15"/>
  <c r="CB184" i="15" s="1"/>
  <c r="AK184" i="15"/>
  <c r="AH186" i="15"/>
  <c r="CE186" i="15" s="1"/>
  <c r="CF186" i="15" s="1"/>
  <c r="AK186" i="15"/>
  <c r="AL186" i="15"/>
  <c r="CB186" i="15" s="1"/>
  <c r="AH188" i="15"/>
  <c r="CE188" i="15" s="1"/>
  <c r="CF188" i="15" s="1"/>
  <c r="AK188" i="15"/>
  <c r="AL188" i="15"/>
  <c r="CB188" i="15" s="1"/>
  <c r="AH192" i="15"/>
  <c r="CE192" i="15" s="1"/>
  <c r="CF192" i="15" s="1"/>
  <c r="AK192" i="15"/>
  <c r="AL192" i="15"/>
  <c r="CB192" i="15" s="1"/>
  <c r="AH194" i="15"/>
  <c r="CE194" i="15" s="1"/>
  <c r="CF194" i="15" s="1"/>
  <c r="AK194" i="15"/>
  <c r="AL194" i="15"/>
  <c r="CB194" i="15" s="1"/>
  <c r="AH196" i="15"/>
  <c r="CE196" i="15" s="1"/>
  <c r="CF196" i="15" s="1"/>
  <c r="AK196" i="15"/>
  <c r="AL196" i="15"/>
  <c r="CB196" i="15" s="1"/>
  <c r="AH198" i="15"/>
  <c r="CE198" i="15" s="1"/>
  <c r="CF198" i="15" s="1"/>
  <c r="AL198" i="15"/>
  <c r="CB198" i="15" s="1"/>
  <c r="AK198" i="15"/>
  <c r="AH200" i="15"/>
  <c r="CE200" i="15" s="1"/>
  <c r="CF200" i="15" s="1"/>
  <c r="AL200" i="15"/>
  <c r="CB200" i="15" s="1"/>
  <c r="AK200" i="15"/>
  <c r="AH202" i="15"/>
  <c r="CE202" i="15" s="1"/>
  <c r="CF202" i="15" s="1"/>
  <c r="AL202" i="15"/>
  <c r="CB202" i="15" s="1"/>
  <c r="AK202" i="15"/>
  <c r="AH204" i="15"/>
  <c r="CE204" i="15" s="1"/>
  <c r="CF204" i="15" s="1"/>
  <c r="AL204" i="15"/>
  <c r="CB204" i="15" s="1"/>
  <c r="AK204" i="15"/>
  <c r="AH206" i="15"/>
  <c r="CE206" i="15" s="1"/>
  <c r="CF206" i="15" s="1"/>
  <c r="AL206" i="15"/>
  <c r="CB206" i="15" s="1"/>
  <c r="AK206" i="15"/>
  <c r="AH208" i="15"/>
  <c r="CE208" i="15" s="1"/>
  <c r="CF208" i="15" s="1"/>
  <c r="AL208" i="15"/>
  <c r="CB208" i="15" s="1"/>
  <c r="AK208" i="15"/>
  <c r="AH210" i="15"/>
  <c r="CE210" i="15" s="1"/>
  <c r="CF210" i="15" s="1"/>
  <c r="AL210" i="15"/>
  <c r="CB210" i="15" s="1"/>
  <c r="AK210" i="15"/>
  <c r="AH212" i="15"/>
  <c r="CE212" i="15" s="1"/>
  <c r="CF212" i="15" s="1"/>
  <c r="AL212" i="15"/>
  <c r="CB212" i="15" s="1"/>
  <c r="AK212" i="15"/>
  <c r="AH214" i="15"/>
  <c r="CE214" i="15" s="1"/>
  <c r="CF214" i="15" s="1"/>
  <c r="AL214" i="15"/>
  <c r="CB214" i="15" s="1"/>
  <c r="AK214" i="15"/>
  <c r="AH216" i="15"/>
  <c r="CE216" i="15" s="1"/>
  <c r="CF216" i="15" s="1"/>
  <c r="AL216" i="15"/>
  <c r="CB216" i="15" s="1"/>
  <c r="AK216" i="15"/>
  <c r="AK220" i="15"/>
  <c r="AL220" i="15"/>
  <c r="CB220" i="15" s="1"/>
  <c r="AH222" i="15"/>
  <c r="CE222" i="15" s="1"/>
  <c r="CF222" i="15" s="1"/>
  <c r="AK222" i="15"/>
  <c r="AL222" i="15"/>
  <c r="CB222" i="15" s="1"/>
  <c r="AK224" i="15"/>
  <c r="AL224" i="15"/>
  <c r="CB224" i="15" s="1"/>
  <c r="AH226" i="15"/>
  <c r="CE226" i="15" s="1"/>
  <c r="CF226" i="15" s="1"/>
  <c r="AL226" i="15"/>
  <c r="CB226" i="15" s="1"/>
  <c r="AK226" i="15"/>
  <c r="AL228" i="15"/>
  <c r="CB228" i="15" s="1"/>
  <c r="AK228" i="15"/>
  <c r="AH230" i="15"/>
  <c r="CE230" i="15" s="1"/>
  <c r="CF230" i="15" s="1"/>
  <c r="AK230" i="15"/>
  <c r="AL230" i="15"/>
  <c r="CB230" i="15" s="1"/>
  <c r="AH234" i="15"/>
  <c r="CE234" i="15" s="1"/>
  <c r="CF234" i="15" s="1"/>
  <c r="AL234" i="15"/>
  <c r="CB234" i="15" s="1"/>
  <c r="AK234" i="15"/>
  <c r="AH236" i="15"/>
  <c r="CE236" i="15" s="1"/>
  <c r="CF236" i="15" s="1"/>
  <c r="AL236" i="15"/>
  <c r="CB236" i="15" s="1"/>
  <c r="AK236" i="15"/>
  <c r="AH238" i="15"/>
  <c r="CE238" i="15" s="1"/>
  <c r="CF238" i="15" s="1"/>
  <c r="AL238" i="15"/>
  <c r="CB238" i="15" s="1"/>
  <c r="AK238" i="15"/>
  <c r="AH240" i="15"/>
  <c r="CE240" i="15" s="1"/>
  <c r="CF240" i="15" s="1"/>
  <c r="AL240" i="15"/>
  <c r="CB240" i="15" s="1"/>
  <c r="AK240" i="15"/>
  <c r="AH242" i="15"/>
  <c r="CE242" i="15" s="1"/>
  <c r="CF242" i="15" s="1"/>
  <c r="AL242" i="15"/>
  <c r="CB242" i="15" s="1"/>
  <c r="AK242" i="15"/>
  <c r="AH244" i="15"/>
  <c r="CE244" i="15" s="1"/>
  <c r="CF244" i="15" s="1"/>
  <c r="AL244" i="15"/>
  <c r="CB244" i="15" s="1"/>
  <c r="AK244" i="15"/>
  <c r="AH246" i="15"/>
  <c r="CE246" i="15" s="1"/>
  <c r="CF246" i="15" s="1"/>
  <c r="AL246" i="15"/>
  <c r="CB246" i="15" s="1"/>
  <c r="AK246" i="15"/>
  <c r="AH248" i="15"/>
  <c r="CE248" i="15" s="1"/>
  <c r="CF248" i="15" s="1"/>
  <c r="AL248" i="15"/>
  <c r="CB248" i="15" s="1"/>
  <c r="AK248" i="15"/>
  <c r="AK474" i="15"/>
  <c r="AL474" i="15"/>
  <c r="CB474" i="15" s="1"/>
  <c r="AK476" i="15"/>
  <c r="AL476" i="15"/>
  <c r="CB476" i="15" s="1"/>
  <c r="AK478" i="15"/>
  <c r="AL478" i="15"/>
  <c r="CB478" i="15" s="1"/>
  <c r="AL480" i="15"/>
  <c r="CB480" i="15" s="1"/>
  <c r="AK480" i="15"/>
  <c r="AL482" i="15"/>
  <c r="CB482" i="15" s="1"/>
  <c r="AK482" i="15"/>
  <c r="AL484" i="15"/>
  <c r="CB484" i="15" s="1"/>
  <c r="AK484" i="15"/>
  <c r="AL486" i="15"/>
  <c r="CB486" i="15" s="1"/>
  <c r="AK486" i="15"/>
  <c r="AL488" i="15"/>
  <c r="CB488" i="15" s="1"/>
  <c r="AK488" i="15"/>
  <c r="AK492" i="15"/>
  <c r="AL492" i="15"/>
  <c r="CB492" i="15" s="1"/>
  <c r="AL494" i="15"/>
  <c r="CB494" i="15" s="1"/>
  <c r="AK494" i="15"/>
  <c r="AK496" i="15"/>
  <c r="AL496" i="15"/>
  <c r="CB496" i="15" s="1"/>
  <c r="AH498" i="15"/>
  <c r="CE498" i="15" s="1"/>
  <c r="CF498" i="15" s="1"/>
  <c r="AL498" i="15"/>
  <c r="CB498" i="15" s="1"/>
  <c r="AK498" i="15"/>
  <c r="AK500" i="15"/>
  <c r="AL500" i="15"/>
  <c r="CB500" i="15" s="1"/>
  <c r="AK502" i="15"/>
  <c r="AL502" i="15"/>
  <c r="CB502" i="15" s="1"/>
  <c r="AH504" i="15"/>
  <c r="CE504" i="15" s="1"/>
  <c r="CF504" i="15" s="1"/>
  <c r="AK504" i="15"/>
  <c r="AL504" i="15"/>
  <c r="CB504" i="15" s="1"/>
  <c r="AH506" i="15"/>
  <c r="CE506" i="15" s="1"/>
  <c r="CF506" i="15" s="1"/>
  <c r="AL506" i="15"/>
  <c r="CB506" i="15" s="1"/>
  <c r="AK506" i="15"/>
  <c r="AL508" i="15"/>
  <c r="CB508" i="15" s="1"/>
  <c r="AK508" i="15"/>
  <c r="AK510" i="15"/>
  <c r="AL510" i="15"/>
  <c r="CB510" i="15" s="1"/>
  <c r="AK512" i="15"/>
  <c r="AL512" i="15"/>
  <c r="CB512" i="15" s="1"/>
  <c r="AH516" i="15"/>
  <c r="CE516" i="15" s="1"/>
  <c r="CF516" i="15" s="1"/>
  <c r="AL516" i="15"/>
  <c r="CB516" i="15" s="1"/>
  <c r="AK516" i="15"/>
  <c r="AH518" i="15"/>
  <c r="CE518" i="15" s="1"/>
  <c r="CF518" i="15" s="1"/>
  <c r="AL518" i="15"/>
  <c r="CB518" i="15" s="1"/>
  <c r="AK518" i="15"/>
  <c r="AH520" i="15"/>
  <c r="CE520" i="15" s="1"/>
  <c r="CF520" i="15" s="1"/>
  <c r="AL520" i="15"/>
  <c r="CB520" i="15" s="1"/>
  <c r="AK520" i="15"/>
  <c r="AL522" i="15"/>
  <c r="CB522" i="15" s="1"/>
  <c r="AK522" i="15"/>
  <c r="AL524" i="15"/>
  <c r="CB524" i="15" s="1"/>
  <c r="AK524" i="15"/>
  <c r="AL526" i="15"/>
  <c r="CB526" i="15" s="1"/>
  <c r="AK526" i="15"/>
  <c r="AH530" i="15"/>
  <c r="AI530" i="15" s="1"/>
  <c r="AL530" i="15"/>
  <c r="CB530" i="15" s="1"/>
  <c r="AK530" i="15"/>
  <c r="AH532" i="15"/>
  <c r="CE532" i="15" s="1"/>
  <c r="CF532" i="15" s="1"/>
  <c r="AK532" i="15"/>
  <c r="AL532" i="15"/>
  <c r="CB532" i="15" s="1"/>
  <c r="AH534" i="15"/>
  <c r="AI534" i="15" s="1"/>
  <c r="AK534" i="15"/>
  <c r="AL534" i="15"/>
  <c r="CB534" i="15" s="1"/>
  <c r="AH536" i="15"/>
  <c r="CE536" i="15" s="1"/>
  <c r="CF536" i="15" s="1"/>
  <c r="AL536" i="15"/>
  <c r="CB536" i="15" s="1"/>
  <c r="AK536" i="15"/>
  <c r="AH538" i="15"/>
  <c r="CE538" i="15" s="1"/>
  <c r="CF538" i="15" s="1"/>
  <c r="AK538" i="15"/>
  <c r="AL538" i="15"/>
  <c r="CB538" i="15" s="1"/>
  <c r="AH540" i="15"/>
  <c r="CE540" i="15" s="1"/>
  <c r="CF540" i="15" s="1"/>
  <c r="AL540" i="15"/>
  <c r="CB540" i="15" s="1"/>
  <c r="AK540" i="15"/>
  <c r="AH542" i="15"/>
  <c r="AI542" i="15" s="1"/>
  <c r="AK542" i="15"/>
  <c r="AL542" i="15"/>
  <c r="CB542" i="15" s="1"/>
  <c r="AH544" i="15"/>
  <c r="CE544" i="15" s="1"/>
  <c r="CF544" i="15" s="1"/>
  <c r="AL544" i="15"/>
  <c r="CB544" i="15" s="1"/>
  <c r="AK544" i="15"/>
  <c r="AH546" i="15"/>
  <c r="AI546" i="15" s="1"/>
  <c r="AK546" i="15"/>
  <c r="AL546" i="15"/>
  <c r="CB546" i="15" s="1"/>
  <c r="AH550" i="15"/>
  <c r="AI550" i="15" s="1"/>
  <c r="AL550" i="15"/>
  <c r="CB550" i="15" s="1"/>
  <c r="AK550" i="15"/>
  <c r="AH552" i="15"/>
  <c r="CE552" i="15" s="1"/>
  <c r="CF552" i="15" s="1"/>
  <c r="AL552" i="15"/>
  <c r="CB552" i="15" s="1"/>
  <c r="AK552" i="15"/>
  <c r="AH554" i="15"/>
  <c r="CE554" i="15" s="1"/>
  <c r="CF554" i="15" s="1"/>
  <c r="AL554" i="15"/>
  <c r="CB554" i="15" s="1"/>
  <c r="AK554" i="15"/>
  <c r="AH556" i="15"/>
  <c r="CE556" i="15" s="1"/>
  <c r="CF556" i="15" s="1"/>
  <c r="AL556" i="15"/>
  <c r="CB556" i="15" s="1"/>
  <c r="AK556" i="15"/>
  <c r="AH558" i="15"/>
  <c r="CE558" i="15" s="1"/>
  <c r="CF558" i="15" s="1"/>
  <c r="AL558" i="15"/>
  <c r="CB558" i="15" s="1"/>
  <c r="AK558" i="15"/>
  <c r="AH560" i="15"/>
  <c r="CE560" i="15" s="1"/>
  <c r="CF560" i="15" s="1"/>
  <c r="AL560" i="15"/>
  <c r="CB560" i="15" s="1"/>
  <c r="AK560" i="15"/>
  <c r="AH562" i="15"/>
  <c r="CE562" i="15" s="1"/>
  <c r="CF562" i="15" s="1"/>
  <c r="AL562" i="15"/>
  <c r="CB562" i="15" s="1"/>
  <c r="AK562" i="15"/>
  <c r="AH564" i="15"/>
  <c r="AI564" i="15" s="1"/>
  <c r="AL564" i="15"/>
  <c r="CB564" i="15" s="1"/>
  <c r="AK564" i="15"/>
  <c r="AH566" i="15"/>
  <c r="AI566" i="15" s="1"/>
  <c r="AL566" i="15"/>
  <c r="CB566" i="15" s="1"/>
  <c r="AK566" i="15"/>
  <c r="AH568" i="15"/>
  <c r="CE568" i="15" s="1"/>
  <c r="CF568" i="15" s="1"/>
  <c r="AL568" i="15"/>
  <c r="CB568" i="15" s="1"/>
  <c r="AK568" i="15"/>
  <c r="AH570" i="15"/>
  <c r="CE570" i="15" s="1"/>
  <c r="CF570" i="15" s="1"/>
  <c r="AL570" i="15"/>
  <c r="CB570" i="15" s="1"/>
  <c r="AK570" i="15"/>
  <c r="AH573" i="15"/>
  <c r="CE573" i="15" s="1"/>
  <c r="CF573" i="15" s="1"/>
  <c r="AL573" i="15"/>
  <c r="CB573" i="15" s="1"/>
  <c r="AK573" i="15"/>
  <c r="AL572" i="15"/>
  <c r="CB572" i="15" s="1"/>
  <c r="AK572" i="15"/>
  <c r="AH716" i="15"/>
  <c r="CE716" i="15" s="1"/>
  <c r="CF716" i="15" s="1"/>
  <c r="AK716" i="15"/>
  <c r="AL716" i="15"/>
  <c r="CB716" i="15" s="1"/>
  <c r="AH718" i="15"/>
  <c r="AI718" i="15" s="1"/>
  <c r="AK718" i="15"/>
  <c r="AL718" i="15"/>
  <c r="CB718" i="15" s="1"/>
  <c r="AH720" i="15"/>
  <c r="CE720" i="15" s="1"/>
  <c r="CF720" i="15" s="1"/>
  <c r="AL720" i="15"/>
  <c r="CB720" i="15" s="1"/>
  <c r="AK720" i="15"/>
  <c r="AH722" i="15"/>
  <c r="CE722" i="15" s="1"/>
  <c r="CF722" i="15" s="1"/>
  <c r="AK722" i="15"/>
  <c r="AL722" i="15"/>
  <c r="CB722" i="15" s="1"/>
  <c r="AK724" i="15"/>
  <c r="AL724" i="15"/>
  <c r="CB724" i="15" s="1"/>
  <c r="AK726" i="15"/>
  <c r="AL726" i="15"/>
  <c r="CB726" i="15" s="1"/>
  <c r="AL728" i="15"/>
  <c r="CB728" i="15" s="1"/>
  <c r="AK728" i="15"/>
  <c r="AH730" i="15"/>
  <c r="AI730" i="15" s="1"/>
  <c r="AK730" i="15"/>
  <c r="AL730" i="15"/>
  <c r="CB730" i="15" s="1"/>
  <c r="AL734" i="15"/>
  <c r="CB734" i="15" s="1"/>
  <c r="AK734" i="15"/>
  <c r="AH736" i="15"/>
  <c r="AI736" i="15" s="1"/>
  <c r="AL736" i="15"/>
  <c r="CB736" i="15" s="1"/>
  <c r="AK736" i="15"/>
  <c r="AH738" i="15"/>
  <c r="CE738" i="15" s="1"/>
  <c r="CF738" i="15" s="1"/>
  <c r="AL738" i="15"/>
  <c r="CB738" i="15" s="1"/>
  <c r="AK738" i="15"/>
  <c r="AL740" i="15"/>
  <c r="CB740" i="15" s="1"/>
  <c r="AK740" i="15"/>
  <c r="AH742" i="15"/>
  <c r="AI742" i="15" s="1"/>
  <c r="AL742" i="15"/>
  <c r="CB742" i="15" s="1"/>
  <c r="AK742" i="15"/>
  <c r="AH744" i="15"/>
  <c r="AI744" i="15" s="1"/>
  <c r="AL744" i="15"/>
  <c r="CB744" i="15" s="1"/>
  <c r="AK744" i="15"/>
  <c r="AH746" i="15"/>
  <c r="CE746" i="15" s="1"/>
  <c r="CF746" i="15" s="1"/>
  <c r="AL746" i="15"/>
  <c r="CB746" i="15" s="1"/>
  <c r="AK746" i="15"/>
  <c r="AL748" i="15"/>
  <c r="CB748" i="15" s="1"/>
  <c r="AK748" i="15"/>
  <c r="AH750" i="15"/>
  <c r="CE750" i="15" s="1"/>
  <c r="CF750" i="15" s="1"/>
  <c r="AL750" i="15"/>
  <c r="CB750" i="15" s="1"/>
  <c r="AK750" i="15"/>
  <c r="AH752" i="15"/>
  <c r="CE752" i="15" s="1"/>
  <c r="CF752" i="15" s="1"/>
  <c r="AL752" i="15"/>
  <c r="CB752" i="15" s="1"/>
  <c r="AK752" i="15"/>
  <c r="AH756" i="15"/>
  <c r="CE756" i="15" s="1"/>
  <c r="CF756" i="15" s="1"/>
  <c r="AK756" i="15"/>
  <c r="AL756" i="15"/>
  <c r="CB756" i="15" s="1"/>
  <c r="AH773" i="15"/>
  <c r="CE773" i="15" s="1"/>
  <c r="CF773" i="15" s="1"/>
  <c r="AK773" i="15"/>
  <c r="AL773" i="15"/>
  <c r="CB773" i="15" s="1"/>
  <c r="AH758" i="15"/>
  <c r="AI758" i="15" s="1"/>
  <c r="AK758" i="15"/>
  <c r="AL758" i="15"/>
  <c r="CB758" i="15" s="1"/>
  <c r="AH760" i="15"/>
  <c r="AI760" i="15" s="1"/>
  <c r="AL760" i="15"/>
  <c r="CB760" i="15" s="1"/>
  <c r="AK760" i="15"/>
  <c r="AH762" i="15"/>
  <c r="CE762" i="15" s="1"/>
  <c r="CF762" i="15" s="1"/>
  <c r="AL762" i="15"/>
  <c r="CB762" i="15" s="1"/>
  <c r="AK762" i="15"/>
  <c r="AH764" i="15"/>
  <c r="AI764" i="15" s="1"/>
  <c r="AK764" i="15"/>
  <c r="AL764" i="15"/>
  <c r="CB764" i="15" s="1"/>
  <c r="AH766" i="15"/>
  <c r="AI766" i="15" s="1"/>
  <c r="AK766" i="15"/>
  <c r="AL766" i="15"/>
  <c r="CB766" i="15" s="1"/>
  <c r="AH768" i="15"/>
  <c r="CE768" i="15" s="1"/>
  <c r="CF768" i="15" s="1"/>
  <c r="AL768" i="15"/>
  <c r="CB768" i="15" s="1"/>
  <c r="AK768" i="15"/>
  <c r="AH770" i="15"/>
  <c r="CE770" i="15" s="1"/>
  <c r="CF770" i="15" s="1"/>
  <c r="AK770" i="15"/>
  <c r="AL770" i="15"/>
  <c r="CB770" i="15" s="1"/>
  <c r="AH772" i="15"/>
  <c r="CE772" i="15" s="1"/>
  <c r="CF772" i="15" s="1"/>
  <c r="AK772" i="15"/>
  <c r="AL772" i="15"/>
  <c r="CB772" i="15" s="1"/>
  <c r="AH778" i="15"/>
  <c r="AI778" i="15" s="1"/>
  <c r="AL778" i="15"/>
  <c r="CB778" i="15" s="1"/>
  <c r="AK778" i="15"/>
  <c r="AL780" i="15"/>
  <c r="CB780" i="15" s="1"/>
  <c r="AK780" i="15"/>
  <c r="AH782" i="15"/>
  <c r="CE782" i="15" s="1"/>
  <c r="CF782" i="15" s="1"/>
  <c r="AL782" i="15"/>
  <c r="CB782" i="15" s="1"/>
  <c r="AK782" i="15"/>
  <c r="AH784" i="15"/>
  <c r="AI784" i="15" s="1"/>
  <c r="AL784" i="15"/>
  <c r="CB784" i="15" s="1"/>
  <c r="AK784" i="15"/>
  <c r="AH786" i="15"/>
  <c r="CE786" i="15" s="1"/>
  <c r="CF786" i="15" s="1"/>
  <c r="AL786" i="15"/>
  <c r="CB786" i="15" s="1"/>
  <c r="AK786" i="15"/>
  <c r="AH788" i="15"/>
  <c r="CE788" i="15" s="1"/>
  <c r="CF788" i="15" s="1"/>
  <c r="AL788" i="15"/>
  <c r="CB788" i="15" s="1"/>
  <c r="AK788" i="15"/>
  <c r="AH790" i="15"/>
  <c r="AI790" i="15" s="1"/>
  <c r="AL790" i="15"/>
  <c r="CB790" i="15" s="1"/>
  <c r="AK790" i="15"/>
  <c r="AH792" i="15"/>
  <c r="AI792" i="15" s="1"/>
  <c r="AL792" i="15"/>
  <c r="CB792" i="15" s="1"/>
  <c r="AK792" i="15"/>
  <c r="AH794" i="15"/>
  <c r="CE794" i="15" s="1"/>
  <c r="CF794" i="15" s="1"/>
  <c r="AL794" i="15"/>
  <c r="CB794" i="15" s="1"/>
  <c r="AK794" i="15"/>
  <c r="AH798" i="15"/>
  <c r="CE798" i="15" s="1"/>
  <c r="CF798" i="15" s="1"/>
  <c r="AK798" i="15"/>
  <c r="AL798" i="15"/>
  <c r="CB798" i="15" s="1"/>
  <c r="AH800" i="15"/>
  <c r="CE800" i="15" s="1"/>
  <c r="CF800" i="15" s="1"/>
  <c r="AL800" i="15"/>
  <c r="CB800" i="15" s="1"/>
  <c r="AK800" i="15"/>
  <c r="AH802" i="15"/>
  <c r="CE802" i="15" s="1"/>
  <c r="CF802" i="15" s="1"/>
  <c r="AK802" i="15"/>
  <c r="AL802" i="15"/>
  <c r="CB802" i="15" s="1"/>
  <c r="AL804" i="15"/>
  <c r="CB804" i="15" s="1"/>
  <c r="AK804" i="15"/>
  <c r="AH806" i="15"/>
  <c r="CE806" i="15" s="1"/>
  <c r="CF806" i="15" s="1"/>
  <c r="AK806" i="15"/>
  <c r="AL806" i="15"/>
  <c r="CB806" i="15" s="1"/>
  <c r="AH808" i="15"/>
  <c r="CE808" i="15" s="1"/>
  <c r="CF808" i="15" s="1"/>
  <c r="AK808" i="15"/>
  <c r="AL808" i="15"/>
  <c r="CB808" i="15" s="1"/>
  <c r="AH810" i="15"/>
  <c r="CE810" i="15" s="1"/>
  <c r="CF810" i="15" s="1"/>
  <c r="AK810" i="15"/>
  <c r="AL810" i="15"/>
  <c r="CB810" i="15" s="1"/>
  <c r="AH812" i="15"/>
  <c r="CE812" i="15" s="1"/>
  <c r="CF812" i="15" s="1"/>
  <c r="AL812" i="15"/>
  <c r="CB812" i="15" s="1"/>
  <c r="AK812" i="15"/>
  <c r="AH814" i="15"/>
  <c r="AI814" i="15" s="1"/>
  <c r="AL814" i="15"/>
  <c r="CB814" i="15" s="1"/>
  <c r="AK814" i="15"/>
  <c r="AH816" i="15"/>
  <c r="CE816" i="15" s="1"/>
  <c r="CF816" i="15" s="1"/>
  <c r="AK816" i="15"/>
  <c r="AL816" i="15"/>
  <c r="CB816" i="15" s="1"/>
  <c r="AK818" i="15"/>
  <c r="AL818" i="15"/>
  <c r="CB818" i="15" s="1"/>
  <c r="AH820" i="15"/>
  <c r="AI820" i="15" s="1"/>
  <c r="AL820" i="15"/>
  <c r="CB820" i="15" s="1"/>
  <c r="AK820" i="15"/>
  <c r="AH822" i="15"/>
  <c r="CE822" i="15" s="1"/>
  <c r="CF822" i="15" s="1"/>
  <c r="AK822" i="15"/>
  <c r="AL822" i="15"/>
  <c r="CB822" i="15" s="1"/>
  <c r="AH824" i="15"/>
  <c r="CE824" i="15" s="1"/>
  <c r="CF824" i="15" s="1"/>
  <c r="AL824" i="15"/>
  <c r="CB824" i="15" s="1"/>
  <c r="AK824" i="15"/>
  <c r="AK826" i="15"/>
  <c r="AL826" i="15"/>
  <c r="CB826" i="15" s="1"/>
  <c r="AH830" i="15"/>
  <c r="CE830" i="15" s="1"/>
  <c r="CF830" i="15" s="1"/>
  <c r="AL830" i="15"/>
  <c r="CB830" i="15" s="1"/>
  <c r="AK830" i="15"/>
  <c r="AH832" i="15"/>
  <c r="CE832" i="15" s="1"/>
  <c r="CF832" i="15" s="1"/>
  <c r="AL832" i="15"/>
  <c r="CB832" i="15" s="1"/>
  <c r="AK832" i="15"/>
  <c r="AH834" i="15"/>
  <c r="CE834" i="15" s="1"/>
  <c r="CF834" i="15" s="1"/>
  <c r="AL834" i="15"/>
  <c r="CB834" i="15" s="1"/>
  <c r="AK834" i="15"/>
  <c r="AH836" i="15"/>
  <c r="CE836" i="15" s="1"/>
  <c r="CF836" i="15" s="1"/>
  <c r="AL836" i="15"/>
  <c r="CB836" i="15" s="1"/>
  <c r="AK836" i="15"/>
  <c r="AH838" i="15"/>
  <c r="CE838" i="15" s="1"/>
  <c r="CF838" i="15" s="1"/>
  <c r="AL838" i="15"/>
  <c r="CB838" i="15" s="1"/>
  <c r="AK838" i="15"/>
  <c r="AH840" i="15"/>
  <c r="AI840" i="15" s="1"/>
  <c r="AL840" i="15"/>
  <c r="CB840" i="15" s="1"/>
  <c r="AK840" i="15"/>
  <c r="AH842" i="15"/>
  <c r="CE842" i="15" s="1"/>
  <c r="CF842" i="15" s="1"/>
  <c r="AL842" i="15"/>
  <c r="CB842" i="15" s="1"/>
  <c r="AK842" i="15"/>
  <c r="AH844" i="15"/>
  <c r="AI844" i="15" s="1"/>
  <c r="AL844" i="15"/>
  <c r="CB844" i="15" s="1"/>
  <c r="AK844" i="15"/>
  <c r="AH846" i="15"/>
  <c r="CE846" i="15" s="1"/>
  <c r="CF846" i="15" s="1"/>
  <c r="AL846" i="15"/>
  <c r="CB846" i="15" s="1"/>
  <c r="AK846" i="15"/>
  <c r="AH848" i="15"/>
  <c r="CE848" i="15" s="1"/>
  <c r="CF848" i="15" s="1"/>
  <c r="AL848" i="15"/>
  <c r="CB848" i="15" s="1"/>
  <c r="AK848" i="15"/>
  <c r="AH850" i="15"/>
  <c r="CE850" i="15" s="1"/>
  <c r="CF850" i="15" s="1"/>
  <c r="AL850" i="15"/>
  <c r="CB850" i="15" s="1"/>
  <c r="AK850" i="15"/>
  <c r="AH852" i="15"/>
  <c r="CE852" i="15" s="1"/>
  <c r="CF852" i="15" s="1"/>
  <c r="AL852" i="15"/>
  <c r="CB852" i="15" s="1"/>
  <c r="AK852" i="15"/>
  <c r="AH854" i="15"/>
  <c r="CE854" i="15" s="1"/>
  <c r="CF854" i="15" s="1"/>
  <c r="AL854" i="15"/>
  <c r="CB854" i="15" s="1"/>
  <c r="AK854" i="15"/>
  <c r="AH856" i="15"/>
  <c r="CE856" i="15" s="1"/>
  <c r="CF856" i="15" s="1"/>
  <c r="AL856" i="15"/>
  <c r="CB856" i="15" s="1"/>
  <c r="AK856" i="15"/>
  <c r="AH858" i="15"/>
  <c r="CE858" i="15" s="1"/>
  <c r="CF858" i="15" s="1"/>
  <c r="AL858" i="15"/>
  <c r="CB858" i="15" s="1"/>
  <c r="AK858" i="15"/>
  <c r="AH860" i="15"/>
  <c r="AI860" i="15" s="1"/>
  <c r="AL860" i="15"/>
  <c r="CB860" i="15" s="1"/>
  <c r="AK860" i="15"/>
  <c r="AK13" i="15"/>
  <c r="AL13" i="15"/>
  <c r="CB13" i="15" s="1"/>
  <c r="AK17" i="15"/>
  <c r="AL17" i="15"/>
  <c r="CB17" i="15" s="1"/>
  <c r="AK21" i="15"/>
  <c r="AL21" i="15"/>
  <c r="CB21" i="15" s="1"/>
  <c r="AK25" i="15"/>
  <c r="AL25" i="15"/>
  <c r="CB25" i="15" s="1"/>
  <c r="AK29" i="15"/>
  <c r="AL29" i="15"/>
  <c r="CB29" i="15" s="1"/>
  <c r="AH147" i="15"/>
  <c r="CE147" i="15" s="1"/>
  <c r="CF147" i="15" s="1"/>
  <c r="AK147" i="15"/>
  <c r="AL147" i="15"/>
  <c r="CB147" i="15" s="1"/>
  <c r="AH151" i="15"/>
  <c r="CE151" i="15" s="1"/>
  <c r="CF151" i="15" s="1"/>
  <c r="AK151" i="15"/>
  <c r="AL151" i="15"/>
  <c r="CB151" i="15" s="1"/>
  <c r="AH155" i="15"/>
  <c r="AI155" i="15" s="1"/>
  <c r="AL155" i="15"/>
  <c r="CB155" i="15" s="1"/>
  <c r="AK155" i="15"/>
  <c r="AH159" i="15"/>
  <c r="CE159" i="15" s="1"/>
  <c r="CF159" i="15" s="1"/>
  <c r="AK159" i="15"/>
  <c r="AL159" i="15"/>
  <c r="CB159" i="15" s="1"/>
  <c r="AH165" i="15"/>
  <c r="CE165" i="15" s="1"/>
  <c r="CF165" i="15" s="1"/>
  <c r="AK165" i="15"/>
  <c r="AL165" i="15"/>
  <c r="CB165" i="15" s="1"/>
  <c r="AH169" i="15"/>
  <c r="AI169" i="15" s="1"/>
  <c r="AK169" i="15"/>
  <c r="AL169" i="15"/>
  <c r="CB169" i="15" s="1"/>
  <c r="AH173" i="15"/>
  <c r="CE173" i="15" s="1"/>
  <c r="CF173" i="15" s="1"/>
  <c r="AK173" i="15"/>
  <c r="AL173" i="15"/>
  <c r="CB173" i="15" s="1"/>
  <c r="AH177" i="15"/>
  <c r="AI177" i="15" s="1"/>
  <c r="AK177" i="15"/>
  <c r="AL177" i="15"/>
  <c r="CB177" i="15" s="1"/>
  <c r="AH181" i="15"/>
  <c r="CE181" i="15" s="1"/>
  <c r="CF181" i="15" s="1"/>
  <c r="AK181" i="15"/>
  <c r="AL181" i="15"/>
  <c r="CB181" i="15" s="1"/>
  <c r="AH185" i="15"/>
  <c r="AI185" i="15" s="1"/>
  <c r="AK185" i="15"/>
  <c r="AL185" i="15"/>
  <c r="CB185" i="15" s="1"/>
  <c r="AH193" i="15"/>
  <c r="AI193" i="15" s="1"/>
  <c r="AL193" i="15"/>
  <c r="CB193" i="15" s="1"/>
  <c r="AK193" i="15"/>
  <c r="AH197" i="15"/>
  <c r="CE197" i="15" s="1"/>
  <c r="CF197" i="15" s="1"/>
  <c r="AK197" i="15"/>
  <c r="AL197" i="15"/>
  <c r="CB197" i="15" s="1"/>
  <c r="AH201" i="15"/>
  <c r="CE201" i="15" s="1"/>
  <c r="CF201" i="15" s="1"/>
  <c r="AK201" i="15"/>
  <c r="AL201" i="15"/>
  <c r="CB201" i="15" s="1"/>
  <c r="AH205" i="15"/>
  <c r="CE205" i="15" s="1"/>
  <c r="CF205" i="15" s="1"/>
  <c r="AK205" i="15"/>
  <c r="AL205" i="15"/>
  <c r="CB205" i="15" s="1"/>
  <c r="AH209" i="15"/>
  <c r="AI209" i="15" s="1"/>
  <c r="AK209" i="15"/>
  <c r="AL209" i="15"/>
  <c r="CB209" i="15" s="1"/>
  <c r="AH213" i="15"/>
  <c r="CE213" i="15" s="1"/>
  <c r="CF213" i="15" s="1"/>
  <c r="AK213" i="15"/>
  <c r="AL213" i="15"/>
  <c r="CB213" i="15" s="1"/>
  <c r="AH217" i="15"/>
  <c r="CE217" i="15" s="1"/>
  <c r="CF217" i="15" s="1"/>
  <c r="AK217" i="15"/>
  <c r="AL217" i="15"/>
  <c r="CB217" i="15" s="1"/>
  <c r="AH221" i="15"/>
  <c r="CE221" i="15" s="1"/>
  <c r="CF221" i="15" s="1"/>
  <c r="AL221" i="15"/>
  <c r="CB221" i="15" s="1"/>
  <c r="AK221" i="15"/>
  <c r="AH225" i="15"/>
  <c r="AI225" i="15" s="1"/>
  <c r="AL225" i="15"/>
  <c r="CB225" i="15" s="1"/>
  <c r="AK225" i="15"/>
  <c r="AH227" i="15"/>
  <c r="CE227" i="15" s="1"/>
  <c r="CF227" i="15" s="1"/>
  <c r="AL227" i="15"/>
  <c r="CB227" i="15" s="1"/>
  <c r="AK227" i="15"/>
  <c r="AH235" i="15"/>
  <c r="CE235" i="15" s="1"/>
  <c r="CF235" i="15" s="1"/>
  <c r="AK235" i="15"/>
  <c r="AL235" i="15"/>
  <c r="CB235" i="15" s="1"/>
  <c r="AH239" i="15"/>
  <c r="CE239" i="15" s="1"/>
  <c r="CF239" i="15" s="1"/>
  <c r="AL239" i="15"/>
  <c r="CB239" i="15" s="1"/>
  <c r="AK239" i="15"/>
  <c r="AH241" i="15"/>
  <c r="AI241" i="15" s="1"/>
  <c r="AK241" i="15"/>
  <c r="AL241" i="15"/>
  <c r="CB241" i="15" s="1"/>
  <c r="AH245" i="15"/>
  <c r="CE245" i="15" s="1"/>
  <c r="CF245" i="15" s="1"/>
  <c r="AL245" i="15"/>
  <c r="CB245" i="15" s="1"/>
  <c r="AK245" i="15"/>
  <c r="AH473" i="15"/>
  <c r="AI473" i="15" s="1"/>
  <c r="AL473" i="15"/>
  <c r="CB473" i="15" s="1"/>
  <c r="AK473" i="15"/>
  <c r="AH477" i="15"/>
  <c r="CE477" i="15" s="1"/>
  <c r="CF477" i="15" s="1"/>
  <c r="AL477" i="15"/>
  <c r="CB477" i="15" s="1"/>
  <c r="AK477" i="15"/>
  <c r="AH479" i="15"/>
  <c r="AI479" i="15" s="1"/>
  <c r="AL479" i="15"/>
  <c r="CB479" i="15" s="1"/>
  <c r="AK479" i="15"/>
  <c r="AH481" i="15"/>
  <c r="AI481" i="15" s="1"/>
  <c r="AK481" i="15"/>
  <c r="AL481" i="15"/>
  <c r="CB481" i="15" s="1"/>
  <c r="AH485" i="15"/>
  <c r="CE485" i="15" s="1"/>
  <c r="CF485" i="15" s="1"/>
  <c r="AK485" i="15"/>
  <c r="AL485" i="15"/>
  <c r="CB485" i="15" s="1"/>
  <c r="AH489" i="15"/>
  <c r="CE489" i="15" s="1"/>
  <c r="CF489" i="15" s="1"/>
  <c r="AK489" i="15"/>
  <c r="AL489" i="15"/>
  <c r="CB489" i="15" s="1"/>
  <c r="AH493" i="15"/>
  <c r="CE493" i="15" s="1"/>
  <c r="CF493" i="15" s="1"/>
  <c r="AL493" i="15"/>
  <c r="CB493" i="15" s="1"/>
  <c r="AK493" i="15"/>
  <c r="AL497" i="15"/>
  <c r="CB497" i="15" s="1"/>
  <c r="AK497" i="15"/>
  <c r="AH501" i="15"/>
  <c r="CE501" i="15" s="1"/>
  <c r="CF501" i="15" s="1"/>
  <c r="AL501" i="15"/>
  <c r="CB501" i="15" s="1"/>
  <c r="AK501" i="15"/>
  <c r="AL505" i="15"/>
  <c r="CB505" i="15" s="1"/>
  <c r="AK505" i="15"/>
  <c r="AH509" i="15"/>
  <c r="CE509" i="15" s="1"/>
  <c r="CF509" i="15" s="1"/>
  <c r="AL509" i="15"/>
  <c r="CB509" i="15" s="1"/>
  <c r="AK509" i="15"/>
  <c r="AL517" i="15"/>
  <c r="CB517" i="15" s="1"/>
  <c r="AK517" i="15"/>
  <c r="AK521" i="15"/>
  <c r="AL521" i="15"/>
  <c r="CB521" i="15" s="1"/>
  <c r="AL525" i="15"/>
  <c r="CB525" i="15" s="1"/>
  <c r="AK525" i="15"/>
  <c r="AH531" i="15"/>
  <c r="AI531" i="15" s="1"/>
  <c r="AL531" i="15"/>
  <c r="CB531" i="15" s="1"/>
  <c r="AK531" i="15"/>
  <c r="AH535" i="15"/>
  <c r="CE535" i="15" s="1"/>
  <c r="CF535" i="15" s="1"/>
  <c r="AL535" i="15"/>
  <c r="CB535" i="15" s="1"/>
  <c r="AK535" i="15"/>
  <c r="AH539" i="15"/>
  <c r="CE539" i="15" s="1"/>
  <c r="CF539" i="15" s="1"/>
  <c r="AL539" i="15"/>
  <c r="CB539" i="15" s="1"/>
  <c r="AK539" i="15"/>
  <c r="AH543" i="15"/>
  <c r="CE543" i="15" s="1"/>
  <c r="CF543" i="15" s="1"/>
  <c r="AL543" i="15"/>
  <c r="CB543" i="15" s="1"/>
  <c r="AK543" i="15"/>
  <c r="AH549" i="15"/>
  <c r="AI549" i="15" s="1"/>
  <c r="AK549" i="15"/>
  <c r="AL549" i="15"/>
  <c r="CB549" i="15" s="1"/>
  <c r="AH553" i="15"/>
  <c r="CE553" i="15" s="1"/>
  <c r="CF553" i="15" s="1"/>
  <c r="AK553" i="15"/>
  <c r="AL553" i="15"/>
  <c r="CB553" i="15" s="1"/>
  <c r="AH555" i="15"/>
  <c r="AI555" i="15" s="1"/>
  <c r="AL555" i="15"/>
  <c r="CB555" i="15" s="1"/>
  <c r="AK555" i="15"/>
  <c r="AH557" i="15"/>
  <c r="CE557" i="15" s="1"/>
  <c r="CF557" i="15" s="1"/>
  <c r="AK557" i="15"/>
  <c r="AL557" i="15"/>
  <c r="CB557" i="15" s="1"/>
  <c r="AH559" i="15"/>
  <c r="AI559" i="15" s="1"/>
  <c r="AK559" i="15"/>
  <c r="AL559" i="15"/>
  <c r="CB559" i="15" s="1"/>
  <c r="AH561" i="15"/>
  <c r="CE561" i="15" s="1"/>
  <c r="CF561" i="15" s="1"/>
  <c r="AK561" i="15"/>
  <c r="AL561" i="15"/>
  <c r="CB561" i="15" s="1"/>
  <c r="AH563" i="15"/>
  <c r="CE563" i="15" s="1"/>
  <c r="CF563" i="15" s="1"/>
  <c r="AL563" i="15"/>
  <c r="CB563" i="15" s="1"/>
  <c r="AK563" i="15"/>
  <c r="AH565" i="15"/>
  <c r="AI565" i="15" s="1"/>
  <c r="AL565" i="15"/>
  <c r="CB565" i="15" s="1"/>
  <c r="AK565" i="15"/>
  <c r="AH567" i="15"/>
  <c r="CE567" i="15" s="1"/>
  <c r="CF567" i="15" s="1"/>
  <c r="AK567" i="15"/>
  <c r="AL567" i="15"/>
  <c r="CB567" i="15" s="1"/>
  <c r="AH569" i="15"/>
  <c r="CE569" i="15" s="1"/>
  <c r="CF569" i="15" s="1"/>
  <c r="AK569" i="15"/>
  <c r="AL569" i="15"/>
  <c r="CB569" i="15" s="1"/>
  <c r="AH571" i="15"/>
  <c r="CE571" i="15" s="1"/>
  <c r="CF571" i="15" s="1"/>
  <c r="AL571" i="15"/>
  <c r="CB571" i="15" s="1"/>
  <c r="AK571" i="15"/>
  <c r="AH574" i="15"/>
  <c r="CE574" i="15" s="1"/>
  <c r="CF574" i="15" s="1"/>
  <c r="AK574" i="15"/>
  <c r="AL574" i="15"/>
  <c r="CB574" i="15" s="1"/>
  <c r="AH575" i="15"/>
  <c r="AI575" i="15" s="1"/>
  <c r="AL575" i="15"/>
  <c r="CB575" i="15" s="1"/>
  <c r="AK575" i="15"/>
  <c r="AH715" i="15"/>
  <c r="AI715" i="15" s="1"/>
  <c r="AL715" i="15"/>
  <c r="CB715" i="15" s="1"/>
  <c r="AK715" i="15"/>
  <c r="AL719" i="15"/>
  <c r="CB719" i="15" s="1"/>
  <c r="AK719" i="15"/>
  <c r="AH723" i="15"/>
  <c r="CE723" i="15" s="1"/>
  <c r="CF723" i="15" s="1"/>
  <c r="AL723" i="15"/>
  <c r="CB723" i="15" s="1"/>
  <c r="AK723" i="15"/>
  <c r="AH727" i="15"/>
  <c r="CE727" i="15" s="1"/>
  <c r="CF727" i="15" s="1"/>
  <c r="AL727" i="15"/>
  <c r="CB727" i="15" s="1"/>
  <c r="AK727" i="15"/>
  <c r="AH735" i="15"/>
  <c r="CE735" i="15" s="1"/>
  <c r="CF735" i="15" s="1"/>
  <c r="AL735" i="15"/>
  <c r="CB735" i="15" s="1"/>
  <c r="AK735" i="15"/>
  <c r="AH739" i="15"/>
  <c r="CE739" i="15" s="1"/>
  <c r="CF739" i="15" s="1"/>
  <c r="AL739" i="15"/>
  <c r="CB739" i="15" s="1"/>
  <c r="AK739" i="15"/>
  <c r="AK743" i="15"/>
  <c r="AL743" i="15"/>
  <c r="CB743" i="15" s="1"/>
  <c r="AH747" i="15"/>
  <c r="CE747" i="15" s="1"/>
  <c r="CF747" i="15" s="1"/>
  <c r="AL747" i="15"/>
  <c r="CB747" i="15" s="1"/>
  <c r="AK747" i="15"/>
  <c r="AK751" i="15"/>
  <c r="AL751" i="15"/>
  <c r="CB751" i="15" s="1"/>
  <c r="AL755" i="15"/>
  <c r="CB755" i="15" s="1"/>
  <c r="AK755" i="15"/>
  <c r="AL774" i="15"/>
  <c r="CB774" i="15" s="1"/>
  <c r="AK774" i="15"/>
  <c r="AH759" i="15"/>
  <c r="CE759" i="15" s="1"/>
  <c r="CF759" i="15" s="1"/>
  <c r="AL759" i="15"/>
  <c r="CB759" i="15" s="1"/>
  <c r="AK759" i="15"/>
  <c r="AL763" i="15"/>
  <c r="CB763" i="15" s="1"/>
  <c r="AK763" i="15"/>
  <c r="AL765" i="15"/>
  <c r="CB765" i="15" s="1"/>
  <c r="AK765" i="15"/>
  <c r="AH767" i="15"/>
  <c r="CE767" i="15" s="1"/>
  <c r="CF767" i="15" s="1"/>
  <c r="AL767" i="15"/>
  <c r="CB767" i="15" s="1"/>
  <c r="AK767" i="15"/>
  <c r="AL769" i="15"/>
  <c r="CB769" i="15" s="1"/>
  <c r="AK769" i="15"/>
  <c r="AL771" i="15"/>
  <c r="CB771" i="15" s="1"/>
  <c r="AK771" i="15"/>
  <c r="AH777" i="15"/>
  <c r="AI777" i="15" s="1"/>
  <c r="AK777" i="15"/>
  <c r="AL777" i="15"/>
  <c r="CB777" i="15" s="1"/>
  <c r="AK779" i="15"/>
  <c r="AL779" i="15"/>
  <c r="CB779" i="15" s="1"/>
  <c r="AH781" i="15"/>
  <c r="CE781" i="15" s="1"/>
  <c r="CF781" i="15" s="1"/>
  <c r="AL781" i="15"/>
  <c r="CB781" i="15" s="1"/>
  <c r="AK781" i="15"/>
  <c r="AH783" i="15"/>
  <c r="AI783" i="15" s="1"/>
  <c r="AK783" i="15"/>
  <c r="AL783" i="15"/>
  <c r="CB783" i="15" s="1"/>
  <c r="AH785" i="15"/>
  <c r="AI785" i="15" s="1"/>
  <c r="AL785" i="15"/>
  <c r="CB785" i="15" s="1"/>
  <c r="AK785" i="15"/>
  <c r="AH787" i="15"/>
  <c r="CE787" i="15" s="1"/>
  <c r="CF787" i="15" s="1"/>
  <c r="AK787" i="15"/>
  <c r="AL787" i="15"/>
  <c r="CB787" i="15" s="1"/>
  <c r="AH789" i="15"/>
  <c r="CE789" i="15" s="1"/>
  <c r="CF789" i="15" s="1"/>
  <c r="AL789" i="15"/>
  <c r="CB789" i="15" s="1"/>
  <c r="AK789" i="15"/>
  <c r="AH791" i="15"/>
  <c r="CE791" i="15" s="1"/>
  <c r="CF791" i="15" s="1"/>
  <c r="AK791" i="15"/>
  <c r="AL791" i="15"/>
  <c r="CB791" i="15" s="1"/>
  <c r="AH793" i="15"/>
  <c r="CE793" i="15" s="1"/>
  <c r="CF793" i="15" s="1"/>
  <c r="AK793" i="15"/>
  <c r="AL793" i="15"/>
  <c r="CB793" i="15" s="1"/>
  <c r="AH797" i="15"/>
  <c r="AI797" i="15" s="1"/>
  <c r="AL797" i="15"/>
  <c r="CB797" i="15" s="1"/>
  <c r="AK797" i="15"/>
  <c r="AH801" i="15"/>
  <c r="CE801" i="15" s="1"/>
  <c r="CF801" i="15" s="1"/>
  <c r="AL801" i="15"/>
  <c r="CB801" i="15" s="1"/>
  <c r="AK801" i="15"/>
  <c r="AH805" i="15"/>
  <c r="CE805" i="15" s="1"/>
  <c r="CF805" i="15" s="1"/>
  <c r="AL805" i="15"/>
  <c r="CB805" i="15" s="1"/>
  <c r="AK805" i="15"/>
  <c r="AH809" i="15"/>
  <c r="AI809" i="15" s="1"/>
  <c r="AL809" i="15"/>
  <c r="CB809" i="15" s="1"/>
  <c r="AK809" i="15"/>
  <c r="AH815" i="15"/>
  <c r="CE815" i="15" s="1"/>
  <c r="CF815" i="15" s="1"/>
  <c r="AL815" i="15"/>
  <c r="CB815" i="15" s="1"/>
  <c r="AK815" i="15"/>
  <c r="AH819" i="15"/>
  <c r="AI819" i="15" s="1"/>
  <c r="AL819" i="15"/>
  <c r="CB819" i="15" s="1"/>
  <c r="AK819" i="15"/>
  <c r="AH823" i="15"/>
  <c r="CE823" i="15" s="1"/>
  <c r="CF823" i="15" s="1"/>
  <c r="AL823" i="15"/>
  <c r="CB823" i="15" s="1"/>
  <c r="AK823" i="15"/>
  <c r="AH829" i="15"/>
  <c r="AI829" i="15" s="1"/>
  <c r="AK829" i="15"/>
  <c r="AL829" i="15"/>
  <c r="CB829" i="15" s="1"/>
  <c r="AL831" i="15"/>
  <c r="CB831" i="15" s="1"/>
  <c r="AK831" i="15"/>
  <c r="AL833" i="15"/>
  <c r="CB833" i="15" s="1"/>
  <c r="AK833" i="15"/>
  <c r="AK835" i="15"/>
  <c r="AL835" i="15"/>
  <c r="CB835" i="15" s="1"/>
  <c r="AH837" i="15"/>
  <c r="AI837" i="15" s="1"/>
  <c r="AK837" i="15"/>
  <c r="AL837" i="15"/>
  <c r="CB837" i="15" s="1"/>
  <c r="AL839" i="15"/>
  <c r="CB839" i="15" s="1"/>
  <c r="AK839" i="15"/>
  <c r="AK841" i="15"/>
  <c r="AL841" i="15"/>
  <c r="CB841" i="15" s="1"/>
  <c r="AK843" i="15"/>
  <c r="AL843" i="15"/>
  <c r="CB843" i="15" s="1"/>
  <c r="AH845" i="15"/>
  <c r="CE845" i="15" s="1"/>
  <c r="CF845" i="15" s="1"/>
  <c r="AK845" i="15"/>
  <c r="AL845" i="15"/>
  <c r="CB845" i="15" s="1"/>
  <c r="AL847" i="15"/>
  <c r="CB847" i="15" s="1"/>
  <c r="AK847" i="15"/>
  <c r="AH849" i="15"/>
  <c r="CE849" i="15" s="1"/>
  <c r="CF849" i="15" s="1"/>
  <c r="AK849" i="15"/>
  <c r="AL849" i="15"/>
  <c r="CB849" i="15" s="1"/>
  <c r="AL851" i="15"/>
  <c r="CB851" i="15" s="1"/>
  <c r="AK851" i="15"/>
  <c r="AH853" i="15"/>
  <c r="AI853" i="15" s="1"/>
  <c r="AK853" i="15"/>
  <c r="AL853" i="15"/>
  <c r="CB853" i="15" s="1"/>
  <c r="AL855" i="15"/>
  <c r="CB855" i="15" s="1"/>
  <c r="AK855" i="15"/>
  <c r="AK859" i="15"/>
  <c r="AL859" i="15"/>
  <c r="CB859" i="15" s="1"/>
  <c r="AH39" i="15"/>
  <c r="CE39" i="15" s="1"/>
  <c r="CF39" i="15" s="1"/>
  <c r="AK39" i="15"/>
  <c r="AL39" i="15"/>
  <c r="CB39" i="15" s="1"/>
  <c r="AH44" i="15"/>
  <c r="CE44" i="15" s="1"/>
  <c r="CF44" i="15" s="1"/>
  <c r="AK44" i="15"/>
  <c r="AL44" i="15"/>
  <c r="CB44" i="15" s="1"/>
  <c r="AK48" i="15"/>
  <c r="AL48" i="15"/>
  <c r="CB48" i="15" s="1"/>
  <c r="AK52" i="15"/>
  <c r="AL52" i="15"/>
  <c r="CB52" i="15" s="1"/>
  <c r="AK56" i="15"/>
  <c r="AL56" i="15"/>
  <c r="CB56" i="15" s="1"/>
  <c r="AK60" i="15"/>
  <c r="AL60" i="15"/>
  <c r="CB60" i="15" s="1"/>
  <c r="AK69" i="15"/>
  <c r="AL69" i="15"/>
  <c r="CB69" i="15" s="1"/>
  <c r="AK73" i="15"/>
  <c r="AL73" i="15"/>
  <c r="CB73" i="15" s="1"/>
  <c r="AK77" i="15"/>
  <c r="AL77" i="15"/>
  <c r="CB77" i="15" s="1"/>
  <c r="AK81" i="15"/>
  <c r="AL81" i="15"/>
  <c r="CB81" i="15" s="1"/>
  <c r="AK85" i="15"/>
  <c r="AL85" i="15"/>
  <c r="CB85" i="15" s="1"/>
  <c r="AK89" i="15"/>
  <c r="AL89" i="15"/>
  <c r="CB89" i="15" s="1"/>
  <c r="AK92" i="15"/>
  <c r="AL92" i="15"/>
  <c r="CB92" i="15" s="1"/>
  <c r="AH101" i="15"/>
  <c r="CE101" i="15" s="1"/>
  <c r="CF101" i="15" s="1"/>
  <c r="AK101" i="15"/>
  <c r="AL101" i="15"/>
  <c r="CB101" i="15" s="1"/>
  <c r="AH105" i="15"/>
  <c r="CE105" i="15" s="1"/>
  <c r="CF105" i="15" s="1"/>
  <c r="AK105" i="15"/>
  <c r="AL105" i="15"/>
  <c r="CB105" i="15" s="1"/>
  <c r="AH109" i="15"/>
  <c r="CE109" i="15" s="1"/>
  <c r="CF109" i="15" s="1"/>
  <c r="AK109" i="15"/>
  <c r="AL109" i="15"/>
  <c r="CB109" i="15" s="1"/>
  <c r="AH113" i="15"/>
  <c r="CE113" i="15" s="1"/>
  <c r="CF113" i="15" s="1"/>
  <c r="AK113" i="15"/>
  <c r="AL113" i="15"/>
  <c r="CB113" i="15" s="1"/>
  <c r="AH117" i="15"/>
  <c r="CE117" i="15" s="1"/>
  <c r="CF117" i="15" s="1"/>
  <c r="AK117" i="15"/>
  <c r="AL117" i="15"/>
  <c r="CB117" i="15" s="1"/>
  <c r="AH121" i="15"/>
  <c r="CE121" i="15" s="1"/>
  <c r="CF121" i="15" s="1"/>
  <c r="AK121" i="15"/>
  <c r="AL121" i="15"/>
  <c r="CB121" i="15" s="1"/>
  <c r="AH129" i="15"/>
  <c r="CE129" i="15" s="1"/>
  <c r="CF129" i="15" s="1"/>
  <c r="AK129" i="15"/>
  <c r="AL129" i="15"/>
  <c r="CB129" i="15" s="1"/>
  <c r="AH131" i="15"/>
  <c r="CE131" i="15" s="1"/>
  <c r="CF131" i="15" s="1"/>
  <c r="AK131" i="15"/>
  <c r="AL131" i="15"/>
  <c r="CB131" i="15" s="1"/>
  <c r="AH135" i="15"/>
  <c r="CE135" i="15" s="1"/>
  <c r="CF135" i="15" s="1"/>
  <c r="AK135" i="15"/>
  <c r="AL135" i="15"/>
  <c r="CB135" i="15" s="1"/>
  <c r="AH141" i="15"/>
  <c r="CE141" i="15" s="1"/>
  <c r="CF141" i="15" s="1"/>
  <c r="AK141" i="15"/>
  <c r="AL141" i="15"/>
  <c r="CB141" i="15" s="1"/>
  <c r="AH252" i="15"/>
  <c r="AI252" i="15" s="1"/>
  <c r="AK252" i="15"/>
  <c r="AL252" i="15"/>
  <c r="CB252" i="15" s="1"/>
  <c r="AH256" i="15"/>
  <c r="CE256" i="15" s="1"/>
  <c r="CF256" i="15" s="1"/>
  <c r="AL256" i="15"/>
  <c r="CB256" i="15" s="1"/>
  <c r="AK256" i="15"/>
  <c r="AH260" i="15"/>
  <c r="CE260" i="15" s="1"/>
  <c r="CF260" i="15" s="1"/>
  <c r="AL260" i="15"/>
  <c r="CB260" i="15" s="1"/>
  <c r="AK260" i="15"/>
  <c r="AH264" i="15"/>
  <c r="CE264" i="15" s="1"/>
  <c r="CF264" i="15" s="1"/>
  <c r="AL264" i="15"/>
  <c r="CB264" i="15" s="1"/>
  <c r="AK264" i="15"/>
  <c r="AH268" i="15"/>
  <c r="CE268" i="15" s="1"/>
  <c r="CF268" i="15" s="1"/>
  <c r="AK268" i="15"/>
  <c r="AL268" i="15"/>
  <c r="CB268" i="15" s="1"/>
  <c r="AH272" i="15"/>
  <c r="AI272" i="15" s="1"/>
  <c r="AL272" i="15"/>
  <c r="CB272" i="15" s="1"/>
  <c r="AK272" i="15"/>
  <c r="AH276" i="15"/>
  <c r="CE276" i="15" s="1"/>
  <c r="CF276" i="15" s="1"/>
  <c r="AL276" i="15"/>
  <c r="CB276" i="15" s="1"/>
  <c r="AK276" i="15"/>
  <c r="AH280" i="15"/>
  <c r="AI280" i="15" s="1"/>
  <c r="AL280" i="15"/>
  <c r="CB280" i="15" s="1"/>
  <c r="AK280" i="15"/>
  <c r="AH284" i="15"/>
  <c r="CE284" i="15" s="1"/>
  <c r="CF284" i="15" s="1"/>
  <c r="AL284" i="15"/>
  <c r="CB284" i="15" s="1"/>
  <c r="AK284" i="15"/>
  <c r="AH288" i="15"/>
  <c r="CE288" i="15" s="1"/>
  <c r="CF288" i="15" s="1"/>
  <c r="AL288" i="15"/>
  <c r="CB288" i="15" s="1"/>
  <c r="AK288" i="15"/>
  <c r="AH292" i="15"/>
  <c r="CE292" i="15" s="1"/>
  <c r="CF292" i="15" s="1"/>
  <c r="AL292" i="15"/>
  <c r="CB292" i="15" s="1"/>
  <c r="AK292" i="15"/>
  <c r="AH296" i="15"/>
  <c r="CE296" i="15" s="1"/>
  <c r="CF296" i="15" s="1"/>
  <c r="AL296" i="15"/>
  <c r="CB296" i="15" s="1"/>
  <c r="AK296" i="15"/>
  <c r="AH304" i="15"/>
  <c r="CE304" i="15" s="1"/>
  <c r="CF304" i="15" s="1"/>
  <c r="AL304" i="15"/>
  <c r="CB304" i="15" s="1"/>
  <c r="AK304" i="15"/>
  <c r="AH308" i="15"/>
  <c r="CE308" i="15" s="1"/>
  <c r="CF308" i="15" s="1"/>
  <c r="AK308" i="15"/>
  <c r="AL308" i="15"/>
  <c r="CB308" i="15" s="1"/>
  <c r="AH312" i="15"/>
  <c r="CE312" i="15" s="1"/>
  <c r="CF312" i="15" s="1"/>
  <c r="AL312" i="15"/>
  <c r="CB312" i="15" s="1"/>
  <c r="AK312" i="15"/>
  <c r="AH316" i="15"/>
  <c r="CE316" i="15" s="1"/>
  <c r="CF316" i="15" s="1"/>
  <c r="AL316" i="15"/>
  <c r="CB316" i="15" s="1"/>
  <c r="AK316" i="15"/>
  <c r="AH320" i="15"/>
  <c r="AI320" i="15" s="1"/>
  <c r="AL320" i="15"/>
  <c r="CB320" i="15" s="1"/>
  <c r="AK320" i="15"/>
  <c r="AL326" i="15"/>
  <c r="CB326" i="15" s="1"/>
  <c r="AK326" i="15"/>
  <c r="AL328" i="15"/>
  <c r="CB328" i="15" s="1"/>
  <c r="AK328" i="15"/>
  <c r="AL330" i="15"/>
  <c r="CB330" i="15" s="1"/>
  <c r="AK330" i="15"/>
  <c r="AL332" i="15"/>
  <c r="CB332" i="15" s="1"/>
  <c r="AK332" i="15"/>
  <c r="AH334" i="15"/>
  <c r="CE334" i="15" s="1"/>
  <c r="CF334" i="15" s="1"/>
  <c r="AL334" i="15"/>
  <c r="CB334" i="15" s="1"/>
  <c r="AK334" i="15"/>
  <c r="AL336" i="15"/>
  <c r="CB336" i="15" s="1"/>
  <c r="AK336" i="15"/>
  <c r="AL338" i="15"/>
  <c r="CB338" i="15" s="1"/>
  <c r="AK338" i="15"/>
  <c r="AH366" i="15"/>
  <c r="CE366" i="15" s="1"/>
  <c r="CF366" i="15" s="1"/>
  <c r="AL366" i="15"/>
  <c r="CB366" i="15" s="1"/>
  <c r="AK366" i="15"/>
  <c r="AK372" i="15"/>
  <c r="AL372" i="15"/>
  <c r="CB372" i="15" s="1"/>
  <c r="AK376" i="15"/>
  <c r="AL376" i="15"/>
  <c r="CB376" i="15" s="1"/>
  <c r="AH381" i="15"/>
  <c r="CE381" i="15" s="1"/>
  <c r="CF381" i="15" s="1"/>
  <c r="AL381" i="15"/>
  <c r="CB381" i="15" s="1"/>
  <c r="AK381" i="15"/>
  <c r="AH385" i="15"/>
  <c r="CE385" i="15" s="1"/>
  <c r="CF385" i="15" s="1"/>
  <c r="AL385" i="15"/>
  <c r="CB385" i="15" s="1"/>
  <c r="AK385" i="15"/>
  <c r="AH389" i="15"/>
  <c r="CE389" i="15" s="1"/>
  <c r="CF389" i="15" s="1"/>
  <c r="AL389" i="15"/>
  <c r="CB389" i="15" s="1"/>
  <c r="AK389" i="15"/>
  <c r="AL393" i="15"/>
  <c r="CB393" i="15" s="1"/>
  <c r="AK393" i="15"/>
  <c r="AH397" i="15"/>
  <c r="AI397" i="15" s="1"/>
  <c r="AL397" i="15"/>
  <c r="CB397" i="15" s="1"/>
  <c r="AK397" i="15"/>
  <c r="AL401" i="15"/>
  <c r="CB401" i="15" s="1"/>
  <c r="AK401" i="15"/>
  <c r="AL403" i="15"/>
  <c r="CB403" i="15" s="1"/>
  <c r="AK403" i="15"/>
  <c r="AH409" i="15"/>
  <c r="CE409" i="15" s="1"/>
  <c r="CF409" i="15" s="1"/>
  <c r="AL409" i="15"/>
  <c r="CB409" i="15" s="1"/>
  <c r="AK409" i="15"/>
  <c r="AH413" i="15"/>
  <c r="CE413" i="15" s="1"/>
  <c r="CF413" i="15" s="1"/>
  <c r="AK413" i="15"/>
  <c r="AL413" i="15"/>
  <c r="CB413" i="15" s="1"/>
  <c r="AH417" i="15"/>
  <c r="CE417" i="15" s="1"/>
  <c r="CF417" i="15" s="1"/>
  <c r="AL417" i="15"/>
  <c r="CB417" i="15" s="1"/>
  <c r="AK417" i="15"/>
  <c r="AH421" i="15"/>
  <c r="CE421" i="15" s="1"/>
  <c r="CF421" i="15" s="1"/>
  <c r="AK421" i="15"/>
  <c r="AL421" i="15"/>
  <c r="CB421" i="15" s="1"/>
  <c r="AH425" i="15"/>
  <c r="CE425" i="15" s="1"/>
  <c r="CF425" i="15" s="1"/>
  <c r="AL425" i="15"/>
  <c r="CB425" i="15" s="1"/>
  <c r="AK425" i="15"/>
  <c r="AL463" i="15"/>
  <c r="CB463" i="15" s="1"/>
  <c r="AK463" i="15"/>
  <c r="AL467" i="15"/>
  <c r="CB467" i="15" s="1"/>
  <c r="AK467" i="15"/>
  <c r="AL608" i="15"/>
  <c r="CB608" i="15" s="1"/>
  <c r="AK608" i="15"/>
  <c r="AH612" i="15"/>
  <c r="AI612" i="15" s="1"/>
  <c r="AL612" i="15"/>
  <c r="CB612" i="15" s="1"/>
  <c r="AK612" i="15"/>
  <c r="AH616" i="15"/>
  <c r="CE616" i="15" s="1"/>
  <c r="CF616" i="15" s="1"/>
  <c r="AL616" i="15"/>
  <c r="CB616" i="15" s="1"/>
  <c r="AK616" i="15"/>
  <c r="AH624" i="15"/>
  <c r="CE624" i="15" s="1"/>
  <c r="CF624" i="15" s="1"/>
  <c r="AL624" i="15"/>
  <c r="CB624" i="15" s="1"/>
  <c r="AK624" i="15"/>
  <c r="AH628" i="15"/>
  <c r="CE628" i="15" s="1"/>
  <c r="CF628" i="15" s="1"/>
  <c r="AK628" i="15"/>
  <c r="AL628" i="15"/>
  <c r="CB628" i="15" s="1"/>
  <c r="AL633" i="15"/>
  <c r="CB633" i="15" s="1"/>
  <c r="AK633" i="15"/>
  <c r="AH637" i="15"/>
  <c r="CE637" i="15" s="1"/>
  <c r="CF637" i="15" s="1"/>
  <c r="AL637" i="15"/>
  <c r="CB637" i="15" s="1"/>
  <c r="AK637" i="15"/>
  <c r="AH645" i="15"/>
  <c r="AI645" i="15" s="1"/>
  <c r="AL645" i="15"/>
  <c r="CB645" i="15" s="1"/>
  <c r="AK645" i="15"/>
  <c r="AH649" i="15"/>
  <c r="AI649" i="15" s="1"/>
  <c r="AK649" i="15"/>
  <c r="AL649" i="15"/>
  <c r="CB649" i="15" s="1"/>
  <c r="AH653" i="15"/>
  <c r="AI653" i="15" s="1"/>
  <c r="AL653" i="15"/>
  <c r="CB653" i="15" s="1"/>
  <c r="AK653" i="15"/>
  <c r="AH657" i="15"/>
  <c r="CE657" i="15" s="1"/>
  <c r="CF657" i="15" s="1"/>
  <c r="AK657" i="15"/>
  <c r="AL657" i="15"/>
  <c r="CB657" i="15" s="1"/>
  <c r="AH661" i="15"/>
  <c r="CE661" i="15" s="1"/>
  <c r="CF661" i="15" s="1"/>
  <c r="AL661" i="15"/>
  <c r="CB661" i="15" s="1"/>
  <c r="AK661" i="15"/>
  <c r="AH665" i="15"/>
  <c r="AI665" i="15" s="1"/>
  <c r="AK665" i="15"/>
  <c r="AL665" i="15"/>
  <c r="CB665" i="15" s="1"/>
  <c r="AL679" i="15"/>
  <c r="CB679" i="15" s="1"/>
  <c r="AK679" i="15"/>
  <c r="AH36" i="15"/>
  <c r="CE36" i="15" s="1"/>
  <c r="CF36" i="15" s="1"/>
  <c r="AK36" i="15"/>
  <c r="AL36" i="15"/>
  <c r="CB36" i="15" s="1"/>
  <c r="AK38" i="15"/>
  <c r="AL38" i="15"/>
  <c r="CB38" i="15" s="1"/>
  <c r="AK40" i="15"/>
  <c r="AL40" i="15"/>
  <c r="CB40" i="15" s="1"/>
  <c r="AH45" i="15"/>
  <c r="CE45" i="15" s="1"/>
  <c r="CF45" i="15" s="1"/>
  <c r="AK45" i="15"/>
  <c r="AL45" i="15"/>
  <c r="CB45" i="15" s="1"/>
  <c r="AH47" i="15"/>
  <c r="AI47" i="15" s="1"/>
  <c r="AK47" i="15"/>
  <c r="AL47" i="15"/>
  <c r="CB47" i="15" s="1"/>
  <c r="AH49" i="15"/>
  <c r="CE49" i="15" s="1"/>
  <c r="CF49" i="15" s="1"/>
  <c r="AK49" i="15"/>
  <c r="AL49" i="15"/>
  <c r="CB49" i="15" s="1"/>
  <c r="AH51" i="15"/>
  <c r="CE51" i="15" s="1"/>
  <c r="CF51" i="15" s="1"/>
  <c r="AK51" i="15"/>
  <c r="AL51" i="15"/>
  <c r="CB51" i="15" s="1"/>
  <c r="AH53" i="15"/>
  <c r="CE53" i="15" s="1"/>
  <c r="CF53" i="15" s="1"/>
  <c r="AK53" i="15"/>
  <c r="AL53" i="15"/>
  <c r="CB53" i="15" s="1"/>
  <c r="AH55" i="15"/>
  <c r="CE55" i="15" s="1"/>
  <c r="CF55" i="15" s="1"/>
  <c r="AK55" i="15"/>
  <c r="AL55" i="15"/>
  <c r="CB55" i="15" s="1"/>
  <c r="AH57" i="15"/>
  <c r="CE57" i="15" s="1"/>
  <c r="CF57" i="15" s="1"/>
  <c r="AK57" i="15"/>
  <c r="AL57" i="15"/>
  <c r="CB57" i="15" s="1"/>
  <c r="AH59" i="15"/>
  <c r="CE59" i="15" s="1"/>
  <c r="CF59" i="15" s="1"/>
  <c r="AK59" i="15"/>
  <c r="AL59" i="15"/>
  <c r="CB59" i="15" s="1"/>
  <c r="AH61" i="15"/>
  <c r="CE61" i="15" s="1"/>
  <c r="CF61" i="15" s="1"/>
  <c r="AK61" i="15"/>
  <c r="AL61" i="15"/>
  <c r="CB61" i="15" s="1"/>
  <c r="AH63" i="15"/>
  <c r="AI63" i="15" s="1"/>
  <c r="AK63" i="15"/>
  <c r="AL63" i="15"/>
  <c r="CB63" i="15" s="1"/>
  <c r="AH68" i="15"/>
  <c r="CE68" i="15" s="1"/>
  <c r="CF68" i="15" s="1"/>
  <c r="AK68" i="15"/>
  <c r="AL68" i="15"/>
  <c r="CB68" i="15" s="1"/>
  <c r="AH70" i="15"/>
  <c r="CE70" i="15" s="1"/>
  <c r="CF70" i="15" s="1"/>
  <c r="AK70" i="15"/>
  <c r="AL70" i="15"/>
  <c r="CB70" i="15" s="1"/>
  <c r="AH72" i="15"/>
  <c r="CE72" i="15" s="1"/>
  <c r="CF72" i="15" s="1"/>
  <c r="AK72" i="15"/>
  <c r="AL72" i="15"/>
  <c r="CB72" i="15" s="1"/>
  <c r="AH74" i="15"/>
  <c r="CE74" i="15" s="1"/>
  <c r="CF74" i="15" s="1"/>
  <c r="AK74" i="15"/>
  <c r="AL74" i="15"/>
  <c r="CB74" i="15" s="1"/>
  <c r="AH76" i="15"/>
  <c r="CE76" i="15" s="1"/>
  <c r="CF76" i="15" s="1"/>
  <c r="AK76" i="15"/>
  <c r="AL76" i="15"/>
  <c r="CB76" i="15" s="1"/>
  <c r="AH78" i="15"/>
  <c r="CE78" i="15" s="1"/>
  <c r="CF78" i="15" s="1"/>
  <c r="AK78" i="15"/>
  <c r="AL78" i="15"/>
  <c r="CB78" i="15" s="1"/>
  <c r="AH80" i="15"/>
  <c r="CE80" i="15" s="1"/>
  <c r="CF80" i="15" s="1"/>
  <c r="AK80" i="15"/>
  <c r="AL80" i="15"/>
  <c r="CB80" i="15" s="1"/>
  <c r="AH84" i="15"/>
  <c r="AI84" i="15" s="1"/>
  <c r="AK84" i="15"/>
  <c r="AL84" i="15"/>
  <c r="CB84" i="15" s="1"/>
  <c r="AH86" i="15"/>
  <c r="CE86" i="15" s="1"/>
  <c r="CF86" i="15" s="1"/>
  <c r="AK86" i="15"/>
  <c r="AL86" i="15"/>
  <c r="CB86" i="15" s="1"/>
  <c r="AH88" i="15"/>
  <c r="CE88" i="15" s="1"/>
  <c r="CF88" i="15" s="1"/>
  <c r="AK88" i="15"/>
  <c r="AL88" i="15"/>
  <c r="CB88" i="15" s="1"/>
  <c r="AH90" i="15"/>
  <c r="CE90" i="15" s="1"/>
  <c r="CF90" i="15" s="1"/>
  <c r="AK90" i="15"/>
  <c r="AL90" i="15"/>
  <c r="CB90" i="15" s="1"/>
  <c r="AH93" i="15"/>
  <c r="CE93" i="15" s="1"/>
  <c r="CF93" i="15" s="1"/>
  <c r="AK93" i="15"/>
  <c r="AL93" i="15"/>
  <c r="CB93" i="15" s="1"/>
  <c r="AH94" i="15"/>
  <c r="CE94" i="15" s="1"/>
  <c r="CF94" i="15" s="1"/>
  <c r="AK94" i="15"/>
  <c r="AL94" i="15"/>
  <c r="CB94" i="15" s="1"/>
  <c r="AH96" i="15"/>
  <c r="CE96" i="15" s="1"/>
  <c r="CF96" i="15" s="1"/>
  <c r="AK96" i="15"/>
  <c r="AL96" i="15"/>
  <c r="CB96" i="15" s="1"/>
  <c r="AK100" i="15"/>
  <c r="AL100" i="15"/>
  <c r="CB100" i="15" s="1"/>
  <c r="AK102" i="15"/>
  <c r="AL102" i="15"/>
  <c r="CB102" i="15" s="1"/>
  <c r="AK104" i="15"/>
  <c r="AL104" i="15"/>
  <c r="CB104" i="15" s="1"/>
  <c r="AK106" i="15"/>
  <c r="AL106" i="15"/>
  <c r="CB106" i="15" s="1"/>
  <c r="AK108" i="15"/>
  <c r="AL108" i="15"/>
  <c r="CB108" i="15" s="1"/>
  <c r="AK110" i="15"/>
  <c r="AL110" i="15"/>
  <c r="CB110" i="15" s="1"/>
  <c r="AK112" i="15"/>
  <c r="AL112" i="15"/>
  <c r="CB112" i="15" s="1"/>
  <c r="AK114" i="15"/>
  <c r="AL114" i="15"/>
  <c r="CB114" i="15" s="1"/>
  <c r="AK116" i="15"/>
  <c r="AL116" i="15"/>
  <c r="CB116" i="15" s="1"/>
  <c r="AK118" i="15"/>
  <c r="AL118" i="15"/>
  <c r="CB118" i="15" s="1"/>
  <c r="AK120" i="15"/>
  <c r="AL120" i="15"/>
  <c r="CB120" i="15" s="1"/>
  <c r="AK122" i="15"/>
  <c r="AL122" i="15"/>
  <c r="CB122" i="15" s="1"/>
  <c r="AH126" i="15"/>
  <c r="CE126" i="15" s="1"/>
  <c r="CF126" i="15" s="1"/>
  <c r="AK126" i="15"/>
  <c r="AL126" i="15"/>
  <c r="CB126" i="15" s="1"/>
  <c r="AK128" i="15"/>
  <c r="AL128" i="15"/>
  <c r="CB128" i="15" s="1"/>
  <c r="AK130" i="15"/>
  <c r="AL130" i="15"/>
  <c r="CB130" i="15" s="1"/>
  <c r="AK132" i="15"/>
  <c r="AL132" i="15"/>
  <c r="CB132" i="15" s="1"/>
  <c r="AK134" i="15"/>
  <c r="AL134" i="15"/>
  <c r="CB134" i="15" s="1"/>
  <c r="AK136" i="15"/>
  <c r="AL136" i="15"/>
  <c r="CB136" i="15" s="1"/>
  <c r="AH138" i="15"/>
  <c r="CE138" i="15" s="1"/>
  <c r="CF138" i="15" s="1"/>
  <c r="AK138" i="15"/>
  <c r="AL138" i="15"/>
  <c r="CB138" i="15" s="1"/>
  <c r="AH140" i="15"/>
  <c r="CE140" i="15" s="1"/>
  <c r="CF140" i="15" s="1"/>
  <c r="AK140" i="15"/>
  <c r="AL140" i="15"/>
  <c r="CB140" i="15" s="1"/>
  <c r="AH142" i="15"/>
  <c r="CE142" i="15" s="1"/>
  <c r="CF142" i="15" s="1"/>
  <c r="AK142" i="15"/>
  <c r="AL142" i="15"/>
  <c r="CB142" i="15" s="1"/>
  <c r="AH249" i="15"/>
  <c r="AI249" i="15" s="1"/>
  <c r="AK249" i="15"/>
  <c r="AL249" i="15"/>
  <c r="CB249" i="15" s="1"/>
  <c r="AH253" i="15"/>
  <c r="CE253" i="15" s="1"/>
  <c r="CF253" i="15" s="1"/>
  <c r="AL253" i="15"/>
  <c r="CB253" i="15" s="1"/>
  <c r="AK253" i="15"/>
  <c r="AH255" i="15"/>
  <c r="CE255" i="15" s="1"/>
  <c r="CF255" i="15" s="1"/>
  <c r="AL255" i="15"/>
  <c r="CB255" i="15" s="1"/>
  <c r="AK255" i="15"/>
  <c r="AH257" i="15"/>
  <c r="CE257" i="15" s="1"/>
  <c r="CF257" i="15" s="1"/>
  <c r="AL257" i="15"/>
  <c r="CB257" i="15" s="1"/>
  <c r="AK257" i="15"/>
  <c r="AH259" i="15"/>
  <c r="CE259" i="15" s="1"/>
  <c r="CF259" i="15" s="1"/>
  <c r="AL259" i="15"/>
  <c r="CB259" i="15" s="1"/>
  <c r="AK259" i="15"/>
  <c r="AH261" i="15"/>
  <c r="CE261" i="15" s="1"/>
  <c r="CF261" i="15" s="1"/>
  <c r="AL261" i="15"/>
  <c r="CB261" i="15" s="1"/>
  <c r="AK261" i="15"/>
  <c r="AH263" i="15"/>
  <c r="CE263" i="15" s="1"/>
  <c r="CF263" i="15" s="1"/>
  <c r="AL263" i="15"/>
  <c r="CB263" i="15" s="1"/>
  <c r="AK263" i="15"/>
  <c r="AH265" i="15"/>
  <c r="CE265" i="15" s="1"/>
  <c r="CF265" i="15" s="1"/>
  <c r="AL265" i="15"/>
  <c r="CB265" i="15" s="1"/>
  <c r="AK265" i="15"/>
  <c r="AH267" i="15"/>
  <c r="CE267" i="15" s="1"/>
  <c r="CF267" i="15" s="1"/>
  <c r="AL267" i="15"/>
  <c r="CB267" i="15" s="1"/>
  <c r="AK267" i="15"/>
  <c r="AL273" i="15"/>
  <c r="CB273" i="15" s="1"/>
  <c r="AK273" i="15"/>
  <c r="AK274" i="15"/>
  <c r="AL274" i="15"/>
  <c r="CB274" i="15" s="1"/>
  <c r="AK277" i="15"/>
  <c r="AL277" i="15"/>
  <c r="CB277" i="15" s="1"/>
  <c r="AK279" i="15"/>
  <c r="AL279" i="15"/>
  <c r="CB279" i="15" s="1"/>
  <c r="AL281" i="15"/>
  <c r="CB281" i="15" s="1"/>
  <c r="AK281" i="15"/>
  <c r="AK283" i="15"/>
  <c r="AL283" i="15"/>
  <c r="CB283" i="15" s="1"/>
  <c r="AL285" i="15"/>
  <c r="CB285" i="15" s="1"/>
  <c r="AK285" i="15"/>
  <c r="AH287" i="15"/>
  <c r="AI287" i="15" s="1"/>
  <c r="AK287" i="15"/>
  <c r="AL287" i="15"/>
  <c r="CB287" i="15" s="1"/>
  <c r="AL289" i="15"/>
  <c r="CB289" i="15" s="1"/>
  <c r="AK289" i="15"/>
  <c r="AK291" i="15"/>
  <c r="AL291" i="15"/>
  <c r="CB291" i="15" s="1"/>
  <c r="AK293" i="15"/>
  <c r="AL293" i="15"/>
  <c r="CB293" i="15" s="1"/>
  <c r="AK295" i="15"/>
  <c r="AL295" i="15"/>
  <c r="CB295" i="15" s="1"/>
  <c r="AL297" i="15"/>
  <c r="CB297" i="15" s="1"/>
  <c r="AK297" i="15"/>
  <c r="AL301" i="15"/>
  <c r="CB301" i="15" s="1"/>
  <c r="AK301" i="15"/>
  <c r="AL303" i="15"/>
  <c r="CB303" i="15" s="1"/>
  <c r="AK303" i="15"/>
  <c r="AL305" i="15"/>
  <c r="CB305" i="15" s="1"/>
  <c r="AK305" i="15"/>
  <c r="AL307" i="15"/>
  <c r="CB307" i="15" s="1"/>
  <c r="AK307" i="15"/>
  <c r="AL309" i="15"/>
  <c r="CB309" i="15" s="1"/>
  <c r="AK309" i="15"/>
  <c r="AL311" i="15"/>
  <c r="CB311" i="15" s="1"/>
  <c r="AK311" i="15"/>
  <c r="AL313" i="15"/>
  <c r="CB313" i="15" s="1"/>
  <c r="AK313" i="15"/>
  <c r="AL315" i="15"/>
  <c r="CB315" i="15" s="1"/>
  <c r="AK315" i="15"/>
  <c r="AL317" i="15"/>
  <c r="CB317" i="15" s="1"/>
  <c r="AK317" i="15"/>
  <c r="AL319" i="15"/>
  <c r="CB319" i="15" s="1"/>
  <c r="AK319" i="15"/>
  <c r="AL321" i="15"/>
  <c r="CB321" i="15" s="1"/>
  <c r="AK321" i="15"/>
  <c r="AL323" i="15"/>
  <c r="CB323" i="15" s="1"/>
  <c r="AK323" i="15"/>
  <c r="AH327" i="15"/>
  <c r="CE327" i="15" s="1"/>
  <c r="CF327" i="15" s="1"/>
  <c r="AL327" i="15"/>
  <c r="CB327" i="15" s="1"/>
  <c r="AK327" i="15"/>
  <c r="AH329" i="15"/>
  <c r="CE329" i="15" s="1"/>
  <c r="CF329" i="15" s="1"/>
  <c r="AK329" i="15"/>
  <c r="AL329" i="15"/>
  <c r="CB329" i="15" s="1"/>
  <c r="AH331" i="15"/>
  <c r="CE331" i="15" s="1"/>
  <c r="CF331" i="15" s="1"/>
  <c r="AL331" i="15"/>
  <c r="CB331" i="15" s="1"/>
  <c r="AK331" i="15"/>
  <c r="AH333" i="15"/>
  <c r="CE333" i="15" s="1"/>
  <c r="CF333" i="15" s="1"/>
  <c r="AK333" i="15"/>
  <c r="AL333" i="15"/>
  <c r="CB333" i="15" s="1"/>
  <c r="AH335" i="15"/>
  <c r="CE335" i="15" s="1"/>
  <c r="CF335" i="15" s="1"/>
  <c r="AL335" i="15"/>
  <c r="CB335" i="15" s="1"/>
  <c r="AK335" i="15"/>
  <c r="AH337" i="15"/>
  <c r="AI337" i="15" s="1"/>
  <c r="AK337" i="15"/>
  <c r="AL337" i="15"/>
  <c r="CB337" i="15" s="1"/>
  <c r="AH339" i="15"/>
  <c r="CE339" i="15" s="1"/>
  <c r="CF339" i="15" s="1"/>
  <c r="AL339" i="15"/>
  <c r="CB339" i="15" s="1"/>
  <c r="AK339" i="15"/>
  <c r="AH341" i="15"/>
  <c r="CE341" i="15" s="1"/>
  <c r="CF341" i="15" s="1"/>
  <c r="AK341" i="15"/>
  <c r="AL341" i="15"/>
  <c r="CB341" i="15" s="1"/>
  <c r="AH343" i="15"/>
  <c r="CE343" i="15" s="1"/>
  <c r="CF343" i="15" s="1"/>
  <c r="AL343" i="15"/>
  <c r="CB343" i="15" s="1"/>
  <c r="AK343" i="15"/>
  <c r="AH345" i="15"/>
  <c r="CE345" i="15" s="1"/>
  <c r="CF345" i="15" s="1"/>
  <c r="AL345" i="15"/>
  <c r="CB345" i="15" s="1"/>
  <c r="AK345" i="15"/>
  <c r="AH347" i="15"/>
  <c r="CE347" i="15" s="1"/>
  <c r="CF347" i="15" s="1"/>
  <c r="AK347" i="15"/>
  <c r="AL347" i="15"/>
  <c r="CB347" i="15" s="1"/>
  <c r="AH349" i="15"/>
  <c r="CE349" i="15" s="1"/>
  <c r="CF349" i="15" s="1"/>
  <c r="AK349" i="15"/>
  <c r="AL349" i="15"/>
  <c r="CB349" i="15" s="1"/>
  <c r="AH351" i="15"/>
  <c r="CE351" i="15" s="1"/>
  <c r="CF351" i="15" s="1"/>
  <c r="AL351" i="15"/>
  <c r="CB351" i="15" s="1"/>
  <c r="AK351" i="15"/>
  <c r="AH353" i="15"/>
  <c r="AI353" i="15" s="1"/>
  <c r="AL353" i="15"/>
  <c r="CB353" i="15" s="1"/>
  <c r="AK353" i="15"/>
  <c r="AH355" i="15"/>
  <c r="CE355" i="15" s="1"/>
  <c r="CF355" i="15" s="1"/>
  <c r="AK355" i="15"/>
  <c r="AL355" i="15"/>
  <c r="CB355" i="15" s="1"/>
  <c r="AH357" i="15"/>
  <c r="CE357" i="15" s="1"/>
  <c r="CF357" i="15" s="1"/>
  <c r="AK357" i="15"/>
  <c r="AL357" i="15"/>
  <c r="CB357" i="15" s="1"/>
  <c r="AH359" i="15"/>
  <c r="CE359" i="15" s="1"/>
  <c r="CF359" i="15" s="1"/>
  <c r="AL359" i="15"/>
  <c r="CB359" i="15" s="1"/>
  <c r="AK359" i="15"/>
  <c r="AH361" i="15"/>
  <c r="CE361" i="15" s="1"/>
  <c r="CF361" i="15" s="1"/>
  <c r="AK361" i="15"/>
  <c r="AL361" i="15"/>
  <c r="CB361" i="15" s="1"/>
  <c r="AH363" i="15"/>
  <c r="CE363" i="15" s="1"/>
  <c r="CF363" i="15" s="1"/>
  <c r="AK363" i="15"/>
  <c r="AL363" i="15"/>
  <c r="CB363" i="15" s="1"/>
  <c r="AH365" i="15"/>
  <c r="CE365" i="15" s="1"/>
  <c r="CF365" i="15" s="1"/>
  <c r="AK365" i="15"/>
  <c r="AL365" i="15"/>
  <c r="CB365" i="15" s="1"/>
  <c r="AH367" i="15"/>
  <c r="CE367" i="15" s="1"/>
  <c r="CF367" i="15" s="1"/>
  <c r="AL367" i="15"/>
  <c r="CB367" i="15" s="1"/>
  <c r="AK367" i="15"/>
  <c r="AH369" i="15"/>
  <c r="AI369" i="15" s="1"/>
  <c r="AK369" i="15"/>
  <c r="AL369" i="15"/>
  <c r="CB369" i="15" s="1"/>
  <c r="AH373" i="15"/>
  <c r="CE373" i="15" s="1"/>
  <c r="CF373" i="15" s="1"/>
  <c r="AL373" i="15"/>
  <c r="CB373" i="15" s="1"/>
  <c r="AK373" i="15"/>
  <c r="AH375" i="15"/>
  <c r="CE375" i="15" s="1"/>
  <c r="CF375" i="15" s="1"/>
  <c r="AL375" i="15"/>
  <c r="CB375" i="15" s="1"/>
  <c r="AK375" i="15"/>
  <c r="AH377" i="15"/>
  <c r="CE377" i="15" s="1"/>
  <c r="CF377" i="15" s="1"/>
  <c r="AL377" i="15"/>
  <c r="CB377" i="15" s="1"/>
  <c r="AK377" i="15"/>
  <c r="AL379" i="15"/>
  <c r="CB379" i="15" s="1"/>
  <c r="AK379" i="15"/>
  <c r="AK382" i="15"/>
  <c r="AL382" i="15"/>
  <c r="CB382" i="15" s="1"/>
  <c r="AK384" i="15"/>
  <c r="AL384" i="15"/>
  <c r="CB384" i="15" s="1"/>
  <c r="AL386" i="15"/>
  <c r="CB386" i="15" s="1"/>
  <c r="AK386" i="15"/>
  <c r="AL388" i="15"/>
  <c r="CB388" i="15" s="1"/>
  <c r="AK388" i="15"/>
  <c r="AH390" i="15"/>
  <c r="CE390" i="15" s="1"/>
  <c r="CF390" i="15" s="1"/>
  <c r="AK390" i="15"/>
  <c r="AL390" i="15"/>
  <c r="CB390" i="15" s="1"/>
  <c r="AH392" i="15"/>
  <c r="CE392" i="15" s="1"/>
  <c r="CF392" i="15" s="1"/>
  <c r="AK392" i="15"/>
  <c r="AL392" i="15"/>
  <c r="CB392" i="15" s="1"/>
  <c r="AH394" i="15"/>
  <c r="AI394" i="15" s="1"/>
  <c r="AL394" i="15"/>
  <c r="CB394" i="15" s="1"/>
  <c r="AK394" i="15"/>
  <c r="AK396" i="15"/>
  <c r="AL396" i="15"/>
  <c r="CB396" i="15" s="1"/>
  <c r="AH398" i="15"/>
  <c r="AI398" i="15" s="1"/>
  <c r="AK398" i="15"/>
  <c r="AL398" i="15"/>
  <c r="CB398" i="15" s="1"/>
  <c r="AH400" i="15"/>
  <c r="AI400" i="15" s="1"/>
  <c r="AK400" i="15"/>
  <c r="AL400" i="15"/>
  <c r="CB400" i="15" s="1"/>
  <c r="AH402" i="15"/>
  <c r="CE402" i="15" s="1"/>
  <c r="CF402" i="15" s="1"/>
  <c r="AL402" i="15"/>
  <c r="CB402" i="15" s="1"/>
  <c r="AK402" i="15"/>
  <c r="AK404" i="15"/>
  <c r="AL404" i="15"/>
  <c r="CB404" i="15" s="1"/>
  <c r="AL408" i="15"/>
  <c r="CB408" i="15" s="1"/>
  <c r="AK408" i="15"/>
  <c r="AL410" i="15"/>
  <c r="CB410" i="15" s="1"/>
  <c r="AK410" i="15"/>
  <c r="AL412" i="15"/>
  <c r="CB412" i="15" s="1"/>
  <c r="AK412" i="15"/>
  <c r="AL414" i="15"/>
  <c r="CB414" i="15" s="1"/>
  <c r="AK414" i="15"/>
  <c r="AL416" i="15"/>
  <c r="CB416" i="15" s="1"/>
  <c r="AK416" i="15"/>
  <c r="AL418" i="15"/>
  <c r="CB418" i="15" s="1"/>
  <c r="AK418" i="15"/>
  <c r="AL420" i="15"/>
  <c r="CB420" i="15" s="1"/>
  <c r="AK420" i="15"/>
  <c r="AL422" i="15"/>
  <c r="CB422" i="15" s="1"/>
  <c r="AK422" i="15"/>
  <c r="AL424" i="15"/>
  <c r="CB424" i="15" s="1"/>
  <c r="AK424" i="15"/>
  <c r="AL426" i="15"/>
  <c r="CB426" i="15" s="1"/>
  <c r="AK426" i="15"/>
  <c r="AL428" i="15"/>
  <c r="CB428" i="15" s="1"/>
  <c r="AK428" i="15"/>
  <c r="AH432" i="15"/>
  <c r="CE432" i="15" s="1"/>
  <c r="CF432" i="15" s="1"/>
  <c r="AL432" i="15"/>
  <c r="CB432" i="15" s="1"/>
  <c r="AK432" i="15"/>
  <c r="AH434" i="15"/>
  <c r="AI434" i="15" s="1"/>
  <c r="AL434" i="15"/>
  <c r="CB434" i="15" s="1"/>
  <c r="AK434" i="15"/>
  <c r="AK436" i="15"/>
  <c r="AL436" i="15"/>
  <c r="CB436" i="15" s="1"/>
  <c r="AK438" i="15"/>
  <c r="AL438" i="15"/>
  <c r="CB438" i="15" s="1"/>
  <c r="AL440" i="15"/>
  <c r="CB440" i="15" s="1"/>
  <c r="AK440" i="15"/>
  <c r="AH442" i="15"/>
  <c r="CE442" i="15" s="1"/>
  <c r="CF442" i="15" s="1"/>
  <c r="AK442" i="15"/>
  <c r="AL442" i="15"/>
  <c r="CB442" i="15" s="1"/>
  <c r="AL444" i="15"/>
  <c r="CB444" i="15" s="1"/>
  <c r="AK444" i="15"/>
  <c r="AK446" i="15"/>
  <c r="AL446" i="15"/>
  <c r="CB446" i="15" s="1"/>
  <c r="AH448" i="15"/>
  <c r="CE448" i="15" s="1"/>
  <c r="CF448" i="15" s="1"/>
  <c r="AL448" i="15"/>
  <c r="CB448" i="15" s="1"/>
  <c r="AK448" i="15"/>
  <c r="AH450" i="15"/>
  <c r="CE450" i="15" s="1"/>
  <c r="CF450" i="15" s="1"/>
  <c r="AK450" i="15"/>
  <c r="AL450" i="15"/>
  <c r="CB450" i="15" s="1"/>
  <c r="AH452" i="15"/>
  <c r="CE452" i="15" s="1"/>
  <c r="CF452" i="15" s="1"/>
  <c r="AL452" i="15"/>
  <c r="CB452" i="15" s="1"/>
  <c r="AK452" i="15"/>
  <c r="AH456" i="15"/>
  <c r="AI456" i="15" s="1"/>
  <c r="AL456" i="15"/>
  <c r="CB456" i="15" s="1"/>
  <c r="AK456" i="15"/>
  <c r="AH458" i="15"/>
  <c r="CE458" i="15" s="1"/>
  <c r="CF458" i="15" s="1"/>
  <c r="AL458" i="15"/>
  <c r="CB458" i="15" s="1"/>
  <c r="AK458" i="15"/>
  <c r="AH460" i="15"/>
  <c r="AI460" i="15" s="1"/>
  <c r="AL460" i="15"/>
  <c r="CB460" i="15" s="1"/>
  <c r="AK460" i="15"/>
  <c r="AH462" i="15"/>
  <c r="CE462" i="15" s="1"/>
  <c r="CF462" i="15" s="1"/>
  <c r="AL462" i="15"/>
  <c r="CB462" i="15" s="1"/>
  <c r="AK462" i="15"/>
  <c r="AH464" i="15"/>
  <c r="AI464" i="15" s="1"/>
  <c r="AL464" i="15"/>
  <c r="CB464" i="15" s="1"/>
  <c r="AK464" i="15"/>
  <c r="AH466" i="15"/>
  <c r="CE466" i="15" s="1"/>
  <c r="CF466" i="15" s="1"/>
  <c r="AL466" i="15"/>
  <c r="CB466" i="15" s="1"/>
  <c r="AK466" i="15"/>
  <c r="AH468" i="15"/>
  <c r="CE468" i="15" s="1"/>
  <c r="CF468" i="15" s="1"/>
  <c r="AL468" i="15"/>
  <c r="CB468" i="15" s="1"/>
  <c r="AK468" i="15"/>
  <c r="AH579" i="15"/>
  <c r="AI579" i="15" s="1"/>
  <c r="AL579" i="15"/>
  <c r="CB579" i="15" s="1"/>
  <c r="AK579" i="15"/>
  <c r="AH581" i="15"/>
  <c r="CE581" i="15" s="1"/>
  <c r="CF581" i="15" s="1"/>
  <c r="AL581" i="15"/>
  <c r="CB581" i="15" s="1"/>
  <c r="AK581" i="15"/>
  <c r="AH583" i="15"/>
  <c r="AI583" i="15" s="1"/>
  <c r="AL583" i="15"/>
  <c r="CB583" i="15" s="1"/>
  <c r="AK583" i="15"/>
  <c r="AH585" i="15"/>
  <c r="CE585" i="15" s="1"/>
  <c r="CF585" i="15" s="1"/>
  <c r="AL585" i="15"/>
  <c r="CB585" i="15" s="1"/>
  <c r="AK585" i="15"/>
  <c r="AH587" i="15"/>
  <c r="CE587" i="15" s="1"/>
  <c r="CF587" i="15" s="1"/>
  <c r="AL587" i="15"/>
  <c r="CB587" i="15" s="1"/>
  <c r="AK587" i="15"/>
  <c r="AH589" i="15"/>
  <c r="CE589" i="15" s="1"/>
  <c r="CF589" i="15" s="1"/>
  <c r="AL589" i="15"/>
  <c r="CB589" i="15" s="1"/>
  <c r="AK589" i="15"/>
  <c r="AH591" i="15"/>
  <c r="CE591" i="15" s="1"/>
  <c r="CF591" i="15" s="1"/>
  <c r="AL591" i="15"/>
  <c r="CB591" i="15" s="1"/>
  <c r="AK591" i="15"/>
  <c r="AH593" i="15"/>
  <c r="CE593" i="15" s="1"/>
  <c r="CF593" i="15" s="1"/>
  <c r="AL593" i="15"/>
  <c r="CB593" i="15" s="1"/>
  <c r="AK593" i="15"/>
  <c r="AH595" i="15"/>
  <c r="CE595" i="15" s="1"/>
  <c r="CF595" i="15" s="1"/>
  <c r="AL595" i="15"/>
  <c r="CB595" i="15" s="1"/>
  <c r="AK595" i="15"/>
  <c r="AH597" i="15"/>
  <c r="CE597" i="15" s="1"/>
  <c r="CF597" i="15" s="1"/>
  <c r="AL597" i="15"/>
  <c r="CB597" i="15" s="1"/>
  <c r="AK597" i="15"/>
  <c r="AH599" i="15"/>
  <c r="AI599" i="15" s="1"/>
  <c r="AL599" i="15"/>
  <c r="CB599" i="15" s="1"/>
  <c r="AK599" i="15"/>
  <c r="AH601" i="15"/>
  <c r="CE601" i="15" s="1"/>
  <c r="CF601" i="15" s="1"/>
  <c r="AL601" i="15"/>
  <c r="CB601" i="15" s="1"/>
  <c r="AK601" i="15"/>
  <c r="AH603" i="15"/>
  <c r="CE603" i="15" s="1"/>
  <c r="CF603" i="15" s="1"/>
  <c r="AL603" i="15"/>
  <c r="CB603" i="15" s="1"/>
  <c r="AK603" i="15"/>
  <c r="AH605" i="15"/>
  <c r="CE605" i="15" s="1"/>
  <c r="CF605" i="15" s="1"/>
  <c r="AL605" i="15"/>
  <c r="CB605" i="15" s="1"/>
  <c r="AK605" i="15"/>
  <c r="AH607" i="15"/>
  <c r="AI607" i="15" s="1"/>
  <c r="AL607" i="15"/>
  <c r="CB607" i="15" s="1"/>
  <c r="AK607" i="15"/>
  <c r="AH609" i="15"/>
  <c r="CE609" i="15" s="1"/>
  <c r="CF609" i="15" s="1"/>
  <c r="AL609" i="15"/>
  <c r="CB609" i="15" s="1"/>
  <c r="AK609" i="15"/>
  <c r="AH613" i="15"/>
  <c r="AI613" i="15" s="1"/>
  <c r="AK613" i="15"/>
  <c r="AL613" i="15"/>
  <c r="CB613" i="15" s="1"/>
  <c r="AH615" i="15"/>
  <c r="CE615" i="15" s="1"/>
  <c r="CF615" i="15" s="1"/>
  <c r="AK615" i="15"/>
  <c r="AL615" i="15"/>
  <c r="CB615" i="15" s="1"/>
  <c r="AH617" i="15"/>
  <c r="AI617" i="15" s="1"/>
  <c r="AK617" i="15"/>
  <c r="AL617" i="15"/>
  <c r="CB617" i="15" s="1"/>
  <c r="AH619" i="15"/>
  <c r="AI619" i="15" s="1"/>
  <c r="AL619" i="15"/>
  <c r="CB619" i="15" s="1"/>
  <c r="AK619" i="15"/>
  <c r="AH623" i="15"/>
  <c r="CE623" i="15" s="1"/>
  <c r="CF623" i="15" s="1"/>
  <c r="AL623" i="15"/>
  <c r="CB623" i="15" s="1"/>
  <c r="AK623" i="15"/>
  <c r="AL625" i="15"/>
  <c r="CB625" i="15" s="1"/>
  <c r="AK625" i="15"/>
  <c r="AH627" i="15"/>
  <c r="CE627" i="15" s="1"/>
  <c r="CF627" i="15" s="1"/>
  <c r="AL627" i="15"/>
  <c r="CB627" i="15" s="1"/>
  <c r="AK627" i="15"/>
  <c r="AL630" i="15"/>
  <c r="CB630" i="15" s="1"/>
  <c r="AK630" i="15"/>
  <c r="AH632" i="15"/>
  <c r="CE632" i="15" s="1"/>
  <c r="CF632" i="15" s="1"/>
  <c r="AK632" i="15"/>
  <c r="AL632" i="15"/>
  <c r="CB632" i="15" s="1"/>
  <c r="AH634" i="15"/>
  <c r="CE634" i="15" s="1"/>
  <c r="CF634" i="15" s="1"/>
  <c r="AK634" i="15"/>
  <c r="AL634" i="15"/>
  <c r="CB634" i="15" s="1"/>
  <c r="AH636" i="15"/>
  <c r="CE636" i="15" s="1"/>
  <c r="CF636" i="15" s="1"/>
  <c r="AK636" i="15"/>
  <c r="AL636" i="15"/>
  <c r="CB636" i="15" s="1"/>
  <c r="AH638" i="15"/>
  <c r="CE638" i="15" s="1"/>
  <c r="CF638" i="15" s="1"/>
  <c r="AL638" i="15"/>
  <c r="CB638" i="15" s="1"/>
  <c r="AK638" i="15"/>
  <c r="AH642" i="15"/>
  <c r="AI642" i="15" s="1"/>
  <c r="AL642" i="15"/>
  <c r="CB642" i="15" s="1"/>
  <c r="AK642" i="15"/>
  <c r="AH644" i="15"/>
  <c r="CE644" i="15" s="1"/>
  <c r="CF644" i="15" s="1"/>
  <c r="AL644" i="15"/>
  <c r="CB644" i="15" s="1"/>
  <c r="AK644" i="15"/>
  <c r="AH646" i="15"/>
  <c r="CE646" i="15" s="1"/>
  <c r="CF646" i="15" s="1"/>
  <c r="AL646" i="15"/>
  <c r="CB646" i="15" s="1"/>
  <c r="AK646" i="15"/>
  <c r="AH648" i="15"/>
  <c r="AI648" i="15" s="1"/>
  <c r="AL648" i="15"/>
  <c r="CB648" i="15" s="1"/>
  <c r="AK648" i="15"/>
  <c r="AH650" i="15"/>
  <c r="CE650" i="15" s="1"/>
  <c r="CF650" i="15" s="1"/>
  <c r="AL650" i="15"/>
  <c r="CB650" i="15" s="1"/>
  <c r="AK650" i="15"/>
  <c r="AH652" i="15"/>
  <c r="CE652" i="15" s="1"/>
  <c r="CF652" i="15" s="1"/>
  <c r="AL652" i="15"/>
  <c r="CB652" i="15" s="1"/>
  <c r="AK652" i="15"/>
  <c r="AH654" i="15"/>
  <c r="CE654" i="15" s="1"/>
  <c r="CF654" i="15" s="1"/>
  <c r="AL654" i="15"/>
  <c r="CB654" i="15" s="1"/>
  <c r="AK654" i="15"/>
  <c r="AH656" i="15"/>
  <c r="CE656" i="15" s="1"/>
  <c r="CF656" i="15" s="1"/>
  <c r="AL656" i="15"/>
  <c r="CB656" i="15" s="1"/>
  <c r="AK656" i="15"/>
  <c r="AH658" i="15"/>
  <c r="CE658" i="15" s="1"/>
  <c r="CF658" i="15" s="1"/>
  <c r="AL658" i="15"/>
  <c r="CB658" i="15" s="1"/>
  <c r="AK658" i="15"/>
  <c r="AH660" i="15"/>
  <c r="CE660" i="15" s="1"/>
  <c r="CF660" i="15" s="1"/>
  <c r="AL660" i="15"/>
  <c r="CB660" i="15" s="1"/>
  <c r="AK660" i="15"/>
  <c r="AH662" i="15"/>
  <c r="CE662" i="15" s="1"/>
  <c r="CF662" i="15" s="1"/>
  <c r="AL662" i="15"/>
  <c r="CB662" i="15" s="1"/>
  <c r="AK662" i="15"/>
  <c r="AH664" i="15"/>
  <c r="AI664" i="15" s="1"/>
  <c r="AL664" i="15"/>
  <c r="CB664" i="15" s="1"/>
  <c r="AK664" i="15"/>
  <c r="AH666" i="15"/>
  <c r="CE666" i="15" s="1"/>
  <c r="CF666" i="15" s="1"/>
  <c r="AL666" i="15"/>
  <c r="CB666" i="15" s="1"/>
  <c r="AK666" i="15"/>
  <c r="AL670" i="15"/>
  <c r="CB670" i="15" s="1"/>
  <c r="AK670" i="15"/>
  <c r="AK672" i="15"/>
  <c r="AL672" i="15"/>
  <c r="CB672" i="15" s="1"/>
  <c r="AK674" i="15"/>
  <c r="AL674" i="15"/>
  <c r="CB674" i="15" s="1"/>
  <c r="AL676" i="15"/>
  <c r="CB676" i="15" s="1"/>
  <c r="AK676" i="15"/>
  <c r="AK678" i="15"/>
  <c r="AL678" i="15"/>
  <c r="CB678" i="15" s="1"/>
  <c r="AL680" i="15"/>
  <c r="CB680" i="15" s="1"/>
  <c r="AK680" i="15"/>
  <c r="AK682" i="15"/>
  <c r="AL682" i="15"/>
  <c r="CB682" i="15" s="1"/>
  <c r="AH684" i="15"/>
  <c r="AI684" i="15" s="1"/>
  <c r="AL684" i="15"/>
  <c r="CB684" i="15" s="1"/>
  <c r="AK684" i="15"/>
  <c r="AH686" i="15"/>
  <c r="CE686" i="15" s="1"/>
  <c r="CF686" i="15" s="1"/>
  <c r="AK686" i="15"/>
  <c r="AL686" i="15"/>
  <c r="CB686" i="15" s="1"/>
  <c r="AL690" i="15"/>
  <c r="CB690" i="15" s="1"/>
  <c r="AK690" i="15"/>
  <c r="AL692" i="15"/>
  <c r="CB692" i="15" s="1"/>
  <c r="AK692" i="15"/>
  <c r="AH694" i="15"/>
  <c r="CE694" i="15" s="1"/>
  <c r="CF694" i="15" s="1"/>
  <c r="AL694" i="15"/>
  <c r="CB694" i="15" s="1"/>
  <c r="AK694" i="15"/>
  <c r="AL696" i="15"/>
  <c r="CB696" i="15" s="1"/>
  <c r="AK696" i="15"/>
  <c r="AL698" i="15"/>
  <c r="CB698" i="15" s="1"/>
  <c r="AK698" i="15"/>
  <c r="AL700" i="15"/>
  <c r="CB700" i="15" s="1"/>
  <c r="AK700" i="15"/>
  <c r="AH702" i="15"/>
  <c r="CE702" i="15" s="1"/>
  <c r="CF702" i="15" s="1"/>
  <c r="AL702" i="15"/>
  <c r="CB702" i="15" s="1"/>
  <c r="AK702" i="15"/>
  <c r="AL704" i="15"/>
  <c r="CB704" i="15" s="1"/>
  <c r="AK704" i="15"/>
  <c r="AL706" i="15"/>
  <c r="CB706" i="15" s="1"/>
  <c r="AK706" i="15"/>
  <c r="AL708" i="15"/>
  <c r="CB708" i="15" s="1"/>
  <c r="AK708" i="15"/>
  <c r="AH710" i="15"/>
  <c r="AI710" i="15" s="1"/>
  <c r="AL710" i="15"/>
  <c r="CB710" i="15" s="1"/>
  <c r="AK710" i="15"/>
  <c r="AI163" i="15"/>
  <c r="CE99" i="15"/>
  <c r="CF99" i="15" s="1"/>
  <c r="AH46" i="15"/>
  <c r="AI46" i="15" s="1"/>
  <c r="AH48" i="15"/>
  <c r="AI48" i="15" s="1"/>
  <c r="AH50" i="15"/>
  <c r="AI50" i="15" s="1"/>
  <c r="AH52" i="15"/>
  <c r="AI52" i="15" s="1"/>
  <c r="AH54" i="15"/>
  <c r="AI54" i="15" s="1"/>
  <c r="AH56" i="15"/>
  <c r="AI56" i="15" s="1"/>
  <c r="AH58" i="15"/>
  <c r="AI58" i="15" s="1"/>
  <c r="AH60" i="15"/>
  <c r="AI60" i="15" s="1"/>
  <c r="AH62" i="15"/>
  <c r="AI62" i="15" s="1"/>
  <c r="AD69" i="15"/>
  <c r="AH69" i="15"/>
  <c r="AD71" i="15"/>
  <c r="AH71" i="15"/>
  <c r="AD73" i="15"/>
  <c r="AH73" i="15"/>
  <c r="AD75" i="15"/>
  <c r="AH75" i="15"/>
  <c r="AD77" i="15"/>
  <c r="AH77" i="15"/>
  <c r="AD79" i="15"/>
  <c r="AH79" i="15"/>
  <c r="AD81" i="15"/>
  <c r="AH81" i="15"/>
  <c r="AH85" i="15"/>
  <c r="AH87" i="15"/>
  <c r="AH89" i="15"/>
  <c r="AH91" i="15"/>
  <c r="AH92" i="15"/>
  <c r="AH95" i="15"/>
  <c r="AD326" i="15"/>
  <c r="AH326" i="15"/>
  <c r="AI326" i="15" s="1"/>
  <c r="AD328" i="15"/>
  <c r="AH328" i="15"/>
  <c r="AD330" i="15"/>
  <c r="AH330" i="15"/>
  <c r="AD332" i="15"/>
  <c r="AH332" i="15"/>
  <c r="AD336" i="15"/>
  <c r="AH336" i="15"/>
  <c r="AD338" i="15"/>
  <c r="AH338" i="15"/>
  <c r="AD340" i="15"/>
  <c r="AH340" i="15"/>
  <c r="AD342" i="15"/>
  <c r="AH342" i="15"/>
  <c r="AD344" i="15"/>
  <c r="AH344" i="15"/>
  <c r="AD346" i="15"/>
  <c r="AH346" i="15"/>
  <c r="AD348" i="15"/>
  <c r="AH348" i="15"/>
  <c r="AD352" i="15"/>
  <c r="AH352" i="15"/>
  <c r="AD354" i="15"/>
  <c r="AH354" i="15"/>
  <c r="AD356" i="15"/>
  <c r="AH356" i="15"/>
  <c r="AD358" i="15"/>
  <c r="AH358" i="15"/>
  <c r="AD360" i="15"/>
  <c r="AH360" i="15"/>
  <c r="AD362" i="15"/>
  <c r="AH362" i="15"/>
  <c r="AD364" i="15"/>
  <c r="AH364" i="15"/>
  <c r="AD368" i="15"/>
  <c r="AH368" i="15"/>
  <c r="AH372" i="15"/>
  <c r="AI372" i="15" s="1"/>
  <c r="AH374" i="15"/>
  <c r="AH376" i="15"/>
  <c r="AH391" i="15"/>
  <c r="AH393" i="15"/>
  <c r="AH399" i="15"/>
  <c r="AH401" i="15"/>
  <c r="AH403" i="15"/>
  <c r="AH405" i="15"/>
  <c r="AD433" i="15"/>
  <c r="AH433" i="15"/>
  <c r="AD441" i="15"/>
  <c r="AH441" i="15"/>
  <c r="AH459" i="15"/>
  <c r="AD461" i="15"/>
  <c r="AH461" i="15"/>
  <c r="AH463" i="15"/>
  <c r="AH467" i="15"/>
  <c r="AH469" i="15"/>
  <c r="AD580" i="15"/>
  <c r="AH580" i="15"/>
  <c r="AD582" i="15"/>
  <c r="AH582" i="15"/>
  <c r="AD584" i="15"/>
  <c r="AH584" i="15"/>
  <c r="AD586" i="15"/>
  <c r="AH586" i="15"/>
  <c r="AD588" i="15"/>
  <c r="AH588" i="15"/>
  <c r="AD592" i="15"/>
  <c r="AH592" i="15"/>
  <c r="AD594" i="15"/>
  <c r="AH594" i="15"/>
  <c r="AD596" i="15"/>
  <c r="AH596" i="15"/>
  <c r="AD598" i="15"/>
  <c r="AH598" i="15"/>
  <c r="AD600" i="15"/>
  <c r="AH600" i="15"/>
  <c r="AD602" i="15"/>
  <c r="AH602" i="15"/>
  <c r="AD604" i="15"/>
  <c r="AH604" i="15"/>
  <c r="AD606" i="15"/>
  <c r="AH606" i="15"/>
  <c r="AD608" i="15"/>
  <c r="AH608" i="15"/>
  <c r="AD633" i="15"/>
  <c r="AH633" i="15"/>
  <c r="AH643" i="15"/>
  <c r="AH651" i="15"/>
  <c r="AH655" i="15"/>
  <c r="AH659" i="15"/>
  <c r="AH669" i="15"/>
  <c r="AI669" i="15" s="1"/>
  <c r="AH671" i="15"/>
  <c r="AH673" i="15"/>
  <c r="AH675" i="15"/>
  <c r="AH677" i="15"/>
  <c r="AH679" i="15"/>
  <c r="AH681" i="15"/>
  <c r="AH683" i="15"/>
  <c r="AH220" i="15"/>
  <c r="AI220" i="15" s="1"/>
  <c r="AH224" i="15"/>
  <c r="AH228" i="15"/>
  <c r="AH474" i="15"/>
  <c r="AH476" i="15"/>
  <c r="AH478" i="15"/>
  <c r="AH480" i="15"/>
  <c r="AH482" i="15"/>
  <c r="AH484" i="15"/>
  <c r="AH486" i="15"/>
  <c r="AH488" i="15"/>
  <c r="AH492" i="15"/>
  <c r="AI492" i="15" s="1"/>
  <c r="AH494" i="15"/>
  <c r="AH496" i="15"/>
  <c r="AH500" i="15"/>
  <c r="AH502" i="15"/>
  <c r="AH508" i="15"/>
  <c r="AH510" i="15"/>
  <c r="AH512" i="15"/>
  <c r="AH522" i="15"/>
  <c r="AH524" i="15"/>
  <c r="AH526" i="15"/>
  <c r="AH572" i="15"/>
  <c r="AH724" i="15"/>
  <c r="AD726" i="15"/>
  <c r="AH726" i="15"/>
  <c r="AH728" i="15"/>
  <c r="AH734" i="15"/>
  <c r="AH740" i="15"/>
  <c r="AH748" i="15"/>
  <c r="AD780" i="15"/>
  <c r="AH780" i="15"/>
  <c r="AH804" i="15"/>
  <c r="AH818" i="15"/>
  <c r="AH826" i="15"/>
  <c r="AH146" i="15"/>
  <c r="AI146" i="15" s="1"/>
  <c r="AD40" i="15"/>
  <c r="AH40" i="15"/>
  <c r="AD100" i="15"/>
  <c r="AH100" i="15"/>
  <c r="AD102" i="15"/>
  <c r="AH102" i="15"/>
  <c r="AD104" i="15"/>
  <c r="AH104" i="15"/>
  <c r="AD106" i="15"/>
  <c r="AH106" i="15"/>
  <c r="AD108" i="15"/>
  <c r="AH108" i="15"/>
  <c r="AD110" i="15"/>
  <c r="AH110" i="15"/>
  <c r="AD112" i="15"/>
  <c r="AH112" i="15"/>
  <c r="AD114" i="15"/>
  <c r="AH114" i="15"/>
  <c r="AD116" i="15"/>
  <c r="AH116" i="15"/>
  <c r="AD118" i="15"/>
  <c r="AH118" i="15"/>
  <c r="AD120" i="15"/>
  <c r="AH120" i="15"/>
  <c r="AD122" i="15"/>
  <c r="AH122" i="15"/>
  <c r="AH128" i="15"/>
  <c r="AH130" i="15"/>
  <c r="AH132" i="15"/>
  <c r="AH134" i="15"/>
  <c r="AH136" i="15"/>
  <c r="AD273" i="15"/>
  <c r="AH273" i="15"/>
  <c r="AD274" i="15"/>
  <c r="AH274" i="15"/>
  <c r="AD277" i="15"/>
  <c r="AH277" i="15"/>
  <c r="AD279" i="15"/>
  <c r="AH279" i="15"/>
  <c r="AD281" i="15"/>
  <c r="AH281" i="15"/>
  <c r="AD283" i="15"/>
  <c r="AH283" i="15"/>
  <c r="AD285" i="15"/>
  <c r="AH285" i="15"/>
  <c r="AD289" i="15"/>
  <c r="AH289" i="15"/>
  <c r="AD291" i="15"/>
  <c r="AH291" i="15"/>
  <c r="AD293" i="15"/>
  <c r="AH293" i="15"/>
  <c r="AD295" i="15"/>
  <c r="AH295" i="15"/>
  <c r="AD297" i="15"/>
  <c r="AH297" i="15"/>
  <c r="AH301" i="15"/>
  <c r="AI301" i="15" s="1"/>
  <c r="AH303" i="15"/>
  <c r="AH305" i="15"/>
  <c r="AH307" i="15"/>
  <c r="AH309" i="15"/>
  <c r="AH311" i="15"/>
  <c r="AH313" i="15"/>
  <c r="AH315" i="15"/>
  <c r="AH317" i="15"/>
  <c r="AH319" i="15"/>
  <c r="AH321" i="15"/>
  <c r="AH323" i="15"/>
  <c r="AH379" i="15"/>
  <c r="AH382" i="15"/>
  <c r="AH384" i="15"/>
  <c r="AH386" i="15"/>
  <c r="AH388" i="15"/>
  <c r="AD396" i="15"/>
  <c r="AH396" i="15"/>
  <c r="AD404" i="15"/>
  <c r="AH404" i="15"/>
  <c r="AH408" i="15"/>
  <c r="AI408" i="15" s="1"/>
  <c r="AH410" i="15"/>
  <c r="AH412" i="15"/>
  <c r="AH414" i="15"/>
  <c r="AH416" i="15"/>
  <c r="AH418" i="15"/>
  <c r="AH420" i="15"/>
  <c r="AH422" i="15"/>
  <c r="AH424" i="15"/>
  <c r="AH426" i="15"/>
  <c r="AH428" i="15"/>
  <c r="AH436" i="15"/>
  <c r="AH438" i="15"/>
  <c r="AH440" i="15"/>
  <c r="AH444" i="15"/>
  <c r="AH446" i="15"/>
  <c r="AD625" i="15"/>
  <c r="AH625" i="15"/>
  <c r="AD630" i="15"/>
  <c r="AH630" i="15"/>
  <c r="AH670" i="15"/>
  <c r="AH672" i="15"/>
  <c r="AH674" i="15"/>
  <c r="AH676" i="15"/>
  <c r="AH678" i="15"/>
  <c r="AH680" i="15"/>
  <c r="AH682" i="15"/>
  <c r="AD690" i="15"/>
  <c r="AH690" i="15"/>
  <c r="AD692" i="15"/>
  <c r="AH692" i="15"/>
  <c r="AD696" i="15"/>
  <c r="AH696" i="15"/>
  <c r="AD698" i="15"/>
  <c r="AH698" i="15"/>
  <c r="AD700" i="15"/>
  <c r="AH700" i="15"/>
  <c r="AD704" i="15"/>
  <c r="AH704" i="15"/>
  <c r="AD706" i="15"/>
  <c r="AH706" i="15"/>
  <c r="AD708" i="15"/>
  <c r="AH708" i="15"/>
  <c r="AH150" i="15"/>
  <c r="AH154" i="15"/>
  <c r="AH158" i="15"/>
  <c r="AH162" i="15"/>
  <c r="AH166" i="15"/>
  <c r="AD38" i="15"/>
  <c r="AH38" i="15"/>
  <c r="AH11" i="15"/>
  <c r="AH13" i="15"/>
  <c r="AH15" i="15"/>
  <c r="AH17" i="15"/>
  <c r="AH19" i="15"/>
  <c r="AH21" i="15"/>
  <c r="AH23" i="15"/>
  <c r="AH25" i="15"/>
  <c r="AH27" i="15"/>
  <c r="AH29" i="15"/>
  <c r="AH31" i="15"/>
  <c r="AH223" i="15"/>
  <c r="AD497" i="15"/>
  <c r="AH497" i="15"/>
  <c r="AD505" i="15"/>
  <c r="AH505" i="15"/>
  <c r="AH515" i="15"/>
  <c r="AI515" i="15" s="1"/>
  <c r="AH517" i="15"/>
  <c r="AH519" i="15"/>
  <c r="AH521" i="15"/>
  <c r="AH523" i="15"/>
  <c r="AH525" i="15"/>
  <c r="AH527" i="15"/>
  <c r="AH719" i="15"/>
  <c r="AD733" i="15"/>
  <c r="AH733" i="15"/>
  <c r="AI733" i="15" s="1"/>
  <c r="AD741" i="15"/>
  <c r="AH741" i="15"/>
  <c r="AD743" i="15"/>
  <c r="AH743" i="15"/>
  <c r="AD749" i="15"/>
  <c r="AH749" i="15"/>
  <c r="AD751" i="15"/>
  <c r="AH751" i="15"/>
  <c r="AD755" i="15"/>
  <c r="AH755" i="15"/>
  <c r="AI755" i="15" s="1"/>
  <c r="AD757" i="15"/>
  <c r="AH757" i="15"/>
  <c r="AD774" i="15"/>
  <c r="AH774" i="15"/>
  <c r="AD761" i="15"/>
  <c r="AH761" i="15"/>
  <c r="AD763" i="15"/>
  <c r="AH763" i="15"/>
  <c r="AD765" i="15"/>
  <c r="AH765" i="15"/>
  <c r="AD769" i="15"/>
  <c r="AH769" i="15"/>
  <c r="AD771" i="15"/>
  <c r="AH771" i="15"/>
  <c r="AH779" i="15"/>
  <c r="AD831" i="15"/>
  <c r="AH831" i="15"/>
  <c r="AD833" i="15"/>
  <c r="AH833" i="15"/>
  <c r="AD835" i="15"/>
  <c r="AH835" i="15"/>
  <c r="AD839" i="15"/>
  <c r="AH839" i="15"/>
  <c r="AD841" i="15"/>
  <c r="AH841" i="15"/>
  <c r="AD843" i="15"/>
  <c r="AH843" i="15"/>
  <c r="AD847" i="15"/>
  <c r="AH847" i="15"/>
  <c r="AD851" i="15"/>
  <c r="AH851" i="15"/>
  <c r="AD855" i="15"/>
  <c r="AH855" i="15"/>
  <c r="AD857" i="15"/>
  <c r="AH857" i="15"/>
  <c r="AD859" i="15"/>
  <c r="AH859" i="15"/>
  <c r="X6" i="15"/>
  <c r="W8" i="15"/>
  <c r="N8" i="15"/>
  <c r="C144" i="15"/>
  <c r="F8" i="15"/>
  <c r="J8" i="15"/>
  <c r="R8" i="15"/>
  <c r="C8" i="15"/>
  <c r="G8" i="15"/>
  <c r="K8" i="15"/>
  <c r="O8" i="15"/>
  <c r="S8" i="15"/>
  <c r="C270" i="15"/>
  <c r="H8" i="15"/>
  <c r="T8" i="15"/>
  <c r="D8" i="15"/>
  <c r="L8" i="15"/>
  <c r="P8" i="15"/>
  <c r="E8" i="15"/>
  <c r="I8" i="15"/>
  <c r="M8" i="15"/>
  <c r="Q8" i="15"/>
  <c r="AB83" i="15"/>
  <c r="AB42" i="15"/>
  <c r="AD67" i="15"/>
  <c r="AB65" i="15"/>
  <c r="AB98" i="15"/>
  <c r="AB9" i="15"/>
  <c r="AO9" i="15" s="1"/>
  <c r="AB125" i="15"/>
  <c r="AD36" i="15"/>
  <c r="AB34" i="15"/>
  <c r="I540" i="16"/>
  <c r="AB371" i="15"/>
  <c r="AB455" i="15"/>
  <c r="S144" i="15"/>
  <c r="U430" i="15"/>
  <c r="AB430" i="15"/>
  <c r="AD524" i="15"/>
  <c r="C713" i="15"/>
  <c r="AB219" i="15"/>
  <c r="M471" i="15"/>
  <c r="Q471" i="15"/>
  <c r="AB754" i="15"/>
  <c r="R144" i="15"/>
  <c r="U300" i="15"/>
  <c r="G577" i="15"/>
  <c r="AB168" i="15"/>
  <c r="W270" i="15"/>
  <c r="AB325" i="15"/>
  <c r="AD459" i="15"/>
  <c r="AD469" i="15"/>
  <c r="P713" i="15"/>
  <c r="AD50" i="15"/>
  <c r="AD126" i="15"/>
  <c r="E471" i="15"/>
  <c r="K713" i="15"/>
  <c r="AB828" i="15"/>
  <c r="AD649" i="15"/>
  <c r="AD808" i="15"/>
  <c r="N144" i="15"/>
  <c r="H713" i="15"/>
  <c r="F270" i="15"/>
  <c r="AD46" i="15"/>
  <c r="AD62" i="15"/>
  <c r="O144" i="15"/>
  <c r="AB251" i="15"/>
  <c r="AB407" i="15"/>
  <c r="I471" i="15"/>
  <c r="AB514" i="15"/>
  <c r="J471" i="15"/>
  <c r="R471" i="15"/>
  <c r="AB529" i="15"/>
  <c r="D577" i="15"/>
  <c r="H577" i="15"/>
  <c r="L577" i="15"/>
  <c r="P577" i="15"/>
  <c r="T577" i="15"/>
  <c r="W713" i="15"/>
  <c r="AD826" i="15"/>
  <c r="J270" i="15"/>
  <c r="U65" i="15"/>
  <c r="G144" i="15"/>
  <c r="AB190" i="15"/>
  <c r="AD467" i="15"/>
  <c r="AD54" i="15"/>
  <c r="AD134" i="15"/>
  <c r="D144" i="15"/>
  <c r="H144" i="15"/>
  <c r="P144" i="15"/>
  <c r="T144" i="15"/>
  <c r="AB300" i="15"/>
  <c r="AD496" i="15"/>
  <c r="AB578" i="15"/>
  <c r="AB641" i="15"/>
  <c r="E577" i="15"/>
  <c r="I577" i="15"/>
  <c r="M577" i="15"/>
  <c r="Q577" i="15"/>
  <c r="AB668" i="15"/>
  <c r="F713" i="15"/>
  <c r="J713" i="15"/>
  <c r="N713" i="15"/>
  <c r="R713" i="15"/>
  <c r="AD724" i="15"/>
  <c r="AB732" i="15"/>
  <c r="E144" i="15"/>
  <c r="I144" i="15"/>
  <c r="M144" i="15"/>
  <c r="Q144" i="15"/>
  <c r="AB232" i="15"/>
  <c r="G713" i="15"/>
  <c r="O713" i="15"/>
  <c r="S713" i="15"/>
  <c r="AD557" i="15"/>
  <c r="AD561" i="15"/>
  <c r="AD569" i="15"/>
  <c r="AD685" i="15"/>
  <c r="AD742" i="15"/>
  <c r="AD777" i="15"/>
  <c r="U42" i="15"/>
  <c r="AD58" i="15"/>
  <c r="AD130" i="15"/>
  <c r="AB271" i="15"/>
  <c r="AD523" i="15"/>
  <c r="AD527" i="15"/>
  <c r="AD552" i="15"/>
  <c r="AD556" i="15"/>
  <c r="AD560" i="15"/>
  <c r="AD564" i="15"/>
  <c r="AD568" i="15"/>
  <c r="AD573" i="15"/>
  <c r="AD767" i="15"/>
  <c r="AD849" i="15"/>
  <c r="AD350" i="15"/>
  <c r="AD395" i="15"/>
  <c r="AD432" i="15"/>
  <c r="AD465" i="15"/>
  <c r="AD504" i="15"/>
  <c r="AD549" i="15"/>
  <c r="AD553" i="15"/>
  <c r="AD565" i="15"/>
  <c r="AD618" i="15"/>
  <c r="K144" i="15"/>
  <c r="U190" i="15"/>
  <c r="AD366" i="15"/>
  <c r="AD457" i="15"/>
  <c r="AD522" i="15"/>
  <c r="AD526" i="15"/>
  <c r="AD551" i="15"/>
  <c r="AD555" i="15"/>
  <c r="AD559" i="15"/>
  <c r="AD563" i="15"/>
  <c r="AD567" i="15"/>
  <c r="AD571" i="15"/>
  <c r="AD590" i="15"/>
  <c r="AD612" i="15"/>
  <c r="AD717" i="15"/>
  <c r="AD730" i="15"/>
  <c r="U34" i="15"/>
  <c r="L144" i="15"/>
  <c r="AD287" i="15"/>
  <c r="AD334" i="15"/>
  <c r="AD403" i="15"/>
  <c r="N270" i="15"/>
  <c r="R270" i="15"/>
  <c r="AD440" i="15"/>
  <c r="AD512" i="15"/>
  <c r="AD521" i="15"/>
  <c r="AD525" i="15"/>
  <c r="AD550" i="15"/>
  <c r="AD554" i="15"/>
  <c r="AD558" i="15"/>
  <c r="AD562" i="15"/>
  <c r="AD566" i="15"/>
  <c r="AD570" i="15"/>
  <c r="AD657" i="15"/>
  <c r="AD694" i="15"/>
  <c r="AD750" i="15"/>
  <c r="AD786" i="15"/>
  <c r="AD822" i="15"/>
  <c r="U578" i="15"/>
  <c r="AB621" i="15"/>
  <c r="AD702" i="15"/>
  <c r="AD746" i="15"/>
  <c r="AD759" i="15"/>
  <c r="AD806" i="15"/>
  <c r="U219" i="15"/>
  <c r="W144" i="15"/>
  <c r="U232" i="15"/>
  <c r="U271" i="15"/>
  <c r="U407" i="15"/>
  <c r="AD463" i="15"/>
  <c r="U514" i="15"/>
  <c r="AB548" i="15"/>
  <c r="AD710" i="15"/>
  <c r="AD734" i="15"/>
  <c r="AD785" i="15"/>
  <c r="AD798" i="15"/>
  <c r="AD800" i="15"/>
  <c r="AB145" i="15"/>
  <c r="F144" i="15"/>
  <c r="J144" i="15"/>
  <c r="U325" i="15"/>
  <c r="E270" i="15"/>
  <c r="I270" i="15"/>
  <c r="M270" i="15"/>
  <c r="Q270" i="15"/>
  <c r="F471" i="15"/>
  <c r="N471" i="15"/>
  <c r="U491" i="15"/>
  <c r="AD637" i="15"/>
  <c r="AD722" i="15"/>
  <c r="AD738" i="15"/>
  <c r="AD779" i="15"/>
  <c r="AD784" i="15"/>
  <c r="AD814" i="15"/>
  <c r="AB688" i="15"/>
  <c r="U732" i="15"/>
  <c r="U776" i="15"/>
  <c r="K577" i="15"/>
  <c r="O577" i="15"/>
  <c r="S577" i="15"/>
  <c r="F577" i="15"/>
  <c r="J577" i="15"/>
  <c r="N577" i="15"/>
  <c r="R577" i="15"/>
  <c r="U668" i="15"/>
  <c r="U688" i="15"/>
  <c r="D713" i="15"/>
  <c r="L713" i="15"/>
  <c r="T713" i="15"/>
  <c r="AD728" i="15"/>
  <c r="E713" i="15"/>
  <c r="I713" i="15"/>
  <c r="M713" i="15"/>
  <c r="Q713" i="15"/>
  <c r="AD818" i="15"/>
  <c r="U828" i="15"/>
  <c r="AD74" i="15"/>
  <c r="AD76" i="15"/>
  <c r="AD101" i="15"/>
  <c r="AD117" i="15"/>
  <c r="AD70" i="15"/>
  <c r="AD113" i="15"/>
  <c r="AD37" i="15"/>
  <c r="AD78" i="15"/>
  <c r="AD80" i="15"/>
  <c r="AD105" i="15"/>
  <c r="AD121" i="15"/>
  <c r="AD72" i="15"/>
  <c r="AD68" i="15"/>
  <c r="AD109" i="15"/>
  <c r="AD12" i="15"/>
  <c r="AD16" i="15"/>
  <c r="AD20" i="15"/>
  <c r="AD39" i="15"/>
  <c r="AD84" i="15"/>
  <c r="AD88" i="15"/>
  <c r="AD93" i="15"/>
  <c r="AD96" i="15"/>
  <c r="AD140" i="15"/>
  <c r="AD159" i="15"/>
  <c r="AD171" i="15"/>
  <c r="AD174" i="15"/>
  <c r="AD187" i="15"/>
  <c r="AD201" i="15"/>
  <c r="AD206" i="15"/>
  <c r="AD215" i="15"/>
  <c r="AD225" i="15"/>
  <c r="AD235" i="15"/>
  <c r="AD241" i="15"/>
  <c r="AD253" i="15"/>
  <c r="AD19" i="15"/>
  <c r="AD27" i="15"/>
  <c r="AD31" i="15"/>
  <c r="AD129" i="15"/>
  <c r="AD133" i="15"/>
  <c r="AD142" i="15"/>
  <c r="AD147" i="15"/>
  <c r="AD163" i="15"/>
  <c r="AD173" i="15"/>
  <c r="AD176" i="15"/>
  <c r="AD196" i="15"/>
  <c r="AD205" i="15"/>
  <c r="AD210" i="15"/>
  <c r="AD212" i="15"/>
  <c r="AD272" i="15"/>
  <c r="AD275" i="15"/>
  <c r="AD288" i="15"/>
  <c r="AD290" i="15"/>
  <c r="AD339" i="15"/>
  <c r="AD341" i="15"/>
  <c r="AD355" i="15"/>
  <c r="AD357" i="15"/>
  <c r="AD369" i="15"/>
  <c r="AD22" i="15"/>
  <c r="AD26" i="15"/>
  <c r="AD44" i="15"/>
  <c r="AD48" i="15"/>
  <c r="AD56" i="15"/>
  <c r="AD60" i="15"/>
  <c r="U125" i="15"/>
  <c r="AD128" i="15"/>
  <c r="AD132" i="15"/>
  <c r="AD136" i="15"/>
  <c r="AD139" i="15"/>
  <c r="AD151" i="15"/>
  <c r="AD153" i="15"/>
  <c r="AD160" i="15"/>
  <c r="AD170" i="15"/>
  <c r="AD175" i="15"/>
  <c r="AD178" i="15"/>
  <c r="AD183" i="15"/>
  <c r="AD186" i="15"/>
  <c r="AD191" i="15"/>
  <c r="AD193" i="15"/>
  <c r="AD198" i="15"/>
  <c r="AD200" i="15"/>
  <c r="AD207" i="15"/>
  <c r="AD209" i="15"/>
  <c r="AD214" i="15"/>
  <c r="AD216" i="15"/>
  <c r="AD222" i="15"/>
  <c r="AD226" i="15"/>
  <c r="AD230" i="15"/>
  <c r="AD234" i="15"/>
  <c r="AD236" i="15"/>
  <c r="AD238" i="15"/>
  <c r="AD240" i="15"/>
  <c r="AD242" i="15"/>
  <c r="AD244" i="15"/>
  <c r="AD246" i="15"/>
  <c r="AD248" i="15"/>
  <c r="AD252" i="15"/>
  <c r="AD254" i="15"/>
  <c r="AD256" i="15"/>
  <c r="AD258" i="15"/>
  <c r="AD260" i="15"/>
  <c r="AD262" i="15"/>
  <c r="AD264" i="15"/>
  <c r="AD266" i="15"/>
  <c r="AD268" i="15"/>
  <c r="AD276" i="15"/>
  <c r="AD278" i="15"/>
  <c r="AD292" i="15"/>
  <c r="AD294" i="15"/>
  <c r="AD327" i="15"/>
  <c r="AD329" i="15"/>
  <c r="AD343" i="15"/>
  <c r="AD345" i="15"/>
  <c r="AD359" i="15"/>
  <c r="AD361" i="15"/>
  <c r="AD24" i="15"/>
  <c r="AD28" i="15"/>
  <c r="AD32" i="15"/>
  <c r="AD99" i="15"/>
  <c r="AD103" i="15"/>
  <c r="AD107" i="15"/>
  <c r="AD111" i="15"/>
  <c r="AD115" i="15"/>
  <c r="AD119" i="15"/>
  <c r="AD123" i="15"/>
  <c r="AD152" i="15"/>
  <c r="AD161" i="15"/>
  <c r="AD179" i="15"/>
  <c r="AD182" i="15"/>
  <c r="AD192" i="15"/>
  <c r="AD199" i="15"/>
  <c r="AD208" i="15"/>
  <c r="AD217" i="15"/>
  <c r="AD221" i="15"/>
  <c r="AD229" i="15"/>
  <c r="AD233" i="15"/>
  <c r="AD237" i="15"/>
  <c r="AD239" i="15"/>
  <c r="AD243" i="15"/>
  <c r="AD245" i="15"/>
  <c r="AD247" i="15"/>
  <c r="AD249" i="15"/>
  <c r="AD255" i="15"/>
  <c r="AD257" i="15"/>
  <c r="AD259" i="15"/>
  <c r="AD261" i="15"/>
  <c r="AD263" i="15"/>
  <c r="AD265" i="15"/>
  <c r="AD267" i="15"/>
  <c r="AD284" i="15"/>
  <c r="AD286" i="15"/>
  <c r="AD335" i="15"/>
  <c r="AD337" i="15"/>
  <c r="AD351" i="15"/>
  <c r="AD353" i="15"/>
  <c r="AD367" i="15"/>
  <c r="AD11" i="15"/>
  <c r="AD15" i="15"/>
  <c r="AD23" i="15"/>
  <c r="AD45" i="15"/>
  <c r="AD49" i="15"/>
  <c r="AD53" i="15"/>
  <c r="AD57" i="15"/>
  <c r="AD61" i="15"/>
  <c r="U83" i="15"/>
  <c r="AD87" i="15"/>
  <c r="AD91" i="15"/>
  <c r="AD95" i="15"/>
  <c r="U98" i="15"/>
  <c r="AD137" i="15"/>
  <c r="AD149" i="15"/>
  <c r="AD156" i="15"/>
  <c r="AD165" i="15"/>
  <c r="AD181" i="15"/>
  <c r="AD184" i="15"/>
  <c r="AD194" i="15"/>
  <c r="AD203" i="15"/>
  <c r="AD10" i="15"/>
  <c r="AD14" i="15"/>
  <c r="AD18" i="15"/>
  <c r="AD30" i="15"/>
  <c r="AD52" i="15"/>
  <c r="AD86" i="15"/>
  <c r="AD90" i="15"/>
  <c r="AD94" i="15"/>
  <c r="U9" i="15"/>
  <c r="AD13" i="15"/>
  <c r="AD17" i="15"/>
  <c r="AD21" i="15"/>
  <c r="AD25" i="15"/>
  <c r="AD29" i="15"/>
  <c r="AD47" i="15"/>
  <c r="AD51" i="15"/>
  <c r="AD55" i="15"/>
  <c r="AD59" i="15"/>
  <c r="AD63" i="15"/>
  <c r="AD85" i="15"/>
  <c r="AD89" i="15"/>
  <c r="AD92" i="15"/>
  <c r="AD127" i="15"/>
  <c r="AD131" i="15"/>
  <c r="AD135" i="15"/>
  <c r="AD138" i="15"/>
  <c r="AD141" i="15"/>
  <c r="AD148" i="15"/>
  <c r="AD155" i="15"/>
  <c r="AD157" i="15"/>
  <c r="AD164" i="15"/>
  <c r="AD169" i="15"/>
  <c r="AD172" i="15"/>
  <c r="AD177" i="15"/>
  <c r="AD180" i="15"/>
  <c r="AD185" i="15"/>
  <c r="AD188" i="15"/>
  <c r="AD195" i="15"/>
  <c r="AD197" i="15"/>
  <c r="AD202" i="15"/>
  <c r="AD204" i="15"/>
  <c r="AD211" i="15"/>
  <c r="AD213" i="15"/>
  <c r="AD280" i="15"/>
  <c r="AD282" i="15"/>
  <c r="AD296" i="15"/>
  <c r="AD298" i="15"/>
  <c r="AD331" i="15"/>
  <c r="AD333" i="15"/>
  <c r="AD347" i="15"/>
  <c r="AD349" i="15"/>
  <c r="AD363" i="15"/>
  <c r="AD365" i="15"/>
  <c r="AD302" i="15"/>
  <c r="AD322" i="15"/>
  <c r="AD373" i="15"/>
  <c r="AD377" i="15"/>
  <c r="AD400" i="15"/>
  <c r="AD419" i="15"/>
  <c r="AD449" i="15"/>
  <c r="AD458" i="15"/>
  <c r="AD466" i="15"/>
  <c r="AD487" i="15"/>
  <c r="AD532" i="15"/>
  <c r="AD546" i="15"/>
  <c r="AD634" i="15"/>
  <c r="AD716" i="15"/>
  <c r="AD773" i="15"/>
  <c r="AD813" i="15"/>
  <c r="AD150" i="15"/>
  <c r="AD154" i="15"/>
  <c r="AD158" i="15"/>
  <c r="AD162" i="15"/>
  <c r="AD166" i="15"/>
  <c r="U168" i="15"/>
  <c r="AD220" i="15"/>
  <c r="AD223" i="15"/>
  <c r="AD224" i="15"/>
  <c r="AD227" i="15"/>
  <c r="AD228" i="15"/>
  <c r="AD301" i="15"/>
  <c r="AD305" i="15"/>
  <c r="AD309" i="15"/>
  <c r="AD313" i="15"/>
  <c r="AD317" i="15"/>
  <c r="AD321" i="15"/>
  <c r="AD372" i="15"/>
  <c r="AD376" i="15"/>
  <c r="AD379" i="15"/>
  <c r="AD384" i="15"/>
  <c r="AD388" i="15"/>
  <c r="AD392" i="15"/>
  <c r="AD405" i="15"/>
  <c r="AD413" i="15"/>
  <c r="AD421" i="15"/>
  <c r="AD435" i="15"/>
  <c r="AD439" i="15"/>
  <c r="AD442" i="15"/>
  <c r="U455" i="15"/>
  <c r="G270" i="15"/>
  <c r="K270" i="15"/>
  <c r="O270" i="15"/>
  <c r="S270" i="15"/>
  <c r="AD456" i="15"/>
  <c r="AD464" i="15"/>
  <c r="AB472" i="15"/>
  <c r="W471" i="15"/>
  <c r="AD473" i="15"/>
  <c r="AD481" i="15"/>
  <c r="AD489" i="15"/>
  <c r="AD499" i="15"/>
  <c r="AD503" i="15"/>
  <c r="AD506" i="15"/>
  <c r="AD520" i="15"/>
  <c r="AD534" i="15"/>
  <c r="AD536" i="15"/>
  <c r="AD541" i="15"/>
  <c r="AD543" i="15"/>
  <c r="AD624" i="15"/>
  <c r="AD631" i="15"/>
  <c r="AD663" i="15"/>
  <c r="AD689" i="15"/>
  <c r="AD697" i="15"/>
  <c r="AD705" i="15"/>
  <c r="U145" i="15"/>
  <c r="AD306" i="15"/>
  <c r="AD310" i="15"/>
  <c r="AD314" i="15"/>
  <c r="AD411" i="15"/>
  <c r="AD427" i="15"/>
  <c r="AD447" i="15"/>
  <c r="AD453" i="15"/>
  <c r="AD479" i="15"/>
  <c r="AD493" i="15"/>
  <c r="AD511" i="15"/>
  <c r="AD518" i="15"/>
  <c r="AD530" i="15"/>
  <c r="AD539" i="15"/>
  <c r="AD636" i="15"/>
  <c r="AD778" i="15"/>
  <c r="AD820" i="15"/>
  <c r="AD832" i="15"/>
  <c r="AD146" i="15"/>
  <c r="AD304" i="15"/>
  <c r="AD308" i="15"/>
  <c r="AD312" i="15"/>
  <c r="AD316" i="15"/>
  <c r="AD320" i="15"/>
  <c r="AD375" i="15"/>
  <c r="AD378" i="15"/>
  <c r="AD383" i="15"/>
  <c r="AD387" i="15"/>
  <c r="AD398" i="15"/>
  <c r="AD402" i="15"/>
  <c r="AD415" i="15"/>
  <c r="AD423" i="15"/>
  <c r="AD431" i="15"/>
  <c r="AD434" i="15"/>
  <c r="AD445" i="15"/>
  <c r="AD448" i="15"/>
  <c r="AD450" i="15"/>
  <c r="AD452" i="15"/>
  <c r="AD462" i="15"/>
  <c r="AD475" i="15"/>
  <c r="AD483" i="15"/>
  <c r="AD495" i="15"/>
  <c r="AD498" i="15"/>
  <c r="AD509" i="15"/>
  <c r="U529" i="15"/>
  <c r="C471" i="15"/>
  <c r="G471" i="15"/>
  <c r="K471" i="15"/>
  <c r="O471" i="15"/>
  <c r="S471" i="15"/>
  <c r="AD531" i="15"/>
  <c r="AD538" i="15"/>
  <c r="AD540" i="15"/>
  <c r="AD545" i="15"/>
  <c r="AD626" i="15"/>
  <c r="AD628" i="15"/>
  <c r="AD648" i="15"/>
  <c r="AD653" i="15"/>
  <c r="AD318" i="15"/>
  <c r="AD381" i="15"/>
  <c r="AD385" i="15"/>
  <c r="AD389" i="15"/>
  <c r="AD443" i="15"/>
  <c r="AD451" i="15"/>
  <c r="AD507" i="15"/>
  <c r="AD537" i="15"/>
  <c r="AD616" i="15"/>
  <c r="AD764" i="15"/>
  <c r="AD782" i="15"/>
  <c r="AD817" i="15"/>
  <c r="U251" i="15"/>
  <c r="AD303" i="15"/>
  <c r="AD307" i="15"/>
  <c r="AD311" i="15"/>
  <c r="AD315" i="15"/>
  <c r="AD319" i="15"/>
  <c r="AD323" i="15"/>
  <c r="D270" i="15"/>
  <c r="U371" i="15"/>
  <c r="H270" i="15"/>
  <c r="L270" i="15"/>
  <c r="P270" i="15"/>
  <c r="T270" i="15"/>
  <c r="AD374" i="15"/>
  <c r="AD382" i="15"/>
  <c r="AD386" i="15"/>
  <c r="AD390" i="15"/>
  <c r="AD394" i="15"/>
  <c r="AD397" i="15"/>
  <c r="AD409" i="15"/>
  <c r="AD417" i="15"/>
  <c r="AD425" i="15"/>
  <c r="AD437" i="15"/>
  <c r="AD460" i="15"/>
  <c r="AD468" i="15"/>
  <c r="AD477" i="15"/>
  <c r="AD485" i="15"/>
  <c r="AD501" i="15"/>
  <c r="AD516" i="15"/>
  <c r="AD533" i="15"/>
  <c r="AD535" i="15"/>
  <c r="AD542" i="15"/>
  <c r="AD544" i="15"/>
  <c r="AD617" i="15"/>
  <c r="U621" i="15"/>
  <c r="C577" i="15"/>
  <c r="AD623" i="15"/>
  <c r="AD632" i="15"/>
  <c r="AD639" i="15"/>
  <c r="AD647" i="15"/>
  <c r="D471" i="15"/>
  <c r="H471" i="15"/>
  <c r="L471" i="15"/>
  <c r="P471" i="15"/>
  <c r="T471" i="15"/>
  <c r="AD579" i="15"/>
  <c r="AD581" i="15"/>
  <c r="AD587" i="15"/>
  <c r="AD589" i="15"/>
  <c r="AD595" i="15"/>
  <c r="AD597" i="15"/>
  <c r="AD603" i="15"/>
  <c r="AD605" i="15"/>
  <c r="AD615" i="15"/>
  <c r="AD646" i="15"/>
  <c r="AD662" i="15"/>
  <c r="AD666" i="15"/>
  <c r="AD691" i="15"/>
  <c r="AD699" i="15"/>
  <c r="AD707" i="15"/>
  <c r="AD715" i="15"/>
  <c r="AD391" i="15"/>
  <c r="AD399" i="15"/>
  <c r="AD408" i="15"/>
  <c r="AD410" i="15"/>
  <c r="AD412" i="15"/>
  <c r="AD414" i="15"/>
  <c r="AD416" i="15"/>
  <c r="AD418" i="15"/>
  <c r="AD420" i="15"/>
  <c r="AD422" i="15"/>
  <c r="AD424" i="15"/>
  <c r="AD426" i="15"/>
  <c r="AD428" i="15"/>
  <c r="AD436" i="15"/>
  <c r="AD444" i="15"/>
  <c r="U472" i="15"/>
  <c r="AD474" i="15"/>
  <c r="AD476" i="15"/>
  <c r="AD478" i="15"/>
  <c r="AD480" i="15"/>
  <c r="AD482" i="15"/>
  <c r="AD484" i="15"/>
  <c r="AD486" i="15"/>
  <c r="AD488" i="15"/>
  <c r="AB491" i="15"/>
  <c r="AD492" i="15"/>
  <c r="AD500" i="15"/>
  <c r="AD508" i="15"/>
  <c r="AD515" i="15"/>
  <c r="AD517" i="15"/>
  <c r="AD519" i="15"/>
  <c r="W577" i="15"/>
  <c r="AD614" i="15"/>
  <c r="AD622" i="15"/>
  <c r="AD627" i="15"/>
  <c r="AD635" i="15"/>
  <c r="AD638" i="15"/>
  <c r="AD645" i="15"/>
  <c r="AD656" i="15"/>
  <c r="AD661" i="15"/>
  <c r="AD393" i="15"/>
  <c r="AD401" i="15"/>
  <c r="AD438" i="15"/>
  <c r="AD446" i="15"/>
  <c r="AD494" i="15"/>
  <c r="AD502" i="15"/>
  <c r="AD510" i="15"/>
  <c r="AD583" i="15"/>
  <c r="AD585" i="15"/>
  <c r="AD591" i="15"/>
  <c r="AD593" i="15"/>
  <c r="AD599" i="15"/>
  <c r="AD601" i="15"/>
  <c r="AD607" i="15"/>
  <c r="AD609" i="15"/>
  <c r="AD654" i="15"/>
  <c r="AD655" i="15"/>
  <c r="AD575" i="15"/>
  <c r="AD613" i="15"/>
  <c r="AD644" i="15"/>
  <c r="AD652" i="15"/>
  <c r="AD660" i="15"/>
  <c r="AD665" i="15"/>
  <c r="AD693" i="15"/>
  <c r="AD701" i="15"/>
  <c r="AD709" i="15"/>
  <c r="AD737" i="15"/>
  <c r="AD747" i="15"/>
  <c r="U548" i="15"/>
  <c r="AD574" i="15"/>
  <c r="AD572" i="15"/>
  <c r="U611" i="15"/>
  <c r="AD619" i="15"/>
  <c r="U641" i="15"/>
  <c r="AD642" i="15"/>
  <c r="AD643" i="15"/>
  <c r="AD650" i="15"/>
  <c r="AD651" i="15"/>
  <c r="AD658" i="15"/>
  <c r="AD659" i="15"/>
  <c r="AD664" i="15"/>
  <c r="AD695" i="15"/>
  <c r="AD703" i="15"/>
  <c r="AD711" i="15"/>
  <c r="AD721" i="15"/>
  <c r="AD729" i="15"/>
  <c r="AD735" i="15"/>
  <c r="AB611" i="15"/>
  <c r="AD686" i="15"/>
  <c r="U714" i="15"/>
  <c r="AD727" i="15"/>
  <c r="AD736" i="15"/>
  <c r="AD745" i="15"/>
  <c r="AD756" i="15"/>
  <c r="AD762" i="15"/>
  <c r="AD770" i="15"/>
  <c r="AD772" i="15"/>
  <c r="AD781" i="15"/>
  <c r="AD812" i="15"/>
  <c r="AD684" i="15"/>
  <c r="AD720" i="15"/>
  <c r="AD725" i="15"/>
  <c r="AD744" i="15"/>
  <c r="U754" i="15"/>
  <c r="AD760" i="15"/>
  <c r="AD768" i="15"/>
  <c r="AD669" i="15"/>
  <c r="AD670" i="15"/>
  <c r="AD671" i="15"/>
  <c r="AD672" i="15"/>
  <c r="AD673" i="15"/>
  <c r="AD674" i="15"/>
  <c r="AD675" i="15"/>
  <c r="AD676" i="15"/>
  <c r="AD677" i="15"/>
  <c r="AD678" i="15"/>
  <c r="AD679" i="15"/>
  <c r="AD680" i="15"/>
  <c r="AD681" i="15"/>
  <c r="AD682" i="15"/>
  <c r="AD683" i="15"/>
  <c r="AB714" i="15"/>
  <c r="AD718" i="15"/>
  <c r="AD719" i="15"/>
  <c r="AD723" i="15"/>
  <c r="AD739" i="15"/>
  <c r="AD752" i="15"/>
  <c r="AD758" i="15"/>
  <c r="AD766" i="15"/>
  <c r="AD783" i="15"/>
  <c r="AD848" i="15"/>
  <c r="AD788" i="15"/>
  <c r="AD790" i="15"/>
  <c r="AD792" i="15"/>
  <c r="AD794" i="15"/>
  <c r="AD805" i="15"/>
  <c r="AD811" i="15"/>
  <c r="AD816" i="15"/>
  <c r="AD829" i="15"/>
  <c r="AD842" i="15"/>
  <c r="AD845" i="15"/>
  <c r="AD858" i="15"/>
  <c r="AD861" i="15"/>
  <c r="U796" i="15"/>
  <c r="AD797" i="15"/>
  <c r="AD803" i="15"/>
  <c r="AD804" i="15"/>
  <c r="AD810" i="15"/>
  <c r="AD825" i="15"/>
  <c r="AD840" i="15"/>
  <c r="AD856" i="15"/>
  <c r="AD740" i="15"/>
  <c r="AD748" i="15"/>
  <c r="AB776" i="15"/>
  <c r="AD787" i="15"/>
  <c r="AD789" i="15"/>
  <c r="AD791" i="15"/>
  <c r="AD793" i="15"/>
  <c r="AD802" i="15"/>
  <c r="AD821" i="15"/>
  <c r="AD824" i="15"/>
  <c r="AD834" i="15"/>
  <c r="AD837" i="15"/>
  <c r="AD850" i="15"/>
  <c r="AD853" i="15"/>
  <c r="AB796" i="15"/>
  <c r="AD801" i="15"/>
  <c r="AD809" i="15"/>
  <c r="AD830" i="15"/>
  <c r="AD838" i="15"/>
  <c r="AD846" i="15"/>
  <c r="AD854" i="15"/>
  <c r="AD799" i="15"/>
  <c r="AD807" i="15"/>
  <c r="AD815" i="15"/>
  <c r="AD819" i="15"/>
  <c r="AD823" i="15"/>
  <c r="AD836" i="15"/>
  <c r="AD844" i="15"/>
  <c r="AD852" i="15"/>
  <c r="AD860" i="15"/>
  <c r="CG259" i="15" l="1"/>
  <c r="CH259" i="15" s="1"/>
  <c r="CG309" i="15"/>
  <c r="CH309" i="15" s="1"/>
  <c r="AP463" i="15"/>
  <c r="AP744" i="15"/>
  <c r="AP267" i="15"/>
  <c r="CG344" i="15"/>
  <c r="CH344" i="15" s="1"/>
  <c r="AP536" i="15"/>
  <c r="AP120" i="15"/>
  <c r="AP499" i="15"/>
  <c r="AP116" i="15"/>
  <c r="AP500" i="15"/>
  <c r="AP492" i="15"/>
  <c r="AP114" i="15"/>
  <c r="CG482" i="15"/>
  <c r="CH482" i="15" s="1"/>
  <c r="AP110" i="15"/>
  <c r="AP108" i="15"/>
  <c r="CG215" i="15"/>
  <c r="CH215" i="15" s="1"/>
  <c r="AP174" i="15"/>
  <c r="AP282" i="15"/>
  <c r="CG207" i="15"/>
  <c r="CH207" i="15" s="1"/>
  <c r="AP275" i="15"/>
  <c r="AP102" i="15"/>
  <c r="CG36" i="15"/>
  <c r="CH36" i="15" s="1"/>
  <c r="AP853" i="15"/>
  <c r="AP685" i="15"/>
  <c r="AP88" i="15"/>
  <c r="AP677" i="15"/>
  <c r="AP30" i="15"/>
  <c r="AP813" i="15"/>
  <c r="CG723" i="15"/>
  <c r="CH723" i="15" s="1"/>
  <c r="CG359" i="15"/>
  <c r="CH359" i="15" s="1"/>
  <c r="AP544" i="15"/>
  <c r="AP624" i="15"/>
  <c r="AP290" i="15"/>
  <c r="AP596" i="15"/>
  <c r="CG95" i="15"/>
  <c r="CH95" i="15" s="1"/>
  <c r="AP848" i="15"/>
  <c r="AP845" i="15"/>
  <c r="AP489" i="15"/>
  <c r="AP831" i="15"/>
  <c r="CG200" i="15"/>
  <c r="CH200" i="15" s="1"/>
  <c r="AP265" i="15"/>
  <c r="CG192" i="15"/>
  <c r="CH192" i="15" s="1"/>
  <c r="CG243" i="15"/>
  <c r="CH243" i="15" s="1"/>
  <c r="CG182" i="15"/>
  <c r="CH182" i="15" s="1"/>
  <c r="CG257" i="15"/>
  <c r="CH257" i="15" s="1"/>
  <c r="CG147" i="15"/>
  <c r="CH147" i="15" s="1"/>
  <c r="AP798" i="15"/>
  <c r="CG74" i="15"/>
  <c r="CH74" i="15" s="1"/>
  <c r="AP799" i="15"/>
  <c r="CG47" i="15"/>
  <c r="CH47" i="15" s="1"/>
  <c r="AP788" i="15"/>
  <c r="AP50" i="15"/>
  <c r="AP401" i="15"/>
  <c r="AP780" i="15"/>
  <c r="AP39" i="15"/>
  <c r="AP393" i="15"/>
  <c r="CG772" i="15"/>
  <c r="CH772" i="15" s="1"/>
  <c r="AP27" i="15"/>
  <c r="AP385" i="15"/>
  <c r="AP140" i="15"/>
  <c r="AP768" i="15"/>
  <c r="AP12" i="15"/>
  <c r="AP711" i="15"/>
  <c r="AP376" i="15"/>
  <c r="CG132" i="15"/>
  <c r="CH132" i="15" s="1"/>
  <c r="CG760" i="15"/>
  <c r="CH760" i="15" s="1"/>
  <c r="AP761" i="15"/>
  <c r="CG703" i="15"/>
  <c r="CH703" i="15" s="1"/>
  <c r="AP366" i="15"/>
  <c r="AP752" i="15"/>
  <c r="AP695" i="15"/>
  <c r="AP358" i="15"/>
  <c r="BW860" i="15"/>
  <c r="BX860" i="15" s="1"/>
  <c r="BU860" i="15"/>
  <c r="BV860" i="15" s="1"/>
  <c r="BU420" i="15"/>
  <c r="BV420" i="15" s="1"/>
  <c r="BW420" i="15"/>
  <c r="BX420" i="15" s="1"/>
  <c r="BU391" i="15"/>
  <c r="BV391" i="15" s="1"/>
  <c r="BW391" i="15"/>
  <c r="BX391" i="15" s="1"/>
  <c r="BU394" i="15"/>
  <c r="BV394" i="15" s="1"/>
  <c r="BW394" i="15"/>
  <c r="BX394" i="15" s="1"/>
  <c r="BU374" i="15"/>
  <c r="BV374" i="15" s="1"/>
  <c r="BW374" i="15"/>
  <c r="BX374" i="15" s="1"/>
  <c r="BU319" i="15"/>
  <c r="BV319" i="15" s="1"/>
  <c r="BW319" i="15"/>
  <c r="BX319" i="15" s="1"/>
  <c r="BU448" i="15"/>
  <c r="BV448" i="15" s="1"/>
  <c r="BW448" i="15"/>
  <c r="BX448" i="15" s="1"/>
  <c r="BW320" i="15"/>
  <c r="BX320" i="15" s="1"/>
  <c r="BU320" i="15"/>
  <c r="BV320" i="15" s="1"/>
  <c r="BU453" i="15"/>
  <c r="BV453" i="15" s="1"/>
  <c r="BW453" i="15"/>
  <c r="BX453" i="15" s="1"/>
  <c r="BW392" i="15"/>
  <c r="BX392" i="15" s="1"/>
  <c r="BU392" i="15"/>
  <c r="BV392" i="15" s="1"/>
  <c r="BW313" i="15"/>
  <c r="BX313" i="15" s="1"/>
  <c r="BU313" i="15"/>
  <c r="BV313" i="15" s="1"/>
  <c r="BU158" i="15"/>
  <c r="BV158" i="15" s="1"/>
  <c r="BW158" i="15"/>
  <c r="BX158" i="15" s="1"/>
  <c r="BW373" i="15"/>
  <c r="BX373" i="15" s="1"/>
  <c r="BU373" i="15"/>
  <c r="BV373" i="15" s="1"/>
  <c r="BW331" i="15"/>
  <c r="BX331" i="15" s="1"/>
  <c r="BU331" i="15"/>
  <c r="BV331" i="15" s="1"/>
  <c r="BU280" i="15"/>
  <c r="BV280" i="15" s="1"/>
  <c r="BW280" i="15"/>
  <c r="BX280" i="15" s="1"/>
  <c r="BW185" i="15"/>
  <c r="BX185" i="15" s="1"/>
  <c r="BU185" i="15"/>
  <c r="BV185" i="15" s="1"/>
  <c r="BU131" i="15"/>
  <c r="BV131" i="15" s="1"/>
  <c r="BW131" i="15"/>
  <c r="BX131" i="15" s="1"/>
  <c r="BU51" i="15"/>
  <c r="BV51" i="15" s="1"/>
  <c r="BW51" i="15"/>
  <c r="BX51" i="15" s="1"/>
  <c r="BU94" i="15"/>
  <c r="BV94" i="15" s="1"/>
  <c r="BW94" i="15"/>
  <c r="BX94" i="15" s="1"/>
  <c r="BU203" i="15"/>
  <c r="BV203" i="15" s="1"/>
  <c r="BW203" i="15"/>
  <c r="BX203" i="15" s="1"/>
  <c r="BU11" i="15"/>
  <c r="BV11" i="15" s="1"/>
  <c r="BW11" i="15"/>
  <c r="BX11" i="15" s="1"/>
  <c r="BW267" i="15"/>
  <c r="BX267" i="15" s="1"/>
  <c r="BU267" i="15"/>
  <c r="BV267" i="15" s="1"/>
  <c r="BW247" i="15"/>
  <c r="BX247" i="15" s="1"/>
  <c r="BU247" i="15"/>
  <c r="BV247" i="15" s="1"/>
  <c r="BW217" i="15"/>
  <c r="BX217" i="15" s="1"/>
  <c r="BU217" i="15"/>
  <c r="BV217" i="15" s="1"/>
  <c r="BU123" i="15"/>
  <c r="BV123" i="15" s="1"/>
  <c r="BW123" i="15"/>
  <c r="BX123" i="15" s="1"/>
  <c r="BW28" i="15"/>
  <c r="BX28" i="15" s="1"/>
  <c r="BU28" i="15"/>
  <c r="BV28" i="15" s="1"/>
  <c r="BW294" i="15"/>
  <c r="BX294" i="15" s="1"/>
  <c r="BU294" i="15"/>
  <c r="BV294" i="15" s="1"/>
  <c r="BW260" i="15"/>
  <c r="BX260" i="15" s="1"/>
  <c r="BU260" i="15"/>
  <c r="BV260" i="15" s="1"/>
  <c r="BW242" i="15"/>
  <c r="BX242" i="15" s="1"/>
  <c r="BU242" i="15"/>
  <c r="BV242" i="15" s="1"/>
  <c r="BU216" i="15"/>
  <c r="BV216" i="15" s="1"/>
  <c r="BW216" i="15"/>
  <c r="BX216" i="15" s="1"/>
  <c r="BW186" i="15"/>
  <c r="BX186" i="15" s="1"/>
  <c r="BU186" i="15"/>
  <c r="BV186" i="15" s="1"/>
  <c r="BU357" i="15"/>
  <c r="BV357" i="15" s="1"/>
  <c r="BW357" i="15"/>
  <c r="BX357" i="15" s="1"/>
  <c r="BU212" i="15"/>
  <c r="BV212" i="15" s="1"/>
  <c r="BW212" i="15"/>
  <c r="BX212" i="15" s="1"/>
  <c r="BW142" i="15"/>
  <c r="BX142" i="15" s="1"/>
  <c r="BU142" i="15"/>
  <c r="BV142" i="15" s="1"/>
  <c r="BW201" i="15"/>
  <c r="BX201" i="15" s="1"/>
  <c r="BU201" i="15"/>
  <c r="BV201" i="15" s="1"/>
  <c r="BW88" i="15"/>
  <c r="BX88" i="15" s="1"/>
  <c r="BU88" i="15"/>
  <c r="BV88" i="15" s="1"/>
  <c r="BW72" i="15"/>
  <c r="BX72" i="15" s="1"/>
  <c r="BU72" i="15"/>
  <c r="BV72" i="15" s="1"/>
  <c r="BW134" i="15"/>
  <c r="BX134" i="15" s="1"/>
  <c r="BU134" i="15"/>
  <c r="BV134" i="15" s="1"/>
  <c r="BW38" i="15"/>
  <c r="BX38" i="15" s="1"/>
  <c r="BU38" i="15"/>
  <c r="BV38" i="15" s="1"/>
  <c r="BW852" i="15"/>
  <c r="BX852" i="15" s="1"/>
  <c r="BU852" i="15"/>
  <c r="BV852" i="15" s="1"/>
  <c r="BU854" i="15"/>
  <c r="BV854" i="15" s="1"/>
  <c r="BW854" i="15"/>
  <c r="BX854" i="15" s="1"/>
  <c r="BU850" i="15"/>
  <c r="BV850" i="15" s="1"/>
  <c r="BW850" i="15"/>
  <c r="BX850" i="15" s="1"/>
  <c r="BU842" i="15"/>
  <c r="BV842" i="15" s="1"/>
  <c r="BW842" i="15"/>
  <c r="BX842" i="15" s="1"/>
  <c r="BU446" i="15"/>
  <c r="BV446" i="15" s="1"/>
  <c r="BW446" i="15"/>
  <c r="BX446" i="15" s="1"/>
  <c r="BW426" i="15"/>
  <c r="BX426" i="15" s="1"/>
  <c r="BU426" i="15"/>
  <c r="BV426" i="15" s="1"/>
  <c r="BW418" i="15"/>
  <c r="BX418" i="15" s="1"/>
  <c r="BU418" i="15"/>
  <c r="BV418" i="15" s="1"/>
  <c r="BW410" i="15"/>
  <c r="BX410" i="15" s="1"/>
  <c r="BU410" i="15"/>
  <c r="BV410" i="15" s="1"/>
  <c r="BW468" i="15"/>
  <c r="BX468" i="15" s="1"/>
  <c r="BU468" i="15"/>
  <c r="BV468" i="15" s="1"/>
  <c r="BU417" i="15"/>
  <c r="BV417" i="15" s="1"/>
  <c r="BW417" i="15"/>
  <c r="BX417" i="15" s="1"/>
  <c r="BU390" i="15"/>
  <c r="BV390" i="15" s="1"/>
  <c r="BW390" i="15"/>
  <c r="BX390" i="15" s="1"/>
  <c r="BU315" i="15"/>
  <c r="BV315" i="15" s="1"/>
  <c r="BW315" i="15"/>
  <c r="BX315" i="15" s="1"/>
  <c r="BW443" i="15"/>
  <c r="BX443" i="15" s="1"/>
  <c r="BU443" i="15"/>
  <c r="BV443" i="15" s="1"/>
  <c r="BU318" i="15"/>
  <c r="BV318" i="15" s="1"/>
  <c r="BW318" i="15"/>
  <c r="BX318" i="15" s="1"/>
  <c r="BU462" i="15"/>
  <c r="BV462" i="15" s="1"/>
  <c r="BW462" i="15"/>
  <c r="BX462" i="15" s="1"/>
  <c r="BU445" i="15"/>
  <c r="BV445" i="15" s="1"/>
  <c r="BW445" i="15"/>
  <c r="BX445" i="15" s="1"/>
  <c r="BW415" i="15"/>
  <c r="BX415" i="15" s="1"/>
  <c r="BU415" i="15"/>
  <c r="BV415" i="15" s="1"/>
  <c r="BU383" i="15"/>
  <c r="BV383" i="15" s="1"/>
  <c r="BW383" i="15"/>
  <c r="BX383" i="15" s="1"/>
  <c r="BU316" i="15"/>
  <c r="BV316" i="15" s="1"/>
  <c r="BW316" i="15"/>
  <c r="BX316" i="15" s="1"/>
  <c r="BW146" i="15"/>
  <c r="BX146" i="15" s="1"/>
  <c r="BU146" i="15"/>
  <c r="BV146" i="15" s="1"/>
  <c r="BW447" i="15"/>
  <c r="BX447" i="15" s="1"/>
  <c r="BU447" i="15"/>
  <c r="BV447" i="15" s="1"/>
  <c r="BU310" i="15"/>
  <c r="BV310" i="15" s="1"/>
  <c r="BW310" i="15"/>
  <c r="BX310" i="15" s="1"/>
  <c r="BU421" i="15"/>
  <c r="BV421" i="15" s="1"/>
  <c r="BW421" i="15"/>
  <c r="BX421" i="15" s="1"/>
  <c r="BW388" i="15"/>
  <c r="BX388" i="15" s="1"/>
  <c r="BU388" i="15"/>
  <c r="BV388" i="15" s="1"/>
  <c r="BU372" i="15"/>
  <c r="BV372" i="15" s="1"/>
  <c r="BW372" i="15"/>
  <c r="BX372" i="15" s="1"/>
  <c r="BW309" i="15"/>
  <c r="BX309" i="15" s="1"/>
  <c r="BU309" i="15"/>
  <c r="BV309" i="15" s="1"/>
  <c r="BU227" i="15"/>
  <c r="BV227" i="15" s="1"/>
  <c r="BW227" i="15"/>
  <c r="BX227" i="15" s="1"/>
  <c r="BU154" i="15"/>
  <c r="BV154" i="15" s="1"/>
  <c r="BW154" i="15"/>
  <c r="BX154" i="15" s="1"/>
  <c r="BW419" i="15"/>
  <c r="BX419" i="15" s="1"/>
  <c r="BU419" i="15"/>
  <c r="BV419" i="15" s="1"/>
  <c r="BU322" i="15"/>
  <c r="BV322" i="15" s="1"/>
  <c r="BW322" i="15"/>
  <c r="BX322" i="15" s="1"/>
  <c r="BU349" i="15"/>
  <c r="BV349" i="15" s="1"/>
  <c r="BW349" i="15"/>
  <c r="BX349" i="15" s="1"/>
  <c r="BW298" i="15"/>
  <c r="BX298" i="15" s="1"/>
  <c r="BU298" i="15"/>
  <c r="BV298" i="15" s="1"/>
  <c r="BU213" i="15"/>
  <c r="BV213" i="15" s="1"/>
  <c r="BW213" i="15"/>
  <c r="BX213" i="15" s="1"/>
  <c r="BW197" i="15"/>
  <c r="BX197" i="15" s="1"/>
  <c r="BU197" i="15"/>
  <c r="BV197" i="15" s="1"/>
  <c r="BW180" i="15"/>
  <c r="BX180" i="15" s="1"/>
  <c r="BU180" i="15"/>
  <c r="BV180" i="15" s="1"/>
  <c r="BW164" i="15"/>
  <c r="BX164" i="15" s="1"/>
  <c r="BU164" i="15"/>
  <c r="BV164" i="15" s="1"/>
  <c r="BW141" i="15"/>
  <c r="BX141" i="15" s="1"/>
  <c r="BU141" i="15"/>
  <c r="BV141" i="15" s="1"/>
  <c r="BU127" i="15"/>
  <c r="BV127" i="15" s="1"/>
  <c r="BW127" i="15"/>
  <c r="BX127" i="15" s="1"/>
  <c r="BU63" i="15"/>
  <c r="BV63" i="15" s="1"/>
  <c r="BW63" i="15"/>
  <c r="BX63" i="15" s="1"/>
  <c r="BU47" i="15"/>
  <c r="BV47" i="15" s="1"/>
  <c r="BW47" i="15"/>
  <c r="BX47" i="15" s="1"/>
  <c r="BW17" i="15"/>
  <c r="BX17" i="15" s="1"/>
  <c r="BU17" i="15"/>
  <c r="BV17" i="15" s="1"/>
  <c r="BU90" i="15"/>
  <c r="BV90" i="15" s="1"/>
  <c r="BW90" i="15"/>
  <c r="BX90" i="15" s="1"/>
  <c r="BU18" i="15"/>
  <c r="BV18" i="15" s="1"/>
  <c r="BW18" i="15"/>
  <c r="BX18" i="15" s="1"/>
  <c r="BW194" i="15"/>
  <c r="BX194" i="15" s="1"/>
  <c r="BU194" i="15"/>
  <c r="BV194" i="15" s="1"/>
  <c r="BW156" i="15"/>
  <c r="BX156" i="15" s="1"/>
  <c r="BU156" i="15"/>
  <c r="BV156" i="15" s="1"/>
  <c r="BW95" i="15"/>
  <c r="BX95" i="15" s="1"/>
  <c r="BU95" i="15"/>
  <c r="BV95" i="15" s="1"/>
  <c r="BW61" i="15"/>
  <c r="BX61" i="15" s="1"/>
  <c r="BU61" i="15"/>
  <c r="BV61" i="15" s="1"/>
  <c r="BW45" i="15"/>
  <c r="BX45" i="15" s="1"/>
  <c r="BU45" i="15"/>
  <c r="BV45" i="15" s="1"/>
  <c r="BW367" i="15"/>
  <c r="BX367" i="15" s="1"/>
  <c r="BU367" i="15"/>
  <c r="BV367" i="15" s="1"/>
  <c r="BW335" i="15"/>
  <c r="BX335" i="15" s="1"/>
  <c r="BU335" i="15"/>
  <c r="BV335" i="15" s="1"/>
  <c r="BU265" i="15"/>
  <c r="BV265" i="15" s="1"/>
  <c r="BW265" i="15"/>
  <c r="BX265" i="15" s="1"/>
  <c r="BW257" i="15"/>
  <c r="BX257" i="15" s="1"/>
  <c r="BU257" i="15"/>
  <c r="BV257" i="15" s="1"/>
  <c r="BW245" i="15"/>
  <c r="BX245" i="15" s="1"/>
  <c r="BU245" i="15"/>
  <c r="BV245" i="15" s="1"/>
  <c r="BW233" i="15"/>
  <c r="BX233" i="15" s="1"/>
  <c r="BU233" i="15"/>
  <c r="BV233" i="15" s="1"/>
  <c r="BU208" i="15"/>
  <c r="BV208" i="15" s="1"/>
  <c r="BW208" i="15"/>
  <c r="BX208" i="15" s="1"/>
  <c r="BW179" i="15"/>
  <c r="BX179" i="15" s="1"/>
  <c r="BU179" i="15"/>
  <c r="BV179" i="15" s="1"/>
  <c r="BU119" i="15"/>
  <c r="BV119" i="15" s="1"/>
  <c r="BW119" i="15"/>
  <c r="BX119" i="15" s="1"/>
  <c r="BU103" i="15"/>
  <c r="BV103" i="15" s="1"/>
  <c r="BW103" i="15"/>
  <c r="BX103" i="15" s="1"/>
  <c r="BW24" i="15"/>
  <c r="BX24" i="15" s="1"/>
  <c r="BU24" i="15"/>
  <c r="BV24" i="15" s="1"/>
  <c r="BW343" i="15"/>
  <c r="BX343" i="15" s="1"/>
  <c r="BU343" i="15"/>
  <c r="BV343" i="15" s="1"/>
  <c r="BU292" i="15"/>
  <c r="BV292" i="15" s="1"/>
  <c r="BW292" i="15"/>
  <c r="BX292" i="15" s="1"/>
  <c r="BU266" i="15"/>
  <c r="BV266" i="15" s="1"/>
  <c r="BW266" i="15"/>
  <c r="BX266" i="15" s="1"/>
  <c r="BW258" i="15"/>
  <c r="BX258" i="15" s="1"/>
  <c r="BU258" i="15"/>
  <c r="BV258" i="15" s="1"/>
  <c r="BW248" i="15"/>
  <c r="BX248" i="15" s="1"/>
  <c r="BU248" i="15"/>
  <c r="BV248" i="15" s="1"/>
  <c r="BW240" i="15"/>
  <c r="BX240" i="15" s="1"/>
  <c r="BU240" i="15"/>
  <c r="BV240" i="15" s="1"/>
  <c r="BU230" i="15"/>
  <c r="BV230" i="15" s="1"/>
  <c r="BW230" i="15"/>
  <c r="BX230" i="15" s="1"/>
  <c r="BW214" i="15"/>
  <c r="BX214" i="15" s="1"/>
  <c r="BU214" i="15"/>
  <c r="BV214" i="15" s="1"/>
  <c r="BW198" i="15"/>
  <c r="BX198" i="15" s="1"/>
  <c r="BU198" i="15"/>
  <c r="BV198" i="15" s="1"/>
  <c r="BW183" i="15"/>
  <c r="BX183" i="15" s="1"/>
  <c r="BU183" i="15"/>
  <c r="BV183" i="15" s="1"/>
  <c r="BW160" i="15"/>
  <c r="BX160" i="15" s="1"/>
  <c r="BU160" i="15"/>
  <c r="BV160" i="15" s="1"/>
  <c r="BU136" i="15"/>
  <c r="BV136" i="15" s="1"/>
  <c r="BW136" i="15"/>
  <c r="BX136" i="15" s="1"/>
  <c r="BW60" i="15"/>
  <c r="BX60" i="15" s="1"/>
  <c r="BU60" i="15"/>
  <c r="BV60" i="15" s="1"/>
  <c r="BU26" i="15"/>
  <c r="BV26" i="15" s="1"/>
  <c r="BW26" i="15"/>
  <c r="BX26" i="15" s="1"/>
  <c r="BW355" i="15"/>
  <c r="BX355" i="15" s="1"/>
  <c r="BU355" i="15"/>
  <c r="BV355" i="15" s="1"/>
  <c r="BU288" i="15"/>
  <c r="BV288" i="15" s="1"/>
  <c r="BW288" i="15"/>
  <c r="BX288" i="15" s="1"/>
  <c r="BW210" i="15"/>
  <c r="BX210" i="15" s="1"/>
  <c r="BU210" i="15"/>
  <c r="BV210" i="15" s="1"/>
  <c r="BW173" i="15"/>
  <c r="BX173" i="15" s="1"/>
  <c r="BU173" i="15"/>
  <c r="BV173" i="15" s="1"/>
  <c r="BW133" i="15"/>
  <c r="BX133" i="15" s="1"/>
  <c r="BU133" i="15"/>
  <c r="BV133" i="15" s="1"/>
  <c r="BU19" i="15"/>
  <c r="BV19" i="15" s="1"/>
  <c r="BW19" i="15"/>
  <c r="BX19" i="15" s="1"/>
  <c r="BW225" i="15"/>
  <c r="BX225" i="15" s="1"/>
  <c r="BU225" i="15"/>
  <c r="BV225" i="15" s="1"/>
  <c r="BW187" i="15"/>
  <c r="BX187" i="15" s="1"/>
  <c r="BU187" i="15"/>
  <c r="BV187" i="15" s="1"/>
  <c r="BU140" i="15"/>
  <c r="BV140" i="15" s="1"/>
  <c r="BW140" i="15"/>
  <c r="BX140" i="15" s="1"/>
  <c r="BU84" i="15"/>
  <c r="BV84" i="15" s="1"/>
  <c r="BW84" i="15"/>
  <c r="BX84" i="15" s="1"/>
  <c r="BW12" i="15"/>
  <c r="BX12" i="15" s="1"/>
  <c r="BU12" i="15"/>
  <c r="BV12" i="15" s="1"/>
  <c r="BW121" i="15"/>
  <c r="BX121" i="15" s="1"/>
  <c r="BU121" i="15"/>
  <c r="BV121" i="15" s="1"/>
  <c r="BU37" i="15"/>
  <c r="BV37" i="15" s="1"/>
  <c r="BW37" i="15"/>
  <c r="BX37" i="15" s="1"/>
  <c r="BW101" i="15"/>
  <c r="BX101" i="15" s="1"/>
  <c r="BU101" i="15"/>
  <c r="BV101" i="15" s="1"/>
  <c r="BU287" i="15"/>
  <c r="BV287" i="15" s="1"/>
  <c r="BW287" i="15"/>
  <c r="BX287" i="15" s="1"/>
  <c r="BW366" i="15"/>
  <c r="BX366" i="15" s="1"/>
  <c r="BU366" i="15"/>
  <c r="BV366" i="15" s="1"/>
  <c r="BW465" i="15"/>
  <c r="BX465" i="15" s="1"/>
  <c r="BU465" i="15"/>
  <c r="BV465" i="15" s="1"/>
  <c r="BW849" i="15"/>
  <c r="BX849" i="15" s="1"/>
  <c r="BU849" i="15"/>
  <c r="BV849" i="15" s="1"/>
  <c r="BU58" i="15"/>
  <c r="BV58" i="15" s="1"/>
  <c r="BW58" i="15"/>
  <c r="BX58" i="15" s="1"/>
  <c r="BU54" i="15"/>
  <c r="BV54" i="15" s="1"/>
  <c r="BW54" i="15"/>
  <c r="BX54" i="15" s="1"/>
  <c r="BU50" i="15"/>
  <c r="BV50" i="15" s="1"/>
  <c r="BW50" i="15"/>
  <c r="BX50" i="15" s="1"/>
  <c r="BW67" i="15"/>
  <c r="BX67" i="15" s="1"/>
  <c r="BU67" i="15"/>
  <c r="BV67" i="15" s="1"/>
  <c r="BW857" i="15"/>
  <c r="BX857" i="15" s="1"/>
  <c r="BU857" i="15"/>
  <c r="BV857" i="15" s="1"/>
  <c r="BW851" i="15"/>
  <c r="BX851" i="15" s="1"/>
  <c r="BU851" i="15"/>
  <c r="BV851" i="15" s="1"/>
  <c r="BW843" i="15"/>
  <c r="BX843" i="15" s="1"/>
  <c r="BU843" i="15"/>
  <c r="BV843" i="15" s="1"/>
  <c r="BW839" i="15"/>
  <c r="BX839" i="15" s="1"/>
  <c r="BU839" i="15"/>
  <c r="BV839" i="15" s="1"/>
  <c r="BW833" i="15"/>
  <c r="BX833" i="15" s="1"/>
  <c r="BU833" i="15"/>
  <c r="BV833" i="15" s="1"/>
  <c r="BU295" i="15"/>
  <c r="BV295" i="15" s="1"/>
  <c r="BW295" i="15"/>
  <c r="BX295" i="15" s="1"/>
  <c r="BU291" i="15"/>
  <c r="BV291" i="15" s="1"/>
  <c r="BW291" i="15"/>
  <c r="BX291" i="15" s="1"/>
  <c r="BW285" i="15"/>
  <c r="BX285" i="15" s="1"/>
  <c r="BU285" i="15"/>
  <c r="BV285" i="15" s="1"/>
  <c r="BW281" i="15"/>
  <c r="BX281" i="15" s="1"/>
  <c r="BU281" i="15"/>
  <c r="BV281" i="15" s="1"/>
  <c r="BW277" i="15"/>
  <c r="BX277" i="15" s="1"/>
  <c r="BU277" i="15"/>
  <c r="BV277" i="15" s="1"/>
  <c r="BU273" i="15"/>
  <c r="BV273" i="15" s="1"/>
  <c r="BW273" i="15"/>
  <c r="BX273" i="15" s="1"/>
  <c r="BW364" i="15"/>
  <c r="BX364" i="15" s="1"/>
  <c r="BU364" i="15"/>
  <c r="BV364" i="15" s="1"/>
  <c r="BU360" i="15"/>
  <c r="BV360" i="15" s="1"/>
  <c r="BW360" i="15"/>
  <c r="BX360" i="15" s="1"/>
  <c r="BW356" i="15"/>
  <c r="BX356" i="15" s="1"/>
  <c r="BU356" i="15"/>
  <c r="BV356" i="15" s="1"/>
  <c r="BU352" i="15"/>
  <c r="BV352" i="15" s="1"/>
  <c r="BW352" i="15"/>
  <c r="BX352" i="15" s="1"/>
  <c r="BW346" i="15"/>
  <c r="BX346" i="15" s="1"/>
  <c r="BU346" i="15"/>
  <c r="BV346" i="15" s="1"/>
  <c r="BW342" i="15"/>
  <c r="BX342" i="15" s="1"/>
  <c r="BU342" i="15"/>
  <c r="BV342" i="15" s="1"/>
  <c r="BW338" i="15"/>
  <c r="BX338" i="15" s="1"/>
  <c r="BU338" i="15"/>
  <c r="BV338" i="15" s="1"/>
  <c r="BW332" i="15"/>
  <c r="BX332" i="15" s="1"/>
  <c r="BU332" i="15"/>
  <c r="BV332" i="15" s="1"/>
  <c r="BU328" i="15"/>
  <c r="BV328" i="15" s="1"/>
  <c r="BW328" i="15"/>
  <c r="BX328" i="15" s="1"/>
  <c r="BW79" i="15"/>
  <c r="BX79" i="15" s="1"/>
  <c r="BU79" i="15"/>
  <c r="BV79" i="15" s="1"/>
  <c r="BW75" i="15"/>
  <c r="BX75" i="15" s="1"/>
  <c r="BU75" i="15"/>
  <c r="BV75" i="15" s="1"/>
  <c r="BW71" i="15"/>
  <c r="BX71" i="15" s="1"/>
  <c r="BU71" i="15"/>
  <c r="BV71" i="15" s="1"/>
  <c r="BW853" i="15"/>
  <c r="BX853" i="15" s="1"/>
  <c r="BU853" i="15"/>
  <c r="BV853" i="15" s="1"/>
  <c r="BW845" i="15"/>
  <c r="BX845" i="15" s="1"/>
  <c r="BU845" i="15"/>
  <c r="BV845" i="15" s="1"/>
  <c r="BW393" i="15"/>
  <c r="BX393" i="15" s="1"/>
  <c r="BU393" i="15"/>
  <c r="BV393" i="15" s="1"/>
  <c r="BU428" i="15"/>
  <c r="BV428" i="15" s="1"/>
  <c r="BW428" i="15"/>
  <c r="BX428" i="15" s="1"/>
  <c r="BU412" i="15"/>
  <c r="BV412" i="15" s="1"/>
  <c r="BW412" i="15"/>
  <c r="BX412" i="15" s="1"/>
  <c r="BU425" i="15"/>
  <c r="BV425" i="15" s="1"/>
  <c r="BW425" i="15"/>
  <c r="BX425" i="15" s="1"/>
  <c r="BU303" i="15"/>
  <c r="BV303" i="15" s="1"/>
  <c r="BW303" i="15"/>
  <c r="BX303" i="15" s="1"/>
  <c r="BW451" i="15"/>
  <c r="BX451" i="15" s="1"/>
  <c r="BU451" i="15"/>
  <c r="BV451" i="15" s="1"/>
  <c r="BW381" i="15"/>
  <c r="BX381" i="15" s="1"/>
  <c r="BU381" i="15"/>
  <c r="BV381" i="15" s="1"/>
  <c r="BW423" i="15"/>
  <c r="BX423" i="15" s="1"/>
  <c r="BU423" i="15"/>
  <c r="BV423" i="15" s="1"/>
  <c r="BU387" i="15"/>
  <c r="BV387" i="15" s="1"/>
  <c r="BW387" i="15"/>
  <c r="BX387" i="15" s="1"/>
  <c r="BW304" i="15"/>
  <c r="BX304" i="15" s="1"/>
  <c r="BU304" i="15"/>
  <c r="BV304" i="15" s="1"/>
  <c r="BU314" i="15"/>
  <c r="BV314" i="15" s="1"/>
  <c r="BW314" i="15"/>
  <c r="BX314" i="15" s="1"/>
  <c r="BU456" i="15"/>
  <c r="BV456" i="15" s="1"/>
  <c r="BW456" i="15"/>
  <c r="BX456" i="15" s="1"/>
  <c r="BW435" i="15"/>
  <c r="BX435" i="15" s="1"/>
  <c r="BU435" i="15"/>
  <c r="BV435" i="15" s="1"/>
  <c r="BW376" i="15"/>
  <c r="BX376" i="15" s="1"/>
  <c r="BU376" i="15"/>
  <c r="BV376" i="15" s="1"/>
  <c r="BU228" i="15"/>
  <c r="BV228" i="15" s="1"/>
  <c r="BW228" i="15"/>
  <c r="BX228" i="15" s="1"/>
  <c r="BU220" i="15"/>
  <c r="BV220" i="15" s="1"/>
  <c r="BW220" i="15"/>
  <c r="BX220" i="15" s="1"/>
  <c r="BU449" i="15"/>
  <c r="BV449" i="15" s="1"/>
  <c r="BW449" i="15"/>
  <c r="BX449" i="15" s="1"/>
  <c r="BW363" i="15"/>
  <c r="BX363" i="15" s="1"/>
  <c r="BU363" i="15"/>
  <c r="BV363" i="15" s="1"/>
  <c r="BW202" i="15"/>
  <c r="BX202" i="15" s="1"/>
  <c r="BU202" i="15"/>
  <c r="BV202" i="15" s="1"/>
  <c r="BU169" i="15"/>
  <c r="BV169" i="15" s="1"/>
  <c r="BW169" i="15"/>
  <c r="BX169" i="15" s="1"/>
  <c r="BW148" i="15"/>
  <c r="BX148" i="15" s="1"/>
  <c r="BU148" i="15"/>
  <c r="BV148" i="15" s="1"/>
  <c r="BU85" i="15"/>
  <c r="BV85" i="15" s="1"/>
  <c r="BW85" i="15"/>
  <c r="BX85" i="15" s="1"/>
  <c r="BW21" i="15"/>
  <c r="BX21" i="15" s="1"/>
  <c r="BU21" i="15"/>
  <c r="BV21" i="15" s="1"/>
  <c r="BU30" i="15"/>
  <c r="BV30" i="15" s="1"/>
  <c r="BW30" i="15"/>
  <c r="BX30" i="15" s="1"/>
  <c r="BU165" i="15"/>
  <c r="BV165" i="15" s="1"/>
  <c r="BW165" i="15"/>
  <c r="BX165" i="15" s="1"/>
  <c r="BW49" i="15"/>
  <c r="BX49" i="15" s="1"/>
  <c r="BU49" i="15"/>
  <c r="BV49" i="15" s="1"/>
  <c r="BW337" i="15"/>
  <c r="BX337" i="15" s="1"/>
  <c r="BU337" i="15"/>
  <c r="BV337" i="15" s="1"/>
  <c r="BW259" i="15"/>
  <c r="BX259" i="15" s="1"/>
  <c r="BU259" i="15"/>
  <c r="BV259" i="15" s="1"/>
  <c r="BW237" i="15"/>
  <c r="BX237" i="15" s="1"/>
  <c r="BU237" i="15"/>
  <c r="BV237" i="15" s="1"/>
  <c r="BW182" i="15"/>
  <c r="BX182" i="15" s="1"/>
  <c r="BU182" i="15"/>
  <c r="BV182" i="15" s="1"/>
  <c r="BU107" i="15"/>
  <c r="BV107" i="15" s="1"/>
  <c r="BW107" i="15"/>
  <c r="BX107" i="15" s="1"/>
  <c r="BW345" i="15"/>
  <c r="BX345" i="15" s="1"/>
  <c r="BU345" i="15"/>
  <c r="BV345" i="15" s="1"/>
  <c r="BW268" i="15"/>
  <c r="BX268" i="15" s="1"/>
  <c r="BU268" i="15"/>
  <c r="BV268" i="15" s="1"/>
  <c r="BW252" i="15"/>
  <c r="BX252" i="15" s="1"/>
  <c r="BU252" i="15"/>
  <c r="BV252" i="15" s="1"/>
  <c r="BW234" i="15"/>
  <c r="BX234" i="15" s="1"/>
  <c r="BU234" i="15"/>
  <c r="BV234" i="15" s="1"/>
  <c r="BU200" i="15"/>
  <c r="BV200" i="15" s="1"/>
  <c r="BW200" i="15"/>
  <c r="BX200" i="15" s="1"/>
  <c r="BW170" i="15"/>
  <c r="BX170" i="15" s="1"/>
  <c r="BU170" i="15"/>
  <c r="BV170" i="15" s="1"/>
  <c r="BU139" i="15"/>
  <c r="BV139" i="15" s="1"/>
  <c r="BW139" i="15"/>
  <c r="BX139" i="15" s="1"/>
  <c r="BW44" i="15"/>
  <c r="BX44" i="15" s="1"/>
  <c r="BU44" i="15"/>
  <c r="BV44" i="15" s="1"/>
  <c r="BW290" i="15"/>
  <c r="BX290" i="15" s="1"/>
  <c r="BU290" i="15"/>
  <c r="BV290" i="15" s="1"/>
  <c r="BW176" i="15"/>
  <c r="BX176" i="15" s="1"/>
  <c r="BU176" i="15"/>
  <c r="BV176" i="15" s="1"/>
  <c r="BU27" i="15"/>
  <c r="BV27" i="15" s="1"/>
  <c r="BW27" i="15"/>
  <c r="BX27" i="15" s="1"/>
  <c r="BW235" i="15"/>
  <c r="BX235" i="15" s="1"/>
  <c r="BU235" i="15"/>
  <c r="BV235" i="15" s="1"/>
  <c r="BW159" i="15"/>
  <c r="BX159" i="15" s="1"/>
  <c r="BU159" i="15"/>
  <c r="BV159" i="15" s="1"/>
  <c r="BW16" i="15"/>
  <c r="BX16" i="15" s="1"/>
  <c r="BU16" i="15"/>
  <c r="BV16" i="15" s="1"/>
  <c r="BW78" i="15"/>
  <c r="BX78" i="15" s="1"/>
  <c r="BU78" i="15"/>
  <c r="BV78" i="15" s="1"/>
  <c r="BW117" i="15"/>
  <c r="BX117" i="15" s="1"/>
  <c r="BU117" i="15"/>
  <c r="BV117" i="15" s="1"/>
  <c r="BU440" i="15"/>
  <c r="BV440" i="15" s="1"/>
  <c r="BW440" i="15"/>
  <c r="BX440" i="15" s="1"/>
  <c r="BW457" i="15"/>
  <c r="BX457" i="15" s="1"/>
  <c r="BU457" i="15"/>
  <c r="BV457" i="15" s="1"/>
  <c r="BW350" i="15"/>
  <c r="BX350" i="15" s="1"/>
  <c r="BU350" i="15"/>
  <c r="BV350" i="15" s="1"/>
  <c r="BW130" i="15"/>
  <c r="BX130" i="15" s="1"/>
  <c r="BU130" i="15"/>
  <c r="BV130" i="15" s="1"/>
  <c r="BU126" i="15"/>
  <c r="BV126" i="15" s="1"/>
  <c r="BW126" i="15"/>
  <c r="BX126" i="15" s="1"/>
  <c r="BU459" i="15"/>
  <c r="BV459" i="15" s="1"/>
  <c r="BW459" i="15"/>
  <c r="BX459" i="15" s="1"/>
  <c r="BW396" i="15"/>
  <c r="BX396" i="15" s="1"/>
  <c r="BU396" i="15"/>
  <c r="BV396" i="15" s="1"/>
  <c r="BU122" i="15"/>
  <c r="BV122" i="15" s="1"/>
  <c r="BW122" i="15"/>
  <c r="BX122" i="15" s="1"/>
  <c r="BU114" i="15"/>
  <c r="BV114" i="15" s="1"/>
  <c r="BW114" i="15"/>
  <c r="BX114" i="15" s="1"/>
  <c r="BU102" i="15"/>
  <c r="BV102" i="15" s="1"/>
  <c r="BW102" i="15"/>
  <c r="BX102" i="15" s="1"/>
  <c r="BW844" i="15"/>
  <c r="BX844" i="15" s="1"/>
  <c r="BU844" i="15"/>
  <c r="BV844" i="15" s="1"/>
  <c r="BU444" i="15"/>
  <c r="BV444" i="15" s="1"/>
  <c r="BW444" i="15"/>
  <c r="BX444" i="15" s="1"/>
  <c r="BU408" i="15"/>
  <c r="BV408" i="15" s="1"/>
  <c r="BW408" i="15"/>
  <c r="BX408" i="15" s="1"/>
  <c r="BU378" i="15"/>
  <c r="BV378" i="15" s="1"/>
  <c r="BW378" i="15"/>
  <c r="BX378" i="15" s="1"/>
  <c r="BU413" i="15"/>
  <c r="BV413" i="15" s="1"/>
  <c r="BW413" i="15"/>
  <c r="BX413" i="15" s="1"/>
  <c r="BW321" i="15"/>
  <c r="BX321" i="15" s="1"/>
  <c r="BU321" i="15"/>
  <c r="BV321" i="15" s="1"/>
  <c r="BW305" i="15"/>
  <c r="BX305" i="15" s="1"/>
  <c r="BU305" i="15"/>
  <c r="BV305" i="15" s="1"/>
  <c r="BW224" i="15"/>
  <c r="BX224" i="15" s="1"/>
  <c r="BU224" i="15"/>
  <c r="BV224" i="15" s="1"/>
  <c r="BU166" i="15"/>
  <c r="BV166" i="15" s="1"/>
  <c r="BW166" i="15"/>
  <c r="BX166" i="15" s="1"/>
  <c r="BU150" i="15"/>
  <c r="BV150" i="15" s="1"/>
  <c r="BW150" i="15"/>
  <c r="BX150" i="15" s="1"/>
  <c r="BU466" i="15"/>
  <c r="BV466" i="15" s="1"/>
  <c r="BW466" i="15"/>
  <c r="BX466" i="15" s="1"/>
  <c r="BW400" i="15"/>
  <c r="BX400" i="15" s="1"/>
  <c r="BU400" i="15"/>
  <c r="BV400" i="15" s="1"/>
  <c r="BU302" i="15"/>
  <c r="BV302" i="15" s="1"/>
  <c r="BW302" i="15"/>
  <c r="BX302" i="15" s="1"/>
  <c r="BW347" i="15"/>
  <c r="BX347" i="15" s="1"/>
  <c r="BU347" i="15"/>
  <c r="BV347" i="15" s="1"/>
  <c r="BU296" i="15"/>
  <c r="BV296" i="15" s="1"/>
  <c r="BW296" i="15"/>
  <c r="BX296" i="15" s="1"/>
  <c r="BU211" i="15"/>
  <c r="BV211" i="15" s="1"/>
  <c r="BW211" i="15"/>
  <c r="BX211" i="15" s="1"/>
  <c r="BU195" i="15"/>
  <c r="BV195" i="15" s="1"/>
  <c r="BW195" i="15"/>
  <c r="BX195" i="15" s="1"/>
  <c r="BW177" i="15"/>
  <c r="BX177" i="15" s="1"/>
  <c r="BU177" i="15"/>
  <c r="BV177" i="15" s="1"/>
  <c r="BU157" i="15"/>
  <c r="BV157" i="15" s="1"/>
  <c r="BW157" i="15"/>
  <c r="BX157" i="15" s="1"/>
  <c r="BW138" i="15"/>
  <c r="BX138" i="15" s="1"/>
  <c r="BU138" i="15"/>
  <c r="BV138" i="15" s="1"/>
  <c r="BW92" i="15"/>
  <c r="BX92" i="15" s="1"/>
  <c r="BU92" i="15"/>
  <c r="BV92" i="15" s="1"/>
  <c r="BU59" i="15"/>
  <c r="BV59" i="15" s="1"/>
  <c r="BW59" i="15"/>
  <c r="BX59" i="15" s="1"/>
  <c r="BW29" i="15"/>
  <c r="BX29" i="15" s="1"/>
  <c r="BU29" i="15"/>
  <c r="BV29" i="15" s="1"/>
  <c r="BW13" i="15"/>
  <c r="BX13" i="15" s="1"/>
  <c r="BU13" i="15"/>
  <c r="BV13" i="15" s="1"/>
  <c r="BU86" i="15"/>
  <c r="BV86" i="15" s="1"/>
  <c r="BW86" i="15"/>
  <c r="BX86" i="15" s="1"/>
  <c r="BU14" i="15"/>
  <c r="BV14" i="15" s="1"/>
  <c r="BW14" i="15"/>
  <c r="BX14" i="15" s="1"/>
  <c r="BW184" i="15"/>
  <c r="BX184" i="15" s="1"/>
  <c r="BU184" i="15"/>
  <c r="BV184" i="15" s="1"/>
  <c r="BU149" i="15"/>
  <c r="BV149" i="15" s="1"/>
  <c r="BW149" i="15"/>
  <c r="BX149" i="15" s="1"/>
  <c r="BW91" i="15"/>
  <c r="BX91" i="15" s="1"/>
  <c r="BU91" i="15"/>
  <c r="BV91" i="15" s="1"/>
  <c r="BW57" i="15"/>
  <c r="BX57" i="15" s="1"/>
  <c r="BU57" i="15"/>
  <c r="BV57" i="15" s="1"/>
  <c r="BU23" i="15"/>
  <c r="BV23" i="15" s="1"/>
  <c r="BW23" i="15"/>
  <c r="BX23" i="15" s="1"/>
  <c r="BW353" i="15"/>
  <c r="BX353" i="15" s="1"/>
  <c r="BU353" i="15"/>
  <c r="BV353" i="15" s="1"/>
  <c r="BW286" i="15"/>
  <c r="BX286" i="15" s="1"/>
  <c r="BU286" i="15"/>
  <c r="BV286" i="15" s="1"/>
  <c r="BW263" i="15"/>
  <c r="BX263" i="15" s="1"/>
  <c r="BU263" i="15"/>
  <c r="BV263" i="15" s="1"/>
  <c r="BU255" i="15"/>
  <c r="BV255" i="15" s="1"/>
  <c r="BW255" i="15"/>
  <c r="BX255" i="15" s="1"/>
  <c r="BW243" i="15"/>
  <c r="BX243" i="15" s="1"/>
  <c r="BU243" i="15"/>
  <c r="BV243" i="15" s="1"/>
  <c r="BW229" i="15"/>
  <c r="BX229" i="15" s="1"/>
  <c r="BU229" i="15"/>
  <c r="BV229" i="15" s="1"/>
  <c r="BU199" i="15"/>
  <c r="BV199" i="15" s="1"/>
  <c r="BW199" i="15"/>
  <c r="BX199" i="15" s="1"/>
  <c r="BU161" i="15"/>
  <c r="BV161" i="15" s="1"/>
  <c r="BW161" i="15"/>
  <c r="BX161" i="15" s="1"/>
  <c r="BU115" i="15"/>
  <c r="BV115" i="15" s="1"/>
  <c r="BW115" i="15"/>
  <c r="BX115" i="15" s="1"/>
  <c r="BW99" i="15"/>
  <c r="BX99" i="15" s="1"/>
  <c r="BU99" i="15"/>
  <c r="BV99" i="15" s="1"/>
  <c r="BW361" i="15"/>
  <c r="BX361" i="15" s="1"/>
  <c r="BU361" i="15"/>
  <c r="BV361" i="15" s="1"/>
  <c r="BW329" i="15"/>
  <c r="BX329" i="15" s="1"/>
  <c r="BU329" i="15"/>
  <c r="BV329" i="15" s="1"/>
  <c r="BW278" i="15"/>
  <c r="BX278" i="15" s="1"/>
  <c r="BU278" i="15"/>
  <c r="BV278" i="15" s="1"/>
  <c r="BW264" i="15"/>
  <c r="BX264" i="15" s="1"/>
  <c r="BU264" i="15"/>
  <c r="BV264" i="15" s="1"/>
  <c r="BW256" i="15"/>
  <c r="BX256" i="15" s="1"/>
  <c r="BU256" i="15"/>
  <c r="BV256" i="15" s="1"/>
  <c r="BW246" i="15"/>
  <c r="BX246" i="15" s="1"/>
  <c r="BU246" i="15"/>
  <c r="BV246" i="15" s="1"/>
  <c r="BW238" i="15"/>
  <c r="BX238" i="15" s="1"/>
  <c r="BU238" i="15"/>
  <c r="BV238" i="15" s="1"/>
  <c r="BU226" i="15"/>
  <c r="BV226" i="15" s="1"/>
  <c r="BW226" i="15"/>
  <c r="BX226" i="15" s="1"/>
  <c r="BW209" i="15"/>
  <c r="BX209" i="15" s="1"/>
  <c r="BU209" i="15"/>
  <c r="BV209" i="15" s="1"/>
  <c r="BU193" i="15"/>
  <c r="BV193" i="15" s="1"/>
  <c r="BW193" i="15"/>
  <c r="BX193" i="15" s="1"/>
  <c r="BW178" i="15"/>
  <c r="BX178" i="15" s="1"/>
  <c r="BU178" i="15"/>
  <c r="BV178" i="15" s="1"/>
  <c r="BU153" i="15"/>
  <c r="BV153" i="15" s="1"/>
  <c r="BW153" i="15"/>
  <c r="BX153" i="15" s="1"/>
  <c r="BU132" i="15"/>
  <c r="BV132" i="15" s="1"/>
  <c r="BW132" i="15"/>
  <c r="BX132" i="15" s="1"/>
  <c r="BW56" i="15"/>
  <c r="BX56" i="15" s="1"/>
  <c r="BU56" i="15"/>
  <c r="BV56" i="15" s="1"/>
  <c r="BU22" i="15"/>
  <c r="BV22" i="15" s="1"/>
  <c r="BW22" i="15"/>
  <c r="BX22" i="15" s="1"/>
  <c r="BU341" i="15"/>
  <c r="BV341" i="15" s="1"/>
  <c r="BW341" i="15"/>
  <c r="BX341" i="15" s="1"/>
  <c r="BU275" i="15"/>
  <c r="BV275" i="15" s="1"/>
  <c r="BW275" i="15"/>
  <c r="BX275" i="15" s="1"/>
  <c r="BU205" i="15"/>
  <c r="BV205" i="15" s="1"/>
  <c r="BW205" i="15"/>
  <c r="BX205" i="15" s="1"/>
  <c r="BW163" i="15"/>
  <c r="BX163" i="15" s="1"/>
  <c r="BU163" i="15"/>
  <c r="BV163" i="15" s="1"/>
  <c r="BW129" i="15"/>
  <c r="BX129" i="15" s="1"/>
  <c r="BU129" i="15"/>
  <c r="BV129" i="15" s="1"/>
  <c r="BW253" i="15"/>
  <c r="BX253" i="15" s="1"/>
  <c r="BU253" i="15"/>
  <c r="BV253" i="15" s="1"/>
  <c r="BU215" i="15"/>
  <c r="BV215" i="15" s="1"/>
  <c r="BW215" i="15"/>
  <c r="BX215" i="15" s="1"/>
  <c r="BW174" i="15"/>
  <c r="BX174" i="15" s="1"/>
  <c r="BU174" i="15"/>
  <c r="BV174" i="15" s="1"/>
  <c r="BW96" i="15"/>
  <c r="BX96" i="15" s="1"/>
  <c r="BU96" i="15"/>
  <c r="BV96" i="15" s="1"/>
  <c r="BU39" i="15"/>
  <c r="BV39" i="15" s="1"/>
  <c r="BW39" i="15"/>
  <c r="BX39" i="15" s="1"/>
  <c r="BW109" i="15"/>
  <c r="BX109" i="15" s="1"/>
  <c r="BU109" i="15"/>
  <c r="BV109" i="15" s="1"/>
  <c r="BW105" i="15"/>
  <c r="BX105" i="15" s="1"/>
  <c r="BU105" i="15"/>
  <c r="BV105" i="15" s="1"/>
  <c r="BW113" i="15"/>
  <c r="BX113" i="15" s="1"/>
  <c r="BU113" i="15"/>
  <c r="BV113" i="15" s="1"/>
  <c r="BW76" i="15"/>
  <c r="BX76" i="15" s="1"/>
  <c r="BU76" i="15"/>
  <c r="BV76" i="15" s="1"/>
  <c r="BU463" i="15"/>
  <c r="BV463" i="15" s="1"/>
  <c r="BW463" i="15"/>
  <c r="BX463" i="15" s="1"/>
  <c r="BU432" i="15"/>
  <c r="BV432" i="15" s="1"/>
  <c r="BW432" i="15"/>
  <c r="BX432" i="15" s="1"/>
  <c r="BU467" i="15"/>
  <c r="BV467" i="15" s="1"/>
  <c r="BW467" i="15"/>
  <c r="BX467" i="15" s="1"/>
  <c r="BU62" i="15"/>
  <c r="BV62" i="15" s="1"/>
  <c r="BW62" i="15"/>
  <c r="BX62" i="15" s="1"/>
  <c r="BW404" i="15"/>
  <c r="BX404" i="15" s="1"/>
  <c r="BU404" i="15"/>
  <c r="BV404" i="15" s="1"/>
  <c r="BW120" i="15"/>
  <c r="BX120" i="15" s="1"/>
  <c r="BU120" i="15"/>
  <c r="BV120" i="15" s="1"/>
  <c r="BW116" i="15"/>
  <c r="BX116" i="15" s="1"/>
  <c r="BU116" i="15"/>
  <c r="BV116" i="15" s="1"/>
  <c r="BW112" i="15"/>
  <c r="BX112" i="15" s="1"/>
  <c r="BU112" i="15"/>
  <c r="BV112" i="15" s="1"/>
  <c r="BW108" i="15"/>
  <c r="BX108" i="15" s="1"/>
  <c r="BU108" i="15"/>
  <c r="BV108" i="15" s="1"/>
  <c r="BW104" i="15"/>
  <c r="BX104" i="15" s="1"/>
  <c r="BU104" i="15"/>
  <c r="BV104" i="15" s="1"/>
  <c r="BW100" i="15"/>
  <c r="BX100" i="15" s="1"/>
  <c r="BU100" i="15"/>
  <c r="BV100" i="15" s="1"/>
  <c r="BU441" i="15"/>
  <c r="BV441" i="15" s="1"/>
  <c r="BW441" i="15"/>
  <c r="BX441" i="15" s="1"/>
  <c r="BU830" i="15"/>
  <c r="BV830" i="15" s="1"/>
  <c r="BW830" i="15"/>
  <c r="BX830" i="15" s="1"/>
  <c r="BW334" i="15"/>
  <c r="BX334" i="15" s="1"/>
  <c r="BU334" i="15"/>
  <c r="BV334" i="15" s="1"/>
  <c r="BU36" i="15"/>
  <c r="BV36" i="15" s="1"/>
  <c r="BW36" i="15"/>
  <c r="BX36" i="15" s="1"/>
  <c r="BU118" i="15"/>
  <c r="BV118" i="15" s="1"/>
  <c r="BW118" i="15"/>
  <c r="BX118" i="15" s="1"/>
  <c r="BU110" i="15"/>
  <c r="BV110" i="15" s="1"/>
  <c r="BW110" i="15"/>
  <c r="BX110" i="15" s="1"/>
  <c r="BU106" i="15"/>
  <c r="BV106" i="15" s="1"/>
  <c r="BW106" i="15"/>
  <c r="BX106" i="15" s="1"/>
  <c r="BU40" i="15"/>
  <c r="BV40" i="15" s="1"/>
  <c r="BW40" i="15"/>
  <c r="BX40" i="15" s="1"/>
  <c r="BU433" i="15"/>
  <c r="BV433" i="15" s="1"/>
  <c r="BW433" i="15"/>
  <c r="BX433" i="15" s="1"/>
  <c r="BU846" i="15"/>
  <c r="BV846" i="15" s="1"/>
  <c r="BW846" i="15"/>
  <c r="BX846" i="15" s="1"/>
  <c r="BW837" i="15"/>
  <c r="BX837" i="15" s="1"/>
  <c r="BU837" i="15"/>
  <c r="BV837" i="15" s="1"/>
  <c r="BW856" i="15"/>
  <c r="BX856" i="15" s="1"/>
  <c r="BU856" i="15"/>
  <c r="BV856" i="15" s="1"/>
  <c r="BW861" i="15"/>
  <c r="BX861" i="15" s="1"/>
  <c r="BU861" i="15"/>
  <c r="BV861" i="15" s="1"/>
  <c r="BU829" i="15"/>
  <c r="BV829" i="15" s="1"/>
  <c r="BW829" i="15"/>
  <c r="BX829" i="15" s="1"/>
  <c r="BW848" i="15"/>
  <c r="BX848" i="15" s="1"/>
  <c r="BU848" i="15"/>
  <c r="BV848" i="15" s="1"/>
  <c r="BW438" i="15"/>
  <c r="BX438" i="15" s="1"/>
  <c r="BU438" i="15"/>
  <c r="BV438" i="15" s="1"/>
  <c r="BU424" i="15"/>
  <c r="BV424" i="15" s="1"/>
  <c r="BW424" i="15"/>
  <c r="BX424" i="15" s="1"/>
  <c r="BW416" i="15"/>
  <c r="BX416" i="15" s="1"/>
  <c r="BU416" i="15"/>
  <c r="BV416" i="15" s="1"/>
  <c r="BW460" i="15"/>
  <c r="BX460" i="15" s="1"/>
  <c r="BU460" i="15"/>
  <c r="BV460" i="15" s="1"/>
  <c r="BU409" i="15"/>
  <c r="BV409" i="15" s="1"/>
  <c r="BW409" i="15"/>
  <c r="BX409" i="15" s="1"/>
  <c r="BU386" i="15"/>
  <c r="BV386" i="15" s="1"/>
  <c r="BW386" i="15"/>
  <c r="BX386" i="15" s="1"/>
  <c r="BU311" i="15"/>
  <c r="BV311" i="15" s="1"/>
  <c r="BW311" i="15"/>
  <c r="BX311" i="15" s="1"/>
  <c r="BW389" i="15"/>
  <c r="BX389" i="15" s="1"/>
  <c r="BU389" i="15"/>
  <c r="BV389" i="15" s="1"/>
  <c r="BU452" i="15"/>
  <c r="BV452" i="15" s="1"/>
  <c r="BW452" i="15"/>
  <c r="BX452" i="15" s="1"/>
  <c r="BU434" i="15"/>
  <c r="BV434" i="15" s="1"/>
  <c r="BW434" i="15"/>
  <c r="BX434" i="15" s="1"/>
  <c r="BU402" i="15"/>
  <c r="BV402" i="15" s="1"/>
  <c r="BW402" i="15"/>
  <c r="BX402" i="15" s="1"/>
  <c r="BW312" i="15"/>
  <c r="BX312" i="15" s="1"/>
  <c r="BU312" i="15"/>
  <c r="BV312" i="15" s="1"/>
  <c r="BW832" i="15"/>
  <c r="BX832" i="15" s="1"/>
  <c r="BU832" i="15"/>
  <c r="BV832" i="15" s="1"/>
  <c r="BW427" i="15"/>
  <c r="BX427" i="15" s="1"/>
  <c r="BU427" i="15"/>
  <c r="BV427" i="15" s="1"/>
  <c r="BU306" i="15"/>
  <c r="BV306" i="15" s="1"/>
  <c r="BW306" i="15"/>
  <c r="BX306" i="15" s="1"/>
  <c r="BW442" i="15"/>
  <c r="BX442" i="15" s="1"/>
  <c r="BU442" i="15"/>
  <c r="BV442" i="15" s="1"/>
  <c r="BW384" i="15"/>
  <c r="BX384" i="15" s="1"/>
  <c r="BU384" i="15"/>
  <c r="BV384" i="15" s="1"/>
  <c r="BW836" i="15"/>
  <c r="BX836" i="15" s="1"/>
  <c r="BU836" i="15"/>
  <c r="BV836" i="15" s="1"/>
  <c r="BU838" i="15"/>
  <c r="BV838" i="15" s="1"/>
  <c r="BW838" i="15"/>
  <c r="BX838" i="15" s="1"/>
  <c r="BU834" i="15"/>
  <c r="BV834" i="15" s="1"/>
  <c r="BW834" i="15"/>
  <c r="BX834" i="15" s="1"/>
  <c r="BW840" i="15"/>
  <c r="BX840" i="15" s="1"/>
  <c r="BU840" i="15"/>
  <c r="BV840" i="15" s="1"/>
  <c r="BU858" i="15"/>
  <c r="BV858" i="15" s="1"/>
  <c r="BW858" i="15"/>
  <c r="BX858" i="15" s="1"/>
  <c r="BW401" i="15"/>
  <c r="BX401" i="15" s="1"/>
  <c r="BU401" i="15"/>
  <c r="BV401" i="15" s="1"/>
  <c r="BU436" i="15"/>
  <c r="BV436" i="15" s="1"/>
  <c r="BW436" i="15"/>
  <c r="BX436" i="15" s="1"/>
  <c r="BW422" i="15"/>
  <c r="BX422" i="15" s="1"/>
  <c r="BU422" i="15"/>
  <c r="BV422" i="15" s="1"/>
  <c r="BW414" i="15"/>
  <c r="BX414" i="15" s="1"/>
  <c r="BU414" i="15"/>
  <c r="BV414" i="15" s="1"/>
  <c r="BU399" i="15"/>
  <c r="BV399" i="15" s="1"/>
  <c r="BW399" i="15"/>
  <c r="BX399" i="15" s="1"/>
  <c r="BU437" i="15"/>
  <c r="BV437" i="15" s="1"/>
  <c r="BW437" i="15"/>
  <c r="BX437" i="15" s="1"/>
  <c r="BW397" i="15"/>
  <c r="BX397" i="15" s="1"/>
  <c r="BU397" i="15"/>
  <c r="BV397" i="15" s="1"/>
  <c r="BU382" i="15"/>
  <c r="BV382" i="15" s="1"/>
  <c r="BW382" i="15"/>
  <c r="BX382" i="15" s="1"/>
  <c r="BU323" i="15"/>
  <c r="BV323" i="15" s="1"/>
  <c r="BW323" i="15"/>
  <c r="BX323" i="15" s="1"/>
  <c r="BU307" i="15"/>
  <c r="BV307" i="15" s="1"/>
  <c r="BW307" i="15"/>
  <c r="BX307" i="15" s="1"/>
  <c r="BW385" i="15"/>
  <c r="BX385" i="15" s="1"/>
  <c r="BU385" i="15"/>
  <c r="BV385" i="15" s="1"/>
  <c r="BU450" i="15"/>
  <c r="BV450" i="15" s="1"/>
  <c r="BW450" i="15"/>
  <c r="BX450" i="15" s="1"/>
  <c r="BW431" i="15"/>
  <c r="BX431" i="15" s="1"/>
  <c r="BU431" i="15"/>
  <c r="BV431" i="15" s="1"/>
  <c r="BU398" i="15"/>
  <c r="BV398" i="15" s="1"/>
  <c r="BW398" i="15"/>
  <c r="BX398" i="15" s="1"/>
  <c r="BU375" i="15"/>
  <c r="BV375" i="15" s="1"/>
  <c r="BW375" i="15"/>
  <c r="BX375" i="15" s="1"/>
  <c r="BU308" i="15"/>
  <c r="BV308" i="15" s="1"/>
  <c r="BW308" i="15"/>
  <c r="BX308" i="15" s="1"/>
  <c r="BW411" i="15"/>
  <c r="BX411" i="15" s="1"/>
  <c r="BU411" i="15"/>
  <c r="BV411" i="15" s="1"/>
  <c r="BW464" i="15"/>
  <c r="BX464" i="15" s="1"/>
  <c r="BU464" i="15"/>
  <c r="BV464" i="15" s="1"/>
  <c r="BW439" i="15"/>
  <c r="BX439" i="15" s="1"/>
  <c r="BU439" i="15"/>
  <c r="BV439" i="15" s="1"/>
  <c r="BW405" i="15"/>
  <c r="BX405" i="15" s="1"/>
  <c r="BU405" i="15"/>
  <c r="BV405" i="15" s="1"/>
  <c r="BU379" i="15"/>
  <c r="BV379" i="15" s="1"/>
  <c r="BW379" i="15"/>
  <c r="BX379" i="15" s="1"/>
  <c r="BW317" i="15"/>
  <c r="BX317" i="15" s="1"/>
  <c r="BU317" i="15"/>
  <c r="BV317" i="15" s="1"/>
  <c r="BU301" i="15"/>
  <c r="BV301" i="15" s="1"/>
  <c r="BW301" i="15"/>
  <c r="BX301" i="15" s="1"/>
  <c r="BU223" i="15"/>
  <c r="BV223" i="15" s="1"/>
  <c r="BW223" i="15"/>
  <c r="BX223" i="15" s="1"/>
  <c r="BU162" i="15"/>
  <c r="BV162" i="15" s="1"/>
  <c r="BW162" i="15"/>
  <c r="BX162" i="15" s="1"/>
  <c r="BU458" i="15"/>
  <c r="BV458" i="15" s="1"/>
  <c r="BW458" i="15"/>
  <c r="BX458" i="15" s="1"/>
  <c r="BW377" i="15"/>
  <c r="BX377" i="15" s="1"/>
  <c r="BU377" i="15"/>
  <c r="BV377" i="15" s="1"/>
  <c r="BU365" i="15"/>
  <c r="BV365" i="15" s="1"/>
  <c r="BW365" i="15"/>
  <c r="BX365" i="15" s="1"/>
  <c r="BU333" i="15"/>
  <c r="BV333" i="15" s="1"/>
  <c r="BW333" i="15"/>
  <c r="BX333" i="15" s="1"/>
  <c r="BW282" i="15"/>
  <c r="BX282" i="15" s="1"/>
  <c r="BU282" i="15"/>
  <c r="BV282" i="15" s="1"/>
  <c r="BU204" i="15"/>
  <c r="BV204" i="15" s="1"/>
  <c r="BW204" i="15"/>
  <c r="BX204" i="15" s="1"/>
  <c r="BW188" i="15"/>
  <c r="BX188" i="15" s="1"/>
  <c r="BU188" i="15"/>
  <c r="BV188" i="15" s="1"/>
  <c r="BW172" i="15"/>
  <c r="BX172" i="15" s="1"/>
  <c r="BU172" i="15"/>
  <c r="BV172" i="15" s="1"/>
  <c r="BW155" i="15"/>
  <c r="BX155" i="15" s="1"/>
  <c r="BU155" i="15"/>
  <c r="BV155" i="15" s="1"/>
  <c r="BU135" i="15"/>
  <c r="BV135" i="15" s="1"/>
  <c r="BW135" i="15"/>
  <c r="BX135" i="15" s="1"/>
  <c r="BU89" i="15"/>
  <c r="BV89" i="15" s="1"/>
  <c r="BW89" i="15"/>
  <c r="BX89" i="15" s="1"/>
  <c r="BU55" i="15"/>
  <c r="BV55" i="15" s="1"/>
  <c r="BW55" i="15"/>
  <c r="BX55" i="15" s="1"/>
  <c r="BW25" i="15"/>
  <c r="BX25" i="15" s="1"/>
  <c r="BU25" i="15"/>
  <c r="BV25" i="15" s="1"/>
  <c r="BW52" i="15"/>
  <c r="BX52" i="15" s="1"/>
  <c r="BU52" i="15"/>
  <c r="BV52" i="15" s="1"/>
  <c r="BW10" i="15"/>
  <c r="BX10" i="15" s="1"/>
  <c r="BU10" i="15"/>
  <c r="BV10" i="15" s="1"/>
  <c r="BU181" i="15"/>
  <c r="BV181" i="15" s="1"/>
  <c r="BW181" i="15"/>
  <c r="BX181" i="15" s="1"/>
  <c r="BW137" i="15"/>
  <c r="BX137" i="15" s="1"/>
  <c r="BU137" i="15"/>
  <c r="BV137" i="15" s="1"/>
  <c r="BW87" i="15"/>
  <c r="BX87" i="15" s="1"/>
  <c r="BU87" i="15"/>
  <c r="BV87" i="15" s="1"/>
  <c r="BW53" i="15"/>
  <c r="BX53" i="15" s="1"/>
  <c r="BU53" i="15"/>
  <c r="BV53" i="15" s="1"/>
  <c r="BU15" i="15"/>
  <c r="BV15" i="15" s="1"/>
  <c r="BW15" i="15"/>
  <c r="BX15" i="15" s="1"/>
  <c r="BW351" i="15"/>
  <c r="BX351" i="15" s="1"/>
  <c r="BU351" i="15"/>
  <c r="BV351" i="15" s="1"/>
  <c r="BU284" i="15"/>
  <c r="BV284" i="15" s="1"/>
  <c r="BW284" i="15"/>
  <c r="BX284" i="15" s="1"/>
  <c r="BW261" i="15"/>
  <c r="BX261" i="15" s="1"/>
  <c r="BU261" i="15"/>
  <c r="BV261" i="15" s="1"/>
  <c r="BW239" i="15"/>
  <c r="BX239" i="15" s="1"/>
  <c r="BU239" i="15"/>
  <c r="BV239" i="15" s="1"/>
  <c r="BW221" i="15"/>
  <c r="BX221" i="15" s="1"/>
  <c r="BU221" i="15"/>
  <c r="BV221" i="15" s="1"/>
  <c r="BU192" i="15"/>
  <c r="BV192" i="15" s="1"/>
  <c r="BW192" i="15"/>
  <c r="BX192" i="15" s="1"/>
  <c r="BW152" i="15"/>
  <c r="BX152" i="15" s="1"/>
  <c r="BU152" i="15"/>
  <c r="BV152" i="15" s="1"/>
  <c r="BU111" i="15"/>
  <c r="BV111" i="15" s="1"/>
  <c r="BW111" i="15"/>
  <c r="BX111" i="15" s="1"/>
  <c r="BW32" i="15"/>
  <c r="BX32" i="15" s="1"/>
  <c r="BU32" i="15"/>
  <c r="BV32" i="15" s="1"/>
  <c r="BW359" i="15"/>
  <c r="BX359" i="15" s="1"/>
  <c r="BU359" i="15"/>
  <c r="BV359" i="15" s="1"/>
  <c r="BW327" i="15"/>
  <c r="BX327" i="15" s="1"/>
  <c r="BU327" i="15"/>
  <c r="BV327" i="15" s="1"/>
  <c r="BU276" i="15"/>
  <c r="BV276" i="15" s="1"/>
  <c r="BW276" i="15"/>
  <c r="BX276" i="15" s="1"/>
  <c r="BU262" i="15"/>
  <c r="BV262" i="15" s="1"/>
  <c r="BW262" i="15"/>
  <c r="BX262" i="15" s="1"/>
  <c r="BU254" i="15"/>
  <c r="BV254" i="15" s="1"/>
  <c r="BW254" i="15"/>
  <c r="BX254" i="15" s="1"/>
  <c r="BW244" i="15"/>
  <c r="BX244" i="15" s="1"/>
  <c r="BU244" i="15"/>
  <c r="BV244" i="15" s="1"/>
  <c r="BW236" i="15"/>
  <c r="BX236" i="15" s="1"/>
  <c r="BU236" i="15"/>
  <c r="BV236" i="15" s="1"/>
  <c r="BU222" i="15"/>
  <c r="BV222" i="15" s="1"/>
  <c r="BW222" i="15"/>
  <c r="BX222" i="15" s="1"/>
  <c r="BU207" i="15"/>
  <c r="BV207" i="15" s="1"/>
  <c r="BW207" i="15"/>
  <c r="BX207" i="15" s="1"/>
  <c r="BW191" i="15"/>
  <c r="BX191" i="15" s="1"/>
  <c r="BU191" i="15"/>
  <c r="BV191" i="15" s="1"/>
  <c r="BW175" i="15"/>
  <c r="BX175" i="15" s="1"/>
  <c r="BU175" i="15"/>
  <c r="BV175" i="15" s="1"/>
  <c r="BW151" i="15"/>
  <c r="BX151" i="15" s="1"/>
  <c r="BU151" i="15"/>
  <c r="BV151" i="15" s="1"/>
  <c r="BU128" i="15"/>
  <c r="BV128" i="15" s="1"/>
  <c r="BW128" i="15"/>
  <c r="BX128" i="15" s="1"/>
  <c r="BW48" i="15"/>
  <c r="BX48" i="15" s="1"/>
  <c r="BU48" i="15"/>
  <c r="BV48" i="15" s="1"/>
  <c r="BW369" i="15"/>
  <c r="BX369" i="15" s="1"/>
  <c r="BU369" i="15"/>
  <c r="BV369" i="15" s="1"/>
  <c r="BW339" i="15"/>
  <c r="BX339" i="15" s="1"/>
  <c r="BU339" i="15"/>
  <c r="BV339" i="15" s="1"/>
  <c r="BU272" i="15"/>
  <c r="BV272" i="15" s="1"/>
  <c r="BW272" i="15"/>
  <c r="BX272" i="15" s="1"/>
  <c r="BU196" i="15"/>
  <c r="BV196" i="15" s="1"/>
  <c r="BW196" i="15"/>
  <c r="BX196" i="15" s="1"/>
  <c r="BW147" i="15"/>
  <c r="BX147" i="15" s="1"/>
  <c r="BU147" i="15"/>
  <c r="BV147" i="15" s="1"/>
  <c r="BU31" i="15"/>
  <c r="BV31" i="15" s="1"/>
  <c r="BW31" i="15"/>
  <c r="BX31" i="15" s="1"/>
  <c r="BW241" i="15"/>
  <c r="BX241" i="15" s="1"/>
  <c r="BU241" i="15"/>
  <c r="BV241" i="15" s="1"/>
  <c r="BW206" i="15"/>
  <c r="BX206" i="15" s="1"/>
  <c r="BU206" i="15"/>
  <c r="BV206" i="15" s="1"/>
  <c r="BW171" i="15"/>
  <c r="BX171" i="15" s="1"/>
  <c r="BU171" i="15"/>
  <c r="BV171" i="15" s="1"/>
  <c r="BU93" i="15"/>
  <c r="BV93" i="15" s="1"/>
  <c r="BW93" i="15"/>
  <c r="BX93" i="15" s="1"/>
  <c r="BW20" i="15"/>
  <c r="BX20" i="15" s="1"/>
  <c r="BU20" i="15"/>
  <c r="BV20" i="15" s="1"/>
  <c r="BW68" i="15"/>
  <c r="BX68" i="15" s="1"/>
  <c r="BU68" i="15"/>
  <c r="BV68" i="15" s="1"/>
  <c r="BW80" i="15"/>
  <c r="BX80" i="15" s="1"/>
  <c r="BU80" i="15"/>
  <c r="BV80" i="15" s="1"/>
  <c r="BW70" i="15"/>
  <c r="BX70" i="15" s="1"/>
  <c r="BU70" i="15"/>
  <c r="BV70" i="15" s="1"/>
  <c r="BW74" i="15"/>
  <c r="BX74" i="15" s="1"/>
  <c r="BU74" i="15"/>
  <c r="BV74" i="15" s="1"/>
  <c r="BU403" i="15"/>
  <c r="BV403" i="15" s="1"/>
  <c r="BW403" i="15"/>
  <c r="BX403" i="15" s="1"/>
  <c r="BU395" i="15"/>
  <c r="BV395" i="15" s="1"/>
  <c r="BW395" i="15"/>
  <c r="BX395" i="15" s="1"/>
  <c r="BU46" i="15"/>
  <c r="BV46" i="15" s="1"/>
  <c r="BW46" i="15"/>
  <c r="BX46" i="15" s="1"/>
  <c r="BW469" i="15"/>
  <c r="BX469" i="15" s="1"/>
  <c r="BU469" i="15"/>
  <c r="BV469" i="15" s="1"/>
  <c r="BW859" i="15"/>
  <c r="BX859" i="15" s="1"/>
  <c r="BU859" i="15"/>
  <c r="BV859" i="15" s="1"/>
  <c r="BW855" i="15"/>
  <c r="BX855" i="15" s="1"/>
  <c r="BU855" i="15"/>
  <c r="BV855" i="15" s="1"/>
  <c r="BW847" i="15"/>
  <c r="BX847" i="15" s="1"/>
  <c r="BU847" i="15"/>
  <c r="BV847" i="15" s="1"/>
  <c r="BW841" i="15"/>
  <c r="BX841" i="15" s="1"/>
  <c r="BU841" i="15"/>
  <c r="BV841" i="15" s="1"/>
  <c r="BW835" i="15"/>
  <c r="BX835" i="15" s="1"/>
  <c r="BU835" i="15"/>
  <c r="BV835" i="15" s="1"/>
  <c r="BW831" i="15"/>
  <c r="BX831" i="15" s="1"/>
  <c r="BU831" i="15"/>
  <c r="BV831" i="15" s="1"/>
  <c r="BW297" i="15"/>
  <c r="BX297" i="15" s="1"/>
  <c r="BU297" i="15"/>
  <c r="BV297" i="15" s="1"/>
  <c r="BW293" i="15"/>
  <c r="BX293" i="15" s="1"/>
  <c r="BU293" i="15"/>
  <c r="BV293" i="15" s="1"/>
  <c r="BU289" i="15"/>
  <c r="BV289" i="15" s="1"/>
  <c r="BW289" i="15"/>
  <c r="BX289" i="15" s="1"/>
  <c r="BU283" i="15"/>
  <c r="BV283" i="15" s="1"/>
  <c r="BW283" i="15"/>
  <c r="BX283" i="15" s="1"/>
  <c r="BU279" i="15"/>
  <c r="BV279" i="15" s="1"/>
  <c r="BW279" i="15"/>
  <c r="BX279" i="15" s="1"/>
  <c r="BW274" i="15"/>
  <c r="BX274" i="15" s="1"/>
  <c r="BU274" i="15"/>
  <c r="BV274" i="15" s="1"/>
  <c r="BW461" i="15"/>
  <c r="BX461" i="15" s="1"/>
  <c r="BU461" i="15"/>
  <c r="BV461" i="15" s="1"/>
  <c r="BU368" i="15"/>
  <c r="BV368" i="15" s="1"/>
  <c r="BW368" i="15"/>
  <c r="BX368" i="15" s="1"/>
  <c r="BW362" i="15"/>
  <c r="BX362" i="15" s="1"/>
  <c r="BU362" i="15"/>
  <c r="BV362" i="15" s="1"/>
  <c r="BW358" i="15"/>
  <c r="BX358" i="15" s="1"/>
  <c r="BU358" i="15"/>
  <c r="BV358" i="15" s="1"/>
  <c r="BW354" i="15"/>
  <c r="BX354" i="15" s="1"/>
  <c r="BU354" i="15"/>
  <c r="BV354" i="15" s="1"/>
  <c r="BW348" i="15"/>
  <c r="BX348" i="15" s="1"/>
  <c r="BU348" i="15"/>
  <c r="BV348" i="15" s="1"/>
  <c r="BU344" i="15"/>
  <c r="BV344" i="15" s="1"/>
  <c r="BW344" i="15"/>
  <c r="BX344" i="15" s="1"/>
  <c r="BW340" i="15"/>
  <c r="BX340" i="15" s="1"/>
  <c r="BU340" i="15"/>
  <c r="BV340" i="15" s="1"/>
  <c r="BU336" i="15"/>
  <c r="BV336" i="15" s="1"/>
  <c r="BW336" i="15"/>
  <c r="BX336" i="15" s="1"/>
  <c r="BW330" i="15"/>
  <c r="BX330" i="15" s="1"/>
  <c r="BU330" i="15"/>
  <c r="BV330" i="15" s="1"/>
  <c r="BW326" i="15"/>
  <c r="BX326" i="15" s="1"/>
  <c r="BU326" i="15"/>
  <c r="BV326" i="15" s="1"/>
  <c r="BW81" i="15"/>
  <c r="BX81" i="15" s="1"/>
  <c r="BU81" i="15"/>
  <c r="BV81" i="15" s="1"/>
  <c r="BW77" i="15"/>
  <c r="BX77" i="15" s="1"/>
  <c r="BU77" i="15"/>
  <c r="BV77" i="15" s="1"/>
  <c r="BW73" i="15"/>
  <c r="BX73" i="15" s="1"/>
  <c r="BU73" i="15"/>
  <c r="BV73" i="15" s="1"/>
  <c r="BW69" i="15"/>
  <c r="BX69" i="15" s="1"/>
  <c r="BU69" i="15"/>
  <c r="BV69" i="15" s="1"/>
  <c r="CG428" i="15"/>
  <c r="CH428" i="15" s="1"/>
  <c r="CG704" i="15"/>
  <c r="CH704" i="15" s="1"/>
  <c r="CG367" i="15"/>
  <c r="CH367" i="15" s="1"/>
  <c r="CG670" i="15"/>
  <c r="CH670" i="15" s="1"/>
  <c r="CG581" i="15"/>
  <c r="CH581" i="15" s="1"/>
  <c r="AP420" i="15"/>
  <c r="AP660" i="15"/>
  <c r="CG464" i="15"/>
  <c r="CH464" i="15" s="1"/>
  <c r="CG438" i="15"/>
  <c r="CH438" i="15" s="1"/>
  <c r="CG476" i="15"/>
  <c r="CH476" i="15" s="1"/>
  <c r="CG202" i="15"/>
  <c r="CH202" i="15" s="1"/>
  <c r="AP176" i="15"/>
  <c r="CG302" i="15"/>
  <c r="CH302" i="15" s="1"/>
  <c r="AP149" i="15"/>
  <c r="CG71" i="15"/>
  <c r="CH71" i="15" s="1"/>
  <c r="CG851" i="15"/>
  <c r="CH851" i="15" s="1"/>
  <c r="AP737" i="15"/>
  <c r="AP525" i="15"/>
  <c r="CG440" i="15"/>
  <c r="CH440" i="15" s="1"/>
  <c r="AP404" i="15"/>
  <c r="CG368" i="15"/>
  <c r="CH368" i="15" s="1"/>
  <c r="CG361" i="15"/>
  <c r="CH361" i="15" s="1"/>
  <c r="AP842" i="15"/>
  <c r="CG538" i="15"/>
  <c r="CH538" i="15" s="1"/>
  <c r="CG318" i="15"/>
  <c r="CH318" i="15" s="1"/>
  <c r="CG276" i="15"/>
  <c r="CH276" i="15" s="1"/>
  <c r="CG510" i="15"/>
  <c r="CH510" i="15" s="1"/>
  <c r="CG336" i="15"/>
  <c r="CH336" i="15" s="1"/>
  <c r="CG310" i="15"/>
  <c r="CH310" i="15" s="1"/>
  <c r="CG284" i="15"/>
  <c r="CH284" i="15" s="1"/>
  <c r="AP121" i="15"/>
  <c r="AP721" i="15"/>
  <c r="AP555" i="15"/>
  <c r="CG654" i="15"/>
  <c r="CH654" i="15" s="1"/>
  <c r="AP590" i="15"/>
  <c r="CG352" i="15"/>
  <c r="CH352" i="15" s="1"/>
  <c r="AP855" i="15"/>
  <c r="AP817" i="15"/>
  <c r="AP765" i="15"/>
  <c r="AP523" i="15"/>
  <c r="AP493" i="15"/>
  <c r="CG227" i="15"/>
  <c r="CH227" i="15" s="1"/>
  <c r="AP183" i="15"/>
  <c r="AP68" i="15"/>
  <c r="AP89" i="15"/>
  <c r="AP725" i="15"/>
  <c r="AP618" i="15"/>
  <c r="AP680" i="15"/>
  <c r="AP607" i="15"/>
  <c r="AP466" i="15"/>
  <c r="AP377" i="15"/>
  <c r="CG502" i="15"/>
  <c r="CH502" i="15" s="1"/>
  <c r="CG360" i="15"/>
  <c r="CH360" i="15" s="1"/>
  <c r="CG328" i="15"/>
  <c r="CH328" i="15" s="1"/>
  <c r="CG292" i="15"/>
  <c r="CH292" i="15" s="1"/>
  <c r="AP38" i="15"/>
  <c r="CG735" i="15"/>
  <c r="CH735" i="15" s="1"/>
  <c r="CG810" i="15"/>
  <c r="CH810" i="15" s="1"/>
  <c r="AP248" i="15"/>
  <c r="AP372" i="15"/>
  <c r="CG662" i="15"/>
  <c r="CH662" i="15" s="1"/>
  <c r="CG636" i="15"/>
  <c r="CH636" i="15" s="1"/>
  <c r="AP458" i="15"/>
  <c r="CG422" i="15"/>
  <c r="CH422" i="15" s="1"/>
  <c r="AP388" i="15"/>
  <c r="CG353" i="15"/>
  <c r="CH353" i="15" s="1"/>
  <c r="CG337" i="15"/>
  <c r="CH337" i="15" s="1"/>
  <c r="CG329" i="15"/>
  <c r="CH329" i="15" s="1"/>
  <c r="CG319" i="15"/>
  <c r="CH319" i="15" s="1"/>
  <c r="CG311" i="15"/>
  <c r="CH311" i="15" s="1"/>
  <c r="CG303" i="15"/>
  <c r="CH303" i="15" s="1"/>
  <c r="CG293" i="15"/>
  <c r="CH293" i="15" s="1"/>
  <c r="CG285" i="15"/>
  <c r="CH285" i="15" s="1"/>
  <c r="CG277" i="15"/>
  <c r="CH277" i="15" s="1"/>
  <c r="AP858" i="15"/>
  <c r="CG824" i="15"/>
  <c r="CH824" i="15" s="1"/>
  <c r="CG520" i="15"/>
  <c r="CH520" i="15" s="1"/>
  <c r="CG484" i="15"/>
  <c r="CH484" i="15" s="1"/>
  <c r="AP166" i="15"/>
  <c r="CG52" i="15"/>
  <c r="CH52" i="15" s="1"/>
  <c r="CG690" i="15"/>
  <c r="CH690" i="15" s="1"/>
  <c r="AP627" i="15"/>
  <c r="CG432" i="15"/>
  <c r="CH432" i="15" s="1"/>
  <c r="AP345" i="15"/>
  <c r="AP834" i="15"/>
  <c r="CG530" i="15"/>
  <c r="CH530" i="15" s="1"/>
  <c r="CG494" i="15"/>
  <c r="CH494" i="15" s="1"/>
  <c r="CG220" i="15"/>
  <c r="CH220" i="15" s="1"/>
  <c r="CG150" i="15"/>
  <c r="CH150" i="15" s="1"/>
  <c r="CG60" i="15"/>
  <c r="CH60" i="15" s="1"/>
  <c r="AP646" i="15"/>
  <c r="AP369" i="15"/>
  <c r="AP850" i="15"/>
  <c r="AP816" i="15"/>
  <c r="AP246" i="15"/>
  <c r="CG44" i="15"/>
  <c r="CH44" i="15" s="1"/>
  <c r="AP85" i="15"/>
  <c r="AP256" i="15"/>
  <c r="AP706" i="15"/>
  <c r="CG672" i="15"/>
  <c r="CH672" i="15" s="1"/>
  <c r="CG617" i="15"/>
  <c r="CH617" i="15" s="1"/>
  <c r="CG583" i="15"/>
  <c r="CH583" i="15" s="1"/>
  <c r="CG448" i="15"/>
  <c r="CH448" i="15" s="1"/>
  <c r="CG414" i="15"/>
  <c r="CH414" i="15" s="1"/>
  <c r="CG396" i="15"/>
  <c r="CH396" i="15" s="1"/>
  <c r="CG379" i="15"/>
  <c r="CH379" i="15" s="1"/>
  <c r="CG808" i="15"/>
  <c r="CH808" i="15" s="1"/>
  <c r="CG800" i="15"/>
  <c r="CH800" i="15" s="1"/>
  <c r="CG790" i="15"/>
  <c r="CH790" i="15" s="1"/>
  <c r="CG782" i="15"/>
  <c r="CH782" i="15" s="1"/>
  <c r="AP770" i="15"/>
  <c r="AP762" i="15"/>
  <c r="AP756" i="15"/>
  <c r="AP746" i="15"/>
  <c r="AP738" i="15"/>
  <c r="AP728" i="15"/>
  <c r="AP720" i="15"/>
  <c r="AP573" i="15"/>
  <c r="AP238" i="15"/>
  <c r="CG228" i="15"/>
  <c r="CH228" i="15" s="1"/>
  <c r="CG210" i="15"/>
  <c r="CH210" i="15" s="1"/>
  <c r="AP194" i="15"/>
  <c r="CG184" i="15"/>
  <c r="CH184" i="15" s="1"/>
  <c r="CG158" i="15"/>
  <c r="CH158" i="15" s="1"/>
  <c r="CG79" i="15"/>
  <c r="CH79" i="15" s="1"/>
  <c r="AP31" i="15"/>
  <c r="AP19" i="15"/>
  <c r="AP705" i="15"/>
  <c r="AP697" i="15"/>
  <c r="AP689" i="15"/>
  <c r="AP679" i="15"/>
  <c r="AP671" i="15"/>
  <c r="AP661" i="15"/>
  <c r="AP653" i="15"/>
  <c r="AP645" i="15"/>
  <c r="AP635" i="15"/>
  <c r="AP626" i="15"/>
  <c r="CG606" i="15"/>
  <c r="CH606" i="15" s="1"/>
  <c r="AP465" i="15"/>
  <c r="AP457" i="15"/>
  <c r="AP447" i="15"/>
  <c r="AP439" i="15"/>
  <c r="AP431" i="15"/>
  <c r="AP421" i="15"/>
  <c r="AP413" i="15"/>
  <c r="AP403" i="15"/>
  <c r="AP395" i="15"/>
  <c r="AP387" i="15"/>
  <c r="AP378" i="15"/>
  <c r="AP131" i="15"/>
  <c r="AP99" i="15"/>
  <c r="AP835" i="15"/>
  <c r="AP785" i="15"/>
  <c r="AP749" i="15"/>
  <c r="AP717" i="15"/>
  <c r="AP539" i="15"/>
  <c r="AP165" i="15"/>
  <c r="AP76" i="15"/>
  <c r="AP49" i="15"/>
  <c r="AP86" i="15"/>
  <c r="CG616" i="15"/>
  <c r="CH616" i="15" s="1"/>
  <c r="AP582" i="15"/>
  <c r="AP264" i="15"/>
  <c r="AP843" i="15"/>
  <c r="AP807" i="15"/>
  <c r="AP767" i="15"/>
  <c r="AP727" i="15"/>
  <c r="AP237" i="15"/>
  <c r="AP209" i="15"/>
  <c r="AP193" i="15"/>
  <c r="AP157" i="15"/>
  <c r="AP698" i="15"/>
  <c r="AP598" i="15"/>
  <c r="AP115" i="15"/>
  <c r="AP823" i="15"/>
  <c r="AP787" i="15"/>
  <c r="AP751" i="15"/>
  <c r="AP545" i="15"/>
  <c r="AP507" i="15"/>
  <c r="AP495" i="15"/>
  <c r="AP245" i="15"/>
  <c r="AP217" i="15"/>
  <c r="AP201" i="15"/>
  <c r="AP175" i="15"/>
  <c r="AP57" i="15"/>
  <c r="AP20" i="15"/>
  <c r="AP609" i="15"/>
  <c r="CG722" i="15"/>
  <c r="CH722" i="15" s="1"/>
  <c r="CG566" i="15"/>
  <c r="CH566" i="15" s="1"/>
  <c r="CG532" i="15"/>
  <c r="CH532" i="15" s="1"/>
  <c r="CG354" i="15"/>
  <c r="CH354" i="15" s="1"/>
  <c r="AP133" i="15"/>
  <c r="AP261" i="15"/>
  <c r="AP126" i="15"/>
  <c r="CG96" i="15"/>
  <c r="CH96" i="15" s="1"/>
  <c r="CG860" i="15"/>
  <c r="CH860" i="15" s="1"/>
  <c r="CG550" i="15"/>
  <c r="CH550" i="15" s="1"/>
  <c r="CG512" i="15"/>
  <c r="CH512" i="15" s="1"/>
  <c r="AP647" i="15"/>
  <c r="CG600" i="15"/>
  <c r="CH600" i="15" s="1"/>
  <c r="AP505" i="15"/>
  <c r="CG258" i="15"/>
  <c r="CH258" i="15" s="1"/>
  <c r="AP696" i="15"/>
  <c r="AP178" i="15"/>
  <c r="CG678" i="15"/>
  <c r="CH678" i="15" s="1"/>
  <c r="AP644" i="15"/>
  <c r="AP634" i="15"/>
  <c r="AP625" i="15"/>
  <c r="AP605" i="15"/>
  <c r="CG446" i="15"/>
  <c r="CH446" i="15" s="1"/>
  <c r="AP402" i="15"/>
  <c r="AP394" i="15"/>
  <c r="AP386" i="15"/>
  <c r="CG686" i="15"/>
  <c r="CH686" i="15" s="1"/>
  <c r="CG652" i="15"/>
  <c r="CH652" i="15" s="1"/>
  <c r="AP456" i="15"/>
  <c r="CG412" i="15"/>
  <c r="CH412" i="15" s="1"/>
  <c r="AP103" i="15"/>
  <c r="AP615" i="15"/>
  <c r="AP601" i="15"/>
  <c r="AP244" i="15"/>
  <c r="AP164" i="15"/>
  <c r="CG15" i="15"/>
  <c r="CH15" i="15" s="1"/>
  <c r="CG262" i="15"/>
  <c r="CH262" i="15" s="1"/>
  <c r="AP225" i="15"/>
  <c r="CG664" i="15"/>
  <c r="CH664" i="15" s="1"/>
  <c r="CG656" i="15"/>
  <c r="CH656" i="15" s="1"/>
  <c r="CG648" i="15"/>
  <c r="CH648" i="15" s="1"/>
  <c r="CG434" i="15"/>
  <c r="CH434" i="15" s="1"/>
  <c r="CG363" i="15"/>
  <c r="CH363" i="15" s="1"/>
  <c r="CG347" i="15"/>
  <c r="CH347" i="15" s="1"/>
  <c r="CG339" i="15"/>
  <c r="CH339" i="15" s="1"/>
  <c r="AP111" i="15"/>
  <c r="CG181" i="15"/>
  <c r="CH181" i="15" s="1"/>
  <c r="AP155" i="15"/>
  <c r="AP55" i="15"/>
  <c r="AP708" i="15"/>
  <c r="CG638" i="15"/>
  <c r="CH638" i="15" s="1"/>
  <c r="CG424" i="15"/>
  <c r="CH424" i="15" s="1"/>
  <c r="CG416" i="15"/>
  <c r="CH416" i="15" s="1"/>
  <c r="CG408" i="15"/>
  <c r="CH408" i="15" s="1"/>
  <c r="CG355" i="15"/>
  <c r="CH355" i="15" s="1"/>
  <c r="CG313" i="15"/>
  <c r="CH313" i="15" s="1"/>
  <c r="CG700" i="15"/>
  <c r="CH700" i="15" s="1"/>
  <c r="CG692" i="15"/>
  <c r="CH692" i="15" s="1"/>
  <c r="CG682" i="15"/>
  <c r="CH682" i="15" s="1"/>
  <c r="CG630" i="15"/>
  <c r="CH630" i="15" s="1"/>
  <c r="CG619" i="15"/>
  <c r="CH619" i="15" s="1"/>
  <c r="CG585" i="15"/>
  <c r="CH585" i="15" s="1"/>
  <c r="CG468" i="15"/>
  <c r="CH468" i="15" s="1"/>
  <c r="CG398" i="15"/>
  <c r="CH398" i="15" s="1"/>
  <c r="CG305" i="15"/>
  <c r="CH305" i="15" s="1"/>
  <c r="CG14" i="15"/>
  <c r="CH14" i="15" s="1"/>
  <c r="CG844" i="15"/>
  <c r="CH844" i="15" s="1"/>
  <c r="CG773" i="15"/>
  <c r="CH773" i="15" s="1"/>
  <c r="CG496" i="15"/>
  <c r="CH496" i="15" s="1"/>
  <c r="AP204" i="15"/>
  <c r="AP73" i="15"/>
  <c r="CG467" i="15"/>
  <c r="CH467" i="15" s="1"/>
  <c r="CG330" i="15"/>
  <c r="CH330" i="15" s="1"/>
  <c r="AP857" i="15"/>
  <c r="CG811" i="15"/>
  <c r="CH811" i="15" s="1"/>
  <c r="AP533" i="15"/>
  <c r="CG203" i="15"/>
  <c r="CH203" i="15" s="1"/>
  <c r="AP185" i="15"/>
  <c r="AI237" i="15"/>
  <c r="CG674" i="15"/>
  <c r="CH674" i="15" s="1"/>
  <c r="CG593" i="15"/>
  <c r="CH593" i="15" s="1"/>
  <c r="CG460" i="15"/>
  <c r="CH460" i="15" s="1"/>
  <c r="CG450" i="15"/>
  <c r="CH450" i="15" s="1"/>
  <c r="CG442" i="15"/>
  <c r="CH442" i="15" s="1"/>
  <c r="CG390" i="15"/>
  <c r="CH390" i="15" s="1"/>
  <c r="CG382" i="15"/>
  <c r="CH382" i="15" s="1"/>
  <c r="CG373" i="15"/>
  <c r="CH373" i="15" s="1"/>
  <c r="CG279" i="15"/>
  <c r="CH279" i="15" s="1"/>
  <c r="CG826" i="15"/>
  <c r="CH826" i="15" s="1"/>
  <c r="CG740" i="15"/>
  <c r="CH740" i="15" s="1"/>
  <c r="CG478" i="15"/>
  <c r="CH478" i="15" s="1"/>
  <c r="CG230" i="15"/>
  <c r="CH230" i="15" s="1"/>
  <c r="CG160" i="15"/>
  <c r="CH160" i="15" s="1"/>
  <c r="AP397" i="15"/>
  <c r="CG561" i="15"/>
  <c r="CH561" i="15" s="1"/>
  <c r="AP169" i="15"/>
  <c r="CE551" i="15"/>
  <c r="CF551" i="15" s="1"/>
  <c r="AP139" i="15"/>
  <c r="AP105" i="15"/>
  <c r="CG13" i="15"/>
  <c r="CH13" i="15" s="1"/>
  <c r="AI532" i="15"/>
  <c r="AI188" i="15"/>
  <c r="AI846" i="15"/>
  <c r="CE314" i="15"/>
  <c r="CF314" i="15" s="1"/>
  <c r="CE744" i="15"/>
  <c r="CF744" i="15" s="1"/>
  <c r="AP29" i="15"/>
  <c r="AP351" i="15"/>
  <c r="CG792" i="15"/>
  <c r="CH792" i="15" s="1"/>
  <c r="AI24" i="15"/>
  <c r="CE266" i="15"/>
  <c r="CF266" i="15" s="1"/>
  <c r="AP226" i="15"/>
  <c r="AP216" i="15"/>
  <c r="AP208" i="15"/>
  <c r="AP156" i="15"/>
  <c r="AP148" i="15"/>
  <c r="AP77" i="15"/>
  <c r="AP137" i="15"/>
  <c r="AP117" i="15"/>
  <c r="AP235" i="15"/>
  <c r="AP191" i="15"/>
  <c r="AP173" i="15"/>
  <c r="AP163" i="15"/>
  <c r="AP63" i="15"/>
  <c r="AI203" i="15"/>
  <c r="CE437" i="15"/>
  <c r="CF437" i="15" s="1"/>
  <c r="CE233" i="15"/>
  <c r="CF233" i="15" s="1"/>
  <c r="AI533" i="15"/>
  <c r="AI816" i="15"/>
  <c r="CE730" i="15"/>
  <c r="CF730" i="15" s="1"/>
  <c r="AI244" i="15"/>
  <c r="AI172" i="15"/>
  <c r="CE639" i="15"/>
  <c r="CF639" i="15" s="1"/>
  <c r="AI427" i="15"/>
  <c r="AI298" i="15"/>
  <c r="CE479" i="15"/>
  <c r="CF479" i="15" s="1"/>
  <c r="AI805" i="15"/>
  <c r="AI493" i="15"/>
  <c r="CE792" i="15"/>
  <c r="CF792" i="15" s="1"/>
  <c r="CE566" i="15"/>
  <c r="CF566" i="15" s="1"/>
  <c r="AI222" i="15"/>
  <c r="AI465" i="15"/>
  <c r="AI411" i="15"/>
  <c r="AI284" i="15"/>
  <c r="CE215" i="15"/>
  <c r="CF215" i="15" s="1"/>
  <c r="AP280" i="15"/>
  <c r="AP252" i="15"/>
  <c r="AP859" i="15"/>
  <c r="AI739" i="15"/>
  <c r="CE758" i="15"/>
  <c r="CF758" i="15" s="1"/>
  <c r="CE550" i="15"/>
  <c r="CF550" i="15" s="1"/>
  <c r="AI206" i="15"/>
  <c r="CE729" i="15"/>
  <c r="CF729" i="15" s="1"/>
  <c r="AI449" i="15"/>
  <c r="CE387" i="15"/>
  <c r="CF387" i="15" s="1"/>
  <c r="AI183" i="15"/>
  <c r="AI537" i="15"/>
  <c r="CE813" i="15"/>
  <c r="CF813" i="15" s="1"/>
  <c r="CE153" i="15"/>
  <c r="CF153" i="15" s="1"/>
  <c r="CE590" i="15"/>
  <c r="CF590" i="15" s="1"/>
  <c r="CE123" i="15"/>
  <c r="CF123" i="15" s="1"/>
  <c r="AP323" i="15"/>
  <c r="AP289" i="15"/>
  <c r="AP134" i="15"/>
  <c r="CG128" i="15"/>
  <c r="CH128" i="15" s="1"/>
  <c r="AP180" i="15"/>
  <c r="AI799" i="15"/>
  <c r="CE703" i="15"/>
  <c r="CF703" i="15" s="1"/>
  <c r="AI286" i="15"/>
  <c r="CE171" i="15"/>
  <c r="CF171" i="15" s="1"/>
  <c r="CG315" i="15"/>
  <c r="CH315" i="15" s="1"/>
  <c r="CG281" i="15"/>
  <c r="CH281" i="15" s="1"/>
  <c r="AP567" i="15"/>
  <c r="AI160" i="15"/>
  <c r="AI503" i="15"/>
  <c r="CE685" i="15"/>
  <c r="CF685" i="15" s="1"/>
  <c r="CG106" i="15"/>
  <c r="CH106" i="15" s="1"/>
  <c r="AP100" i="15"/>
  <c r="AP665" i="15"/>
  <c r="AP417" i="15"/>
  <c r="AP197" i="15"/>
  <c r="AI255" i="15"/>
  <c r="CG599" i="15"/>
  <c r="CH599" i="15" s="1"/>
  <c r="AP591" i="15"/>
  <c r="CG564" i="15"/>
  <c r="CH564" i="15" s="1"/>
  <c r="CG556" i="15"/>
  <c r="CH556" i="15" s="1"/>
  <c r="AP546" i="15"/>
  <c r="CG242" i="15"/>
  <c r="CH242" i="15" s="1"/>
  <c r="AP242" i="15"/>
  <c r="CG206" i="15"/>
  <c r="CH206" i="15" s="1"/>
  <c r="AP206" i="15"/>
  <c r="CG172" i="15"/>
  <c r="CH172" i="15" s="1"/>
  <c r="AP172" i="15"/>
  <c r="CG75" i="15"/>
  <c r="CH75" i="15" s="1"/>
  <c r="AP75" i="15"/>
  <c r="CG37" i="15"/>
  <c r="CH37" i="15" s="1"/>
  <c r="AP37" i="15"/>
  <c r="CG92" i="15"/>
  <c r="CH92" i="15" s="1"/>
  <c r="AP92" i="15"/>
  <c r="CG268" i="15"/>
  <c r="CH268" i="15" s="1"/>
  <c r="AP268" i="15"/>
  <c r="CG260" i="15"/>
  <c r="CH260" i="15" s="1"/>
  <c r="AP260" i="15"/>
  <c r="AP135" i="15"/>
  <c r="CG135" i="15"/>
  <c r="CH135" i="15" s="1"/>
  <c r="CG709" i="15"/>
  <c r="CH709" i="15" s="1"/>
  <c r="AP709" i="15"/>
  <c r="CG701" i="15"/>
  <c r="CH701" i="15" s="1"/>
  <c r="AP701" i="15"/>
  <c r="CG683" i="15"/>
  <c r="CH683" i="15" s="1"/>
  <c r="AP683" i="15"/>
  <c r="CG649" i="15"/>
  <c r="CH649" i="15" s="1"/>
  <c r="AP649" i="15"/>
  <c r="CG469" i="15"/>
  <c r="CH469" i="15" s="1"/>
  <c r="AP469" i="15"/>
  <c r="CG399" i="15"/>
  <c r="CH399" i="15" s="1"/>
  <c r="AP399" i="15"/>
  <c r="CG332" i="15"/>
  <c r="CH332" i="15" s="1"/>
  <c r="AP332" i="15"/>
  <c r="CG314" i="15"/>
  <c r="CH314" i="15" s="1"/>
  <c r="AP314" i="15"/>
  <c r="CG241" i="15"/>
  <c r="CH241" i="15" s="1"/>
  <c r="AP241" i="15"/>
  <c r="CG223" i="15"/>
  <c r="CH223" i="15" s="1"/>
  <c r="AP223" i="15"/>
  <c r="AP187" i="15"/>
  <c r="CG187" i="15"/>
  <c r="CH187" i="15" s="1"/>
  <c r="CG171" i="15"/>
  <c r="CH171" i="15" s="1"/>
  <c r="AP171" i="15"/>
  <c r="CG153" i="15"/>
  <c r="CH153" i="15" s="1"/>
  <c r="AP153" i="15"/>
  <c r="CG72" i="15"/>
  <c r="CH72" i="15" s="1"/>
  <c r="AP72" i="15"/>
  <c r="CG53" i="15"/>
  <c r="CH53" i="15" s="1"/>
  <c r="AP53" i="15"/>
  <c r="CG797" i="15"/>
  <c r="CH797" i="15" s="1"/>
  <c r="AP797" i="15"/>
  <c r="CG759" i="15"/>
  <c r="CH759" i="15" s="1"/>
  <c r="AP759" i="15"/>
  <c r="CG741" i="15"/>
  <c r="CH741" i="15" s="1"/>
  <c r="AP741" i="15"/>
  <c r="CG841" i="15"/>
  <c r="CH841" i="15" s="1"/>
  <c r="AP841" i="15"/>
  <c r="CG809" i="15"/>
  <c r="CH809" i="15" s="1"/>
  <c r="AP809" i="15"/>
  <c r="CG777" i="15"/>
  <c r="CH777" i="15" s="1"/>
  <c r="AP777" i="15"/>
  <c r="CG743" i="15"/>
  <c r="CH743" i="15" s="1"/>
  <c r="AP743" i="15"/>
  <c r="CG481" i="15"/>
  <c r="CH481" i="15" s="1"/>
  <c r="AP481" i="15"/>
  <c r="CG563" i="15"/>
  <c r="CH563" i="15" s="1"/>
  <c r="AP563" i="15"/>
  <c r="CG475" i="15"/>
  <c r="CH475" i="15" s="1"/>
  <c r="AP475" i="15"/>
  <c r="CG569" i="15"/>
  <c r="CH569" i="15" s="1"/>
  <c r="AP569" i="15"/>
  <c r="CG509" i="15"/>
  <c r="CH509" i="15" s="1"/>
  <c r="AP509" i="15"/>
  <c r="CG24" i="15"/>
  <c r="CH24" i="15" s="1"/>
  <c r="AP24" i="15"/>
  <c r="CE431" i="15"/>
  <c r="CF431" i="15" s="1"/>
  <c r="CE534" i="15"/>
  <c r="CF534" i="15" s="1"/>
  <c r="AI711" i="15"/>
  <c r="AI443" i="15"/>
  <c r="AI302" i="15"/>
  <c r="AI139" i="15"/>
  <c r="AP710" i="15"/>
  <c r="AP702" i="15"/>
  <c r="AP694" i="15"/>
  <c r="AP684" i="15"/>
  <c r="AP658" i="15"/>
  <c r="AP650" i="15"/>
  <c r="AP632" i="15"/>
  <c r="AP623" i="15"/>
  <c r="AP613" i="15"/>
  <c r="AP462" i="15"/>
  <c r="AP452" i="15"/>
  <c r="AP400" i="15"/>
  <c r="AP392" i="15"/>
  <c r="AP384" i="15"/>
  <c r="AP349" i="15"/>
  <c r="AP341" i="15"/>
  <c r="AP297" i="15"/>
  <c r="CG249" i="15"/>
  <c r="CH249" i="15" s="1"/>
  <c r="AP734" i="15"/>
  <c r="AP716" i="15"/>
  <c r="AP524" i="15"/>
  <c r="AP506" i="15"/>
  <c r="AP488" i="15"/>
  <c r="AP154" i="15"/>
  <c r="AP179" i="15"/>
  <c r="CG186" i="15"/>
  <c r="CH186" i="15" s="1"/>
  <c r="AP186" i="15"/>
  <c r="CG62" i="15"/>
  <c r="CH62" i="15" s="1"/>
  <c r="AP62" i="15"/>
  <c r="CG46" i="15"/>
  <c r="CH46" i="15" s="1"/>
  <c r="AP46" i="15"/>
  <c r="AP129" i="15"/>
  <c r="CG129" i="15"/>
  <c r="CH129" i="15" s="1"/>
  <c r="AP17" i="15"/>
  <c r="CG17" i="15"/>
  <c r="CH17" i="15" s="1"/>
  <c r="CG663" i="15"/>
  <c r="CH663" i="15" s="1"/>
  <c r="AP663" i="15"/>
  <c r="AP637" i="15"/>
  <c r="CG637" i="15"/>
  <c r="CH637" i="15" s="1"/>
  <c r="CG628" i="15"/>
  <c r="CH628" i="15" s="1"/>
  <c r="AP628" i="15"/>
  <c r="CG584" i="15"/>
  <c r="CH584" i="15" s="1"/>
  <c r="AP584" i="15"/>
  <c r="CG415" i="15"/>
  <c r="CH415" i="15" s="1"/>
  <c r="AP415" i="15"/>
  <c r="AP389" i="15"/>
  <c r="CG389" i="15"/>
  <c r="CH389" i="15" s="1"/>
  <c r="CG381" i="15"/>
  <c r="CH381" i="15" s="1"/>
  <c r="AP381" i="15"/>
  <c r="CG362" i="15"/>
  <c r="CH362" i="15" s="1"/>
  <c r="AP362" i="15"/>
  <c r="AP346" i="15"/>
  <c r="CG346" i="15"/>
  <c r="CH346" i="15" s="1"/>
  <c r="CG221" i="15"/>
  <c r="CH221" i="15" s="1"/>
  <c r="AP221" i="15"/>
  <c r="CG151" i="15"/>
  <c r="CH151" i="15" s="1"/>
  <c r="AP151" i="15"/>
  <c r="CG78" i="15"/>
  <c r="CH78" i="15" s="1"/>
  <c r="AP78" i="15"/>
  <c r="CG59" i="15"/>
  <c r="CH59" i="15" s="1"/>
  <c r="AP59" i="15"/>
  <c r="CG40" i="15"/>
  <c r="CH40" i="15" s="1"/>
  <c r="AP40" i="15"/>
  <c r="CG791" i="15"/>
  <c r="CH791" i="15" s="1"/>
  <c r="AP791" i="15"/>
  <c r="CG769" i="15"/>
  <c r="CH769" i="15" s="1"/>
  <c r="AP769" i="15"/>
  <c r="CG755" i="15"/>
  <c r="CH755" i="15" s="1"/>
  <c r="AP755" i="15"/>
  <c r="CG739" i="15"/>
  <c r="CH739" i="15" s="1"/>
  <c r="AP739" i="15"/>
  <c r="CG565" i="15"/>
  <c r="CH565" i="15" s="1"/>
  <c r="AP565" i="15"/>
  <c r="CG553" i="15"/>
  <c r="CH553" i="15" s="1"/>
  <c r="AP553" i="15"/>
  <c r="AI187" i="15"/>
  <c r="AI794" i="15"/>
  <c r="AI32" i="15"/>
  <c r="CE16" i="15"/>
  <c r="CF16" i="15" s="1"/>
  <c r="AI717" i="15"/>
  <c r="AI483" i="15"/>
  <c r="AI197" i="15"/>
  <c r="CE695" i="15"/>
  <c r="CF695" i="15" s="1"/>
  <c r="CE626" i="15"/>
  <c r="CF626" i="15" s="1"/>
  <c r="AI451" i="15"/>
  <c r="AI415" i="15"/>
  <c r="AI318" i="15"/>
  <c r="CE107" i="15"/>
  <c r="CF107" i="15" s="1"/>
  <c r="AI861" i="15"/>
  <c r="CG676" i="15"/>
  <c r="CH676" i="15" s="1"/>
  <c r="CG666" i="15"/>
  <c r="CH666" i="15" s="1"/>
  <c r="CG642" i="15"/>
  <c r="CH642" i="15" s="1"/>
  <c r="CG603" i="15"/>
  <c r="CH603" i="15" s="1"/>
  <c r="CG595" i="15"/>
  <c r="CH595" i="15" s="1"/>
  <c r="CG587" i="15"/>
  <c r="CH587" i="15" s="1"/>
  <c r="CG579" i="15"/>
  <c r="CH579" i="15" s="1"/>
  <c r="CG444" i="15"/>
  <c r="CH444" i="15" s="1"/>
  <c r="CG436" i="15"/>
  <c r="CH436" i="15" s="1"/>
  <c r="CG426" i="15"/>
  <c r="CH426" i="15" s="1"/>
  <c r="CG418" i="15"/>
  <c r="CH418" i="15" s="1"/>
  <c r="CG410" i="15"/>
  <c r="CH410" i="15" s="1"/>
  <c r="CG375" i="15"/>
  <c r="CH375" i="15" s="1"/>
  <c r="CG365" i="15"/>
  <c r="CH365" i="15" s="1"/>
  <c r="CG357" i="15"/>
  <c r="CH357" i="15" s="1"/>
  <c r="CG333" i="15"/>
  <c r="CH333" i="15" s="1"/>
  <c r="CG321" i="15"/>
  <c r="CH321" i="15" s="1"/>
  <c r="AP307" i="15"/>
  <c r="CG287" i="15"/>
  <c r="CH287" i="15" s="1"/>
  <c r="AP273" i="15"/>
  <c r="AP138" i="15"/>
  <c r="CG118" i="15"/>
  <c r="CH118" i="15" s="1"/>
  <c r="AP26" i="15"/>
  <c r="CG852" i="15"/>
  <c r="CH852" i="15" s="1"/>
  <c r="CG836" i="15"/>
  <c r="CH836" i="15" s="1"/>
  <c r="CG818" i="15"/>
  <c r="CH818" i="15" s="1"/>
  <c r="CG802" i="15"/>
  <c r="CH802" i="15" s="1"/>
  <c r="CG784" i="15"/>
  <c r="CH784" i="15" s="1"/>
  <c r="CG764" i="15"/>
  <c r="CH764" i="15" s="1"/>
  <c r="CG748" i="15"/>
  <c r="CH748" i="15" s="1"/>
  <c r="CG730" i="15"/>
  <c r="CH730" i="15" s="1"/>
  <c r="CG572" i="15"/>
  <c r="CH572" i="15" s="1"/>
  <c r="CG558" i="15"/>
  <c r="CH558" i="15" s="1"/>
  <c r="CG540" i="15"/>
  <c r="CH540" i="15" s="1"/>
  <c r="CG522" i="15"/>
  <c r="CH522" i="15" s="1"/>
  <c r="CG504" i="15"/>
  <c r="CH504" i="15" s="1"/>
  <c r="CG486" i="15"/>
  <c r="CH486" i="15" s="1"/>
  <c r="AP240" i="15"/>
  <c r="AP214" i="15"/>
  <c r="CG196" i="15"/>
  <c r="CH196" i="15" s="1"/>
  <c r="AP170" i="15"/>
  <c r="AP146" i="15"/>
  <c r="AP56" i="15"/>
  <c r="AP691" i="15"/>
  <c r="AP594" i="15"/>
  <c r="AP441" i="15"/>
  <c r="AP348" i="15"/>
  <c r="AP304" i="15"/>
  <c r="AP25" i="15"/>
  <c r="AP825" i="15"/>
  <c r="CG503" i="15"/>
  <c r="CH503" i="15" s="1"/>
  <c r="AP473" i="15"/>
  <c r="CG70" i="15"/>
  <c r="CH70" i="15" s="1"/>
  <c r="AP61" i="15"/>
  <c r="AP51" i="15"/>
  <c r="CG234" i="15"/>
  <c r="CH234" i="15" s="1"/>
  <c r="AP234" i="15"/>
  <c r="CG198" i="15"/>
  <c r="CH198" i="15" s="1"/>
  <c r="AP198" i="15"/>
  <c r="CG162" i="15"/>
  <c r="CH162" i="15" s="1"/>
  <c r="AP162" i="15"/>
  <c r="CG67" i="15"/>
  <c r="CH67" i="15" s="1"/>
  <c r="AP67" i="15"/>
  <c r="CG113" i="15"/>
  <c r="CH113" i="15" s="1"/>
  <c r="AP113" i="15"/>
  <c r="CG11" i="15"/>
  <c r="CH11" i="15" s="1"/>
  <c r="AP11" i="15"/>
  <c r="CG123" i="15"/>
  <c r="CH123" i="15" s="1"/>
  <c r="AP123" i="15"/>
  <c r="CG107" i="15"/>
  <c r="CH107" i="15" s="1"/>
  <c r="AP107" i="15"/>
  <c r="CG21" i="15"/>
  <c r="CH21" i="15" s="1"/>
  <c r="AP21" i="15"/>
  <c r="CG675" i="15"/>
  <c r="CH675" i="15" s="1"/>
  <c r="AP675" i="15"/>
  <c r="CG657" i="15"/>
  <c r="CH657" i="15" s="1"/>
  <c r="AP657" i="15"/>
  <c r="AP639" i="15"/>
  <c r="CG639" i="15"/>
  <c r="CH639" i="15" s="1"/>
  <c r="AP631" i="15"/>
  <c r="CG631" i="15"/>
  <c r="CH631" i="15" s="1"/>
  <c r="CG612" i="15"/>
  <c r="CH612" i="15" s="1"/>
  <c r="AP612" i="15"/>
  <c r="CG602" i="15"/>
  <c r="CH602" i="15" s="1"/>
  <c r="AP602" i="15"/>
  <c r="CG586" i="15"/>
  <c r="CH586" i="15" s="1"/>
  <c r="AP586" i="15"/>
  <c r="CG461" i="15"/>
  <c r="CH461" i="15" s="1"/>
  <c r="AP461" i="15"/>
  <c r="CG451" i="15"/>
  <c r="CH451" i="15" s="1"/>
  <c r="AP451" i="15"/>
  <c r="CG435" i="15"/>
  <c r="CH435" i="15" s="1"/>
  <c r="AP435" i="15"/>
  <c r="CG425" i="15"/>
  <c r="CH425" i="15" s="1"/>
  <c r="AP425" i="15"/>
  <c r="CG409" i="15"/>
  <c r="CH409" i="15" s="1"/>
  <c r="AP409" i="15"/>
  <c r="CG391" i="15"/>
  <c r="CH391" i="15" s="1"/>
  <c r="AP391" i="15"/>
  <c r="CG383" i="15"/>
  <c r="CH383" i="15" s="1"/>
  <c r="AP383" i="15"/>
  <c r="CG364" i="15"/>
  <c r="CH364" i="15" s="1"/>
  <c r="AP364" i="15"/>
  <c r="CG356" i="15"/>
  <c r="CH356" i="15" s="1"/>
  <c r="AP356" i="15"/>
  <c r="CG340" i="15"/>
  <c r="CH340" i="15" s="1"/>
  <c r="AP340" i="15"/>
  <c r="CG322" i="15"/>
  <c r="CH322" i="15" s="1"/>
  <c r="AP322" i="15"/>
  <c r="CG296" i="15"/>
  <c r="CH296" i="15" s="1"/>
  <c r="AP296" i="15"/>
  <c r="AP288" i="15"/>
  <c r="CG288" i="15"/>
  <c r="CH288" i="15" s="1"/>
  <c r="CG272" i="15"/>
  <c r="CH272" i="15" s="1"/>
  <c r="AP272" i="15"/>
  <c r="CG233" i="15"/>
  <c r="CH233" i="15" s="1"/>
  <c r="AP233" i="15"/>
  <c r="CG213" i="15"/>
  <c r="CH213" i="15" s="1"/>
  <c r="AP213" i="15"/>
  <c r="CG205" i="15"/>
  <c r="CH205" i="15" s="1"/>
  <c r="AP205" i="15"/>
  <c r="CG161" i="15"/>
  <c r="CH161" i="15" s="1"/>
  <c r="AP161" i="15"/>
  <c r="CG80" i="15"/>
  <c r="CH80" i="15" s="1"/>
  <c r="AP80" i="15"/>
  <c r="CG849" i="15"/>
  <c r="CH849" i="15" s="1"/>
  <c r="AP849" i="15"/>
  <c r="CG815" i="15"/>
  <c r="CH815" i="15" s="1"/>
  <c r="AP815" i="15"/>
  <c r="CG779" i="15"/>
  <c r="CH779" i="15" s="1"/>
  <c r="AP779" i="15"/>
  <c r="AP793" i="15"/>
  <c r="CG793" i="15"/>
  <c r="CH793" i="15" s="1"/>
  <c r="CG774" i="15"/>
  <c r="CH774" i="15" s="1"/>
  <c r="AP774" i="15"/>
  <c r="AP729" i="15"/>
  <c r="CG729" i="15"/>
  <c r="CH729" i="15" s="1"/>
  <c r="CG575" i="15"/>
  <c r="CH575" i="15" s="1"/>
  <c r="AP575" i="15"/>
  <c r="CG511" i="15"/>
  <c r="CH511" i="15" s="1"/>
  <c r="AP511" i="15"/>
  <c r="CG487" i="15"/>
  <c r="CH487" i="15" s="1"/>
  <c r="AP487" i="15"/>
  <c r="CG28" i="15"/>
  <c r="CH28" i="15" s="1"/>
  <c r="AP28" i="15"/>
  <c r="CG521" i="15"/>
  <c r="CH521" i="15" s="1"/>
  <c r="AP521" i="15"/>
  <c r="CG90" i="15"/>
  <c r="CH90" i="15" s="1"/>
  <c r="AP90" i="15"/>
  <c r="CG541" i="15"/>
  <c r="CH541" i="15" s="1"/>
  <c r="AP541" i="15"/>
  <c r="CG479" i="15"/>
  <c r="CH479" i="15" s="1"/>
  <c r="AP479" i="15"/>
  <c r="AP854" i="15"/>
  <c r="AP838" i="15"/>
  <c r="AP820" i="15"/>
  <c r="AP804" i="15"/>
  <c r="AP786" i="15"/>
  <c r="AP766" i="15"/>
  <c r="AP750" i="15"/>
  <c r="AP560" i="15"/>
  <c r="AP542" i="15"/>
  <c r="AP224" i="15"/>
  <c r="AP693" i="15"/>
  <c r="AP443" i="15"/>
  <c r="AP306" i="15"/>
  <c r="AP543" i="15"/>
  <c r="AP527" i="15"/>
  <c r="CG222" i="15"/>
  <c r="CH222" i="15" s="1"/>
  <c r="AP222" i="15"/>
  <c r="CG152" i="15"/>
  <c r="CH152" i="15" s="1"/>
  <c r="AP152" i="15"/>
  <c r="CG54" i="15"/>
  <c r="CH54" i="15" s="1"/>
  <c r="AP54" i="15"/>
  <c r="CG23" i="15"/>
  <c r="CH23" i="15" s="1"/>
  <c r="AP23" i="15"/>
  <c r="CG266" i="15"/>
  <c r="CH266" i="15" s="1"/>
  <c r="AP266" i="15"/>
  <c r="CG141" i="15"/>
  <c r="CH141" i="15" s="1"/>
  <c r="AP141" i="15"/>
  <c r="CG119" i="15"/>
  <c r="CH119" i="15" s="1"/>
  <c r="AP119" i="15"/>
  <c r="CG87" i="15"/>
  <c r="CH87" i="15" s="1"/>
  <c r="AP87" i="15"/>
  <c r="AP707" i="15"/>
  <c r="CG707" i="15"/>
  <c r="CH707" i="15" s="1"/>
  <c r="CG699" i="15"/>
  <c r="CH699" i="15" s="1"/>
  <c r="AP699" i="15"/>
  <c r="CG681" i="15"/>
  <c r="CH681" i="15" s="1"/>
  <c r="AP681" i="15"/>
  <c r="CG655" i="15"/>
  <c r="CH655" i="15" s="1"/>
  <c r="AP655" i="15"/>
  <c r="CG608" i="15"/>
  <c r="CH608" i="15" s="1"/>
  <c r="AP608" i="15"/>
  <c r="CG592" i="15"/>
  <c r="CH592" i="15" s="1"/>
  <c r="AP592" i="15"/>
  <c r="AP459" i="15"/>
  <c r="CG459" i="15"/>
  <c r="CH459" i="15" s="1"/>
  <c r="CG449" i="15"/>
  <c r="CH449" i="15" s="1"/>
  <c r="AP449" i="15"/>
  <c r="CG433" i="15"/>
  <c r="CH433" i="15" s="1"/>
  <c r="AP433" i="15"/>
  <c r="CG405" i="15"/>
  <c r="CH405" i="15" s="1"/>
  <c r="AP405" i="15"/>
  <c r="AP338" i="15"/>
  <c r="CG338" i="15"/>
  <c r="CH338" i="15" s="1"/>
  <c r="AP320" i="15"/>
  <c r="CG320" i="15"/>
  <c r="CH320" i="15" s="1"/>
  <c r="CG312" i="15"/>
  <c r="CH312" i="15" s="1"/>
  <c r="AP312" i="15"/>
  <c r="CG294" i="15"/>
  <c r="CH294" i="15" s="1"/>
  <c r="AP294" i="15"/>
  <c r="CG278" i="15"/>
  <c r="CH278" i="15" s="1"/>
  <c r="AP278" i="15"/>
  <c r="CG247" i="15"/>
  <c r="CH247" i="15" s="1"/>
  <c r="AP247" i="15"/>
  <c r="CG229" i="15"/>
  <c r="CH229" i="15" s="1"/>
  <c r="AP229" i="15"/>
  <c r="CG211" i="15"/>
  <c r="CH211" i="15" s="1"/>
  <c r="AP211" i="15"/>
  <c r="CG195" i="15"/>
  <c r="CH195" i="15" s="1"/>
  <c r="AP195" i="15"/>
  <c r="CG177" i="15"/>
  <c r="CH177" i="15" s="1"/>
  <c r="AP177" i="15"/>
  <c r="CG159" i="15"/>
  <c r="CH159" i="15" s="1"/>
  <c r="AP159" i="15"/>
  <c r="AP829" i="15"/>
  <c r="CG829" i="15"/>
  <c r="CH829" i="15" s="1"/>
  <c r="CG771" i="15"/>
  <c r="CH771" i="15" s="1"/>
  <c r="AP771" i="15"/>
  <c r="CG757" i="15"/>
  <c r="CH757" i="15" s="1"/>
  <c r="AP757" i="15"/>
  <c r="CG861" i="15"/>
  <c r="CH861" i="15" s="1"/>
  <c r="AP861" i="15"/>
  <c r="AP821" i="15"/>
  <c r="CG821" i="15"/>
  <c r="CH821" i="15" s="1"/>
  <c r="CG789" i="15"/>
  <c r="CH789" i="15" s="1"/>
  <c r="AP789" i="15"/>
  <c r="CG535" i="15"/>
  <c r="CH535" i="15" s="1"/>
  <c r="AP535" i="15"/>
  <c r="CG559" i="15"/>
  <c r="CH559" i="15" s="1"/>
  <c r="AP559" i="15"/>
  <c r="CG517" i="15"/>
  <c r="CH517" i="15" s="1"/>
  <c r="AP517" i="15"/>
  <c r="CG477" i="15"/>
  <c r="CH477" i="15" s="1"/>
  <c r="AP477" i="15"/>
  <c r="AP501" i="15"/>
  <c r="CG501" i="15"/>
  <c r="CH501" i="15" s="1"/>
  <c r="CG331" i="15"/>
  <c r="CH331" i="15" s="1"/>
  <c r="CG295" i="15"/>
  <c r="CH295" i="15" s="1"/>
  <c r="CG263" i="15"/>
  <c r="CH263" i="15" s="1"/>
  <c r="CG136" i="15"/>
  <c r="CH136" i="15" s="1"/>
  <c r="AP112" i="15"/>
  <c r="CG22" i="15"/>
  <c r="CH22" i="15" s="1"/>
  <c r="AP846" i="15"/>
  <c r="AP830" i="15"/>
  <c r="AP812" i="15"/>
  <c r="AP794" i="15"/>
  <c r="AP778" i="15"/>
  <c r="AP758" i="15"/>
  <c r="AP742" i="15"/>
  <c r="AP724" i="15"/>
  <c r="AP568" i="15"/>
  <c r="AP552" i="15"/>
  <c r="AP534" i="15"/>
  <c r="CG516" i="15"/>
  <c r="CH516" i="15" s="1"/>
  <c r="AP498" i="15"/>
  <c r="AP480" i="15"/>
  <c r="AP212" i="15"/>
  <c r="AP188" i="15"/>
  <c r="AP81" i="15"/>
  <c r="AP48" i="15"/>
  <c r="CG673" i="15"/>
  <c r="CH673" i="15" s="1"/>
  <c r="AP622" i="15"/>
  <c r="CG423" i="15"/>
  <c r="CH423" i="15" s="1"/>
  <c r="AP374" i="15"/>
  <c r="CG286" i="15"/>
  <c r="CH286" i="15" s="1"/>
  <c r="AP109" i="15"/>
  <c r="CG101" i="15"/>
  <c r="CH101" i="15" s="1"/>
  <c r="AP91" i="15"/>
  <c r="AP847" i="15"/>
  <c r="CG839" i="15"/>
  <c r="CH839" i="15" s="1"/>
  <c r="AP833" i="15"/>
  <c r="CG805" i="15"/>
  <c r="CH805" i="15" s="1"/>
  <c r="AP715" i="15"/>
  <c r="AP239" i="15"/>
  <c r="AP45" i="15"/>
  <c r="CG94" i="15"/>
  <c r="CH94" i="15" s="1"/>
  <c r="CE622" i="15"/>
  <c r="CF622" i="15" s="1"/>
  <c r="AI140" i="15"/>
  <c r="AI574" i="15"/>
  <c r="AI543" i="15"/>
  <c r="AI475" i="15"/>
  <c r="AI838" i="15"/>
  <c r="AI808" i="15"/>
  <c r="CE784" i="15"/>
  <c r="CF784" i="15" s="1"/>
  <c r="AI750" i="15"/>
  <c r="AI738" i="15"/>
  <c r="AI720" i="15"/>
  <c r="AI558" i="15"/>
  <c r="AI540" i="15"/>
  <c r="AI14" i="15"/>
  <c r="AI304" i="15"/>
  <c r="AI282" i="15"/>
  <c r="AI825" i="15"/>
  <c r="CE241" i="15"/>
  <c r="CF241" i="15" s="1"/>
  <c r="AI199" i="15"/>
  <c r="AI811" i="15"/>
  <c r="AI557" i="15"/>
  <c r="AI499" i="15"/>
  <c r="AI830" i="15"/>
  <c r="AI802" i="15"/>
  <c r="CE778" i="15"/>
  <c r="CF778" i="15" s="1"/>
  <c r="AI520" i="15"/>
  <c r="AI236" i="15"/>
  <c r="AI214" i="15"/>
  <c r="AI198" i="15"/>
  <c r="AI180" i="15"/>
  <c r="AI164" i="15"/>
  <c r="AI148" i="15"/>
  <c r="AI30" i="15"/>
  <c r="AI22" i="15"/>
  <c r="CE783" i="15"/>
  <c r="CF783" i="15" s="1"/>
  <c r="AI149" i="15"/>
  <c r="AI709" i="15"/>
  <c r="AI701" i="15"/>
  <c r="AI693" i="15"/>
  <c r="CE665" i="15"/>
  <c r="CF665" i="15" s="1"/>
  <c r="AI435" i="15"/>
  <c r="CE397" i="15"/>
  <c r="CF397" i="15" s="1"/>
  <c r="AI262" i="15"/>
  <c r="AI137" i="15"/>
  <c r="AI119" i="15"/>
  <c r="AI103" i="15"/>
  <c r="CE225" i="15"/>
  <c r="CF225" i="15" s="1"/>
  <c r="CE155" i="15"/>
  <c r="CF155" i="15" s="1"/>
  <c r="CE777" i="15"/>
  <c r="CF777" i="15" s="1"/>
  <c r="AI263" i="15"/>
  <c r="AI791" i="15"/>
  <c r="AI854" i="15"/>
  <c r="AI822" i="15"/>
  <c r="CE766" i="15"/>
  <c r="CF766" i="15" s="1"/>
  <c r="AI823" i="15"/>
  <c r="CE209" i="15"/>
  <c r="CF209" i="15" s="1"/>
  <c r="AI173" i="15"/>
  <c r="AI268" i="15"/>
  <c r="CE565" i="15"/>
  <c r="CF565" i="15" s="1"/>
  <c r="CE193" i="15"/>
  <c r="CF193" i="15" s="1"/>
  <c r="CE252" i="15"/>
  <c r="CF252" i="15" s="1"/>
  <c r="CE837" i="15"/>
  <c r="CF837" i="15" s="1"/>
  <c r="CE649" i="15"/>
  <c r="CF649" i="15" s="1"/>
  <c r="AI421" i="15"/>
  <c r="CE320" i="15"/>
  <c r="CF320" i="15" s="1"/>
  <c r="CE612" i="15"/>
  <c r="CF612" i="15" s="1"/>
  <c r="AI129" i="15"/>
  <c r="CE583" i="15"/>
  <c r="CF583" i="15" s="1"/>
  <c r="AI392" i="15"/>
  <c r="AO796" i="15"/>
  <c r="CG796" i="15" s="1"/>
  <c r="CH796" i="15" s="1"/>
  <c r="AO776" i="15"/>
  <c r="AP776" i="15" s="1"/>
  <c r="AO714" i="15"/>
  <c r="CG714" i="15" s="1"/>
  <c r="CH714" i="15" s="1"/>
  <c r="AO271" i="15"/>
  <c r="CG271" i="15" s="1"/>
  <c r="CH271" i="15" s="1"/>
  <c r="AO668" i="15"/>
  <c r="AP668" i="15" s="1"/>
  <c r="AO300" i="15"/>
  <c r="AP300" i="15" s="1"/>
  <c r="AO190" i="15"/>
  <c r="CG190" i="15" s="1"/>
  <c r="CH190" i="15" s="1"/>
  <c r="AO407" i="15"/>
  <c r="AP407" i="15" s="1"/>
  <c r="AO168" i="15"/>
  <c r="CG168" i="15" s="1"/>
  <c r="CH168" i="15" s="1"/>
  <c r="AO754" i="15"/>
  <c r="AP754" i="15" s="1"/>
  <c r="AO34" i="15"/>
  <c r="AP34" i="15" s="1"/>
  <c r="AO98" i="15"/>
  <c r="AP98" i="15" s="1"/>
  <c r="AO83" i="15"/>
  <c r="CG83" i="15" s="1"/>
  <c r="CH83" i="15" s="1"/>
  <c r="AO491" i="15"/>
  <c r="AP491" i="15" s="1"/>
  <c r="AO548" i="15"/>
  <c r="CG548" i="15" s="1"/>
  <c r="CH548" i="15" s="1"/>
  <c r="AO621" i="15"/>
  <c r="AP621" i="15" s="1"/>
  <c r="AO232" i="15"/>
  <c r="AP232" i="15" s="1"/>
  <c r="AO641" i="15"/>
  <c r="AP641" i="15" s="1"/>
  <c r="AO251" i="15"/>
  <c r="CG251" i="15" s="1"/>
  <c r="CH251" i="15" s="1"/>
  <c r="AO455" i="15"/>
  <c r="CG455" i="15" s="1"/>
  <c r="CH455" i="15" s="1"/>
  <c r="AO65" i="15"/>
  <c r="CG65" i="15" s="1"/>
  <c r="CH65" i="15" s="1"/>
  <c r="AO611" i="15"/>
  <c r="AP611" i="15" s="1"/>
  <c r="AO688" i="15"/>
  <c r="AP688" i="15" s="1"/>
  <c r="AO732" i="15"/>
  <c r="CG732" i="15" s="1"/>
  <c r="CH732" i="15" s="1"/>
  <c r="AO578" i="15"/>
  <c r="AP578" i="15" s="1"/>
  <c r="AO514" i="15"/>
  <c r="AP514" i="15" s="1"/>
  <c r="AO828" i="15"/>
  <c r="CG828" i="15" s="1"/>
  <c r="CH828" i="15" s="1"/>
  <c r="AO325" i="15"/>
  <c r="CG325" i="15" s="1"/>
  <c r="CH325" i="15" s="1"/>
  <c r="AO430" i="15"/>
  <c r="CG430" i="15" s="1"/>
  <c r="CH430" i="15" s="1"/>
  <c r="AO371" i="15"/>
  <c r="AP371" i="15" s="1"/>
  <c r="AO125" i="15"/>
  <c r="CG125" i="15" s="1"/>
  <c r="CH125" i="15" s="1"/>
  <c r="AO472" i="15"/>
  <c r="AP472" i="15" s="1"/>
  <c r="AO145" i="15"/>
  <c r="CG145" i="15" s="1"/>
  <c r="CH145" i="15" s="1"/>
  <c r="AO529" i="15"/>
  <c r="CG529" i="15" s="1"/>
  <c r="CH529" i="15" s="1"/>
  <c r="AO219" i="15"/>
  <c r="CG219" i="15" s="1"/>
  <c r="CH219" i="15" s="1"/>
  <c r="AO42" i="15"/>
  <c r="CG42" i="15" s="1"/>
  <c r="CH42" i="15" s="1"/>
  <c r="AI832" i="15"/>
  <c r="AI568" i="15"/>
  <c r="AI560" i="15"/>
  <c r="CE542" i="15"/>
  <c r="CF542" i="15" s="1"/>
  <c r="AI632" i="15"/>
  <c r="AI448" i="15"/>
  <c r="CE599" i="15"/>
  <c r="CF599" i="15" s="1"/>
  <c r="AI666" i="15"/>
  <c r="AI591" i="15"/>
  <c r="CE434" i="15"/>
  <c r="CF434" i="15" s="1"/>
  <c r="CE617" i="15"/>
  <c r="CF617" i="15" s="1"/>
  <c r="AI466" i="15"/>
  <c r="CE840" i="15"/>
  <c r="CF840" i="15" s="1"/>
  <c r="AI702" i="15"/>
  <c r="AI658" i="15"/>
  <c r="AI458" i="15"/>
  <c r="CE398" i="15"/>
  <c r="CF398" i="15" s="1"/>
  <c r="AI686" i="15"/>
  <c r="CE642" i="15"/>
  <c r="CF642" i="15" s="1"/>
  <c r="CE607" i="15"/>
  <c r="CF607" i="15" s="1"/>
  <c r="CE555" i="15"/>
  <c r="CF555" i="15" s="1"/>
  <c r="CE481" i="15"/>
  <c r="CF481" i="15" s="1"/>
  <c r="CE177" i="15"/>
  <c r="CF177" i="15" s="1"/>
  <c r="CE809" i="15"/>
  <c r="CF809" i="15" s="1"/>
  <c r="CE575" i="15"/>
  <c r="CF575" i="15" s="1"/>
  <c r="CE195" i="15"/>
  <c r="CF195" i="15" s="1"/>
  <c r="CE807" i="15"/>
  <c r="CF807" i="15" s="1"/>
  <c r="AI211" i="15"/>
  <c r="AI781" i="15"/>
  <c r="CG491" i="15"/>
  <c r="CH491" i="15" s="1"/>
  <c r="CG9" i="15"/>
  <c r="CH9" i="15" s="1"/>
  <c r="AP9" i="15"/>
  <c r="AI735" i="15"/>
  <c r="AI573" i="15"/>
  <c r="CE133" i="15"/>
  <c r="CF133" i="15" s="1"/>
  <c r="CE814" i="15"/>
  <c r="CF814" i="15" s="1"/>
  <c r="CE546" i="15"/>
  <c r="CF546" i="15" s="1"/>
  <c r="AI538" i="15"/>
  <c r="AI789" i="15"/>
  <c r="AI239" i="15"/>
  <c r="CE383" i="15"/>
  <c r="CF383" i="15" s="1"/>
  <c r="AI37" i="15"/>
  <c r="CE860" i="15"/>
  <c r="CF860" i="15" s="1"/>
  <c r="CE820" i="15"/>
  <c r="CF820" i="15" s="1"/>
  <c r="AI772" i="15"/>
  <c r="CE564" i="15"/>
  <c r="CF564" i="15" s="1"/>
  <c r="AI556" i="15"/>
  <c r="AI618" i="15"/>
  <c r="CE395" i="15"/>
  <c r="CF395" i="15" s="1"/>
  <c r="AI539" i="15"/>
  <c r="AI852" i="15"/>
  <c r="AI782" i="15"/>
  <c r="CE185" i="15"/>
  <c r="CF185" i="15" s="1"/>
  <c r="AI310" i="15"/>
  <c r="AI115" i="15"/>
  <c r="AI495" i="15"/>
  <c r="AI800" i="15"/>
  <c r="CE790" i="15"/>
  <c r="CF790" i="15" s="1"/>
  <c r="AI773" i="15"/>
  <c r="CE736" i="15"/>
  <c r="CF736" i="15" s="1"/>
  <c r="CE280" i="15"/>
  <c r="CF280" i="15" s="1"/>
  <c r="CE844" i="15"/>
  <c r="CF844" i="15" s="1"/>
  <c r="AI836" i="15"/>
  <c r="AI806" i="15"/>
  <c r="CE764" i="15"/>
  <c r="CF764" i="15" s="1"/>
  <c r="CE742" i="15"/>
  <c r="CF742" i="15" s="1"/>
  <c r="CE718" i="15"/>
  <c r="CF718" i="15" s="1"/>
  <c r="AI747" i="15"/>
  <c r="AI296" i="15"/>
  <c r="CE645" i="15"/>
  <c r="CF645" i="15" s="1"/>
  <c r="AI417" i="15"/>
  <c r="CE819" i="15"/>
  <c r="CF819" i="15" s="1"/>
  <c r="AI141" i="15"/>
  <c r="CI838" i="15"/>
  <c r="CJ838" i="15" s="1"/>
  <c r="CK838" i="15"/>
  <c r="CL838" i="15" s="1"/>
  <c r="CM838" i="15"/>
  <c r="CN838" i="15" s="1"/>
  <c r="CO838" i="15"/>
  <c r="CP838" i="15" s="1"/>
  <c r="CO816" i="15"/>
  <c r="CP816" i="15" s="1"/>
  <c r="CI816" i="15"/>
  <c r="CJ816" i="15" s="1"/>
  <c r="CM816" i="15"/>
  <c r="CN816" i="15" s="1"/>
  <c r="CK816" i="15"/>
  <c r="CL816" i="15" s="1"/>
  <c r="CO672" i="15"/>
  <c r="CP672" i="15" s="1"/>
  <c r="CI672" i="15"/>
  <c r="CJ672" i="15" s="1"/>
  <c r="CK672" i="15"/>
  <c r="CL672" i="15" s="1"/>
  <c r="CM672" i="15"/>
  <c r="CN672" i="15" s="1"/>
  <c r="CI651" i="15"/>
  <c r="CJ651" i="15" s="1"/>
  <c r="CK651" i="15"/>
  <c r="CL651" i="15" s="1"/>
  <c r="CM651" i="15"/>
  <c r="CN651" i="15" s="1"/>
  <c r="CO651" i="15"/>
  <c r="CP651" i="15" s="1"/>
  <c r="CK575" i="15"/>
  <c r="CL575" i="15" s="1"/>
  <c r="CM575" i="15"/>
  <c r="CN575" i="15" s="1"/>
  <c r="CO575" i="15"/>
  <c r="CP575" i="15" s="1"/>
  <c r="CI575" i="15"/>
  <c r="CJ575" i="15" s="1"/>
  <c r="CK401" i="15"/>
  <c r="CL401" i="15" s="1"/>
  <c r="CO401" i="15"/>
  <c r="CP401" i="15" s="1"/>
  <c r="CI401" i="15"/>
  <c r="CJ401" i="15" s="1"/>
  <c r="CM401" i="15"/>
  <c r="CN401" i="15" s="1"/>
  <c r="CM492" i="15"/>
  <c r="CN492" i="15" s="1"/>
  <c r="CK492" i="15"/>
  <c r="CL492" i="15" s="1"/>
  <c r="CI492" i="15"/>
  <c r="CJ492" i="15" s="1"/>
  <c r="CO492" i="15"/>
  <c r="CP492" i="15" s="1"/>
  <c r="CK414" i="15"/>
  <c r="CL414" i="15" s="1"/>
  <c r="CO414" i="15"/>
  <c r="CP414" i="15" s="1"/>
  <c r="CI414" i="15"/>
  <c r="CJ414" i="15" s="1"/>
  <c r="CM414" i="15"/>
  <c r="CN414" i="15" s="1"/>
  <c r="CK485" i="15"/>
  <c r="CL485" i="15" s="1"/>
  <c r="CM485" i="15"/>
  <c r="CN485" i="15" s="1"/>
  <c r="CO485" i="15"/>
  <c r="CP485" i="15" s="1"/>
  <c r="CI485" i="15"/>
  <c r="CJ485" i="15" s="1"/>
  <c r="CK382" i="15"/>
  <c r="CL382" i="15" s="1"/>
  <c r="CO382" i="15"/>
  <c r="CP382" i="15" s="1"/>
  <c r="CI382" i="15"/>
  <c r="CJ382" i="15" s="1"/>
  <c r="CM382" i="15"/>
  <c r="CN382" i="15" s="1"/>
  <c r="CO782" i="15"/>
  <c r="CP782" i="15" s="1"/>
  <c r="CI782" i="15"/>
  <c r="CJ782" i="15" s="1"/>
  <c r="CM782" i="15"/>
  <c r="CN782" i="15" s="1"/>
  <c r="CK782" i="15"/>
  <c r="CL782" i="15" s="1"/>
  <c r="CI648" i="15"/>
  <c r="CJ648" i="15" s="1"/>
  <c r="CK648" i="15"/>
  <c r="CL648" i="15" s="1"/>
  <c r="CM648" i="15"/>
  <c r="CN648" i="15" s="1"/>
  <c r="CO648" i="15"/>
  <c r="CP648" i="15" s="1"/>
  <c r="CK483" i="15"/>
  <c r="CL483" i="15" s="1"/>
  <c r="CM483" i="15"/>
  <c r="CN483" i="15" s="1"/>
  <c r="CO483" i="15"/>
  <c r="CP483" i="15" s="1"/>
  <c r="CI483" i="15"/>
  <c r="CJ483" i="15" s="1"/>
  <c r="CK375" i="15"/>
  <c r="CL375" i="15" s="1"/>
  <c r="CO375" i="15"/>
  <c r="CP375" i="15" s="1"/>
  <c r="CI375" i="15"/>
  <c r="CJ375" i="15" s="1"/>
  <c r="CM375" i="15"/>
  <c r="CN375" i="15" s="1"/>
  <c r="CK479" i="15"/>
  <c r="CL479" i="15" s="1"/>
  <c r="CM479" i="15"/>
  <c r="CN479" i="15" s="1"/>
  <c r="CO479" i="15"/>
  <c r="CP479" i="15" s="1"/>
  <c r="CI479" i="15"/>
  <c r="CJ479" i="15" s="1"/>
  <c r="CK317" i="15"/>
  <c r="CL317" i="15" s="1"/>
  <c r="CO317" i="15"/>
  <c r="CP317" i="15" s="1"/>
  <c r="CI317" i="15"/>
  <c r="CJ317" i="15" s="1"/>
  <c r="CM317" i="15"/>
  <c r="CN317" i="15" s="1"/>
  <c r="CO813" i="15"/>
  <c r="CP813" i="15" s="1"/>
  <c r="CI813" i="15"/>
  <c r="CJ813" i="15" s="1"/>
  <c r="CK813" i="15"/>
  <c r="CL813" i="15" s="1"/>
  <c r="CM813" i="15"/>
  <c r="CN813" i="15" s="1"/>
  <c r="CK365" i="15"/>
  <c r="CL365" i="15" s="1"/>
  <c r="CO365" i="15"/>
  <c r="CP365" i="15" s="1"/>
  <c r="CM365" i="15"/>
  <c r="CN365" i="15" s="1"/>
  <c r="CI365" i="15"/>
  <c r="CJ365" i="15" s="1"/>
  <c r="CM172" i="15"/>
  <c r="CN172" i="15" s="1"/>
  <c r="CO172" i="15"/>
  <c r="CP172" i="15" s="1"/>
  <c r="CI172" i="15"/>
  <c r="CJ172" i="15" s="1"/>
  <c r="CK172" i="15"/>
  <c r="CL172" i="15" s="1"/>
  <c r="CK55" i="15"/>
  <c r="CL55" i="15" s="1"/>
  <c r="CM55" i="15"/>
  <c r="CN55" i="15" s="1"/>
  <c r="CO55" i="15"/>
  <c r="CP55" i="15" s="1"/>
  <c r="CI55" i="15"/>
  <c r="CJ55" i="15" s="1"/>
  <c r="CO10" i="15"/>
  <c r="CP10" i="15" s="1"/>
  <c r="CM10" i="15"/>
  <c r="CN10" i="15" s="1"/>
  <c r="CI10" i="15"/>
  <c r="CJ10" i="15" s="1"/>
  <c r="CK10" i="15"/>
  <c r="CL10" i="15" s="1"/>
  <c r="CK53" i="15"/>
  <c r="CL53" i="15" s="1"/>
  <c r="CM53" i="15"/>
  <c r="CN53" i="15" s="1"/>
  <c r="CO53" i="15"/>
  <c r="CP53" i="15" s="1"/>
  <c r="CI53" i="15"/>
  <c r="CJ53" i="15" s="1"/>
  <c r="CK261" i="15"/>
  <c r="CL261" i="15" s="1"/>
  <c r="CM261" i="15"/>
  <c r="CN261" i="15" s="1"/>
  <c r="CO261" i="15"/>
  <c r="CP261" i="15" s="1"/>
  <c r="CI261" i="15"/>
  <c r="CJ261" i="15" s="1"/>
  <c r="CM192" i="15"/>
  <c r="CN192" i="15" s="1"/>
  <c r="CO192" i="15"/>
  <c r="CP192" i="15" s="1"/>
  <c r="CI192" i="15"/>
  <c r="CJ192" i="15" s="1"/>
  <c r="CK192" i="15"/>
  <c r="CL192" i="15" s="1"/>
  <c r="CK276" i="15"/>
  <c r="CL276" i="15" s="1"/>
  <c r="CO276" i="15"/>
  <c r="CP276" i="15" s="1"/>
  <c r="CM276" i="15"/>
  <c r="CN276" i="15" s="1"/>
  <c r="CI276" i="15"/>
  <c r="CJ276" i="15" s="1"/>
  <c r="CM222" i="15"/>
  <c r="CN222" i="15" s="1"/>
  <c r="CO222" i="15"/>
  <c r="CP222" i="15" s="1"/>
  <c r="CI222" i="15"/>
  <c r="CJ222" i="15" s="1"/>
  <c r="CK222" i="15"/>
  <c r="CL222" i="15" s="1"/>
  <c r="CM151" i="15"/>
  <c r="CN151" i="15" s="1"/>
  <c r="CO151" i="15"/>
  <c r="CP151" i="15" s="1"/>
  <c r="CI151" i="15"/>
  <c r="CJ151" i="15" s="1"/>
  <c r="CK151" i="15"/>
  <c r="CL151" i="15" s="1"/>
  <c r="CM272" i="15"/>
  <c r="CN272" i="15" s="1"/>
  <c r="CI272" i="15"/>
  <c r="CJ272" i="15" s="1"/>
  <c r="CO272" i="15"/>
  <c r="CP272" i="15" s="1"/>
  <c r="CK272" i="15"/>
  <c r="CL272" i="15" s="1"/>
  <c r="CM206" i="15"/>
  <c r="CN206" i="15" s="1"/>
  <c r="CO206" i="15"/>
  <c r="CP206" i="15" s="1"/>
  <c r="CI206" i="15"/>
  <c r="CJ206" i="15" s="1"/>
  <c r="CK206" i="15"/>
  <c r="CL206" i="15" s="1"/>
  <c r="CK68" i="15"/>
  <c r="CL68" i="15" s="1"/>
  <c r="CM68" i="15"/>
  <c r="CN68" i="15" s="1"/>
  <c r="CO68" i="15"/>
  <c r="CP68" i="15" s="1"/>
  <c r="CI68" i="15"/>
  <c r="CJ68" i="15" s="1"/>
  <c r="CI637" i="15"/>
  <c r="CJ637" i="15" s="1"/>
  <c r="CK637" i="15"/>
  <c r="CL637" i="15" s="1"/>
  <c r="CM637" i="15"/>
  <c r="CN637" i="15" s="1"/>
  <c r="CO637" i="15"/>
  <c r="CP637" i="15" s="1"/>
  <c r="CO800" i="15"/>
  <c r="CP800" i="15" s="1"/>
  <c r="CI800" i="15"/>
  <c r="CJ800" i="15" s="1"/>
  <c r="CM800" i="15"/>
  <c r="CN800" i="15" s="1"/>
  <c r="CK800" i="15"/>
  <c r="CL800" i="15" s="1"/>
  <c r="CO702" i="15"/>
  <c r="CP702" i="15" s="1"/>
  <c r="CI702" i="15"/>
  <c r="CJ702" i="15" s="1"/>
  <c r="CM702" i="15"/>
  <c r="CN702" i="15" s="1"/>
  <c r="CK702" i="15"/>
  <c r="CL702" i="15" s="1"/>
  <c r="CK512" i="15"/>
  <c r="CL512" i="15" s="1"/>
  <c r="CM512" i="15"/>
  <c r="CN512" i="15" s="1"/>
  <c r="CO512" i="15"/>
  <c r="CP512" i="15" s="1"/>
  <c r="CI512" i="15"/>
  <c r="CJ512" i="15" s="1"/>
  <c r="CI590" i="15"/>
  <c r="CJ590" i="15" s="1"/>
  <c r="CK590" i="15"/>
  <c r="CL590" i="15" s="1"/>
  <c r="CM590" i="15"/>
  <c r="CN590" i="15" s="1"/>
  <c r="CO590" i="15"/>
  <c r="CP590" i="15" s="1"/>
  <c r="CK395" i="15"/>
  <c r="CL395" i="15" s="1"/>
  <c r="CO395" i="15"/>
  <c r="CP395" i="15" s="1"/>
  <c r="CI395" i="15"/>
  <c r="CJ395" i="15" s="1"/>
  <c r="CM395" i="15"/>
  <c r="CN395" i="15" s="1"/>
  <c r="CK561" i="15"/>
  <c r="CL561" i="15" s="1"/>
  <c r="CM561" i="15"/>
  <c r="CN561" i="15" s="1"/>
  <c r="CO561" i="15"/>
  <c r="CP561" i="15" s="1"/>
  <c r="CI561" i="15"/>
  <c r="CJ561" i="15" s="1"/>
  <c r="CO808" i="15"/>
  <c r="CP808" i="15" s="1"/>
  <c r="CI808" i="15"/>
  <c r="CJ808" i="15" s="1"/>
  <c r="CM808" i="15"/>
  <c r="CN808" i="15" s="1"/>
  <c r="CK808" i="15"/>
  <c r="CL808" i="15" s="1"/>
  <c r="CO855" i="15"/>
  <c r="CP855" i="15" s="1"/>
  <c r="CI855" i="15"/>
  <c r="CJ855" i="15" s="1"/>
  <c r="CM855" i="15"/>
  <c r="CN855" i="15" s="1"/>
  <c r="CK855" i="15"/>
  <c r="CL855" i="15" s="1"/>
  <c r="CI831" i="15"/>
  <c r="CJ831" i="15" s="1"/>
  <c r="CK831" i="15"/>
  <c r="CL831" i="15" s="1"/>
  <c r="CM831" i="15"/>
  <c r="CN831" i="15" s="1"/>
  <c r="CO831" i="15"/>
  <c r="CP831" i="15" s="1"/>
  <c r="BU692" i="15"/>
  <c r="BV692" i="15" s="1"/>
  <c r="CO692" i="15"/>
  <c r="CP692" i="15" s="1"/>
  <c r="CI692" i="15"/>
  <c r="CJ692" i="15" s="1"/>
  <c r="CM692" i="15"/>
  <c r="CN692" i="15" s="1"/>
  <c r="CK692" i="15"/>
  <c r="CL692" i="15" s="1"/>
  <c r="CK297" i="15"/>
  <c r="CL297" i="15" s="1"/>
  <c r="CO297" i="15"/>
  <c r="CP297" i="15" s="1"/>
  <c r="CI297" i="15"/>
  <c r="CJ297" i="15" s="1"/>
  <c r="CM297" i="15"/>
  <c r="CN297" i="15" s="1"/>
  <c r="CK274" i="15"/>
  <c r="CL274" i="15" s="1"/>
  <c r="CO274" i="15"/>
  <c r="CP274" i="15" s="1"/>
  <c r="CI274" i="15"/>
  <c r="CJ274" i="15" s="1"/>
  <c r="CM274" i="15"/>
  <c r="CN274" i="15" s="1"/>
  <c r="CK461" i="15"/>
  <c r="CL461" i="15" s="1"/>
  <c r="CM461" i="15"/>
  <c r="CN461" i="15" s="1"/>
  <c r="CO461" i="15"/>
  <c r="CP461" i="15" s="1"/>
  <c r="CI461" i="15"/>
  <c r="CJ461" i="15" s="1"/>
  <c r="CK368" i="15"/>
  <c r="CL368" i="15" s="1"/>
  <c r="CO368" i="15"/>
  <c r="CP368" i="15" s="1"/>
  <c r="CI368" i="15"/>
  <c r="CJ368" i="15" s="1"/>
  <c r="CM368" i="15"/>
  <c r="CN368" i="15" s="1"/>
  <c r="CK348" i="15"/>
  <c r="CL348" i="15" s="1"/>
  <c r="CO348" i="15"/>
  <c r="CP348" i="15" s="1"/>
  <c r="CI348" i="15"/>
  <c r="CJ348" i="15" s="1"/>
  <c r="CM348" i="15"/>
  <c r="CN348" i="15" s="1"/>
  <c r="CM326" i="15"/>
  <c r="CN326" i="15" s="1"/>
  <c r="CI326" i="15"/>
  <c r="CJ326" i="15" s="1"/>
  <c r="CO326" i="15"/>
  <c r="CP326" i="15" s="1"/>
  <c r="CK326" i="15"/>
  <c r="CL326" i="15" s="1"/>
  <c r="CK73" i="15"/>
  <c r="CL73" i="15" s="1"/>
  <c r="CM73" i="15"/>
  <c r="CN73" i="15" s="1"/>
  <c r="CO73" i="15"/>
  <c r="CP73" i="15" s="1"/>
  <c r="CI73" i="15"/>
  <c r="CJ73" i="15" s="1"/>
  <c r="CB371" i="15"/>
  <c r="CB251" i="15"/>
  <c r="CB776" i="15"/>
  <c r="CB754" i="15"/>
  <c r="CB529" i="15"/>
  <c r="CB491" i="15"/>
  <c r="CB232" i="15"/>
  <c r="CI840" i="15"/>
  <c r="CJ840" i="15" s="1"/>
  <c r="CK840" i="15"/>
  <c r="CL840" i="15" s="1"/>
  <c r="CM840" i="15"/>
  <c r="CN840" i="15" s="1"/>
  <c r="CO840" i="15"/>
  <c r="CP840" i="15" s="1"/>
  <c r="CO792" i="15"/>
  <c r="CP792" i="15" s="1"/>
  <c r="CI792" i="15"/>
  <c r="CJ792" i="15" s="1"/>
  <c r="CM792" i="15"/>
  <c r="CN792" i="15" s="1"/>
  <c r="CK792" i="15"/>
  <c r="CL792" i="15" s="1"/>
  <c r="CI680" i="15"/>
  <c r="CJ680" i="15" s="1"/>
  <c r="CK680" i="15"/>
  <c r="CL680" i="15" s="1"/>
  <c r="CM680" i="15"/>
  <c r="CN680" i="15" s="1"/>
  <c r="CO680" i="15"/>
  <c r="CP680" i="15" s="1"/>
  <c r="CO725" i="15"/>
  <c r="CP725" i="15" s="1"/>
  <c r="CI725" i="15"/>
  <c r="CJ725" i="15" s="1"/>
  <c r="CK725" i="15"/>
  <c r="CL725" i="15" s="1"/>
  <c r="CM725" i="15"/>
  <c r="CN725" i="15" s="1"/>
  <c r="CO729" i="15"/>
  <c r="CP729" i="15" s="1"/>
  <c r="CI729" i="15"/>
  <c r="CJ729" i="15" s="1"/>
  <c r="CK729" i="15"/>
  <c r="CL729" i="15" s="1"/>
  <c r="CM729" i="15"/>
  <c r="CN729" i="15" s="1"/>
  <c r="CO709" i="15"/>
  <c r="CP709" i="15" s="1"/>
  <c r="CI709" i="15"/>
  <c r="CJ709" i="15" s="1"/>
  <c r="CK709" i="15"/>
  <c r="CL709" i="15" s="1"/>
  <c r="CM709" i="15"/>
  <c r="CN709" i="15" s="1"/>
  <c r="CI591" i="15"/>
  <c r="CJ591" i="15" s="1"/>
  <c r="CK591" i="15"/>
  <c r="CL591" i="15" s="1"/>
  <c r="CM591" i="15"/>
  <c r="CN591" i="15" s="1"/>
  <c r="CO591" i="15"/>
  <c r="CP591" i="15" s="1"/>
  <c r="CI622" i="15"/>
  <c r="CJ622" i="15" s="1"/>
  <c r="CO622" i="15"/>
  <c r="CP622" i="15" s="1"/>
  <c r="CM622" i="15"/>
  <c r="CN622" i="15" s="1"/>
  <c r="CK622" i="15"/>
  <c r="CL622" i="15" s="1"/>
  <c r="CK476" i="15"/>
  <c r="CL476" i="15" s="1"/>
  <c r="CM476" i="15"/>
  <c r="CN476" i="15" s="1"/>
  <c r="CO476" i="15"/>
  <c r="CP476" i="15" s="1"/>
  <c r="CI476" i="15"/>
  <c r="CJ476" i="15" s="1"/>
  <c r="CK399" i="15"/>
  <c r="CL399" i="15" s="1"/>
  <c r="CO399" i="15"/>
  <c r="CP399" i="15" s="1"/>
  <c r="CI399" i="15"/>
  <c r="CJ399" i="15" s="1"/>
  <c r="CM399" i="15"/>
  <c r="CN399" i="15" s="1"/>
  <c r="CI597" i="15"/>
  <c r="CJ597" i="15" s="1"/>
  <c r="CM597" i="15"/>
  <c r="CN597" i="15" s="1"/>
  <c r="CK597" i="15"/>
  <c r="CL597" i="15" s="1"/>
  <c r="CO597" i="15"/>
  <c r="CP597" i="15" s="1"/>
  <c r="CI639" i="15"/>
  <c r="CJ639" i="15" s="1"/>
  <c r="CK639" i="15"/>
  <c r="CL639" i="15" s="1"/>
  <c r="CM639" i="15"/>
  <c r="CN639" i="15" s="1"/>
  <c r="CO639" i="15"/>
  <c r="CP639" i="15" s="1"/>
  <c r="CK437" i="15"/>
  <c r="CL437" i="15" s="1"/>
  <c r="CM437" i="15"/>
  <c r="CN437" i="15" s="1"/>
  <c r="CO437" i="15"/>
  <c r="CP437" i="15" s="1"/>
  <c r="CI437" i="15"/>
  <c r="CJ437" i="15" s="1"/>
  <c r="CK323" i="15"/>
  <c r="CL323" i="15" s="1"/>
  <c r="CO323" i="15"/>
  <c r="CP323" i="15" s="1"/>
  <c r="CI323" i="15"/>
  <c r="CJ323" i="15" s="1"/>
  <c r="CM323" i="15"/>
  <c r="CN323" i="15" s="1"/>
  <c r="CK398" i="15"/>
  <c r="CL398" i="15" s="1"/>
  <c r="CO398" i="15"/>
  <c r="CP398" i="15" s="1"/>
  <c r="CI398" i="15"/>
  <c r="CJ398" i="15" s="1"/>
  <c r="CM398" i="15"/>
  <c r="CN398" i="15" s="1"/>
  <c r="CM530" i="15"/>
  <c r="CN530" i="15" s="1"/>
  <c r="CK530" i="15"/>
  <c r="CL530" i="15" s="1"/>
  <c r="CI530" i="15"/>
  <c r="CJ530" i="15" s="1"/>
  <c r="CO530" i="15"/>
  <c r="CP530" i="15" s="1"/>
  <c r="CI663" i="15"/>
  <c r="CJ663" i="15" s="1"/>
  <c r="CK663" i="15"/>
  <c r="CL663" i="15" s="1"/>
  <c r="CM663" i="15"/>
  <c r="CN663" i="15" s="1"/>
  <c r="CO663" i="15"/>
  <c r="CP663" i="15" s="1"/>
  <c r="CK481" i="15"/>
  <c r="CL481" i="15" s="1"/>
  <c r="CM481" i="15"/>
  <c r="CN481" i="15" s="1"/>
  <c r="CO481" i="15"/>
  <c r="CP481" i="15" s="1"/>
  <c r="CI481" i="15"/>
  <c r="CJ481" i="15" s="1"/>
  <c r="CK405" i="15"/>
  <c r="CL405" i="15" s="1"/>
  <c r="CO405" i="15"/>
  <c r="CP405" i="15" s="1"/>
  <c r="CI405" i="15"/>
  <c r="CJ405" i="15" s="1"/>
  <c r="CM405" i="15"/>
  <c r="CN405" i="15" s="1"/>
  <c r="CM223" i="15"/>
  <c r="CN223" i="15" s="1"/>
  <c r="CO223" i="15"/>
  <c r="CP223" i="15" s="1"/>
  <c r="CI223" i="15"/>
  <c r="CJ223" i="15" s="1"/>
  <c r="CK223" i="15"/>
  <c r="CL223" i="15" s="1"/>
  <c r="CK458" i="15"/>
  <c r="CL458" i="15" s="1"/>
  <c r="CM458" i="15"/>
  <c r="CN458" i="15" s="1"/>
  <c r="CO458" i="15"/>
  <c r="CP458" i="15" s="1"/>
  <c r="CI458" i="15"/>
  <c r="CJ458" i="15" s="1"/>
  <c r="CK333" i="15"/>
  <c r="CL333" i="15" s="1"/>
  <c r="CO333" i="15"/>
  <c r="CP333" i="15" s="1"/>
  <c r="CI333" i="15"/>
  <c r="CJ333" i="15" s="1"/>
  <c r="CM333" i="15"/>
  <c r="CN333" i="15" s="1"/>
  <c r="CM188" i="15"/>
  <c r="CN188" i="15" s="1"/>
  <c r="CO188" i="15"/>
  <c r="CP188" i="15" s="1"/>
  <c r="CI188" i="15"/>
  <c r="CJ188" i="15" s="1"/>
  <c r="CK188" i="15"/>
  <c r="CL188" i="15" s="1"/>
  <c r="CK89" i="15"/>
  <c r="CL89" i="15" s="1"/>
  <c r="CM89" i="15"/>
  <c r="CN89" i="15" s="1"/>
  <c r="CO89" i="15"/>
  <c r="CP89" i="15" s="1"/>
  <c r="CI89" i="15"/>
  <c r="CJ89" i="15" s="1"/>
  <c r="CK52" i="15"/>
  <c r="CL52" i="15" s="1"/>
  <c r="CM52" i="15"/>
  <c r="CN52" i="15" s="1"/>
  <c r="CO52" i="15"/>
  <c r="CP52" i="15" s="1"/>
  <c r="CI52" i="15"/>
  <c r="CJ52" i="15" s="1"/>
  <c r="CK87" i="15"/>
  <c r="CL87" i="15" s="1"/>
  <c r="CM87" i="15"/>
  <c r="CN87" i="15" s="1"/>
  <c r="CO87" i="15"/>
  <c r="CP87" i="15" s="1"/>
  <c r="CI87" i="15"/>
  <c r="CJ87" i="15" s="1"/>
  <c r="CK351" i="15"/>
  <c r="CL351" i="15" s="1"/>
  <c r="CO351" i="15"/>
  <c r="CP351" i="15" s="1"/>
  <c r="CM351" i="15"/>
  <c r="CN351" i="15" s="1"/>
  <c r="CI351" i="15"/>
  <c r="CJ351" i="15" s="1"/>
  <c r="CM249" i="15"/>
  <c r="CN249" i="15" s="1"/>
  <c r="CO249" i="15"/>
  <c r="CP249" i="15" s="1"/>
  <c r="CI249" i="15"/>
  <c r="CJ249" i="15" s="1"/>
  <c r="CK249" i="15"/>
  <c r="CL249" i="15" s="1"/>
  <c r="CM152" i="15"/>
  <c r="CN152" i="15" s="1"/>
  <c r="CO152" i="15"/>
  <c r="CP152" i="15" s="1"/>
  <c r="CI152" i="15"/>
  <c r="CJ152" i="15" s="1"/>
  <c r="CK152" i="15"/>
  <c r="CL152" i="15" s="1"/>
  <c r="CK359" i="15"/>
  <c r="CL359" i="15" s="1"/>
  <c r="CO359" i="15"/>
  <c r="CP359" i="15" s="1"/>
  <c r="CM359" i="15"/>
  <c r="CN359" i="15" s="1"/>
  <c r="CI359" i="15"/>
  <c r="CJ359" i="15" s="1"/>
  <c r="CK254" i="15"/>
  <c r="CL254" i="15" s="1"/>
  <c r="CO254" i="15"/>
  <c r="CP254" i="15" s="1"/>
  <c r="CI254" i="15"/>
  <c r="CJ254" i="15" s="1"/>
  <c r="CM254" i="15"/>
  <c r="CN254" i="15" s="1"/>
  <c r="CM207" i="15"/>
  <c r="CN207" i="15" s="1"/>
  <c r="CO207" i="15"/>
  <c r="CP207" i="15" s="1"/>
  <c r="CI207" i="15"/>
  <c r="CJ207" i="15" s="1"/>
  <c r="CK207" i="15"/>
  <c r="CL207" i="15" s="1"/>
  <c r="CO128" i="15"/>
  <c r="CP128" i="15" s="1"/>
  <c r="CI128" i="15"/>
  <c r="CJ128" i="15" s="1"/>
  <c r="CK128" i="15"/>
  <c r="CL128" i="15" s="1"/>
  <c r="CM128" i="15"/>
  <c r="CN128" i="15" s="1"/>
  <c r="CK339" i="15"/>
  <c r="CL339" i="15" s="1"/>
  <c r="CO339" i="15"/>
  <c r="CP339" i="15" s="1"/>
  <c r="CI339" i="15"/>
  <c r="CJ339" i="15" s="1"/>
  <c r="CM339" i="15"/>
  <c r="CN339" i="15" s="1"/>
  <c r="CM241" i="15"/>
  <c r="CN241" i="15" s="1"/>
  <c r="CO241" i="15"/>
  <c r="CP241" i="15" s="1"/>
  <c r="CI241" i="15"/>
  <c r="CJ241" i="15" s="1"/>
  <c r="CK241" i="15"/>
  <c r="CL241" i="15" s="1"/>
  <c r="CK93" i="15"/>
  <c r="CL93" i="15" s="1"/>
  <c r="CM93" i="15"/>
  <c r="CN93" i="15" s="1"/>
  <c r="CO93" i="15"/>
  <c r="CP93" i="15" s="1"/>
  <c r="CI93" i="15"/>
  <c r="CJ93" i="15" s="1"/>
  <c r="CK70" i="15"/>
  <c r="CL70" i="15" s="1"/>
  <c r="CM70" i="15"/>
  <c r="CN70" i="15" s="1"/>
  <c r="CO70" i="15"/>
  <c r="CP70" i="15" s="1"/>
  <c r="CI70" i="15"/>
  <c r="CJ70" i="15" s="1"/>
  <c r="CK554" i="15"/>
  <c r="CL554" i="15" s="1"/>
  <c r="CM554" i="15"/>
  <c r="CN554" i="15" s="1"/>
  <c r="CO554" i="15"/>
  <c r="CP554" i="15" s="1"/>
  <c r="CI554" i="15"/>
  <c r="CJ554" i="15" s="1"/>
  <c r="CK559" i="15"/>
  <c r="CL559" i="15" s="1"/>
  <c r="CM559" i="15"/>
  <c r="CN559" i="15" s="1"/>
  <c r="CO559" i="15"/>
  <c r="CP559" i="15" s="1"/>
  <c r="CI559" i="15"/>
  <c r="CJ559" i="15" s="1"/>
  <c r="CM549" i="15"/>
  <c r="CN549" i="15" s="1"/>
  <c r="CK549" i="15"/>
  <c r="CL549" i="15" s="1"/>
  <c r="CI549" i="15"/>
  <c r="CJ549" i="15" s="1"/>
  <c r="CO549" i="15"/>
  <c r="CP549" i="15" s="1"/>
  <c r="CO847" i="15"/>
  <c r="CP847" i="15" s="1"/>
  <c r="CI847" i="15"/>
  <c r="CJ847" i="15" s="1"/>
  <c r="CM847" i="15"/>
  <c r="CN847" i="15" s="1"/>
  <c r="CK847" i="15"/>
  <c r="CL847" i="15" s="1"/>
  <c r="CO708" i="15"/>
  <c r="CP708" i="15" s="1"/>
  <c r="CI708" i="15"/>
  <c r="CJ708" i="15" s="1"/>
  <c r="CM708" i="15"/>
  <c r="CN708" i="15" s="1"/>
  <c r="CK708" i="15"/>
  <c r="CL708" i="15" s="1"/>
  <c r="CK279" i="15"/>
  <c r="CL279" i="15" s="1"/>
  <c r="CO279" i="15"/>
  <c r="CP279" i="15" s="1"/>
  <c r="CI279" i="15"/>
  <c r="CJ279" i="15" s="1"/>
  <c r="CM279" i="15"/>
  <c r="CN279" i="15" s="1"/>
  <c r="CK354" i="15"/>
  <c r="CL354" i="15" s="1"/>
  <c r="CO354" i="15"/>
  <c r="CP354" i="15" s="1"/>
  <c r="CI354" i="15"/>
  <c r="CJ354" i="15" s="1"/>
  <c r="CM354" i="15"/>
  <c r="CN354" i="15" s="1"/>
  <c r="CK336" i="15"/>
  <c r="CL336" i="15" s="1"/>
  <c r="CO336" i="15"/>
  <c r="CP336" i="15" s="1"/>
  <c r="CI336" i="15"/>
  <c r="CJ336" i="15" s="1"/>
  <c r="CM336" i="15"/>
  <c r="CN336" i="15" s="1"/>
  <c r="CB455" i="15"/>
  <c r="CO860" i="15"/>
  <c r="CP860" i="15" s="1"/>
  <c r="CI860" i="15"/>
  <c r="CJ860" i="15" s="1"/>
  <c r="CK860" i="15"/>
  <c r="CL860" i="15" s="1"/>
  <c r="CM860" i="15"/>
  <c r="CN860" i="15" s="1"/>
  <c r="CO823" i="15"/>
  <c r="CP823" i="15" s="1"/>
  <c r="CI823" i="15"/>
  <c r="CJ823" i="15" s="1"/>
  <c r="CK823" i="15"/>
  <c r="CL823" i="15" s="1"/>
  <c r="CM823" i="15"/>
  <c r="CN823" i="15" s="1"/>
  <c r="CO799" i="15"/>
  <c r="CP799" i="15" s="1"/>
  <c r="CI799" i="15"/>
  <c r="CJ799" i="15" s="1"/>
  <c r="CK799" i="15"/>
  <c r="CL799" i="15" s="1"/>
  <c r="CM799" i="15"/>
  <c r="CN799" i="15" s="1"/>
  <c r="CI830" i="15"/>
  <c r="CJ830" i="15" s="1"/>
  <c r="CK830" i="15"/>
  <c r="CL830" i="15" s="1"/>
  <c r="CM830" i="15"/>
  <c r="CN830" i="15" s="1"/>
  <c r="CO830" i="15"/>
  <c r="CP830" i="15" s="1"/>
  <c r="CO853" i="15"/>
  <c r="CP853" i="15" s="1"/>
  <c r="CI853" i="15"/>
  <c r="CJ853" i="15" s="1"/>
  <c r="CM853" i="15"/>
  <c r="CN853" i="15" s="1"/>
  <c r="CK853" i="15"/>
  <c r="CL853" i="15" s="1"/>
  <c r="CO824" i="15"/>
  <c r="CP824" i="15" s="1"/>
  <c r="CI824" i="15"/>
  <c r="CJ824" i="15" s="1"/>
  <c r="CM824" i="15"/>
  <c r="CN824" i="15" s="1"/>
  <c r="CK824" i="15"/>
  <c r="CL824" i="15" s="1"/>
  <c r="CO791" i="15"/>
  <c r="CP791" i="15" s="1"/>
  <c r="CI791" i="15"/>
  <c r="CJ791" i="15" s="1"/>
  <c r="CK791" i="15"/>
  <c r="CL791" i="15" s="1"/>
  <c r="CM791" i="15"/>
  <c r="CN791" i="15" s="1"/>
  <c r="CO748" i="15"/>
  <c r="CP748" i="15" s="1"/>
  <c r="CI748" i="15"/>
  <c r="CJ748" i="15" s="1"/>
  <c r="CM748" i="15"/>
  <c r="CN748" i="15" s="1"/>
  <c r="CK748" i="15"/>
  <c r="CL748" i="15" s="1"/>
  <c r="CO825" i="15"/>
  <c r="CP825" i="15" s="1"/>
  <c r="CI825" i="15"/>
  <c r="CJ825" i="15" s="1"/>
  <c r="CK825" i="15"/>
  <c r="CL825" i="15" s="1"/>
  <c r="CM825" i="15"/>
  <c r="CN825" i="15" s="1"/>
  <c r="CI797" i="15"/>
  <c r="CJ797" i="15" s="1"/>
  <c r="CO797" i="15"/>
  <c r="CP797" i="15" s="1"/>
  <c r="CM797" i="15"/>
  <c r="CN797" i="15" s="1"/>
  <c r="CK797" i="15"/>
  <c r="CL797" i="15" s="1"/>
  <c r="CI845" i="15"/>
  <c r="CJ845" i="15" s="1"/>
  <c r="CK845" i="15"/>
  <c r="CL845" i="15" s="1"/>
  <c r="CM845" i="15"/>
  <c r="CN845" i="15" s="1"/>
  <c r="CO845" i="15"/>
  <c r="CP845" i="15" s="1"/>
  <c r="CO811" i="15"/>
  <c r="CP811" i="15" s="1"/>
  <c r="CI811" i="15"/>
  <c r="CJ811" i="15" s="1"/>
  <c r="CK811" i="15"/>
  <c r="CL811" i="15" s="1"/>
  <c r="CM811" i="15"/>
  <c r="CN811" i="15" s="1"/>
  <c r="CO790" i="15"/>
  <c r="CP790" i="15" s="1"/>
  <c r="CI790" i="15"/>
  <c r="CJ790" i="15" s="1"/>
  <c r="CM790" i="15"/>
  <c r="CN790" i="15" s="1"/>
  <c r="CK790" i="15"/>
  <c r="CL790" i="15" s="1"/>
  <c r="CO766" i="15"/>
  <c r="CP766" i="15" s="1"/>
  <c r="CI766" i="15"/>
  <c r="CJ766" i="15" s="1"/>
  <c r="CM766" i="15"/>
  <c r="CN766" i="15" s="1"/>
  <c r="CK766" i="15"/>
  <c r="CL766" i="15" s="1"/>
  <c r="CO723" i="15"/>
  <c r="CP723" i="15" s="1"/>
  <c r="CI723" i="15"/>
  <c r="CJ723" i="15" s="1"/>
  <c r="CK723" i="15"/>
  <c r="CL723" i="15" s="1"/>
  <c r="CM723" i="15"/>
  <c r="CN723" i="15" s="1"/>
  <c r="CI683" i="15"/>
  <c r="CJ683" i="15" s="1"/>
  <c r="CK683" i="15"/>
  <c r="CL683" i="15" s="1"/>
  <c r="CM683" i="15"/>
  <c r="CN683" i="15" s="1"/>
  <c r="CO683" i="15"/>
  <c r="CP683" i="15" s="1"/>
  <c r="CI679" i="15"/>
  <c r="CJ679" i="15" s="1"/>
  <c r="CK679" i="15"/>
  <c r="CL679" i="15" s="1"/>
  <c r="CM679" i="15"/>
  <c r="CN679" i="15" s="1"/>
  <c r="CO679" i="15"/>
  <c r="CP679" i="15" s="1"/>
  <c r="CI675" i="15"/>
  <c r="CJ675" i="15" s="1"/>
  <c r="CK675" i="15"/>
  <c r="CL675" i="15" s="1"/>
  <c r="CM675" i="15"/>
  <c r="CN675" i="15" s="1"/>
  <c r="CO675" i="15"/>
  <c r="CP675" i="15" s="1"/>
  <c r="CO671" i="15"/>
  <c r="CP671" i="15" s="1"/>
  <c r="CI671" i="15"/>
  <c r="CJ671" i="15" s="1"/>
  <c r="CM671" i="15"/>
  <c r="CN671" i="15" s="1"/>
  <c r="CK671" i="15"/>
  <c r="CL671" i="15" s="1"/>
  <c r="CO760" i="15"/>
  <c r="CP760" i="15" s="1"/>
  <c r="CI760" i="15"/>
  <c r="CJ760" i="15" s="1"/>
  <c r="CM760" i="15"/>
  <c r="CN760" i="15" s="1"/>
  <c r="CK760" i="15"/>
  <c r="CL760" i="15" s="1"/>
  <c r="CO720" i="15"/>
  <c r="CP720" i="15" s="1"/>
  <c r="CI720" i="15"/>
  <c r="CJ720" i="15" s="1"/>
  <c r="CM720" i="15"/>
  <c r="CN720" i="15" s="1"/>
  <c r="CK720" i="15"/>
  <c r="CL720" i="15" s="1"/>
  <c r="CO772" i="15"/>
  <c r="CP772" i="15" s="1"/>
  <c r="CI772" i="15"/>
  <c r="CJ772" i="15" s="1"/>
  <c r="CM772" i="15"/>
  <c r="CN772" i="15" s="1"/>
  <c r="CK772" i="15"/>
  <c r="CL772" i="15" s="1"/>
  <c r="CO745" i="15"/>
  <c r="CP745" i="15" s="1"/>
  <c r="CI745" i="15"/>
  <c r="CJ745" i="15" s="1"/>
  <c r="CK745" i="15"/>
  <c r="CL745" i="15" s="1"/>
  <c r="CM745" i="15"/>
  <c r="CN745" i="15" s="1"/>
  <c r="CI686" i="15"/>
  <c r="CJ686" i="15" s="1"/>
  <c r="CK686" i="15"/>
  <c r="CL686" i="15" s="1"/>
  <c r="CM686" i="15"/>
  <c r="CN686" i="15" s="1"/>
  <c r="CO686" i="15"/>
  <c r="CP686" i="15" s="1"/>
  <c r="CO721" i="15"/>
  <c r="CP721" i="15" s="1"/>
  <c r="CI721" i="15"/>
  <c r="CJ721" i="15" s="1"/>
  <c r="CK721" i="15"/>
  <c r="CL721" i="15" s="1"/>
  <c r="CM721" i="15"/>
  <c r="CN721" i="15" s="1"/>
  <c r="CI664" i="15"/>
  <c r="CJ664" i="15" s="1"/>
  <c r="CK664" i="15"/>
  <c r="CL664" i="15" s="1"/>
  <c r="CM664" i="15"/>
  <c r="CN664" i="15" s="1"/>
  <c r="CO664" i="15"/>
  <c r="CP664" i="15" s="1"/>
  <c r="CI650" i="15"/>
  <c r="CJ650" i="15" s="1"/>
  <c r="CK650" i="15"/>
  <c r="CL650" i="15" s="1"/>
  <c r="CM650" i="15"/>
  <c r="CN650" i="15" s="1"/>
  <c r="CO650" i="15"/>
  <c r="CP650" i="15" s="1"/>
  <c r="CI619" i="15"/>
  <c r="CJ619" i="15" s="1"/>
  <c r="CK619" i="15"/>
  <c r="CL619" i="15" s="1"/>
  <c r="CM619" i="15"/>
  <c r="CN619" i="15" s="1"/>
  <c r="CO619" i="15"/>
  <c r="CP619" i="15" s="1"/>
  <c r="CO701" i="15"/>
  <c r="CP701" i="15" s="1"/>
  <c r="CI701" i="15"/>
  <c r="CJ701" i="15" s="1"/>
  <c r="CK701" i="15"/>
  <c r="CL701" i="15" s="1"/>
  <c r="CM701" i="15"/>
  <c r="CN701" i="15" s="1"/>
  <c r="CI652" i="15"/>
  <c r="CJ652" i="15" s="1"/>
  <c r="CK652" i="15"/>
  <c r="CL652" i="15" s="1"/>
  <c r="CM652" i="15"/>
  <c r="CN652" i="15" s="1"/>
  <c r="CO652" i="15"/>
  <c r="CP652" i="15" s="1"/>
  <c r="CI655" i="15"/>
  <c r="CJ655" i="15" s="1"/>
  <c r="CK655" i="15"/>
  <c r="CL655" i="15" s="1"/>
  <c r="CM655" i="15"/>
  <c r="CN655" i="15" s="1"/>
  <c r="CO655" i="15"/>
  <c r="CP655" i="15" s="1"/>
  <c r="CI601" i="15"/>
  <c r="CJ601" i="15" s="1"/>
  <c r="CK601" i="15"/>
  <c r="CL601" i="15" s="1"/>
  <c r="CM601" i="15"/>
  <c r="CN601" i="15" s="1"/>
  <c r="CO601" i="15"/>
  <c r="CP601" i="15" s="1"/>
  <c r="CI585" i="15"/>
  <c r="CJ585" i="15" s="1"/>
  <c r="CK585" i="15"/>
  <c r="CL585" i="15" s="1"/>
  <c r="CM585" i="15"/>
  <c r="CN585" i="15" s="1"/>
  <c r="CO585" i="15"/>
  <c r="CP585" i="15" s="1"/>
  <c r="CK494" i="15"/>
  <c r="CL494" i="15" s="1"/>
  <c r="CM494" i="15"/>
  <c r="CN494" i="15" s="1"/>
  <c r="CO494" i="15"/>
  <c r="CP494" i="15" s="1"/>
  <c r="CI494" i="15"/>
  <c r="CJ494" i="15" s="1"/>
  <c r="CK393" i="15"/>
  <c r="CL393" i="15" s="1"/>
  <c r="CO393" i="15"/>
  <c r="CP393" i="15" s="1"/>
  <c r="CI393" i="15"/>
  <c r="CJ393" i="15" s="1"/>
  <c r="CM393" i="15"/>
  <c r="CN393" i="15" s="1"/>
  <c r="CI638" i="15"/>
  <c r="CJ638" i="15" s="1"/>
  <c r="CK638" i="15"/>
  <c r="CL638" i="15" s="1"/>
  <c r="CM638" i="15"/>
  <c r="CN638" i="15" s="1"/>
  <c r="CO638" i="15"/>
  <c r="CP638" i="15" s="1"/>
  <c r="CI614" i="15"/>
  <c r="CJ614" i="15" s="1"/>
  <c r="CK614" i="15"/>
  <c r="CL614" i="15" s="1"/>
  <c r="CM614" i="15"/>
  <c r="CN614" i="15" s="1"/>
  <c r="CO614" i="15"/>
  <c r="CP614" i="15" s="1"/>
  <c r="CM515" i="15"/>
  <c r="CN515" i="15" s="1"/>
  <c r="CK515" i="15"/>
  <c r="CL515" i="15" s="1"/>
  <c r="CI515" i="15"/>
  <c r="CJ515" i="15" s="1"/>
  <c r="CO515" i="15"/>
  <c r="CP515" i="15" s="1"/>
  <c r="CK482" i="15"/>
  <c r="CL482" i="15" s="1"/>
  <c r="CM482" i="15"/>
  <c r="CN482" i="15" s="1"/>
  <c r="CO482" i="15"/>
  <c r="CP482" i="15" s="1"/>
  <c r="CI482" i="15"/>
  <c r="CJ482" i="15" s="1"/>
  <c r="CK474" i="15"/>
  <c r="CL474" i="15" s="1"/>
  <c r="CM474" i="15"/>
  <c r="CN474" i="15" s="1"/>
  <c r="CO474" i="15"/>
  <c r="CP474" i="15" s="1"/>
  <c r="CI474" i="15"/>
  <c r="CJ474" i="15" s="1"/>
  <c r="CK428" i="15"/>
  <c r="CL428" i="15" s="1"/>
  <c r="CO428" i="15"/>
  <c r="CP428" i="15" s="1"/>
  <c r="CI428" i="15"/>
  <c r="CJ428" i="15" s="1"/>
  <c r="CM428" i="15"/>
  <c r="CN428" i="15" s="1"/>
  <c r="CK420" i="15"/>
  <c r="CL420" i="15" s="1"/>
  <c r="CO420" i="15"/>
  <c r="CP420" i="15" s="1"/>
  <c r="CI420" i="15"/>
  <c r="CJ420" i="15" s="1"/>
  <c r="CM420" i="15"/>
  <c r="CN420" i="15" s="1"/>
  <c r="CK412" i="15"/>
  <c r="CL412" i="15" s="1"/>
  <c r="CO412" i="15"/>
  <c r="CP412" i="15" s="1"/>
  <c r="CI412" i="15"/>
  <c r="CJ412" i="15" s="1"/>
  <c r="CM412" i="15"/>
  <c r="CN412" i="15" s="1"/>
  <c r="CK391" i="15"/>
  <c r="CL391" i="15" s="1"/>
  <c r="CO391" i="15"/>
  <c r="CP391" i="15" s="1"/>
  <c r="CI391" i="15"/>
  <c r="CJ391" i="15" s="1"/>
  <c r="CM391" i="15"/>
  <c r="CN391" i="15" s="1"/>
  <c r="CO691" i="15"/>
  <c r="CP691" i="15" s="1"/>
  <c r="CI691" i="15"/>
  <c r="CJ691" i="15" s="1"/>
  <c r="CK691" i="15"/>
  <c r="CL691" i="15" s="1"/>
  <c r="CM691" i="15"/>
  <c r="CN691" i="15" s="1"/>
  <c r="CI615" i="15"/>
  <c r="CJ615" i="15" s="1"/>
  <c r="CK615" i="15"/>
  <c r="CL615" i="15" s="1"/>
  <c r="CM615" i="15"/>
  <c r="CN615" i="15" s="1"/>
  <c r="CO615" i="15"/>
  <c r="CP615" i="15" s="1"/>
  <c r="CI595" i="15"/>
  <c r="CJ595" i="15" s="1"/>
  <c r="CM595" i="15"/>
  <c r="CN595" i="15" s="1"/>
  <c r="CK595" i="15"/>
  <c r="CL595" i="15" s="1"/>
  <c r="CO595" i="15"/>
  <c r="CP595" i="15" s="1"/>
  <c r="CM579" i="15"/>
  <c r="CN579" i="15" s="1"/>
  <c r="CK579" i="15"/>
  <c r="CL579" i="15" s="1"/>
  <c r="CI579" i="15"/>
  <c r="CJ579" i="15" s="1"/>
  <c r="CO579" i="15"/>
  <c r="CP579" i="15" s="1"/>
  <c r="CI632" i="15"/>
  <c r="CJ632" i="15" s="1"/>
  <c r="CK632" i="15"/>
  <c r="CL632" i="15" s="1"/>
  <c r="CM632" i="15"/>
  <c r="CN632" i="15" s="1"/>
  <c r="CO632" i="15"/>
  <c r="CP632" i="15" s="1"/>
  <c r="CI617" i="15"/>
  <c r="CJ617" i="15" s="1"/>
  <c r="CK617" i="15"/>
  <c r="CL617" i="15" s="1"/>
  <c r="CM617" i="15"/>
  <c r="CN617" i="15" s="1"/>
  <c r="CO617" i="15"/>
  <c r="CP617" i="15" s="1"/>
  <c r="CK533" i="15"/>
  <c r="CL533" i="15" s="1"/>
  <c r="CM533" i="15"/>
  <c r="CN533" i="15" s="1"/>
  <c r="CO533" i="15"/>
  <c r="CP533" i="15" s="1"/>
  <c r="CI533" i="15"/>
  <c r="CJ533" i="15" s="1"/>
  <c r="CK477" i="15"/>
  <c r="CL477" i="15" s="1"/>
  <c r="CM477" i="15"/>
  <c r="CN477" i="15" s="1"/>
  <c r="CO477" i="15"/>
  <c r="CP477" i="15" s="1"/>
  <c r="CI477" i="15"/>
  <c r="CJ477" i="15" s="1"/>
  <c r="CK425" i="15"/>
  <c r="CL425" i="15" s="1"/>
  <c r="CO425" i="15"/>
  <c r="CP425" i="15" s="1"/>
  <c r="CI425" i="15"/>
  <c r="CJ425" i="15" s="1"/>
  <c r="CM425" i="15"/>
  <c r="CN425" i="15" s="1"/>
  <c r="CK394" i="15"/>
  <c r="CL394" i="15" s="1"/>
  <c r="CO394" i="15"/>
  <c r="CP394" i="15" s="1"/>
  <c r="CI394" i="15"/>
  <c r="CJ394" i="15" s="1"/>
  <c r="CM394" i="15"/>
  <c r="CN394" i="15" s="1"/>
  <c r="CK374" i="15"/>
  <c r="CL374" i="15" s="1"/>
  <c r="CO374" i="15"/>
  <c r="CP374" i="15" s="1"/>
  <c r="CI374" i="15"/>
  <c r="CJ374" i="15" s="1"/>
  <c r="CM374" i="15"/>
  <c r="CN374" i="15" s="1"/>
  <c r="CK319" i="15"/>
  <c r="CL319" i="15" s="1"/>
  <c r="CO319" i="15"/>
  <c r="CP319" i="15" s="1"/>
  <c r="CI319" i="15"/>
  <c r="CJ319" i="15" s="1"/>
  <c r="CM319" i="15"/>
  <c r="CN319" i="15" s="1"/>
  <c r="CK303" i="15"/>
  <c r="CL303" i="15" s="1"/>
  <c r="CO303" i="15"/>
  <c r="CP303" i="15" s="1"/>
  <c r="CI303" i="15"/>
  <c r="CJ303" i="15" s="1"/>
  <c r="CM303" i="15"/>
  <c r="CN303" i="15" s="1"/>
  <c r="CO764" i="15"/>
  <c r="CP764" i="15" s="1"/>
  <c r="CI764" i="15"/>
  <c r="CJ764" i="15" s="1"/>
  <c r="CM764" i="15"/>
  <c r="CN764" i="15" s="1"/>
  <c r="CK764" i="15"/>
  <c r="CL764" i="15" s="1"/>
  <c r="CK451" i="15"/>
  <c r="CL451" i="15" s="1"/>
  <c r="CM451" i="15"/>
  <c r="CN451" i="15" s="1"/>
  <c r="CO451" i="15"/>
  <c r="CP451" i="15" s="1"/>
  <c r="CI451" i="15"/>
  <c r="CJ451" i="15" s="1"/>
  <c r="CK381" i="15"/>
  <c r="CL381" i="15" s="1"/>
  <c r="CO381" i="15"/>
  <c r="CP381" i="15" s="1"/>
  <c r="CI381" i="15"/>
  <c r="CJ381" i="15" s="1"/>
  <c r="CM381" i="15"/>
  <c r="CN381" i="15" s="1"/>
  <c r="CI628" i="15"/>
  <c r="CJ628" i="15" s="1"/>
  <c r="CK628" i="15"/>
  <c r="CL628" i="15" s="1"/>
  <c r="CM628" i="15"/>
  <c r="CN628" i="15" s="1"/>
  <c r="CO628" i="15"/>
  <c r="CP628" i="15" s="1"/>
  <c r="CK538" i="15"/>
  <c r="CL538" i="15" s="1"/>
  <c r="CM538" i="15"/>
  <c r="CN538" i="15" s="1"/>
  <c r="CO538" i="15"/>
  <c r="CP538" i="15" s="1"/>
  <c r="CI538" i="15"/>
  <c r="CJ538" i="15" s="1"/>
  <c r="CK509" i="15"/>
  <c r="CL509" i="15" s="1"/>
  <c r="CM509" i="15"/>
  <c r="CN509" i="15" s="1"/>
  <c r="CO509" i="15"/>
  <c r="CP509" i="15" s="1"/>
  <c r="CI509" i="15"/>
  <c r="CJ509" i="15" s="1"/>
  <c r="CK475" i="15"/>
  <c r="CL475" i="15" s="1"/>
  <c r="CM475" i="15"/>
  <c r="CN475" i="15" s="1"/>
  <c r="CO475" i="15"/>
  <c r="CP475" i="15" s="1"/>
  <c r="CI475" i="15"/>
  <c r="CJ475" i="15" s="1"/>
  <c r="CK448" i="15"/>
  <c r="CL448" i="15" s="1"/>
  <c r="CM448" i="15"/>
  <c r="CN448" i="15" s="1"/>
  <c r="CO448" i="15"/>
  <c r="CP448" i="15" s="1"/>
  <c r="CI448" i="15"/>
  <c r="CJ448" i="15" s="1"/>
  <c r="CK423" i="15"/>
  <c r="CL423" i="15" s="1"/>
  <c r="CO423" i="15"/>
  <c r="CP423" i="15" s="1"/>
  <c r="CI423" i="15"/>
  <c r="CJ423" i="15" s="1"/>
  <c r="CM423" i="15"/>
  <c r="CN423" i="15" s="1"/>
  <c r="CK387" i="15"/>
  <c r="CL387" i="15" s="1"/>
  <c r="CO387" i="15"/>
  <c r="CP387" i="15" s="1"/>
  <c r="CI387" i="15"/>
  <c r="CJ387" i="15" s="1"/>
  <c r="CM387" i="15"/>
  <c r="CN387" i="15" s="1"/>
  <c r="CK320" i="15"/>
  <c r="CL320" i="15" s="1"/>
  <c r="CO320" i="15"/>
  <c r="CP320" i="15" s="1"/>
  <c r="CM320" i="15"/>
  <c r="CN320" i="15" s="1"/>
  <c r="CI320" i="15"/>
  <c r="CJ320" i="15" s="1"/>
  <c r="CK304" i="15"/>
  <c r="CL304" i="15" s="1"/>
  <c r="CO304" i="15"/>
  <c r="CP304" i="15" s="1"/>
  <c r="CM304" i="15"/>
  <c r="CN304" i="15" s="1"/>
  <c r="CI304" i="15"/>
  <c r="CJ304" i="15" s="1"/>
  <c r="CO778" i="15"/>
  <c r="CP778" i="15" s="1"/>
  <c r="CI778" i="15"/>
  <c r="CJ778" i="15" s="1"/>
  <c r="CM778" i="15"/>
  <c r="CN778" i="15" s="1"/>
  <c r="CK778" i="15"/>
  <c r="CL778" i="15" s="1"/>
  <c r="CK518" i="15"/>
  <c r="CL518" i="15" s="1"/>
  <c r="CM518" i="15"/>
  <c r="CN518" i="15" s="1"/>
  <c r="CO518" i="15"/>
  <c r="CP518" i="15" s="1"/>
  <c r="CI518" i="15"/>
  <c r="CJ518" i="15" s="1"/>
  <c r="CK453" i="15"/>
  <c r="CL453" i="15" s="1"/>
  <c r="CM453" i="15"/>
  <c r="CN453" i="15" s="1"/>
  <c r="CO453" i="15"/>
  <c r="CP453" i="15" s="1"/>
  <c r="CI453" i="15"/>
  <c r="CJ453" i="15" s="1"/>
  <c r="CK314" i="15"/>
  <c r="CL314" i="15" s="1"/>
  <c r="CO314" i="15"/>
  <c r="CP314" i="15" s="1"/>
  <c r="CM314" i="15"/>
  <c r="CN314" i="15" s="1"/>
  <c r="CI314" i="15"/>
  <c r="CJ314" i="15" s="1"/>
  <c r="CO705" i="15"/>
  <c r="CP705" i="15" s="1"/>
  <c r="CI705" i="15"/>
  <c r="CJ705" i="15" s="1"/>
  <c r="CK705" i="15"/>
  <c r="CL705" i="15" s="1"/>
  <c r="CM705" i="15"/>
  <c r="CN705" i="15" s="1"/>
  <c r="CI631" i="15"/>
  <c r="CJ631" i="15" s="1"/>
  <c r="CK631" i="15"/>
  <c r="CL631" i="15" s="1"/>
  <c r="CM631" i="15"/>
  <c r="CN631" i="15" s="1"/>
  <c r="CO631" i="15"/>
  <c r="CP631" i="15" s="1"/>
  <c r="CK536" i="15"/>
  <c r="CL536" i="15" s="1"/>
  <c r="CM536" i="15"/>
  <c r="CN536" i="15" s="1"/>
  <c r="CO536" i="15"/>
  <c r="CP536" i="15" s="1"/>
  <c r="CI536" i="15"/>
  <c r="CJ536" i="15" s="1"/>
  <c r="CK503" i="15"/>
  <c r="CL503" i="15" s="1"/>
  <c r="CM503" i="15"/>
  <c r="CN503" i="15" s="1"/>
  <c r="CO503" i="15"/>
  <c r="CP503" i="15" s="1"/>
  <c r="CI503" i="15"/>
  <c r="CJ503" i="15" s="1"/>
  <c r="CM473" i="15"/>
  <c r="CN473" i="15" s="1"/>
  <c r="CK473" i="15"/>
  <c r="CL473" i="15" s="1"/>
  <c r="CI473" i="15"/>
  <c r="CJ473" i="15" s="1"/>
  <c r="CO473" i="15"/>
  <c r="CP473" i="15" s="1"/>
  <c r="CM456" i="15"/>
  <c r="CN456" i="15" s="1"/>
  <c r="CK456" i="15"/>
  <c r="CL456" i="15" s="1"/>
  <c r="CI456" i="15"/>
  <c r="CJ456" i="15" s="1"/>
  <c r="CO456" i="15"/>
  <c r="CP456" i="15" s="1"/>
  <c r="CK435" i="15"/>
  <c r="CL435" i="15" s="1"/>
  <c r="CM435" i="15"/>
  <c r="CN435" i="15" s="1"/>
  <c r="CO435" i="15"/>
  <c r="CP435" i="15" s="1"/>
  <c r="CI435" i="15"/>
  <c r="CJ435" i="15" s="1"/>
  <c r="CK392" i="15"/>
  <c r="CL392" i="15" s="1"/>
  <c r="CO392" i="15"/>
  <c r="CP392" i="15" s="1"/>
  <c r="CI392" i="15"/>
  <c r="CJ392" i="15" s="1"/>
  <c r="CM392" i="15"/>
  <c r="CN392" i="15" s="1"/>
  <c r="CK376" i="15"/>
  <c r="CL376" i="15" s="1"/>
  <c r="CO376" i="15"/>
  <c r="CP376" i="15" s="1"/>
  <c r="CI376" i="15"/>
  <c r="CJ376" i="15" s="1"/>
  <c r="CM376" i="15"/>
  <c r="CN376" i="15" s="1"/>
  <c r="CK313" i="15"/>
  <c r="CL313" i="15" s="1"/>
  <c r="CO313" i="15"/>
  <c r="CP313" i="15" s="1"/>
  <c r="CI313" i="15"/>
  <c r="CJ313" i="15" s="1"/>
  <c r="CM313" i="15"/>
  <c r="CN313" i="15" s="1"/>
  <c r="CM228" i="15"/>
  <c r="CN228" i="15" s="1"/>
  <c r="CO228" i="15"/>
  <c r="CP228" i="15" s="1"/>
  <c r="CI228" i="15"/>
  <c r="CJ228" i="15" s="1"/>
  <c r="CK228" i="15"/>
  <c r="CL228" i="15" s="1"/>
  <c r="CK220" i="15"/>
  <c r="CL220" i="15" s="1"/>
  <c r="CI220" i="15"/>
  <c r="CJ220" i="15" s="1"/>
  <c r="CO220" i="15"/>
  <c r="CP220" i="15" s="1"/>
  <c r="CM220" i="15"/>
  <c r="CN220" i="15" s="1"/>
  <c r="CM158" i="15"/>
  <c r="CN158" i="15" s="1"/>
  <c r="CO158" i="15"/>
  <c r="CP158" i="15" s="1"/>
  <c r="CI158" i="15"/>
  <c r="CJ158" i="15" s="1"/>
  <c r="CK158" i="15"/>
  <c r="CL158" i="15" s="1"/>
  <c r="CO773" i="15"/>
  <c r="CP773" i="15" s="1"/>
  <c r="CI773" i="15"/>
  <c r="CJ773" i="15" s="1"/>
  <c r="CM773" i="15"/>
  <c r="CN773" i="15" s="1"/>
  <c r="CK773" i="15"/>
  <c r="CL773" i="15" s="1"/>
  <c r="CK532" i="15"/>
  <c r="CL532" i="15" s="1"/>
  <c r="CM532" i="15"/>
  <c r="CN532" i="15" s="1"/>
  <c r="CO532" i="15"/>
  <c r="CP532" i="15" s="1"/>
  <c r="CI532" i="15"/>
  <c r="CJ532" i="15" s="1"/>
  <c r="CK449" i="15"/>
  <c r="CL449" i="15" s="1"/>
  <c r="CM449" i="15"/>
  <c r="CN449" i="15" s="1"/>
  <c r="CO449" i="15"/>
  <c r="CP449" i="15" s="1"/>
  <c r="CI449" i="15"/>
  <c r="CJ449" i="15" s="1"/>
  <c r="CK373" i="15"/>
  <c r="CL373" i="15" s="1"/>
  <c r="CO373" i="15"/>
  <c r="CP373" i="15" s="1"/>
  <c r="CI373" i="15"/>
  <c r="CJ373" i="15" s="1"/>
  <c r="CM373" i="15"/>
  <c r="CN373" i="15" s="1"/>
  <c r="CK363" i="15"/>
  <c r="CL363" i="15" s="1"/>
  <c r="CO363" i="15"/>
  <c r="CP363" i="15" s="1"/>
  <c r="CM363" i="15"/>
  <c r="CN363" i="15" s="1"/>
  <c r="CI363" i="15"/>
  <c r="CJ363" i="15" s="1"/>
  <c r="CK331" i="15"/>
  <c r="CL331" i="15" s="1"/>
  <c r="CO331" i="15"/>
  <c r="CP331" i="15" s="1"/>
  <c r="CI331" i="15"/>
  <c r="CJ331" i="15" s="1"/>
  <c r="CM331" i="15"/>
  <c r="CN331" i="15" s="1"/>
  <c r="CK280" i="15"/>
  <c r="CL280" i="15" s="1"/>
  <c r="CO280" i="15"/>
  <c r="CP280" i="15" s="1"/>
  <c r="CM280" i="15"/>
  <c r="CN280" i="15" s="1"/>
  <c r="CI280" i="15"/>
  <c r="CJ280" i="15" s="1"/>
  <c r="CM202" i="15"/>
  <c r="CN202" i="15" s="1"/>
  <c r="CO202" i="15"/>
  <c r="CP202" i="15" s="1"/>
  <c r="CI202" i="15"/>
  <c r="CJ202" i="15" s="1"/>
  <c r="CK202" i="15"/>
  <c r="CL202" i="15" s="1"/>
  <c r="CM185" i="15"/>
  <c r="CN185" i="15" s="1"/>
  <c r="CO185" i="15"/>
  <c r="CP185" i="15" s="1"/>
  <c r="CI185" i="15"/>
  <c r="CJ185" i="15" s="1"/>
  <c r="CK185" i="15"/>
  <c r="CL185" i="15" s="1"/>
  <c r="CK169" i="15"/>
  <c r="CL169" i="15" s="1"/>
  <c r="CI169" i="15"/>
  <c r="CJ169" i="15" s="1"/>
  <c r="CO169" i="15"/>
  <c r="CP169" i="15" s="1"/>
  <c r="CM169" i="15"/>
  <c r="CN169" i="15" s="1"/>
  <c r="CM148" i="15"/>
  <c r="CN148" i="15" s="1"/>
  <c r="CO148" i="15"/>
  <c r="CP148" i="15" s="1"/>
  <c r="CI148" i="15"/>
  <c r="CJ148" i="15" s="1"/>
  <c r="CK148" i="15"/>
  <c r="CL148" i="15" s="1"/>
  <c r="CO131" i="15"/>
  <c r="CP131" i="15" s="1"/>
  <c r="CI131" i="15"/>
  <c r="CJ131" i="15" s="1"/>
  <c r="CK131" i="15"/>
  <c r="CL131" i="15" s="1"/>
  <c r="CM131" i="15"/>
  <c r="CN131" i="15" s="1"/>
  <c r="CK85" i="15"/>
  <c r="CL85" i="15" s="1"/>
  <c r="CM85" i="15"/>
  <c r="CN85" i="15" s="1"/>
  <c r="CO85" i="15"/>
  <c r="CP85" i="15" s="1"/>
  <c r="CI85" i="15"/>
  <c r="CJ85" i="15" s="1"/>
  <c r="CK51" i="15"/>
  <c r="CL51" i="15" s="1"/>
  <c r="CM51" i="15"/>
  <c r="CN51" i="15" s="1"/>
  <c r="CO51" i="15"/>
  <c r="CP51" i="15" s="1"/>
  <c r="CI51" i="15"/>
  <c r="CJ51" i="15" s="1"/>
  <c r="CK21" i="15"/>
  <c r="CL21" i="15" s="1"/>
  <c r="CM21" i="15"/>
  <c r="CN21" i="15" s="1"/>
  <c r="CI21" i="15"/>
  <c r="CJ21" i="15" s="1"/>
  <c r="CO21" i="15"/>
  <c r="CP21" i="15" s="1"/>
  <c r="CK94" i="15"/>
  <c r="CL94" i="15" s="1"/>
  <c r="CM94" i="15"/>
  <c r="CN94" i="15" s="1"/>
  <c r="CO94" i="15"/>
  <c r="CP94" i="15" s="1"/>
  <c r="CI94" i="15"/>
  <c r="CJ94" i="15" s="1"/>
  <c r="CK30" i="15"/>
  <c r="CL30" i="15" s="1"/>
  <c r="CM30" i="15"/>
  <c r="CN30" i="15" s="1"/>
  <c r="CO30" i="15"/>
  <c r="CP30" i="15" s="1"/>
  <c r="CI30" i="15"/>
  <c r="CJ30" i="15" s="1"/>
  <c r="CM203" i="15"/>
  <c r="CN203" i="15" s="1"/>
  <c r="CO203" i="15"/>
  <c r="CP203" i="15" s="1"/>
  <c r="CI203" i="15"/>
  <c r="CJ203" i="15" s="1"/>
  <c r="CK203" i="15"/>
  <c r="CL203" i="15" s="1"/>
  <c r="CM165" i="15"/>
  <c r="CN165" i="15" s="1"/>
  <c r="CO165" i="15"/>
  <c r="CP165" i="15" s="1"/>
  <c r="CI165" i="15"/>
  <c r="CJ165" i="15" s="1"/>
  <c r="CK165" i="15"/>
  <c r="CL165" i="15" s="1"/>
  <c r="CK49" i="15"/>
  <c r="CL49" i="15" s="1"/>
  <c r="CM49" i="15"/>
  <c r="CN49" i="15" s="1"/>
  <c r="CO49" i="15"/>
  <c r="CP49" i="15" s="1"/>
  <c r="CI49" i="15"/>
  <c r="CJ49" i="15" s="1"/>
  <c r="CM11" i="15"/>
  <c r="CN11" i="15" s="1"/>
  <c r="CI11" i="15"/>
  <c r="CJ11" i="15" s="1"/>
  <c r="CO11" i="15"/>
  <c r="CP11" i="15" s="1"/>
  <c r="CK11" i="15"/>
  <c r="CL11" i="15" s="1"/>
  <c r="CK337" i="15"/>
  <c r="CL337" i="15" s="1"/>
  <c r="CO337" i="15"/>
  <c r="CP337" i="15" s="1"/>
  <c r="CI337" i="15"/>
  <c r="CJ337" i="15" s="1"/>
  <c r="CM337" i="15"/>
  <c r="CN337" i="15" s="1"/>
  <c r="CM267" i="15"/>
  <c r="CN267" i="15" s="1"/>
  <c r="CO267" i="15"/>
  <c r="CP267" i="15" s="1"/>
  <c r="CI267" i="15"/>
  <c r="CJ267" i="15" s="1"/>
  <c r="CK267" i="15"/>
  <c r="CL267" i="15" s="1"/>
  <c r="CK259" i="15"/>
  <c r="CL259" i="15" s="1"/>
  <c r="CM259" i="15"/>
  <c r="CN259" i="15" s="1"/>
  <c r="CO259" i="15"/>
  <c r="CP259" i="15" s="1"/>
  <c r="CI259" i="15"/>
  <c r="CJ259" i="15" s="1"/>
  <c r="CM247" i="15"/>
  <c r="CN247" i="15" s="1"/>
  <c r="CO247" i="15"/>
  <c r="CP247" i="15" s="1"/>
  <c r="CI247" i="15"/>
  <c r="CJ247" i="15" s="1"/>
  <c r="CK247" i="15"/>
  <c r="CL247" i="15" s="1"/>
  <c r="CM237" i="15"/>
  <c r="CN237" i="15" s="1"/>
  <c r="CO237" i="15"/>
  <c r="CP237" i="15" s="1"/>
  <c r="CI237" i="15"/>
  <c r="CJ237" i="15" s="1"/>
  <c r="CK237" i="15"/>
  <c r="CL237" i="15" s="1"/>
  <c r="CM217" i="15"/>
  <c r="CN217" i="15" s="1"/>
  <c r="CO217" i="15"/>
  <c r="CP217" i="15" s="1"/>
  <c r="CI217" i="15"/>
  <c r="CJ217" i="15" s="1"/>
  <c r="CK217" i="15"/>
  <c r="CL217" i="15" s="1"/>
  <c r="CM182" i="15"/>
  <c r="CN182" i="15" s="1"/>
  <c r="CO182" i="15"/>
  <c r="CP182" i="15" s="1"/>
  <c r="CI182" i="15"/>
  <c r="CJ182" i="15" s="1"/>
  <c r="CK182" i="15"/>
  <c r="CL182" i="15" s="1"/>
  <c r="CK123" i="15"/>
  <c r="CL123" i="15" s="1"/>
  <c r="CM123" i="15"/>
  <c r="CN123" i="15" s="1"/>
  <c r="CO123" i="15"/>
  <c r="CP123" i="15" s="1"/>
  <c r="CI123" i="15"/>
  <c r="CJ123" i="15" s="1"/>
  <c r="CK107" i="15"/>
  <c r="CL107" i="15" s="1"/>
  <c r="CM107" i="15"/>
  <c r="CN107" i="15" s="1"/>
  <c r="CO107" i="15"/>
  <c r="CP107" i="15" s="1"/>
  <c r="CI107" i="15"/>
  <c r="CJ107" i="15" s="1"/>
  <c r="CO28" i="15"/>
  <c r="CP28" i="15" s="1"/>
  <c r="CI28" i="15"/>
  <c r="CJ28" i="15" s="1"/>
  <c r="CK28" i="15"/>
  <c r="CL28" i="15" s="1"/>
  <c r="CM28" i="15"/>
  <c r="CN28" i="15" s="1"/>
  <c r="CK345" i="15"/>
  <c r="CL345" i="15" s="1"/>
  <c r="CO345" i="15"/>
  <c r="CP345" i="15" s="1"/>
  <c r="CI345" i="15"/>
  <c r="CJ345" i="15" s="1"/>
  <c r="CM345" i="15"/>
  <c r="CN345" i="15" s="1"/>
  <c r="CK294" i="15"/>
  <c r="CL294" i="15" s="1"/>
  <c r="CO294" i="15"/>
  <c r="CP294" i="15" s="1"/>
  <c r="CM294" i="15"/>
  <c r="CN294" i="15" s="1"/>
  <c r="CI294" i="15"/>
  <c r="CJ294" i="15" s="1"/>
  <c r="CM268" i="15"/>
  <c r="CN268" i="15" s="1"/>
  <c r="CO268" i="15"/>
  <c r="CP268" i="15" s="1"/>
  <c r="CI268" i="15"/>
  <c r="CJ268" i="15" s="1"/>
  <c r="CK268" i="15"/>
  <c r="CL268" i="15" s="1"/>
  <c r="CK260" i="15"/>
  <c r="CL260" i="15" s="1"/>
  <c r="CM260" i="15"/>
  <c r="CN260" i="15" s="1"/>
  <c r="CO260" i="15"/>
  <c r="CP260" i="15" s="1"/>
  <c r="CI260" i="15"/>
  <c r="CJ260" i="15" s="1"/>
  <c r="CK252" i="15"/>
  <c r="CL252" i="15" s="1"/>
  <c r="CI252" i="15"/>
  <c r="CJ252" i="15" s="1"/>
  <c r="CO252" i="15"/>
  <c r="CP252" i="15" s="1"/>
  <c r="CM252" i="15"/>
  <c r="CN252" i="15" s="1"/>
  <c r="CM242" i="15"/>
  <c r="CN242" i="15" s="1"/>
  <c r="CO242" i="15"/>
  <c r="CP242" i="15" s="1"/>
  <c r="CI242" i="15"/>
  <c r="CJ242" i="15" s="1"/>
  <c r="CK242" i="15"/>
  <c r="CL242" i="15" s="1"/>
  <c r="CM234" i="15"/>
  <c r="CN234" i="15" s="1"/>
  <c r="CO234" i="15"/>
  <c r="CP234" i="15" s="1"/>
  <c r="CI234" i="15"/>
  <c r="CJ234" i="15" s="1"/>
  <c r="CK234" i="15"/>
  <c r="CL234" i="15" s="1"/>
  <c r="CM216" i="15"/>
  <c r="CN216" i="15" s="1"/>
  <c r="CO216" i="15"/>
  <c r="CP216" i="15" s="1"/>
  <c r="CI216" i="15"/>
  <c r="CJ216" i="15" s="1"/>
  <c r="CK216" i="15"/>
  <c r="CL216" i="15" s="1"/>
  <c r="CM200" i="15"/>
  <c r="CN200" i="15" s="1"/>
  <c r="CO200" i="15"/>
  <c r="CP200" i="15" s="1"/>
  <c r="CI200" i="15"/>
  <c r="CJ200" i="15" s="1"/>
  <c r="CK200" i="15"/>
  <c r="CL200" i="15" s="1"/>
  <c r="CM186" i="15"/>
  <c r="CN186" i="15" s="1"/>
  <c r="CO186" i="15"/>
  <c r="CP186" i="15" s="1"/>
  <c r="CI186" i="15"/>
  <c r="CJ186" i="15" s="1"/>
  <c r="CK186" i="15"/>
  <c r="CL186" i="15" s="1"/>
  <c r="CM170" i="15"/>
  <c r="CN170" i="15" s="1"/>
  <c r="CO170" i="15"/>
  <c r="CP170" i="15" s="1"/>
  <c r="CI170" i="15"/>
  <c r="CJ170" i="15" s="1"/>
  <c r="CK170" i="15"/>
  <c r="CL170" i="15" s="1"/>
  <c r="CK139" i="15"/>
  <c r="CL139" i="15" s="1"/>
  <c r="CM139" i="15"/>
  <c r="CN139" i="15" s="1"/>
  <c r="CO139" i="15"/>
  <c r="CP139" i="15" s="1"/>
  <c r="CI139" i="15"/>
  <c r="CJ139" i="15" s="1"/>
  <c r="AJ44" i="15"/>
  <c r="BO44" i="15" s="1"/>
  <c r="BP44" i="15" s="1"/>
  <c r="BQ44" i="15" s="1"/>
  <c r="CK44" i="15"/>
  <c r="CL44" i="15" s="1"/>
  <c r="CM44" i="15"/>
  <c r="CN44" i="15" s="1"/>
  <c r="CO44" i="15"/>
  <c r="CP44" i="15" s="1"/>
  <c r="CI44" i="15"/>
  <c r="CJ44" i="15" s="1"/>
  <c r="CK357" i="15"/>
  <c r="CL357" i="15" s="1"/>
  <c r="CO357" i="15"/>
  <c r="CP357" i="15" s="1"/>
  <c r="CM357" i="15"/>
  <c r="CN357" i="15" s="1"/>
  <c r="CI357" i="15"/>
  <c r="CJ357" i="15" s="1"/>
  <c r="CK290" i="15"/>
  <c r="CL290" i="15" s="1"/>
  <c r="CO290" i="15"/>
  <c r="CP290" i="15" s="1"/>
  <c r="CM290" i="15"/>
  <c r="CN290" i="15" s="1"/>
  <c r="CI290" i="15"/>
  <c r="CJ290" i="15" s="1"/>
  <c r="CM212" i="15"/>
  <c r="CN212" i="15" s="1"/>
  <c r="CO212" i="15"/>
  <c r="CP212" i="15" s="1"/>
  <c r="CI212" i="15"/>
  <c r="CJ212" i="15" s="1"/>
  <c r="CK212" i="15"/>
  <c r="CL212" i="15" s="1"/>
  <c r="CM176" i="15"/>
  <c r="CN176" i="15" s="1"/>
  <c r="CO176" i="15"/>
  <c r="CP176" i="15" s="1"/>
  <c r="CI176" i="15"/>
  <c r="CJ176" i="15" s="1"/>
  <c r="CK176" i="15"/>
  <c r="CL176" i="15" s="1"/>
  <c r="CK142" i="15"/>
  <c r="CL142" i="15" s="1"/>
  <c r="CM142" i="15"/>
  <c r="CN142" i="15" s="1"/>
  <c r="CO142" i="15"/>
  <c r="CP142" i="15" s="1"/>
  <c r="CI142" i="15"/>
  <c r="CJ142" i="15" s="1"/>
  <c r="CM27" i="15"/>
  <c r="CN27" i="15" s="1"/>
  <c r="CI27" i="15"/>
  <c r="CJ27" i="15" s="1"/>
  <c r="CO27" i="15"/>
  <c r="CP27" i="15" s="1"/>
  <c r="CK27" i="15"/>
  <c r="CL27" i="15" s="1"/>
  <c r="CM235" i="15"/>
  <c r="CN235" i="15" s="1"/>
  <c r="CO235" i="15"/>
  <c r="CP235" i="15" s="1"/>
  <c r="CI235" i="15"/>
  <c r="CJ235" i="15" s="1"/>
  <c r="CK235" i="15"/>
  <c r="CL235" i="15" s="1"/>
  <c r="CM201" i="15"/>
  <c r="CN201" i="15" s="1"/>
  <c r="CO201" i="15"/>
  <c r="CP201" i="15" s="1"/>
  <c r="CI201" i="15"/>
  <c r="CJ201" i="15" s="1"/>
  <c r="CK201" i="15"/>
  <c r="CL201" i="15" s="1"/>
  <c r="CM159" i="15"/>
  <c r="CN159" i="15" s="1"/>
  <c r="CO159" i="15"/>
  <c r="CP159" i="15" s="1"/>
  <c r="CI159" i="15"/>
  <c r="CJ159" i="15" s="1"/>
  <c r="CK159" i="15"/>
  <c r="CL159" i="15" s="1"/>
  <c r="CK88" i="15"/>
  <c r="CL88" i="15" s="1"/>
  <c r="CM88" i="15"/>
  <c r="CN88" i="15" s="1"/>
  <c r="CO88" i="15"/>
  <c r="CP88" i="15" s="1"/>
  <c r="CI88" i="15"/>
  <c r="CJ88" i="15" s="1"/>
  <c r="CO16" i="15"/>
  <c r="CP16" i="15" s="1"/>
  <c r="CI16" i="15"/>
  <c r="CJ16" i="15" s="1"/>
  <c r="CK16" i="15"/>
  <c r="CL16" i="15" s="1"/>
  <c r="CM16" i="15"/>
  <c r="CN16" i="15" s="1"/>
  <c r="CK72" i="15"/>
  <c r="CL72" i="15" s="1"/>
  <c r="CM72" i="15"/>
  <c r="CN72" i="15" s="1"/>
  <c r="CO72" i="15"/>
  <c r="CP72" i="15" s="1"/>
  <c r="CI72" i="15"/>
  <c r="CJ72" i="15" s="1"/>
  <c r="CK78" i="15"/>
  <c r="CL78" i="15" s="1"/>
  <c r="CM78" i="15"/>
  <c r="CN78" i="15" s="1"/>
  <c r="CO78" i="15"/>
  <c r="CP78" i="15" s="1"/>
  <c r="CI78" i="15"/>
  <c r="CJ78" i="15" s="1"/>
  <c r="CK117" i="15"/>
  <c r="CL117" i="15" s="1"/>
  <c r="CM117" i="15"/>
  <c r="CN117" i="15" s="1"/>
  <c r="CO117" i="15"/>
  <c r="CP117" i="15" s="1"/>
  <c r="CI117" i="15"/>
  <c r="CJ117" i="15" s="1"/>
  <c r="CO779" i="15"/>
  <c r="CP779" i="15" s="1"/>
  <c r="CI779" i="15"/>
  <c r="CJ779" i="15" s="1"/>
  <c r="CK779" i="15"/>
  <c r="CL779" i="15" s="1"/>
  <c r="CM779" i="15"/>
  <c r="CN779" i="15" s="1"/>
  <c r="CO798" i="15"/>
  <c r="CP798" i="15" s="1"/>
  <c r="CI798" i="15"/>
  <c r="CJ798" i="15" s="1"/>
  <c r="CM798" i="15"/>
  <c r="CN798" i="15" s="1"/>
  <c r="CK798" i="15"/>
  <c r="CL798" i="15" s="1"/>
  <c r="CO806" i="15"/>
  <c r="CP806" i="15" s="1"/>
  <c r="CI806" i="15"/>
  <c r="CJ806" i="15" s="1"/>
  <c r="CM806" i="15"/>
  <c r="CN806" i="15" s="1"/>
  <c r="CK806" i="15"/>
  <c r="CL806" i="15" s="1"/>
  <c r="CO750" i="15"/>
  <c r="CP750" i="15" s="1"/>
  <c r="CI750" i="15"/>
  <c r="CJ750" i="15" s="1"/>
  <c r="CM750" i="15"/>
  <c r="CN750" i="15" s="1"/>
  <c r="CK750" i="15"/>
  <c r="CL750" i="15" s="1"/>
  <c r="CK566" i="15"/>
  <c r="CL566" i="15" s="1"/>
  <c r="CM566" i="15"/>
  <c r="CN566" i="15" s="1"/>
  <c r="CO566" i="15"/>
  <c r="CP566" i="15" s="1"/>
  <c r="CI566" i="15"/>
  <c r="CJ566" i="15" s="1"/>
  <c r="CK550" i="15"/>
  <c r="CL550" i="15" s="1"/>
  <c r="CM550" i="15"/>
  <c r="CN550" i="15" s="1"/>
  <c r="CO550" i="15"/>
  <c r="CP550" i="15" s="1"/>
  <c r="CI550" i="15"/>
  <c r="CJ550" i="15" s="1"/>
  <c r="CK440" i="15"/>
  <c r="CL440" i="15" s="1"/>
  <c r="CM440" i="15"/>
  <c r="CN440" i="15" s="1"/>
  <c r="CO440" i="15"/>
  <c r="CP440" i="15" s="1"/>
  <c r="CI440" i="15"/>
  <c r="CJ440" i="15" s="1"/>
  <c r="CK334" i="15"/>
  <c r="CL334" i="15" s="1"/>
  <c r="CO334" i="15"/>
  <c r="CP334" i="15" s="1"/>
  <c r="CI334" i="15"/>
  <c r="CJ334" i="15" s="1"/>
  <c r="CM334" i="15"/>
  <c r="CN334" i="15" s="1"/>
  <c r="CO730" i="15"/>
  <c r="CP730" i="15" s="1"/>
  <c r="CI730" i="15"/>
  <c r="CJ730" i="15" s="1"/>
  <c r="CM730" i="15"/>
  <c r="CN730" i="15" s="1"/>
  <c r="CK730" i="15"/>
  <c r="CL730" i="15" s="1"/>
  <c r="CK571" i="15"/>
  <c r="CL571" i="15" s="1"/>
  <c r="CM571" i="15"/>
  <c r="CN571" i="15" s="1"/>
  <c r="CO571" i="15"/>
  <c r="CP571" i="15" s="1"/>
  <c r="CI571" i="15"/>
  <c r="CJ571" i="15" s="1"/>
  <c r="CK555" i="15"/>
  <c r="CL555" i="15" s="1"/>
  <c r="CM555" i="15"/>
  <c r="CN555" i="15" s="1"/>
  <c r="CO555" i="15"/>
  <c r="CP555" i="15" s="1"/>
  <c r="CI555" i="15"/>
  <c r="CJ555" i="15" s="1"/>
  <c r="CK457" i="15"/>
  <c r="CL457" i="15" s="1"/>
  <c r="CM457" i="15"/>
  <c r="CN457" i="15" s="1"/>
  <c r="CO457" i="15"/>
  <c r="CP457" i="15" s="1"/>
  <c r="CI457" i="15"/>
  <c r="CJ457" i="15" s="1"/>
  <c r="CI618" i="15"/>
  <c r="CJ618" i="15" s="1"/>
  <c r="CK618" i="15"/>
  <c r="CL618" i="15" s="1"/>
  <c r="CM618" i="15"/>
  <c r="CN618" i="15" s="1"/>
  <c r="CO618" i="15"/>
  <c r="CP618" i="15" s="1"/>
  <c r="CK504" i="15"/>
  <c r="CL504" i="15" s="1"/>
  <c r="CM504" i="15"/>
  <c r="CN504" i="15" s="1"/>
  <c r="CO504" i="15"/>
  <c r="CP504" i="15" s="1"/>
  <c r="CI504" i="15"/>
  <c r="CJ504" i="15" s="1"/>
  <c r="CK350" i="15"/>
  <c r="CL350" i="15" s="1"/>
  <c r="CO350" i="15"/>
  <c r="CP350" i="15" s="1"/>
  <c r="CI350" i="15"/>
  <c r="CJ350" i="15" s="1"/>
  <c r="CM350" i="15"/>
  <c r="CN350" i="15" s="1"/>
  <c r="CK568" i="15"/>
  <c r="CL568" i="15" s="1"/>
  <c r="CM568" i="15"/>
  <c r="CN568" i="15" s="1"/>
  <c r="CO568" i="15"/>
  <c r="CP568" i="15" s="1"/>
  <c r="CI568" i="15"/>
  <c r="CJ568" i="15" s="1"/>
  <c r="CK552" i="15"/>
  <c r="CL552" i="15" s="1"/>
  <c r="CM552" i="15"/>
  <c r="CN552" i="15" s="1"/>
  <c r="CO552" i="15"/>
  <c r="CP552" i="15" s="1"/>
  <c r="CI552" i="15"/>
  <c r="CJ552" i="15" s="1"/>
  <c r="CO130" i="15"/>
  <c r="CP130" i="15" s="1"/>
  <c r="CI130" i="15"/>
  <c r="CJ130" i="15" s="1"/>
  <c r="CK130" i="15"/>
  <c r="CL130" i="15" s="1"/>
  <c r="CM130" i="15"/>
  <c r="CN130" i="15" s="1"/>
  <c r="CO742" i="15"/>
  <c r="CP742" i="15" s="1"/>
  <c r="CI742" i="15"/>
  <c r="CJ742" i="15" s="1"/>
  <c r="CM742" i="15"/>
  <c r="CN742" i="15" s="1"/>
  <c r="CK742" i="15"/>
  <c r="CL742" i="15" s="1"/>
  <c r="CK557" i="15"/>
  <c r="CL557" i="15" s="1"/>
  <c r="CM557" i="15"/>
  <c r="CN557" i="15" s="1"/>
  <c r="CO557" i="15"/>
  <c r="CP557" i="15" s="1"/>
  <c r="CI557" i="15"/>
  <c r="CJ557" i="15" s="1"/>
  <c r="CK134" i="15"/>
  <c r="CL134" i="15" s="1"/>
  <c r="CM134" i="15"/>
  <c r="CN134" i="15" s="1"/>
  <c r="CO134" i="15"/>
  <c r="CP134" i="15" s="1"/>
  <c r="CI134" i="15"/>
  <c r="CJ134" i="15" s="1"/>
  <c r="CI649" i="15"/>
  <c r="CJ649" i="15" s="1"/>
  <c r="CK649" i="15"/>
  <c r="CL649" i="15" s="1"/>
  <c r="CM649" i="15"/>
  <c r="CN649" i="15" s="1"/>
  <c r="CO649" i="15"/>
  <c r="CP649" i="15" s="1"/>
  <c r="AJ126" i="15"/>
  <c r="BO126" i="15" s="1"/>
  <c r="BP126" i="15" s="1"/>
  <c r="BQ126" i="15" s="1"/>
  <c r="CM126" i="15"/>
  <c r="CN126" i="15" s="1"/>
  <c r="CK126" i="15"/>
  <c r="CL126" i="15" s="1"/>
  <c r="CI126" i="15"/>
  <c r="CJ126" i="15" s="1"/>
  <c r="CO126" i="15"/>
  <c r="CP126" i="15" s="1"/>
  <c r="CK459" i="15"/>
  <c r="CL459" i="15" s="1"/>
  <c r="CM459" i="15"/>
  <c r="CN459" i="15" s="1"/>
  <c r="CO459" i="15"/>
  <c r="CP459" i="15" s="1"/>
  <c r="CI459" i="15"/>
  <c r="CJ459" i="15" s="1"/>
  <c r="CK524" i="15"/>
  <c r="CL524" i="15" s="1"/>
  <c r="CM524" i="15"/>
  <c r="CN524" i="15" s="1"/>
  <c r="CO524" i="15"/>
  <c r="CP524" i="15" s="1"/>
  <c r="CI524" i="15"/>
  <c r="CJ524" i="15" s="1"/>
  <c r="CK36" i="15"/>
  <c r="CL36" i="15" s="1"/>
  <c r="CM36" i="15"/>
  <c r="CN36" i="15" s="1"/>
  <c r="CO36" i="15"/>
  <c r="CP36" i="15" s="1"/>
  <c r="CI36" i="15"/>
  <c r="CJ36" i="15" s="1"/>
  <c r="BW769" i="15"/>
  <c r="BX769" i="15" s="1"/>
  <c r="CO769" i="15"/>
  <c r="CP769" i="15" s="1"/>
  <c r="CI769" i="15"/>
  <c r="CJ769" i="15" s="1"/>
  <c r="CK769" i="15"/>
  <c r="CL769" i="15" s="1"/>
  <c r="CM769" i="15"/>
  <c r="CN769" i="15" s="1"/>
  <c r="BU763" i="15"/>
  <c r="BV763" i="15" s="1"/>
  <c r="CO763" i="15"/>
  <c r="CP763" i="15" s="1"/>
  <c r="CI763" i="15"/>
  <c r="CJ763" i="15" s="1"/>
  <c r="CK763" i="15"/>
  <c r="CL763" i="15" s="1"/>
  <c r="CM763" i="15"/>
  <c r="CN763" i="15" s="1"/>
  <c r="BW774" i="15"/>
  <c r="BX774" i="15" s="1"/>
  <c r="CO774" i="15"/>
  <c r="CP774" i="15" s="1"/>
  <c r="CI774" i="15"/>
  <c r="CJ774" i="15" s="1"/>
  <c r="CK774" i="15"/>
  <c r="CL774" i="15" s="1"/>
  <c r="CM774" i="15"/>
  <c r="CN774" i="15" s="1"/>
  <c r="BU755" i="15"/>
  <c r="BV755" i="15" s="1"/>
  <c r="CI755" i="15"/>
  <c r="CJ755" i="15" s="1"/>
  <c r="CO755" i="15"/>
  <c r="CP755" i="15" s="1"/>
  <c r="CM755" i="15"/>
  <c r="CN755" i="15" s="1"/>
  <c r="CK755" i="15"/>
  <c r="CL755" i="15" s="1"/>
  <c r="BU749" i="15"/>
  <c r="BV749" i="15" s="1"/>
  <c r="CO749" i="15"/>
  <c r="CP749" i="15" s="1"/>
  <c r="CI749" i="15"/>
  <c r="CJ749" i="15" s="1"/>
  <c r="CK749" i="15"/>
  <c r="CL749" i="15" s="1"/>
  <c r="CM749" i="15"/>
  <c r="CN749" i="15" s="1"/>
  <c r="BW741" i="15"/>
  <c r="BX741" i="15" s="1"/>
  <c r="CO741" i="15"/>
  <c r="CP741" i="15" s="1"/>
  <c r="CI741" i="15"/>
  <c r="CJ741" i="15" s="1"/>
  <c r="CK741" i="15"/>
  <c r="CL741" i="15" s="1"/>
  <c r="CM741" i="15"/>
  <c r="CN741" i="15" s="1"/>
  <c r="BW505" i="15"/>
  <c r="BX505" i="15" s="1"/>
  <c r="CK505" i="15"/>
  <c r="CL505" i="15" s="1"/>
  <c r="CM505" i="15"/>
  <c r="CN505" i="15" s="1"/>
  <c r="CO505" i="15"/>
  <c r="CP505" i="15" s="1"/>
  <c r="CI505" i="15"/>
  <c r="CJ505" i="15" s="1"/>
  <c r="CK38" i="15"/>
  <c r="CL38" i="15" s="1"/>
  <c r="CM38" i="15"/>
  <c r="CN38" i="15" s="1"/>
  <c r="CO38" i="15"/>
  <c r="CP38" i="15" s="1"/>
  <c r="CI38" i="15"/>
  <c r="CJ38" i="15" s="1"/>
  <c r="BU625" i="15"/>
  <c r="BV625" i="15" s="1"/>
  <c r="CI625" i="15"/>
  <c r="CJ625" i="15" s="1"/>
  <c r="CK625" i="15"/>
  <c r="CL625" i="15" s="1"/>
  <c r="CM625" i="15"/>
  <c r="CN625" i="15" s="1"/>
  <c r="CO625" i="15"/>
  <c r="CP625" i="15" s="1"/>
  <c r="CK396" i="15"/>
  <c r="CL396" i="15" s="1"/>
  <c r="CO396" i="15"/>
  <c r="CP396" i="15" s="1"/>
  <c r="CI396" i="15"/>
  <c r="CJ396" i="15" s="1"/>
  <c r="CM396" i="15"/>
  <c r="CN396" i="15" s="1"/>
  <c r="CK122" i="15"/>
  <c r="CL122" i="15" s="1"/>
  <c r="CM122" i="15"/>
  <c r="CN122" i="15" s="1"/>
  <c r="CO122" i="15"/>
  <c r="CP122" i="15" s="1"/>
  <c r="CI122" i="15"/>
  <c r="CJ122" i="15" s="1"/>
  <c r="CK118" i="15"/>
  <c r="CL118" i="15" s="1"/>
  <c r="CM118" i="15"/>
  <c r="CN118" i="15" s="1"/>
  <c r="CO118" i="15"/>
  <c r="CP118" i="15" s="1"/>
  <c r="CI118" i="15"/>
  <c r="CJ118" i="15" s="1"/>
  <c r="CK114" i="15"/>
  <c r="CL114" i="15" s="1"/>
  <c r="CM114" i="15"/>
  <c r="CN114" i="15" s="1"/>
  <c r="CO114" i="15"/>
  <c r="CP114" i="15" s="1"/>
  <c r="CI114" i="15"/>
  <c r="CJ114" i="15" s="1"/>
  <c r="CK110" i="15"/>
  <c r="CL110" i="15" s="1"/>
  <c r="CM110" i="15"/>
  <c r="CN110" i="15" s="1"/>
  <c r="CO110" i="15"/>
  <c r="CP110" i="15" s="1"/>
  <c r="CI110" i="15"/>
  <c r="CJ110" i="15" s="1"/>
  <c r="CK106" i="15"/>
  <c r="CL106" i="15" s="1"/>
  <c r="CM106" i="15"/>
  <c r="CN106" i="15" s="1"/>
  <c r="CO106" i="15"/>
  <c r="CP106" i="15" s="1"/>
  <c r="CI106" i="15"/>
  <c r="CJ106" i="15" s="1"/>
  <c r="CK102" i="15"/>
  <c r="CL102" i="15" s="1"/>
  <c r="CM102" i="15"/>
  <c r="CN102" i="15" s="1"/>
  <c r="CO102" i="15"/>
  <c r="CP102" i="15" s="1"/>
  <c r="CI102" i="15"/>
  <c r="CJ102" i="15" s="1"/>
  <c r="CK40" i="15"/>
  <c r="CL40" i="15" s="1"/>
  <c r="CM40" i="15"/>
  <c r="CN40" i="15" s="1"/>
  <c r="CO40" i="15"/>
  <c r="CP40" i="15" s="1"/>
  <c r="CI40" i="15"/>
  <c r="CJ40" i="15" s="1"/>
  <c r="BW726" i="15"/>
  <c r="BX726" i="15" s="1"/>
  <c r="CO726" i="15"/>
  <c r="CP726" i="15" s="1"/>
  <c r="CI726" i="15"/>
  <c r="CJ726" i="15" s="1"/>
  <c r="CM726" i="15"/>
  <c r="CN726" i="15" s="1"/>
  <c r="CK726" i="15"/>
  <c r="CL726" i="15" s="1"/>
  <c r="BW608" i="15"/>
  <c r="BX608" i="15" s="1"/>
  <c r="CK608" i="15"/>
  <c r="CL608" i="15" s="1"/>
  <c r="CM608" i="15"/>
  <c r="CN608" i="15" s="1"/>
  <c r="CO608" i="15"/>
  <c r="CP608" i="15" s="1"/>
  <c r="CI608" i="15"/>
  <c r="CJ608" i="15" s="1"/>
  <c r="BW604" i="15"/>
  <c r="BX604" i="15" s="1"/>
  <c r="CK604" i="15"/>
  <c r="CL604" i="15" s="1"/>
  <c r="CM604" i="15"/>
  <c r="CN604" i="15" s="1"/>
  <c r="CO604" i="15"/>
  <c r="CP604" i="15" s="1"/>
  <c r="CI604" i="15"/>
  <c r="CJ604" i="15" s="1"/>
  <c r="BW600" i="15"/>
  <c r="BX600" i="15" s="1"/>
  <c r="CI600" i="15"/>
  <c r="CJ600" i="15" s="1"/>
  <c r="CM600" i="15"/>
  <c r="CN600" i="15" s="1"/>
  <c r="CK600" i="15"/>
  <c r="CL600" i="15" s="1"/>
  <c r="CO600" i="15"/>
  <c r="CP600" i="15" s="1"/>
  <c r="BU596" i="15"/>
  <c r="BV596" i="15" s="1"/>
  <c r="CI596" i="15"/>
  <c r="CJ596" i="15" s="1"/>
  <c r="CM596" i="15"/>
  <c r="CN596" i="15" s="1"/>
  <c r="CK596" i="15"/>
  <c r="CL596" i="15" s="1"/>
  <c r="CO596" i="15"/>
  <c r="CP596" i="15" s="1"/>
  <c r="BW592" i="15"/>
  <c r="BX592" i="15" s="1"/>
  <c r="CI592" i="15"/>
  <c r="CJ592" i="15" s="1"/>
  <c r="CK592" i="15"/>
  <c r="CL592" i="15" s="1"/>
  <c r="CM592" i="15"/>
  <c r="CN592" i="15" s="1"/>
  <c r="CO592" i="15"/>
  <c r="CP592" i="15" s="1"/>
  <c r="BU586" i="15"/>
  <c r="BV586" i="15" s="1"/>
  <c r="CI586" i="15"/>
  <c r="CJ586" i="15" s="1"/>
  <c r="CK586" i="15"/>
  <c r="CL586" i="15" s="1"/>
  <c r="CM586" i="15"/>
  <c r="CN586" i="15" s="1"/>
  <c r="CO586" i="15"/>
  <c r="CP586" i="15" s="1"/>
  <c r="BW582" i="15"/>
  <c r="BX582" i="15" s="1"/>
  <c r="CI582" i="15"/>
  <c r="CJ582" i="15" s="1"/>
  <c r="CK582" i="15"/>
  <c r="CL582" i="15" s="1"/>
  <c r="CM582" i="15"/>
  <c r="CN582" i="15" s="1"/>
  <c r="CO582" i="15"/>
  <c r="CP582" i="15" s="1"/>
  <c r="CK433" i="15"/>
  <c r="CL433" i="15" s="1"/>
  <c r="CM433" i="15"/>
  <c r="CN433" i="15" s="1"/>
  <c r="CO433" i="15"/>
  <c r="CP433" i="15" s="1"/>
  <c r="CI433" i="15"/>
  <c r="CJ433" i="15" s="1"/>
  <c r="CB641" i="15"/>
  <c r="CB828" i="15"/>
  <c r="CB548" i="15"/>
  <c r="CB668" i="15"/>
  <c r="CB621" i="15"/>
  <c r="CB514" i="15"/>
  <c r="CO807" i="15"/>
  <c r="CP807" i="15" s="1"/>
  <c r="CI807" i="15"/>
  <c r="CJ807" i="15" s="1"/>
  <c r="CK807" i="15"/>
  <c r="CL807" i="15" s="1"/>
  <c r="CM807" i="15"/>
  <c r="CN807" i="15" s="1"/>
  <c r="CO793" i="15"/>
  <c r="CP793" i="15" s="1"/>
  <c r="CI793" i="15"/>
  <c r="CJ793" i="15" s="1"/>
  <c r="CK793" i="15"/>
  <c r="CL793" i="15" s="1"/>
  <c r="CM793" i="15"/>
  <c r="CN793" i="15" s="1"/>
  <c r="CO858" i="15"/>
  <c r="CP858" i="15" s="1"/>
  <c r="CI858" i="15"/>
  <c r="CJ858" i="15" s="1"/>
  <c r="CK858" i="15"/>
  <c r="CL858" i="15" s="1"/>
  <c r="CM858" i="15"/>
  <c r="CN858" i="15" s="1"/>
  <c r="CO739" i="15"/>
  <c r="CP739" i="15" s="1"/>
  <c r="CI739" i="15"/>
  <c r="CJ739" i="15" s="1"/>
  <c r="CK739" i="15"/>
  <c r="CL739" i="15" s="1"/>
  <c r="CM739" i="15"/>
  <c r="CN739" i="15" s="1"/>
  <c r="CO768" i="15"/>
  <c r="CP768" i="15" s="1"/>
  <c r="CI768" i="15"/>
  <c r="CJ768" i="15" s="1"/>
  <c r="CM768" i="15"/>
  <c r="CN768" i="15" s="1"/>
  <c r="CK768" i="15"/>
  <c r="CL768" i="15" s="1"/>
  <c r="CO756" i="15"/>
  <c r="CP756" i="15" s="1"/>
  <c r="CI756" i="15"/>
  <c r="CJ756" i="15" s="1"/>
  <c r="CM756" i="15"/>
  <c r="CN756" i="15" s="1"/>
  <c r="CK756" i="15"/>
  <c r="CL756" i="15" s="1"/>
  <c r="CO695" i="15"/>
  <c r="CP695" i="15" s="1"/>
  <c r="CI695" i="15"/>
  <c r="CJ695" i="15" s="1"/>
  <c r="CK695" i="15"/>
  <c r="CL695" i="15" s="1"/>
  <c r="CM695" i="15"/>
  <c r="CN695" i="15" s="1"/>
  <c r="CK574" i="15"/>
  <c r="CL574" i="15" s="1"/>
  <c r="CM574" i="15"/>
  <c r="CN574" i="15" s="1"/>
  <c r="CO574" i="15"/>
  <c r="CP574" i="15" s="1"/>
  <c r="CI574" i="15"/>
  <c r="CJ574" i="15" s="1"/>
  <c r="CI660" i="15"/>
  <c r="CJ660" i="15" s="1"/>
  <c r="CK660" i="15"/>
  <c r="CL660" i="15" s="1"/>
  <c r="CM660" i="15"/>
  <c r="CN660" i="15" s="1"/>
  <c r="CO660" i="15"/>
  <c r="CP660" i="15" s="1"/>
  <c r="CK502" i="15"/>
  <c r="CL502" i="15" s="1"/>
  <c r="CM502" i="15"/>
  <c r="CN502" i="15" s="1"/>
  <c r="CO502" i="15"/>
  <c r="CP502" i="15" s="1"/>
  <c r="CI502" i="15"/>
  <c r="CJ502" i="15" s="1"/>
  <c r="CK517" i="15"/>
  <c r="CL517" i="15" s="1"/>
  <c r="CM517" i="15"/>
  <c r="CN517" i="15" s="1"/>
  <c r="CO517" i="15"/>
  <c r="CP517" i="15" s="1"/>
  <c r="CI517" i="15"/>
  <c r="CJ517" i="15" s="1"/>
  <c r="CK436" i="15"/>
  <c r="CL436" i="15" s="1"/>
  <c r="CM436" i="15"/>
  <c r="CN436" i="15" s="1"/>
  <c r="CO436" i="15"/>
  <c r="CP436" i="15" s="1"/>
  <c r="CI436" i="15"/>
  <c r="CJ436" i="15" s="1"/>
  <c r="CO699" i="15"/>
  <c r="CP699" i="15" s="1"/>
  <c r="CI699" i="15"/>
  <c r="CJ699" i="15" s="1"/>
  <c r="CK699" i="15"/>
  <c r="CL699" i="15" s="1"/>
  <c r="CM699" i="15"/>
  <c r="CN699" i="15" s="1"/>
  <c r="CI581" i="15"/>
  <c r="CJ581" i="15" s="1"/>
  <c r="CK581" i="15"/>
  <c r="CL581" i="15" s="1"/>
  <c r="CM581" i="15"/>
  <c r="CN581" i="15" s="1"/>
  <c r="CO581" i="15"/>
  <c r="CP581" i="15" s="1"/>
  <c r="CK535" i="15"/>
  <c r="CL535" i="15" s="1"/>
  <c r="CM535" i="15"/>
  <c r="CN535" i="15" s="1"/>
  <c r="CO535" i="15"/>
  <c r="CP535" i="15" s="1"/>
  <c r="CI535" i="15"/>
  <c r="CJ535" i="15" s="1"/>
  <c r="CK307" i="15"/>
  <c r="CL307" i="15" s="1"/>
  <c r="CO307" i="15"/>
  <c r="CP307" i="15" s="1"/>
  <c r="CI307" i="15"/>
  <c r="CJ307" i="15" s="1"/>
  <c r="CM307" i="15"/>
  <c r="CN307" i="15" s="1"/>
  <c r="CK385" i="15"/>
  <c r="CL385" i="15" s="1"/>
  <c r="CO385" i="15"/>
  <c r="CP385" i="15" s="1"/>
  <c r="CI385" i="15"/>
  <c r="CJ385" i="15" s="1"/>
  <c r="CM385" i="15"/>
  <c r="CN385" i="15" s="1"/>
  <c r="CK540" i="15"/>
  <c r="CL540" i="15" s="1"/>
  <c r="CM540" i="15"/>
  <c r="CN540" i="15" s="1"/>
  <c r="CO540" i="15"/>
  <c r="CP540" i="15" s="1"/>
  <c r="CI540" i="15"/>
  <c r="CJ540" i="15" s="1"/>
  <c r="CK450" i="15"/>
  <c r="CL450" i="15" s="1"/>
  <c r="CM450" i="15"/>
  <c r="CN450" i="15" s="1"/>
  <c r="CO450" i="15"/>
  <c r="CP450" i="15" s="1"/>
  <c r="CI450" i="15"/>
  <c r="CJ450" i="15" s="1"/>
  <c r="CK308" i="15"/>
  <c r="CL308" i="15" s="1"/>
  <c r="CO308" i="15"/>
  <c r="CP308" i="15" s="1"/>
  <c r="CM308" i="15"/>
  <c r="CN308" i="15" s="1"/>
  <c r="CI308" i="15"/>
  <c r="CJ308" i="15" s="1"/>
  <c r="CK411" i="15"/>
  <c r="CL411" i="15" s="1"/>
  <c r="CO411" i="15"/>
  <c r="CP411" i="15" s="1"/>
  <c r="CI411" i="15"/>
  <c r="CJ411" i="15" s="1"/>
  <c r="CM411" i="15"/>
  <c r="CN411" i="15" s="1"/>
  <c r="CK541" i="15"/>
  <c r="CL541" i="15" s="1"/>
  <c r="CM541" i="15"/>
  <c r="CN541" i="15" s="1"/>
  <c r="CO541" i="15"/>
  <c r="CP541" i="15" s="1"/>
  <c r="CI541" i="15"/>
  <c r="CJ541" i="15" s="1"/>
  <c r="CK464" i="15"/>
  <c r="CL464" i="15" s="1"/>
  <c r="CM464" i="15"/>
  <c r="CN464" i="15" s="1"/>
  <c r="CO464" i="15"/>
  <c r="CP464" i="15" s="1"/>
  <c r="CI464" i="15"/>
  <c r="CJ464" i="15" s="1"/>
  <c r="CK379" i="15"/>
  <c r="CL379" i="15" s="1"/>
  <c r="CO379" i="15"/>
  <c r="CP379" i="15" s="1"/>
  <c r="CI379" i="15"/>
  <c r="CJ379" i="15" s="1"/>
  <c r="CM379" i="15"/>
  <c r="CN379" i="15" s="1"/>
  <c r="CM162" i="15"/>
  <c r="CN162" i="15" s="1"/>
  <c r="CO162" i="15"/>
  <c r="CP162" i="15" s="1"/>
  <c r="CI162" i="15"/>
  <c r="CJ162" i="15" s="1"/>
  <c r="CK162" i="15"/>
  <c r="CL162" i="15" s="1"/>
  <c r="CK377" i="15"/>
  <c r="CL377" i="15" s="1"/>
  <c r="CO377" i="15"/>
  <c r="CP377" i="15" s="1"/>
  <c r="CI377" i="15"/>
  <c r="CJ377" i="15" s="1"/>
  <c r="CM377" i="15"/>
  <c r="CN377" i="15" s="1"/>
  <c r="CM204" i="15"/>
  <c r="CN204" i="15" s="1"/>
  <c r="CO204" i="15"/>
  <c r="CP204" i="15" s="1"/>
  <c r="CI204" i="15"/>
  <c r="CJ204" i="15" s="1"/>
  <c r="CK204" i="15"/>
  <c r="CL204" i="15" s="1"/>
  <c r="CK135" i="15"/>
  <c r="CL135" i="15" s="1"/>
  <c r="CM135" i="15"/>
  <c r="CN135" i="15" s="1"/>
  <c r="CO135" i="15"/>
  <c r="CP135" i="15" s="1"/>
  <c r="CI135" i="15"/>
  <c r="CJ135" i="15" s="1"/>
  <c r="CK25" i="15"/>
  <c r="CL25" i="15" s="1"/>
  <c r="CM25" i="15"/>
  <c r="CN25" i="15" s="1"/>
  <c r="CI25" i="15"/>
  <c r="CJ25" i="15" s="1"/>
  <c r="CO25" i="15"/>
  <c r="CP25" i="15" s="1"/>
  <c r="CM181" i="15"/>
  <c r="CN181" i="15" s="1"/>
  <c r="CO181" i="15"/>
  <c r="CP181" i="15" s="1"/>
  <c r="CI181" i="15"/>
  <c r="CJ181" i="15" s="1"/>
  <c r="CK181" i="15"/>
  <c r="CL181" i="15" s="1"/>
  <c r="CM15" i="15"/>
  <c r="CN15" i="15" s="1"/>
  <c r="CI15" i="15"/>
  <c r="CJ15" i="15" s="1"/>
  <c r="CO15" i="15"/>
  <c r="CP15" i="15" s="1"/>
  <c r="CK15" i="15"/>
  <c r="CL15" i="15" s="1"/>
  <c r="CM239" i="15"/>
  <c r="CN239" i="15" s="1"/>
  <c r="CO239" i="15"/>
  <c r="CP239" i="15" s="1"/>
  <c r="CI239" i="15"/>
  <c r="CJ239" i="15" s="1"/>
  <c r="CK239" i="15"/>
  <c r="CL239" i="15" s="1"/>
  <c r="CK111" i="15"/>
  <c r="CL111" i="15" s="1"/>
  <c r="CM111" i="15"/>
  <c r="CN111" i="15" s="1"/>
  <c r="CO111" i="15"/>
  <c r="CP111" i="15" s="1"/>
  <c r="CI111" i="15"/>
  <c r="CJ111" i="15" s="1"/>
  <c r="CK327" i="15"/>
  <c r="CL327" i="15" s="1"/>
  <c r="CO327" i="15"/>
  <c r="CP327" i="15" s="1"/>
  <c r="CI327" i="15"/>
  <c r="CJ327" i="15" s="1"/>
  <c r="CM327" i="15"/>
  <c r="CN327" i="15" s="1"/>
  <c r="CM244" i="15"/>
  <c r="CN244" i="15" s="1"/>
  <c r="CO244" i="15"/>
  <c r="CP244" i="15" s="1"/>
  <c r="CI244" i="15"/>
  <c r="CJ244" i="15" s="1"/>
  <c r="CK244" i="15"/>
  <c r="CL244" i="15" s="1"/>
  <c r="CM175" i="15"/>
  <c r="CN175" i="15" s="1"/>
  <c r="CO175" i="15"/>
  <c r="CP175" i="15" s="1"/>
  <c r="CI175" i="15"/>
  <c r="CJ175" i="15" s="1"/>
  <c r="CK175" i="15"/>
  <c r="CL175" i="15" s="1"/>
  <c r="CK369" i="15"/>
  <c r="CL369" i="15" s="1"/>
  <c r="CO369" i="15"/>
  <c r="CP369" i="15" s="1"/>
  <c r="CM369" i="15"/>
  <c r="CN369" i="15" s="1"/>
  <c r="CI369" i="15"/>
  <c r="CJ369" i="15" s="1"/>
  <c r="CM147" i="15"/>
  <c r="CN147" i="15" s="1"/>
  <c r="CO147" i="15"/>
  <c r="CP147" i="15" s="1"/>
  <c r="CI147" i="15"/>
  <c r="CJ147" i="15" s="1"/>
  <c r="CK147" i="15"/>
  <c r="CL147" i="15" s="1"/>
  <c r="CM171" i="15"/>
  <c r="CN171" i="15" s="1"/>
  <c r="CO171" i="15"/>
  <c r="CP171" i="15" s="1"/>
  <c r="CI171" i="15"/>
  <c r="CJ171" i="15" s="1"/>
  <c r="CK171" i="15"/>
  <c r="CL171" i="15" s="1"/>
  <c r="CK80" i="15"/>
  <c r="CL80" i="15" s="1"/>
  <c r="CM80" i="15"/>
  <c r="CN80" i="15" s="1"/>
  <c r="CO80" i="15"/>
  <c r="CP80" i="15" s="1"/>
  <c r="CI80" i="15"/>
  <c r="CJ80" i="15" s="1"/>
  <c r="CO710" i="15"/>
  <c r="CP710" i="15" s="1"/>
  <c r="CI710" i="15"/>
  <c r="CJ710" i="15" s="1"/>
  <c r="CM710" i="15"/>
  <c r="CN710" i="15" s="1"/>
  <c r="CK710" i="15"/>
  <c r="CL710" i="15" s="1"/>
  <c r="CO786" i="15"/>
  <c r="CP786" i="15" s="1"/>
  <c r="CI786" i="15"/>
  <c r="CJ786" i="15" s="1"/>
  <c r="CM786" i="15"/>
  <c r="CN786" i="15" s="1"/>
  <c r="CK786" i="15"/>
  <c r="CL786" i="15" s="1"/>
  <c r="CK403" i="15"/>
  <c r="CL403" i="15" s="1"/>
  <c r="CO403" i="15"/>
  <c r="CP403" i="15" s="1"/>
  <c r="CI403" i="15"/>
  <c r="CJ403" i="15" s="1"/>
  <c r="CM403" i="15"/>
  <c r="CN403" i="15" s="1"/>
  <c r="CK522" i="15"/>
  <c r="CL522" i="15" s="1"/>
  <c r="CM522" i="15"/>
  <c r="CN522" i="15" s="1"/>
  <c r="CO522" i="15"/>
  <c r="CP522" i="15" s="1"/>
  <c r="CI522" i="15"/>
  <c r="CJ522" i="15" s="1"/>
  <c r="CK573" i="15"/>
  <c r="CL573" i="15" s="1"/>
  <c r="CM573" i="15"/>
  <c r="CN573" i="15" s="1"/>
  <c r="CO573" i="15"/>
  <c r="CP573" i="15" s="1"/>
  <c r="CI573" i="15"/>
  <c r="CJ573" i="15" s="1"/>
  <c r="CI777" i="15"/>
  <c r="CJ777" i="15" s="1"/>
  <c r="CO777" i="15"/>
  <c r="CP777" i="15" s="1"/>
  <c r="CM777" i="15"/>
  <c r="CN777" i="15" s="1"/>
  <c r="CK777" i="15"/>
  <c r="CL777" i="15" s="1"/>
  <c r="CK46" i="15"/>
  <c r="CL46" i="15" s="1"/>
  <c r="CM46" i="15"/>
  <c r="CN46" i="15" s="1"/>
  <c r="CO46" i="15"/>
  <c r="CP46" i="15" s="1"/>
  <c r="CI46" i="15"/>
  <c r="CJ46" i="15" s="1"/>
  <c r="CO859" i="15"/>
  <c r="CP859" i="15" s="1"/>
  <c r="CI859" i="15"/>
  <c r="CJ859" i="15" s="1"/>
  <c r="CM859" i="15"/>
  <c r="CN859" i="15" s="1"/>
  <c r="CK859" i="15"/>
  <c r="CL859" i="15" s="1"/>
  <c r="CI835" i="15"/>
  <c r="CJ835" i="15" s="1"/>
  <c r="CK835" i="15"/>
  <c r="CL835" i="15" s="1"/>
  <c r="CM835" i="15"/>
  <c r="CN835" i="15" s="1"/>
  <c r="CO835" i="15"/>
  <c r="CP835" i="15" s="1"/>
  <c r="BU704" i="15"/>
  <c r="BV704" i="15" s="1"/>
  <c r="CO704" i="15"/>
  <c r="CP704" i="15" s="1"/>
  <c r="CI704" i="15"/>
  <c r="CJ704" i="15" s="1"/>
  <c r="CM704" i="15"/>
  <c r="CN704" i="15" s="1"/>
  <c r="CK704" i="15"/>
  <c r="CL704" i="15" s="1"/>
  <c r="CK289" i="15"/>
  <c r="CL289" i="15" s="1"/>
  <c r="CO289" i="15"/>
  <c r="CP289" i="15" s="1"/>
  <c r="CI289" i="15"/>
  <c r="CJ289" i="15" s="1"/>
  <c r="CM289" i="15"/>
  <c r="CN289" i="15" s="1"/>
  <c r="CK362" i="15"/>
  <c r="CL362" i="15" s="1"/>
  <c r="CO362" i="15"/>
  <c r="CP362" i="15" s="1"/>
  <c r="CI362" i="15"/>
  <c r="CJ362" i="15" s="1"/>
  <c r="CM362" i="15"/>
  <c r="CN362" i="15" s="1"/>
  <c r="CK344" i="15"/>
  <c r="CL344" i="15" s="1"/>
  <c r="CO344" i="15"/>
  <c r="CP344" i="15" s="1"/>
  <c r="CI344" i="15"/>
  <c r="CJ344" i="15" s="1"/>
  <c r="CM344" i="15"/>
  <c r="CN344" i="15" s="1"/>
  <c r="CK330" i="15"/>
  <c r="CL330" i="15" s="1"/>
  <c r="CO330" i="15"/>
  <c r="CP330" i="15" s="1"/>
  <c r="CI330" i="15"/>
  <c r="CJ330" i="15" s="1"/>
  <c r="CM330" i="15"/>
  <c r="CN330" i="15" s="1"/>
  <c r="CK77" i="15"/>
  <c r="CL77" i="15" s="1"/>
  <c r="CM77" i="15"/>
  <c r="CN77" i="15" s="1"/>
  <c r="CO77" i="15"/>
  <c r="CP77" i="15" s="1"/>
  <c r="CI77" i="15"/>
  <c r="CJ77" i="15" s="1"/>
  <c r="CO852" i="15"/>
  <c r="CP852" i="15" s="1"/>
  <c r="CI852" i="15"/>
  <c r="CJ852" i="15" s="1"/>
  <c r="CK852" i="15"/>
  <c r="CL852" i="15" s="1"/>
  <c r="CM852" i="15"/>
  <c r="CN852" i="15" s="1"/>
  <c r="CO854" i="15"/>
  <c r="CP854" i="15" s="1"/>
  <c r="CI854" i="15"/>
  <c r="CJ854" i="15" s="1"/>
  <c r="CK854" i="15"/>
  <c r="CL854" i="15" s="1"/>
  <c r="CM854" i="15"/>
  <c r="CN854" i="15" s="1"/>
  <c r="CO809" i="15"/>
  <c r="CP809" i="15" s="1"/>
  <c r="CI809" i="15"/>
  <c r="CJ809" i="15" s="1"/>
  <c r="CK809" i="15"/>
  <c r="CL809" i="15" s="1"/>
  <c r="CM809" i="15"/>
  <c r="CN809" i="15" s="1"/>
  <c r="CO850" i="15"/>
  <c r="CP850" i="15" s="1"/>
  <c r="CI850" i="15"/>
  <c r="CJ850" i="15" s="1"/>
  <c r="CK850" i="15"/>
  <c r="CL850" i="15" s="1"/>
  <c r="CM850" i="15"/>
  <c r="CN850" i="15" s="1"/>
  <c r="CO821" i="15"/>
  <c r="CP821" i="15" s="1"/>
  <c r="CI821" i="15"/>
  <c r="CJ821" i="15" s="1"/>
  <c r="CK821" i="15"/>
  <c r="CL821" i="15" s="1"/>
  <c r="CM821" i="15"/>
  <c r="CN821" i="15" s="1"/>
  <c r="CO740" i="15"/>
  <c r="CP740" i="15" s="1"/>
  <c r="CI740" i="15"/>
  <c r="CJ740" i="15" s="1"/>
  <c r="CM740" i="15"/>
  <c r="CN740" i="15" s="1"/>
  <c r="CK740" i="15"/>
  <c r="CL740" i="15" s="1"/>
  <c r="CO810" i="15"/>
  <c r="CP810" i="15" s="1"/>
  <c r="CI810" i="15"/>
  <c r="CJ810" i="15" s="1"/>
  <c r="CM810" i="15"/>
  <c r="CN810" i="15" s="1"/>
  <c r="CK810" i="15"/>
  <c r="CL810" i="15" s="1"/>
  <c r="CI842" i="15"/>
  <c r="CJ842" i="15" s="1"/>
  <c r="CK842" i="15"/>
  <c r="CL842" i="15" s="1"/>
  <c r="CM842" i="15"/>
  <c r="CN842" i="15" s="1"/>
  <c r="CO842" i="15"/>
  <c r="CP842" i="15" s="1"/>
  <c r="CO805" i="15"/>
  <c r="CP805" i="15" s="1"/>
  <c r="CI805" i="15"/>
  <c r="CJ805" i="15" s="1"/>
  <c r="CK805" i="15"/>
  <c r="CL805" i="15" s="1"/>
  <c r="CM805" i="15"/>
  <c r="CN805" i="15" s="1"/>
  <c r="CO788" i="15"/>
  <c r="CP788" i="15" s="1"/>
  <c r="CI788" i="15"/>
  <c r="CJ788" i="15" s="1"/>
  <c r="CM788" i="15"/>
  <c r="CN788" i="15" s="1"/>
  <c r="CK788" i="15"/>
  <c r="CL788" i="15" s="1"/>
  <c r="CO758" i="15"/>
  <c r="CP758" i="15" s="1"/>
  <c r="CI758" i="15"/>
  <c r="CJ758" i="15" s="1"/>
  <c r="CM758" i="15"/>
  <c r="CN758" i="15" s="1"/>
  <c r="CK758" i="15"/>
  <c r="CL758" i="15" s="1"/>
  <c r="CO719" i="15"/>
  <c r="CP719" i="15" s="1"/>
  <c r="CI719" i="15"/>
  <c r="CJ719" i="15" s="1"/>
  <c r="CK719" i="15"/>
  <c r="CL719" i="15" s="1"/>
  <c r="CM719" i="15"/>
  <c r="CN719" i="15" s="1"/>
  <c r="CI682" i="15"/>
  <c r="CJ682" i="15" s="1"/>
  <c r="CK682" i="15"/>
  <c r="CL682" i="15" s="1"/>
  <c r="CM682" i="15"/>
  <c r="CN682" i="15" s="1"/>
  <c r="CO682" i="15"/>
  <c r="CP682" i="15" s="1"/>
  <c r="CI678" i="15"/>
  <c r="CJ678" i="15" s="1"/>
  <c r="CK678" i="15"/>
  <c r="CL678" i="15" s="1"/>
  <c r="CM678" i="15"/>
  <c r="CN678" i="15" s="1"/>
  <c r="CO678" i="15"/>
  <c r="CP678" i="15" s="1"/>
  <c r="CO770" i="15"/>
  <c r="CP770" i="15" s="1"/>
  <c r="CI770" i="15"/>
  <c r="CJ770" i="15" s="1"/>
  <c r="CM770" i="15"/>
  <c r="CN770" i="15" s="1"/>
  <c r="CK770" i="15"/>
  <c r="CL770" i="15" s="1"/>
  <c r="CI659" i="15"/>
  <c r="CJ659" i="15" s="1"/>
  <c r="CK659" i="15"/>
  <c r="CL659" i="15" s="1"/>
  <c r="CM659" i="15"/>
  <c r="CN659" i="15" s="1"/>
  <c r="CO659" i="15"/>
  <c r="CP659" i="15" s="1"/>
  <c r="CI643" i="15"/>
  <c r="CJ643" i="15" s="1"/>
  <c r="CK643" i="15"/>
  <c r="CL643" i="15" s="1"/>
  <c r="CM643" i="15"/>
  <c r="CN643" i="15" s="1"/>
  <c r="CO643" i="15"/>
  <c r="CP643" i="15" s="1"/>
  <c r="CO747" i="15"/>
  <c r="CP747" i="15" s="1"/>
  <c r="CI747" i="15"/>
  <c r="CJ747" i="15" s="1"/>
  <c r="CK747" i="15"/>
  <c r="CL747" i="15" s="1"/>
  <c r="CM747" i="15"/>
  <c r="CN747" i="15" s="1"/>
  <c r="CO693" i="15"/>
  <c r="CP693" i="15" s="1"/>
  <c r="CI693" i="15"/>
  <c r="CJ693" i="15" s="1"/>
  <c r="CK693" i="15"/>
  <c r="CL693" i="15" s="1"/>
  <c r="CM693" i="15"/>
  <c r="CN693" i="15" s="1"/>
  <c r="CI644" i="15"/>
  <c r="CJ644" i="15" s="1"/>
  <c r="CK644" i="15"/>
  <c r="CL644" i="15" s="1"/>
  <c r="CM644" i="15"/>
  <c r="CN644" i="15" s="1"/>
  <c r="CO644" i="15"/>
  <c r="CP644" i="15" s="1"/>
  <c r="CI654" i="15"/>
  <c r="CJ654" i="15" s="1"/>
  <c r="CK654" i="15"/>
  <c r="CL654" i="15" s="1"/>
  <c r="CM654" i="15"/>
  <c r="CN654" i="15" s="1"/>
  <c r="CO654" i="15"/>
  <c r="CP654" i="15" s="1"/>
  <c r="CI583" i="15"/>
  <c r="CJ583" i="15" s="1"/>
  <c r="CK583" i="15"/>
  <c r="CL583" i="15" s="1"/>
  <c r="CM583" i="15"/>
  <c r="CN583" i="15" s="1"/>
  <c r="CO583" i="15"/>
  <c r="CP583" i="15" s="1"/>
  <c r="CK446" i="15"/>
  <c r="CL446" i="15" s="1"/>
  <c r="CM446" i="15"/>
  <c r="CN446" i="15" s="1"/>
  <c r="CO446" i="15"/>
  <c r="CP446" i="15" s="1"/>
  <c r="CI446" i="15"/>
  <c r="CJ446" i="15" s="1"/>
  <c r="CI661" i="15"/>
  <c r="CJ661" i="15" s="1"/>
  <c r="CK661" i="15"/>
  <c r="CL661" i="15" s="1"/>
  <c r="CM661" i="15"/>
  <c r="CN661" i="15" s="1"/>
  <c r="CO661" i="15"/>
  <c r="CP661" i="15" s="1"/>
  <c r="CI635" i="15"/>
  <c r="CJ635" i="15" s="1"/>
  <c r="CK635" i="15"/>
  <c r="CL635" i="15" s="1"/>
  <c r="CM635" i="15"/>
  <c r="CN635" i="15" s="1"/>
  <c r="CO635" i="15"/>
  <c r="CP635" i="15" s="1"/>
  <c r="CK508" i="15"/>
  <c r="CL508" i="15" s="1"/>
  <c r="CM508" i="15"/>
  <c r="CN508" i="15" s="1"/>
  <c r="CO508" i="15"/>
  <c r="CP508" i="15" s="1"/>
  <c r="CI508" i="15"/>
  <c r="CJ508" i="15" s="1"/>
  <c r="CK488" i="15"/>
  <c r="CL488" i="15" s="1"/>
  <c r="CM488" i="15"/>
  <c r="CN488" i="15" s="1"/>
  <c r="CO488" i="15"/>
  <c r="CP488" i="15" s="1"/>
  <c r="CI488" i="15"/>
  <c r="CJ488" i="15" s="1"/>
  <c r="CK480" i="15"/>
  <c r="CL480" i="15" s="1"/>
  <c r="CM480" i="15"/>
  <c r="CN480" i="15" s="1"/>
  <c r="CO480" i="15"/>
  <c r="CP480" i="15" s="1"/>
  <c r="CI480" i="15"/>
  <c r="CJ480" i="15" s="1"/>
  <c r="CK426" i="15"/>
  <c r="CL426" i="15" s="1"/>
  <c r="CO426" i="15"/>
  <c r="CP426" i="15" s="1"/>
  <c r="CI426" i="15"/>
  <c r="CJ426" i="15" s="1"/>
  <c r="CM426" i="15"/>
  <c r="CN426" i="15" s="1"/>
  <c r="CK418" i="15"/>
  <c r="CL418" i="15" s="1"/>
  <c r="CO418" i="15"/>
  <c r="CP418" i="15" s="1"/>
  <c r="CI418" i="15"/>
  <c r="CJ418" i="15" s="1"/>
  <c r="CM418" i="15"/>
  <c r="CN418" i="15" s="1"/>
  <c r="CK410" i="15"/>
  <c r="CL410" i="15" s="1"/>
  <c r="CO410" i="15"/>
  <c r="CP410" i="15" s="1"/>
  <c r="CI410" i="15"/>
  <c r="CJ410" i="15" s="1"/>
  <c r="CM410" i="15"/>
  <c r="CN410" i="15" s="1"/>
  <c r="CI715" i="15"/>
  <c r="CJ715" i="15" s="1"/>
  <c r="CO715" i="15"/>
  <c r="CP715" i="15" s="1"/>
  <c r="CM715" i="15"/>
  <c r="CN715" i="15" s="1"/>
  <c r="CK715" i="15"/>
  <c r="CL715" i="15" s="1"/>
  <c r="CI666" i="15"/>
  <c r="CJ666" i="15" s="1"/>
  <c r="CK666" i="15"/>
  <c r="CL666" i="15" s="1"/>
  <c r="CM666" i="15"/>
  <c r="CN666" i="15" s="1"/>
  <c r="CO666" i="15"/>
  <c r="CP666" i="15" s="1"/>
  <c r="CK605" i="15"/>
  <c r="CL605" i="15" s="1"/>
  <c r="CM605" i="15"/>
  <c r="CN605" i="15" s="1"/>
  <c r="CO605" i="15"/>
  <c r="CP605" i="15" s="1"/>
  <c r="CI605" i="15"/>
  <c r="CJ605" i="15" s="1"/>
  <c r="CI589" i="15"/>
  <c r="CJ589" i="15" s="1"/>
  <c r="CK589" i="15"/>
  <c r="CL589" i="15" s="1"/>
  <c r="CM589" i="15"/>
  <c r="CN589" i="15" s="1"/>
  <c r="CO589" i="15"/>
  <c r="CP589" i="15" s="1"/>
  <c r="CI623" i="15"/>
  <c r="CJ623" i="15" s="1"/>
  <c r="CK623" i="15"/>
  <c r="CL623" i="15" s="1"/>
  <c r="CM623" i="15"/>
  <c r="CN623" i="15" s="1"/>
  <c r="CO623" i="15"/>
  <c r="CP623" i="15" s="1"/>
  <c r="CK544" i="15"/>
  <c r="CL544" i="15" s="1"/>
  <c r="CM544" i="15"/>
  <c r="CN544" i="15" s="1"/>
  <c r="CO544" i="15"/>
  <c r="CP544" i="15" s="1"/>
  <c r="CI544" i="15"/>
  <c r="CJ544" i="15" s="1"/>
  <c r="CK516" i="15"/>
  <c r="CL516" i="15" s="1"/>
  <c r="CM516" i="15"/>
  <c r="CN516" i="15" s="1"/>
  <c r="CO516" i="15"/>
  <c r="CP516" i="15" s="1"/>
  <c r="CI516" i="15"/>
  <c r="CJ516" i="15" s="1"/>
  <c r="CK468" i="15"/>
  <c r="CL468" i="15" s="1"/>
  <c r="CM468" i="15"/>
  <c r="CN468" i="15" s="1"/>
  <c r="CO468" i="15"/>
  <c r="CP468" i="15" s="1"/>
  <c r="CI468" i="15"/>
  <c r="CJ468" i="15" s="1"/>
  <c r="CK417" i="15"/>
  <c r="CL417" i="15" s="1"/>
  <c r="CO417" i="15"/>
  <c r="CP417" i="15" s="1"/>
  <c r="CI417" i="15"/>
  <c r="CJ417" i="15" s="1"/>
  <c r="CM417" i="15"/>
  <c r="CN417" i="15" s="1"/>
  <c r="CK390" i="15"/>
  <c r="CL390" i="15" s="1"/>
  <c r="CO390" i="15"/>
  <c r="CP390" i="15" s="1"/>
  <c r="CI390" i="15"/>
  <c r="CJ390" i="15" s="1"/>
  <c r="CM390" i="15"/>
  <c r="CN390" i="15" s="1"/>
  <c r="CK315" i="15"/>
  <c r="CL315" i="15" s="1"/>
  <c r="CO315" i="15"/>
  <c r="CP315" i="15" s="1"/>
  <c r="CI315" i="15"/>
  <c r="CJ315" i="15" s="1"/>
  <c r="CM315" i="15"/>
  <c r="CN315" i="15" s="1"/>
  <c r="CI616" i="15"/>
  <c r="CJ616" i="15" s="1"/>
  <c r="CK616" i="15"/>
  <c r="CL616" i="15" s="1"/>
  <c r="CM616" i="15"/>
  <c r="CN616" i="15" s="1"/>
  <c r="CO616" i="15"/>
  <c r="CP616" i="15" s="1"/>
  <c r="CK443" i="15"/>
  <c r="CL443" i="15" s="1"/>
  <c r="CM443" i="15"/>
  <c r="CN443" i="15" s="1"/>
  <c r="CO443" i="15"/>
  <c r="CP443" i="15" s="1"/>
  <c r="CI443" i="15"/>
  <c r="CJ443" i="15" s="1"/>
  <c r="CK318" i="15"/>
  <c r="CL318" i="15" s="1"/>
  <c r="CO318" i="15"/>
  <c r="CP318" i="15" s="1"/>
  <c r="CM318" i="15"/>
  <c r="CN318" i="15" s="1"/>
  <c r="CI318" i="15"/>
  <c r="CJ318" i="15" s="1"/>
  <c r="CI626" i="15"/>
  <c r="CJ626" i="15" s="1"/>
  <c r="CK626" i="15"/>
  <c r="CL626" i="15" s="1"/>
  <c r="CM626" i="15"/>
  <c r="CN626" i="15" s="1"/>
  <c r="CO626" i="15"/>
  <c r="CP626" i="15" s="1"/>
  <c r="CK531" i="15"/>
  <c r="CL531" i="15" s="1"/>
  <c r="CM531" i="15"/>
  <c r="CN531" i="15" s="1"/>
  <c r="CO531" i="15"/>
  <c r="CP531" i="15" s="1"/>
  <c r="CI531" i="15"/>
  <c r="CJ531" i="15" s="1"/>
  <c r="CK498" i="15"/>
  <c r="CL498" i="15" s="1"/>
  <c r="CM498" i="15"/>
  <c r="CN498" i="15" s="1"/>
  <c r="CO498" i="15"/>
  <c r="CP498" i="15" s="1"/>
  <c r="CI498" i="15"/>
  <c r="CJ498" i="15" s="1"/>
  <c r="CK462" i="15"/>
  <c r="CL462" i="15" s="1"/>
  <c r="CM462" i="15"/>
  <c r="CN462" i="15" s="1"/>
  <c r="CO462" i="15"/>
  <c r="CP462" i="15" s="1"/>
  <c r="CI462" i="15"/>
  <c r="CJ462" i="15" s="1"/>
  <c r="CK445" i="15"/>
  <c r="CL445" i="15" s="1"/>
  <c r="CM445" i="15"/>
  <c r="CN445" i="15" s="1"/>
  <c r="CO445" i="15"/>
  <c r="CP445" i="15" s="1"/>
  <c r="CI445" i="15"/>
  <c r="CJ445" i="15" s="1"/>
  <c r="CK415" i="15"/>
  <c r="CL415" i="15" s="1"/>
  <c r="CO415" i="15"/>
  <c r="CP415" i="15" s="1"/>
  <c r="CI415" i="15"/>
  <c r="CJ415" i="15" s="1"/>
  <c r="CM415" i="15"/>
  <c r="CN415" i="15" s="1"/>
  <c r="CK383" i="15"/>
  <c r="CL383" i="15" s="1"/>
  <c r="CO383" i="15"/>
  <c r="CP383" i="15" s="1"/>
  <c r="CI383" i="15"/>
  <c r="CJ383" i="15" s="1"/>
  <c r="CM383" i="15"/>
  <c r="CN383" i="15" s="1"/>
  <c r="CK316" i="15"/>
  <c r="CL316" i="15" s="1"/>
  <c r="CO316" i="15"/>
  <c r="CP316" i="15" s="1"/>
  <c r="CM316" i="15"/>
  <c r="CN316" i="15" s="1"/>
  <c r="CI316" i="15"/>
  <c r="CJ316" i="15" s="1"/>
  <c r="CI146" i="15"/>
  <c r="CJ146" i="15" s="1"/>
  <c r="CO146" i="15"/>
  <c r="CP146" i="15" s="1"/>
  <c r="CM146" i="15"/>
  <c r="CN146" i="15" s="1"/>
  <c r="CK146" i="15"/>
  <c r="CL146" i="15" s="1"/>
  <c r="CI636" i="15"/>
  <c r="CJ636" i="15" s="1"/>
  <c r="CK636" i="15"/>
  <c r="CL636" i="15" s="1"/>
  <c r="CM636" i="15"/>
  <c r="CN636" i="15" s="1"/>
  <c r="CO636" i="15"/>
  <c r="CP636" i="15" s="1"/>
  <c r="CK511" i="15"/>
  <c r="CL511" i="15" s="1"/>
  <c r="CM511" i="15"/>
  <c r="CN511" i="15" s="1"/>
  <c r="CO511" i="15"/>
  <c r="CP511" i="15" s="1"/>
  <c r="CI511" i="15"/>
  <c r="CJ511" i="15" s="1"/>
  <c r="CK447" i="15"/>
  <c r="CL447" i="15" s="1"/>
  <c r="CM447" i="15"/>
  <c r="CN447" i="15" s="1"/>
  <c r="CO447" i="15"/>
  <c r="CP447" i="15" s="1"/>
  <c r="CI447" i="15"/>
  <c r="CJ447" i="15" s="1"/>
  <c r="CK310" i="15"/>
  <c r="CL310" i="15" s="1"/>
  <c r="CO310" i="15"/>
  <c r="CP310" i="15" s="1"/>
  <c r="CM310" i="15"/>
  <c r="CN310" i="15" s="1"/>
  <c r="CI310" i="15"/>
  <c r="CJ310" i="15" s="1"/>
  <c r="CO697" i="15"/>
  <c r="CP697" i="15" s="1"/>
  <c r="CI697" i="15"/>
  <c r="CJ697" i="15" s="1"/>
  <c r="CK697" i="15"/>
  <c r="CL697" i="15" s="1"/>
  <c r="CM697" i="15"/>
  <c r="CN697" i="15" s="1"/>
  <c r="CI624" i="15"/>
  <c r="CJ624" i="15" s="1"/>
  <c r="CK624" i="15"/>
  <c r="CL624" i="15" s="1"/>
  <c r="CM624" i="15"/>
  <c r="CN624" i="15" s="1"/>
  <c r="CO624" i="15"/>
  <c r="CP624" i="15" s="1"/>
  <c r="CK534" i="15"/>
  <c r="CL534" i="15" s="1"/>
  <c r="CM534" i="15"/>
  <c r="CN534" i="15" s="1"/>
  <c r="CO534" i="15"/>
  <c r="CP534" i="15" s="1"/>
  <c r="CI534" i="15"/>
  <c r="CJ534" i="15" s="1"/>
  <c r="CK499" i="15"/>
  <c r="CL499" i="15" s="1"/>
  <c r="CM499" i="15"/>
  <c r="CN499" i="15" s="1"/>
  <c r="CO499" i="15"/>
  <c r="CP499" i="15" s="1"/>
  <c r="CI499" i="15"/>
  <c r="CJ499" i="15" s="1"/>
  <c r="CK421" i="15"/>
  <c r="CL421" i="15" s="1"/>
  <c r="CO421" i="15"/>
  <c r="CP421" i="15" s="1"/>
  <c r="CI421" i="15"/>
  <c r="CJ421" i="15" s="1"/>
  <c r="CM421" i="15"/>
  <c r="CN421" i="15" s="1"/>
  <c r="CK388" i="15"/>
  <c r="CL388" i="15" s="1"/>
  <c r="CO388" i="15"/>
  <c r="CP388" i="15" s="1"/>
  <c r="CI388" i="15"/>
  <c r="CJ388" i="15" s="1"/>
  <c r="CM388" i="15"/>
  <c r="CN388" i="15" s="1"/>
  <c r="CM372" i="15"/>
  <c r="CN372" i="15" s="1"/>
  <c r="CI372" i="15"/>
  <c r="CJ372" i="15" s="1"/>
  <c r="CO372" i="15"/>
  <c r="CP372" i="15" s="1"/>
  <c r="CK372" i="15"/>
  <c r="CL372" i="15" s="1"/>
  <c r="CK309" i="15"/>
  <c r="CL309" i="15" s="1"/>
  <c r="CO309" i="15"/>
  <c r="CP309" i="15" s="1"/>
  <c r="CI309" i="15"/>
  <c r="CJ309" i="15" s="1"/>
  <c r="CM309" i="15"/>
  <c r="CN309" i="15" s="1"/>
  <c r="CM227" i="15"/>
  <c r="CN227" i="15" s="1"/>
  <c r="CO227" i="15"/>
  <c r="CP227" i="15" s="1"/>
  <c r="CI227" i="15"/>
  <c r="CJ227" i="15" s="1"/>
  <c r="CK227" i="15"/>
  <c r="CL227" i="15" s="1"/>
  <c r="CM154" i="15"/>
  <c r="CN154" i="15" s="1"/>
  <c r="CO154" i="15"/>
  <c r="CP154" i="15" s="1"/>
  <c r="CI154" i="15"/>
  <c r="CJ154" i="15" s="1"/>
  <c r="CK154" i="15"/>
  <c r="CL154" i="15" s="1"/>
  <c r="CO716" i="15"/>
  <c r="CP716" i="15" s="1"/>
  <c r="CI716" i="15"/>
  <c r="CJ716" i="15" s="1"/>
  <c r="CM716" i="15"/>
  <c r="CN716" i="15" s="1"/>
  <c r="CK716" i="15"/>
  <c r="CL716" i="15" s="1"/>
  <c r="CK487" i="15"/>
  <c r="CL487" i="15" s="1"/>
  <c r="CM487" i="15"/>
  <c r="CN487" i="15" s="1"/>
  <c r="CO487" i="15"/>
  <c r="CP487" i="15" s="1"/>
  <c r="CI487" i="15"/>
  <c r="CJ487" i="15" s="1"/>
  <c r="CK419" i="15"/>
  <c r="CL419" i="15" s="1"/>
  <c r="CO419" i="15"/>
  <c r="CP419" i="15" s="1"/>
  <c r="CI419" i="15"/>
  <c r="CJ419" i="15" s="1"/>
  <c r="CM419" i="15"/>
  <c r="CN419" i="15" s="1"/>
  <c r="CK322" i="15"/>
  <c r="CL322" i="15" s="1"/>
  <c r="CO322" i="15"/>
  <c r="CP322" i="15" s="1"/>
  <c r="CM322" i="15"/>
  <c r="CN322" i="15" s="1"/>
  <c r="CI322" i="15"/>
  <c r="CJ322" i="15" s="1"/>
  <c r="CK349" i="15"/>
  <c r="CL349" i="15" s="1"/>
  <c r="CO349" i="15"/>
  <c r="CP349" i="15" s="1"/>
  <c r="CI349" i="15"/>
  <c r="CJ349" i="15" s="1"/>
  <c r="CM349" i="15"/>
  <c r="CN349" i="15" s="1"/>
  <c r="CK298" i="15"/>
  <c r="CL298" i="15" s="1"/>
  <c r="CO298" i="15"/>
  <c r="CP298" i="15" s="1"/>
  <c r="CM298" i="15"/>
  <c r="CN298" i="15" s="1"/>
  <c r="CI298" i="15"/>
  <c r="CJ298" i="15" s="1"/>
  <c r="CM213" i="15"/>
  <c r="CN213" i="15" s="1"/>
  <c r="CO213" i="15"/>
  <c r="CP213" i="15" s="1"/>
  <c r="CI213" i="15"/>
  <c r="CJ213" i="15" s="1"/>
  <c r="CK213" i="15"/>
  <c r="CL213" i="15" s="1"/>
  <c r="CM197" i="15"/>
  <c r="CN197" i="15" s="1"/>
  <c r="CO197" i="15"/>
  <c r="CP197" i="15" s="1"/>
  <c r="CI197" i="15"/>
  <c r="CJ197" i="15" s="1"/>
  <c r="CK197" i="15"/>
  <c r="CL197" i="15" s="1"/>
  <c r="CM180" i="15"/>
  <c r="CN180" i="15" s="1"/>
  <c r="CO180" i="15"/>
  <c r="CP180" i="15" s="1"/>
  <c r="CI180" i="15"/>
  <c r="CJ180" i="15" s="1"/>
  <c r="CK180" i="15"/>
  <c r="CL180" i="15" s="1"/>
  <c r="CM164" i="15"/>
  <c r="CN164" i="15" s="1"/>
  <c r="CO164" i="15"/>
  <c r="CP164" i="15" s="1"/>
  <c r="CI164" i="15"/>
  <c r="CJ164" i="15" s="1"/>
  <c r="CK164" i="15"/>
  <c r="CL164" i="15" s="1"/>
  <c r="CK141" i="15"/>
  <c r="CL141" i="15" s="1"/>
  <c r="CM141" i="15"/>
  <c r="CN141" i="15" s="1"/>
  <c r="CO141" i="15"/>
  <c r="CP141" i="15" s="1"/>
  <c r="CI141" i="15"/>
  <c r="CJ141" i="15" s="1"/>
  <c r="CO127" i="15"/>
  <c r="CP127" i="15" s="1"/>
  <c r="CI127" i="15"/>
  <c r="CJ127" i="15" s="1"/>
  <c r="CK127" i="15"/>
  <c r="CL127" i="15" s="1"/>
  <c r="CM127" i="15"/>
  <c r="CN127" i="15" s="1"/>
  <c r="CK63" i="15"/>
  <c r="CL63" i="15" s="1"/>
  <c r="CM63" i="15"/>
  <c r="CN63" i="15" s="1"/>
  <c r="CO63" i="15"/>
  <c r="CP63" i="15" s="1"/>
  <c r="CI63" i="15"/>
  <c r="CJ63" i="15" s="1"/>
  <c r="CK47" i="15"/>
  <c r="CL47" i="15" s="1"/>
  <c r="CM47" i="15"/>
  <c r="CN47" i="15" s="1"/>
  <c r="CO47" i="15"/>
  <c r="CP47" i="15" s="1"/>
  <c r="CI47" i="15"/>
  <c r="CJ47" i="15" s="1"/>
  <c r="CK17" i="15"/>
  <c r="CL17" i="15" s="1"/>
  <c r="CM17" i="15"/>
  <c r="CN17" i="15" s="1"/>
  <c r="CI17" i="15"/>
  <c r="CJ17" i="15" s="1"/>
  <c r="CO17" i="15"/>
  <c r="CP17" i="15" s="1"/>
  <c r="CK90" i="15"/>
  <c r="CL90" i="15" s="1"/>
  <c r="CM90" i="15"/>
  <c r="CN90" i="15" s="1"/>
  <c r="CO90" i="15"/>
  <c r="CP90" i="15" s="1"/>
  <c r="CI90" i="15"/>
  <c r="CJ90" i="15" s="1"/>
  <c r="CK18" i="15"/>
  <c r="CL18" i="15" s="1"/>
  <c r="CM18" i="15"/>
  <c r="CN18" i="15" s="1"/>
  <c r="CO18" i="15"/>
  <c r="CP18" i="15" s="1"/>
  <c r="CI18" i="15"/>
  <c r="CJ18" i="15" s="1"/>
  <c r="CM194" i="15"/>
  <c r="CN194" i="15" s="1"/>
  <c r="CO194" i="15"/>
  <c r="CP194" i="15" s="1"/>
  <c r="CI194" i="15"/>
  <c r="CJ194" i="15" s="1"/>
  <c r="CK194" i="15"/>
  <c r="CL194" i="15" s="1"/>
  <c r="CM156" i="15"/>
  <c r="CN156" i="15" s="1"/>
  <c r="CO156" i="15"/>
  <c r="CP156" i="15" s="1"/>
  <c r="CI156" i="15"/>
  <c r="CJ156" i="15" s="1"/>
  <c r="CK156" i="15"/>
  <c r="CL156" i="15" s="1"/>
  <c r="CK95" i="15"/>
  <c r="CL95" i="15" s="1"/>
  <c r="CM95" i="15"/>
  <c r="CN95" i="15" s="1"/>
  <c r="CO95" i="15"/>
  <c r="CP95" i="15" s="1"/>
  <c r="CI95" i="15"/>
  <c r="CJ95" i="15" s="1"/>
  <c r="CK61" i="15"/>
  <c r="CL61" i="15" s="1"/>
  <c r="CM61" i="15"/>
  <c r="CN61" i="15" s="1"/>
  <c r="CO61" i="15"/>
  <c r="CP61" i="15" s="1"/>
  <c r="CI61" i="15"/>
  <c r="CJ61" i="15" s="1"/>
  <c r="CK45" i="15"/>
  <c r="CL45" i="15" s="1"/>
  <c r="CM45" i="15"/>
  <c r="CN45" i="15" s="1"/>
  <c r="CO45" i="15"/>
  <c r="CP45" i="15" s="1"/>
  <c r="CI45" i="15"/>
  <c r="CJ45" i="15" s="1"/>
  <c r="CK367" i="15"/>
  <c r="CL367" i="15" s="1"/>
  <c r="CO367" i="15"/>
  <c r="CP367" i="15" s="1"/>
  <c r="CM367" i="15"/>
  <c r="CN367" i="15" s="1"/>
  <c r="CI367" i="15"/>
  <c r="CJ367" i="15" s="1"/>
  <c r="CK335" i="15"/>
  <c r="CL335" i="15" s="1"/>
  <c r="CO335" i="15"/>
  <c r="CP335" i="15" s="1"/>
  <c r="CI335" i="15"/>
  <c r="CJ335" i="15" s="1"/>
  <c r="CM335" i="15"/>
  <c r="CN335" i="15" s="1"/>
  <c r="CK265" i="15"/>
  <c r="CL265" i="15" s="1"/>
  <c r="CM265" i="15"/>
  <c r="CN265" i="15" s="1"/>
  <c r="CO265" i="15"/>
  <c r="CP265" i="15" s="1"/>
  <c r="CI265" i="15"/>
  <c r="CJ265" i="15" s="1"/>
  <c r="CK257" i="15"/>
  <c r="CL257" i="15" s="1"/>
  <c r="CO257" i="15"/>
  <c r="CP257" i="15" s="1"/>
  <c r="CM257" i="15"/>
  <c r="CN257" i="15" s="1"/>
  <c r="CI257" i="15"/>
  <c r="CJ257" i="15" s="1"/>
  <c r="CM245" i="15"/>
  <c r="CN245" i="15" s="1"/>
  <c r="CO245" i="15"/>
  <c r="CP245" i="15" s="1"/>
  <c r="CI245" i="15"/>
  <c r="CJ245" i="15" s="1"/>
  <c r="CK245" i="15"/>
  <c r="CL245" i="15" s="1"/>
  <c r="CK233" i="15"/>
  <c r="CL233" i="15" s="1"/>
  <c r="CI233" i="15"/>
  <c r="CJ233" i="15" s="1"/>
  <c r="CO233" i="15"/>
  <c r="CP233" i="15" s="1"/>
  <c r="CM233" i="15"/>
  <c r="CN233" i="15" s="1"/>
  <c r="CM208" i="15"/>
  <c r="CN208" i="15" s="1"/>
  <c r="CO208" i="15"/>
  <c r="CP208" i="15" s="1"/>
  <c r="CI208" i="15"/>
  <c r="CJ208" i="15" s="1"/>
  <c r="CK208" i="15"/>
  <c r="CL208" i="15" s="1"/>
  <c r="CM179" i="15"/>
  <c r="CN179" i="15" s="1"/>
  <c r="CO179" i="15"/>
  <c r="CP179" i="15" s="1"/>
  <c r="CI179" i="15"/>
  <c r="CJ179" i="15" s="1"/>
  <c r="CK179" i="15"/>
  <c r="CL179" i="15" s="1"/>
  <c r="CK119" i="15"/>
  <c r="CL119" i="15" s="1"/>
  <c r="CM119" i="15"/>
  <c r="CN119" i="15" s="1"/>
  <c r="CO119" i="15"/>
  <c r="CP119" i="15" s="1"/>
  <c r="CI119" i="15"/>
  <c r="CJ119" i="15" s="1"/>
  <c r="CK103" i="15"/>
  <c r="CL103" i="15" s="1"/>
  <c r="CM103" i="15"/>
  <c r="CN103" i="15" s="1"/>
  <c r="CO103" i="15"/>
  <c r="CP103" i="15" s="1"/>
  <c r="CI103" i="15"/>
  <c r="CJ103" i="15" s="1"/>
  <c r="CO24" i="15"/>
  <c r="CP24" i="15" s="1"/>
  <c r="CI24" i="15"/>
  <c r="CJ24" i="15" s="1"/>
  <c r="CK24" i="15"/>
  <c r="CL24" i="15" s="1"/>
  <c r="CM24" i="15"/>
  <c r="CN24" i="15" s="1"/>
  <c r="CK343" i="15"/>
  <c r="CL343" i="15" s="1"/>
  <c r="CO343" i="15"/>
  <c r="CP343" i="15" s="1"/>
  <c r="CI343" i="15"/>
  <c r="CJ343" i="15" s="1"/>
  <c r="CM343" i="15"/>
  <c r="CN343" i="15" s="1"/>
  <c r="CK292" i="15"/>
  <c r="CL292" i="15" s="1"/>
  <c r="CO292" i="15"/>
  <c r="CP292" i="15" s="1"/>
  <c r="CM292" i="15"/>
  <c r="CN292" i="15" s="1"/>
  <c r="CI292" i="15"/>
  <c r="CJ292" i="15" s="1"/>
  <c r="CK266" i="15"/>
  <c r="CL266" i="15" s="1"/>
  <c r="CM266" i="15"/>
  <c r="CN266" i="15" s="1"/>
  <c r="CO266" i="15"/>
  <c r="CP266" i="15" s="1"/>
  <c r="CI266" i="15"/>
  <c r="CJ266" i="15" s="1"/>
  <c r="CK258" i="15"/>
  <c r="CL258" i="15" s="1"/>
  <c r="CO258" i="15"/>
  <c r="CP258" i="15" s="1"/>
  <c r="CI258" i="15"/>
  <c r="CJ258" i="15" s="1"/>
  <c r="CM258" i="15"/>
  <c r="CN258" i="15" s="1"/>
  <c r="CM248" i="15"/>
  <c r="CN248" i="15" s="1"/>
  <c r="CO248" i="15"/>
  <c r="CP248" i="15" s="1"/>
  <c r="CI248" i="15"/>
  <c r="CJ248" i="15" s="1"/>
  <c r="CK248" i="15"/>
  <c r="CL248" i="15" s="1"/>
  <c r="CM240" i="15"/>
  <c r="CN240" i="15" s="1"/>
  <c r="CO240" i="15"/>
  <c r="CP240" i="15" s="1"/>
  <c r="CI240" i="15"/>
  <c r="CJ240" i="15" s="1"/>
  <c r="CK240" i="15"/>
  <c r="CL240" i="15" s="1"/>
  <c r="CM230" i="15"/>
  <c r="CN230" i="15" s="1"/>
  <c r="CO230" i="15"/>
  <c r="CP230" i="15" s="1"/>
  <c r="CI230" i="15"/>
  <c r="CJ230" i="15" s="1"/>
  <c r="CK230" i="15"/>
  <c r="CL230" i="15" s="1"/>
  <c r="CM214" i="15"/>
  <c r="CN214" i="15" s="1"/>
  <c r="CO214" i="15"/>
  <c r="CP214" i="15" s="1"/>
  <c r="CI214" i="15"/>
  <c r="CJ214" i="15" s="1"/>
  <c r="CK214" i="15"/>
  <c r="CL214" i="15" s="1"/>
  <c r="CM198" i="15"/>
  <c r="CN198" i="15" s="1"/>
  <c r="CO198" i="15"/>
  <c r="CP198" i="15" s="1"/>
  <c r="CI198" i="15"/>
  <c r="CJ198" i="15" s="1"/>
  <c r="CK198" i="15"/>
  <c r="CL198" i="15" s="1"/>
  <c r="CM183" i="15"/>
  <c r="CN183" i="15" s="1"/>
  <c r="CO183" i="15"/>
  <c r="CP183" i="15" s="1"/>
  <c r="CI183" i="15"/>
  <c r="CJ183" i="15" s="1"/>
  <c r="CK183" i="15"/>
  <c r="CL183" i="15" s="1"/>
  <c r="CM160" i="15"/>
  <c r="CN160" i="15" s="1"/>
  <c r="CO160" i="15"/>
  <c r="CP160" i="15" s="1"/>
  <c r="CI160" i="15"/>
  <c r="CJ160" i="15" s="1"/>
  <c r="CK160" i="15"/>
  <c r="CL160" i="15" s="1"/>
  <c r="CK136" i="15"/>
  <c r="CL136" i="15" s="1"/>
  <c r="CM136" i="15"/>
  <c r="CN136" i="15" s="1"/>
  <c r="CO136" i="15"/>
  <c r="CP136" i="15" s="1"/>
  <c r="CI136" i="15"/>
  <c r="CJ136" i="15" s="1"/>
  <c r="CK60" i="15"/>
  <c r="CL60" i="15" s="1"/>
  <c r="CM60" i="15"/>
  <c r="CN60" i="15" s="1"/>
  <c r="CO60" i="15"/>
  <c r="CP60" i="15" s="1"/>
  <c r="CI60" i="15"/>
  <c r="CJ60" i="15" s="1"/>
  <c r="CK26" i="15"/>
  <c r="CL26" i="15" s="1"/>
  <c r="CM26" i="15"/>
  <c r="CN26" i="15" s="1"/>
  <c r="CO26" i="15"/>
  <c r="CP26" i="15" s="1"/>
  <c r="CI26" i="15"/>
  <c r="CJ26" i="15" s="1"/>
  <c r="CK355" i="15"/>
  <c r="CL355" i="15" s="1"/>
  <c r="CO355" i="15"/>
  <c r="CP355" i="15" s="1"/>
  <c r="CM355" i="15"/>
  <c r="CN355" i="15" s="1"/>
  <c r="CI355" i="15"/>
  <c r="CJ355" i="15" s="1"/>
  <c r="CK288" i="15"/>
  <c r="CL288" i="15" s="1"/>
  <c r="CO288" i="15"/>
  <c r="CP288" i="15" s="1"/>
  <c r="CM288" i="15"/>
  <c r="CN288" i="15" s="1"/>
  <c r="CI288" i="15"/>
  <c r="CJ288" i="15" s="1"/>
  <c r="CM210" i="15"/>
  <c r="CN210" i="15" s="1"/>
  <c r="CO210" i="15"/>
  <c r="CP210" i="15" s="1"/>
  <c r="CI210" i="15"/>
  <c r="CJ210" i="15" s="1"/>
  <c r="CK210" i="15"/>
  <c r="CL210" i="15" s="1"/>
  <c r="CM173" i="15"/>
  <c r="CN173" i="15" s="1"/>
  <c r="CO173" i="15"/>
  <c r="CP173" i="15" s="1"/>
  <c r="CI173" i="15"/>
  <c r="CJ173" i="15" s="1"/>
  <c r="CK173" i="15"/>
  <c r="CL173" i="15" s="1"/>
  <c r="CO133" i="15"/>
  <c r="CP133" i="15" s="1"/>
  <c r="CI133" i="15"/>
  <c r="CJ133" i="15" s="1"/>
  <c r="CK133" i="15"/>
  <c r="CL133" i="15" s="1"/>
  <c r="CM133" i="15"/>
  <c r="CN133" i="15" s="1"/>
  <c r="CM19" i="15"/>
  <c r="CN19" i="15" s="1"/>
  <c r="CI19" i="15"/>
  <c r="CJ19" i="15" s="1"/>
  <c r="CO19" i="15"/>
  <c r="CP19" i="15" s="1"/>
  <c r="CK19" i="15"/>
  <c r="CL19" i="15" s="1"/>
  <c r="CM225" i="15"/>
  <c r="CN225" i="15" s="1"/>
  <c r="CO225" i="15"/>
  <c r="CP225" i="15" s="1"/>
  <c r="CI225" i="15"/>
  <c r="CJ225" i="15" s="1"/>
  <c r="CK225" i="15"/>
  <c r="CL225" i="15" s="1"/>
  <c r="CM187" i="15"/>
  <c r="CN187" i="15" s="1"/>
  <c r="CO187" i="15"/>
  <c r="CP187" i="15" s="1"/>
  <c r="CI187" i="15"/>
  <c r="CJ187" i="15" s="1"/>
  <c r="CK187" i="15"/>
  <c r="CL187" i="15" s="1"/>
  <c r="CK140" i="15"/>
  <c r="CL140" i="15" s="1"/>
  <c r="CM140" i="15"/>
  <c r="CN140" i="15" s="1"/>
  <c r="CO140" i="15"/>
  <c r="CP140" i="15" s="1"/>
  <c r="CI140" i="15"/>
  <c r="CJ140" i="15" s="1"/>
  <c r="CM84" i="15"/>
  <c r="CN84" i="15" s="1"/>
  <c r="CK84" i="15"/>
  <c r="CL84" i="15" s="1"/>
  <c r="CI84" i="15"/>
  <c r="CJ84" i="15" s="1"/>
  <c r="CO84" i="15"/>
  <c r="CP84" i="15" s="1"/>
  <c r="CO12" i="15"/>
  <c r="CP12" i="15" s="1"/>
  <c r="CI12" i="15"/>
  <c r="CJ12" i="15" s="1"/>
  <c r="CK12" i="15"/>
  <c r="CL12" i="15" s="1"/>
  <c r="CM12" i="15"/>
  <c r="CN12" i="15" s="1"/>
  <c r="CK121" i="15"/>
  <c r="CL121" i="15" s="1"/>
  <c r="CM121" i="15"/>
  <c r="CN121" i="15" s="1"/>
  <c r="CO121" i="15"/>
  <c r="CP121" i="15" s="1"/>
  <c r="CI121" i="15"/>
  <c r="CJ121" i="15" s="1"/>
  <c r="CK37" i="15"/>
  <c r="CL37" i="15" s="1"/>
  <c r="CM37" i="15"/>
  <c r="CN37" i="15" s="1"/>
  <c r="CO37" i="15"/>
  <c r="CP37" i="15" s="1"/>
  <c r="CI37" i="15"/>
  <c r="CJ37" i="15" s="1"/>
  <c r="CK101" i="15"/>
  <c r="CL101" i="15" s="1"/>
  <c r="CM101" i="15"/>
  <c r="CN101" i="15" s="1"/>
  <c r="CO101" i="15"/>
  <c r="CP101" i="15" s="1"/>
  <c r="CI101" i="15"/>
  <c r="CJ101" i="15" s="1"/>
  <c r="CO818" i="15"/>
  <c r="CP818" i="15" s="1"/>
  <c r="CI818" i="15"/>
  <c r="CJ818" i="15" s="1"/>
  <c r="CM818" i="15"/>
  <c r="CN818" i="15" s="1"/>
  <c r="CK818" i="15"/>
  <c r="CL818" i="15" s="1"/>
  <c r="CO738" i="15"/>
  <c r="CP738" i="15" s="1"/>
  <c r="CI738" i="15"/>
  <c r="CJ738" i="15" s="1"/>
  <c r="CM738" i="15"/>
  <c r="CN738" i="15" s="1"/>
  <c r="CK738" i="15"/>
  <c r="CL738" i="15" s="1"/>
  <c r="CO785" i="15"/>
  <c r="CP785" i="15" s="1"/>
  <c r="CI785" i="15"/>
  <c r="CJ785" i="15" s="1"/>
  <c r="CK785" i="15"/>
  <c r="CL785" i="15" s="1"/>
  <c r="CM785" i="15"/>
  <c r="CN785" i="15" s="1"/>
  <c r="CO759" i="15"/>
  <c r="CP759" i="15" s="1"/>
  <c r="CI759" i="15"/>
  <c r="CJ759" i="15" s="1"/>
  <c r="CK759" i="15"/>
  <c r="CL759" i="15" s="1"/>
  <c r="CM759" i="15"/>
  <c r="CN759" i="15" s="1"/>
  <c r="CO694" i="15"/>
  <c r="CP694" i="15" s="1"/>
  <c r="CI694" i="15"/>
  <c r="CJ694" i="15" s="1"/>
  <c r="CM694" i="15"/>
  <c r="CN694" i="15" s="1"/>
  <c r="CK694" i="15"/>
  <c r="CL694" i="15" s="1"/>
  <c r="CK562" i="15"/>
  <c r="CL562" i="15" s="1"/>
  <c r="CM562" i="15"/>
  <c r="CN562" i="15" s="1"/>
  <c r="CO562" i="15"/>
  <c r="CP562" i="15" s="1"/>
  <c r="CI562" i="15"/>
  <c r="CJ562" i="15" s="1"/>
  <c r="CK525" i="15"/>
  <c r="CL525" i="15" s="1"/>
  <c r="CM525" i="15"/>
  <c r="CN525" i="15" s="1"/>
  <c r="CO525" i="15"/>
  <c r="CP525" i="15" s="1"/>
  <c r="CI525" i="15"/>
  <c r="CJ525" i="15" s="1"/>
  <c r="CK287" i="15"/>
  <c r="CL287" i="15" s="1"/>
  <c r="CO287" i="15"/>
  <c r="CP287" i="15" s="1"/>
  <c r="CI287" i="15"/>
  <c r="CJ287" i="15" s="1"/>
  <c r="CM287" i="15"/>
  <c r="CN287" i="15" s="1"/>
  <c r="CO717" i="15"/>
  <c r="CP717" i="15" s="1"/>
  <c r="CI717" i="15"/>
  <c r="CJ717" i="15" s="1"/>
  <c r="CK717" i="15"/>
  <c r="CL717" i="15" s="1"/>
  <c r="CM717" i="15"/>
  <c r="CN717" i="15" s="1"/>
  <c r="CK567" i="15"/>
  <c r="CL567" i="15" s="1"/>
  <c r="CM567" i="15"/>
  <c r="CN567" i="15" s="1"/>
  <c r="CO567" i="15"/>
  <c r="CP567" i="15" s="1"/>
  <c r="CI567" i="15"/>
  <c r="CJ567" i="15" s="1"/>
  <c r="CK551" i="15"/>
  <c r="CL551" i="15" s="1"/>
  <c r="CM551" i="15"/>
  <c r="CN551" i="15" s="1"/>
  <c r="CO551" i="15"/>
  <c r="CP551" i="15" s="1"/>
  <c r="CI551" i="15"/>
  <c r="CJ551" i="15" s="1"/>
  <c r="CK366" i="15"/>
  <c r="CL366" i="15" s="1"/>
  <c r="CO366" i="15"/>
  <c r="CP366" i="15" s="1"/>
  <c r="CI366" i="15"/>
  <c r="CJ366" i="15" s="1"/>
  <c r="CM366" i="15"/>
  <c r="CN366" i="15" s="1"/>
  <c r="CK565" i="15"/>
  <c r="CL565" i="15" s="1"/>
  <c r="CM565" i="15"/>
  <c r="CN565" i="15" s="1"/>
  <c r="CO565" i="15"/>
  <c r="CP565" i="15" s="1"/>
  <c r="CI565" i="15"/>
  <c r="CJ565" i="15" s="1"/>
  <c r="CK465" i="15"/>
  <c r="CL465" i="15" s="1"/>
  <c r="CM465" i="15"/>
  <c r="CN465" i="15" s="1"/>
  <c r="CO465" i="15"/>
  <c r="CP465" i="15" s="1"/>
  <c r="CI465" i="15"/>
  <c r="CJ465" i="15" s="1"/>
  <c r="CO849" i="15"/>
  <c r="CP849" i="15" s="1"/>
  <c r="CI849" i="15"/>
  <c r="CJ849" i="15" s="1"/>
  <c r="CM849" i="15"/>
  <c r="CN849" i="15" s="1"/>
  <c r="CK849" i="15"/>
  <c r="CL849" i="15" s="1"/>
  <c r="CK564" i="15"/>
  <c r="CL564" i="15" s="1"/>
  <c r="CM564" i="15"/>
  <c r="CN564" i="15" s="1"/>
  <c r="CO564" i="15"/>
  <c r="CP564" i="15" s="1"/>
  <c r="CI564" i="15"/>
  <c r="CJ564" i="15" s="1"/>
  <c r="CK527" i="15"/>
  <c r="CL527" i="15" s="1"/>
  <c r="CM527" i="15"/>
  <c r="CN527" i="15" s="1"/>
  <c r="CO527" i="15"/>
  <c r="CP527" i="15" s="1"/>
  <c r="CI527" i="15"/>
  <c r="CJ527" i="15" s="1"/>
  <c r="CK58" i="15"/>
  <c r="CL58" i="15" s="1"/>
  <c r="CM58" i="15"/>
  <c r="CN58" i="15" s="1"/>
  <c r="CO58" i="15"/>
  <c r="CP58" i="15" s="1"/>
  <c r="CI58" i="15"/>
  <c r="CJ58" i="15" s="1"/>
  <c r="CI685" i="15"/>
  <c r="CJ685" i="15" s="1"/>
  <c r="CK685" i="15"/>
  <c r="CL685" i="15" s="1"/>
  <c r="CM685" i="15"/>
  <c r="CN685" i="15" s="1"/>
  <c r="CO685" i="15"/>
  <c r="CP685" i="15" s="1"/>
  <c r="CK54" i="15"/>
  <c r="CL54" i="15" s="1"/>
  <c r="CM54" i="15"/>
  <c r="CN54" i="15" s="1"/>
  <c r="CO54" i="15"/>
  <c r="CP54" i="15" s="1"/>
  <c r="CI54" i="15"/>
  <c r="CJ54" i="15" s="1"/>
  <c r="CK50" i="15"/>
  <c r="CL50" i="15" s="1"/>
  <c r="CM50" i="15"/>
  <c r="CN50" i="15" s="1"/>
  <c r="CO50" i="15"/>
  <c r="CP50" i="15" s="1"/>
  <c r="CI50" i="15"/>
  <c r="CJ50" i="15" s="1"/>
  <c r="CK67" i="15"/>
  <c r="CL67" i="15" s="1"/>
  <c r="CM67" i="15"/>
  <c r="CN67" i="15" s="1"/>
  <c r="CO67" i="15"/>
  <c r="CP67" i="15" s="1"/>
  <c r="CI67" i="15"/>
  <c r="CJ67" i="15" s="1"/>
  <c r="CO857" i="15"/>
  <c r="CP857" i="15" s="1"/>
  <c r="CI857" i="15"/>
  <c r="CJ857" i="15" s="1"/>
  <c r="CM857" i="15"/>
  <c r="CN857" i="15" s="1"/>
  <c r="CK857" i="15"/>
  <c r="CL857" i="15" s="1"/>
  <c r="CO851" i="15"/>
  <c r="CP851" i="15" s="1"/>
  <c r="CI851" i="15"/>
  <c r="CJ851" i="15" s="1"/>
  <c r="CM851" i="15"/>
  <c r="CN851" i="15" s="1"/>
  <c r="CK851" i="15"/>
  <c r="CL851" i="15" s="1"/>
  <c r="CI843" i="15"/>
  <c r="CJ843" i="15" s="1"/>
  <c r="CK843" i="15"/>
  <c r="CL843" i="15" s="1"/>
  <c r="CM843" i="15"/>
  <c r="CN843" i="15" s="1"/>
  <c r="CO843" i="15"/>
  <c r="CP843" i="15" s="1"/>
  <c r="CI839" i="15"/>
  <c r="CJ839" i="15" s="1"/>
  <c r="CK839" i="15"/>
  <c r="CL839" i="15" s="1"/>
  <c r="CM839" i="15"/>
  <c r="CN839" i="15" s="1"/>
  <c r="CO839" i="15"/>
  <c r="CP839" i="15" s="1"/>
  <c r="CI833" i="15"/>
  <c r="CJ833" i="15" s="1"/>
  <c r="CK833" i="15"/>
  <c r="CL833" i="15" s="1"/>
  <c r="CM833" i="15"/>
  <c r="CN833" i="15" s="1"/>
  <c r="CO833" i="15"/>
  <c r="CP833" i="15" s="1"/>
  <c r="CO706" i="15"/>
  <c r="CP706" i="15" s="1"/>
  <c r="CI706" i="15"/>
  <c r="CJ706" i="15" s="1"/>
  <c r="CM706" i="15"/>
  <c r="CN706" i="15" s="1"/>
  <c r="CK706" i="15"/>
  <c r="CL706" i="15" s="1"/>
  <c r="CO700" i="15"/>
  <c r="CP700" i="15" s="1"/>
  <c r="CI700" i="15"/>
  <c r="CJ700" i="15" s="1"/>
  <c r="CM700" i="15"/>
  <c r="CN700" i="15" s="1"/>
  <c r="CK700" i="15"/>
  <c r="CL700" i="15" s="1"/>
  <c r="CO696" i="15"/>
  <c r="CP696" i="15" s="1"/>
  <c r="CI696" i="15"/>
  <c r="CJ696" i="15" s="1"/>
  <c r="CM696" i="15"/>
  <c r="CN696" i="15" s="1"/>
  <c r="CK696" i="15"/>
  <c r="CL696" i="15" s="1"/>
  <c r="CO690" i="15"/>
  <c r="CP690" i="15" s="1"/>
  <c r="CI690" i="15"/>
  <c r="CJ690" i="15" s="1"/>
  <c r="CM690" i="15"/>
  <c r="CN690" i="15" s="1"/>
  <c r="CK690" i="15"/>
  <c r="CL690" i="15" s="1"/>
  <c r="CK295" i="15"/>
  <c r="CL295" i="15" s="1"/>
  <c r="CO295" i="15"/>
  <c r="CP295" i="15" s="1"/>
  <c r="CI295" i="15"/>
  <c r="CJ295" i="15" s="1"/>
  <c r="CM295" i="15"/>
  <c r="CN295" i="15" s="1"/>
  <c r="CK291" i="15"/>
  <c r="CL291" i="15" s="1"/>
  <c r="CO291" i="15"/>
  <c r="CP291" i="15" s="1"/>
  <c r="CI291" i="15"/>
  <c r="CJ291" i="15" s="1"/>
  <c r="CM291" i="15"/>
  <c r="CN291" i="15" s="1"/>
  <c r="CK285" i="15"/>
  <c r="CL285" i="15" s="1"/>
  <c r="CO285" i="15"/>
  <c r="CP285" i="15" s="1"/>
  <c r="CI285" i="15"/>
  <c r="CJ285" i="15" s="1"/>
  <c r="CM285" i="15"/>
  <c r="CN285" i="15" s="1"/>
  <c r="CK281" i="15"/>
  <c r="CL281" i="15" s="1"/>
  <c r="CO281" i="15"/>
  <c r="CP281" i="15" s="1"/>
  <c r="CI281" i="15"/>
  <c r="CJ281" i="15" s="1"/>
  <c r="CM281" i="15"/>
  <c r="CN281" i="15" s="1"/>
  <c r="CK277" i="15"/>
  <c r="CL277" i="15" s="1"/>
  <c r="CO277" i="15"/>
  <c r="CP277" i="15" s="1"/>
  <c r="CI277" i="15"/>
  <c r="CJ277" i="15" s="1"/>
  <c r="CM277" i="15"/>
  <c r="CN277" i="15" s="1"/>
  <c r="CK273" i="15"/>
  <c r="CL273" i="15" s="1"/>
  <c r="CO273" i="15"/>
  <c r="CP273" i="15" s="1"/>
  <c r="CI273" i="15"/>
  <c r="CJ273" i="15" s="1"/>
  <c r="CM273" i="15"/>
  <c r="CN273" i="15" s="1"/>
  <c r="CK364" i="15"/>
  <c r="CL364" i="15" s="1"/>
  <c r="CO364" i="15"/>
  <c r="CP364" i="15" s="1"/>
  <c r="CI364" i="15"/>
  <c r="CJ364" i="15" s="1"/>
  <c r="CM364" i="15"/>
  <c r="CN364" i="15" s="1"/>
  <c r="CK360" i="15"/>
  <c r="CL360" i="15" s="1"/>
  <c r="CO360" i="15"/>
  <c r="CP360" i="15" s="1"/>
  <c r="CI360" i="15"/>
  <c r="CJ360" i="15" s="1"/>
  <c r="CM360" i="15"/>
  <c r="CN360" i="15" s="1"/>
  <c r="CK356" i="15"/>
  <c r="CL356" i="15" s="1"/>
  <c r="CO356" i="15"/>
  <c r="CP356" i="15" s="1"/>
  <c r="CI356" i="15"/>
  <c r="CJ356" i="15" s="1"/>
  <c r="CM356" i="15"/>
  <c r="CN356" i="15" s="1"/>
  <c r="CK352" i="15"/>
  <c r="CL352" i="15" s="1"/>
  <c r="CO352" i="15"/>
  <c r="CP352" i="15" s="1"/>
  <c r="CI352" i="15"/>
  <c r="CJ352" i="15" s="1"/>
  <c r="CM352" i="15"/>
  <c r="CN352" i="15" s="1"/>
  <c r="CK346" i="15"/>
  <c r="CL346" i="15" s="1"/>
  <c r="CO346" i="15"/>
  <c r="CP346" i="15" s="1"/>
  <c r="CI346" i="15"/>
  <c r="CJ346" i="15" s="1"/>
  <c r="CM346" i="15"/>
  <c r="CN346" i="15" s="1"/>
  <c r="CK342" i="15"/>
  <c r="CL342" i="15" s="1"/>
  <c r="CO342" i="15"/>
  <c r="CP342" i="15" s="1"/>
  <c r="CI342" i="15"/>
  <c r="CJ342" i="15" s="1"/>
  <c r="CM342" i="15"/>
  <c r="CN342" i="15" s="1"/>
  <c r="CK338" i="15"/>
  <c r="CL338" i="15" s="1"/>
  <c r="CO338" i="15"/>
  <c r="CP338" i="15" s="1"/>
  <c r="CI338" i="15"/>
  <c r="CJ338" i="15" s="1"/>
  <c r="CM338" i="15"/>
  <c r="CN338" i="15" s="1"/>
  <c r="CK332" i="15"/>
  <c r="CL332" i="15" s="1"/>
  <c r="CO332" i="15"/>
  <c r="CP332" i="15" s="1"/>
  <c r="CI332" i="15"/>
  <c r="CJ332" i="15" s="1"/>
  <c r="CM332" i="15"/>
  <c r="CN332" i="15" s="1"/>
  <c r="CK328" i="15"/>
  <c r="CL328" i="15" s="1"/>
  <c r="CO328" i="15"/>
  <c r="CP328" i="15" s="1"/>
  <c r="CI328" i="15"/>
  <c r="CJ328" i="15" s="1"/>
  <c r="CM328" i="15"/>
  <c r="CN328" i="15" s="1"/>
  <c r="CK79" i="15"/>
  <c r="CL79" i="15" s="1"/>
  <c r="CM79" i="15"/>
  <c r="CN79" i="15" s="1"/>
  <c r="CO79" i="15"/>
  <c r="CP79" i="15" s="1"/>
  <c r="CI79" i="15"/>
  <c r="CJ79" i="15" s="1"/>
  <c r="CK75" i="15"/>
  <c r="CL75" i="15" s="1"/>
  <c r="CM75" i="15"/>
  <c r="CN75" i="15" s="1"/>
  <c r="CO75" i="15"/>
  <c r="CP75" i="15" s="1"/>
  <c r="CI75" i="15"/>
  <c r="CJ75" i="15" s="1"/>
  <c r="CK71" i="15"/>
  <c r="CL71" i="15" s="1"/>
  <c r="CM71" i="15"/>
  <c r="CN71" i="15" s="1"/>
  <c r="CO71" i="15"/>
  <c r="CP71" i="15" s="1"/>
  <c r="CI71" i="15"/>
  <c r="CJ71" i="15" s="1"/>
  <c r="CB300" i="15"/>
  <c r="CB271" i="15"/>
  <c r="CB688" i="15"/>
  <c r="CB430" i="15"/>
  <c r="CB732" i="15"/>
  <c r="CB190" i="15"/>
  <c r="CI836" i="15"/>
  <c r="CJ836" i="15" s="1"/>
  <c r="CK836" i="15"/>
  <c r="CL836" i="15" s="1"/>
  <c r="CM836" i="15"/>
  <c r="CN836" i="15" s="1"/>
  <c r="CO836" i="15"/>
  <c r="CP836" i="15" s="1"/>
  <c r="CI834" i="15"/>
  <c r="CJ834" i="15" s="1"/>
  <c r="CK834" i="15"/>
  <c r="CL834" i="15" s="1"/>
  <c r="CM834" i="15"/>
  <c r="CN834" i="15" s="1"/>
  <c r="CO834" i="15"/>
  <c r="CP834" i="15" s="1"/>
  <c r="CO803" i="15"/>
  <c r="CP803" i="15" s="1"/>
  <c r="CI803" i="15"/>
  <c r="CJ803" i="15" s="1"/>
  <c r="CK803" i="15"/>
  <c r="CL803" i="15" s="1"/>
  <c r="CM803" i="15"/>
  <c r="CN803" i="15" s="1"/>
  <c r="CO783" i="15"/>
  <c r="CP783" i="15" s="1"/>
  <c r="CI783" i="15"/>
  <c r="CJ783" i="15" s="1"/>
  <c r="CK783" i="15"/>
  <c r="CL783" i="15" s="1"/>
  <c r="CM783" i="15"/>
  <c r="CN783" i="15" s="1"/>
  <c r="CI676" i="15"/>
  <c r="CJ676" i="15" s="1"/>
  <c r="CK676" i="15"/>
  <c r="CL676" i="15" s="1"/>
  <c r="CM676" i="15"/>
  <c r="CN676" i="15" s="1"/>
  <c r="CO676" i="15"/>
  <c r="CP676" i="15" s="1"/>
  <c r="CO781" i="15"/>
  <c r="CP781" i="15" s="1"/>
  <c r="CI781" i="15"/>
  <c r="CJ781" i="15" s="1"/>
  <c r="CK781" i="15"/>
  <c r="CL781" i="15" s="1"/>
  <c r="CM781" i="15"/>
  <c r="CN781" i="15" s="1"/>
  <c r="CK607" i="15"/>
  <c r="CL607" i="15" s="1"/>
  <c r="CM607" i="15"/>
  <c r="CN607" i="15" s="1"/>
  <c r="CO607" i="15"/>
  <c r="CP607" i="15" s="1"/>
  <c r="CI607" i="15"/>
  <c r="CJ607" i="15" s="1"/>
  <c r="CI645" i="15"/>
  <c r="CJ645" i="15" s="1"/>
  <c r="CK645" i="15"/>
  <c r="CL645" i="15" s="1"/>
  <c r="CM645" i="15"/>
  <c r="CN645" i="15" s="1"/>
  <c r="CO645" i="15"/>
  <c r="CP645" i="15" s="1"/>
  <c r="CK484" i="15"/>
  <c r="CL484" i="15" s="1"/>
  <c r="CM484" i="15"/>
  <c r="CN484" i="15" s="1"/>
  <c r="CO484" i="15"/>
  <c r="CP484" i="15" s="1"/>
  <c r="CI484" i="15"/>
  <c r="CJ484" i="15" s="1"/>
  <c r="CK422" i="15"/>
  <c r="CL422" i="15" s="1"/>
  <c r="CO422" i="15"/>
  <c r="CP422" i="15" s="1"/>
  <c r="CI422" i="15"/>
  <c r="CJ422" i="15" s="1"/>
  <c r="CM422" i="15"/>
  <c r="CN422" i="15" s="1"/>
  <c r="CI646" i="15"/>
  <c r="CJ646" i="15" s="1"/>
  <c r="CK646" i="15"/>
  <c r="CL646" i="15" s="1"/>
  <c r="CM646" i="15"/>
  <c r="CN646" i="15" s="1"/>
  <c r="CO646" i="15"/>
  <c r="CP646" i="15" s="1"/>
  <c r="CK397" i="15"/>
  <c r="CL397" i="15" s="1"/>
  <c r="CO397" i="15"/>
  <c r="CP397" i="15" s="1"/>
  <c r="CI397" i="15"/>
  <c r="CJ397" i="15" s="1"/>
  <c r="CM397" i="15"/>
  <c r="CN397" i="15" s="1"/>
  <c r="CK507" i="15"/>
  <c r="CL507" i="15" s="1"/>
  <c r="CM507" i="15"/>
  <c r="CN507" i="15" s="1"/>
  <c r="CO507" i="15"/>
  <c r="CP507" i="15" s="1"/>
  <c r="CI507" i="15"/>
  <c r="CJ507" i="15" s="1"/>
  <c r="CM431" i="15"/>
  <c r="CN431" i="15" s="1"/>
  <c r="CI431" i="15"/>
  <c r="CJ431" i="15" s="1"/>
  <c r="CO431" i="15"/>
  <c r="CP431" i="15" s="1"/>
  <c r="CK431" i="15"/>
  <c r="CL431" i="15" s="1"/>
  <c r="CO820" i="15"/>
  <c r="CP820" i="15" s="1"/>
  <c r="CI820" i="15"/>
  <c r="CJ820" i="15" s="1"/>
  <c r="CM820" i="15"/>
  <c r="CN820" i="15" s="1"/>
  <c r="CK820" i="15"/>
  <c r="CL820" i="15" s="1"/>
  <c r="CK506" i="15"/>
  <c r="CL506" i="15" s="1"/>
  <c r="CM506" i="15"/>
  <c r="CN506" i="15" s="1"/>
  <c r="CO506" i="15"/>
  <c r="CP506" i="15" s="1"/>
  <c r="CI506" i="15"/>
  <c r="CJ506" i="15" s="1"/>
  <c r="CK439" i="15"/>
  <c r="CL439" i="15" s="1"/>
  <c r="CM439" i="15"/>
  <c r="CN439" i="15" s="1"/>
  <c r="CO439" i="15"/>
  <c r="CP439" i="15" s="1"/>
  <c r="CI439" i="15"/>
  <c r="CJ439" i="15" s="1"/>
  <c r="CM301" i="15"/>
  <c r="CN301" i="15" s="1"/>
  <c r="CI301" i="15"/>
  <c r="CJ301" i="15" s="1"/>
  <c r="CK301" i="15"/>
  <c r="CL301" i="15" s="1"/>
  <c r="CO301" i="15"/>
  <c r="CP301" i="15" s="1"/>
  <c r="CK546" i="15"/>
  <c r="CL546" i="15" s="1"/>
  <c r="CM546" i="15"/>
  <c r="CN546" i="15" s="1"/>
  <c r="CO546" i="15"/>
  <c r="CP546" i="15" s="1"/>
  <c r="CI546" i="15"/>
  <c r="CJ546" i="15" s="1"/>
  <c r="CK282" i="15"/>
  <c r="CL282" i="15" s="1"/>
  <c r="CO282" i="15"/>
  <c r="CP282" i="15" s="1"/>
  <c r="CM282" i="15"/>
  <c r="CN282" i="15" s="1"/>
  <c r="CI282" i="15"/>
  <c r="CJ282" i="15" s="1"/>
  <c r="CM155" i="15"/>
  <c r="CN155" i="15" s="1"/>
  <c r="CO155" i="15"/>
  <c r="CP155" i="15" s="1"/>
  <c r="CI155" i="15"/>
  <c r="CJ155" i="15" s="1"/>
  <c r="CK155" i="15"/>
  <c r="CL155" i="15" s="1"/>
  <c r="CK137" i="15"/>
  <c r="CL137" i="15" s="1"/>
  <c r="CM137" i="15"/>
  <c r="CN137" i="15" s="1"/>
  <c r="CO137" i="15"/>
  <c r="CP137" i="15" s="1"/>
  <c r="CI137" i="15"/>
  <c r="CJ137" i="15" s="1"/>
  <c r="CK284" i="15"/>
  <c r="CL284" i="15" s="1"/>
  <c r="CO284" i="15"/>
  <c r="CP284" i="15" s="1"/>
  <c r="CM284" i="15"/>
  <c r="CN284" i="15" s="1"/>
  <c r="CI284" i="15"/>
  <c r="CJ284" i="15" s="1"/>
  <c r="CM221" i="15"/>
  <c r="CN221" i="15" s="1"/>
  <c r="CO221" i="15"/>
  <c r="CP221" i="15" s="1"/>
  <c r="CI221" i="15"/>
  <c r="CJ221" i="15" s="1"/>
  <c r="CK221" i="15"/>
  <c r="CL221" i="15" s="1"/>
  <c r="CO32" i="15"/>
  <c r="CP32" i="15" s="1"/>
  <c r="CI32" i="15"/>
  <c r="CJ32" i="15" s="1"/>
  <c r="CK32" i="15"/>
  <c r="CL32" i="15" s="1"/>
  <c r="CM32" i="15"/>
  <c r="CN32" i="15" s="1"/>
  <c r="CK262" i="15"/>
  <c r="CL262" i="15" s="1"/>
  <c r="CM262" i="15"/>
  <c r="CN262" i="15" s="1"/>
  <c r="CO262" i="15"/>
  <c r="CP262" i="15" s="1"/>
  <c r="CI262" i="15"/>
  <c r="CJ262" i="15" s="1"/>
  <c r="CM236" i="15"/>
  <c r="CN236" i="15" s="1"/>
  <c r="CO236" i="15"/>
  <c r="CP236" i="15" s="1"/>
  <c r="CI236" i="15"/>
  <c r="CJ236" i="15" s="1"/>
  <c r="CK236" i="15"/>
  <c r="CL236" i="15" s="1"/>
  <c r="CK191" i="15"/>
  <c r="CL191" i="15" s="1"/>
  <c r="CI191" i="15"/>
  <c r="CJ191" i="15" s="1"/>
  <c r="CO191" i="15"/>
  <c r="CP191" i="15" s="1"/>
  <c r="CM191" i="15"/>
  <c r="CN191" i="15" s="1"/>
  <c r="CK48" i="15"/>
  <c r="CL48" i="15" s="1"/>
  <c r="CM48" i="15"/>
  <c r="CN48" i="15" s="1"/>
  <c r="CO48" i="15"/>
  <c r="CP48" i="15" s="1"/>
  <c r="CI48" i="15"/>
  <c r="CJ48" i="15" s="1"/>
  <c r="CM196" i="15"/>
  <c r="CN196" i="15" s="1"/>
  <c r="CO196" i="15"/>
  <c r="CP196" i="15" s="1"/>
  <c r="CI196" i="15"/>
  <c r="CJ196" i="15" s="1"/>
  <c r="CK196" i="15"/>
  <c r="CL196" i="15" s="1"/>
  <c r="CM31" i="15"/>
  <c r="CN31" i="15" s="1"/>
  <c r="CI31" i="15"/>
  <c r="CJ31" i="15" s="1"/>
  <c r="CO31" i="15"/>
  <c r="CP31" i="15" s="1"/>
  <c r="CK31" i="15"/>
  <c r="CL31" i="15" s="1"/>
  <c r="CO20" i="15"/>
  <c r="CP20" i="15" s="1"/>
  <c r="CI20" i="15"/>
  <c r="CJ20" i="15" s="1"/>
  <c r="CK20" i="15"/>
  <c r="CL20" i="15" s="1"/>
  <c r="CM20" i="15"/>
  <c r="CN20" i="15" s="1"/>
  <c r="CK74" i="15"/>
  <c r="CL74" i="15" s="1"/>
  <c r="CM74" i="15"/>
  <c r="CN74" i="15" s="1"/>
  <c r="CO74" i="15"/>
  <c r="CP74" i="15" s="1"/>
  <c r="CI74" i="15"/>
  <c r="CJ74" i="15" s="1"/>
  <c r="CO784" i="15"/>
  <c r="CP784" i="15" s="1"/>
  <c r="CI784" i="15"/>
  <c r="CJ784" i="15" s="1"/>
  <c r="CM784" i="15"/>
  <c r="CN784" i="15" s="1"/>
  <c r="CK784" i="15"/>
  <c r="CL784" i="15" s="1"/>
  <c r="CK570" i="15"/>
  <c r="CL570" i="15" s="1"/>
  <c r="CM570" i="15"/>
  <c r="CN570" i="15" s="1"/>
  <c r="CO570" i="15"/>
  <c r="CP570" i="15" s="1"/>
  <c r="CI570" i="15"/>
  <c r="CJ570" i="15" s="1"/>
  <c r="CK556" i="15"/>
  <c r="CL556" i="15" s="1"/>
  <c r="CM556" i="15"/>
  <c r="CN556" i="15" s="1"/>
  <c r="CO556" i="15"/>
  <c r="CP556" i="15" s="1"/>
  <c r="CI556" i="15"/>
  <c r="CJ556" i="15" s="1"/>
  <c r="CO826" i="15"/>
  <c r="CP826" i="15" s="1"/>
  <c r="CI826" i="15"/>
  <c r="CJ826" i="15" s="1"/>
  <c r="CM826" i="15"/>
  <c r="CN826" i="15" s="1"/>
  <c r="CK826" i="15"/>
  <c r="CL826" i="15" s="1"/>
  <c r="CK469" i="15"/>
  <c r="CL469" i="15" s="1"/>
  <c r="CM469" i="15"/>
  <c r="CN469" i="15" s="1"/>
  <c r="CO469" i="15"/>
  <c r="CP469" i="15" s="1"/>
  <c r="CI469" i="15"/>
  <c r="CJ469" i="15" s="1"/>
  <c r="CI841" i="15"/>
  <c r="CJ841" i="15" s="1"/>
  <c r="CK841" i="15"/>
  <c r="CL841" i="15" s="1"/>
  <c r="CM841" i="15"/>
  <c r="CN841" i="15" s="1"/>
  <c r="CO841" i="15"/>
  <c r="CP841" i="15" s="1"/>
  <c r="CO698" i="15"/>
  <c r="CP698" i="15" s="1"/>
  <c r="CI698" i="15"/>
  <c r="CJ698" i="15" s="1"/>
  <c r="CM698" i="15"/>
  <c r="CN698" i="15" s="1"/>
  <c r="CK698" i="15"/>
  <c r="CL698" i="15" s="1"/>
  <c r="CK293" i="15"/>
  <c r="CL293" i="15" s="1"/>
  <c r="CO293" i="15"/>
  <c r="CP293" i="15" s="1"/>
  <c r="CI293" i="15"/>
  <c r="CJ293" i="15" s="1"/>
  <c r="CM293" i="15"/>
  <c r="CN293" i="15" s="1"/>
  <c r="CK283" i="15"/>
  <c r="CL283" i="15" s="1"/>
  <c r="CO283" i="15"/>
  <c r="CP283" i="15" s="1"/>
  <c r="CI283" i="15"/>
  <c r="CJ283" i="15" s="1"/>
  <c r="CM283" i="15"/>
  <c r="CN283" i="15" s="1"/>
  <c r="CK358" i="15"/>
  <c r="CL358" i="15" s="1"/>
  <c r="CO358" i="15"/>
  <c r="CP358" i="15" s="1"/>
  <c r="CI358" i="15"/>
  <c r="CJ358" i="15" s="1"/>
  <c r="CM358" i="15"/>
  <c r="CN358" i="15" s="1"/>
  <c r="CK340" i="15"/>
  <c r="CL340" i="15" s="1"/>
  <c r="CO340" i="15"/>
  <c r="CP340" i="15" s="1"/>
  <c r="CI340" i="15"/>
  <c r="CJ340" i="15" s="1"/>
  <c r="CM340" i="15"/>
  <c r="CN340" i="15" s="1"/>
  <c r="CK81" i="15"/>
  <c r="CL81" i="15" s="1"/>
  <c r="CM81" i="15"/>
  <c r="CN81" i="15" s="1"/>
  <c r="CO81" i="15"/>
  <c r="CP81" i="15" s="1"/>
  <c r="CI81" i="15"/>
  <c r="CJ81" i="15" s="1"/>
  <c r="CK69" i="15"/>
  <c r="CL69" i="15" s="1"/>
  <c r="CM69" i="15"/>
  <c r="CN69" i="15" s="1"/>
  <c r="CO69" i="15"/>
  <c r="CP69" i="15" s="1"/>
  <c r="CI69" i="15"/>
  <c r="CJ69" i="15" s="1"/>
  <c r="CO819" i="15"/>
  <c r="CP819" i="15" s="1"/>
  <c r="CI819" i="15"/>
  <c r="CJ819" i="15" s="1"/>
  <c r="CK819" i="15"/>
  <c r="CL819" i="15" s="1"/>
  <c r="CM819" i="15"/>
  <c r="CN819" i="15" s="1"/>
  <c r="CO789" i="15"/>
  <c r="CP789" i="15" s="1"/>
  <c r="CI789" i="15"/>
  <c r="CJ789" i="15" s="1"/>
  <c r="CK789" i="15"/>
  <c r="CL789" i="15" s="1"/>
  <c r="CM789" i="15"/>
  <c r="CN789" i="15" s="1"/>
  <c r="CI674" i="15"/>
  <c r="CJ674" i="15" s="1"/>
  <c r="CK674" i="15"/>
  <c r="CL674" i="15" s="1"/>
  <c r="CM674" i="15"/>
  <c r="CN674" i="15" s="1"/>
  <c r="CO674" i="15"/>
  <c r="CP674" i="15" s="1"/>
  <c r="CO670" i="15"/>
  <c r="CP670" i="15" s="1"/>
  <c r="CI670" i="15"/>
  <c r="CJ670" i="15" s="1"/>
  <c r="CK670" i="15"/>
  <c r="CL670" i="15" s="1"/>
  <c r="CM670" i="15"/>
  <c r="CN670" i="15" s="1"/>
  <c r="CI684" i="15"/>
  <c r="CJ684" i="15" s="1"/>
  <c r="CK684" i="15"/>
  <c r="CL684" i="15" s="1"/>
  <c r="CM684" i="15"/>
  <c r="CN684" i="15" s="1"/>
  <c r="CO684" i="15"/>
  <c r="CP684" i="15" s="1"/>
  <c r="CO736" i="15"/>
  <c r="CP736" i="15" s="1"/>
  <c r="CI736" i="15"/>
  <c r="CJ736" i="15" s="1"/>
  <c r="CM736" i="15"/>
  <c r="CN736" i="15" s="1"/>
  <c r="CK736" i="15"/>
  <c r="CL736" i="15" s="1"/>
  <c r="CO711" i="15"/>
  <c r="CP711" i="15" s="1"/>
  <c r="CI711" i="15"/>
  <c r="CJ711" i="15" s="1"/>
  <c r="CK711" i="15"/>
  <c r="CL711" i="15" s="1"/>
  <c r="CM711" i="15"/>
  <c r="CN711" i="15" s="1"/>
  <c r="CI599" i="15"/>
  <c r="CJ599" i="15" s="1"/>
  <c r="CM599" i="15"/>
  <c r="CN599" i="15" s="1"/>
  <c r="CK599" i="15"/>
  <c r="CL599" i="15" s="1"/>
  <c r="CO599" i="15"/>
  <c r="CP599" i="15" s="1"/>
  <c r="CI844" i="15"/>
  <c r="CJ844" i="15" s="1"/>
  <c r="CK844" i="15"/>
  <c r="CL844" i="15" s="1"/>
  <c r="CM844" i="15"/>
  <c r="CN844" i="15" s="1"/>
  <c r="CO844" i="15"/>
  <c r="CP844" i="15" s="1"/>
  <c r="CO815" i="15"/>
  <c r="CP815" i="15" s="1"/>
  <c r="CI815" i="15"/>
  <c r="CJ815" i="15" s="1"/>
  <c r="CK815" i="15"/>
  <c r="CL815" i="15" s="1"/>
  <c r="CM815" i="15"/>
  <c r="CN815" i="15" s="1"/>
  <c r="CO846" i="15"/>
  <c r="CP846" i="15" s="1"/>
  <c r="CI846" i="15"/>
  <c r="CJ846" i="15" s="1"/>
  <c r="CK846" i="15"/>
  <c r="CL846" i="15" s="1"/>
  <c r="CM846" i="15"/>
  <c r="CN846" i="15" s="1"/>
  <c r="CO801" i="15"/>
  <c r="CP801" i="15" s="1"/>
  <c r="CI801" i="15"/>
  <c r="CJ801" i="15" s="1"/>
  <c r="CK801" i="15"/>
  <c r="CL801" i="15" s="1"/>
  <c r="CM801" i="15"/>
  <c r="CN801" i="15" s="1"/>
  <c r="CI837" i="15"/>
  <c r="CJ837" i="15" s="1"/>
  <c r="CK837" i="15"/>
  <c r="CL837" i="15" s="1"/>
  <c r="CM837" i="15"/>
  <c r="CN837" i="15" s="1"/>
  <c r="CO837" i="15"/>
  <c r="CP837" i="15" s="1"/>
  <c r="CO802" i="15"/>
  <c r="CP802" i="15" s="1"/>
  <c r="CI802" i="15"/>
  <c r="CJ802" i="15" s="1"/>
  <c r="CM802" i="15"/>
  <c r="CN802" i="15" s="1"/>
  <c r="CK802" i="15"/>
  <c r="CL802" i="15" s="1"/>
  <c r="CO787" i="15"/>
  <c r="CP787" i="15" s="1"/>
  <c r="CI787" i="15"/>
  <c r="CJ787" i="15" s="1"/>
  <c r="CK787" i="15"/>
  <c r="CL787" i="15" s="1"/>
  <c r="CM787" i="15"/>
  <c r="CN787" i="15" s="1"/>
  <c r="CO856" i="15"/>
  <c r="CP856" i="15" s="1"/>
  <c r="CI856" i="15"/>
  <c r="CJ856" i="15" s="1"/>
  <c r="CK856" i="15"/>
  <c r="CL856" i="15" s="1"/>
  <c r="CM856" i="15"/>
  <c r="CN856" i="15" s="1"/>
  <c r="CO804" i="15"/>
  <c r="CP804" i="15" s="1"/>
  <c r="CI804" i="15"/>
  <c r="CJ804" i="15" s="1"/>
  <c r="CM804" i="15"/>
  <c r="CN804" i="15" s="1"/>
  <c r="CK804" i="15"/>
  <c r="CL804" i="15" s="1"/>
  <c r="CO861" i="15"/>
  <c r="CP861" i="15" s="1"/>
  <c r="CI861" i="15"/>
  <c r="CJ861" i="15" s="1"/>
  <c r="CM861" i="15"/>
  <c r="CN861" i="15" s="1"/>
  <c r="CK861" i="15"/>
  <c r="CL861" i="15" s="1"/>
  <c r="CI829" i="15"/>
  <c r="CJ829" i="15" s="1"/>
  <c r="CO829" i="15"/>
  <c r="CP829" i="15" s="1"/>
  <c r="CM829" i="15"/>
  <c r="CN829" i="15" s="1"/>
  <c r="CK829" i="15"/>
  <c r="CL829" i="15" s="1"/>
  <c r="CO794" i="15"/>
  <c r="CP794" i="15" s="1"/>
  <c r="CI794" i="15"/>
  <c r="CJ794" i="15" s="1"/>
  <c r="CM794" i="15"/>
  <c r="CN794" i="15" s="1"/>
  <c r="CK794" i="15"/>
  <c r="CL794" i="15" s="1"/>
  <c r="CO848" i="15"/>
  <c r="CP848" i="15" s="1"/>
  <c r="CI848" i="15"/>
  <c r="CJ848" i="15" s="1"/>
  <c r="CK848" i="15"/>
  <c r="CL848" i="15" s="1"/>
  <c r="CM848" i="15"/>
  <c r="CN848" i="15" s="1"/>
  <c r="CO752" i="15"/>
  <c r="CP752" i="15" s="1"/>
  <c r="CI752" i="15"/>
  <c r="CJ752" i="15" s="1"/>
  <c r="CM752" i="15"/>
  <c r="CN752" i="15" s="1"/>
  <c r="CK752" i="15"/>
  <c r="CL752" i="15" s="1"/>
  <c r="CO718" i="15"/>
  <c r="CP718" i="15" s="1"/>
  <c r="CI718" i="15"/>
  <c r="CJ718" i="15" s="1"/>
  <c r="CM718" i="15"/>
  <c r="CN718" i="15" s="1"/>
  <c r="CK718" i="15"/>
  <c r="CL718" i="15" s="1"/>
  <c r="CI681" i="15"/>
  <c r="CJ681" i="15" s="1"/>
  <c r="CK681" i="15"/>
  <c r="CL681" i="15" s="1"/>
  <c r="CM681" i="15"/>
  <c r="CN681" i="15" s="1"/>
  <c r="CO681" i="15"/>
  <c r="CP681" i="15" s="1"/>
  <c r="CI677" i="15"/>
  <c r="CJ677" i="15" s="1"/>
  <c r="CK677" i="15"/>
  <c r="CL677" i="15" s="1"/>
  <c r="CM677" i="15"/>
  <c r="CN677" i="15" s="1"/>
  <c r="CO677" i="15"/>
  <c r="CP677" i="15" s="1"/>
  <c r="CO673" i="15"/>
  <c r="CP673" i="15" s="1"/>
  <c r="CI673" i="15"/>
  <c r="CJ673" i="15" s="1"/>
  <c r="CM673" i="15"/>
  <c r="CN673" i="15" s="1"/>
  <c r="CK673" i="15"/>
  <c r="CL673" i="15" s="1"/>
  <c r="CO669" i="15"/>
  <c r="CP669" i="15" s="1"/>
  <c r="CM669" i="15"/>
  <c r="CN669" i="15" s="1"/>
  <c r="CK669" i="15"/>
  <c r="CL669" i="15" s="1"/>
  <c r="CI669" i="15"/>
  <c r="CJ669" i="15" s="1"/>
  <c r="CO744" i="15"/>
  <c r="CP744" i="15" s="1"/>
  <c r="CI744" i="15"/>
  <c r="CJ744" i="15" s="1"/>
  <c r="CM744" i="15"/>
  <c r="CN744" i="15" s="1"/>
  <c r="CK744" i="15"/>
  <c r="CL744" i="15" s="1"/>
  <c r="CO812" i="15"/>
  <c r="CP812" i="15" s="1"/>
  <c r="CI812" i="15"/>
  <c r="CJ812" i="15" s="1"/>
  <c r="CM812" i="15"/>
  <c r="CN812" i="15" s="1"/>
  <c r="CK812" i="15"/>
  <c r="CL812" i="15" s="1"/>
  <c r="CO762" i="15"/>
  <c r="CP762" i="15" s="1"/>
  <c r="CI762" i="15"/>
  <c r="CJ762" i="15" s="1"/>
  <c r="CM762" i="15"/>
  <c r="CN762" i="15" s="1"/>
  <c r="CK762" i="15"/>
  <c r="CL762" i="15" s="1"/>
  <c r="CO727" i="15"/>
  <c r="CP727" i="15" s="1"/>
  <c r="CI727" i="15"/>
  <c r="CJ727" i="15" s="1"/>
  <c r="CK727" i="15"/>
  <c r="CL727" i="15" s="1"/>
  <c r="CM727" i="15"/>
  <c r="CN727" i="15" s="1"/>
  <c r="CO735" i="15"/>
  <c r="CP735" i="15" s="1"/>
  <c r="CI735" i="15"/>
  <c r="CJ735" i="15" s="1"/>
  <c r="CK735" i="15"/>
  <c r="CL735" i="15" s="1"/>
  <c r="CM735" i="15"/>
  <c r="CN735" i="15" s="1"/>
  <c r="CO703" i="15"/>
  <c r="CP703" i="15" s="1"/>
  <c r="CI703" i="15"/>
  <c r="CJ703" i="15" s="1"/>
  <c r="CK703" i="15"/>
  <c r="CL703" i="15" s="1"/>
  <c r="CM703" i="15"/>
  <c r="CN703" i="15" s="1"/>
  <c r="CI658" i="15"/>
  <c r="CJ658" i="15" s="1"/>
  <c r="CK658" i="15"/>
  <c r="CL658" i="15" s="1"/>
  <c r="CM658" i="15"/>
  <c r="CN658" i="15" s="1"/>
  <c r="CO658" i="15"/>
  <c r="CP658" i="15" s="1"/>
  <c r="CO642" i="15"/>
  <c r="CP642" i="15" s="1"/>
  <c r="CM642" i="15"/>
  <c r="CN642" i="15" s="1"/>
  <c r="CK642" i="15"/>
  <c r="CL642" i="15" s="1"/>
  <c r="CI642" i="15"/>
  <c r="CJ642" i="15" s="1"/>
  <c r="CK572" i="15"/>
  <c r="CL572" i="15" s="1"/>
  <c r="CM572" i="15"/>
  <c r="CN572" i="15" s="1"/>
  <c r="CO572" i="15"/>
  <c r="CP572" i="15" s="1"/>
  <c r="CI572" i="15"/>
  <c r="CJ572" i="15" s="1"/>
  <c r="CO737" i="15"/>
  <c r="CP737" i="15" s="1"/>
  <c r="CI737" i="15"/>
  <c r="CJ737" i="15" s="1"/>
  <c r="CK737" i="15"/>
  <c r="CL737" i="15" s="1"/>
  <c r="CM737" i="15"/>
  <c r="CN737" i="15" s="1"/>
  <c r="CI665" i="15"/>
  <c r="CJ665" i="15" s="1"/>
  <c r="CK665" i="15"/>
  <c r="CL665" i="15" s="1"/>
  <c r="CM665" i="15"/>
  <c r="CN665" i="15" s="1"/>
  <c r="CO665" i="15"/>
  <c r="CP665" i="15" s="1"/>
  <c r="CI613" i="15"/>
  <c r="CJ613" i="15" s="1"/>
  <c r="CK613" i="15"/>
  <c r="CL613" i="15" s="1"/>
  <c r="CM613" i="15"/>
  <c r="CN613" i="15" s="1"/>
  <c r="CO613" i="15"/>
  <c r="CP613" i="15" s="1"/>
  <c r="CK609" i="15"/>
  <c r="CL609" i="15" s="1"/>
  <c r="CM609" i="15"/>
  <c r="CN609" i="15" s="1"/>
  <c r="CO609" i="15"/>
  <c r="CP609" i="15" s="1"/>
  <c r="CI609" i="15"/>
  <c r="CJ609" i="15" s="1"/>
  <c r="CI593" i="15"/>
  <c r="CJ593" i="15" s="1"/>
  <c r="CK593" i="15"/>
  <c r="CL593" i="15" s="1"/>
  <c r="CM593" i="15"/>
  <c r="CN593" i="15" s="1"/>
  <c r="CO593" i="15"/>
  <c r="CP593" i="15" s="1"/>
  <c r="CK510" i="15"/>
  <c r="CL510" i="15" s="1"/>
  <c r="CM510" i="15"/>
  <c r="CN510" i="15" s="1"/>
  <c r="CO510" i="15"/>
  <c r="CP510" i="15" s="1"/>
  <c r="CI510" i="15"/>
  <c r="CJ510" i="15" s="1"/>
  <c r="CK438" i="15"/>
  <c r="CL438" i="15" s="1"/>
  <c r="CM438" i="15"/>
  <c r="CN438" i="15" s="1"/>
  <c r="CO438" i="15"/>
  <c r="CP438" i="15" s="1"/>
  <c r="CI438" i="15"/>
  <c r="CJ438" i="15" s="1"/>
  <c r="CI656" i="15"/>
  <c r="CJ656" i="15" s="1"/>
  <c r="CK656" i="15"/>
  <c r="CL656" i="15" s="1"/>
  <c r="CM656" i="15"/>
  <c r="CN656" i="15" s="1"/>
  <c r="CO656" i="15"/>
  <c r="CP656" i="15" s="1"/>
  <c r="CI627" i="15"/>
  <c r="CJ627" i="15" s="1"/>
  <c r="CK627" i="15"/>
  <c r="CL627" i="15" s="1"/>
  <c r="CM627" i="15"/>
  <c r="CN627" i="15" s="1"/>
  <c r="CO627" i="15"/>
  <c r="CP627" i="15" s="1"/>
  <c r="CK519" i="15"/>
  <c r="CL519" i="15" s="1"/>
  <c r="CM519" i="15"/>
  <c r="CN519" i="15" s="1"/>
  <c r="CO519" i="15"/>
  <c r="CP519" i="15" s="1"/>
  <c r="CI519" i="15"/>
  <c r="CJ519" i="15" s="1"/>
  <c r="CK500" i="15"/>
  <c r="CL500" i="15" s="1"/>
  <c r="CM500" i="15"/>
  <c r="CN500" i="15" s="1"/>
  <c r="CO500" i="15"/>
  <c r="CP500" i="15" s="1"/>
  <c r="CI500" i="15"/>
  <c r="CJ500" i="15" s="1"/>
  <c r="CK486" i="15"/>
  <c r="CL486" i="15" s="1"/>
  <c r="CM486" i="15"/>
  <c r="CN486" i="15" s="1"/>
  <c r="CO486" i="15"/>
  <c r="CP486" i="15" s="1"/>
  <c r="CI486" i="15"/>
  <c r="CJ486" i="15" s="1"/>
  <c r="CK478" i="15"/>
  <c r="CL478" i="15" s="1"/>
  <c r="CM478" i="15"/>
  <c r="CN478" i="15" s="1"/>
  <c r="CO478" i="15"/>
  <c r="CP478" i="15" s="1"/>
  <c r="CI478" i="15"/>
  <c r="CJ478" i="15" s="1"/>
  <c r="CK444" i="15"/>
  <c r="CL444" i="15" s="1"/>
  <c r="CM444" i="15"/>
  <c r="CN444" i="15" s="1"/>
  <c r="CO444" i="15"/>
  <c r="CP444" i="15" s="1"/>
  <c r="CI444" i="15"/>
  <c r="CJ444" i="15" s="1"/>
  <c r="CK424" i="15"/>
  <c r="CL424" i="15" s="1"/>
  <c r="CO424" i="15"/>
  <c r="CP424" i="15" s="1"/>
  <c r="CI424" i="15"/>
  <c r="CJ424" i="15" s="1"/>
  <c r="CM424" i="15"/>
  <c r="CN424" i="15" s="1"/>
  <c r="CK416" i="15"/>
  <c r="CL416" i="15" s="1"/>
  <c r="CO416" i="15"/>
  <c r="CP416" i="15" s="1"/>
  <c r="CI416" i="15"/>
  <c r="CJ416" i="15" s="1"/>
  <c r="CM416" i="15"/>
  <c r="CN416" i="15" s="1"/>
  <c r="CM408" i="15"/>
  <c r="CN408" i="15" s="1"/>
  <c r="CI408" i="15"/>
  <c r="CJ408" i="15" s="1"/>
  <c r="CO408" i="15"/>
  <c r="CP408" i="15" s="1"/>
  <c r="CK408" i="15"/>
  <c r="CL408" i="15" s="1"/>
  <c r="CO707" i="15"/>
  <c r="CP707" i="15" s="1"/>
  <c r="CI707" i="15"/>
  <c r="CJ707" i="15" s="1"/>
  <c r="CK707" i="15"/>
  <c r="CL707" i="15" s="1"/>
  <c r="CM707" i="15"/>
  <c r="CN707" i="15" s="1"/>
  <c r="CI662" i="15"/>
  <c r="CJ662" i="15" s="1"/>
  <c r="CK662" i="15"/>
  <c r="CL662" i="15" s="1"/>
  <c r="CM662" i="15"/>
  <c r="CN662" i="15" s="1"/>
  <c r="CO662" i="15"/>
  <c r="CP662" i="15" s="1"/>
  <c r="CK603" i="15"/>
  <c r="CL603" i="15" s="1"/>
  <c r="CM603" i="15"/>
  <c r="CN603" i="15" s="1"/>
  <c r="CO603" i="15"/>
  <c r="CP603" i="15" s="1"/>
  <c r="CI603" i="15"/>
  <c r="CJ603" i="15" s="1"/>
  <c r="CI587" i="15"/>
  <c r="CJ587" i="15" s="1"/>
  <c r="CK587" i="15"/>
  <c r="CL587" i="15" s="1"/>
  <c r="CM587" i="15"/>
  <c r="CN587" i="15" s="1"/>
  <c r="CO587" i="15"/>
  <c r="CP587" i="15" s="1"/>
  <c r="CI647" i="15"/>
  <c r="CJ647" i="15" s="1"/>
  <c r="CK647" i="15"/>
  <c r="CL647" i="15" s="1"/>
  <c r="CM647" i="15"/>
  <c r="CN647" i="15" s="1"/>
  <c r="CO647" i="15"/>
  <c r="CP647" i="15" s="1"/>
  <c r="CK542" i="15"/>
  <c r="CL542" i="15" s="1"/>
  <c r="CM542" i="15"/>
  <c r="CN542" i="15" s="1"/>
  <c r="CO542" i="15"/>
  <c r="CP542" i="15" s="1"/>
  <c r="CI542" i="15"/>
  <c r="CJ542" i="15" s="1"/>
  <c r="CK501" i="15"/>
  <c r="CL501" i="15" s="1"/>
  <c r="CM501" i="15"/>
  <c r="CN501" i="15" s="1"/>
  <c r="CO501" i="15"/>
  <c r="CP501" i="15" s="1"/>
  <c r="CI501" i="15"/>
  <c r="CJ501" i="15" s="1"/>
  <c r="CK460" i="15"/>
  <c r="CL460" i="15" s="1"/>
  <c r="CM460" i="15"/>
  <c r="CN460" i="15" s="1"/>
  <c r="CO460" i="15"/>
  <c r="CP460" i="15" s="1"/>
  <c r="CI460" i="15"/>
  <c r="CJ460" i="15" s="1"/>
  <c r="CK409" i="15"/>
  <c r="CL409" i="15" s="1"/>
  <c r="CO409" i="15"/>
  <c r="CP409" i="15" s="1"/>
  <c r="CI409" i="15"/>
  <c r="CJ409" i="15" s="1"/>
  <c r="CM409" i="15"/>
  <c r="CN409" i="15" s="1"/>
  <c r="CK386" i="15"/>
  <c r="CL386" i="15" s="1"/>
  <c r="CO386" i="15"/>
  <c r="CP386" i="15" s="1"/>
  <c r="CI386" i="15"/>
  <c r="CJ386" i="15" s="1"/>
  <c r="CM386" i="15"/>
  <c r="CN386" i="15" s="1"/>
  <c r="CK311" i="15"/>
  <c r="CL311" i="15" s="1"/>
  <c r="CO311" i="15"/>
  <c r="CP311" i="15" s="1"/>
  <c r="CI311" i="15"/>
  <c r="CJ311" i="15" s="1"/>
  <c r="CM311" i="15"/>
  <c r="CN311" i="15" s="1"/>
  <c r="CO817" i="15"/>
  <c r="CP817" i="15" s="1"/>
  <c r="CI817" i="15"/>
  <c r="CJ817" i="15" s="1"/>
  <c r="CK817" i="15"/>
  <c r="CL817" i="15" s="1"/>
  <c r="CM817" i="15"/>
  <c r="CN817" i="15" s="1"/>
  <c r="CK537" i="15"/>
  <c r="CL537" i="15" s="1"/>
  <c r="CM537" i="15"/>
  <c r="CN537" i="15" s="1"/>
  <c r="CO537" i="15"/>
  <c r="CP537" i="15" s="1"/>
  <c r="CI537" i="15"/>
  <c r="CJ537" i="15" s="1"/>
  <c r="CK389" i="15"/>
  <c r="CL389" i="15" s="1"/>
  <c r="CO389" i="15"/>
  <c r="CP389" i="15" s="1"/>
  <c r="CI389" i="15"/>
  <c r="CJ389" i="15" s="1"/>
  <c r="CM389" i="15"/>
  <c r="CN389" i="15" s="1"/>
  <c r="CI653" i="15"/>
  <c r="CJ653" i="15" s="1"/>
  <c r="CK653" i="15"/>
  <c r="CL653" i="15" s="1"/>
  <c r="CM653" i="15"/>
  <c r="CN653" i="15" s="1"/>
  <c r="CO653" i="15"/>
  <c r="CP653" i="15" s="1"/>
  <c r="CK545" i="15"/>
  <c r="CL545" i="15" s="1"/>
  <c r="CM545" i="15"/>
  <c r="CN545" i="15" s="1"/>
  <c r="CO545" i="15"/>
  <c r="CP545" i="15" s="1"/>
  <c r="CI545" i="15"/>
  <c r="CJ545" i="15" s="1"/>
  <c r="CK495" i="15"/>
  <c r="CL495" i="15" s="1"/>
  <c r="CM495" i="15"/>
  <c r="CN495" i="15" s="1"/>
  <c r="CO495" i="15"/>
  <c r="CP495" i="15" s="1"/>
  <c r="CI495" i="15"/>
  <c r="CJ495" i="15" s="1"/>
  <c r="CK452" i="15"/>
  <c r="CL452" i="15" s="1"/>
  <c r="CM452" i="15"/>
  <c r="CN452" i="15" s="1"/>
  <c r="CO452" i="15"/>
  <c r="CP452" i="15" s="1"/>
  <c r="CI452" i="15"/>
  <c r="CJ452" i="15" s="1"/>
  <c r="CK434" i="15"/>
  <c r="CL434" i="15" s="1"/>
  <c r="CM434" i="15"/>
  <c r="CN434" i="15" s="1"/>
  <c r="CO434" i="15"/>
  <c r="CP434" i="15" s="1"/>
  <c r="CI434" i="15"/>
  <c r="CJ434" i="15" s="1"/>
  <c r="CK402" i="15"/>
  <c r="CL402" i="15" s="1"/>
  <c r="CO402" i="15"/>
  <c r="CP402" i="15" s="1"/>
  <c r="CI402" i="15"/>
  <c r="CJ402" i="15" s="1"/>
  <c r="CM402" i="15"/>
  <c r="CN402" i="15" s="1"/>
  <c r="CK378" i="15"/>
  <c r="CL378" i="15" s="1"/>
  <c r="CO378" i="15"/>
  <c r="CP378" i="15" s="1"/>
  <c r="CI378" i="15"/>
  <c r="CJ378" i="15" s="1"/>
  <c r="CM378" i="15"/>
  <c r="CN378" i="15" s="1"/>
  <c r="CK312" i="15"/>
  <c r="CL312" i="15" s="1"/>
  <c r="CO312" i="15"/>
  <c r="CP312" i="15" s="1"/>
  <c r="CM312" i="15"/>
  <c r="CN312" i="15" s="1"/>
  <c r="CI312" i="15"/>
  <c r="CJ312" i="15" s="1"/>
  <c r="CI832" i="15"/>
  <c r="CJ832" i="15" s="1"/>
  <c r="CK832" i="15"/>
  <c r="CL832" i="15" s="1"/>
  <c r="CM832" i="15"/>
  <c r="CN832" i="15" s="1"/>
  <c r="CO832" i="15"/>
  <c r="CP832" i="15" s="1"/>
  <c r="CK539" i="15"/>
  <c r="CL539" i="15" s="1"/>
  <c r="CM539" i="15"/>
  <c r="CN539" i="15" s="1"/>
  <c r="CO539" i="15"/>
  <c r="CP539" i="15" s="1"/>
  <c r="CI539" i="15"/>
  <c r="CJ539" i="15" s="1"/>
  <c r="CK493" i="15"/>
  <c r="CL493" i="15" s="1"/>
  <c r="CM493" i="15"/>
  <c r="CN493" i="15" s="1"/>
  <c r="CO493" i="15"/>
  <c r="CP493" i="15" s="1"/>
  <c r="CI493" i="15"/>
  <c r="CJ493" i="15" s="1"/>
  <c r="CK427" i="15"/>
  <c r="CL427" i="15" s="1"/>
  <c r="CO427" i="15"/>
  <c r="CP427" i="15" s="1"/>
  <c r="CI427" i="15"/>
  <c r="CJ427" i="15" s="1"/>
  <c r="CM427" i="15"/>
  <c r="CN427" i="15" s="1"/>
  <c r="CK306" i="15"/>
  <c r="CL306" i="15" s="1"/>
  <c r="CO306" i="15"/>
  <c r="CP306" i="15" s="1"/>
  <c r="CM306" i="15"/>
  <c r="CN306" i="15" s="1"/>
  <c r="CI306" i="15"/>
  <c r="CJ306" i="15" s="1"/>
  <c r="CI689" i="15"/>
  <c r="CJ689" i="15" s="1"/>
  <c r="CO689" i="15"/>
  <c r="CP689" i="15" s="1"/>
  <c r="CK689" i="15"/>
  <c r="CL689" i="15" s="1"/>
  <c r="CM689" i="15"/>
  <c r="CN689" i="15" s="1"/>
  <c r="CK543" i="15"/>
  <c r="CL543" i="15" s="1"/>
  <c r="CM543" i="15"/>
  <c r="CN543" i="15" s="1"/>
  <c r="CO543" i="15"/>
  <c r="CP543" i="15" s="1"/>
  <c r="CI543" i="15"/>
  <c r="CJ543" i="15" s="1"/>
  <c r="CK520" i="15"/>
  <c r="CL520" i="15" s="1"/>
  <c r="CM520" i="15"/>
  <c r="CN520" i="15" s="1"/>
  <c r="CO520" i="15"/>
  <c r="CP520" i="15" s="1"/>
  <c r="CI520" i="15"/>
  <c r="CJ520" i="15" s="1"/>
  <c r="CK489" i="15"/>
  <c r="CL489" i="15" s="1"/>
  <c r="CM489" i="15"/>
  <c r="CN489" i="15" s="1"/>
  <c r="CO489" i="15"/>
  <c r="CP489" i="15" s="1"/>
  <c r="CI489" i="15"/>
  <c r="CJ489" i="15" s="1"/>
  <c r="CK442" i="15"/>
  <c r="CL442" i="15" s="1"/>
  <c r="CM442" i="15"/>
  <c r="CN442" i="15" s="1"/>
  <c r="CO442" i="15"/>
  <c r="CP442" i="15" s="1"/>
  <c r="CI442" i="15"/>
  <c r="CJ442" i="15" s="1"/>
  <c r="CK413" i="15"/>
  <c r="CL413" i="15" s="1"/>
  <c r="CO413" i="15"/>
  <c r="CP413" i="15" s="1"/>
  <c r="CI413" i="15"/>
  <c r="CJ413" i="15" s="1"/>
  <c r="CM413" i="15"/>
  <c r="CN413" i="15" s="1"/>
  <c r="CK384" i="15"/>
  <c r="CL384" i="15" s="1"/>
  <c r="CO384" i="15"/>
  <c r="CP384" i="15" s="1"/>
  <c r="CI384" i="15"/>
  <c r="CJ384" i="15" s="1"/>
  <c r="CM384" i="15"/>
  <c r="CN384" i="15" s="1"/>
  <c r="CK321" i="15"/>
  <c r="CL321" i="15" s="1"/>
  <c r="CO321" i="15"/>
  <c r="CP321" i="15" s="1"/>
  <c r="CI321" i="15"/>
  <c r="CJ321" i="15" s="1"/>
  <c r="CM321" i="15"/>
  <c r="CN321" i="15" s="1"/>
  <c r="CK305" i="15"/>
  <c r="CL305" i="15" s="1"/>
  <c r="CO305" i="15"/>
  <c r="CP305" i="15" s="1"/>
  <c r="CI305" i="15"/>
  <c r="CJ305" i="15" s="1"/>
  <c r="CM305" i="15"/>
  <c r="CN305" i="15" s="1"/>
  <c r="CM224" i="15"/>
  <c r="CN224" i="15" s="1"/>
  <c r="CO224" i="15"/>
  <c r="CP224" i="15" s="1"/>
  <c r="CI224" i="15"/>
  <c r="CJ224" i="15" s="1"/>
  <c r="CK224" i="15"/>
  <c r="CL224" i="15" s="1"/>
  <c r="CM166" i="15"/>
  <c r="CN166" i="15" s="1"/>
  <c r="CO166" i="15"/>
  <c r="CP166" i="15" s="1"/>
  <c r="CI166" i="15"/>
  <c r="CJ166" i="15" s="1"/>
  <c r="CK166" i="15"/>
  <c r="CL166" i="15" s="1"/>
  <c r="CM150" i="15"/>
  <c r="CN150" i="15" s="1"/>
  <c r="CO150" i="15"/>
  <c r="CP150" i="15" s="1"/>
  <c r="CI150" i="15"/>
  <c r="CJ150" i="15" s="1"/>
  <c r="CK150" i="15"/>
  <c r="CL150" i="15" s="1"/>
  <c r="CI634" i="15"/>
  <c r="CJ634" i="15" s="1"/>
  <c r="CK634" i="15"/>
  <c r="CL634" i="15" s="1"/>
  <c r="CM634" i="15"/>
  <c r="CN634" i="15" s="1"/>
  <c r="CO634" i="15"/>
  <c r="CP634" i="15" s="1"/>
  <c r="CK466" i="15"/>
  <c r="CL466" i="15" s="1"/>
  <c r="CM466" i="15"/>
  <c r="CN466" i="15" s="1"/>
  <c r="CO466" i="15"/>
  <c r="CP466" i="15" s="1"/>
  <c r="CI466" i="15"/>
  <c r="CJ466" i="15" s="1"/>
  <c r="CK400" i="15"/>
  <c r="CL400" i="15" s="1"/>
  <c r="CO400" i="15"/>
  <c r="CP400" i="15" s="1"/>
  <c r="CI400" i="15"/>
  <c r="CJ400" i="15" s="1"/>
  <c r="CM400" i="15"/>
  <c r="CN400" i="15" s="1"/>
  <c r="CK302" i="15"/>
  <c r="CL302" i="15" s="1"/>
  <c r="CO302" i="15"/>
  <c r="CP302" i="15" s="1"/>
  <c r="CM302" i="15"/>
  <c r="CN302" i="15" s="1"/>
  <c r="CI302" i="15"/>
  <c r="CJ302" i="15" s="1"/>
  <c r="CK347" i="15"/>
  <c r="CL347" i="15" s="1"/>
  <c r="CO347" i="15"/>
  <c r="CP347" i="15" s="1"/>
  <c r="CI347" i="15"/>
  <c r="CJ347" i="15" s="1"/>
  <c r="CM347" i="15"/>
  <c r="CN347" i="15" s="1"/>
  <c r="CK296" i="15"/>
  <c r="CL296" i="15" s="1"/>
  <c r="CO296" i="15"/>
  <c r="CP296" i="15" s="1"/>
  <c r="CM296" i="15"/>
  <c r="CN296" i="15" s="1"/>
  <c r="CI296" i="15"/>
  <c r="CJ296" i="15" s="1"/>
  <c r="CM211" i="15"/>
  <c r="CN211" i="15" s="1"/>
  <c r="CO211" i="15"/>
  <c r="CP211" i="15" s="1"/>
  <c r="CI211" i="15"/>
  <c r="CJ211" i="15" s="1"/>
  <c r="CK211" i="15"/>
  <c r="CL211" i="15" s="1"/>
  <c r="CM195" i="15"/>
  <c r="CN195" i="15" s="1"/>
  <c r="CO195" i="15"/>
  <c r="CP195" i="15" s="1"/>
  <c r="CI195" i="15"/>
  <c r="CJ195" i="15" s="1"/>
  <c r="CK195" i="15"/>
  <c r="CL195" i="15" s="1"/>
  <c r="CM177" i="15"/>
  <c r="CN177" i="15" s="1"/>
  <c r="CO177" i="15"/>
  <c r="CP177" i="15" s="1"/>
  <c r="CI177" i="15"/>
  <c r="CJ177" i="15" s="1"/>
  <c r="CK177" i="15"/>
  <c r="CL177" i="15" s="1"/>
  <c r="CM157" i="15"/>
  <c r="CN157" i="15" s="1"/>
  <c r="CO157" i="15"/>
  <c r="CP157" i="15" s="1"/>
  <c r="CI157" i="15"/>
  <c r="CJ157" i="15" s="1"/>
  <c r="CK157" i="15"/>
  <c r="CL157" i="15" s="1"/>
  <c r="CK138" i="15"/>
  <c r="CL138" i="15" s="1"/>
  <c r="CM138" i="15"/>
  <c r="CN138" i="15" s="1"/>
  <c r="CO138" i="15"/>
  <c r="CP138" i="15" s="1"/>
  <c r="CI138" i="15"/>
  <c r="CJ138" i="15" s="1"/>
  <c r="CK92" i="15"/>
  <c r="CL92" i="15" s="1"/>
  <c r="CM92" i="15"/>
  <c r="CN92" i="15" s="1"/>
  <c r="CO92" i="15"/>
  <c r="CP92" i="15" s="1"/>
  <c r="CI92" i="15"/>
  <c r="CJ92" i="15" s="1"/>
  <c r="CK59" i="15"/>
  <c r="CL59" i="15" s="1"/>
  <c r="CM59" i="15"/>
  <c r="CN59" i="15" s="1"/>
  <c r="CO59" i="15"/>
  <c r="CP59" i="15" s="1"/>
  <c r="CI59" i="15"/>
  <c r="CJ59" i="15" s="1"/>
  <c r="CK29" i="15"/>
  <c r="CL29" i="15" s="1"/>
  <c r="CM29" i="15"/>
  <c r="CN29" i="15" s="1"/>
  <c r="CI29" i="15"/>
  <c r="CJ29" i="15" s="1"/>
  <c r="CO29" i="15"/>
  <c r="CP29" i="15" s="1"/>
  <c r="CK13" i="15"/>
  <c r="CL13" i="15" s="1"/>
  <c r="CM13" i="15"/>
  <c r="CN13" i="15" s="1"/>
  <c r="CI13" i="15"/>
  <c r="CJ13" i="15" s="1"/>
  <c r="CO13" i="15"/>
  <c r="CP13" i="15" s="1"/>
  <c r="CK86" i="15"/>
  <c r="CL86" i="15" s="1"/>
  <c r="CM86" i="15"/>
  <c r="CN86" i="15" s="1"/>
  <c r="CO86" i="15"/>
  <c r="CP86" i="15" s="1"/>
  <c r="CI86" i="15"/>
  <c r="CJ86" i="15" s="1"/>
  <c r="CK14" i="15"/>
  <c r="CL14" i="15" s="1"/>
  <c r="CM14" i="15"/>
  <c r="CN14" i="15" s="1"/>
  <c r="CO14" i="15"/>
  <c r="CP14" i="15" s="1"/>
  <c r="CI14" i="15"/>
  <c r="CJ14" i="15" s="1"/>
  <c r="CM184" i="15"/>
  <c r="CN184" i="15" s="1"/>
  <c r="CO184" i="15"/>
  <c r="CP184" i="15" s="1"/>
  <c r="CI184" i="15"/>
  <c r="CJ184" i="15" s="1"/>
  <c r="CK184" i="15"/>
  <c r="CL184" i="15" s="1"/>
  <c r="CM149" i="15"/>
  <c r="CN149" i="15" s="1"/>
  <c r="CO149" i="15"/>
  <c r="CP149" i="15" s="1"/>
  <c r="CI149" i="15"/>
  <c r="CJ149" i="15" s="1"/>
  <c r="CK149" i="15"/>
  <c r="CL149" i="15" s="1"/>
  <c r="CK91" i="15"/>
  <c r="CL91" i="15" s="1"/>
  <c r="CM91" i="15"/>
  <c r="CN91" i="15" s="1"/>
  <c r="CO91" i="15"/>
  <c r="CP91" i="15" s="1"/>
  <c r="CI91" i="15"/>
  <c r="CJ91" i="15" s="1"/>
  <c r="CK57" i="15"/>
  <c r="CL57" i="15" s="1"/>
  <c r="CM57" i="15"/>
  <c r="CN57" i="15" s="1"/>
  <c r="CO57" i="15"/>
  <c r="CP57" i="15" s="1"/>
  <c r="CI57" i="15"/>
  <c r="CJ57" i="15" s="1"/>
  <c r="CM23" i="15"/>
  <c r="CN23" i="15" s="1"/>
  <c r="CI23" i="15"/>
  <c r="CJ23" i="15" s="1"/>
  <c r="CO23" i="15"/>
  <c r="CP23" i="15" s="1"/>
  <c r="CK23" i="15"/>
  <c r="CL23" i="15" s="1"/>
  <c r="CK353" i="15"/>
  <c r="CL353" i="15" s="1"/>
  <c r="CO353" i="15"/>
  <c r="CP353" i="15" s="1"/>
  <c r="CM353" i="15"/>
  <c r="CN353" i="15" s="1"/>
  <c r="CI353" i="15"/>
  <c r="CJ353" i="15" s="1"/>
  <c r="CK286" i="15"/>
  <c r="CL286" i="15" s="1"/>
  <c r="CO286" i="15"/>
  <c r="CP286" i="15" s="1"/>
  <c r="CM286" i="15"/>
  <c r="CN286" i="15" s="1"/>
  <c r="CI286" i="15"/>
  <c r="CJ286" i="15" s="1"/>
  <c r="CK263" i="15"/>
  <c r="CL263" i="15" s="1"/>
  <c r="CM263" i="15"/>
  <c r="CN263" i="15" s="1"/>
  <c r="CO263" i="15"/>
  <c r="CP263" i="15" s="1"/>
  <c r="CI263" i="15"/>
  <c r="CJ263" i="15" s="1"/>
  <c r="CK255" i="15"/>
  <c r="CL255" i="15" s="1"/>
  <c r="CO255" i="15"/>
  <c r="CP255" i="15" s="1"/>
  <c r="CM255" i="15"/>
  <c r="CN255" i="15" s="1"/>
  <c r="CI255" i="15"/>
  <c r="CJ255" i="15" s="1"/>
  <c r="CM243" i="15"/>
  <c r="CN243" i="15" s="1"/>
  <c r="CO243" i="15"/>
  <c r="CP243" i="15" s="1"/>
  <c r="CI243" i="15"/>
  <c r="CJ243" i="15" s="1"/>
  <c r="CK243" i="15"/>
  <c r="CL243" i="15" s="1"/>
  <c r="CM229" i="15"/>
  <c r="CN229" i="15" s="1"/>
  <c r="CO229" i="15"/>
  <c r="CP229" i="15" s="1"/>
  <c r="CI229" i="15"/>
  <c r="CJ229" i="15" s="1"/>
  <c r="CK229" i="15"/>
  <c r="CL229" i="15" s="1"/>
  <c r="CM199" i="15"/>
  <c r="CN199" i="15" s="1"/>
  <c r="CO199" i="15"/>
  <c r="CP199" i="15" s="1"/>
  <c r="CI199" i="15"/>
  <c r="CJ199" i="15" s="1"/>
  <c r="CK199" i="15"/>
  <c r="CL199" i="15" s="1"/>
  <c r="CM161" i="15"/>
  <c r="CN161" i="15" s="1"/>
  <c r="CO161" i="15"/>
  <c r="CP161" i="15" s="1"/>
  <c r="CI161" i="15"/>
  <c r="CJ161" i="15" s="1"/>
  <c r="CK161" i="15"/>
  <c r="CL161" i="15" s="1"/>
  <c r="CK115" i="15"/>
  <c r="CL115" i="15" s="1"/>
  <c r="CM115" i="15"/>
  <c r="CN115" i="15" s="1"/>
  <c r="CO115" i="15"/>
  <c r="CP115" i="15" s="1"/>
  <c r="CI115" i="15"/>
  <c r="CJ115" i="15" s="1"/>
  <c r="CM99" i="15"/>
  <c r="CN99" i="15" s="1"/>
  <c r="CK99" i="15"/>
  <c r="CL99" i="15" s="1"/>
  <c r="CI99" i="15"/>
  <c r="CJ99" i="15" s="1"/>
  <c r="CO99" i="15"/>
  <c r="CP99" i="15" s="1"/>
  <c r="CK361" i="15"/>
  <c r="CL361" i="15" s="1"/>
  <c r="CO361" i="15"/>
  <c r="CP361" i="15" s="1"/>
  <c r="CM361" i="15"/>
  <c r="CN361" i="15" s="1"/>
  <c r="CI361" i="15"/>
  <c r="CJ361" i="15" s="1"/>
  <c r="CK329" i="15"/>
  <c r="CL329" i="15" s="1"/>
  <c r="CO329" i="15"/>
  <c r="CP329" i="15" s="1"/>
  <c r="CI329" i="15"/>
  <c r="CJ329" i="15" s="1"/>
  <c r="CM329" i="15"/>
  <c r="CN329" i="15" s="1"/>
  <c r="CK278" i="15"/>
  <c r="CL278" i="15" s="1"/>
  <c r="CO278" i="15"/>
  <c r="CP278" i="15" s="1"/>
  <c r="CM278" i="15"/>
  <c r="CN278" i="15" s="1"/>
  <c r="CI278" i="15"/>
  <c r="CJ278" i="15" s="1"/>
  <c r="CK264" i="15"/>
  <c r="CL264" i="15" s="1"/>
  <c r="CM264" i="15"/>
  <c r="CN264" i="15" s="1"/>
  <c r="CO264" i="15"/>
  <c r="CP264" i="15" s="1"/>
  <c r="CI264" i="15"/>
  <c r="CJ264" i="15" s="1"/>
  <c r="CK256" i="15"/>
  <c r="CL256" i="15" s="1"/>
  <c r="CO256" i="15"/>
  <c r="CP256" i="15" s="1"/>
  <c r="CI256" i="15"/>
  <c r="CJ256" i="15" s="1"/>
  <c r="CM256" i="15"/>
  <c r="CN256" i="15" s="1"/>
  <c r="CM246" i="15"/>
  <c r="CN246" i="15" s="1"/>
  <c r="CO246" i="15"/>
  <c r="CP246" i="15" s="1"/>
  <c r="CI246" i="15"/>
  <c r="CJ246" i="15" s="1"/>
  <c r="CK246" i="15"/>
  <c r="CL246" i="15" s="1"/>
  <c r="CM238" i="15"/>
  <c r="CN238" i="15" s="1"/>
  <c r="CO238" i="15"/>
  <c r="CP238" i="15" s="1"/>
  <c r="CI238" i="15"/>
  <c r="CJ238" i="15" s="1"/>
  <c r="CK238" i="15"/>
  <c r="CL238" i="15" s="1"/>
  <c r="CM226" i="15"/>
  <c r="CN226" i="15" s="1"/>
  <c r="CO226" i="15"/>
  <c r="CP226" i="15" s="1"/>
  <c r="CI226" i="15"/>
  <c r="CJ226" i="15" s="1"/>
  <c r="CK226" i="15"/>
  <c r="CL226" i="15" s="1"/>
  <c r="CM209" i="15"/>
  <c r="CN209" i="15" s="1"/>
  <c r="CO209" i="15"/>
  <c r="CP209" i="15" s="1"/>
  <c r="CI209" i="15"/>
  <c r="CJ209" i="15" s="1"/>
  <c r="CK209" i="15"/>
  <c r="CL209" i="15" s="1"/>
  <c r="CM193" i="15"/>
  <c r="CN193" i="15" s="1"/>
  <c r="CO193" i="15"/>
  <c r="CP193" i="15" s="1"/>
  <c r="CI193" i="15"/>
  <c r="CJ193" i="15" s="1"/>
  <c r="CK193" i="15"/>
  <c r="CL193" i="15" s="1"/>
  <c r="CM178" i="15"/>
  <c r="CN178" i="15" s="1"/>
  <c r="CO178" i="15"/>
  <c r="CP178" i="15" s="1"/>
  <c r="CI178" i="15"/>
  <c r="CJ178" i="15" s="1"/>
  <c r="CK178" i="15"/>
  <c r="CL178" i="15" s="1"/>
  <c r="CM153" i="15"/>
  <c r="CN153" i="15" s="1"/>
  <c r="CO153" i="15"/>
  <c r="CP153" i="15" s="1"/>
  <c r="CI153" i="15"/>
  <c r="CJ153" i="15" s="1"/>
  <c r="CK153" i="15"/>
  <c r="CL153" i="15" s="1"/>
  <c r="CO132" i="15"/>
  <c r="CP132" i="15" s="1"/>
  <c r="CI132" i="15"/>
  <c r="CJ132" i="15" s="1"/>
  <c r="CK132" i="15"/>
  <c r="CL132" i="15" s="1"/>
  <c r="CM132" i="15"/>
  <c r="CN132" i="15" s="1"/>
  <c r="CK56" i="15"/>
  <c r="CL56" i="15" s="1"/>
  <c r="CM56" i="15"/>
  <c r="CN56" i="15" s="1"/>
  <c r="CO56" i="15"/>
  <c r="CP56" i="15" s="1"/>
  <c r="CI56" i="15"/>
  <c r="CJ56" i="15" s="1"/>
  <c r="CK22" i="15"/>
  <c r="CL22" i="15" s="1"/>
  <c r="CM22" i="15"/>
  <c r="CN22" i="15" s="1"/>
  <c r="CO22" i="15"/>
  <c r="CP22" i="15" s="1"/>
  <c r="CI22" i="15"/>
  <c r="CJ22" i="15" s="1"/>
  <c r="CK341" i="15"/>
  <c r="CL341" i="15" s="1"/>
  <c r="CO341" i="15"/>
  <c r="CP341" i="15" s="1"/>
  <c r="CI341" i="15"/>
  <c r="CJ341" i="15" s="1"/>
  <c r="CM341" i="15"/>
  <c r="CN341" i="15" s="1"/>
  <c r="CK275" i="15"/>
  <c r="CL275" i="15" s="1"/>
  <c r="CO275" i="15"/>
  <c r="CP275" i="15" s="1"/>
  <c r="CM275" i="15"/>
  <c r="CN275" i="15" s="1"/>
  <c r="CI275" i="15"/>
  <c r="CJ275" i="15" s="1"/>
  <c r="CM205" i="15"/>
  <c r="CN205" i="15" s="1"/>
  <c r="CO205" i="15"/>
  <c r="CP205" i="15" s="1"/>
  <c r="CI205" i="15"/>
  <c r="CJ205" i="15" s="1"/>
  <c r="CK205" i="15"/>
  <c r="CL205" i="15" s="1"/>
  <c r="CM163" i="15"/>
  <c r="CN163" i="15" s="1"/>
  <c r="CO163" i="15"/>
  <c r="CP163" i="15" s="1"/>
  <c r="CI163" i="15"/>
  <c r="CJ163" i="15" s="1"/>
  <c r="CK163" i="15"/>
  <c r="CL163" i="15" s="1"/>
  <c r="CO129" i="15"/>
  <c r="CP129" i="15" s="1"/>
  <c r="CI129" i="15"/>
  <c r="CJ129" i="15" s="1"/>
  <c r="CK129" i="15"/>
  <c r="CL129" i="15" s="1"/>
  <c r="CM129" i="15"/>
  <c r="CN129" i="15" s="1"/>
  <c r="CK253" i="15"/>
  <c r="CL253" i="15" s="1"/>
  <c r="CO253" i="15"/>
  <c r="CP253" i="15" s="1"/>
  <c r="CM253" i="15"/>
  <c r="CN253" i="15" s="1"/>
  <c r="CI253" i="15"/>
  <c r="CJ253" i="15" s="1"/>
  <c r="CM215" i="15"/>
  <c r="CN215" i="15" s="1"/>
  <c r="CO215" i="15"/>
  <c r="CP215" i="15" s="1"/>
  <c r="CI215" i="15"/>
  <c r="CJ215" i="15" s="1"/>
  <c r="CK215" i="15"/>
  <c r="CL215" i="15" s="1"/>
  <c r="CM174" i="15"/>
  <c r="CN174" i="15" s="1"/>
  <c r="CO174" i="15"/>
  <c r="CP174" i="15" s="1"/>
  <c r="CI174" i="15"/>
  <c r="CJ174" i="15" s="1"/>
  <c r="CK174" i="15"/>
  <c r="CL174" i="15" s="1"/>
  <c r="CK96" i="15"/>
  <c r="CL96" i="15" s="1"/>
  <c r="CM96" i="15"/>
  <c r="CN96" i="15" s="1"/>
  <c r="CO96" i="15"/>
  <c r="CP96" i="15" s="1"/>
  <c r="CI96" i="15"/>
  <c r="CJ96" i="15" s="1"/>
  <c r="CK39" i="15"/>
  <c r="CL39" i="15" s="1"/>
  <c r="CM39" i="15"/>
  <c r="CN39" i="15" s="1"/>
  <c r="CO39" i="15"/>
  <c r="CP39" i="15" s="1"/>
  <c r="CI39" i="15"/>
  <c r="CJ39" i="15" s="1"/>
  <c r="CK109" i="15"/>
  <c r="CL109" i="15" s="1"/>
  <c r="CM109" i="15"/>
  <c r="CN109" i="15" s="1"/>
  <c r="CO109" i="15"/>
  <c r="CP109" i="15" s="1"/>
  <c r="CI109" i="15"/>
  <c r="CJ109" i="15" s="1"/>
  <c r="CK105" i="15"/>
  <c r="CL105" i="15" s="1"/>
  <c r="CM105" i="15"/>
  <c r="CN105" i="15" s="1"/>
  <c r="CO105" i="15"/>
  <c r="CP105" i="15" s="1"/>
  <c r="CI105" i="15"/>
  <c r="CJ105" i="15" s="1"/>
  <c r="CK113" i="15"/>
  <c r="CL113" i="15" s="1"/>
  <c r="CM113" i="15"/>
  <c r="CN113" i="15" s="1"/>
  <c r="CO113" i="15"/>
  <c r="CP113" i="15" s="1"/>
  <c r="CI113" i="15"/>
  <c r="CJ113" i="15" s="1"/>
  <c r="CK76" i="15"/>
  <c r="CL76" i="15" s="1"/>
  <c r="CM76" i="15"/>
  <c r="CN76" i="15" s="1"/>
  <c r="CO76" i="15"/>
  <c r="CP76" i="15" s="1"/>
  <c r="CI76" i="15"/>
  <c r="CJ76" i="15" s="1"/>
  <c r="CO728" i="15"/>
  <c r="CP728" i="15" s="1"/>
  <c r="CI728" i="15"/>
  <c r="CJ728" i="15" s="1"/>
  <c r="CM728" i="15"/>
  <c r="CN728" i="15" s="1"/>
  <c r="CK728" i="15"/>
  <c r="CL728" i="15" s="1"/>
  <c r="CO814" i="15"/>
  <c r="CP814" i="15" s="1"/>
  <c r="CI814" i="15"/>
  <c r="CJ814" i="15" s="1"/>
  <c r="CM814" i="15"/>
  <c r="CN814" i="15" s="1"/>
  <c r="CK814" i="15"/>
  <c r="CL814" i="15" s="1"/>
  <c r="CO722" i="15"/>
  <c r="CP722" i="15" s="1"/>
  <c r="CI722" i="15"/>
  <c r="CJ722" i="15" s="1"/>
  <c r="CM722" i="15"/>
  <c r="CN722" i="15" s="1"/>
  <c r="CK722" i="15"/>
  <c r="CL722" i="15" s="1"/>
  <c r="CO734" i="15"/>
  <c r="CP734" i="15" s="1"/>
  <c r="CI734" i="15"/>
  <c r="CJ734" i="15" s="1"/>
  <c r="CM734" i="15"/>
  <c r="CN734" i="15" s="1"/>
  <c r="CK734" i="15"/>
  <c r="CL734" i="15" s="1"/>
  <c r="CK463" i="15"/>
  <c r="CL463" i="15" s="1"/>
  <c r="CM463" i="15"/>
  <c r="CN463" i="15" s="1"/>
  <c r="CO463" i="15"/>
  <c r="CP463" i="15" s="1"/>
  <c r="CI463" i="15"/>
  <c r="CJ463" i="15" s="1"/>
  <c r="CO746" i="15"/>
  <c r="CP746" i="15" s="1"/>
  <c r="CI746" i="15"/>
  <c r="CJ746" i="15" s="1"/>
  <c r="CM746" i="15"/>
  <c r="CN746" i="15" s="1"/>
  <c r="CK746" i="15"/>
  <c r="CL746" i="15" s="1"/>
  <c r="CO822" i="15"/>
  <c r="CP822" i="15" s="1"/>
  <c r="CI822" i="15"/>
  <c r="CJ822" i="15" s="1"/>
  <c r="CM822" i="15"/>
  <c r="CN822" i="15" s="1"/>
  <c r="CK822" i="15"/>
  <c r="CL822" i="15" s="1"/>
  <c r="CI657" i="15"/>
  <c r="CJ657" i="15" s="1"/>
  <c r="CK657" i="15"/>
  <c r="CL657" i="15" s="1"/>
  <c r="CM657" i="15"/>
  <c r="CN657" i="15" s="1"/>
  <c r="CO657" i="15"/>
  <c r="CP657" i="15" s="1"/>
  <c r="CK558" i="15"/>
  <c r="CL558" i="15" s="1"/>
  <c r="CM558" i="15"/>
  <c r="CN558" i="15" s="1"/>
  <c r="CO558" i="15"/>
  <c r="CP558" i="15" s="1"/>
  <c r="CI558" i="15"/>
  <c r="CJ558" i="15" s="1"/>
  <c r="CK521" i="15"/>
  <c r="CL521" i="15" s="1"/>
  <c r="CM521" i="15"/>
  <c r="CN521" i="15" s="1"/>
  <c r="CO521" i="15"/>
  <c r="CP521" i="15" s="1"/>
  <c r="CI521" i="15"/>
  <c r="CJ521" i="15" s="1"/>
  <c r="CO612" i="15"/>
  <c r="CP612" i="15" s="1"/>
  <c r="CM612" i="15"/>
  <c r="CN612" i="15" s="1"/>
  <c r="CK612" i="15"/>
  <c r="CL612" i="15" s="1"/>
  <c r="CI612" i="15"/>
  <c r="CJ612" i="15" s="1"/>
  <c r="CK563" i="15"/>
  <c r="CL563" i="15" s="1"/>
  <c r="CM563" i="15"/>
  <c r="CN563" i="15" s="1"/>
  <c r="CO563" i="15"/>
  <c r="CP563" i="15" s="1"/>
  <c r="CI563" i="15"/>
  <c r="CJ563" i="15" s="1"/>
  <c r="CK526" i="15"/>
  <c r="CL526" i="15" s="1"/>
  <c r="CM526" i="15"/>
  <c r="CN526" i="15" s="1"/>
  <c r="CO526" i="15"/>
  <c r="CP526" i="15" s="1"/>
  <c r="CI526" i="15"/>
  <c r="CJ526" i="15" s="1"/>
  <c r="CK553" i="15"/>
  <c r="CL553" i="15" s="1"/>
  <c r="CM553" i="15"/>
  <c r="CN553" i="15" s="1"/>
  <c r="CO553" i="15"/>
  <c r="CP553" i="15" s="1"/>
  <c r="CI553" i="15"/>
  <c r="CJ553" i="15" s="1"/>
  <c r="CK432" i="15"/>
  <c r="CL432" i="15" s="1"/>
  <c r="CM432" i="15"/>
  <c r="CN432" i="15" s="1"/>
  <c r="CO432" i="15"/>
  <c r="CP432" i="15" s="1"/>
  <c r="CI432" i="15"/>
  <c r="CJ432" i="15" s="1"/>
  <c r="CO767" i="15"/>
  <c r="CP767" i="15" s="1"/>
  <c r="CI767" i="15"/>
  <c r="CJ767" i="15" s="1"/>
  <c r="CK767" i="15"/>
  <c r="CL767" i="15" s="1"/>
  <c r="CM767" i="15"/>
  <c r="CN767" i="15" s="1"/>
  <c r="CK560" i="15"/>
  <c r="CL560" i="15" s="1"/>
  <c r="CM560" i="15"/>
  <c r="CN560" i="15" s="1"/>
  <c r="CO560" i="15"/>
  <c r="CP560" i="15" s="1"/>
  <c r="CI560" i="15"/>
  <c r="CJ560" i="15" s="1"/>
  <c r="CK523" i="15"/>
  <c r="CL523" i="15" s="1"/>
  <c r="CM523" i="15"/>
  <c r="CN523" i="15" s="1"/>
  <c r="CO523" i="15"/>
  <c r="CP523" i="15" s="1"/>
  <c r="CI523" i="15"/>
  <c r="CJ523" i="15" s="1"/>
  <c r="CK569" i="15"/>
  <c r="CL569" i="15" s="1"/>
  <c r="CM569" i="15"/>
  <c r="CN569" i="15" s="1"/>
  <c r="CO569" i="15"/>
  <c r="CP569" i="15" s="1"/>
  <c r="CI569" i="15"/>
  <c r="CJ569" i="15" s="1"/>
  <c r="CO724" i="15"/>
  <c r="CP724" i="15" s="1"/>
  <c r="CI724" i="15"/>
  <c r="CJ724" i="15" s="1"/>
  <c r="CM724" i="15"/>
  <c r="CN724" i="15" s="1"/>
  <c r="CK724" i="15"/>
  <c r="CL724" i="15" s="1"/>
  <c r="CK496" i="15"/>
  <c r="CL496" i="15" s="1"/>
  <c r="CM496" i="15"/>
  <c r="CN496" i="15" s="1"/>
  <c r="CO496" i="15"/>
  <c r="CP496" i="15" s="1"/>
  <c r="CI496" i="15"/>
  <c r="CJ496" i="15" s="1"/>
  <c r="CK467" i="15"/>
  <c r="CL467" i="15" s="1"/>
  <c r="CM467" i="15"/>
  <c r="CN467" i="15" s="1"/>
  <c r="CO467" i="15"/>
  <c r="CP467" i="15" s="1"/>
  <c r="CI467" i="15"/>
  <c r="CJ467" i="15" s="1"/>
  <c r="CK62" i="15"/>
  <c r="CL62" i="15" s="1"/>
  <c r="CM62" i="15"/>
  <c r="CN62" i="15" s="1"/>
  <c r="CO62" i="15"/>
  <c r="CP62" i="15" s="1"/>
  <c r="CI62" i="15"/>
  <c r="CJ62" i="15" s="1"/>
  <c r="BU771" i="15"/>
  <c r="BV771" i="15" s="1"/>
  <c r="CO771" i="15"/>
  <c r="CP771" i="15" s="1"/>
  <c r="CI771" i="15"/>
  <c r="CJ771" i="15" s="1"/>
  <c r="CK771" i="15"/>
  <c r="CL771" i="15" s="1"/>
  <c r="CM771" i="15"/>
  <c r="CN771" i="15" s="1"/>
  <c r="CO765" i="15"/>
  <c r="CP765" i="15" s="1"/>
  <c r="CI765" i="15"/>
  <c r="CJ765" i="15" s="1"/>
  <c r="CK765" i="15"/>
  <c r="CL765" i="15" s="1"/>
  <c r="CM765" i="15"/>
  <c r="CN765" i="15" s="1"/>
  <c r="CO761" i="15"/>
  <c r="CP761" i="15" s="1"/>
  <c r="CI761" i="15"/>
  <c r="CJ761" i="15" s="1"/>
  <c r="CK761" i="15"/>
  <c r="CL761" i="15" s="1"/>
  <c r="CM761" i="15"/>
  <c r="CN761" i="15" s="1"/>
  <c r="CO757" i="15"/>
  <c r="CP757" i="15" s="1"/>
  <c r="CI757" i="15"/>
  <c r="CJ757" i="15" s="1"/>
  <c r="CK757" i="15"/>
  <c r="CL757" i="15" s="1"/>
  <c r="CM757" i="15"/>
  <c r="CN757" i="15" s="1"/>
  <c r="BU751" i="15"/>
  <c r="BV751" i="15" s="1"/>
  <c r="CO751" i="15"/>
  <c r="CP751" i="15" s="1"/>
  <c r="CI751" i="15"/>
  <c r="CJ751" i="15" s="1"/>
  <c r="CK751" i="15"/>
  <c r="CL751" i="15" s="1"/>
  <c r="CM751" i="15"/>
  <c r="CN751" i="15" s="1"/>
  <c r="CO743" i="15"/>
  <c r="CP743" i="15" s="1"/>
  <c r="CI743" i="15"/>
  <c r="CJ743" i="15" s="1"/>
  <c r="CK743" i="15"/>
  <c r="CL743" i="15" s="1"/>
  <c r="CM743" i="15"/>
  <c r="CN743" i="15" s="1"/>
  <c r="CI733" i="15"/>
  <c r="CJ733" i="15" s="1"/>
  <c r="CO733" i="15"/>
  <c r="CP733" i="15" s="1"/>
  <c r="CM733" i="15"/>
  <c r="CN733" i="15" s="1"/>
  <c r="CK733" i="15"/>
  <c r="CL733" i="15" s="1"/>
  <c r="CK497" i="15"/>
  <c r="CL497" i="15" s="1"/>
  <c r="CM497" i="15"/>
  <c r="CN497" i="15" s="1"/>
  <c r="CO497" i="15"/>
  <c r="CP497" i="15" s="1"/>
  <c r="CI497" i="15"/>
  <c r="CJ497" i="15" s="1"/>
  <c r="CI630" i="15"/>
  <c r="CJ630" i="15" s="1"/>
  <c r="CK630" i="15"/>
  <c r="CL630" i="15" s="1"/>
  <c r="CM630" i="15"/>
  <c r="CN630" i="15" s="1"/>
  <c r="CO630" i="15"/>
  <c r="CP630" i="15" s="1"/>
  <c r="CK404" i="15"/>
  <c r="CL404" i="15" s="1"/>
  <c r="CO404" i="15"/>
  <c r="CP404" i="15" s="1"/>
  <c r="CI404" i="15"/>
  <c r="CJ404" i="15" s="1"/>
  <c r="CM404" i="15"/>
  <c r="CN404" i="15" s="1"/>
  <c r="CK120" i="15"/>
  <c r="CL120" i="15" s="1"/>
  <c r="CM120" i="15"/>
  <c r="CN120" i="15" s="1"/>
  <c r="CO120" i="15"/>
  <c r="CP120" i="15" s="1"/>
  <c r="CI120" i="15"/>
  <c r="CJ120" i="15" s="1"/>
  <c r="CK116" i="15"/>
  <c r="CL116" i="15" s="1"/>
  <c r="CM116" i="15"/>
  <c r="CN116" i="15" s="1"/>
  <c r="CO116" i="15"/>
  <c r="CP116" i="15" s="1"/>
  <c r="CI116" i="15"/>
  <c r="CJ116" i="15" s="1"/>
  <c r="CK112" i="15"/>
  <c r="CL112" i="15" s="1"/>
  <c r="CM112" i="15"/>
  <c r="CN112" i="15" s="1"/>
  <c r="CO112" i="15"/>
  <c r="CP112" i="15" s="1"/>
  <c r="CI112" i="15"/>
  <c r="CJ112" i="15" s="1"/>
  <c r="CK108" i="15"/>
  <c r="CL108" i="15" s="1"/>
  <c r="CM108" i="15"/>
  <c r="CN108" i="15" s="1"/>
  <c r="CO108" i="15"/>
  <c r="CP108" i="15" s="1"/>
  <c r="CI108" i="15"/>
  <c r="CJ108" i="15" s="1"/>
  <c r="CK104" i="15"/>
  <c r="CL104" i="15" s="1"/>
  <c r="CM104" i="15"/>
  <c r="CN104" i="15" s="1"/>
  <c r="CO104" i="15"/>
  <c r="CP104" i="15" s="1"/>
  <c r="CI104" i="15"/>
  <c r="CJ104" i="15" s="1"/>
  <c r="CK100" i="15"/>
  <c r="CL100" i="15" s="1"/>
  <c r="CM100" i="15"/>
  <c r="CN100" i="15" s="1"/>
  <c r="CO100" i="15"/>
  <c r="CP100" i="15" s="1"/>
  <c r="CI100" i="15"/>
  <c r="CJ100" i="15" s="1"/>
  <c r="CO780" i="15"/>
  <c r="CP780" i="15" s="1"/>
  <c r="CI780" i="15"/>
  <c r="CJ780" i="15" s="1"/>
  <c r="CM780" i="15"/>
  <c r="CN780" i="15" s="1"/>
  <c r="CK780" i="15"/>
  <c r="CL780" i="15" s="1"/>
  <c r="CI633" i="15"/>
  <c r="CJ633" i="15" s="1"/>
  <c r="CK633" i="15"/>
  <c r="CL633" i="15" s="1"/>
  <c r="CM633" i="15"/>
  <c r="CN633" i="15" s="1"/>
  <c r="CO633" i="15"/>
  <c r="CP633" i="15" s="1"/>
  <c r="CK606" i="15"/>
  <c r="CL606" i="15" s="1"/>
  <c r="CM606" i="15"/>
  <c r="CN606" i="15" s="1"/>
  <c r="CO606" i="15"/>
  <c r="CP606" i="15" s="1"/>
  <c r="CI606" i="15"/>
  <c r="CJ606" i="15" s="1"/>
  <c r="CK602" i="15"/>
  <c r="CL602" i="15" s="1"/>
  <c r="CM602" i="15"/>
  <c r="CN602" i="15" s="1"/>
  <c r="CO602" i="15"/>
  <c r="CP602" i="15" s="1"/>
  <c r="CI602" i="15"/>
  <c r="CJ602" i="15" s="1"/>
  <c r="CI598" i="15"/>
  <c r="CJ598" i="15" s="1"/>
  <c r="CM598" i="15"/>
  <c r="CN598" i="15" s="1"/>
  <c r="CK598" i="15"/>
  <c r="CL598" i="15" s="1"/>
  <c r="CO598" i="15"/>
  <c r="CP598" i="15" s="1"/>
  <c r="CI594" i="15"/>
  <c r="CJ594" i="15" s="1"/>
  <c r="CK594" i="15"/>
  <c r="CL594" i="15" s="1"/>
  <c r="CM594" i="15"/>
  <c r="CN594" i="15" s="1"/>
  <c r="CO594" i="15"/>
  <c r="CP594" i="15" s="1"/>
  <c r="CI588" i="15"/>
  <c r="CJ588" i="15" s="1"/>
  <c r="CK588" i="15"/>
  <c r="CL588" i="15" s="1"/>
  <c r="CM588" i="15"/>
  <c r="CN588" i="15" s="1"/>
  <c r="CO588" i="15"/>
  <c r="CP588" i="15" s="1"/>
  <c r="CI584" i="15"/>
  <c r="CJ584" i="15" s="1"/>
  <c r="CK584" i="15"/>
  <c r="CL584" i="15" s="1"/>
  <c r="CM584" i="15"/>
  <c r="CN584" i="15" s="1"/>
  <c r="CO584" i="15"/>
  <c r="CP584" i="15" s="1"/>
  <c r="CI580" i="15"/>
  <c r="CJ580" i="15" s="1"/>
  <c r="CK580" i="15"/>
  <c r="CL580" i="15" s="1"/>
  <c r="CM580" i="15"/>
  <c r="CN580" i="15" s="1"/>
  <c r="CO580" i="15"/>
  <c r="CP580" i="15" s="1"/>
  <c r="CK441" i="15"/>
  <c r="CL441" i="15" s="1"/>
  <c r="CM441" i="15"/>
  <c r="CN441" i="15" s="1"/>
  <c r="CO441" i="15"/>
  <c r="CP441" i="15" s="1"/>
  <c r="CI441" i="15"/>
  <c r="CJ441" i="15" s="1"/>
  <c r="CB578" i="15"/>
  <c r="CB407" i="15"/>
  <c r="CB325" i="15"/>
  <c r="CB796" i="15"/>
  <c r="CB714" i="15"/>
  <c r="CB472" i="15"/>
  <c r="CB168" i="15"/>
  <c r="CB219" i="15"/>
  <c r="CB145" i="15"/>
  <c r="AI93" i="15"/>
  <c r="AI389" i="15"/>
  <c r="CE785" i="15"/>
  <c r="CF785" i="15" s="1"/>
  <c r="AI55" i="15"/>
  <c r="AI810" i="15"/>
  <c r="CE760" i="15"/>
  <c r="CF760" i="15" s="1"/>
  <c r="AI752" i="15"/>
  <c r="AI746" i="15"/>
  <c r="AI246" i="15"/>
  <c r="AI238" i="15"/>
  <c r="CE853" i="15"/>
  <c r="CF853" i="15" s="1"/>
  <c r="CE531" i="15"/>
  <c r="CF531" i="15" s="1"/>
  <c r="AI245" i="15"/>
  <c r="AI824" i="15"/>
  <c r="CE653" i="15"/>
  <c r="CF653" i="15" s="1"/>
  <c r="AI256" i="15"/>
  <c r="CE559" i="15"/>
  <c r="CF559" i="15" s="1"/>
  <c r="CE456" i="15"/>
  <c r="CE464" i="15"/>
  <c r="CF464" i="15" s="1"/>
  <c r="CE684" i="15"/>
  <c r="CF684" i="15" s="1"/>
  <c r="AI644" i="15"/>
  <c r="CE337" i="15"/>
  <c r="CF337" i="15" s="1"/>
  <c r="CE664" i="15"/>
  <c r="CF664" i="15" s="1"/>
  <c r="CE710" i="15"/>
  <c r="CF710" i="15" s="1"/>
  <c r="AI656" i="15"/>
  <c r="CE648" i="15"/>
  <c r="CF648" i="15" s="1"/>
  <c r="AJ84" i="15"/>
  <c r="BO84" i="15" s="1"/>
  <c r="BP84" i="15" s="1"/>
  <c r="BQ84" i="15" s="1"/>
  <c r="CE829" i="15"/>
  <c r="CE369" i="15"/>
  <c r="CF369" i="15" s="1"/>
  <c r="AI329" i="15"/>
  <c r="AI142" i="15"/>
  <c r="CE84" i="15"/>
  <c r="CF84" i="15" s="1"/>
  <c r="CE47" i="15"/>
  <c r="CF47" i="15" s="1"/>
  <c r="AI213" i="15"/>
  <c r="AI856" i="15"/>
  <c r="AI786" i="15"/>
  <c r="AI768" i="15"/>
  <c r="AI722" i="15"/>
  <c r="AI552" i="15"/>
  <c r="AI498" i="15"/>
  <c r="AI216" i="15"/>
  <c r="AI208" i="15"/>
  <c r="AI200" i="15"/>
  <c r="AI192" i="15"/>
  <c r="AI182" i="15"/>
  <c r="AI174" i="15"/>
  <c r="AI723" i="15"/>
  <c r="AI567" i="15"/>
  <c r="AI793" i="15"/>
  <c r="CE272" i="15"/>
  <c r="AI652" i="15"/>
  <c r="AI627" i="15"/>
  <c r="CE394" i="15"/>
  <c r="CF394" i="15" s="1"/>
  <c r="AI361" i="15"/>
  <c r="CE287" i="15"/>
  <c r="CF287" i="15" s="1"/>
  <c r="AI257" i="15"/>
  <c r="AI74" i="15"/>
  <c r="AI159" i="15"/>
  <c r="AI848" i="15"/>
  <c r="AI227" i="15"/>
  <c r="AI425" i="15"/>
  <c r="AI288" i="15"/>
  <c r="AI113" i="15"/>
  <c r="CE549" i="15"/>
  <c r="AI660" i="15"/>
  <c r="CE619" i="15"/>
  <c r="CF619" i="15" s="1"/>
  <c r="CE460" i="15"/>
  <c r="CF460" i="15" s="1"/>
  <c r="CE400" i="15"/>
  <c r="CF400" i="15" s="1"/>
  <c r="CE353" i="15"/>
  <c r="CF353" i="15" s="1"/>
  <c r="AI265" i="15"/>
  <c r="CE63" i="15"/>
  <c r="CF63" i="15" s="1"/>
  <c r="AI131" i="15"/>
  <c r="AI345" i="15"/>
  <c r="AI409" i="15"/>
  <c r="BU604" i="15"/>
  <c r="BV604" i="15" s="1"/>
  <c r="AI603" i="15"/>
  <c r="AJ10" i="15"/>
  <c r="BO10" i="15" s="1"/>
  <c r="BP10" i="15" s="1"/>
  <c r="BQ10" i="15" s="1"/>
  <c r="CE797" i="15"/>
  <c r="AI402" i="15"/>
  <c r="AI694" i="15"/>
  <c r="AI634" i="15"/>
  <c r="AI609" i="15"/>
  <c r="AI601" i="15"/>
  <c r="AI593" i="15"/>
  <c r="AI585" i="15"/>
  <c r="AI468" i="15"/>
  <c r="AI450" i="15"/>
  <c r="AI616" i="15"/>
  <c r="AI334" i="15"/>
  <c r="AI308" i="15"/>
  <c r="AI650" i="15"/>
  <c r="AI377" i="15"/>
  <c r="AI367" i="15"/>
  <c r="AI359" i="15"/>
  <c r="AI351" i="15"/>
  <c r="AI343" i="15"/>
  <c r="AI335" i="15"/>
  <c r="AI327" i="15"/>
  <c r="AI126" i="15"/>
  <c r="AI90" i="15"/>
  <c r="AI80" i="15"/>
  <c r="AI72" i="15"/>
  <c r="AI61" i="15"/>
  <c r="AI53" i="15"/>
  <c r="AI45" i="15"/>
  <c r="AI385" i="15"/>
  <c r="AI109" i="15"/>
  <c r="CA15" i="15"/>
  <c r="CC15" i="15" s="1"/>
  <c r="CD15" i="15" s="1"/>
  <c r="AM15" i="15"/>
  <c r="AN15" i="15" s="1"/>
  <c r="CA702" i="15"/>
  <c r="CC702" i="15" s="1"/>
  <c r="CD702" i="15" s="1"/>
  <c r="AM702" i="15"/>
  <c r="AN702" i="15" s="1"/>
  <c r="CA692" i="15"/>
  <c r="CC692" i="15" s="1"/>
  <c r="CD692" i="15" s="1"/>
  <c r="AM692" i="15"/>
  <c r="AN692" i="15" s="1"/>
  <c r="CA680" i="15"/>
  <c r="CC680" i="15" s="1"/>
  <c r="CD680" i="15" s="1"/>
  <c r="AM680" i="15"/>
  <c r="AN680" i="15" s="1"/>
  <c r="CA676" i="15"/>
  <c r="CC676" i="15" s="1"/>
  <c r="CD676" i="15" s="1"/>
  <c r="AM676" i="15"/>
  <c r="AN676" i="15" s="1"/>
  <c r="CA666" i="15"/>
  <c r="CC666" i="15" s="1"/>
  <c r="CD666" i="15" s="1"/>
  <c r="AM666" i="15"/>
  <c r="AN666" i="15" s="1"/>
  <c r="CA658" i="15"/>
  <c r="CC658" i="15" s="1"/>
  <c r="CD658" i="15" s="1"/>
  <c r="AM658" i="15"/>
  <c r="AN658" i="15" s="1"/>
  <c r="CA642" i="15"/>
  <c r="AM642" i="15"/>
  <c r="AN642" i="15" s="1"/>
  <c r="CA625" i="15"/>
  <c r="CC625" i="15" s="1"/>
  <c r="CD625" i="15" s="1"/>
  <c r="AM625" i="15"/>
  <c r="AN625" i="15" s="1"/>
  <c r="CA615" i="15"/>
  <c r="CC615" i="15" s="1"/>
  <c r="CD615" i="15" s="1"/>
  <c r="AM615" i="15"/>
  <c r="AN615" i="15" s="1"/>
  <c r="CA607" i="15"/>
  <c r="CC607" i="15" s="1"/>
  <c r="CD607" i="15" s="1"/>
  <c r="AM607" i="15"/>
  <c r="AN607" i="15" s="1"/>
  <c r="CA599" i="15"/>
  <c r="CC599" i="15" s="1"/>
  <c r="CD599" i="15" s="1"/>
  <c r="AM599" i="15"/>
  <c r="AN599" i="15" s="1"/>
  <c r="CA591" i="15"/>
  <c r="CC591" i="15" s="1"/>
  <c r="CD591" i="15" s="1"/>
  <c r="AM591" i="15"/>
  <c r="AN591" i="15" s="1"/>
  <c r="CA466" i="15"/>
  <c r="CC466" i="15" s="1"/>
  <c r="CD466" i="15" s="1"/>
  <c r="AM466" i="15"/>
  <c r="AN466" i="15" s="1"/>
  <c r="CA458" i="15"/>
  <c r="CC458" i="15" s="1"/>
  <c r="CD458" i="15" s="1"/>
  <c r="AM458" i="15"/>
  <c r="AN458" i="15" s="1"/>
  <c r="CA446" i="15"/>
  <c r="CC446" i="15" s="1"/>
  <c r="CD446" i="15" s="1"/>
  <c r="AM446" i="15"/>
  <c r="AN446" i="15" s="1"/>
  <c r="CA434" i="15"/>
  <c r="CC434" i="15" s="1"/>
  <c r="CD434" i="15" s="1"/>
  <c r="AM434" i="15"/>
  <c r="AN434" i="15" s="1"/>
  <c r="CA426" i="15"/>
  <c r="CC426" i="15" s="1"/>
  <c r="CD426" i="15" s="1"/>
  <c r="AM426" i="15"/>
  <c r="AN426" i="15" s="1"/>
  <c r="CA418" i="15"/>
  <c r="CC418" i="15" s="1"/>
  <c r="CD418" i="15" s="1"/>
  <c r="AM418" i="15"/>
  <c r="AN418" i="15" s="1"/>
  <c r="CA410" i="15"/>
  <c r="CC410" i="15" s="1"/>
  <c r="CD410" i="15" s="1"/>
  <c r="AM410" i="15"/>
  <c r="AN410" i="15" s="1"/>
  <c r="CA396" i="15"/>
  <c r="CC396" i="15" s="1"/>
  <c r="CD396" i="15" s="1"/>
  <c r="AM396" i="15"/>
  <c r="AN396" i="15" s="1"/>
  <c r="CA390" i="15"/>
  <c r="CC390" i="15" s="1"/>
  <c r="CD390" i="15" s="1"/>
  <c r="AM390" i="15"/>
  <c r="AN390" i="15" s="1"/>
  <c r="CA386" i="15"/>
  <c r="CC386" i="15" s="1"/>
  <c r="CD386" i="15" s="1"/>
  <c r="AM386" i="15"/>
  <c r="AN386" i="15" s="1"/>
  <c r="CA377" i="15"/>
  <c r="CC377" i="15" s="1"/>
  <c r="CD377" i="15" s="1"/>
  <c r="AM377" i="15"/>
  <c r="AN377" i="15" s="1"/>
  <c r="CA359" i="15"/>
  <c r="CC359" i="15" s="1"/>
  <c r="CD359" i="15" s="1"/>
  <c r="AM359" i="15"/>
  <c r="AN359" i="15" s="1"/>
  <c r="CA357" i="15"/>
  <c r="CC357" i="15" s="1"/>
  <c r="CD357" i="15" s="1"/>
  <c r="AM357" i="15"/>
  <c r="AN357" i="15" s="1"/>
  <c r="CA327" i="15"/>
  <c r="CC327" i="15" s="1"/>
  <c r="CD327" i="15" s="1"/>
  <c r="AM327" i="15"/>
  <c r="AN327" i="15" s="1"/>
  <c r="CA293" i="15"/>
  <c r="CC293" i="15" s="1"/>
  <c r="CD293" i="15" s="1"/>
  <c r="AM293" i="15"/>
  <c r="AN293" i="15" s="1"/>
  <c r="CA285" i="15"/>
  <c r="CC285" i="15" s="1"/>
  <c r="CD285" i="15" s="1"/>
  <c r="AM285" i="15"/>
  <c r="AN285" i="15" s="1"/>
  <c r="CA281" i="15"/>
  <c r="CC281" i="15" s="1"/>
  <c r="CD281" i="15" s="1"/>
  <c r="AM281" i="15"/>
  <c r="AN281" i="15" s="1"/>
  <c r="CA263" i="15"/>
  <c r="CC263" i="15" s="1"/>
  <c r="CD263" i="15" s="1"/>
  <c r="AM263" i="15"/>
  <c r="AN263" i="15" s="1"/>
  <c r="CA255" i="15"/>
  <c r="CC255" i="15" s="1"/>
  <c r="CD255" i="15" s="1"/>
  <c r="AM255" i="15"/>
  <c r="AN255" i="15" s="1"/>
  <c r="CA138" i="15"/>
  <c r="CC138" i="15" s="1"/>
  <c r="CD138" i="15" s="1"/>
  <c r="AM138" i="15"/>
  <c r="AN138" i="15" s="1"/>
  <c r="CA118" i="15"/>
  <c r="CC118" i="15" s="1"/>
  <c r="CD118" i="15" s="1"/>
  <c r="AM118" i="15"/>
  <c r="AN118" i="15" s="1"/>
  <c r="CA110" i="15"/>
  <c r="CC110" i="15" s="1"/>
  <c r="CD110" i="15" s="1"/>
  <c r="AM110" i="15"/>
  <c r="AN110" i="15" s="1"/>
  <c r="CA102" i="15"/>
  <c r="CC102" i="15" s="1"/>
  <c r="CD102" i="15" s="1"/>
  <c r="AM102" i="15"/>
  <c r="AN102" i="15" s="1"/>
  <c r="CA70" i="15"/>
  <c r="CC70" i="15" s="1"/>
  <c r="CD70" i="15" s="1"/>
  <c r="AM70" i="15"/>
  <c r="AN70" i="15" s="1"/>
  <c r="CA59" i="15"/>
  <c r="CC59" i="15" s="1"/>
  <c r="CD59" i="15" s="1"/>
  <c r="AM59" i="15"/>
  <c r="AN59" i="15" s="1"/>
  <c r="CA40" i="15"/>
  <c r="CC40" i="15" s="1"/>
  <c r="CD40" i="15" s="1"/>
  <c r="AM40" i="15"/>
  <c r="AN40" i="15" s="1"/>
  <c r="CA403" i="15"/>
  <c r="CC403" i="15" s="1"/>
  <c r="CD403" i="15" s="1"/>
  <c r="AM403" i="15"/>
  <c r="AN403" i="15" s="1"/>
  <c r="CA328" i="15"/>
  <c r="CC328" i="15" s="1"/>
  <c r="CD328" i="15" s="1"/>
  <c r="AM328" i="15"/>
  <c r="AN328" i="15" s="1"/>
  <c r="CA141" i="15"/>
  <c r="CC141" i="15" s="1"/>
  <c r="CD141" i="15" s="1"/>
  <c r="AM141" i="15"/>
  <c r="AN141" i="15" s="1"/>
  <c r="CA121" i="15"/>
  <c r="CC121" i="15" s="1"/>
  <c r="CD121" i="15" s="1"/>
  <c r="AM121" i="15"/>
  <c r="AN121" i="15" s="1"/>
  <c r="CA105" i="15"/>
  <c r="CC105" i="15" s="1"/>
  <c r="CD105" i="15" s="1"/>
  <c r="AM105" i="15"/>
  <c r="AN105" i="15" s="1"/>
  <c r="CA89" i="15"/>
  <c r="CC89" i="15" s="1"/>
  <c r="CD89" i="15" s="1"/>
  <c r="AM89" i="15"/>
  <c r="AN89" i="15" s="1"/>
  <c r="CA81" i="15"/>
  <c r="CC81" i="15" s="1"/>
  <c r="CD81" i="15" s="1"/>
  <c r="AM81" i="15"/>
  <c r="AN81" i="15" s="1"/>
  <c r="CA73" i="15"/>
  <c r="CC73" i="15" s="1"/>
  <c r="CD73" i="15" s="1"/>
  <c r="AM73" i="15"/>
  <c r="AN73" i="15" s="1"/>
  <c r="CA60" i="15"/>
  <c r="CC60" i="15" s="1"/>
  <c r="CD60" i="15" s="1"/>
  <c r="AM60" i="15"/>
  <c r="AN60" i="15" s="1"/>
  <c r="CA52" i="15"/>
  <c r="CC52" i="15" s="1"/>
  <c r="CD52" i="15" s="1"/>
  <c r="AM52" i="15"/>
  <c r="AN52" i="15" s="1"/>
  <c r="CA44" i="15"/>
  <c r="CC44" i="15" s="1"/>
  <c r="CD44" i="15" s="1"/>
  <c r="AM44" i="15"/>
  <c r="AN44" i="15" s="1"/>
  <c r="CA851" i="15"/>
  <c r="CC851" i="15" s="1"/>
  <c r="CD851" i="15" s="1"/>
  <c r="AM851" i="15"/>
  <c r="AN851" i="15" s="1"/>
  <c r="CA845" i="15"/>
  <c r="CC845" i="15" s="1"/>
  <c r="CD845" i="15" s="1"/>
  <c r="AM845" i="15"/>
  <c r="AN845" i="15" s="1"/>
  <c r="CA835" i="15"/>
  <c r="CC835" i="15" s="1"/>
  <c r="CD835" i="15" s="1"/>
  <c r="AM835" i="15"/>
  <c r="AN835" i="15" s="1"/>
  <c r="CA823" i="15"/>
  <c r="CC823" i="15" s="1"/>
  <c r="CD823" i="15" s="1"/>
  <c r="AM823" i="15"/>
  <c r="AN823" i="15" s="1"/>
  <c r="CA805" i="15"/>
  <c r="CC805" i="15" s="1"/>
  <c r="CD805" i="15" s="1"/>
  <c r="AM805" i="15"/>
  <c r="AN805" i="15" s="1"/>
  <c r="CA763" i="15"/>
  <c r="CC763" i="15" s="1"/>
  <c r="CD763" i="15" s="1"/>
  <c r="AM763" i="15"/>
  <c r="AN763" i="15" s="1"/>
  <c r="CA739" i="15"/>
  <c r="CC739" i="15" s="1"/>
  <c r="CD739" i="15" s="1"/>
  <c r="AM739" i="15"/>
  <c r="AN739" i="15" s="1"/>
  <c r="CA719" i="15"/>
  <c r="CC719" i="15" s="1"/>
  <c r="CD719" i="15" s="1"/>
  <c r="AM719" i="15"/>
  <c r="AN719" i="15" s="1"/>
  <c r="CA565" i="15"/>
  <c r="CC565" i="15" s="1"/>
  <c r="CD565" i="15" s="1"/>
  <c r="AM565" i="15"/>
  <c r="AN565" i="15" s="1"/>
  <c r="CA543" i="15"/>
  <c r="CC543" i="15" s="1"/>
  <c r="CD543" i="15" s="1"/>
  <c r="AM543" i="15"/>
  <c r="AN543" i="15" s="1"/>
  <c r="CA525" i="15"/>
  <c r="CC525" i="15" s="1"/>
  <c r="CD525" i="15" s="1"/>
  <c r="AM525" i="15"/>
  <c r="AN525" i="15" s="1"/>
  <c r="CA517" i="15"/>
  <c r="CC517" i="15" s="1"/>
  <c r="CD517" i="15" s="1"/>
  <c r="AM517" i="15"/>
  <c r="AN517" i="15" s="1"/>
  <c r="CA493" i="15"/>
  <c r="CC493" i="15" s="1"/>
  <c r="CD493" i="15" s="1"/>
  <c r="AM493" i="15"/>
  <c r="AN493" i="15" s="1"/>
  <c r="CA489" i="15"/>
  <c r="CC489" i="15" s="1"/>
  <c r="CD489" i="15" s="1"/>
  <c r="AM489" i="15"/>
  <c r="AN489" i="15" s="1"/>
  <c r="CA479" i="15"/>
  <c r="CC479" i="15" s="1"/>
  <c r="CD479" i="15" s="1"/>
  <c r="AM479" i="15"/>
  <c r="AN479" i="15" s="1"/>
  <c r="CA225" i="15"/>
  <c r="CC225" i="15" s="1"/>
  <c r="CD225" i="15" s="1"/>
  <c r="AM225" i="15"/>
  <c r="AN225" i="15" s="1"/>
  <c r="CA205" i="15"/>
  <c r="CC205" i="15" s="1"/>
  <c r="CD205" i="15" s="1"/>
  <c r="AM205" i="15"/>
  <c r="AN205" i="15" s="1"/>
  <c r="CA193" i="15"/>
  <c r="CC193" i="15" s="1"/>
  <c r="CD193" i="15" s="1"/>
  <c r="AM193" i="15"/>
  <c r="AN193" i="15" s="1"/>
  <c r="CA185" i="15"/>
  <c r="CC185" i="15" s="1"/>
  <c r="CD185" i="15" s="1"/>
  <c r="AM185" i="15"/>
  <c r="AN185" i="15" s="1"/>
  <c r="CA169" i="15"/>
  <c r="AM169" i="15"/>
  <c r="AN169" i="15" s="1"/>
  <c r="CA155" i="15"/>
  <c r="CC155" i="15" s="1"/>
  <c r="CD155" i="15" s="1"/>
  <c r="AM155" i="15"/>
  <c r="AN155" i="15" s="1"/>
  <c r="CA151" i="15"/>
  <c r="CC151" i="15" s="1"/>
  <c r="CD151" i="15" s="1"/>
  <c r="AM151" i="15"/>
  <c r="AN151" i="15" s="1"/>
  <c r="CA25" i="15"/>
  <c r="CC25" i="15" s="1"/>
  <c r="CD25" i="15" s="1"/>
  <c r="AM25" i="15"/>
  <c r="AN25" i="15" s="1"/>
  <c r="CA17" i="15"/>
  <c r="CC17" i="15" s="1"/>
  <c r="CD17" i="15" s="1"/>
  <c r="AM17" i="15"/>
  <c r="AN17" i="15" s="1"/>
  <c r="CA854" i="15"/>
  <c r="CC854" i="15" s="1"/>
  <c r="CD854" i="15" s="1"/>
  <c r="AM854" i="15"/>
  <c r="AN854" i="15" s="1"/>
  <c r="CA846" i="15"/>
  <c r="CC846" i="15" s="1"/>
  <c r="CD846" i="15" s="1"/>
  <c r="AM846" i="15"/>
  <c r="AN846" i="15" s="1"/>
  <c r="CA838" i="15"/>
  <c r="CC838" i="15" s="1"/>
  <c r="CD838" i="15" s="1"/>
  <c r="AM838" i="15"/>
  <c r="AN838" i="15" s="1"/>
  <c r="CA830" i="15"/>
  <c r="CC830" i="15" s="1"/>
  <c r="CD830" i="15" s="1"/>
  <c r="AM830" i="15"/>
  <c r="AN830" i="15" s="1"/>
  <c r="CA826" i="15"/>
  <c r="CC826" i="15" s="1"/>
  <c r="CD826" i="15" s="1"/>
  <c r="AM826" i="15"/>
  <c r="AN826" i="15" s="1"/>
  <c r="CA806" i="15"/>
  <c r="CC806" i="15" s="1"/>
  <c r="CD806" i="15" s="1"/>
  <c r="AM806" i="15"/>
  <c r="AN806" i="15" s="1"/>
  <c r="CA792" i="15"/>
  <c r="CC792" i="15" s="1"/>
  <c r="CD792" i="15" s="1"/>
  <c r="AM792" i="15"/>
  <c r="AN792" i="15" s="1"/>
  <c r="CA784" i="15"/>
  <c r="CC784" i="15" s="1"/>
  <c r="CD784" i="15" s="1"/>
  <c r="AM784" i="15"/>
  <c r="AN784" i="15" s="1"/>
  <c r="CA778" i="15"/>
  <c r="CC778" i="15" s="1"/>
  <c r="CD778" i="15" s="1"/>
  <c r="AM778" i="15"/>
  <c r="AN778" i="15" s="1"/>
  <c r="CA772" i="15"/>
  <c r="CC772" i="15" s="1"/>
  <c r="CD772" i="15" s="1"/>
  <c r="AM772" i="15"/>
  <c r="AN772" i="15" s="1"/>
  <c r="CA764" i="15"/>
  <c r="CC764" i="15" s="1"/>
  <c r="CD764" i="15" s="1"/>
  <c r="AM764" i="15"/>
  <c r="AN764" i="15" s="1"/>
  <c r="CA773" i="15"/>
  <c r="CC773" i="15" s="1"/>
  <c r="CD773" i="15" s="1"/>
  <c r="AM773" i="15"/>
  <c r="AN773" i="15" s="1"/>
  <c r="CA750" i="15"/>
  <c r="CC750" i="15" s="1"/>
  <c r="CD750" i="15" s="1"/>
  <c r="AM750" i="15"/>
  <c r="AN750" i="15" s="1"/>
  <c r="CA744" i="15"/>
  <c r="CC744" i="15" s="1"/>
  <c r="CD744" i="15" s="1"/>
  <c r="AM744" i="15"/>
  <c r="AN744" i="15" s="1"/>
  <c r="CA738" i="15"/>
  <c r="CC738" i="15" s="1"/>
  <c r="CD738" i="15" s="1"/>
  <c r="AM738" i="15"/>
  <c r="AN738" i="15" s="1"/>
  <c r="CA724" i="15"/>
  <c r="CC724" i="15" s="1"/>
  <c r="CD724" i="15" s="1"/>
  <c r="AM724" i="15"/>
  <c r="AN724" i="15" s="1"/>
  <c r="CA720" i="15"/>
  <c r="CC720" i="15" s="1"/>
  <c r="CD720" i="15" s="1"/>
  <c r="AM720" i="15"/>
  <c r="AN720" i="15" s="1"/>
  <c r="CA718" i="15"/>
  <c r="CC718" i="15" s="1"/>
  <c r="CD718" i="15" s="1"/>
  <c r="AM718" i="15"/>
  <c r="AN718" i="15" s="1"/>
  <c r="CA566" i="15"/>
  <c r="CC566" i="15" s="1"/>
  <c r="CD566" i="15" s="1"/>
  <c r="AM566" i="15"/>
  <c r="AN566" i="15" s="1"/>
  <c r="CA558" i="15"/>
  <c r="CC558" i="15" s="1"/>
  <c r="CD558" i="15" s="1"/>
  <c r="AM558" i="15"/>
  <c r="AN558" i="15" s="1"/>
  <c r="CA550" i="15"/>
  <c r="CC550" i="15" s="1"/>
  <c r="CD550" i="15" s="1"/>
  <c r="AM550" i="15"/>
  <c r="AN550" i="15" s="1"/>
  <c r="CA546" i="15"/>
  <c r="CC546" i="15" s="1"/>
  <c r="CD546" i="15" s="1"/>
  <c r="AM546" i="15"/>
  <c r="AN546" i="15" s="1"/>
  <c r="CA540" i="15"/>
  <c r="CC540" i="15" s="1"/>
  <c r="CD540" i="15" s="1"/>
  <c r="AM540" i="15"/>
  <c r="AN540" i="15" s="1"/>
  <c r="CA538" i="15"/>
  <c r="CC538" i="15" s="1"/>
  <c r="CD538" i="15" s="1"/>
  <c r="AM538" i="15"/>
  <c r="AN538" i="15" s="1"/>
  <c r="CA524" i="15"/>
  <c r="CC524" i="15" s="1"/>
  <c r="CD524" i="15" s="1"/>
  <c r="AM524" i="15"/>
  <c r="AN524" i="15" s="1"/>
  <c r="CA520" i="15"/>
  <c r="CC520" i="15" s="1"/>
  <c r="CD520" i="15" s="1"/>
  <c r="AM520" i="15"/>
  <c r="AN520" i="15" s="1"/>
  <c r="CA510" i="15"/>
  <c r="CC510" i="15" s="1"/>
  <c r="CD510" i="15" s="1"/>
  <c r="AM510" i="15"/>
  <c r="AN510" i="15" s="1"/>
  <c r="CA500" i="15"/>
  <c r="CC500" i="15" s="1"/>
  <c r="CD500" i="15" s="1"/>
  <c r="AM500" i="15"/>
  <c r="AN500" i="15" s="1"/>
  <c r="CA486" i="15"/>
  <c r="CC486" i="15" s="1"/>
  <c r="CD486" i="15" s="1"/>
  <c r="AM486" i="15"/>
  <c r="AN486" i="15" s="1"/>
  <c r="CA482" i="15"/>
  <c r="CC482" i="15" s="1"/>
  <c r="CD482" i="15" s="1"/>
  <c r="AM482" i="15"/>
  <c r="AN482" i="15" s="1"/>
  <c r="CA244" i="15"/>
  <c r="CC244" i="15" s="1"/>
  <c r="CD244" i="15" s="1"/>
  <c r="AM244" i="15"/>
  <c r="AN244" i="15" s="1"/>
  <c r="CA236" i="15"/>
  <c r="CC236" i="15" s="1"/>
  <c r="CD236" i="15" s="1"/>
  <c r="AM236" i="15"/>
  <c r="AN236" i="15" s="1"/>
  <c r="CA220" i="15"/>
  <c r="AM220" i="15"/>
  <c r="AN220" i="15" s="1"/>
  <c r="CA198" i="15"/>
  <c r="CC198" i="15" s="1"/>
  <c r="CD198" i="15" s="1"/>
  <c r="AM198" i="15"/>
  <c r="AN198" i="15" s="1"/>
  <c r="CA162" i="15"/>
  <c r="CC162" i="15" s="1"/>
  <c r="CD162" i="15" s="1"/>
  <c r="AM162" i="15"/>
  <c r="AN162" i="15" s="1"/>
  <c r="CA152" i="15"/>
  <c r="CC152" i="15" s="1"/>
  <c r="CD152" i="15" s="1"/>
  <c r="AM152" i="15"/>
  <c r="AN152" i="15" s="1"/>
  <c r="CA146" i="15"/>
  <c r="AM146" i="15"/>
  <c r="AN146" i="15" s="1"/>
  <c r="CA683" i="15"/>
  <c r="CC683" i="15" s="1"/>
  <c r="CD683" i="15" s="1"/>
  <c r="AM683" i="15"/>
  <c r="AN683" i="15" s="1"/>
  <c r="CA639" i="15"/>
  <c r="CC639" i="15" s="1"/>
  <c r="CD639" i="15" s="1"/>
  <c r="AM639" i="15"/>
  <c r="AN639" i="15" s="1"/>
  <c r="CA622" i="15"/>
  <c r="AM622" i="15"/>
  <c r="AN622" i="15" s="1"/>
  <c r="CA588" i="15"/>
  <c r="CC588" i="15" s="1"/>
  <c r="CD588" i="15" s="1"/>
  <c r="AM588" i="15"/>
  <c r="AN588" i="15" s="1"/>
  <c r="CA461" i="15"/>
  <c r="CC461" i="15" s="1"/>
  <c r="CD461" i="15" s="1"/>
  <c r="AM461" i="15"/>
  <c r="AN461" i="15" s="1"/>
  <c r="CA457" i="15"/>
  <c r="CC457" i="15" s="1"/>
  <c r="CD457" i="15" s="1"/>
  <c r="AM457" i="15"/>
  <c r="AN457" i="15" s="1"/>
  <c r="CA449" i="15"/>
  <c r="CC449" i="15" s="1"/>
  <c r="CD449" i="15" s="1"/>
  <c r="AM449" i="15"/>
  <c r="AN449" i="15" s="1"/>
  <c r="CA423" i="15"/>
  <c r="CC423" i="15" s="1"/>
  <c r="CD423" i="15" s="1"/>
  <c r="AM423" i="15"/>
  <c r="AN423" i="15" s="1"/>
  <c r="CA411" i="15"/>
  <c r="CC411" i="15" s="1"/>
  <c r="CD411" i="15" s="1"/>
  <c r="AM411" i="15"/>
  <c r="AN411" i="15" s="1"/>
  <c r="CA346" i="15"/>
  <c r="CC346" i="15" s="1"/>
  <c r="CD346" i="15" s="1"/>
  <c r="AM346" i="15"/>
  <c r="AN346" i="15" s="1"/>
  <c r="CA342" i="15"/>
  <c r="CC342" i="15" s="1"/>
  <c r="CD342" i="15" s="1"/>
  <c r="AM342" i="15"/>
  <c r="AN342" i="15" s="1"/>
  <c r="CA298" i="15"/>
  <c r="CC298" i="15" s="1"/>
  <c r="CD298" i="15" s="1"/>
  <c r="AM298" i="15"/>
  <c r="AN298" i="15" s="1"/>
  <c r="CA115" i="15"/>
  <c r="CC115" i="15" s="1"/>
  <c r="CD115" i="15" s="1"/>
  <c r="AM115" i="15"/>
  <c r="AN115" i="15" s="1"/>
  <c r="CA50" i="15"/>
  <c r="CC50" i="15" s="1"/>
  <c r="CD50" i="15" s="1"/>
  <c r="AM50" i="15"/>
  <c r="AN50" i="15" s="1"/>
  <c r="CA825" i="15"/>
  <c r="CC825" i="15" s="1"/>
  <c r="CD825" i="15" s="1"/>
  <c r="AM825" i="15"/>
  <c r="AN825" i="15" s="1"/>
  <c r="CA811" i="15"/>
  <c r="CC811" i="15" s="1"/>
  <c r="CD811" i="15" s="1"/>
  <c r="AM811" i="15"/>
  <c r="AN811" i="15" s="1"/>
  <c r="CA729" i="15"/>
  <c r="CC729" i="15" s="1"/>
  <c r="CD729" i="15" s="1"/>
  <c r="AM729" i="15"/>
  <c r="AN729" i="15" s="1"/>
  <c r="CA533" i="15"/>
  <c r="CC533" i="15" s="1"/>
  <c r="CD533" i="15" s="1"/>
  <c r="AM533" i="15"/>
  <c r="AN533" i="15" s="1"/>
  <c r="CA215" i="15"/>
  <c r="CC215" i="15" s="1"/>
  <c r="CD215" i="15" s="1"/>
  <c r="AM215" i="15"/>
  <c r="AN215" i="15" s="1"/>
  <c r="CA211" i="15"/>
  <c r="CC211" i="15" s="1"/>
  <c r="CD211" i="15" s="1"/>
  <c r="AM211" i="15"/>
  <c r="AN211" i="15" s="1"/>
  <c r="CA199" i="15"/>
  <c r="CC199" i="15" s="1"/>
  <c r="CD199" i="15" s="1"/>
  <c r="AM199" i="15"/>
  <c r="AN199" i="15" s="1"/>
  <c r="CA149" i="15"/>
  <c r="CC149" i="15" s="1"/>
  <c r="CD149" i="15" s="1"/>
  <c r="AM149" i="15"/>
  <c r="AN149" i="15" s="1"/>
  <c r="CA23" i="15"/>
  <c r="CC23" i="15" s="1"/>
  <c r="CD23" i="15" s="1"/>
  <c r="AM23" i="15"/>
  <c r="AN23" i="15" s="1"/>
  <c r="AI10" i="15"/>
  <c r="AI217" i="15"/>
  <c r="CA698" i="15"/>
  <c r="CC698" i="15" s="1"/>
  <c r="CD698" i="15" s="1"/>
  <c r="AM698" i="15"/>
  <c r="AN698" i="15" s="1"/>
  <c r="CA694" i="15"/>
  <c r="CC694" i="15" s="1"/>
  <c r="CD694" i="15" s="1"/>
  <c r="AM694" i="15"/>
  <c r="AN694" i="15" s="1"/>
  <c r="CA686" i="15"/>
  <c r="CC686" i="15" s="1"/>
  <c r="CD686" i="15" s="1"/>
  <c r="AM686" i="15"/>
  <c r="AN686" i="15" s="1"/>
  <c r="CA672" i="15"/>
  <c r="CC672" i="15" s="1"/>
  <c r="CD672" i="15" s="1"/>
  <c r="AM672" i="15"/>
  <c r="AN672" i="15" s="1"/>
  <c r="CA660" i="15"/>
  <c r="CC660" i="15" s="1"/>
  <c r="CD660" i="15" s="1"/>
  <c r="AM660" i="15"/>
  <c r="AN660" i="15" s="1"/>
  <c r="CA652" i="15"/>
  <c r="CC652" i="15" s="1"/>
  <c r="CD652" i="15" s="1"/>
  <c r="AM652" i="15"/>
  <c r="AN652" i="15" s="1"/>
  <c r="CA644" i="15"/>
  <c r="CC644" i="15" s="1"/>
  <c r="CD644" i="15" s="1"/>
  <c r="AM644" i="15"/>
  <c r="AN644" i="15" s="1"/>
  <c r="CA632" i="15"/>
  <c r="CC632" i="15" s="1"/>
  <c r="CD632" i="15" s="1"/>
  <c r="AM632" i="15"/>
  <c r="AN632" i="15" s="1"/>
  <c r="CA627" i="15"/>
  <c r="CC627" i="15" s="1"/>
  <c r="CD627" i="15" s="1"/>
  <c r="AM627" i="15"/>
  <c r="AN627" i="15" s="1"/>
  <c r="CA619" i="15"/>
  <c r="CC619" i="15" s="1"/>
  <c r="CD619" i="15" s="1"/>
  <c r="AM619" i="15"/>
  <c r="AN619" i="15" s="1"/>
  <c r="CA617" i="15"/>
  <c r="CC617" i="15" s="1"/>
  <c r="CD617" i="15" s="1"/>
  <c r="AM617" i="15"/>
  <c r="AN617" i="15" s="1"/>
  <c r="CA609" i="15"/>
  <c r="CC609" i="15" s="1"/>
  <c r="CD609" i="15" s="1"/>
  <c r="AM609" i="15"/>
  <c r="AN609" i="15" s="1"/>
  <c r="CA601" i="15"/>
  <c r="CC601" i="15" s="1"/>
  <c r="CD601" i="15" s="1"/>
  <c r="AM601" i="15"/>
  <c r="AN601" i="15" s="1"/>
  <c r="CA593" i="15"/>
  <c r="CC593" i="15" s="1"/>
  <c r="CD593" i="15" s="1"/>
  <c r="AM593" i="15"/>
  <c r="AN593" i="15" s="1"/>
  <c r="CA585" i="15"/>
  <c r="CC585" i="15" s="1"/>
  <c r="CD585" i="15" s="1"/>
  <c r="AM585" i="15"/>
  <c r="AN585" i="15" s="1"/>
  <c r="CA468" i="15"/>
  <c r="CC468" i="15" s="1"/>
  <c r="CD468" i="15" s="1"/>
  <c r="AM468" i="15"/>
  <c r="AN468" i="15" s="1"/>
  <c r="CA460" i="15"/>
  <c r="CC460" i="15" s="1"/>
  <c r="CD460" i="15" s="1"/>
  <c r="AM460" i="15"/>
  <c r="AN460" i="15" s="1"/>
  <c r="CA444" i="15"/>
  <c r="CC444" i="15" s="1"/>
  <c r="CD444" i="15" s="1"/>
  <c r="AM444" i="15"/>
  <c r="AN444" i="15" s="1"/>
  <c r="CA438" i="15"/>
  <c r="CC438" i="15" s="1"/>
  <c r="CD438" i="15" s="1"/>
  <c r="AM438" i="15"/>
  <c r="AN438" i="15" s="1"/>
  <c r="CA404" i="15"/>
  <c r="CC404" i="15" s="1"/>
  <c r="CD404" i="15" s="1"/>
  <c r="AM404" i="15"/>
  <c r="AN404" i="15" s="1"/>
  <c r="CA398" i="15"/>
  <c r="CC398" i="15" s="1"/>
  <c r="CD398" i="15" s="1"/>
  <c r="AM398" i="15"/>
  <c r="AN398" i="15" s="1"/>
  <c r="CA394" i="15"/>
  <c r="CC394" i="15" s="1"/>
  <c r="CD394" i="15" s="1"/>
  <c r="AM394" i="15"/>
  <c r="AN394" i="15" s="1"/>
  <c r="CA392" i="15"/>
  <c r="CC392" i="15" s="1"/>
  <c r="CD392" i="15" s="1"/>
  <c r="AM392" i="15"/>
  <c r="AN392" i="15" s="1"/>
  <c r="CA382" i="15"/>
  <c r="CC382" i="15" s="1"/>
  <c r="CD382" i="15" s="1"/>
  <c r="AM382" i="15"/>
  <c r="AN382" i="15" s="1"/>
  <c r="CA353" i="15"/>
  <c r="CC353" i="15" s="1"/>
  <c r="CD353" i="15" s="1"/>
  <c r="AM353" i="15"/>
  <c r="AN353" i="15" s="1"/>
  <c r="CA345" i="15"/>
  <c r="CC345" i="15" s="1"/>
  <c r="CD345" i="15" s="1"/>
  <c r="AM345" i="15"/>
  <c r="AN345" i="15" s="1"/>
  <c r="CA321" i="15"/>
  <c r="CC321" i="15" s="1"/>
  <c r="CD321" i="15" s="1"/>
  <c r="AM321" i="15"/>
  <c r="AN321" i="15" s="1"/>
  <c r="CA317" i="15"/>
  <c r="CC317" i="15" s="1"/>
  <c r="CD317" i="15" s="1"/>
  <c r="AM317" i="15"/>
  <c r="AN317" i="15" s="1"/>
  <c r="CA313" i="15"/>
  <c r="CC313" i="15" s="1"/>
  <c r="CD313" i="15" s="1"/>
  <c r="AM313" i="15"/>
  <c r="AN313" i="15" s="1"/>
  <c r="CA309" i="15"/>
  <c r="CC309" i="15" s="1"/>
  <c r="CD309" i="15" s="1"/>
  <c r="AM309" i="15"/>
  <c r="AN309" i="15" s="1"/>
  <c r="CA305" i="15"/>
  <c r="CC305" i="15" s="1"/>
  <c r="CD305" i="15" s="1"/>
  <c r="AM305" i="15"/>
  <c r="AN305" i="15" s="1"/>
  <c r="CA301" i="15"/>
  <c r="AM301" i="15"/>
  <c r="AN301" i="15" s="1"/>
  <c r="CA277" i="15"/>
  <c r="CC277" i="15" s="1"/>
  <c r="CD277" i="15" s="1"/>
  <c r="AM277" i="15"/>
  <c r="AN277" i="15" s="1"/>
  <c r="CA265" i="15"/>
  <c r="CC265" i="15" s="1"/>
  <c r="CD265" i="15" s="1"/>
  <c r="AM265" i="15"/>
  <c r="AN265" i="15" s="1"/>
  <c r="CA257" i="15"/>
  <c r="CC257" i="15" s="1"/>
  <c r="CD257" i="15" s="1"/>
  <c r="AM257" i="15"/>
  <c r="AN257" i="15" s="1"/>
  <c r="CA140" i="15"/>
  <c r="CC140" i="15" s="1"/>
  <c r="CD140" i="15" s="1"/>
  <c r="AM140" i="15"/>
  <c r="AN140" i="15" s="1"/>
  <c r="CA134" i="15"/>
  <c r="CC134" i="15" s="1"/>
  <c r="CD134" i="15" s="1"/>
  <c r="AM134" i="15"/>
  <c r="AN134" i="15" s="1"/>
  <c r="CA130" i="15"/>
  <c r="CC130" i="15" s="1"/>
  <c r="CD130" i="15" s="1"/>
  <c r="AM130" i="15"/>
  <c r="AN130" i="15" s="1"/>
  <c r="CA126" i="15"/>
  <c r="CC126" i="15" s="1"/>
  <c r="CD126" i="15" s="1"/>
  <c r="AM126" i="15"/>
  <c r="AN126" i="15" s="1"/>
  <c r="CA90" i="15"/>
  <c r="CC90" i="15" s="1"/>
  <c r="CD90" i="15" s="1"/>
  <c r="AM90" i="15"/>
  <c r="AN90" i="15" s="1"/>
  <c r="CA80" i="15"/>
  <c r="CC80" i="15" s="1"/>
  <c r="CD80" i="15" s="1"/>
  <c r="AM80" i="15"/>
  <c r="AN80" i="15" s="1"/>
  <c r="CA72" i="15"/>
  <c r="CC72" i="15" s="1"/>
  <c r="CD72" i="15" s="1"/>
  <c r="AM72" i="15"/>
  <c r="AN72" i="15" s="1"/>
  <c r="CA61" i="15"/>
  <c r="CC61" i="15" s="1"/>
  <c r="CD61" i="15" s="1"/>
  <c r="AM61" i="15"/>
  <c r="AN61" i="15" s="1"/>
  <c r="CA53" i="15"/>
  <c r="CC53" i="15" s="1"/>
  <c r="CD53" i="15" s="1"/>
  <c r="AM53" i="15"/>
  <c r="AN53" i="15" s="1"/>
  <c r="CA45" i="15"/>
  <c r="CC45" i="15" s="1"/>
  <c r="CD45" i="15" s="1"/>
  <c r="AM45" i="15"/>
  <c r="AN45" i="15" s="1"/>
  <c r="CA665" i="15"/>
  <c r="CC665" i="15" s="1"/>
  <c r="CD665" i="15" s="1"/>
  <c r="AM665" i="15"/>
  <c r="AN665" i="15" s="1"/>
  <c r="CA653" i="15"/>
  <c r="CC653" i="15" s="1"/>
  <c r="CD653" i="15" s="1"/>
  <c r="AM653" i="15"/>
  <c r="AN653" i="15" s="1"/>
  <c r="CA649" i="15"/>
  <c r="CC649" i="15" s="1"/>
  <c r="CD649" i="15" s="1"/>
  <c r="AM649" i="15"/>
  <c r="AN649" i="15" s="1"/>
  <c r="CA633" i="15"/>
  <c r="CC633" i="15" s="1"/>
  <c r="CD633" i="15" s="1"/>
  <c r="AM633" i="15"/>
  <c r="AN633" i="15" s="1"/>
  <c r="CA616" i="15"/>
  <c r="CC616" i="15" s="1"/>
  <c r="CD616" i="15" s="1"/>
  <c r="AM616" i="15"/>
  <c r="AN616" i="15" s="1"/>
  <c r="CA467" i="15"/>
  <c r="CC467" i="15" s="1"/>
  <c r="CD467" i="15" s="1"/>
  <c r="AM467" i="15"/>
  <c r="AN467" i="15" s="1"/>
  <c r="CA425" i="15"/>
  <c r="CC425" i="15" s="1"/>
  <c r="CD425" i="15" s="1"/>
  <c r="AM425" i="15"/>
  <c r="AN425" i="15" s="1"/>
  <c r="CA421" i="15"/>
  <c r="CC421" i="15" s="1"/>
  <c r="CD421" i="15" s="1"/>
  <c r="AM421" i="15"/>
  <c r="AN421" i="15" s="1"/>
  <c r="CA409" i="15"/>
  <c r="CC409" i="15" s="1"/>
  <c r="CD409" i="15" s="1"/>
  <c r="AM409" i="15"/>
  <c r="AN409" i="15" s="1"/>
  <c r="CA389" i="15"/>
  <c r="CC389" i="15" s="1"/>
  <c r="CD389" i="15" s="1"/>
  <c r="AM389" i="15"/>
  <c r="AN389" i="15" s="1"/>
  <c r="CA372" i="15"/>
  <c r="AM372" i="15"/>
  <c r="AN372" i="15" s="1"/>
  <c r="CA338" i="15"/>
  <c r="CC338" i="15" s="1"/>
  <c r="CD338" i="15" s="1"/>
  <c r="AM338" i="15"/>
  <c r="AN338" i="15" s="1"/>
  <c r="CA334" i="15"/>
  <c r="CC334" i="15" s="1"/>
  <c r="CD334" i="15" s="1"/>
  <c r="AM334" i="15"/>
  <c r="AN334" i="15" s="1"/>
  <c r="CA288" i="15"/>
  <c r="CC288" i="15" s="1"/>
  <c r="CD288" i="15" s="1"/>
  <c r="AM288" i="15"/>
  <c r="AN288" i="15" s="1"/>
  <c r="CA272" i="15"/>
  <c r="AM272" i="15"/>
  <c r="AN272" i="15" s="1"/>
  <c r="CA268" i="15"/>
  <c r="CC268" i="15" s="1"/>
  <c r="CD268" i="15" s="1"/>
  <c r="AM268" i="15"/>
  <c r="AN268" i="15" s="1"/>
  <c r="CA256" i="15"/>
  <c r="CC256" i="15" s="1"/>
  <c r="CD256" i="15" s="1"/>
  <c r="AM256" i="15"/>
  <c r="AN256" i="15" s="1"/>
  <c r="CA252" i="15"/>
  <c r="CC252" i="15" s="1"/>
  <c r="AM252" i="15"/>
  <c r="AN252" i="15" s="1"/>
  <c r="CA129" i="15"/>
  <c r="CC129" i="15" s="1"/>
  <c r="CD129" i="15" s="1"/>
  <c r="AM129" i="15"/>
  <c r="AN129" i="15" s="1"/>
  <c r="CA109" i="15"/>
  <c r="CC109" i="15" s="1"/>
  <c r="CD109" i="15" s="1"/>
  <c r="AM109" i="15"/>
  <c r="AN109" i="15" s="1"/>
  <c r="CA847" i="15"/>
  <c r="CC847" i="15" s="1"/>
  <c r="CD847" i="15" s="1"/>
  <c r="AM847" i="15"/>
  <c r="AN847" i="15" s="1"/>
  <c r="CA841" i="15"/>
  <c r="CC841" i="15" s="1"/>
  <c r="CD841" i="15" s="1"/>
  <c r="AM841" i="15"/>
  <c r="AN841" i="15" s="1"/>
  <c r="CA837" i="15"/>
  <c r="CC837" i="15" s="1"/>
  <c r="CD837" i="15" s="1"/>
  <c r="AM837" i="15"/>
  <c r="AN837" i="15" s="1"/>
  <c r="CA833" i="15"/>
  <c r="CC833" i="15" s="1"/>
  <c r="CD833" i="15" s="1"/>
  <c r="AM833" i="15"/>
  <c r="AN833" i="15" s="1"/>
  <c r="CA809" i="15"/>
  <c r="CC809" i="15" s="1"/>
  <c r="CD809" i="15" s="1"/>
  <c r="AM809" i="15"/>
  <c r="AN809" i="15" s="1"/>
  <c r="CA791" i="15"/>
  <c r="CC791" i="15" s="1"/>
  <c r="CD791" i="15" s="1"/>
  <c r="AM791" i="15"/>
  <c r="AN791" i="15" s="1"/>
  <c r="CA785" i="15"/>
  <c r="CC785" i="15" s="1"/>
  <c r="CD785" i="15" s="1"/>
  <c r="AM785" i="15"/>
  <c r="AN785" i="15" s="1"/>
  <c r="CA783" i="15"/>
  <c r="CC783" i="15" s="1"/>
  <c r="CD783" i="15" s="1"/>
  <c r="AM783" i="15"/>
  <c r="AN783" i="15" s="1"/>
  <c r="CA777" i="15"/>
  <c r="AM777" i="15"/>
  <c r="AN777" i="15" s="1"/>
  <c r="CA769" i="15"/>
  <c r="CC769" i="15" s="1"/>
  <c r="CD769" i="15" s="1"/>
  <c r="AM769" i="15"/>
  <c r="AN769" i="15" s="1"/>
  <c r="CA774" i="15"/>
  <c r="CC774" i="15" s="1"/>
  <c r="CD774" i="15" s="1"/>
  <c r="AM774" i="15"/>
  <c r="AN774" i="15" s="1"/>
  <c r="CA723" i="15"/>
  <c r="CC723" i="15" s="1"/>
  <c r="CD723" i="15" s="1"/>
  <c r="AM723" i="15"/>
  <c r="AN723" i="15" s="1"/>
  <c r="CA575" i="15"/>
  <c r="CC575" i="15" s="1"/>
  <c r="CD575" i="15" s="1"/>
  <c r="AM575" i="15"/>
  <c r="AN575" i="15" s="1"/>
  <c r="CA574" i="15"/>
  <c r="CC574" i="15" s="1"/>
  <c r="CD574" i="15" s="1"/>
  <c r="AM574" i="15"/>
  <c r="AN574" i="15" s="1"/>
  <c r="CA557" i="15"/>
  <c r="CC557" i="15" s="1"/>
  <c r="CD557" i="15" s="1"/>
  <c r="AM557" i="15"/>
  <c r="AN557" i="15" s="1"/>
  <c r="CA531" i="15"/>
  <c r="CC531" i="15" s="1"/>
  <c r="CD531" i="15" s="1"/>
  <c r="AM531" i="15"/>
  <c r="AN531" i="15" s="1"/>
  <c r="CA505" i="15"/>
  <c r="CC505" i="15" s="1"/>
  <c r="CD505" i="15" s="1"/>
  <c r="AM505" i="15"/>
  <c r="AN505" i="15" s="1"/>
  <c r="CA245" i="15"/>
  <c r="CC245" i="15" s="1"/>
  <c r="CD245" i="15" s="1"/>
  <c r="AM245" i="15"/>
  <c r="AN245" i="15" s="1"/>
  <c r="CA241" i="15"/>
  <c r="CC241" i="15" s="1"/>
  <c r="CD241" i="15" s="1"/>
  <c r="AM241" i="15"/>
  <c r="AN241" i="15" s="1"/>
  <c r="CA227" i="15"/>
  <c r="CC227" i="15" s="1"/>
  <c r="CD227" i="15" s="1"/>
  <c r="AM227" i="15"/>
  <c r="AN227" i="15" s="1"/>
  <c r="CA209" i="15"/>
  <c r="CC209" i="15" s="1"/>
  <c r="CD209" i="15" s="1"/>
  <c r="AM209" i="15"/>
  <c r="AN209" i="15" s="1"/>
  <c r="CA173" i="15"/>
  <c r="CC173" i="15" s="1"/>
  <c r="CD173" i="15" s="1"/>
  <c r="AM173" i="15"/>
  <c r="AN173" i="15" s="1"/>
  <c r="CA856" i="15"/>
  <c r="CC856" i="15" s="1"/>
  <c r="CD856" i="15" s="1"/>
  <c r="AM856" i="15"/>
  <c r="AN856" i="15" s="1"/>
  <c r="CA848" i="15"/>
  <c r="CC848" i="15" s="1"/>
  <c r="CD848" i="15" s="1"/>
  <c r="AM848" i="15"/>
  <c r="AN848" i="15" s="1"/>
  <c r="CA840" i="15"/>
  <c r="CC840" i="15" s="1"/>
  <c r="CD840" i="15" s="1"/>
  <c r="AM840" i="15"/>
  <c r="AN840" i="15" s="1"/>
  <c r="CA832" i="15"/>
  <c r="CC832" i="15" s="1"/>
  <c r="CD832" i="15" s="1"/>
  <c r="AM832" i="15"/>
  <c r="AN832" i="15" s="1"/>
  <c r="CA824" i="15"/>
  <c r="CC824" i="15" s="1"/>
  <c r="CD824" i="15" s="1"/>
  <c r="AM824" i="15"/>
  <c r="AN824" i="15" s="1"/>
  <c r="CA822" i="15"/>
  <c r="CC822" i="15" s="1"/>
  <c r="CD822" i="15" s="1"/>
  <c r="AM822" i="15"/>
  <c r="AN822" i="15" s="1"/>
  <c r="CA816" i="15"/>
  <c r="CC816" i="15" s="1"/>
  <c r="CD816" i="15" s="1"/>
  <c r="AM816" i="15"/>
  <c r="AN816" i="15" s="1"/>
  <c r="CA808" i="15"/>
  <c r="CC808" i="15" s="1"/>
  <c r="CD808" i="15" s="1"/>
  <c r="AM808" i="15"/>
  <c r="AN808" i="15" s="1"/>
  <c r="CA802" i="15"/>
  <c r="CC802" i="15" s="1"/>
  <c r="CD802" i="15" s="1"/>
  <c r="AM802" i="15"/>
  <c r="AN802" i="15" s="1"/>
  <c r="CA794" i="15"/>
  <c r="CC794" i="15" s="1"/>
  <c r="CD794" i="15" s="1"/>
  <c r="AM794" i="15"/>
  <c r="AN794" i="15" s="1"/>
  <c r="CA786" i="15"/>
  <c r="CC786" i="15" s="1"/>
  <c r="CD786" i="15" s="1"/>
  <c r="AM786" i="15"/>
  <c r="AN786" i="15" s="1"/>
  <c r="CA768" i="15"/>
  <c r="CC768" i="15" s="1"/>
  <c r="CD768" i="15" s="1"/>
  <c r="AM768" i="15"/>
  <c r="AN768" i="15" s="1"/>
  <c r="CA766" i="15"/>
  <c r="CC766" i="15" s="1"/>
  <c r="CD766" i="15" s="1"/>
  <c r="AM766" i="15"/>
  <c r="AN766" i="15" s="1"/>
  <c r="CA760" i="15"/>
  <c r="CC760" i="15" s="1"/>
  <c r="CD760" i="15" s="1"/>
  <c r="AM760" i="15"/>
  <c r="AN760" i="15" s="1"/>
  <c r="CA758" i="15"/>
  <c r="CC758" i="15" s="1"/>
  <c r="CD758" i="15" s="1"/>
  <c r="AM758" i="15"/>
  <c r="AN758" i="15" s="1"/>
  <c r="CA752" i="15"/>
  <c r="CC752" i="15" s="1"/>
  <c r="CD752" i="15" s="1"/>
  <c r="AM752" i="15"/>
  <c r="AN752" i="15" s="1"/>
  <c r="CA746" i="15"/>
  <c r="CC746" i="15" s="1"/>
  <c r="CD746" i="15" s="1"/>
  <c r="AM746" i="15"/>
  <c r="AN746" i="15" s="1"/>
  <c r="CA730" i="15"/>
  <c r="CC730" i="15" s="1"/>
  <c r="CD730" i="15" s="1"/>
  <c r="AM730" i="15"/>
  <c r="AN730" i="15" s="1"/>
  <c r="CA572" i="15"/>
  <c r="CC572" i="15" s="1"/>
  <c r="CD572" i="15" s="1"/>
  <c r="AM572" i="15"/>
  <c r="AN572" i="15" s="1"/>
  <c r="CA568" i="15"/>
  <c r="CC568" i="15" s="1"/>
  <c r="CD568" i="15" s="1"/>
  <c r="AM568" i="15"/>
  <c r="AN568" i="15" s="1"/>
  <c r="CA560" i="15"/>
  <c r="CC560" i="15" s="1"/>
  <c r="CD560" i="15" s="1"/>
  <c r="AM560" i="15"/>
  <c r="AN560" i="15" s="1"/>
  <c r="CA552" i="15"/>
  <c r="CC552" i="15" s="1"/>
  <c r="CD552" i="15" s="1"/>
  <c r="AM552" i="15"/>
  <c r="AN552" i="15" s="1"/>
  <c r="CA532" i="15"/>
  <c r="CC532" i="15" s="1"/>
  <c r="CD532" i="15" s="1"/>
  <c r="AM532" i="15"/>
  <c r="AN532" i="15" s="1"/>
  <c r="CA508" i="15"/>
  <c r="CC508" i="15" s="1"/>
  <c r="CD508" i="15" s="1"/>
  <c r="AM508" i="15"/>
  <c r="AN508" i="15" s="1"/>
  <c r="CA498" i="15"/>
  <c r="CC498" i="15" s="1"/>
  <c r="CD498" i="15" s="1"/>
  <c r="AM498" i="15"/>
  <c r="AN498" i="15" s="1"/>
  <c r="CA496" i="15"/>
  <c r="CC496" i="15" s="1"/>
  <c r="CD496" i="15" s="1"/>
  <c r="AM496" i="15"/>
  <c r="AN496" i="15" s="1"/>
  <c r="CA492" i="15"/>
  <c r="AM492" i="15"/>
  <c r="AN492" i="15" s="1"/>
  <c r="CA478" i="15"/>
  <c r="CC478" i="15" s="1"/>
  <c r="CD478" i="15" s="1"/>
  <c r="AM478" i="15"/>
  <c r="AN478" i="15" s="1"/>
  <c r="CA474" i="15"/>
  <c r="CC474" i="15" s="1"/>
  <c r="CD474" i="15" s="1"/>
  <c r="AM474" i="15"/>
  <c r="AN474" i="15" s="1"/>
  <c r="CA246" i="15"/>
  <c r="CC246" i="15" s="1"/>
  <c r="CD246" i="15" s="1"/>
  <c r="AM246" i="15"/>
  <c r="AN246" i="15" s="1"/>
  <c r="CA238" i="15"/>
  <c r="CC238" i="15" s="1"/>
  <c r="CD238" i="15" s="1"/>
  <c r="AM238" i="15"/>
  <c r="AN238" i="15" s="1"/>
  <c r="CA228" i="15"/>
  <c r="CC228" i="15" s="1"/>
  <c r="CD228" i="15" s="1"/>
  <c r="AM228" i="15"/>
  <c r="AN228" i="15" s="1"/>
  <c r="CA222" i="15"/>
  <c r="CC222" i="15" s="1"/>
  <c r="CD222" i="15" s="1"/>
  <c r="AM222" i="15"/>
  <c r="AN222" i="15" s="1"/>
  <c r="CA216" i="15"/>
  <c r="CC216" i="15" s="1"/>
  <c r="CD216" i="15" s="1"/>
  <c r="AM216" i="15"/>
  <c r="AN216" i="15" s="1"/>
  <c r="CA208" i="15"/>
  <c r="CC208" i="15" s="1"/>
  <c r="CD208" i="15" s="1"/>
  <c r="AM208" i="15"/>
  <c r="AN208" i="15" s="1"/>
  <c r="CA200" i="15"/>
  <c r="CC200" i="15" s="1"/>
  <c r="CD200" i="15" s="1"/>
  <c r="AM200" i="15"/>
  <c r="AN200" i="15" s="1"/>
  <c r="CA188" i="15"/>
  <c r="CC188" i="15" s="1"/>
  <c r="CD188" i="15" s="1"/>
  <c r="AM188" i="15"/>
  <c r="AN188" i="15" s="1"/>
  <c r="CA182" i="15"/>
  <c r="CC182" i="15" s="1"/>
  <c r="CD182" i="15" s="1"/>
  <c r="AM182" i="15"/>
  <c r="AN182" i="15" s="1"/>
  <c r="CA180" i="15"/>
  <c r="CC180" i="15" s="1"/>
  <c r="CD180" i="15" s="1"/>
  <c r="AM180" i="15"/>
  <c r="AN180" i="15" s="1"/>
  <c r="CA174" i="15"/>
  <c r="CC174" i="15" s="1"/>
  <c r="CD174" i="15" s="1"/>
  <c r="AM174" i="15"/>
  <c r="AN174" i="15" s="1"/>
  <c r="CA172" i="15"/>
  <c r="CC172" i="15" s="1"/>
  <c r="CD172" i="15" s="1"/>
  <c r="AM172" i="15"/>
  <c r="AN172" i="15" s="1"/>
  <c r="CA164" i="15"/>
  <c r="CC164" i="15" s="1"/>
  <c r="CD164" i="15" s="1"/>
  <c r="AM164" i="15"/>
  <c r="AN164" i="15" s="1"/>
  <c r="CA158" i="15"/>
  <c r="CC158" i="15" s="1"/>
  <c r="CD158" i="15" s="1"/>
  <c r="AM158" i="15"/>
  <c r="AN158" i="15" s="1"/>
  <c r="CA148" i="15"/>
  <c r="CC148" i="15" s="1"/>
  <c r="CD148" i="15" s="1"/>
  <c r="AM148" i="15"/>
  <c r="AN148" i="15" s="1"/>
  <c r="CA30" i="15"/>
  <c r="CC30" i="15" s="1"/>
  <c r="CD30" i="15" s="1"/>
  <c r="AM30" i="15"/>
  <c r="AN30" i="15" s="1"/>
  <c r="CA22" i="15"/>
  <c r="CC22" i="15" s="1"/>
  <c r="CD22" i="15" s="1"/>
  <c r="AM22" i="15"/>
  <c r="AN22" i="15" s="1"/>
  <c r="CA711" i="15"/>
  <c r="CC711" i="15" s="1"/>
  <c r="CD711" i="15" s="1"/>
  <c r="AM711" i="15"/>
  <c r="AN711" i="15" s="1"/>
  <c r="CA709" i="15"/>
  <c r="CC709" i="15" s="1"/>
  <c r="CD709" i="15" s="1"/>
  <c r="AM709" i="15"/>
  <c r="AN709" i="15" s="1"/>
  <c r="CA703" i="15"/>
  <c r="CC703" i="15" s="1"/>
  <c r="CD703" i="15" s="1"/>
  <c r="AM703" i="15"/>
  <c r="AN703" i="15" s="1"/>
  <c r="CA701" i="15"/>
  <c r="CC701" i="15" s="1"/>
  <c r="CD701" i="15" s="1"/>
  <c r="AM701" i="15"/>
  <c r="AN701" i="15" s="1"/>
  <c r="CA695" i="15"/>
  <c r="CC695" i="15" s="1"/>
  <c r="CD695" i="15" s="1"/>
  <c r="AM695" i="15"/>
  <c r="AN695" i="15" s="1"/>
  <c r="CA693" i="15"/>
  <c r="CC693" i="15" s="1"/>
  <c r="CD693" i="15" s="1"/>
  <c r="AM693" i="15"/>
  <c r="AN693" i="15" s="1"/>
  <c r="CA685" i="15"/>
  <c r="CC685" i="15" s="1"/>
  <c r="CD685" i="15" s="1"/>
  <c r="AM685" i="15"/>
  <c r="AN685" i="15" s="1"/>
  <c r="CA590" i="15"/>
  <c r="CC590" i="15" s="1"/>
  <c r="CD590" i="15" s="1"/>
  <c r="AM590" i="15"/>
  <c r="AN590" i="15" s="1"/>
  <c r="CA584" i="15"/>
  <c r="CC584" i="15" s="1"/>
  <c r="CD584" i="15" s="1"/>
  <c r="AM584" i="15"/>
  <c r="AN584" i="15" s="1"/>
  <c r="CA465" i="15"/>
  <c r="CC465" i="15" s="1"/>
  <c r="CD465" i="15" s="1"/>
  <c r="AM465" i="15"/>
  <c r="AN465" i="15" s="1"/>
  <c r="CA451" i="15"/>
  <c r="CC451" i="15" s="1"/>
  <c r="CD451" i="15" s="1"/>
  <c r="AM451" i="15"/>
  <c r="AN451" i="15" s="1"/>
  <c r="CA443" i="15"/>
  <c r="CC443" i="15" s="1"/>
  <c r="CD443" i="15" s="1"/>
  <c r="AM443" i="15"/>
  <c r="AN443" i="15" s="1"/>
  <c r="CA437" i="15"/>
  <c r="CC437" i="15" s="1"/>
  <c r="CD437" i="15" s="1"/>
  <c r="AM437" i="15"/>
  <c r="AN437" i="15" s="1"/>
  <c r="CA431" i="15"/>
  <c r="AM431" i="15"/>
  <c r="AN431" i="15" s="1"/>
  <c r="CA427" i="15"/>
  <c r="CC427" i="15" s="1"/>
  <c r="CD427" i="15" s="1"/>
  <c r="AM427" i="15"/>
  <c r="AN427" i="15" s="1"/>
  <c r="CA399" i="15"/>
  <c r="CC399" i="15" s="1"/>
  <c r="CD399" i="15" s="1"/>
  <c r="AM399" i="15"/>
  <c r="AN399" i="15" s="1"/>
  <c r="CA374" i="15"/>
  <c r="CC374" i="15" s="1"/>
  <c r="CD374" i="15" s="1"/>
  <c r="AM374" i="15"/>
  <c r="AN374" i="15" s="1"/>
  <c r="CA364" i="15"/>
  <c r="CC364" i="15" s="1"/>
  <c r="CD364" i="15" s="1"/>
  <c r="AM364" i="15"/>
  <c r="AN364" i="15" s="1"/>
  <c r="CA360" i="15"/>
  <c r="CC360" i="15" s="1"/>
  <c r="CD360" i="15" s="1"/>
  <c r="AM360" i="15"/>
  <c r="AN360" i="15" s="1"/>
  <c r="CA356" i="15"/>
  <c r="CC356" i="15" s="1"/>
  <c r="CD356" i="15" s="1"/>
  <c r="AM356" i="15"/>
  <c r="AN356" i="15" s="1"/>
  <c r="CA352" i="15"/>
  <c r="CC352" i="15" s="1"/>
  <c r="CD352" i="15" s="1"/>
  <c r="AM352" i="15"/>
  <c r="AN352" i="15" s="1"/>
  <c r="CA314" i="15"/>
  <c r="CC314" i="15" s="1"/>
  <c r="CD314" i="15" s="1"/>
  <c r="AM314" i="15"/>
  <c r="AN314" i="15" s="1"/>
  <c r="CA286" i="15"/>
  <c r="CC286" i="15" s="1"/>
  <c r="CD286" i="15" s="1"/>
  <c r="AM286" i="15"/>
  <c r="AN286" i="15" s="1"/>
  <c r="CA266" i="15"/>
  <c r="CC266" i="15" s="1"/>
  <c r="CD266" i="15" s="1"/>
  <c r="AM266" i="15"/>
  <c r="AN266" i="15" s="1"/>
  <c r="CA262" i="15"/>
  <c r="CC262" i="15" s="1"/>
  <c r="CD262" i="15" s="1"/>
  <c r="AM262" i="15"/>
  <c r="AN262" i="15" s="1"/>
  <c r="CA137" i="15"/>
  <c r="CC137" i="15" s="1"/>
  <c r="CD137" i="15" s="1"/>
  <c r="AM137" i="15"/>
  <c r="AN137" i="15" s="1"/>
  <c r="CA119" i="15"/>
  <c r="CC119" i="15" s="1"/>
  <c r="CD119" i="15" s="1"/>
  <c r="AM119" i="15"/>
  <c r="AN119" i="15" s="1"/>
  <c r="CA103" i="15"/>
  <c r="CC103" i="15" s="1"/>
  <c r="CD103" i="15" s="1"/>
  <c r="AM103" i="15"/>
  <c r="AN103" i="15" s="1"/>
  <c r="CA91" i="15"/>
  <c r="CC91" i="15" s="1"/>
  <c r="CD91" i="15" s="1"/>
  <c r="AM91" i="15"/>
  <c r="AN91" i="15" s="1"/>
  <c r="CA79" i="15"/>
  <c r="CC79" i="15" s="1"/>
  <c r="CD79" i="15" s="1"/>
  <c r="AM79" i="15"/>
  <c r="AN79" i="15" s="1"/>
  <c r="CA71" i="15"/>
  <c r="CC71" i="15" s="1"/>
  <c r="CD71" i="15" s="1"/>
  <c r="AM71" i="15"/>
  <c r="AN71" i="15" s="1"/>
  <c r="CA813" i="15"/>
  <c r="CC813" i="15" s="1"/>
  <c r="CD813" i="15" s="1"/>
  <c r="AM813" i="15"/>
  <c r="AN813" i="15" s="1"/>
  <c r="CA799" i="15"/>
  <c r="CC799" i="15" s="1"/>
  <c r="CD799" i="15" s="1"/>
  <c r="AM799" i="15"/>
  <c r="AN799" i="15" s="1"/>
  <c r="CA741" i="15"/>
  <c r="CC741" i="15" s="1"/>
  <c r="CD741" i="15" s="1"/>
  <c r="AM741" i="15"/>
  <c r="AN741" i="15" s="1"/>
  <c r="CA717" i="15"/>
  <c r="CC717" i="15" s="1"/>
  <c r="CD717" i="15" s="1"/>
  <c r="AM717" i="15"/>
  <c r="AN717" i="15" s="1"/>
  <c r="CA537" i="15"/>
  <c r="CC537" i="15" s="1"/>
  <c r="CD537" i="15" s="1"/>
  <c r="AM537" i="15"/>
  <c r="AN537" i="15" s="1"/>
  <c r="CA503" i="15"/>
  <c r="CC503" i="15" s="1"/>
  <c r="CD503" i="15" s="1"/>
  <c r="AM503" i="15"/>
  <c r="AN503" i="15" s="1"/>
  <c r="CA237" i="15"/>
  <c r="CC237" i="15" s="1"/>
  <c r="CD237" i="15" s="1"/>
  <c r="AM237" i="15"/>
  <c r="AN237" i="15" s="1"/>
  <c r="CA233" i="15"/>
  <c r="AM233" i="15"/>
  <c r="AN233" i="15" s="1"/>
  <c r="CA183" i="15"/>
  <c r="CC183" i="15" s="1"/>
  <c r="CD183" i="15" s="1"/>
  <c r="AM183" i="15"/>
  <c r="AN183" i="15" s="1"/>
  <c r="CA163" i="15"/>
  <c r="CC163" i="15" s="1"/>
  <c r="CD163" i="15" s="1"/>
  <c r="AM163" i="15"/>
  <c r="AN163" i="15" s="1"/>
  <c r="CA153" i="15"/>
  <c r="CC153" i="15" s="1"/>
  <c r="CD153" i="15" s="1"/>
  <c r="AM153" i="15"/>
  <c r="AN153" i="15" s="1"/>
  <c r="CA11" i="15"/>
  <c r="CC11" i="15" s="1"/>
  <c r="CD11" i="15" s="1"/>
  <c r="AM11" i="15"/>
  <c r="AN11" i="15" s="1"/>
  <c r="CA706" i="15"/>
  <c r="CC706" i="15" s="1"/>
  <c r="CD706" i="15" s="1"/>
  <c r="AM706" i="15"/>
  <c r="AN706" i="15" s="1"/>
  <c r="CA650" i="15"/>
  <c r="CC650" i="15" s="1"/>
  <c r="CD650" i="15" s="1"/>
  <c r="AM650" i="15"/>
  <c r="AN650" i="15" s="1"/>
  <c r="CA583" i="15"/>
  <c r="CC583" i="15" s="1"/>
  <c r="CD583" i="15" s="1"/>
  <c r="AM583" i="15"/>
  <c r="AN583" i="15" s="1"/>
  <c r="CA448" i="15"/>
  <c r="CC448" i="15" s="1"/>
  <c r="CD448" i="15" s="1"/>
  <c r="AM448" i="15"/>
  <c r="AN448" i="15" s="1"/>
  <c r="CA442" i="15"/>
  <c r="CC442" i="15" s="1"/>
  <c r="CD442" i="15" s="1"/>
  <c r="AM442" i="15"/>
  <c r="AN442" i="15" s="1"/>
  <c r="CA422" i="15"/>
  <c r="CC422" i="15" s="1"/>
  <c r="CD422" i="15" s="1"/>
  <c r="AM422" i="15"/>
  <c r="AN422" i="15" s="1"/>
  <c r="CA414" i="15"/>
  <c r="CC414" i="15" s="1"/>
  <c r="CD414" i="15" s="1"/>
  <c r="AM414" i="15"/>
  <c r="AN414" i="15" s="1"/>
  <c r="CA367" i="15"/>
  <c r="CC367" i="15" s="1"/>
  <c r="CD367" i="15" s="1"/>
  <c r="AM367" i="15"/>
  <c r="AN367" i="15" s="1"/>
  <c r="CA365" i="15"/>
  <c r="CC365" i="15" s="1"/>
  <c r="CD365" i="15" s="1"/>
  <c r="AM365" i="15"/>
  <c r="AN365" i="15" s="1"/>
  <c r="CA351" i="15"/>
  <c r="CC351" i="15" s="1"/>
  <c r="CD351" i="15" s="1"/>
  <c r="AM351" i="15"/>
  <c r="AN351" i="15" s="1"/>
  <c r="CA349" i="15"/>
  <c r="CC349" i="15" s="1"/>
  <c r="CD349" i="15" s="1"/>
  <c r="AM349" i="15"/>
  <c r="AN349" i="15" s="1"/>
  <c r="CA343" i="15"/>
  <c r="CC343" i="15" s="1"/>
  <c r="CD343" i="15" s="1"/>
  <c r="AM343" i="15"/>
  <c r="AN343" i="15" s="1"/>
  <c r="CA341" i="15"/>
  <c r="CC341" i="15" s="1"/>
  <c r="CD341" i="15" s="1"/>
  <c r="AM341" i="15"/>
  <c r="AN341" i="15" s="1"/>
  <c r="CA335" i="15"/>
  <c r="CC335" i="15" s="1"/>
  <c r="CD335" i="15" s="1"/>
  <c r="AM335" i="15"/>
  <c r="AN335" i="15" s="1"/>
  <c r="CA333" i="15"/>
  <c r="CC333" i="15" s="1"/>
  <c r="CD333" i="15" s="1"/>
  <c r="AM333" i="15"/>
  <c r="AN333" i="15" s="1"/>
  <c r="CA273" i="15"/>
  <c r="CC273" i="15" s="1"/>
  <c r="CD273" i="15" s="1"/>
  <c r="AM273" i="15"/>
  <c r="AN273" i="15" s="1"/>
  <c r="CA122" i="15"/>
  <c r="CC122" i="15" s="1"/>
  <c r="CD122" i="15" s="1"/>
  <c r="AM122" i="15"/>
  <c r="AN122" i="15" s="1"/>
  <c r="CA114" i="15"/>
  <c r="CC114" i="15" s="1"/>
  <c r="CD114" i="15" s="1"/>
  <c r="AM114" i="15"/>
  <c r="AN114" i="15" s="1"/>
  <c r="CA106" i="15"/>
  <c r="CC106" i="15" s="1"/>
  <c r="CD106" i="15" s="1"/>
  <c r="AM106" i="15"/>
  <c r="AN106" i="15" s="1"/>
  <c r="CA96" i="15"/>
  <c r="CC96" i="15" s="1"/>
  <c r="CD96" i="15" s="1"/>
  <c r="AM96" i="15"/>
  <c r="AN96" i="15" s="1"/>
  <c r="CA88" i="15"/>
  <c r="CC88" i="15" s="1"/>
  <c r="CD88" i="15" s="1"/>
  <c r="AM88" i="15"/>
  <c r="AN88" i="15" s="1"/>
  <c r="CA78" i="15"/>
  <c r="CC78" i="15" s="1"/>
  <c r="CD78" i="15" s="1"/>
  <c r="AM78" i="15"/>
  <c r="AN78" i="15" s="1"/>
  <c r="CA51" i="15"/>
  <c r="CC51" i="15" s="1"/>
  <c r="CD51" i="15" s="1"/>
  <c r="AM51" i="15"/>
  <c r="AN51" i="15" s="1"/>
  <c r="CA36" i="15"/>
  <c r="CC36" i="15" s="1"/>
  <c r="CD36" i="15" s="1"/>
  <c r="AM36" i="15"/>
  <c r="AN36" i="15" s="1"/>
  <c r="CA628" i="15"/>
  <c r="CC628" i="15" s="1"/>
  <c r="CD628" i="15" s="1"/>
  <c r="AM628" i="15"/>
  <c r="AN628" i="15" s="1"/>
  <c r="CA612" i="15"/>
  <c r="CC612" i="15" s="1"/>
  <c r="CD612" i="15" s="1"/>
  <c r="AM612" i="15"/>
  <c r="AN612" i="15" s="1"/>
  <c r="CA397" i="15"/>
  <c r="CC397" i="15" s="1"/>
  <c r="CD397" i="15" s="1"/>
  <c r="AM397" i="15"/>
  <c r="AN397" i="15" s="1"/>
  <c r="CA385" i="15"/>
  <c r="CC385" i="15" s="1"/>
  <c r="CD385" i="15" s="1"/>
  <c r="AM385" i="15"/>
  <c r="AN385" i="15" s="1"/>
  <c r="CA332" i="15"/>
  <c r="CC332" i="15" s="1"/>
  <c r="CD332" i="15" s="1"/>
  <c r="AM332" i="15"/>
  <c r="AN332" i="15" s="1"/>
  <c r="CA320" i="15"/>
  <c r="CC320" i="15" s="1"/>
  <c r="CD320" i="15" s="1"/>
  <c r="AM320" i="15"/>
  <c r="AN320" i="15" s="1"/>
  <c r="CA304" i="15"/>
  <c r="CC304" i="15" s="1"/>
  <c r="CD304" i="15" s="1"/>
  <c r="AM304" i="15"/>
  <c r="AN304" i="15" s="1"/>
  <c r="CA284" i="15"/>
  <c r="CC284" i="15" s="1"/>
  <c r="CD284" i="15" s="1"/>
  <c r="AM284" i="15"/>
  <c r="AN284" i="15" s="1"/>
  <c r="CA214" i="15"/>
  <c r="CC214" i="15" s="1"/>
  <c r="CD214" i="15" s="1"/>
  <c r="AM214" i="15"/>
  <c r="AN214" i="15" s="1"/>
  <c r="CA206" i="15"/>
  <c r="CC206" i="15" s="1"/>
  <c r="CD206" i="15" s="1"/>
  <c r="AM206" i="15"/>
  <c r="AN206" i="15" s="1"/>
  <c r="CA196" i="15"/>
  <c r="CC196" i="15" s="1"/>
  <c r="CD196" i="15" s="1"/>
  <c r="AM196" i="15"/>
  <c r="AN196" i="15" s="1"/>
  <c r="CA186" i="15"/>
  <c r="CC186" i="15" s="1"/>
  <c r="CD186" i="15" s="1"/>
  <c r="AM186" i="15"/>
  <c r="AN186" i="15" s="1"/>
  <c r="CA178" i="15"/>
  <c r="CC178" i="15" s="1"/>
  <c r="CD178" i="15" s="1"/>
  <c r="AM178" i="15"/>
  <c r="AN178" i="15" s="1"/>
  <c r="CA28" i="15"/>
  <c r="CC28" i="15" s="1"/>
  <c r="CD28" i="15" s="1"/>
  <c r="AM28" i="15"/>
  <c r="AN28" i="15" s="1"/>
  <c r="CA20" i="15"/>
  <c r="CC20" i="15" s="1"/>
  <c r="CD20" i="15" s="1"/>
  <c r="AM20" i="15"/>
  <c r="AN20" i="15" s="1"/>
  <c r="CA14" i="15"/>
  <c r="CC14" i="15" s="1"/>
  <c r="CD14" i="15" s="1"/>
  <c r="AM14" i="15"/>
  <c r="AN14" i="15" s="1"/>
  <c r="CA707" i="15"/>
  <c r="CC707" i="15" s="1"/>
  <c r="CD707" i="15" s="1"/>
  <c r="AM707" i="15"/>
  <c r="AN707" i="15" s="1"/>
  <c r="CA699" i="15"/>
  <c r="CC699" i="15" s="1"/>
  <c r="CD699" i="15" s="1"/>
  <c r="AM699" i="15"/>
  <c r="AN699" i="15" s="1"/>
  <c r="CA677" i="15"/>
  <c r="CC677" i="15" s="1"/>
  <c r="CD677" i="15" s="1"/>
  <c r="AM677" i="15"/>
  <c r="AN677" i="15" s="1"/>
  <c r="CA673" i="15"/>
  <c r="CC673" i="15" s="1"/>
  <c r="CD673" i="15" s="1"/>
  <c r="AM673" i="15"/>
  <c r="AN673" i="15" s="1"/>
  <c r="CA669" i="15"/>
  <c r="AM669" i="15"/>
  <c r="AN669" i="15" s="1"/>
  <c r="CA600" i="15"/>
  <c r="CC600" i="15" s="1"/>
  <c r="CD600" i="15" s="1"/>
  <c r="AM600" i="15"/>
  <c r="AN600" i="15" s="1"/>
  <c r="CA592" i="15"/>
  <c r="CC592" i="15" s="1"/>
  <c r="CD592" i="15" s="1"/>
  <c r="AM592" i="15"/>
  <c r="AN592" i="15" s="1"/>
  <c r="CA580" i="15"/>
  <c r="CC580" i="15" s="1"/>
  <c r="CD580" i="15" s="1"/>
  <c r="AM580" i="15"/>
  <c r="AN580" i="15" s="1"/>
  <c r="CA441" i="15"/>
  <c r="CC441" i="15" s="1"/>
  <c r="CD441" i="15" s="1"/>
  <c r="AM441" i="15"/>
  <c r="AN441" i="15" s="1"/>
  <c r="CA435" i="15"/>
  <c r="CC435" i="15" s="1"/>
  <c r="CD435" i="15" s="1"/>
  <c r="AM435" i="15"/>
  <c r="AN435" i="15" s="1"/>
  <c r="CA387" i="15"/>
  <c r="CC387" i="15" s="1"/>
  <c r="CD387" i="15" s="1"/>
  <c r="AM387" i="15"/>
  <c r="AN387" i="15" s="1"/>
  <c r="CA310" i="15"/>
  <c r="CC310" i="15" s="1"/>
  <c r="CD310" i="15" s="1"/>
  <c r="AM310" i="15"/>
  <c r="AN310" i="15" s="1"/>
  <c r="CA282" i="15"/>
  <c r="CC282" i="15" s="1"/>
  <c r="CD282" i="15" s="1"/>
  <c r="AM282" i="15"/>
  <c r="AN282" i="15" s="1"/>
  <c r="CA258" i="15"/>
  <c r="CC258" i="15" s="1"/>
  <c r="CD258" i="15" s="1"/>
  <c r="AM258" i="15"/>
  <c r="AN258" i="15" s="1"/>
  <c r="CA133" i="15"/>
  <c r="CC133" i="15" s="1"/>
  <c r="CD133" i="15" s="1"/>
  <c r="AM133" i="15"/>
  <c r="AN133" i="15" s="1"/>
  <c r="CA99" i="15"/>
  <c r="CC99" i="15" s="1"/>
  <c r="CD99" i="15" s="1"/>
  <c r="AM99" i="15"/>
  <c r="AN99" i="15" s="1"/>
  <c r="CA58" i="15"/>
  <c r="CC58" i="15" s="1"/>
  <c r="CD58" i="15" s="1"/>
  <c r="AM58" i="15"/>
  <c r="AN58" i="15" s="1"/>
  <c r="CA37" i="15"/>
  <c r="CC37" i="15" s="1"/>
  <c r="CD37" i="15" s="1"/>
  <c r="AM37" i="15"/>
  <c r="AN37" i="15" s="1"/>
  <c r="CA761" i="15"/>
  <c r="CC761" i="15" s="1"/>
  <c r="CD761" i="15" s="1"/>
  <c r="AM761" i="15"/>
  <c r="AN761" i="15" s="1"/>
  <c r="CA749" i="15"/>
  <c r="CC749" i="15" s="1"/>
  <c r="CD749" i="15" s="1"/>
  <c r="AM749" i="15"/>
  <c r="AN749" i="15" s="1"/>
  <c r="CA737" i="15"/>
  <c r="CC737" i="15" s="1"/>
  <c r="CD737" i="15" s="1"/>
  <c r="AM737" i="15"/>
  <c r="AN737" i="15" s="1"/>
  <c r="CA551" i="15"/>
  <c r="CC551" i="15" s="1"/>
  <c r="CD551" i="15" s="1"/>
  <c r="AM551" i="15"/>
  <c r="AN551" i="15" s="1"/>
  <c r="CA499" i="15"/>
  <c r="CC499" i="15" s="1"/>
  <c r="CD499" i="15" s="1"/>
  <c r="AM499" i="15"/>
  <c r="AN499" i="15" s="1"/>
  <c r="CA475" i="15"/>
  <c r="CC475" i="15" s="1"/>
  <c r="CD475" i="15" s="1"/>
  <c r="AM475" i="15"/>
  <c r="AN475" i="15" s="1"/>
  <c r="CA247" i="15"/>
  <c r="CC247" i="15" s="1"/>
  <c r="CD247" i="15" s="1"/>
  <c r="AM247" i="15"/>
  <c r="AN247" i="15" s="1"/>
  <c r="CA195" i="15"/>
  <c r="CC195" i="15" s="1"/>
  <c r="CD195" i="15" s="1"/>
  <c r="AM195" i="15"/>
  <c r="AN195" i="15" s="1"/>
  <c r="CA179" i="15"/>
  <c r="CC179" i="15" s="1"/>
  <c r="CD179" i="15" s="1"/>
  <c r="AM179" i="15"/>
  <c r="AN179" i="15" s="1"/>
  <c r="CA31" i="15"/>
  <c r="CC31" i="15" s="1"/>
  <c r="CD31" i="15" s="1"/>
  <c r="AM31" i="15"/>
  <c r="AN31" i="15" s="1"/>
  <c r="CA708" i="15"/>
  <c r="CC708" i="15" s="1"/>
  <c r="CD708" i="15" s="1"/>
  <c r="AM708" i="15"/>
  <c r="AN708" i="15" s="1"/>
  <c r="CA704" i="15"/>
  <c r="CC704" i="15" s="1"/>
  <c r="CD704" i="15" s="1"/>
  <c r="AM704" i="15"/>
  <c r="AN704" i="15" s="1"/>
  <c r="CA690" i="15"/>
  <c r="CC690" i="15" s="1"/>
  <c r="CD690" i="15" s="1"/>
  <c r="AM690" i="15"/>
  <c r="AN690" i="15" s="1"/>
  <c r="CA670" i="15"/>
  <c r="CC670" i="15" s="1"/>
  <c r="CD670" i="15" s="1"/>
  <c r="AM670" i="15"/>
  <c r="AN670" i="15" s="1"/>
  <c r="CA662" i="15"/>
  <c r="CC662" i="15" s="1"/>
  <c r="CD662" i="15" s="1"/>
  <c r="AM662" i="15"/>
  <c r="AN662" i="15" s="1"/>
  <c r="CA654" i="15"/>
  <c r="CC654" i="15" s="1"/>
  <c r="CD654" i="15" s="1"/>
  <c r="AM654" i="15"/>
  <c r="AN654" i="15" s="1"/>
  <c r="CA646" i="15"/>
  <c r="CC646" i="15" s="1"/>
  <c r="CD646" i="15" s="1"/>
  <c r="AM646" i="15"/>
  <c r="AN646" i="15" s="1"/>
  <c r="CA634" i="15"/>
  <c r="CC634" i="15" s="1"/>
  <c r="CD634" i="15" s="1"/>
  <c r="AM634" i="15"/>
  <c r="AN634" i="15" s="1"/>
  <c r="CA623" i="15"/>
  <c r="CC623" i="15" s="1"/>
  <c r="CD623" i="15" s="1"/>
  <c r="AM623" i="15"/>
  <c r="AN623" i="15" s="1"/>
  <c r="CA603" i="15"/>
  <c r="CC603" i="15" s="1"/>
  <c r="CD603" i="15" s="1"/>
  <c r="AM603" i="15"/>
  <c r="AN603" i="15" s="1"/>
  <c r="CA595" i="15"/>
  <c r="CC595" i="15" s="1"/>
  <c r="CD595" i="15" s="1"/>
  <c r="AM595" i="15"/>
  <c r="AN595" i="15" s="1"/>
  <c r="CA587" i="15"/>
  <c r="CC587" i="15" s="1"/>
  <c r="CD587" i="15" s="1"/>
  <c r="AM587" i="15"/>
  <c r="AN587" i="15" s="1"/>
  <c r="CA579" i="15"/>
  <c r="AM579" i="15"/>
  <c r="AN579" i="15" s="1"/>
  <c r="CA462" i="15"/>
  <c r="CC462" i="15" s="1"/>
  <c r="CD462" i="15" s="1"/>
  <c r="AM462" i="15"/>
  <c r="AN462" i="15" s="1"/>
  <c r="CA452" i="15"/>
  <c r="CC452" i="15" s="1"/>
  <c r="CD452" i="15" s="1"/>
  <c r="AM452" i="15"/>
  <c r="AN452" i="15" s="1"/>
  <c r="CA450" i="15"/>
  <c r="CC450" i="15" s="1"/>
  <c r="CD450" i="15" s="1"/>
  <c r="AM450" i="15"/>
  <c r="AN450" i="15" s="1"/>
  <c r="CA440" i="15"/>
  <c r="CC440" i="15" s="1"/>
  <c r="CD440" i="15" s="1"/>
  <c r="AM440" i="15"/>
  <c r="AN440" i="15" s="1"/>
  <c r="CA428" i="15"/>
  <c r="CC428" i="15" s="1"/>
  <c r="CD428" i="15" s="1"/>
  <c r="AM428" i="15"/>
  <c r="AN428" i="15" s="1"/>
  <c r="CA424" i="15"/>
  <c r="CC424" i="15" s="1"/>
  <c r="CD424" i="15" s="1"/>
  <c r="AM424" i="15"/>
  <c r="AN424" i="15" s="1"/>
  <c r="CA420" i="15"/>
  <c r="CC420" i="15" s="1"/>
  <c r="CD420" i="15" s="1"/>
  <c r="AM420" i="15"/>
  <c r="AN420" i="15" s="1"/>
  <c r="CA416" i="15"/>
  <c r="CC416" i="15" s="1"/>
  <c r="CD416" i="15" s="1"/>
  <c r="AM416" i="15"/>
  <c r="AN416" i="15" s="1"/>
  <c r="CA412" i="15"/>
  <c r="CC412" i="15" s="1"/>
  <c r="CD412" i="15" s="1"/>
  <c r="AM412" i="15"/>
  <c r="AN412" i="15" s="1"/>
  <c r="CA408" i="15"/>
  <c r="CC408" i="15" s="1"/>
  <c r="AM408" i="15"/>
  <c r="AN408" i="15" s="1"/>
  <c r="CA402" i="15"/>
  <c r="CC402" i="15" s="1"/>
  <c r="CD402" i="15" s="1"/>
  <c r="AM402" i="15"/>
  <c r="AN402" i="15" s="1"/>
  <c r="CA400" i="15"/>
  <c r="CC400" i="15" s="1"/>
  <c r="CD400" i="15" s="1"/>
  <c r="AM400" i="15"/>
  <c r="AN400" i="15" s="1"/>
  <c r="CA388" i="15"/>
  <c r="CC388" i="15" s="1"/>
  <c r="CD388" i="15" s="1"/>
  <c r="AM388" i="15"/>
  <c r="AN388" i="15" s="1"/>
  <c r="CA379" i="15"/>
  <c r="CC379" i="15" s="1"/>
  <c r="CD379" i="15" s="1"/>
  <c r="AM379" i="15"/>
  <c r="AN379" i="15" s="1"/>
  <c r="CA373" i="15"/>
  <c r="CC373" i="15" s="1"/>
  <c r="CD373" i="15" s="1"/>
  <c r="AM373" i="15"/>
  <c r="AN373" i="15" s="1"/>
  <c r="CA369" i="15"/>
  <c r="CC369" i="15" s="1"/>
  <c r="CD369" i="15" s="1"/>
  <c r="AM369" i="15"/>
  <c r="AN369" i="15" s="1"/>
  <c r="CA361" i="15"/>
  <c r="CC361" i="15" s="1"/>
  <c r="CD361" i="15" s="1"/>
  <c r="AM361" i="15"/>
  <c r="AN361" i="15" s="1"/>
  <c r="CA339" i="15"/>
  <c r="CC339" i="15" s="1"/>
  <c r="CD339" i="15" s="1"/>
  <c r="AM339" i="15"/>
  <c r="AN339" i="15" s="1"/>
  <c r="CA337" i="15"/>
  <c r="CC337" i="15" s="1"/>
  <c r="CD337" i="15" s="1"/>
  <c r="AM337" i="15"/>
  <c r="AN337" i="15" s="1"/>
  <c r="CA331" i="15"/>
  <c r="CC331" i="15" s="1"/>
  <c r="CD331" i="15" s="1"/>
  <c r="AM331" i="15"/>
  <c r="AN331" i="15" s="1"/>
  <c r="CA329" i="15"/>
  <c r="CC329" i="15" s="1"/>
  <c r="CD329" i="15" s="1"/>
  <c r="AM329" i="15"/>
  <c r="AN329" i="15" s="1"/>
  <c r="CA295" i="15"/>
  <c r="CC295" i="15" s="1"/>
  <c r="CD295" i="15" s="1"/>
  <c r="AM295" i="15"/>
  <c r="AN295" i="15" s="1"/>
  <c r="CA291" i="15"/>
  <c r="CC291" i="15" s="1"/>
  <c r="CD291" i="15" s="1"/>
  <c r="AM291" i="15"/>
  <c r="AN291" i="15" s="1"/>
  <c r="CA287" i="15"/>
  <c r="CC287" i="15" s="1"/>
  <c r="CD287" i="15" s="1"/>
  <c r="AM287" i="15"/>
  <c r="AN287" i="15" s="1"/>
  <c r="CA267" i="15"/>
  <c r="CC267" i="15" s="1"/>
  <c r="CD267" i="15" s="1"/>
  <c r="AM267" i="15"/>
  <c r="AN267" i="15" s="1"/>
  <c r="CA259" i="15"/>
  <c r="CC259" i="15" s="1"/>
  <c r="CD259" i="15" s="1"/>
  <c r="AM259" i="15"/>
  <c r="AN259" i="15" s="1"/>
  <c r="CA142" i="15"/>
  <c r="CC142" i="15" s="1"/>
  <c r="CD142" i="15" s="1"/>
  <c r="AM142" i="15"/>
  <c r="AN142" i="15" s="1"/>
  <c r="CA120" i="15"/>
  <c r="CC120" i="15" s="1"/>
  <c r="CD120" i="15" s="1"/>
  <c r="AM120" i="15"/>
  <c r="AN120" i="15" s="1"/>
  <c r="CA116" i="15"/>
  <c r="CC116" i="15" s="1"/>
  <c r="CD116" i="15" s="1"/>
  <c r="AM116" i="15"/>
  <c r="AN116" i="15" s="1"/>
  <c r="CA112" i="15"/>
  <c r="CC112" i="15" s="1"/>
  <c r="CD112" i="15" s="1"/>
  <c r="AM112" i="15"/>
  <c r="AN112" i="15" s="1"/>
  <c r="CA108" i="15"/>
  <c r="CC108" i="15" s="1"/>
  <c r="CD108" i="15" s="1"/>
  <c r="AM108" i="15"/>
  <c r="AN108" i="15" s="1"/>
  <c r="CA104" i="15"/>
  <c r="CC104" i="15" s="1"/>
  <c r="CD104" i="15" s="1"/>
  <c r="AM104" i="15"/>
  <c r="AN104" i="15" s="1"/>
  <c r="CA100" i="15"/>
  <c r="CC100" i="15" s="1"/>
  <c r="CD100" i="15" s="1"/>
  <c r="AM100" i="15"/>
  <c r="AN100" i="15" s="1"/>
  <c r="CA93" i="15"/>
  <c r="CC93" i="15" s="1"/>
  <c r="CD93" i="15" s="1"/>
  <c r="AM93" i="15"/>
  <c r="AN93" i="15" s="1"/>
  <c r="CA84" i="15"/>
  <c r="CC84" i="15" s="1"/>
  <c r="CD84" i="15" s="1"/>
  <c r="AM84" i="15"/>
  <c r="AN84" i="15" s="1"/>
  <c r="CA74" i="15"/>
  <c r="CC74" i="15" s="1"/>
  <c r="CD74" i="15" s="1"/>
  <c r="AM74" i="15"/>
  <c r="AN74" i="15" s="1"/>
  <c r="CA63" i="15"/>
  <c r="CC63" i="15" s="1"/>
  <c r="CD63" i="15" s="1"/>
  <c r="AM63" i="15"/>
  <c r="AN63" i="15" s="1"/>
  <c r="CA55" i="15"/>
  <c r="CC55" i="15" s="1"/>
  <c r="CD55" i="15" s="1"/>
  <c r="AM55" i="15"/>
  <c r="AN55" i="15" s="1"/>
  <c r="CA47" i="15"/>
  <c r="CC47" i="15" s="1"/>
  <c r="CD47" i="15" s="1"/>
  <c r="AM47" i="15"/>
  <c r="AN47" i="15" s="1"/>
  <c r="CA38" i="15"/>
  <c r="CC38" i="15" s="1"/>
  <c r="CD38" i="15" s="1"/>
  <c r="AM38" i="15"/>
  <c r="AN38" i="15" s="1"/>
  <c r="CA679" i="15"/>
  <c r="CC679" i="15" s="1"/>
  <c r="CD679" i="15" s="1"/>
  <c r="AM679" i="15"/>
  <c r="AN679" i="15" s="1"/>
  <c r="CA637" i="15"/>
  <c r="CC637" i="15" s="1"/>
  <c r="CD637" i="15" s="1"/>
  <c r="AM637" i="15"/>
  <c r="AN637" i="15" s="1"/>
  <c r="CA624" i="15"/>
  <c r="CC624" i="15" s="1"/>
  <c r="CD624" i="15" s="1"/>
  <c r="AM624" i="15"/>
  <c r="AN624" i="15" s="1"/>
  <c r="CA401" i="15"/>
  <c r="CC401" i="15" s="1"/>
  <c r="CD401" i="15" s="1"/>
  <c r="AM401" i="15"/>
  <c r="AN401" i="15" s="1"/>
  <c r="CA366" i="15"/>
  <c r="CC366" i="15" s="1"/>
  <c r="CD366" i="15" s="1"/>
  <c r="AM366" i="15"/>
  <c r="AN366" i="15" s="1"/>
  <c r="CA330" i="15"/>
  <c r="CC330" i="15" s="1"/>
  <c r="CD330" i="15" s="1"/>
  <c r="AM330" i="15"/>
  <c r="AN330" i="15" s="1"/>
  <c r="CA326" i="15"/>
  <c r="AM326" i="15"/>
  <c r="AN326" i="15" s="1"/>
  <c r="CA312" i="15"/>
  <c r="CC312" i="15" s="1"/>
  <c r="CD312" i="15" s="1"/>
  <c r="AM312" i="15"/>
  <c r="AN312" i="15" s="1"/>
  <c r="CA308" i="15"/>
  <c r="CC308" i="15" s="1"/>
  <c r="CD308" i="15" s="1"/>
  <c r="AM308" i="15"/>
  <c r="AN308" i="15" s="1"/>
  <c r="CA292" i="15"/>
  <c r="CC292" i="15" s="1"/>
  <c r="CD292" i="15" s="1"/>
  <c r="AM292" i="15"/>
  <c r="AN292" i="15" s="1"/>
  <c r="CA276" i="15"/>
  <c r="CC276" i="15" s="1"/>
  <c r="CD276" i="15" s="1"/>
  <c r="AM276" i="15"/>
  <c r="AN276" i="15" s="1"/>
  <c r="CA260" i="15"/>
  <c r="CC260" i="15" s="1"/>
  <c r="CD260" i="15" s="1"/>
  <c r="AM260" i="15"/>
  <c r="AN260" i="15" s="1"/>
  <c r="CA131" i="15"/>
  <c r="CC131" i="15" s="1"/>
  <c r="CD131" i="15" s="1"/>
  <c r="AM131" i="15"/>
  <c r="AN131" i="15" s="1"/>
  <c r="CA113" i="15"/>
  <c r="CC113" i="15" s="1"/>
  <c r="CD113" i="15" s="1"/>
  <c r="AM113" i="15"/>
  <c r="AN113" i="15" s="1"/>
  <c r="CA92" i="15"/>
  <c r="CC92" i="15" s="1"/>
  <c r="CD92" i="15" s="1"/>
  <c r="AM92" i="15"/>
  <c r="AN92" i="15" s="1"/>
  <c r="CA85" i="15"/>
  <c r="CC85" i="15" s="1"/>
  <c r="CD85" i="15" s="1"/>
  <c r="AM85" i="15"/>
  <c r="AN85" i="15" s="1"/>
  <c r="CA77" i="15"/>
  <c r="CC77" i="15" s="1"/>
  <c r="CD77" i="15" s="1"/>
  <c r="AM77" i="15"/>
  <c r="AN77" i="15" s="1"/>
  <c r="CA69" i="15"/>
  <c r="CC69" i="15" s="1"/>
  <c r="CD69" i="15" s="1"/>
  <c r="AM69" i="15"/>
  <c r="AN69" i="15" s="1"/>
  <c r="CA56" i="15"/>
  <c r="CC56" i="15" s="1"/>
  <c r="CD56" i="15" s="1"/>
  <c r="AM56" i="15"/>
  <c r="AN56" i="15" s="1"/>
  <c r="CA48" i="15"/>
  <c r="CC48" i="15" s="1"/>
  <c r="CD48" i="15" s="1"/>
  <c r="AM48" i="15"/>
  <c r="AN48" i="15" s="1"/>
  <c r="CA859" i="15"/>
  <c r="CC859" i="15" s="1"/>
  <c r="CD859" i="15" s="1"/>
  <c r="AM859" i="15"/>
  <c r="AN859" i="15" s="1"/>
  <c r="CA853" i="15"/>
  <c r="CC853" i="15" s="1"/>
  <c r="CD853" i="15" s="1"/>
  <c r="AM853" i="15"/>
  <c r="AN853" i="15" s="1"/>
  <c r="CA839" i="15"/>
  <c r="CC839" i="15" s="1"/>
  <c r="CD839" i="15" s="1"/>
  <c r="AM839" i="15"/>
  <c r="AN839" i="15" s="1"/>
  <c r="CA829" i="15"/>
  <c r="CC829" i="15" s="1"/>
  <c r="AM829" i="15"/>
  <c r="AN829" i="15" s="1"/>
  <c r="CA815" i="15"/>
  <c r="CC815" i="15" s="1"/>
  <c r="CD815" i="15" s="1"/>
  <c r="AM815" i="15"/>
  <c r="AN815" i="15" s="1"/>
  <c r="CA797" i="15"/>
  <c r="AM797" i="15"/>
  <c r="AN797" i="15" s="1"/>
  <c r="CA793" i="15"/>
  <c r="CC793" i="15" s="1"/>
  <c r="CD793" i="15" s="1"/>
  <c r="AM793" i="15"/>
  <c r="AN793" i="15" s="1"/>
  <c r="CA765" i="15"/>
  <c r="CC765" i="15" s="1"/>
  <c r="CD765" i="15" s="1"/>
  <c r="AM765" i="15"/>
  <c r="AN765" i="15" s="1"/>
  <c r="CA759" i="15"/>
  <c r="CC759" i="15" s="1"/>
  <c r="CD759" i="15" s="1"/>
  <c r="AM759" i="15"/>
  <c r="AN759" i="15" s="1"/>
  <c r="CA751" i="15"/>
  <c r="CC751" i="15" s="1"/>
  <c r="CD751" i="15" s="1"/>
  <c r="AM751" i="15"/>
  <c r="AN751" i="15" s="1"/>
  <c r="CA727" i="15"/>
  <c r="CC727" i="15" s="1"/>
  <c r="CD727" i="15" s="1"/>
  <c r="AM727" i="15"/>
  <c r="AN727" i="15" s="1"/>
  <c r="CA715" i="15"/>
  <c r="AM715" i="15"/>
  <c r="AN715" i="15" s="1"/>
  <c r="CA567" i="15"/>
  <c r="CC567" i="15" s="1"/>
  <c r="CD567" i="15" s="1"/>
  <c r="AM567" i="15"/>
  <c r="AN567" i="15" s="1"/>
  <c r="CA559" i="15"/>
  <c r="CC559" i="15" s="1"/>
  <c r="CD559" i="15" s="1"/>
  <c r="AM559" i="15"/>
  <c r="AN559" i="15" s="1"/>
  <c r="CA549" i="15"/>
  <c r="AM549" i="15"/>
  <c r="AN549" i="15" s="1"/>
  <c r="CA535" i="15"/>
  <c r="CC535" i="15" s="1"/>
  <c r="CD535" i="15" s="1"/>
  <c r="AM535" i="15"/>
  <c r="AN535" i="15" s="1"/>
  <c r="CA509" i="15"/>
  <c r="CC509" i="15" s="1"/>
  <c r="CD509" i="15" s="1"/>
  <c r="AM509" i="15"/>
  <c r="AN509" i="15" s="1"/>
  <c r="CA497" i="15"/>
  <c r="CC497" i="15" s="1"/>
  <c r="CD497" i="15" s="1"/>
  <c r="AM497" i="15"/>
  <c r="AN497" i="15" s="1"/>
  <c r="CA481" i="15"/>
  <c r="CC481" i="15" s="1"/>
  <c r="CD481" i="15" s="1"/>
  <c r="AM481" i="15"/>
  <c r="AN481" i="15" s="1"/>
  <c r="CA473" i="15"/>
  <c r="AM473" i="15"/>
  <c r="AN473" i="15" s="1"/>
  <c r="CA213" i="15"/>
  <c r="CC213" i="15" s="1"/>
  <c r="CD213" i="15" s="1"/>
  <c r="AM213" i="15"/>
  <c r="AN213" i="15" s="1"/>
  <c r="CA197" i="15"/>
  <c r="CC197" i="15" s="1"/>
  <c r="CD197" i="15" s="1"/>
  <c r="AM197" i="15"/>
  <c r="AN197" i="15" s="1"/>
  <c r="CA177" i="15"/>
  <c r="CC177" i="15" s="1"/>
  <c r="CD177" i="15" s="1"/>
  <c r="AM177" i="15"/>
  <c r="AN177" i="15" s="1"/>
  <c r="CA159" i="15"/>
  <c r="CC159" i="15" s="1"/>
  <c r="CD159" i="15" s="1"/>
  <c r="AM159" i="15"/>
  <c r="AN159" i="15" s="1"/>
  <c r="CA29" i="15"/>
  <c r="CC29" i="15" s="1"/>
  <c r="CD29" i="15" s="1"/>
  <c r="AM29" i="15"/>
  <c r="AN29" i="15" s="1"/>
  <c r="CA21" i="15"/>
  <c r="CC21" i="15" s="1"/>
  <c r="CD21" i="15" s="1"/>
  <c r="AM21" i="15"/>
  <c r="AN21" i="15" s="1"/>
  <c r="CA13" i="15"/>
  <c r="CC13" i="15" s="1"/>
  <c r="CD13" i="15" s="1"/>
  <c r="AM13" i="15"/>
  <c r="AN13" i="15" s="1"/>
  <c r="CA858" i="15"/>
  <c r="CC858" i="15" s="1"/>
  <c r="CD858" i="15" s="1"/>
  <c r="AM858" i="15"/>
  <c r="AN858" i="15" s="1"/>
  <c r="CA850" i="15"/>
  <c r="CC850" i="15" s="1"/>
  <c r="CD850" i="15" s="1"/>
  <c r="AM850" i="15"/>
  <c r="AN850" i="15" s="1"/>
  <c r="CA842" i="15"/>
  <c r="CC842" i="15" s="1"/>
  <c r="CD842" i="15" s="1"/>
  <c r="AM842" i="15"/>
  <c r="AN842" i="15" s="1"/>
  <c r="CA834" i="15"/>
  <c r="CC834" i="15" s="1"/>
  <c r="CD834" i="15" s="1"/>
  <c r="AM834" i="15"/>
  <c r="AN834" i="15" s="1"/>
  <c r="CA812" i="15"/>
  <c r="CC812" i="15" s="1"/>
  <c r="CD812" i="15" s="1"/>
  <c r="AM812" i="15"/>
  <c r="AN812" i="15" s="1"/>
  <c r="CA810" i="15"/>
  <c r="CC810" i="15" s="1"/>
  <c r="CD810" i="15" s="1"/>
  <c r="AM810" i="15"/>
  <c r="AN810" i="15" s="1"/>
  <c r="CA804" i="15"/>
  <c r="CC804" i="15" s="1"/>
  <c r="CD804" i="15" s="1"/>
  <c r="AM804" i="15"/>
  <c r="AN804" i="15" s="1"/>
  <c r="CA788" i="15"/>
  <c r="CC788" i="15" s="1"/>
  <c r="CD788" i="15" s="1"/>
  <c r="AM788" i="15"/>
  <c r="AN788" i="15" s="1"/>
  <c r="CA780" i="15"/>
  <c r="CC780" i="15" s="1"/>
  <c r="CD780" i="15" s="1"/>
  <c r="AM780" i="15"/>
  <c r="AN780" i="15" s="1"/>
  <c r="CA762" i="15"/>
  <c r="CC762" i="15" s="1"/>
  <c r="CD762" i="15" s="1"/>
  <c r="AM762" i="15"/>
  <c r="AN762" i="15" s="1"/>
  <c r="CA740" i="15"/>
  <c r="CC740" i="15" s="1"/>
  <c r="CD740" i="15" s="1"/>
  <c r="AM740" i="15"/>
  <c r="AN740" i="15" s="1"/>
  <c r="CA734" i="15"/>
  <c r="CC734" i="15" s="1"/>
  <c r="CD734" i="15" s="1"/>
  <c r="AM734" i="15"/>
  <c r="AN734" i="15" s="1"/>
  <c r="CA726" i="15"/>
  <c r="CC726" i="15" s="1"/>
  <c r="CD726" i="15" s="1"/>
  <c r="AM726" i="15"/>
  <c r="AN726" i="15" s="1"/>
  <c r="CA722" i="15"/>
  <c r="CC722" i="15" s="1"/>
  <c r="CD722" i="15" s="1"/>
  <c r="AM722" i="15"/>
  <c r="AN722" i="15" s="1"/>
  <c r="CA570" i="15"/>
  <c r="CC570" i="15" s="1"/>
  <c r="CD570" i="15" s="1"/>
  <c r="AM570" i="15"/>
  <c r="AN570" i="15" s="1"/>
  <c r="CA562" i="15"/>
  <c r="CC562" i="15" s="1"/>
  <c r="CD562" i="15" s="1"/>
  <c r="AM562" i="15"/>
  <c r="AN562" i="15" s="1"/>
  <c r="CA554" i="15"/>
  <c r="CC554" i="15" s="1"/>
  <c r="CD554" i="15" s="1"/>
  <c r="AM554" i="15"/>
  <c r="AN554" i="15" s="1"/>
  <c r="CA544" i="15"/>
  <c r="CC544" i="15" s="1"/>
  <c r="CD544" i="15" s="1"/>
  <c r="AM544" i="15"/>
  <c r="AN544" i="15" s="1"/>
  <c r="CA542" i="15"/>
  <c r="CC542" i="15" s="1"/>
  <c r="CD542" i="15" s="1"/>
  <c r="AM542" i="15"/>
  <c r="AN542" i="15" s="1"/>
  <c r="CA536" i="15"/>
  <c r="CC536" i="15" s="1"/>
  <c r="CD536" i="15" s="1"/>
  <c r="AM536" i="15"/>
  <c r="AN536" i="15" s="1"/>
  <c r="CA534" i="15"/>
  <c r="CC534" i="15" s="1"/>
  <c r="CD534" i="15" s="1"/>
  <c r="AM534" i="15"/>
  <c r="AN534" i="15" s="1"/>
  <c r="CA526" i="15"/>
  <c r="CC526" i="15" s="1"/>
  <c r="CD526" i="15" s="1"/>
  <c r="AM526" i="15"/>
  <c r="AN526" i="15" s="1"/>
  <c r="CA522" i="15"/>
  <c r="CC522" i="15" s="1"/>
  <c r="CD522" i="15" s="1"/>
  <c r="AM522" i="15"/>
  <c r="AN522" i="15" s="1"/>
  <c r="CA516" i="15"/>
  <c r="CC516" i="15" s="1"/>
  <c r="CD516" i="15" s="1"/>
  <c r="AM516" i="15"/>
  <c r="AN516" i="15" s="1"/>
  <c r="CA512" i="15"/>
  <c r="CC512" i="15" s="1"/>
  <c r="CD512" i="15" s="1"/>
  <c r="AM512" i="15"/>
  <c r="AN512" i="15" s="1"/>
  <c r="CA502" i="15"/>
  <c r="CC502" i="15" s="1"/>
  <c r="CD502" i="15" s="1"/>
  <c r="AM502" i="15"/>
  <c r="AN502" i="15" s="1"/>
  <c r="CA494" i="15"/>
  <c r="CC494" i="15" s="1"/>
  <c r="CD494" i="15" s="1"/>
  <c r="AM494" i="15"/>
  <c r="AN494" i="15" s="1"/>
  <c r="CA488" i="15"/>
  <c r="CC488" i="15" s="1"/>
  <c r="CD488" i="15" s="1"/>
  <c r="AM488" i="15"/>
  <c r="AN488" i="15" s="1"/>
  <c r="CA484" i="15"/>
  <c r="CC484" i="15" s="1"/>
  <c r="CD484" i="15" s="1"/>
  <c r="AM484" i="15"/>
  <c r="AN484" i="15" s="1"/>
  <c r="CA480" i="15"/>
  <c r="CC480" i="15" s="1"/>
  <c r="CD480" i="15" s="1"/>
  <c r="AM480" i="15"/>
  <c r="AN480" i="15" s="1"/>
  <c r="CA248" i="15"/>
  <c r="CC248" i="15" s="1"/>
  <c r="CD248" i="15" s="1"/>
  <c r="AM248" i="15"/>
  <c r="AN248" i="15" s="1"/>
  <c r="CA240" i="15"/>
  <c r="CC240" i="15" s="1"/>
  <c r="CD240" i="15" s="1"/>
  <c r="AM240" i="15"/>
  <c r="AN240" i="15" s="1"/>
  <c r="CA210" i="15"/>
  <c r="CC210" i="15" s="1"/>
  <c r="CD210" i="15" s="1"/>
  <c r="AM210" i="15"/>
  <c r="AN210" i="15" s="1"/>
  <c r="CA202" i="15"/>
  <c r="CC202" i="15" s="1"/>
  <c r="CD202" i="15" s="1"/>
  <c r="AM202" i="15"/>
  <c r="AN202" i="15" s="1"/>
  <c r="CA192" i="15"/>
  <c r="CC192" i="15" s="1"/>
  <c r="CD192" i="15" s="1"/>
  <c r="AM192" i="15"/>
  <c r="AN192" i="15" s="1"/>
  <c r="CA184" i="15"/>
  <c r="CC184" i="15" s="1"/>
  <c r="CD184" i="15" s="1"/>
  <c r="AM184" i="15"/>
  <c r="AN184" i="15" s="1"/>
  <c r="CA160" i="15"/>
  <c r="CC160" i="15" s="1"/>
  <c r="CD160" i="15" s="1"/>
  <c r="AM160" i="15"/>
  <c r="AN160" i="15" s="1"/>
  <c r="CA154" i="15"/>
  <c r="CC154" i="15" s="1"/>
  <c r="CD154" i="15" s="1"/>
  <c r="AM154" i="15"/>
  <c r="AN154" i="15" s="1"/>
  <c r="CA32" i="15"/>
  <c r="CC32" i="15" s="1"/>
  <c r="CD32" i="15" s="1"/>
  <c r="AM32" i="15"/>
  <c r="AN32" i="15" s="1"/>
  <c r="CA24" i="15"/>
  <c r="CC24" i="15" s="1"/>
  <c r="CD24" i="15" s="1"/>
  <c r="AM24" i="15"/>
  <c r="AN24" i="15" s="1"/>
  <c r="CA16" i="15"/>
  <c r="CC16" i="15" s="1"/>
  <c r="CD16" i="15" s="1"/>
  <c r="AM16" i="15"/>
  <c r="AN16" i="15" s="1"/>
  <c r="CA10" i="15"/>
  <c r="CC10" i="15" s="1"/>
  <c r="CD10" i="15" s="1"/>
  <c r="AM10" i="15"/>
  <c r="AN10" i="15" s="1"/>
  <c r="CA705" i="15"/>
  <c r="CC705" i="15" s="1"/>
  <c r="CD705" i="15" s="1"/>
  <c r="AM705" i="15"/>
  <c r="AN705" i="15" s="1"/>
  <c r="CA697" i="15"/>
  <c r="CC697" i="15" s="1"/>
  <c r="CD697" i="15" s="1"/>
  <c r="AM697" i="15"/>
  <c r="AN697" i="15" s="1"/>
  <c r="CA681" i="15"/>
  <c r="CC681" i="15" s="1"/>
  <c r="CD681" i="15" s="1"/>
  <c r="AM681" i="15"/>
  <c r="AN681" i="15" s="1"/>
  <c r="CA675" i="15"/>
  <c r="CC675" i="15" s="1"/>
  <c r="CD675" i="15" s="1"/>
  <c r="AM675" i="15"/>
  <c r="AN675" i="15" s="1"/>
  <c r="CA671" i="15"/>
  <c r="CC671" i="15" s="1"/>
  <c r="CD671" i="15" s="1"/>
  <c r="AM671" i="15"/>
  <c r="AN671" i="15" s="1"/>
  <c r="CA659" i="15"/>
  <c r="CC659" i="15" s="1"/>
  <c r="CD659" i="15" s="1"/>
  <c r="AM659" i="15"/>
  <c r="AN659" i="15" s="1"/>
  <c r="CA651" i="15"/>
  <c r="CC651" i="15" s="1"/>
  <c r="CD651" i="15" s="1"/>
  <c r="AM651" i="15"/>
  <c r="AN651" i="15" s="1"/>
  <c r="CA631" i="15"/>
  <c r="CC631" i="15" s="1"/>
  <c r="CD631" i="15" s="1"/>
  <c r="AM631" i="15"/>
  <c r="AN631" i="15" s="1"/>
  <c r="CA626" i="15"/>
  <c r="CC626" i="15" s="1"/>
  <c r="CD626" i="15" s="1"/>
  <c r="AM626" i="15"/>
  <c r="AN626" i="15" s="1"/>
  <c r="CA614" i="15"/>
  <c r="CC614" i="15" s="1"/>
  <c r="CD614" i="15" s="1"/>
  <c r="AM614" i="15"/>
  <c r="AN614" i="15" s="1"/>
  <c r="CA606" i="15"/>
  <c r="CC606" i="15" s="1"/>
  <c r="CD606" i="15" s="1"/>
  <c r="AM606" i="15"/>
  <c r="AN606" i="15" s="1"/>
  <c r="CA602" i="15"/>
  <c r="CC602" i="15" s="1"/>
  <c r="CD602" i="15" s="1"/>
  <c r="AM602" i="15"/>
  <c r="AN602" i="15" s="1"/>
  <c r="CA598" i="15"/>
  <c r="CC598" i="15" s="1"/>
  <c r="CD598" i="15" s="1"/>
  <c r="AM598" i="15"/>
  <c r="AN598" i="15" s="1"/>
  <c r="CA594" i="15"/>
  <c r="CC594" i="15" s="1"/>
  <c r="CD594" i="15" s="1"/>
  <c r="AM594" i="15"/>
  <c r="AN594" i="15" s="1"/>
  <c r="CA459" i="15"/>
  <c r="CC459" i="15" s="1"/>
  <c r="CD459" i="15" s="1"/>
  <c r="AM459" i="15"/>
  <c r="AN459" i="15" s="1"/>
  <c r="CA453" i="15"/>
  <c r="CC453" i="15" s="1"/>
  <c r="CD453" i="15" s="1"/>
  <c r="AM453" i="15"/>
  <c r="AN453" i="15" s="1"/>
  <c r="CA445" i="15"/>
  <c r="CC445" i="15" s="1"/>
  <c r="CD445" i="15" s="1"/>
  <c r="AM445" i="15"/>
  <c r="AN445" i="15" s="1"/>
  <c r="CA439" i="15"/>
  <c r="CC439" i="15" s="1"/>
  <c r="CD439" i="15" s="1"/>
  <c r="AM439" i="15"/>
  <c r="AN439" i="15" s="1"/>
  <c r="CA415" i="15"/>
  <c r="CC415" i="15" s="1"/>
  <c r="CD415" i="15" s="1"/>
  <c r="AM415" i="15"/>
  <c r="AN415" i="15" s="1"/>
  <c r="CA391" i="15"/>
  <c r="CC391" i="15" s="1"/>
  <c r="CD391" i="15" s="1"/>
  <c r="AM391" i="15"/>
  <c r="AN391" i="15" s="1"/>
  <c r="CA378" i="15"/>
  <c r="CC378" i="15" s="1"/>
  <c r="CD378" i="15" s="1"/>
  <c r="AM378" i="15"/>
  <c r="AN378" i="15" s="1"/>
  <c r="CA348" i="15"/>
  <c r="CC348" i="15" s="1"/>
  <c r="CD348" i="15" s="1"/>
  <c r="AM348" i="15"/>
  <c r="AN348" i="15" s="1"/>
  <c r="CA344" i="15"/>
  <c r="CC344" i="15" s="1"/>
  <c r="CD344" i="15" s="1"/>
  <c r="AM344" i="15"/>
  <c r="AN344" i="15" s="1"/>
  <c r="CA318" i="15"/>
  <c r="CC318" i="15" s="1"/>
  <c r="CD318" i="15" s="1"/>
  <c r="AM318" i="15"/>
  <c r="AN318" i="15" s="1"/>
  <c r="CA302" i="15"/>
  <c r="CC302" i="15" s="1"/>
  <c r="CD302" i="15" s="1"/>
  <c r="AM302" i="15"/>
  <c r="AN302" i="15" s="1"/>
  <c r="CA290" i="15"/>
  <c r="CC290" i="15" s="1"/>
  <c r="CD290" i="15" s="1"/>
  <c r="AM290" i="15"/>
  <c r="AN290" i="15" s="1"/>
  <c r="CA275" i="15"/>
  <c r="CC275" i="15" s="1"/>
  <c r="CD275" i="15" s="1"/>
  <c r="AM275" i="15"/>
  <c r="AN275" i="15" s="1"/>
  <c r="CA139" i="15"/>
  <c r="CC139" i="15" s="1"/>
  <c r="CD139" i="15" s="1"/>
  <c r="AM139" i="15"/>
  <c r="AN139" i="15" s="1"/>
  <c r="CA123" i="15"/>
  <c r="CC123" i="15" s="1"/>
  <c r="CD123" i="15" s="1"/>
  <c r="AM123" i="15"/>
  <c r="AN123" i="15" s="1"/>
  <c r="CA107" i="15"/>
  <c r="CC107" i="15" s="1"/>
  <c r="CD107" i="15" s="1"/>
  <c r="AM107" i="15"/>
  <c r="AN107" i="15" s="1"/>
  <c r="CA62" i="15"/>
  <c r="CC62" i="15" s="1"/>
  <c r="CD62" i="15" s="1"/>
  <c r="AM62" i="15"/>
  <c r="AN62" i="15" s="1"/>
  <c r="CA54" i="15"/>
  <c r="CC54" i="15" s="1"/>
  <c r="CD54" i="15" s="1"/>
  <c r="AM54" i="15"/>
  <c r="AN54" i="15" s="1"/>
  <c r="CA46" i="15"/>
  <c r="CC46" i="15" s="1"/>
  <c r="CD46" i="15" s="1"/>
  <c r="AM46" i="15"/>
  <c r="AN46" i="15" s="1"/>
  <c r="CA817" i="15"/>
  <c r="CC817" i="15" s="1"/>
  <c r="CD817" i="15" s="1"/>
  <c r="AM817" i="15"/>
  <c r="AN817" i="15" s="1"/>
  <c r="CA803" i="15"/>
  <c r="CC803" i="15" s="1"/>
  <c r="CD803" i="15" s="1"/>
  <c r="AM803" i="15"/>
  <c r="AN803" i="15" s="1"/>
  <c r="CA757" i="15"/>
  <c r="CC757" i="15" s="1"/>
  <c r="CD757" i="15" s="1"/>
  <c r="AM757" i="15"/>
  <c r="AN757" i="15" s="1"/>
  <c r="CA721" i="15"/>
  <c r="CC721" i="15" s="1"/>
  <c r="CD721" i="15" s="1"/>
  <c r="AM721" i="15"/>
  <c r="AN721" i="15" s="1"/>
  <c r="CA541" i="15"/>
  <c r="CC541" i="15" s="1"/>
  <c r="CD541" i="15" s="1"/>
  <c r="AM541" i="15"/>
  <c r="AN541" i="15" s="1"/>
  <c r="CA523" i="15"/>
  <c r="CC523" i="15" s="1"/>
  <c r="CD523" i="15" s="1"/>
  <c r="AM523" i="15"/>
  <c r="AN523" i="15" s="1"/>
  <c r="CA515" i="15"/>
  <c r="AM515" i="15"/>
  <c r="AN515" i="15" s="1"/>
  <c r="CA507" i="15"/>
  <c r="CC507" i="15" s="1"/>
  <c r="CD507" i="15" s="1"/>
  <c r="AM507" i="15"/>
  <c r="AN507" i="15" s="1"/>
  <c r="CA487" i="15"/>
  <c r="CC487" i="15" s="1"/>
  <c r="CD487" i="15" s="1"/>
  <c r="AM487" i="15"/>
  <c r="AN487" i="15" s="1"/>
  <c r="CA483" i="15"/>
  <c r="CC483" i="15" s="1"/>
  <c r="CD483" i="15" s="1"/>
  <c r="AM483" i="15"/>
  <c r="AN483" i="15" s="1"/>
  <c r="CA223" i="15"/>
  <c r="CC223" i="15" s="1"/>
  <c r="CD223" i="15" s="1"/>
  <c r="AM223" i="15"/>
  <c r="AN223" i="15" s="1"/>
  <c r="CA207" i="15"/>
  <c r="CC207" i="15" s="1"/>
  <c r="CD207" i="15" s="1"/>
  <c r="AM207" i="15"/>
  <c r="AN207" i="15" s="1"/>
  <c r="CA203" i="15"/>
  <c r="CC203" i="15" s="1"/>
  <c r="CD203" i="15" s="1"/>
  <c r="AM203" i="15"/>
  <c r="AN203" i="15" s="1"/>
  <c r="CA187" i="15"/>
  <c r="CC187" i="15" s="1"/>
  <c r="CD187" i="15" s="1"/>
  <c r="AM187" i="15"/>
  <c r="AN187" i="15" s="1"/>
  <c r="CA171" i="15"/>
  <c r="CC171" i="15" s="1"/>
  <c r="CD171" i="15" s="1"/>
  <c r="AM171" i="15"/>
  <c r="AN171" i="15" s="1"/>
  <c r="CA157" i="15"/>
  <c r="CC157" i="15" s="1"/>
  <c r="CD157" i="15" s="1"/>
  <c r="AM157" i="15"/>
  <c r="AN157" i="15" s="1"/>
  <c r="CA27" i="15"/>
  <c r="CC27" i="15" s="1"/>
  <c r="CD27" i="15" s="1"/>
  <c r="AM27" i="15"/>
  <c r="AN27" i="15" s="1"/>
  <c r="CA19" i="15"/>
  <c r="CC19" i="15" s="1"/>
  <c r="CD19" i="15" s="1"/>
  <c r="AM19" i="15"/>
  <c r="AN19" i="15" s="1"/>
  <c r="CA861" i="15"/>
  <c r="CC861" i="15" s="1"/>
  <c r="CD861" i="15" s="1"/>
  <c r="AM861" i="15"/>
  <c r="AN861" i="15" s="1"/>
  <c r="AI331" i="15"/>
  <c r="CA710" i="15"/>
  <c r="CC710" i="15" s="1"/>
  <c r="CD710" i="15" s="1"/>
  <c r="AM710" i="15"/>
  <c r="AN710" i="15" s="1"/>
  <c r="CA700" i="15"/>
  <c r="CC700" i="15" s="1"/>
  <c r="CD700" i="15" s="1"/>
  <c r="AM700" i="15"/>
  <c r="AN700" i="15" s="1"/>
  <c r="CA696" i="15"/>
  <c r="CC696" i="15" s="1"/>
  <c r="CD696" i="15" s="1"/>
  <c r="AM696" i="15"/>
  <c r="AN696" i="15" s="1"/>
  <c r="CA684" i="15"/>
  <c r="CC684" i="15" s="1"/>
  <c r="CD684" i="15" s="1"/>
  <c r="AM684" i="15"/>
  <c r="AN684" i="15" s="1"/>
  <c r="CA682" i="15"/>
  <c r="CC682" i="15" s="1"/>
  <c r="CD682" i="15" s="1"/>
  <c r="AM682" i="15"/>
  <c r="AN682" i="15" s="1"/>
  <c r="CA678" i="15"/>
  <c r="CC678" i="15" s="1"/>
  <c r="CD678" i="15" s="1"/>
  <c r="AM678" i="15"/>
  <c r="AN678" i="15" s="1"/>
  <c r="CA674" i="15"/>
  <c r="CC674" i="15" s="1"/>
  <c r="CD674" i="15" s="1"/>
  <c r="AM674" i="15"/>
  <c r="AN674" i="15" s="1"/>
  <c r="CA664" i="15"/>
  <c r="CC664" i="15" s="1"/>
  <c r="CD664" i="15" s="1"/>
  <c r="AM664" i="15"/>
  <c r="AN664" i="15" s="1"/>
  <c r="CA656" i="15"/>
  <c r="CC656" i="15" s="1"/>
  <c r="CD656" i="15" s="1"/>
  <c r="AM656" i="15"/>
  <c r="AN656" i="15" s="1"/>
  <c r="CA648" i="15"/>
  <c r="CC648" i="15" s="1"/>
  <c r="CD648" i="15" s="1"/>
  <c r="AM648" i="15"/>
  <c r="AN648" i="15" s="1"/>
  <c r="CA638" i="15"/>
  <c r="CC638" i="15" s="1"/>
  <c r="CD638" i="15" s="1"/>
  <c r="AM638" i="15"/>
  <c r="AN638" i="15" s="1"/>
  <c r="CA636" i="15"/>
  <c r="CC636" i="15" s="1"/>
  <c r="CD636" i="15" s="1"/>
  <c r="AM636" i="15"/>
  <c r="AN636" i="15" s="1"/>
  <c r="CA630" i="15"/>
  <c r="CC630" i="15" s="1"/>
  <c r="CD630" i="15" s="1"/>
  <c r="AM630" i="15"/>
  <c r="AN630" i="15" s="1"/>
  <c r="CA613" i="15"/>
  <c r="CC613" i="15" s="1"/>
  <c r="CD613" i="15" s="1"/>
  <c r="AM613" i="15"/>
  <c r="AN613" i="15" s="1"/>
  <c r="CA605" i="15"/>
  <c r="CC605" i="15" s="1"/>
  <c r="CD605" i="15" s="1"/>
  <c r="AM605" i="15"/>
  <c r="AN605" i="15" s="1"/>
  <c r="CA597" i="15"/>
  <c r="CC597" i="15" s="1"/>
  <c r="CD597" i="15" s="1"/>
  <c r="AM597" i="15"/>
  <c r="AN597" i="15" s="1"/>
  <c r="CA589" i="15"/>
  <c r="CC589" i="15" s="1"/>
  <c r="CD589" i="15" s="1"/>
  <c r="AM589" i="15"/>
  <c r="AN589" i="15" s="1"/>
  <c r="CA581" i="15"/>
  <c r="CC581" i="15" s="1"/>
  <c r="CD581" i="15" s="1"/>
  <c r="AM581" i="15"/>
  <c r="AN581" i="15" s="1"/>
  <c r="CA464" i="15"/>
  <c r="CC464" i="15" s="1"/>
  <c r="CD464" i="15" s="1"/>
  <c r="AM464" i="15"/>
  <c r="AN464" i="15" s="1"/>
  <c r="CA456" i="15"/>
  <c r="AM456" i="15"/>
  <c r="AN456" i="15" s="1"/>
  <c r="CA436" i="15"/>
  <c r="CC436" i="15" s="1"/>
  <c r="CD436" i="15" s="1"/>
  <c r="AM436" i="15"/>
  <c r="AN436" i="15" s="1"/>
  <c r="CA432" i="15"/>
  <c r="CC432" i="15" s="1"/>
  <c r="CD432" i="15" s="1"/>
  <c r="AM432" i="15"/>
  <c r="AN432" i="15" s="1"/>
  <c r="CA384" i="15"/>
  <c r="CC384" i="15" s="1"/>
  <c r="CD384" i="15" s="1"/>
  <c r="AM384" i="15"/>
  <c r="AN384" i="15" s="1"/>
  <c r="CA375" i="15"/>
  <c r="CC375" i="15" s="1"/>
  <c r="CD375" i="15" s="1"/>
  <c r="AM375" i="15"/>
  <c r="AN375" i="15" s="1"/>
  <c r="CA363" i="15"/>
  <c r="CC363" i="15" s="1"/>
  <c r="CD363" i="15" s="1"/>
  <c r="AM363" i="15"/>
  <c r="AN363" i="15" s="1"/>
  <c r="CA355" i="15"/>
  <c r="CC355" i="15" s="1"/>
  <c r="CD355" i="15" s="1"/>
  <c r="AM355" i="15"/>
  <c r="AN355" i="15" s="1"/>
  <c r="CA347" i="15"/>
  <c r="CC347" i="15" s="1"/>
  <c r="CD347" i="15" s="1"/>
  <c r="AM347" i="15"/>
  <c r="AN347" i="15" s="1"/>
  <c r="CA323" i="15"/>
  <c r="CC323" i="15" s="1"/>
  <c r="CD323" i="15" s="1"/>
  <c r="AM323" i="15"/>
  <c r="AN323" i="15" s="1"/>
  <c r="CA319" i="15"/>
  <c r="CC319" i="15" s="1"/>
  <c r="CD319" i="15" s="1"/>
  <c r="AM319" i="15"/>
  <c r="AN319" i="15" s="1"/>
  <c r="CA315" i="15"/>
  <c r="CC315" i="15" s="1"/>
  <c r="CD315" i="15" s="1"/>
  <c r="AM315" i="15"/>
  <c r="AN315" i="15" s="1"/>
  <c r="CA311" i="15"/>
  <c r="CC311" i="15" s="1"/>
  <c r="CD311" i="15" s="1"/>
  <c r="AM311" i="15"/>
  <c r="AN311" i="15" s="1"/>
  <c r="CA307" i="15"/>
  <c r="CC307" i="15" s="1"/>
  <c r="CD307" i="15" s="1"/>
  <c r="AM307" i="15"/>
  <c r="AN307" i="15" s="1"/>
  <c r="CA303" i="15"/>
  <c r="CC303" i="15" s="1"/>
  <c r="CD303" i="15" s="1"/>
  <c r="AM303" i="15"/>
  <c r="AN303" i="15" s="1"/>
  <c r="CA297" i="15"/>
  <c r="CC297" i="15" s="1"/>
  <c r="CD297" i="15" s="1"/>
  <c r="AM297" i="15"/>
  <c r="AN297" i="15" s="1"/>
  <c r="CA289" i="15"/>
  <c r="CC289" i="15" s="1"/>
  <c r="CD289" i="15" s="1"/>
  <c r="AM289" i="15"/>
  <c r="AN289" i="15" s="1"/>
  <c r="CA283" i="15"/>
  <c r="CC283" i="15" s="1"/>
  <c r="CD283" i="15" s="1"/>
  <c r="AM283" i="15"/>
  <c r="AN283" i="15" s="1"/>
  <c r="CA279" i="15"/>
  <c r="CC279" i="15" s="1"/>
  <c r="CD279" i="15" s="1"/>
  <c r="AM279" i="15"/>
  <c r="AN279" i="15" s="1"/>
  <c r="CA274" i="15"/>
  <c r="CC274" i="15" s="1"/>
  <c r="CD274" i="15" s="1"/>
  <c r="AM274" i="15"/>
  <c r="AN274" i="15" s="1"/>
  <c r="CA261" i="15"/>
  <c r="CC261" i="15" s="1"/>
  <c r="CD261" i="15" s="1"/>
  <c r="AM261" i="15"/>
  <c r="AN261" i="15" s="1"/>
  <c r="CA253" i="15"/>
  <c r="CC253" i="15" s="1"/>
  <c r="CD253" i="15" s="1"/>
  <c r="AM253" i="15"/>
  <c r="AN253" i="15" s="1"/>
  <c r="CA249" i="15"/>
  <c r="CC249" i="15" s="1"/>
  <c r="CD249" i="15" s="1"/>
  <c r="AM249" i="15"/>
  <c r="AN249" i="15" s="1"/>
  <c r="CA136" i="15"/>
  <c r="CC136" i="15" s="1"/>
  <c r="CD136" i="15" s="1"/>
  <c r="AM136" i="15"/>
  <c r="AN136" i="15" s="1"/>
  <c r="CA132" i="15"/>
  <c r="CC132" i="15" s="1"/>
  <c r="CD132" i="15" s="1"/>
  <c r="AM132" i="15"/>
  <c r="AN132" i="15" s="1"/>
  <c r="CA128" i="15"/>
  <c r="CC128" i="15" s="1"/>
  <c r="CD128" i="15" s="1"/>
  <c r="AM128" i="15"/>
  <c r="AN128" i="15" s="1"/>
  <c r="CA94" i="15"/>
  <c r="CC94" i="15" s="1"/>
  <c r="CD94" i="15" s="1"/>
  <c r="AM94" i="15"/>
  <c r="AN94" i="15" s="1"/>
  <c r="CA86" i="15"/>
  <c r="CC86" i="15" s="1"/>
  <c r="CD86" i="15" s="1"/>
  <c r="AM86" i="15"/>
  <c r="AN86" i="15" s="1"/>
  <c r="CA76" i="15"/>
  <c r="CC76" i="15" s="1"/>
  <c r="CD76" i="15" s="1"/>
  <c r="AM76" i="15"/>
  <c r="AN76" i="15" s="1"/>
  <c r="CA68" i="15"/>
  <c r="CC68" i="15" s="1"/>
  <c r="CD68" i="15" s="1"/>
  <c r="AM68" i="15"/>
  <c r="AN68" i="15" s="1"/>
  <c r="CA57" i="15"/>
  <c r="CC57" i="15" s="1"/>
  <c r="CD57" i="15" s="1"/>
  <c r="AM57" i="15"/>
  <c r="AN57" i="15" s="1"/>
  <c r="CA49" i="15"/>
  <c r="CC49" i="15" s="1"/>
  <c r="CD49" i="15" s="1"/>
  <c r="AM49" i="15"/>
  <c r="AN49" i="15" s="1"/>
  <c r="CA661" i="15"/>
  <c r="CC661" i="15" s="1"/>
  <c r="CD661" i="15" s="1"/>
  <c r="AM661" i="15"/>
  <c r="AN661" i="15" s="1"/>
  <c r="CA657" i="15"/>
  <c r="CC657" i="15" s="1"/>
  <c r="CD657" i="15" s="1"/>
  <c r="AM657" i="15"/>
  <c r="AN657" i="15" s="1"/>
  <c r="CA645" i="15"/>
  <c r="CC645" i="15" s="1"/>
  <c r="CD645" i="15" s="1"/>
  <c r="AM645" i="15"/>
  <c r="AN645" i="15" s="1"/>
  <c r="CA608" i="15"/>
  <c r="CC608" i="15" s="1"/>
  <c r="CD608" i="15" s="1"/>
  <c r="AM608" i="15"/>
  <c r="AN608" i="15" s="1"/>
  <c r="CA463" i="15"/>
  <c r="CC463" i="15" s="1"/>
  <c r="CD463" i="15" s="1"/>
  <c r="AM463" i="15"/>
  <c r="AN463" i="15" s="1"/>
  <c r="CA417" i="15"/>
  <c r="CC417" i="15" s="1"/>
  <c r="CD417" i="15" s="1"/>
  <c r="AM417" i="15"/>
  <c r="AN417" i="15" s="1"/>
  <c r="CA413" i="15"/>
  <c r="CC413" i="15" s="1"/>
  <c r="CD413" i="15" s="1"/>
  <c r="AM413" i="15"/>
  <c r="AN413" i="15" s="1"/>
  <c r="CA393" i="15"/>
  <c r="CC393" i="15" s="1"/>
  <c r="CD393" i="15" s="1"/>
  <c r="AM393" i="15"/>
  <c r="AN393" i="15" s="1"/>
  <c r="CA381" i="15"/>
  <c r="CC381" i="15" s="1"/>
  <c r="CD381" i="15" s="1"/>
  <c r="AM381" i="15"/>
  <c r="AN381" i="15" s="1"/>
  <c r="CA376" i="15"/>
  <c r="CC376" i="15" s="1"/>
  <c r="CD376" i="15" s="1"/>
  <c r="AM376" i="15"/>
  <c r="AN376" i="15" s="1"/>
  <c r="CA336" i="15"/>
  <c r="CC336" i="15" s="1"/>
  <c r="CD336" i="15" s="1"/>
  <c r="AM336" i="15"/>
  <c r="AN336" i="15" s="1"/>
  <c r="CA316" i="15"/>
  <c r="CC316" i="15" s="1"/>
  <c r="CD316" i="15" s="1"/>
  <c r="AM316" i="15"/>
  <c r="AN316" i="15" s="1"/>
  <c r="CA296" i="15"/>
  <c r="CC296" i="15" s="1"/>
  <c r="CD296" i="15" s="1"/>
  <c r="AM296" i="15"/>
  <c r="AN296" i="15" s="1"/>
  <c r="CA280" i="15"/>
  <c r="CC280" i="15" s="1"/>
  <c r="CD280" i="15" s="1"/>
  <c r="AM280" i="15"/>
  <c r="AN280" i="15" s="1"/>
  <c r="CA264" i="15"/>
  <c r="CC264" i="15" s="1"/>
  <c r="CD264" i="15" s="1"/>
  <c r="AM264" i="15"/>
  <c r="AN264" i="15" s="1"/>
  <c r="CA135" i="15"/>
  <c r="CC135" i="15" s="1"/>
  <c r="CD135" i="15" s="1"/>
  <c r="AM135" i="15"/>
  <c r="AN135" i="15" s="1"/>
  <c r="CA117" i="15"/>
  <c r="CC117" i="15" s="1"/>
  <c r="CD117" i="15" s="1"/>
  <c r="AM117" i="15"/>
  <c r="AN117" i="15" s="1"/>
  <c r="CA101" i="15"/>
  <c r="CC101" i="15" s="1"/>
  <c r="CD101" i="15" s="1"/>
  <c r="AM101" i="15"/>
  <c r="AN101" i="15" s="1"/>
  <c r="CA39" i="15"/>
  <c r="CC39" i="15" s="1"/>
  <c r="CD39" i="15" s="1"/>
  <c r="AM39" i="15"/>
  <c r="AN39" i="15" s="1"/>
  <c r="CA855" i="15"/>
  <c r="CC855" i="15" s="1"/>
  <c r="CD855" i="15" s="1"/>
  <c r="AM855" i="15"/>
  <c r="AN855" i="15" s="1"/>
  <c r="CA849" i="15"/>
  <c r="CC849" i="15" s="1"/>
  <c r="CD849" i="15" s="1"/>
  <c r="AM849" i="15"/>
  <c r="AN849" i="15" s="1"/>
  <c r="CA843" i="15"/>
  <c r="CC843" i="15" s="1"/>
  <c r="CD843" i="15" s="1"/>
  <c r="AM843" i="15"/>
  <c r="AN843" i="15" s="1"/>
  <c r="CA831" i="15"/>
  <c r="CC831" i="15" s="1"/>
  <c r="CD831" i="15" s="1"/>
  <c r="AM831" i="15"/>
  <c r="AN831" i="15" s="1"/>
  <c r="CA819" i="15"/>
  <c r="CC819" i="15" s="1"/>
  <c r="CD819" i="15" s="1"/>
  <c r="AM819" i="15"/>
  <c r="AN819" i="15" s="1"/>
  <c r="CA801" i="15"/>
  <c r="CC801" i="15" s="1"/>
  <c r="CD801" i="15" s="1"/>
  <c r="AM801" i="15"/>
  <c r="AN801" i="15" s="1"/>
  <c r="CA789" i="15"/>
  <c r="CC789" i="15" s="1"/>
  <c r="CD789" i="15" s="1"/>
  <c r="AM789" i="15"/>
  <c r="AN789" i="15" s="1"/>
  <c r="CA787" i="15"/>
  <c r="CC787" i="15" s="1"/>
  <c r="CD787" i="15" s="1"/>
  <c r="AM787" i="15"/>
  <c r="AN787" i="15" s="1"/>
  <c r="CA781" i="15"/>
  <c r="CC781" i="15" s="1"/>
  <c r="CD781" i="15" s="1"/>
  <c r="AM781" i="15"/>
  <c r="AN781" i="15" s="1"/>
  <c r="CA779" i="15"/>
  <c r="CC779" i="15" s="1"/>
  <c r="CD779" i="15" s="1"/>
  <c r="AM779" i="15"/>
  <c r="AN779" i="15" s="1"/>
  <c r="CA771" i="15"/>
  <c r="CC771" i="15" s="1"/>
  <c r="CD771" i="15" s="1"/>
  <c r="AM771" i="15"/>
  <c r="AN771" i="15" s="1"/>
  <c r="CA767" i="15"/>
  <c r="CC767" i="15" s="1"/>
  <c r="CD767" i="15" s="1"/>
  <c r="AM767" i="15"/>
  <c r="AN767" i="15" s="1"/>
  <c r="CA755" i="15"/>
  <c r="AM755" i="15"/>
  <c r="AN755" i="15" s="1"/>
  <c r="CA747" i="15"/>
  <c r="CC747" i="15" s="1"/>
  <c r="CD747" i="15" s="1"/>
  <c r="AM747" i="15"/>
  <c r="AN747" i="15" s="1"/>
  <c r="CA743" i="15"/>
  <c r="CC743" i="15" s="1"/>
  <c r="CD743" i="15" s="1"/>
  <c r="AM743" i="15"/>
  <c r="AN743" i="15" s="1"/>
  <c r="CA735" i="15"/>
  <c r="CC735" i="15" s="1"/>
  <c r="CD735" i="15" s="1"/>
  <c r="AM735" i="15"/>
  <c r="AN735" i="15" s="1"/>
  <c r="CA571" i="15"/>
  <c r="CC571" i="15" s="1"/>
  <c r="CD571" i="15" s="1"/>
  <c r="AM571" i="15"/>
  <c r="AN571" i="15" s="1"/>
  <c r="CA569" i="15"/>
  <c r="CC569" i="15" s="1"/>
  <c r="CD569" i="15" s="1"/>
  <c r="AM569" i="15"/>
  <c r="AN569" i="15" s="1"/>
  <c r="CA563" i="15"/>
  <c r="CC563" i="15" s="1"/>
  <c r="CD563" i="15" s="1"/>
  <c r="AM563" i="15"/>
  <c r="AN563" i="15" s="1"/>
  <c r="CA561" i="15"/>
  <c r="CC561" i="15" s="1"/>
  <c r="CD561" i="15" s="1"/>
  <c r="AM561" i="15"/>
  <c r="AN561" i="15" s="1"/>
  <c r="CA555" i="15"/>
  <c r="CC555" i="15" s="1"/>
  <c r="CD555" i="15" s="1"/>
  <c r="AM555" i="15"/>
  <c r="AN555" i="15" s="1"/>
  <c r="CA553" i="15"/>
  <c r="CC553" i="15" s="1"/>
  <c r="CD553" i="15" s="1"/>
  <c r="AM553" i="15"/>
  <c r="AN553" i="15" s="1"/>
  <c r="CA539" i="15"/>
  <c r="CC539" i="15" s="1"/>
  <c r="CD539" i="15" s="1"/>
  <c r="AM539" i="15"/>
  <c r="AN539" i="15" s="1"/>
  <c r="CA521" i="15"/>
  <c r="CC521" i="15" s="1"/>
  <c r="CD521" i="15" s="1"/>
  <c r="AM521" i="15"/>
  <c r="AN521" i="15" s="1"/>
  <c r="CA501" i="15"/>
  <c r="CC501" i="15" s="1"/>
  <c r="CD501" i="15" s="1"/>
  <c r="AM501" i="15"/>
  <c r="AN501" i="15" s="1"/>
  <c r="CA485" i="15"/>
  <c r="CC485" i="15" s="1"/>
  <c r="CD485" i="15" s="1"/>
  <c r="AM485" i="15"/>
  <c r="AN485" i="15" s="1"/>
  <c r="CA477" i="15"/>
  <c r="CC477" i="15" s="1"/>
  <c r="CD477" i="15" s="1"/>
  <c r="AM477" i="15"/>
  <c r="AN477" i="15" s="1"/>
  <c r="CA239" i="15"/>
  <c r="CC239" i="15" s="1"/>
  <c r="CD239" i="15" s="1"/>
  <c r="AM239" i="15"/>
  <c r="AN239" i="15" s="1"/>
  <c r="CA235" i="15"/>
  <c r="CC235" i="15" s="1"/>
  <c r="CD235" i="15" s="1"/>
  <c r="AM235" i="15"/>
  <c r="AN235" i="15" s="1"/>
  <c r="CA221" i="15"/>
  <c r="CC221" i="15" s="1"/>
  <c r="CD221" i="15" s="1"/>
  <c r="AM221" i="15"/>
  <c r="AN221" i="15" s="1"/>
  <c r="CA217" i="15"/>
  <c r="CC217" i="15" s="1"/>
  <c r="CD217" i="15" s="1"/>
  <c r="AM217" i="15"/>
  <c r="AN217" i="15" s="1"/>
  <c r="CA201" i="15"/>
  <c r="CC201" i="15" s="1"/>
  <c r="CD201" i="15" s="1"/>
  <c r="AM201" i="15"/>
  <c r="AN201" i="15" s="1"/>
  <c r="CA181" i="15"/>
  <c r="CC181" i="15" s="1"/>
  <c r="CD181" i="15" s="1"/>
  <c r="AM181" i="15"/>
  <c r="AN181" i="15" s="1"/>
  <c r="CA165" i="15"/>
  <c r="CC165" i="15" s="1"/>
  <c r="CD165" i="15" s="1"/>
  <c r="AM165" i="15"/>
  <c r="AN165" i="15" s="1"/>
  <c r="CA147" i="15"/>
  <c r="CC147" i="15" s="1"/>
  <c r="CD147" i="15" s="1"/>
  <c r="AM147" i="15"/>
  <c r="AN147" i="15" s="1"/>
  <c r="CA860" i="15"/>
  <c r="CC860" i="15" s="1"/>
  <c r="CD860" i="15" s="1"/>
  <c r="AM860" i="15"/>
  <c r="AN860" i="15" s="1"/>
  <c r="CA852" i="15"/>
  <c r="CC852" i="15" s="1"/>
  <c r="CD852" i="15" s="1"/>
  <c r="AM852" i="15"/>
  <c r="AN852" i="15" s="1"/>
  <c r="CA844" i="15"/>
  <c r="CC844" i="15" s="1"/>
  <c r="CD844" i="15" s="1"/>
  <c r="AM844" i="15"/>
  <c r="AN844" i="15" s="1"/>
  <c r="CA836" i="15"/>
  <c r="CC836" i="15" s="1"/>
  <c r="CD836" i="15" s="1"/>
  <c r="AM836" i="15"/>
  <c r="AN836" i="15" s="1"/>
  <c r="CA820" i="15"/>
  <c r="CC820" i="15" s="1"/>
  <c r="CD820" i="15" s="1"/>
  <c r="AM820" i="15"/>
  <c r="AN820" i="15" s="1"/>
  <c r="CA818" i="15"/>
  <c r="CC818" i="15" s="1"/>
  <c r="CD818" i="15" s="1"/>
  <c r="AM818" i="15"/>
  <c r="AN818" i="15" s="1"/>
  <c r="CA814" i="15"/>
  <c r="CC814" i="15" s="1"/>
  <c r="CD814" i="15" s="1"/>
  <c r="AM814" i="15"/>
  <c r="AN814" i="15" s="1"/>
  <c r="CA800" i="15"/>
  <c r="CC800" i="15" s="1"/>
  <c r="CD800" i="15" s="1"/>
  <c r="AM800" i="15"/>
  <c r="AN800" i="15" s="1"/>
  <c r="CA798" i="15"/>
  <c r="CC798" i="15" s="1"/>
  <c r="CD798" i="15" s="1"/>
  <c r="AM798" i="15"/>
  <c r="AN798" i="15" s="1"/>
  <c r="CA790" i="15"/>
  <c r="CC790" i="15" s="1"/>
  <c r="CD790" i="15" s="1"/>
  <c r="AM790" i="15"/>
  <c r="AN790" i="15" s="1"/>
  <c r="CA782" i="15"/>
  <c r="CC782" i="15" s="1"/>
  <c r="CD782" i="15" s="1"/>
  <c r="AM782" i="15"/>
  <c r="AN782" i="15" s="1"/>
  <c r="CA770" i="15"/>
  <c r="CC770" i="15" s="1"/>
  <c r="CD770" i="15" s="1"/>
  <c r="AM770" i="15"/>
  <c r="AN770" i="15" s="1"/>
  <c r="CA756" i="15"/>
  <c r="CC756" i="15" s="1"/>
  <c r="CD756" i="15" s="1"/>
  <c r="AM756" i="15"/>
  <c r="AN756" i="15" s="1"/>
  <c r="CA748" i="15"/>
  <c r="CC748" i="15" s="1"/>
  <c r="CD748" i="15" s="1"/>
  <c r="AM748" i="15"/>
  <c r="AN748" i="15" s="1"/>
  <c r="CA742" i="15"/>
  <c r="CC742" i="15" s="1"/>
  <c r="CD742" i="15" s="1"/>
  <c r="AM742" i="15"/>
  <c r="AN742" i="15" s="1"/>
  <c r="CA736" i="15"/>
  <c r="CC736" i="15" s="1"/>
  <c r="CD736" i="15" s="1"/>
  <c r="AM736" i="15"/>
  <c r="AN736" i="15" s="1"/>
  <c r="CA728" i="15"/>
  <c r="CC728" i="15" s="1"/>
  <c r="CD728" i="15" s="1"/>
  <c r="AM728" i="15"/>
  <c r="AN728" i="15" s="1"/>
  <c r="CA716" i="15"/>
  <c r="CC716" i="15" s="1"/>
  <c r="CD716" i="15" s="1"/>
  <c r="AM716" i="15"/>
  <c r="AN716" i="15" s="1"/>
  <c r="CA573" i="15"/>
  <c r="CC573" i="15" s="1"/>
  <c r="CD573" i="15" s="1"/>
  <c r="AM573" i="15"/>
  <c r="AN573" i="15" s="1"/>
  <c r="CA564" i="15"/>
  <c r="CC564" i="15" s="1"/>
  <c r="CD564" i="15" s="1"/>
  <c r="AM564" i="15"/>
  <c r="AN564" i="15" s="1"/>
  <c r="CA556" i="15"/>
  <c r="CC556" i="15" s="1"/>
  <c r="CD556" i="15" s="1"/>
  <c r="AM556" i="15"/>
  <c r="AN556" i="15" s="1"/>
  <c r="CA530" i="15"/>
  <c r="AM530" i="15"/>
  <c r="AN530" i="15" s="1"/>
  <c r="CA518" i="15"/>
  <c r="CC518" i="15" s="1"/>
  <c r="CD518" i="15" s="1"/>
  <c r="AM518" i="15"/>
  <c r="AN518" i="15" s="1"/>
  <c r="CA506" i="15"/>
  <c r="CC506" i="15" s="1"/>
  <c r="CD506" i="15" s="1"/>
  <c r="AM506" i="15"/>
  <c r="AN506" i="15" s="1"/>
  <c r="CA504" i="15"/>
  <c r="CC504" i="15" s="1"/>
  <c r="CD504" i="15" s="1"/>
  <c r="AM504" i="15"/>
  <c r="AN504" i="15" s="1"/>
  <c r="CA476" i="15"/>
  <c r="CC476" i="15" s="1"/>
  <c r="CD476" i="15" s="1"/>
  <c r="AM476" i="15"/>
  <c r="AN476" i="15" s="1"/>
  <c r="CA242" i="15"/>
  <c r="CC242" i="15" s="1"/>
  <c r="CD242" i="15" s="1"/>
  <c r="AM242" i="15"/>
  <c r="AN242" i="15" s="1"/>
  <c r="CA234" i="15"/>
  <c r="CC234" i="15" s="1"/>
  <c r="CD234" i="15" s="1"/>
  <c r="AM234" i="15"/>
  <c r="AN234" i="15" s="1"/>
  <c r="CA230" i="15"/>
  <c r="CC230" i="15" s="1"/>
  <c r="CD230" i="15" s="1"/>
  <c r="AM230" i="15"/>
  <c r="AN230" i="15" s="1"/>
  <c r="CA226" i="15"/>
  <c r="CC226" i="15" s="1"/>
  <c r="CD226" i="15" s="1"/>
  <c r="AM226" i="15"/>
  <c r="AN226" i="15" s="1"/>
  <c r="CA224" i="15"/>
  <c r="CC224" i="15" s="1"/>
  <c r="CD224" i="15" s="1"/>
  <c r="AM224" i="15"/>
  <c r="AN224" i="15" s="1"/>
  <c r="CA212" i="15"/>
  <c r="CC212" i="15" s="1"/>
  <c r="CD212" i="15" s="1"/>
  <c r="AM212" i="15"/>
  <c r="AN212" i="15" s="1"/>
  <c r="CA204" i="15"/>
  <c r="CC204" i="15" s="1"/>
  <c r="CD204" i="15" s="1"/>
  <c r="AM204" i="15"/>
  <c r="AN204" i="15" s="1"/>
  <c r="CA194" i="15"/>
  <c r="CC194" i="15" s="1"/>
  <c r="CD194" i="15" s="1"/>
  <c r="AM194" i="15"/>
  <c r="AN194" i="15" s="1"/>
  <c r="CA176" i="15"/>
  <c r="CC176" i="15" s="1"/>
  <c r="CD176" i="15" s="1"/>
  <c r="AM176" i="15"/>
  <c r="AN176" i="15" s="1"/>
  <c r="CA170" i="15"/>
  <c r="CC170" i="15" s="1"/>
  <c r="CD170" i="15" s="1"/>
  <c r="AM170" i="15"/>
  <c r="AN170" i="15" s="1"/>
  <c r="CA166" i="15"/>
  <c r="CC166" i="15" s="1"/>
  <c r="CD166" i="15" s="1"/>
  <c r="AM166" i="15"/>
  <c r="AN166" i="15" s="1"/>
  <c r="CA156" i="15"/>
  <c r="CC156" i="15" s="1"/>
  <c r="CD156" i="15" s="1"/>
  <c r="AM156" i="15"/>
  <c r="AN156" i="15" s="1"/>
  <c r="CA150" i="15"/>
  <c r="CC150" i="15" s="1"/>
  <c r="CD150" i="15" s="1"/>
  <c r="AM150" i="15"/>
  <c r="AN150" i="15" s="1"/>
  <c r="CA26" i="15"/>
  <c r="CC26" i="15" s="1"/>
  <c r="CD26" i="15" s="1"/>
  <c r="AM26" i="15"/>
  <c r="AN26" i="15" s="1"/>
  <c r="CA18" i="15"/>
  <c r="CC18" i="15" s="1"/>
  <c r="CD18" i="15" s="1"/>
  <c r="AM18" i="15"/>
  <c r="AN18" i="15" s="1"/>
  <c r="CA12" i="15"/>
  <c r="CC12" i="15" s="1"/>
  <c r="CD12" i="15" s="1"/>
  <c r="AM12" i="15"/>
  <c r="AN12" i="15" s="1"/>
  <c r="CA691" i="15"/>
  <c r="CC691" i="15" s="1"/>
  <c r="CD691" i="15" s="1"/>
  <c r="AM691" i="15"/>
  <c r="AN691" i="15" s="1"/>
  <c r="CA689" i="15"/>
  <c r="AM689" i="15"/>
  <c r="AN689" i="15" s="1"/>
  <c r="CA663" i="15"/>
  <c r="CC663" i="15" s="1"/>
  <c r="CD663" i="15" s="1"/>
  <c r="AM663" i="15"/>
  <c r="AN663" i="15" s="1"/>
  <c r="CA655" i="15"/>
  <c r="CC655" i="15" s="1"/>
  <c r="CD655" i="15" s="1"/>
  <c r="AM655" i="15"/>
  <c r="AN655" i="15" s="1"/>
  <c r="CA647" i="15"/>
  <c r="CC647" i="15" s="1"/>
  <c r="CD647" i="15" s="1"/>
  <c r="AM647" i="15"/>
  <c r="AN647" i="15" s="1"/>
  <c r="CA643" i="15"/>
  <c r="CC643" i="15" s="1"/>
  <c r="CD643" i="15" s="1"/>
  <c r="AM643" i="15"/>
  <c r="AN643" i="15" s="1"/>
  <c r="CA635" i="15"/>
  <c r="CC635" i="15" s="1"/>
  <c r="CD635" i="15" s="1"/>
  <c r="AM635" i="15"/>
  <c r="AN635" i="15" s="1"/>
  <c r="CA618" i="15"/>
  <c r="CC618" i="15" s="1"/>
  <c r="CD618" i="15" s="1"/>
  <c r="AM618" i="15"/>
  <c r="AN618" i="15" s="1"/>
  <c r="CA604" i="15"/>
  <c r="CC604" i="15" s="1"/>
  <c r="CD604" i="15" s="1"/>
  <c r="AM604" i="15"/>
  <c r="AN604" i="15" s="1"/>
  <c r="CA596" i="15"/>
  <c r="CC596" i="15" s="1"/>
  <c r="CD596" i="15" s="1"/>
  <c r="AM596" i="15"/>
  <c r="AN596" i="15" s="1"/>
  <c r="CA586" i="15"/>
  <c r="CC586" i="15" s="1"/>
  <c r="CD586" i="15" s="1"/>
  <c r="AM586" i="15"/>
  <c r="AN586" i="15" s="1"/>
  <c r="CA582" i="15"/>
  <c r="CC582" i="15" s="1"/>
  <c r="CD582" i="15" s="1"/>
  <c r="AM582" i="15"/>
  <c r="AN582" i="15" s="1"/>
  <c r="CA469" i="15"/>
  <c r="CC469" i="15" s="1"/>
  <c r="CD469" i="15" s="1"/>
  <c r="AM469" i="15"/>
  <c r="AN469" i="15" s="1"/>
  <c r="CA447" i="15"/>
  <c r="CC447" i="15" s="1"/>
  <c r="CD447" i="15" s="1"/>
  <c r="AM447" i="15"/>
  <c r="AN447" i="15" s="1"/>
  <c r="CA433" i="15"/>
  <c r="CC433" i="15" s="1"/>
  <c r="CD433" i="15" s="1"/>
  <c r="AM433" i="15"/>
  <c r="AN433" i="15" s="1"/>
  <c r="CA419" i="15"/>
  <c r="CC419" i="15" s="1"/>
  <c r="CD419" i="15" s="1"/>
  <c r="AM419" i="15"/>
  <c r="AN419" i="15" s="1"/>
  <c r="CA405" i="15"/>
  <c r="CC405" i="15" s="1"/>
  <c r="CD405" i="15" s="1"/>
  <c r="AM405" i="15"/>
  <c r="AN405" i="15" s="1"/>
  <c r="CA395" i="15"/>
  <c r="CC395" i="15" s="1"/>
  <c r="CD395" i="15" s="1"/>
  <c r="AM395" i="15"/>
  <c r="AN395" i="15" s="1"/>
  <c r="CA383" i="15"/>
  <c r="CC383" i="15" s="1"/>
  <c r="CD383" i="15" s="1"/>
  <c r="AM383" i="15"/>
  <c r="AN383" i="15" s="1"/>
  <c r="CA368" i="15"/>
  <c r="CC368" i="15" s="1"/>
  <c r="CD368" i="15" s="1"/>
  <c r="AM368" i="15"/>
  <c r="AN368" i="15" s="1"/>
  <c r="CA362" i="15"/>
  <c r="CC362" i="15" s="1"/>
  <c r="CD362" i="15" s="1"/>
  <c r="AM362" i="15"/>
  <c r="AN362" i="15" s="1"/>
  <c r="CA358" i="15"/>
  <c r="CC358" i="15" s="1"/>
  <c r="CD358" i="15" s="1"/>
  <c r="AM358" i="15"/>
  <c r="AN358" i="15" s="1"/>
  <c r="CA354" i="15"/>
  <c r="CC354" i="15" s="1"/>
  <c r="CD354" i="15" s="1"/>
  <c r="AM354" i="15"/>
  <c r="AN354" i="15" s="1"/>
  <c r="CA350" i="15"/>
  <c r="CC350" i="15" s="1"/>
  <c r="CD350" i="15" s="1"/>
  <c r="AM350" i="15"/>
  <c r="AN350" i="15" s="1"/>
  <c r="CA322" i="15"/>
  <c r="CC322" i="15" s="1"/>
  <c r="CD322" i="15" s="1"/>
  <c r="AM322" i="15"/>
  <c r="AN322" i="15" s="1"/>
  <c r="CA306" i="15"/>
  <c r="CC306" i="15" s="1"/>
  <c r="CD306" i="15" s="1"/>
  <c r="AM306" i="15"/>
  <c r="AN306" i="15" s="1"/>
  <c r="CA294" i="15"/>
  <c r="CC294" i="15" s="1"/>
  <c r="CD294" i="15" s="1"/>
  <c r="AM294" i="15"/>
  <c r="AN294" i="15" s="1"/>
  <c r="CA278" i="15"/>
  <c r="CC278" i="15" s="1"/>
  <c r="CD278" i="15" s="1"/>
  <c r="AM278" i="15"/>
  <c r="AN278" i="15" s="1"/>
  <c r="CA254" i="15"/>
  <c r="CC254" i="15" s="1"/>
  <c r="CD254" i="15" s="1"/>
  <c r="AM254" i="15"/>
  <c r="AN254" i="15" s="1"/>
  <c r="CA127" i="15"/>
  <c r="CC127" i="15" s="1"/>
  <c r="CD127" i="15" s="1"/>
  <c r="AM127" i="15"/>
  <c r="AN127" i="15" s="1"/>
  <c r="CA111" i="15"/>
  <c r="CC111" i="15" s="1"/>
  <c r="CD111" i="15" s="1"/>
  <c r="AM111" i="15"/>
  <c r="AN111" i="15" s="1"/>
  <c r="CA95" i="15"/>
  <c r="CC95" i="15" s="1"/>
  <c r="CD95" i="15" s="1"/>
  <c r="AM95" i="15"/>
  <c r="AN95" i="15" s="1"/>
  <c r="CA87" i="15"/>
  <c r="CC87" i="15" s="1"/>
  <c r="CD87" i="15" s="1"/>
  <c r="AM87" i="15"/>
  <c r="AN87" i="15" s="1"/>
  <c r="CA75" i="15"/>
  <c r="CC75" i="15" s="1"/>
  <c r="CD75" i="15" s="1"/>
  <c r="AM75" i="15"/>
  <c r="AN75" i="15" s="1"/>
  <c r="CA67" i="15"/>
  <c r="CC67" i="15" s="1"/>
  <c r="CD67" i="15" s="1"/>
  <c r="AM67" i="15"/>
  <c r="AN67" i="15" s="1"/>
  <c r="CA857" i="15"/>
  <c r="CC857" i="15" s="1"/>
  <c r="CD857" i="15" s="1"/>
  <c r="AM857" i="15"/>
  <c r="AN857" i="15" s="1"/>
  <c r="CA821" i="15"/>
  <c r="CC821" i="15" s="1"/>
  <c r="CD821" i="15" s="1"/>
  <c r="AM821" i="15"/>
  <c r="AN821" i="15" s="1"/>
  <c r="CA807" i="15"/>
  <c r="CC807" i="15" s="1"/>
  <c r="CD807" i="15" s="1"/>
  <c r="AM807" i="15"/>
  <c r="AN807" i="15" s="1"/>
  <c r="CA745" i="15"/>
  <c r="CC745" i="15" s="1"/>
  <c r="CD745" i="15" s="1"/>
  <c r="AM745" i="15"/>
  <c r="AN745" i="15" s="1"/>
  <c r="CA733" i="15"/>
  <c r="AM733" i="15"/>
  <c r="AN733" i="15" s="1"/>
  <c r="CA725" i="15"/>
  <c r="CC725" i="15" s="1"/>
  <c r="CD725" i="15" s="1"/>
  <c r="AM725" i="15"/>
  <c r="AN725" i="15" s="1"/>
  <c r="CA545" i="15"/>
  <c r="CC545" i="15" s="1"/>
  <c r="CD545" i="15" s="1"/>
  <c r="AM545" i="15"/>
  <c r="AN545" i="15" s="1"/>
  <c r="CA527" i="15"/>
  <c r="CC527" i="15" s="1"/>
  <c r="CD527" i="15" s="1"/>
  <c r="AM527" i="15"/>
  <c r="AN527" i="15" s="1"/>
  <c r="CA519" i="15"/>
  <c r="CC519" i="15" s="1"/>
  <c r="CD519" i="15" s="1"/>
  <c r="AM519" i="15"/>
  <c r="AN519" i="15" s="1"/>
  <c r="CA511" i="15"/>
  <c r="CC511" i="15" s="1"/>
  <c r="CD511" i="15" s="1"/>
  <c r="AM511" i="15"/>
  <c r="AN511" i="15" s="1"/>
  <c r="CA495" i="15"/>
  <c r="CC495" i="15" s="1"/>
  <c r="CD495" i="15" s="1"/>
  <c r="AM495" i="15"/>
  <c r="AN495" i="15" s="1"/>
  <c r="CA243" i="15"/>
  <c r="CC243" i="15" s="1"/>
  <c r="CD243" i="15" s="1"/>
  <c r="AM243" i="15"/>
  <c r="AN243" i="15" s="1"/>
  <c r="CA229" i="15"/>
  <c r="CC229" i="15" s="1"/>
  <c r="CD229" i="15" s="1"/>
  <c r="AM229" i="15"/>
  <c r="AN229" i="15" s="1"/>
  <c r="CA191" i="15"/>
  <c r="AM191" i="15"/>
  <c r="AN191" i="15" s="1"/>
  <c r="CA175" i="15"/>
  <c r="CC175" i="15" s="1"/>
  <c r="CD175" i="15" s="1"/>
  <c r="AM175" i="15"/>
  <c r="AN175" i="15" s="1"/>
  <c r="CA161" i="15"/>
  <c r="CC161" i="15" s="1"/>
  <c r="CD161" i="15" s="1"/>
  <c r="AM161" i="15"/>
  <c r="AN161" i="15" s="1"/>
  <c r="CA340" i="15"/>
  <c r="CC340" i="15" s="1"/>
  <c r="CD340" i="15" s="1"/>
  <c r="AM340" i="15"/>
  <c r="AN340" i="15" s="1"/>
  <c r="AI165" i="15"/>
  <c r="AI194" i="15"/>
  <c r="AI86" i="15"/>
  <c r="AI705" i="15"/>
  <c r="AI614" i="15"/>
  <c r="AI363" i="15"/>
  <c r="AI259" i="15"/>
  <c r="AI49" i="15"/>
  <c r="AI569" i="15"/>
  <c r="AI637" i="15"/>
  <c r="AI413" i="15"/>
  <c r="AI507" i="15"/>
  <c r="CE191" i="15"/>
  <c r="CF191" i="15" s="1"/>
  <c r="AI452" i="15"/>
  <c r="AI248" i="15"/>
  <c r="AI184" i="15"/>
  <c r="AI541" i="15"/>
  <c r="AI631" i="15"/>
  <c r="AI453" i="15"/>
  <c r="AI439" i="15"/>
  <c r="AI623" i="15"/>
  <c r="AI587" i="15"/>
  <c r="AI347" i="15"/>
  <c r="AI68" i="15"/>
  <c r="AI759" i="15"/>
  <c r="AI221" i="15"/>
  <c r="AI207" i="15"/>
  <c r="AI504" i="15"/>
  <c r="AI240" i="15"/>
  <c r="AI210" i="15"/>
  <c r="AI176" i="15"/>
  <c r="AI26" i="15"/>
  <c r="AI511" i="15"/>
  <c r="AI489" i="15"/>
  <c r="AI477" i="15"/>
  <c r="AI663" i="15"/>
  <c r="AI445" i="15"/>
  <c r="AI350" i="15"/>
  <c r="AI322" i="15"/>
  <c r="AI292" i="15"/>
  <c r="AI264" i="15"/>
  <c r="AI260" i="15"/>
  <c r="AI44" i="15"/>
  <c r="CE689" i="15"/>
  <c r="AI595" i="15"/>
  <c r="AI355" i="15"/>
  <c r="AI76" i="15"/>
  <c r="AI721" i="15"/>
  <c r="AI516" i="15"/>
  <c r="AI697" i="15"/>
  <c r="AI378" i="15"/>
  <c r="AI306" i="15"/>
  <c r="AI276" i="15"/>
  <c r="AI111" i="15"/>
  <c r="AI147" i="15"/>
  <c r="CE473" i="15"/>
  <c r="CE579" i="15"/>
  <c r="AI636" i="15"/>
  <c r="AI373" i="15"/>
  <c r="AI339" i="15"/>
  <c r="AI267" i="15"/>
  <c r="AI94" i="15"/>
  <c r="AI57" i="15"/>
  <c r="AI815" i="15"/>
  <c r="AI485" i="15"/>
  <c r="AI181" i="15"/>
  <c r="AI230" i="15"/>
  <c r="AI202" i="15"/>
  <c r="AI156" i="15"/>
  <c r="AI18" i="15"/>
  <c r="AI157" i="15"/>
  <c r="AI657" i="15"/>
  <c r="AH611" i="15"/>
  <c r="AI611" i="15" s="1"/>
  <c r="AK491" i="15"/>
  <c r="AL491" i="15"/>
  <c r="AK548" i="15"/>
  <c r="AL548" i="15"/>
  <c r="AL621" i="15"/>
  <c r="AK621" i="15"/>
  <c r="AK232" i="15"/>
  <c r="AL232" i="15"/>
  <c r="AL641" i="15"/>
  <c r="AK641" i="15"/>
  <c r="AD251" i="15"/>
  <c r="AE251" i="15" s="1"/>
  <c r="AG251" i="15" s="1"/>
  <c r="AK251" i="15"/>
  <c r="AL251" i="15"/>
  <c r="AL455" i="15"/>
  <c r="AK455" i="15"/>
  <c r="AK34" i="15"/>
  <c r="AL34" i="15"/>
  <c r="CB34" i="15" s="1"/>
  <c r="AK83" i="15"/>
  <c r="AL83" i="15"/>
  <c r="CB83" i="15" s="1"/>
  <c r="AH168" i="15"/>
  <c r="AI168" i="15" s="1"/>
  <c r="AL796" i="15"/>
  <c r="AK796" i="15"/>
  <c r="AL714" i="15"/>
  <c r="AK714" i="15"/>
  <c r="AL300" i="15"/>
  <c r="AK300" i="15"/>
  <c r="AD190" i="15"/>
  <c r="AE190" i="15" s="1"/>
  <c r="AG190" i="15" s="1"/>
  <c r="AK190" i="15"/>
  <c r="AL190" i="15"/>
  <c r="AL407" i="15"/>
  <c r="AK407" i="15"/>
  <c r="AL9" i="15"/>
  <c r="CB9" i="15" s="1"/>
  <c r="AK9" i="15"/>
  <c r="AK98" i="15"/>
  <c r="AL98" i="15"/>
  <c r="CB98" i="15" s="1"/>
  <c r="CE613" i="15"/>
  <c r="CF613" i="15" s="1"/>
  <c r="CE249" i="15"/>
  <c r="CF249" i="15" s="1"/>
  <c r="AL611" i="15"/>
  <c r="CB611" i="15" s="1"/>
  <c r="AK611" i="15"/>
  <c r="AK688" i="15"/>
  <c r="AL688" i="15"/>
  <c r="AK732" i="15"/>
  <c r="AL732" i="15"/>
  <c r="AD578" i="15"/>
  <c r="AE578" i="15" s="1"/>
  <c r="AG578" i="15" s="1"/>
  <c r="AL578" i="15"/>
  <c r="AK578" i="15"/>
  <c r="AD514" i="15"/>
  <c r="AE514" i="15" s="1"/>
  <c r="AG514" i="15" s="1"/>
  <c r="AK514" i="15"/>
  <c r="AL514" i="15"/>
  <c r="AK828" i="15"/>
  <c r="AL828" i="15"/>
  <c r="AL325" i="15"/>
  <c r="AK325" i="15"/>
  <c r="AL430" i="15"/>
  <c r="AK430" i="15"/>
  <c r="AD371" i="15"/>
  <c r="AE371" i="15" s="1"/>
  <c r="AG371" i="15" s="1"/>
  <c r="AK371" i="15"/>
  <c r="AL371" i="15"/>
  <c r="AK65" i="15"/>
  <c r="AL65" i="15"/>
  <c r="CB65" i="15" s="1"/>
  <c r="CE715" i="15"/>
  <c r="AH232" i="15"/>
  <c r="AI232" i="15" s="1"/>
  <c r="CE169" i="15"/>
  <c r="CF169" i="15" s="1"/>
  <c r="AH529" i="15"/>
  <c r="AI529" i="15" s="1"/>
  <c r="AI662" i="15"/>
  <c r="AI654" i="15"/>
  <c r="AI646" i="15"/>
  <c r="AI638" i="15"/>
  <c r="AI615" i="15"/>
  <c r="AI605" i="15"/>
  <c r="AI597" i="15"/>
  <c r="AI589" i="15"/>
  <c r="AI581" i="15"/>
  <c r="AI462" i="15"/>
  <c r="AI442" i="15"/>
  <c r="AI432" i="15"/>
  <c r="AI390" i="15"/>
  <c r="AI375" i="15"/>
  <c r="AI365" i="15"/>
  <c r="AI357" i="15"/>
  <c r="AI349" i="15"/>
  <c r="AI341" i="15"/>
  <c r="AI333" i="15"/>
  <c r="AI261" i="15"/>
  <c r="AI253" i="15"/>
  <c r="AI138" i="15"/>
  <c r="AI96" i="15"/>
  <c r="AI88" i="15"/>
  <c r="AI78" i="15"/>
  <c r="AI70" i="15"/>
  <c r="AI59" i="15"/>
  <c r="AI51" i="15"/>
  <c r="AI36" i="15"/>
  <c r="AI821" i="15"/>
  <c r="AI787" i="15"/>
  <c r="AI767" i="15"/>
  <c r="AI745" i="15"/>
  <c r="AI727" i="15"/>
  <c r="AI563" i="15"/>
  <c r="AI509" i="15"/>
  <c r="AI247" i="15"/>
  <c r="AI229" i="15"/>
  <c r="AI201" i="15"/>
  <c r="AI175" i="15"/>
  <c r="AI858" i="15"/>
  <c r="AI850" i="15"/>
  <c r="AI842" i="15"/>
  <c r="AI834" i="15"/>
  <c r="AI812" i="15"/>
  <c r="AI798" i="15"/>
  <c r="AI788" i="15"/>
  <c r="AI770" i="15"/>
  <c r="AI762" i="15"/>
  <c r="AI756" i="15"/>
  <c r="AI716" i="15"/>
  <c r="AI570" i="15"/>
  <c r="AI562" i="15"/>
  <c r="AI554" i="15"/>
  <c r="AI544" i="15"/>
  <c r="AI536" i="15"/>
  <c r="AI518" i="15"/>
  <c r="AI506" i="15"/>
  <c r="AI242" i="15"/>
  <c r="AI234" i="15"/>
  <c r="AI226" i="15"/>
  <c r="AI212" i="15"/>
  <c r="AI204" i="15"/>
  <c r="AI196" i="15"/>
  <c r="AI186" i="15"/>
  <c r="AI178" i="15"/>
  <c r="AI170" i="15"/>
  <c r="AI152" i="15"/>
  <c r="AI28" i="15"/>
  <c r="AI20" i="15"/>
  <c r="AI12" i="15"/>
  <c r="AI39" i="15"/>
  <c r="AI845" i="15"/>
  <c r="AI801" i="15"/>
  <c r="AI737" i="15"/>
  <c r="AI571" i="15"/>
  <c r="AI561" i="15"/>
  <c r="AI553" i="15"/>
  <c r="AI535" i="15"/>
  <c r="AI243" i="15"/>
  <c r="AI179" i="15"/>
  <c r="AI161" i="15"/>
  <c r="AI707" i="15"/>
  <c r="AI699" i="15"/>
  <c r="AI691" i="15"/>
  <c r="AI661" i="15"/>
  <c r="AI647" i="15"/>
  <c r="AI635" i="15"/>
  <c r="AI628" i="15"/>
  <c r="AI624" i="15"/>
  <c r="AI457" i="15"/>
  <c r="AI447" i="15"/>
  <c r="AI423" i="15"/>
  <c r="AI419" i="15"/>
  <c r="AI381" i="15"/>
  <c r="AI366" i="15"/>
  <c r="AI316" i="15"/>
  <c r="AI312" i="15"/>
  <c r="AI294" i="15"/>
  <c r="AI290" i="15"/>
  <c r="AI278" i="15"/>
  <c r="AI275" i="15"/>
  <c r="AI258" i="15"/>
  <c r="AI254" i="15"/>
  <c r="AI135" i="15"/>
  <c r="AI127" i="15"/>
  <c r="AI121" i="15"/>
  <c r="AI117" i="15"/>
  <c r="AI105" i="15"/>
  <c r="AI101" i="15"/>
  <c r="AI67" i="15"/>
  <c r="AI849" i="15"/>
  <c r="AI817" i="15"/>
  <c r="AI803" i="15"/>
  <c r="AI725" i="15"/>
  <c r="AI545" i="15"/>
  <c r="AI501" i="15"/>
  <c r="AI487" i="15"/>
  <c r="AI235" i="15"/>
  <c r="AI205" i="15"/>
  <c r="AI151" i="15"/>
  <c r="AL776" i="15"/>
  <c r="AK776" i="15"/>
  <c r="AL271" i="15"/>
  <c r="AK271" i="15"/>
  <c r="AD668" i="15"/>
  <c r="AE668" i="15" s="1"/>
  <c r="AG668" i="15" s="1"/>
  <c r="AL668" i="15"/>
  <c r="AK668" i="15"/>
  <c r="AK168" i="15"/>
  <c r="AL168" i="15"/>
  <c r="AD754" i="15"/>
  <c r="AE754" i="15" s="1"/>
  <c r="AG754" i="15" s="1"/>
  <c r="AL754" i="15"/>
  <c r="AK754" i="15"/>
  <c r="AK42" i="15"/>
  <c r="AL42" i="15"/>
  <c r="CB42" i="15" s="1"/>
  <c r="AL472" i="15"/>
  <c r="AK472" i="15"/>
  <c r="AJ99" i="15"/>
  <c r="BO99" i="15" s="1"/>
  <c r="BP99" i="15" s="1"/>
  <c r="BQ99" i="15" s="1"/>
  <c r="AD145" i="15"/>
  <c r="AE145" i="15" s="1"/>
  <c r="AG145" i="15" s="1"/>
  <c r="AK145" i="15"/>
  <c r="AL145" i="15"/>
  <c r="AL529" i="15"/>
  <c r="AK529" i="15"/>
  <c r="AK219" i="15"/>
  <c r="AL219" i="15"/>
  <c r="AK125" i="15"/>
  <c r="AL125" i="15"/>
  <c r="CB125" i="15" s="1"/>
  <c r="AH190" i="15"/>
  <c r="AI190" i="15" s="1"/>
  <c r="CE530" i="15"/>
  <c r="AH251" i="15"/>
  <c r="AI251" i="15" s="1"/>
  <c r="BW749" i="15"/>
  <c r="BX749" i="15" s="1"/>
  <c r="BW586" i="15"/>
  <c r="BX586" i="15" s="1"/>
  <c r="BW763" i="15"/>
  <c r="BX763" i="15" s="1"/>
  <c r="BW625" i="15"/>
  <c r="BX625" i="15" s="1"/>
  <c r="BW596" i="15"/>
  <c r="BX596" i="15" s="1"/>
  <c r="BW755" i="15"/>
  <c r="BX755" i="15" s="1"/>
  <c r="BU608" i="15"/>
  <c r="BV608" i="15" s="1"/>
  <c r="BU592" i="15"/>
  <c r="BV592" i="15" s="1"/>
  <c r="BU726" i="15"/>
  <c r="BV726" i="15" s="1"/>
  <c r="BU600" i="15"/>
  <c r="BV600" i="15" s="1"/>
  <c r="BU582" i="15"/>
  <c r="BV582" i="15" s="1"/>
  <c r="BU769" i="15"/>
  <c r="BV769" i="15" s="1"/>
  <c r="BU741" i="15"/>
  <c r="BV741" i="15" s="1"/>
  <c r="BU774" i="15"/>
  <c r="BV774" i="15" s="1"/>
  <c r="BU505" i="15"/>
  <c r="BV505" i="15" s="1"/>
  <c r="AE836" i="15"/>
  <c r="AJ836" i="15"/>
  <c r="BO836" i="15" s="1"/>
  <c r="BP836" i="15" s="1"/>
  <c r="BQ836" i="15" s="1"/>
  <c r="AE807" i="15"/>
  <c r="AG807" i="15" s="1"/>
  <c r="AJ807" i="15"/>
  <c r="BO807" i="15" s="1"/>
  <c r="BP807" i="15" s="1"/>
  <c r="BQ807" i="15" s="1"/>
  <c r="AE838" i="15"/>
  <c r="AJ838" i="15"/>
  <c r="BO838" i="15" s="1"/>
  <c r="BP838" i="15" s="1"/>
  <c r="BQ838" i="15" s="1"/>
  <c r="AE834" i="15"/>
  <c r="AJ834" i="15"/>
  <c r="BO834" i="15" s="1"/>
  <c r="BP834" i="15" s="1"/>
  <c r="BQ834" i="15" s="1"/>
  <c r="AE793" i="15"/>
  <c r="AG793" i="15" s="1"/>
  <c r="AJ793" i="15"/>
  <c r="BO793" i="15" s="1"/>
  <c r="BP793" i="15" s="1"/>
  <c r="BQ793" i="15" s="1"/>
  <c r="AE840" i="15"/>
  <c r="AJ840" i="15"/>
  <c r="BO840" i="15" s="1"/>
  <c r="BP840" i="15" s="1"/>
  <c r="BQ840" i="15" s="1"/>
  <c r="AE803" i="15"/>
  <c r="AG803" i="15" s="1"/>
  <c r="AJ803" i="15"/>
  <c r="BO803" i="15" s="1"/>
  <c r="BP803" i="15" s="1"/>
  <c r="BQ803" i="15" s="1"/>
  <c r="AE858" i="15"/>
  <c r="AJ858" i="15"/>
  <c r="BO858" i="15" s="1"/>
  <c r="BP858" i="15" s="1"/>
  <c r="BQ858" i="15" s="1"/>
  <c r="AE816" i="15"/>
  <c r="AG816" i="15" s="1"/>
  <c r="AJ816" i="15"/>
  <c r="BO816" i="15" s="1"/>
  <c r="BP816" i="15" s="1"/>
  <c r="BQ816" i="15" s="1"/>
  <c r="AE792" i="15"/>
  <c r="AG792" i="15" s="1"/>
  <c r="AJ792" i="15"/>
  <c r="BO792" i="15" s="1"/>
  <c r="BP792" i="15" s="1"/>
  <c r="BQ792" i="15" s="1"/>
  <c r="AE783" i="15"/>
  <c r="AG783" i="15" s="1"/>
  <c r="AJ783" i="15"/>
  <c r="BO783" i="15" s="1"/>
  <c r="BP783" i="15" s="1"/>
  <c r="BQ783" i="15" s="1"/>
  <c r="AE739" i="15"/>
  <c r="AG739" i="15" s="1"/>
  <c r="AJ739" i="15"/>
  <c r="BO739" i="15" s="1"/>
  <c r="BP739" i="15" s="1"/>
  <c r="BQ739" i="15" s="1"/>
  <c r="AE680" i="15"/>
  <c r="AG680" i="15" s="1"/>
  <c r="AJ680" i="15"/>
  <c r="BO680" i="15" s="1"/>
  <c r="BP680" i="15" s="1"/>
  <c r="BQ680" i="15" s="1"/>
  <c r="AE676" i="15"/>
  <c r="AG676" i="15" s="1"/>
  <c r="AJ676" i="15"/>
  <c r="BO676" i="15" s="1"/>
  <c r="BP676" i="15" s="1"/>
  <c r="BQ676" i="15" s="1"/>
  <c r="AE672" i="15"/>
  <c r="AG672" i="15" s="1"/>
  <c r="AJ672" i="15"/>
  <c r="BO672" i="15" s="1"/>
  <c r="BP672" i="15" s="1"/>
  <c r="BQ672" i="15" s="1"/>
  <c r="AE768" i="15"/>
  <c r="AG768" i="15" s="1"/>
  <c r="AJ768" i="15"/>
  <c r="BO768" i="15" s="1"/>
  <c r="BP768" i="15" s="1"/>
  <c r="BQ768" i="15" s="1"/>
  <c r="AE725" i="15"/>
  <c r="AG725" i="15" s="1"/>
  <c r="AJ725" i="15"/>
  <c r="BO725" i="15" s="1"/>
  <c r="BP725" i="15" s="1"/>
  <c r="BQ725" i="15" s="1"/>
  <c r="AE781" i="15"/>
  <c r="AG781" i="15" s="1"/>
  <c r="AJ781" i="15"/>
  <c r="BO781" i="15" s="1"/>
  <c r="BP781" i="15" s="1"/>
  <c r="BQ781" i="15" s="1"/>
  <c r="AE756" i="15"/>
  <c r="AG756" i="15" s="1"/>
  <c r="AJ756" i="15"/>
  <c r="BO756" i="15" s="1"/>
  <c r="BP756" i="15" s="1"/>
  <c r="BQ756" i="15" s="1"/>
  <c r="AE729" i="15"/>
  <c r="AG729" i="15" s="1"/>
  <c r="AJ729" i="15"/>
  <c r="BO729" i="15" s="1"/>
  <c r="BP729" i="15" s="1"/>
  <c r="BQ729" i="15" s="1"/>
  <c r="AE695" i="15"/>
  <c r="AG695" i="15" s="1"/>
  <c r="AJ695" i="15"/>
  <c r="BO695" i="15" s="1"/>
  <c r="BP695" i="15" s="1"/>
  <c r="BQ695" i="15" s="1"/>
  <c r="AE651" i="15"/>
  <c r="AG651" i="15" s="1"/>
  <c r="AJ651" i="15"/>
  <c r="BO651" i="15" s="1"/>
  <c r="BP651" i="15" s="1"/>
  <c r="BQ651" i="15" s="1"/>
  <c r="AE574" i="15"/>
  <c r="AG574" i="15" s="1"/>
  <c r="AJ574" i="15"/>
  <c r="BO574" i="15" s="1"/>
  <c r="BP574" i="15" s="1"/>
  <c r="BQ574" i="15" s="1"/>
  <c r="AE709" i="15"/>
  <c r="AG709" i="15" s="1"/>
  <c r="AJ709" i="15"/>
  <c r="BO709" i="15" s="1"/>
  <c r="BP709" i="15" s="1"/>
  <c r="BQ709" i="15" s="1"/>
  <c r="AE660" i="15"/>
  <c r="AG660" i="15" s="1"/>
  <c r="AJ660" i="15"/>
  <c r="BO660" i="15" s="1"/>
  <c r="BP660" i="15" s="1"/>
  <c r="BQ660" i="15" s="1"/>
  <c r="AE575" i="15"/>
  <c r="AG575" i="15" s="1"/>
  <c r="AJ575" i="15"/>
  <c r="BO575" i="15" s="1"/>
  <c r="BP575" i="15" s="1"/>
  <c r="BQ575" i="15" s="1"/>
  <c r="AE607" i="15"/>
  <c r="AG607" i="15" s="1"/>
  <c r="AJ607" i="15"/>
  <c r="BO607" i="15" s="1"/>
  <c r="BP607" i="15" s="1"/>
  <c r="BQ607" i="15" s="1"/>
  <c r="AE591" i="15"/>
  <c r="AG591" i="15" s="1"/>
  <c r="AJ591" i="15"/>
  <c r="BO591" i="15" s="1"/>
  <c r="BP591" i="15" s="1"/>
  <c r="BQ591" i="15" s="1"/>
  <c r="AE502" i="15"/>
  <c r="AG502" i="15" s="1"/>
  <c r="AJ502" i="15"/>
  <c r="BO502" i="15" s="1"/>
  <c r="BP502" i="15" s="1"/>
  <c r="BQ502" i="15" s="1"/>
  <c r="AE401" i="15"/>
  <c r="AG401" i="15" s="1"/>
  <c r="AJ401" i="15"/>
  <c r="BO401" i="15" s="1"/>
  <c r="BP401" i="15" s="1"/>
  <c r="BQ401" i="15" s="1"/>
  <c r="AE645" i="15"/>
  <c r="AG645" i="15" s="1"/>
  <c r="AJ645" i="15"/>
  <c r="BO645" i="15" s="1"/>
  <c r="BP645" i="15" s="1"/>
  <c r="BQ645" i="15" s="1"/>
  <c r="AE622" i="15"/>
  <c r="AG622" i="15" s="1"/>
  <c r="AJ622" i="15"/>
  <c r="AE517" i="15"/>
  <c r="AG517" i="15" s="1"/>
  <c r="AJ517" i="15"/>
  <c r="BO517" i="15" s="1"/>
  <c r="BP517" i="15" s="1"/>
  <c r="BQ517" i="15" s="1"/>
  <c r="AE492" i="15"/>
  <c r="AG492" i="15" s="1"/>
  <c r="AJ492" i="15"/>
  <c r="AE484" i="15"/>
  <c r="AG484" i="15" s="1"/>
  <c r="AJ484" i="15"/>
  <c r="BO484" i="15" s="1"/>
  <c r="BP484" i="15" s="1"/>
  <c r="BQ484" i="15" s="1"/>
  <c r="AE476" i="15"/>
  <c r="AG476" i="15" s="1"/>
  <c r="AJ476" i="15"/>
  <c r="BO476" i="15" s="1"/>
  <c r="BP476" i="15" s="1"/>
  <c r="BQ476" i="15" s="1"/>
  <c r="AE436" i="15"/>
  <c r="AG436" i="15" s="1"/>
  <c r="AJ436" i="15"/>
  <c r="BO436" i="15" s="1"/>
  <c r="BP436" i="15" s="1"/>
  <c r="BQ436" i="15" s="1"/>
  <c r="AE422" i="15"/>
  <c r="AG422" i="15" s="1"/>
  <c r="AJ422" i="15"/>
  <c r="BO422" i="15" s="1"/>
  <c r="BP422" i="15" s="1"/>
  <c r="BQ422" i="15" s="1"/>
  <c r="AE414" i="15"/>
  <c r="AG414" i="15" s="1"/>
  <c r="AJ414" i="15"/>
  <c r="BO414" i="15" s="1"/>
  <c r="BP414" i="15" s="1"/>
  <c r="BQ414" i="15" s="1"/>
  <c r="AE399" i="15"/>
  <c r="AG399" i="15" s="1"/>
  <c r="AJ399" i="15"/>
  <c r="BO399" i="15" s="1"/>
  <c r="BP399" i="15" s="1"/>
  <c r="BQ399" i="15" s="1"/>
  <c r="AE699" i="15"/>
  <c r="AG699" i="15" s="1"/>
  <c r="AJ699" i="15"/>
  <c r="BO699" i="15" s="1"/>
  <c r="BP699" i="15" s="1"/>
  <c r="BQ699" i="15" s="1"/>
  <c r="AE646" i="15"/>
  <c r="AG646" i="15" s="1"/>
  <c r="AJ646" i="15"/>
  <c r="BO646" i="15" s="1"/>
  <c r="BP646" i="15" s="1"/>
  <c r="BQ646" i="15" s="1"/>
  <c r="AE597" i="15"/>
  <c r="AG597" i="15" s="1"/>
  <c r="AJ597" i="15"/>
  <c r="BO597" i="15" s="1"/>
  <c r="BP597" i="15" s="1"/>
  <c r="BQ597" i="15" s="1"/>
  <c r="AE581" i="15"/>
  <c r="AG581" i="15" s="1"/>
  <c r="AJ581" i="15"/>
  <c r="BO581" i="15" s="1"/>
  <c r="BP581" i="15" s="1"/>
  <c r="BQ581" i="15" s="1"/>
  <c r="AE639" i="15"/>
  <c r="AG639" i="15" s="1"/>
  <c r="AJ639" i="15"/>
  <c r="BO639" i="15" s="1"/>
  <c r="BP639" i="15" s="1"/>
  <c r="BQ639" i="15" s="1"/>
  <c r="AE535" i="15"/>
  <c r="AG535" i="15" s="1"/>
  <c r="AJ535" i="15"/>
  <c r="BO535" i="15" s="1"/>
  <c r="BP535" i="15" s="1"/>
  <c r="BQ535" i="15" s="1"/>
  <c r="AE485" i="15"/>
  <c r="AG485" i="15" s="1"/>
  <c r="AJ485" i="15"/>
  <c r="BO485" i="15" s="1"/>
  <c r="BP485" i="15" s="1"/>
  <c r="BQ485" i="15" s="1"/>
  <c r="AE437" i="15"/>
  <c r="AG437" i="15" s="1"/>
  <c r="AJ437" i="15"/>
  <c r="BO437" i="15" s="1"/>
  <c r="BP437" i="15" s="1"/>
  <c r="BQ437" i="15" s="1"/>
  <c r="AE397" i="15"/>
  <c r="AG397" i="15" s="1"/>
  <c r="AJ397" i="15"/>
  <c r="BO397" i="15" s="1"/>
  <c r="BP397" i="15" s="1"/>
  <c r="BQ397" i="15" s="1"/>
  <c r="AE382" i="15"/>
  <c r="AG382" i="15" s="1"/>
  <c r="AJ382" i="15"/>
  <c r="BO382" i="15" s="1"/>
  <c r="BP382" i="15" s="1"/>
  <c r="BQ382" i="15" s="1"/>
  <c r="AE323" i="15"/>
  <c r="AG323" i="15" s="1"/>
  <c r="AJ323" i="15"/>
  <c r="BO323" i="15" s="1"/>
  <c r="BP323" i="15" s="1"/>
  <c r="BQ323" i="15" s="1"/>
  <c r="AE307" i="15"/>
  <c r="AG307" i="15" s="1"/>
  <c r="AJ307" i="15"/>
  <c r="BO307" i="15" s="1"/>
  <c r="BP307" i="15" s="1"/>
  <c r="BQ307" i="15" s="1"/>
  <c r="AE782" i="15"/>
  <c r="AG782" i="15" s="1"/>
  <c r="AJ782" i="15"/>
  <c r="BO782" i="15" s="1"/>
  <c r="BP782" i="15" s="1"/>
  <c r="BQ782" i="15" s="1"/>
  <c r="AE507" i="15"/>
  <c r="AG507" i="15" s="1"/>
  <c r="AJ507" i="15"/>
  <c r="BO507" i="15" s="1"/>
  <c r="BP507" i="15" s="1"/>
  <c r="BQ507" i="15" s="1"/>
  <c r="AE385" i="15"/>
  <c r="AG385" i="15" s="1"/>
  <c r="AJ385" i="15"/>
  <c r="BO385" i="15" s="1"/>
  <c r="BP385" i="15" s="1"/>
  <c r="BQ385" i="15" s="1"/>
  <c r="AE648" i="15"/>
  <c r="AG648" i="15" s="1"/>
  <c r="AJ648" i="15"/>
  <c r="BO648" i="15" s="1"/>
  <c r="BP648" i="15" s="1"/>
  <c r="BQ648" i="15" s="1"/>
  <c r="AE540" i="15"/>
  <c r="AG540" i="15" s="1"/>
  <c r="AJ540" i="15"/>
  <c r="BO540" i="15" s="1"/>
  <c r="BP540" i="15" s="1"/>
  <c r="BQ540" i="15" s="1"/>
  <c r="AE483" i="15"/>
  <c r="AG483" i="15" s="1"/>
  <c r="AJ483" i="15"/>
  <c r="BO483" i="15" s="1"/>
  <c r="BP483" i="15" s="1"/>
  <c r="BQ483" i="15" s="1"/>
  <c r="AE450" i="15"/>
  <c r="AG450" i="15" s="1"/>
  <c r="AJ450" i="15"/>
  <c r="BO450" i="15" s="1"/>
  <c r="BP450" i="15" s="1"/>
  <c r="BQ450" i="15" s="1"/>
  <c r="AE431" i="15"/>
  <c r="AG431" i="15" s="1"/>
  <c r="AJ431" i="15"/>
  <c r="AE398" i="15"/>
  <c r="AG398" i="15" s="1"/>
  <c r="AJ398" i="15"/>
  <c r="BO398" i="15" s="1"/>
  <c r="BP398" i="15" s="1"/>
  <c r="BQ398" i="15" s="1"/>
  <c r="AE375" i="15"/>
  <c r="AG375" i="15" s="1"/>
  <c r="AJ375" i="15"/>
  <c r="BO375" i="15" s="1"/>
  <c r="BP375" i="15" s="1"/>
  <c r="BQ375" i="15" s="1"/>
  <c r="AE308" i="15"/>
  <c r="AG308" i="15" s="1"/>
  <c r="AJ308" i="15"/>
  <c r="BO308" i="15" s="1"/>
  <c r="BP308" i="15" s="1"/>
  <c r="BQ308" i="15" s="1"/>
  <c r="AE820" i="15"/>
  <c r="AG820" i="15" s="1"/>
  <c r="AJ820" i="15"/>
  <c r="BO820" i="15" s="1"/>
  <c r="BP820" i="15" s="1"/>
  <c r="BQ820" i="15" s="1"/>
  <c r="AE530" i="15"/>
  <c r="AG530" i="15" s="1"/>
  <c r="AJ530" i="15"/>
  <c r="AE479" i="15"/>
  <c r="AG479" i="15" s="1"/>
  <c r="AJ479" i="15"/>
  <c r="BO479" i="15" s="1"/>
  <c r="BP479" i="15" s="1"/>
  <c r="BQ479" i="15" s="1"/>
  <c r="AE411" i="15"/>
  <c r="AG411" i="15" s="1"/>
  <c r="AJ411" i="15"/>
  <c r="BO411" i="15" s="1"/>
  <c r="BP411" i="15" s="1"/>
  <c r="BQ411" i="15" s="1"/>
  <c r="AE663" i="15"/>
  <c r="AG663" i="15" s="1"/>
  <c r="AJ663" i="15"/>
  <c r="BO663" i="15" s="1"/>
  <c r="BP663" i="15" s="1"/>
  <c r="BQ663" i="15" s="1"/>
  <c r="AE541" i="15"/>
  <c r="AG541" i="15" s="1"/>
  <c r="AJ541" i="15"/>
  <c r="BO541" i="15" s="1"/>
  <c r="BP541" i="15" s="1"/>
  <c r="BQ541" i="15" s="1"/>
  <c r="AE506" i="15"/>
  <c r="AG506" i="15" s="1"/>
  <c r="AJ506" i="15"/>
  <c r="BO506" i="15" s="1"/>
  <c r="BP506" i="15" s="1"/>
  <c r="BQ506" i="15" s="1"/>
  <c r="AE481" i="15"/>
  <c r="AG481" i="15" s="1"/>
  <c r="AJ481" i="15"/>
  <c r="BO481" i="15" s="1"/>
  <c r="BP481" i="15" s="1"/>
  <c r="BQ481" i="15" s="1"/>
  <c r="AE464" i="15"/>
  <c r="AG464" i="15" s="1"/>
  <c r="AJ464" i="15"/>
  <c r="BO464" i="15" s="1"/>
  <c r="BP464" i="15" s="1"/>
  <c r="BQ464" i="15" s="1"/>
  <c r="AE439" i="15"/>
  <c r="AG439" i="15" s="1"/>
  <c r="AJ439" i="15"/>
  <c r="BO439" i="15" s="1"/>
  <c r="BP439" i="15" s="1"/>
  <c r="BQ439" i="15" s="1"/>
  <c r="AE405" i="15"/>
  <c r="AG405" i="15" s="1"/>
  <c r="AJ405" i="15"/>
  <c r="BO405" i="15" s="1"/>
  <c r="BP405" i="15" s="1"/>
  <c r="BQ405" i="15" s="1"/>
  <c r="AE379" i="15"/>
  <c r="AG379" i="15" s="1"/>
  <c r="AJ379" i="15"/>
  <c r="BO379" i="15" s="1"/>
  <c r="BP379" i="15" s="1"/>
  <c r="BQ379" i="15" s="1"/>
  <c r="AE317" i="15"/>
  <c r="AG317" i="15" s="1"/>
  <c r="AJ317" i="15"/>
  <c r="BO317" i="15" s="1"/>
  <c r="BP317" i="15" s="1"/>
  <c r="BQ317" i="15" s="1"/>
  <c r="AE301" i="15"/>
  <c r="AG301" i="15" s="1"/>
  <c r="AJ301" i="15"/>
  <c r="AE223" i="15"/>
  <c r="AG223" i="15" s="1"/>
  <c r="AJ223" i="15"/>
  <c r="BO223" i="15" s="1"/>
  <c r="BP223" i="15" s="1"/>
  <c r="BQ223" i="15" s="1"/>
  <c r="AE162" i="15"/>
  <c r="AG162" i="15" s="1"/>
  <c r="AJ162" i="15"/>
  <c r="BO162" i="15" s="1"/>
  <c r="BP162" i="15" s="1"/>
  <c r="BQ162" i="15" s="1"/>
  <c r="AE813" i="15"/>
  <c r="AG813" i="15" s="1"/>
  <c r="AJ813" i="15"/>
  <c r="BO813" i="15" s="1"/>
  <c r="BP813" i="15" s="1"/>
  <c r="BQ813" i="15" s="1"/>
  <c r="AE546" i="15"/>
  <c r="AG546" i="15" s="1"/>
  <c r="AJ546" i="15"/>
  <c r="BO546" i="15" s="1"/>
  <c r="BP546" i="15" s="1"/>
  <c r="BQ546" i="15" s="1"/>
  <c r="AE458" i="15"/>
  <c r="AG458" i="15" s="1"/>
  <c r="AJ458" i="15"/>
  <c r="BO458" i="15" s="1"/>
  <c r="BP458" i="15" s="1"/>
  <c r="BQ458" i="15" s="1"/>
  <c r="AE377" i="15"/>
  <c r="AG377" i="15" s="1"/>
  <c r="AJ377" i="15"/>
  <c r="BO377" i="15" s="1"/>
  <c r="BP377" i="15" s="1"/>
  <c r="BQ377" i="15" s="1"/>
  <c r="AE365" i="15"/>
  <c r="AG365" i="15" s="1"/>
  <c r="AJ365" i="15"/>
  <c r="BO365" i="15" s="1"/>
  <c r="BP365" i="15" s="1"/>
  <c r="BQ365" i="15" s="1"/>
  <c r="AE333" i="15"/>
  <c r="AG333" i="15" s="1"/>
  <c r="AJ333" i="15"/>
  <c r="BO333" i="15" s="1"/>
  <c r="BP333" i="15" s="1"/>
  <c r="BQ333" i="15" s="1"/>
  <c r="AE282" i="15"/>
  <c r="AG282" i="15" s="1"/>
  <c r="AJ282" i="15"/>
  <c r="BO282" i="15" s="1"/>
  <c r="BP282" i="15" s="1"/>
  <c r="BQ282" i="15" s="1"/>
  <c r="AE204" i="15"/>
  <c r="AG204" i="15" s="1"/>
  <c r="AJ204" i="15"/>
  <c r="BO204" i="15" s="1"/>
  <c r="BP204" i="15" s="1"/>
  <c r="BQ204" i="15" s="1"/>
  <c r="AE188" i="15"/>
  <c r="AG188" i="15" s="1"/>
  <c r="AJ188" i="15"/>
  <c r="BO188" i="15" s="1"/>
  <c r="BP188" i="15" s="1"/>
  <c r="BQ188" i="15" s="1"/>
  <c r="AE172" i="15"/>
  <c r="AG172" i="15" s="1"/>
  <c r="AJ172" i="15"/>
  <c r="BO172" i="15" s="1"/>
  <c r="BP172" i="15" s="1"/>
  <c r="BQ172" i="15" s="1"/>
  <c r="AE155" i="15"/>
  <c r="AG155" i="15" s="1"/>
  <c r="AJ155" i="15"/>
  <c r="BO155" i="15" s="1"/>
  <c r="BP155" i="15" s="1"/>
  <c r="BQ155" i="15" s="1"/>
  <c r="AE135" i="15"/>
  <c r="AG135" i="15" s="1"/>
  <c r="AJ135" i="15"/>
  <c r="BO135" i="15" s="1"/>
  <c r="BP135" i="15" s="1"/>
  <c r="BQ135" i="15" s="1"/>
  <c r="AE89" i="15"/>
  <c r="AG89" i="15" s="1"/>
  <c r="AJ89" i="15"/>
  <c r="BO89" i="15" s="1"/>
  <c r="BP89" i="15" s="1"/>
  <c r="BQ89" i="15" s="1"/>
  <c r="AE55" i="15"/>
  <c r="AG55" i="15" s="1"/>
  <c r="AJ55" i="15"/>
  <c r="BO55" i="15" s="1"/>
  <c r="BP55" i="15" s="1"/>
  <c r="BQ55" i="15" s="1"/>
  <c r="AE25" i="15"/>
  <c r="AG25" i="15" s="1"/>
  <c r="AJ25" i="15"/>
  <c r="BO25" i="15" s="1"/>
  <c r="BP25" i="15" s="1"/>
  <c r="BQ25" i="15" s="1"/>
  <c r="AE52" i="15"/>
  <c r="AG52" i="15" s="1"/>
  <c r="AJ52" i="15"/>
  <c r="BO52" i="15" s="1"/>
  <c r="BP52" i="15" s="1"/>
  <c r="BQ52" i="15" s="1"/>
  <c r="AE181" i="15"/>
  <c r="AG181" i="15" s="1"/>
  <c r="AJ181" i="15"/>
  <c r="BO181" i="15" s="1"/>
  <c r="BP181" i="15" s="1"/>
  <c r="BQ181" i="15" s="1"/>
  <c r="AE137" i="15"/>
  <c r="AG137" i="15" s="1"/>
  <c r="AJ137" i="15"/>
  <c r="BO137" i="15" s="1"/>
  <c r="BP137" i="15" s="1"/>
  <c r="BQ137" i="15" s="1"/>
  <c r="AE87" i="15"/>
  <c r="AG87" i="15" s="1"/>
  <c r="AJ87" i="15"/>
  <c r="BO87" i="15" s="1"/>
  <c r="BP87" i="15" s="1"/>
  <c r="BQ87" i="15" s="1"/>
  <c r="AE53" i="15"/>
  <c r="AG53" i="15" s="1"/>
  <c r="AJ53" i="15"/>
  <c r="BO53" i="15" s="1"/>
  <c r="BP53" i="15" s="1"/>
  <c r="BQ53" i="15" s="1"/>
  <c r="AE15" i="15"/>
  <c r="AG15" i="15" s="1"/>
  <c r="AJ15" i="15"/>
  <c r="BO15" i="15" s="1"/>
  <c r="BP15" i="15" s="1"/>
  <c r="BQ15" i="15" s="1"/>
  <c r="AE351" i="15"/>
  <c r="AG351" i="15" s="1"/>
  <c r="AJ351" i="15"/>
  <c r="BO351" i="15" s="1"/>
  <c r="BP351" i="15" s="1"/>
  <c r="BQ351" i="15" s="1"/>
  <c r="AE284" i="15"/>
  <c r="AG284" i="15" s="1"/>
  <c r="AJ284" i="15"/>
  <c r="BO284" i="15" s="1"/>
  <c r="BP284" i="15" s="1"/>
  <c r="BQ284" i="15" s="1"/>
  <c r="AE261" i="15"/>
  <c r="AG261" i="15" s="1"/>
  <c r="AJ261" i="15"/>
  <c r="BO261" i="15" s="1"/>
  <c r="BP261" i="15" s="1"/>
  <c r="BQ261" i="15" s="1"/>
  <c r="AE249" i="15"/>
  <c r="AG249" i="15" s="1"/>
  <c r="AJ249" i="15"/>
  <c r="BO249" i="15" s="1"/>
  <c r="BP249" i="15" s="1"/>
  <c r="BQ249" i="15" s="1"/>
  <c r="AE239" i="15"/>
  <c r="AG239" i="15" s="1"/>
  <c r="AJ239" i="15"/>
  <c r="BO239" i="15" s="1"/>
  <c r="BP239" i="15" s="1"/>
  <c r="BQ239" i="15" s="1"/>
  <c r="AE221" i="15"/>
  <c r="AG221" i="15" s="1"/>
  <c r="AJ221" i="15"/>
  <c r="BO221" i="15" s="1"/>
  <c r="BP221" i="15" s="1"/>
  <c r="BQ221" i="15" s="1"/>
  <c r="AE192" i="15"/>
  <c r="AG192" i="15" s="1"/>
  <c r="AJ192" i="15"/>
  <c r="BO192" i="15" s="1"/>
  <c r="BP192" i="15" s="1"/>
  <c r="BQ192" i="15" s="1"/>
  <c r="AE152" i="15"/>
  <c r="AG152" i="15" s="1"/>
  <c r="AJ152" i="15"/>
  <c r="BO152" i="15" s="1"/>
  <c r="BP152" i="15" s="1"/>
  <c r="BQ152" i="15" s="1"/>
  <c r="AE111" i="15"/>
  <c r="AG111" i="15" s="1"/>
  <c r="AJ111" i="15"/>
  <c r="BO111" i="15" s="1"/>
  <c r="BP111" i="15" s="1"/>
  <c r="BQ111" i="15" s="1"/>
  <c r="AE32" i="15"/>
  <c r="AG32" i="15" s="1"/>
  <c r="AJ32" i="15"/>
  <c r="BO32" i="15" s="1"/>
  <c r="BP32" i="15" s="1"/>
  <c r="BQ32" i="15" s="1"/>
  <c r="AE359" i="15"/>
  <c r="AG359" i="15" s="1"/>
  <c r="AJ359" i="15"/>
  <c r="BO359" i="15" s="1"/>
  <c r="BP359" i="15" s="1"/>
  <c r="BQ359" i="15" s="1"/>
  <c r="AE327" i="15"/>
  <c r="AG327" i="15" s="1"/>
  <c r="AJ327" i="15"/>
  <c r="BO327" i="15" s="1"/>
  <c r="BP327" i="15" s="1"/>
  <c r="BQ327" i="15" s="1"/>
  <c r="AE276" i="15"/>
  <c r="AG276" i="15" s="1"/>
  <c r="AJ276" i="15"/>
  <c r="BO276" i="15" s="1"/>
  <c r="BP276" i="15" s="1"/>
  <c r="BQ276" i="15" s="1"/>
  <c r="AE262" i="15"/>
  <c r="AG262" i="15" s="1"/>
  <c r="AJ262" i="15"/>
  <c r="BO262" i="15" s="1"/>
  <c r="BP262" i="15" s="1"/>
  <c r="BQ262" i="15" s="1"/>
  <c r="AE254" i="15"/>
  <c r="AG254" i="15" s="1"/>
  <c r="AJ254" i="15"/>
  <c r="BO254" i="15" s="1"/>
  <c r="BP254" i="15" s="1"/>
  <c r="BQ254" i="15" s="1"/>
  <c r="AE244" i="15"/>
  <c r="AG244" i="15" s="1"/>
  <c r="AJ244" i="15"/>
  <c r="BO244" i="15" s="1"/>
  <c r="BP244" i="15" s="1"/>
  <c r="BQ244" i="15" s="1"/>
  <c r="AE236" i="15"/>
  <c r="AG236" i="15" s="1"/>
  <c r="AJ236" i="15"/>
  <c r="BO236" i="15" s="1"/>
  <c r="BP236" i="15" s="1"/>
  <c r="BQ236" i="15" s="1"/>
  <c r="AE222" i="15"/>
  <c r="AG222" i="15" s="1"/>
  <c r="AJ222" i="15"/>
  <c r="BO222" i="15" s="1"/>
  <c r="BP222" i="15" s="1"/>
  <c r="BQ222" i="15" s="1"/>
  <c r="AE207" i="15"/>
  <c r="AG207" i="15" s="1"/>
  <c r="AJ207" i="15"/>
  <c r="BO207" i="15" s="1"/>
  <c r="BP207" i="15" s="1"/>
  <c r="BQ207" i="15" s="1"/>
  <c r="AE191" i="15"/>
  <c r="AG191" i="15" s="1"/>
  <c r="AJ191" i="15"/>
  <c r="AE175" i="15"/>
  <c r="AG175" i="15" s="1"/>
  <c r="AJ175" i="15"/>
  <c r="BO175" i="15" s="1"/>
  <c r="BP175" i="15" s="1"/>
  <c r="BQ175" i="15" s="1"/>
  <c r="AE151" i="15"/>
  <c r="AG151" i="15" s="1"/>
  <c r="AJ151" i="15"/>
  <c r="BO151" i="15" s="1"/>
  <c r="BP151" i="15" s="1"/>
  <c r="BQ151" i="15" s="1"/>
  <c r="AE128" i="15"/>
  <c r="AG128" i="15" s="1"/>
  <c r="AJ128" i="15"/>
  <c r="BO128" i="15" s="1"/>
  <c r="BP128" i="15" s="1"/>
  <c r="BQ128" i="15" s="1"/>
  <c r="AE48" i="15"/>
  <c r="AG48" i="15" s="1"/>
  <c r="AJ48" i="15"/>
  <c r="BO48" i="15" s="1"/>
  <c r="BP48" i="15" s="1"/>
  <c r="BQ48" i="15" s="1"/>
  <c r="AE369" i="15"/>
  <c r="AG369" i="15" s="1"/>
  <c r="AJ369" i="15"/>
  <c r="BO369" i="15" s="1"/>
  <c r="BP369" i="15" s="1"/>
  <c r="BQ369" i="15" s="1"/>
  <c r="AE339" i="15"/>
  <c r="AG339" i="15" s="1"/>
  <c r="AJ339" i="15"/>
  <c r="BO339" i="15" s="1"/>
  <c r="BP339" i="15" s="1"/>
  <c r="BQ339" i="15" s="1"/>
  <c r="AE272" i="15"/>
  <c r="AG272" i="15" s="1"/>
  <c r="AJ272" i="15"/>
  <c r="AE196" i="15"/>
  <c r="AG196" i="15" s="1"/>
  <c r="AJ196" i="15"/>
  <c r="BO196" i="15" s="1"/>
  <c r="BP196" i="15" s="1"/>
  <c r="BQ196" i="15" s="1"/>
  <c r="AE147" i="15"/>
  <c r="AG147" i="15" s="1"/>
  <c r="AJ147" i="15"/>
  <c r="BO147" i="15" s="1"/>
  <c r="BP147" i="15" s="1"/>
  <c r="BQ147" i="15" s="1"/>
  <c r="AE31" i="15"/>
  <c r="AG31" i="15" s="1"/>
  <c r="AJ31" i="15"/>
  <c r="BO31" i="15" s="1"/>
  <c r="BP31" i="15" s="1"/>
  <c r="BQ31" i="15" s="1"/>
  <c r="AE241" i="15"/>
  <c r="AG241" i="15" s="1"/>
  <c r="AJ241" i="15"/>
  <c r="BO241" i="15" s="1"/>
  <c r="BP241" i="15" s="1"/>
  <c r="BQ241" i="15" s="1"/>
  <c r="AE206" i="15"/>
  <c r="AG206" i="15" s="1"/>
  <c r="AJ206" i="15"/>
  <c r="BO206" i="15" s="1"/>
  <c r="BP206" i="15" s="1"/>
  <c r="BQ206" i="15" s="1"/>
  <c r="AE171" i="15"/>
  <c r="AG171" i="15" s="1"/>
  <c r="AJ171" i="15"/>
  <c r="BO171" i="15" s="1"/>
  <c r="BP171" i="15" s="1"/>
  <c r="BQ171" i="15" s="1"/>
  <c r="AE93" i="15"/>
  <c r="AG93" i="15" s="1"/>
  <c r="AJ93" i="15"/>
  <c r="BO93" i="15" s="1"/>
  <c r="BP93" i="15" s="1"/>
  <c r="BQ93" i="15" s="1"/>
  <c r="AE20" i="15"/>
  <c r="AG20" i="15" s="1"/>
  <c r="AJ20" i="15"/>
  <c r="BO20" i="15" s="1"/>
  <c r="BP20" i="15" s="1"/>
  <c r="BQ20" i="15" s="1"/>
  <c r="AE68" i="15"/>
  <c r="AG68" i="15" s="1"/>
  <c r="AJ68" i="15"/>
  <c r="BO68" i="15" s="1"/>
  <c r="BP68" i="15" s="1"/>
  <c r="BQ68" i="15" s="1"/>
  <c r="AE80" i="15"/>
  <c r="AG80" i="15" s="1"/>
  <c r="AJ80" i="15"/>
  <c r="BO80" i="15" s="1"/>
  <c r="BP80" i="15" s="1"/>
  <c r="BQ80" i="15" s="1"/>
  <c r="AE70" i="15"/>
  <c r="AG70" i="15" s="1"/>
  <c r="AJ70" i="15"/>
  <c r="BO70" i="15" s="1"/>
  <c r="BP70" i="15" s="1"/>
  <c r="BQ70" i="15" s="1"/>
  <c r="AE74" i="15"/>
  <c r="AG74" i="15" s="1"/>
  <c r="AJ74" i="15"/>
  <c r="BO74" i="15" s="1"/>
  <c r="BP74" i="15" s="1"/>
  <c r="BQ74" i="15" s="1"/>
  <c r="AE784" i="15"/>
  <c r="AG784" i="15" s="1"/>
  <c r="AJ784" i="15"/>
  <c r="BO784" i="15" s="1"/>
  <c r="BP784" i="15" s="1"/>
  <c r="BQ784" i="15" s="1"/>
  <c r="AE637" i="15"/>
  <c r="AG637" i="15" s="1"/>
  <c r="AJ637" i="15"/>
  <c r="BO637" i="15" s="1"/>
  <c r="BP637" i="15" s="1"/>
  <c r="BQ637" i="15" s="1"/>
  <c r="AE800" i="15"/>
  <c r="AG800" i="15" s="1"/>
  <c r="AJ800" i="15"/>
  <c r="BO800" i="15" s="1"/>
  <c r="BP800" i="15" s="1"/>
  <c r="BQ800" i="15" s="1"/>
  <c r="AE710" i="15"/>
  <c r="AG710" i="15" s="1"/>
  <c r="AJ710" i="15"/>
  <c r="BO710" i="15" s="1"/>
  <c r="BP710" i="15" s="1"/>
  <c r="BQ710" i="15" s="1"/>
  <c r="AE702" i="15"/>
  <c r="AG702" i="15" s="1"/>
  <c r="AJ702" i="15"/>
  <c r="BO702" i="15" s="1"/>
  <c r="BP702" i="15" s="1"/>
  <c r="BQ702" i="15" s="1"/>
  <c r="AE786" i="15"/>
  <c r="AG786" i="15" s="1"/>
  <c r="AJ786" i="15"/>
  <c r="BO786" i="15" s="1"/>
  <c r="BP786" i="15" s="1"/>
  <c r="BQ786" i="15" s="1"/>
  <c r="AE570" i="15"/>
  <c r="AG570" i="15" s="1"/>
  <c r="AJ570" i="15"/>
  <c r="BO570" i="15" s="1"/>
  <c r="BP570" i="15" s="1"/>
  <c r="BQ570" i="15" s="1"/>
  <c r="AE554" i="15"/>
  <c r="AG554" i="15" s="1"/>
  <c r="AJ554" i="15"/>
  <c r="BO554" i="15" s="1"/>
  <c r="BP554" i="15" s="1"/>
  <c r="BQ554" i="15" s="1"/>
  <c r="AE512" i="15"/>
  <c r="AG512" i="15" s="1"/>
  <c r="AJ512" i="15"/>
  <c r="BO512" i="15" s="1"/>
  <c r="BP512" i="15" s="1"/>
  <c r="BQ512" i="15" s="1"/>
  <c r="AE403" i="15"/>
  <c r="AG403" i="15" s="1"/>
  <c r="AJ403" i="15"/>
  <c r="BO403" i="15" s="1"/>
  <c r="BP403" i="15" s="1"/>
  <c r="BQ403" i="15" s="1"/>
  <c r="AE590" i="15"/>
  <c r="AG590" i="15" s="1"/>
  <c r="AJ590" i="15"/>
  <c r="BO590" i="15" s="1"/>
  <c r="BP590" i="15" s="1"/>
  <c r="BQ590" i="15" s="1"/>
  <c r="AE559" i="15"/>
  <c r="AG559" i="15" s="1"/>
  <c r="AJ559" i="15"/>
  <c r="BO559" i="15" s="1"/>
  <c r="BP559" i="15" s="1"/>
  <c r="BQ559" i="15" s="1"/>
  <c r="AE522" i="15"/>
  <c r="AG522" i="15" s="1"/>
  <c r="AJ522" i="15"/>
  <c r="BO522" i="15" s="1"/>
  <c r="BP522" i="15" s="1"/>
  <c r="BQ522" i="15" s="1"/>
  <c r="AE549" i="15"/>
  <c r="AG549" i="15" s="1"/>
  <c r="AJ549" i="15"/>
  <c r="AE395" i="15"/>
  <c r="AG395" i="15" s="1"/>
  <c r="AJ395" i="15"/>
  <c r="BO395" i="15" s="1"/>
  <c r="BP395" i="15" s="1"/>
  <c r="BQ395" i="15" s="1"/>
  <c r="AE573" i="15"/>
  <c r="AG573" i="15" s="1"/>
  <c r="AJ573" i="15"/>
  <c r="BO573" i="15" s="1"/>
  <c r="BP573" i="15" s="1"/>
  <c r="BQ573" i="15" s="1"/>
  <c r="AE556" i="15"/>
  <c r="AG556" i="15" s="1"/>
  <c r="AJ556" i="15"/>
  <c r="BO556" i="15" s="1"/>
  <c r="BP556" i="15" s="1"/>
  <c r="BQ556" i="15" s="1"/>
  <c r="AE777" i="15"/>
  <c r="AG777" i="15" s="1"/>
  <c r="AJ777" i="15"/>
  <c r="AE561" i="15"/>
  <c r="AG561" i="15" s="1"/>
  <c r="AJ561" i="15"/>
  <c r="BO561" i="15" s="1"/>
  <c r="BP561" i="15" s="1"/>
  <c r="BQ561" i="15" s="1"/>
  <c r="AE826" i="15"/>
  <c r="AG826" i="15" s="1"/>
  <c r="AJ826" i="15"/>
  <c r="BO826" i="15" s="1"/>
  <c r="BP826" i="15" s="1"/>
  <c r="BQ826" i="15" s="1"/>
  <c r="AE46" i="15"/>
  <c r="AG46" i="15" s="1"/>
  <c r="AJ46" i="15"/>
  <c r="BO46" i="15" s="1"/>
  <c r="BP46" i="15" s="1"/>
  <c r="BQ46" i="15" s="1"/>
  <c r="AE808" i="15"/>
  <c r="AG808" i="15" s="1"/>
  <c r="AJ808" i="15"/>
  <c r="BO808" i="15" s="1"/>
  <c r="BP808" i="15" s="1"/>
  <c r="BQ808" i="15" s="1"/>
  <c r="AE469" i="15"/>
  <c r="AG469" i="15" s="1"/>
  <c r="AJ469" i="15"/>
  <c r="BO469" i="15" s="1"/>
  <c r="BP469" i="15" s="1"/>
  <c r="BQ469" i="15" s="1"/>
  <c r="AE859" i="15"/>
  <c r="AJ859" i="15"/>
  <c r="BO859" i="15" s="1"/>
  <c r="BP859" i="15" s="1"/>
  <c r="BQ859" i="15" s="1"/>
  <c r="AE855" i="15"/>
  <c r="AJ855" i="15"/>
  <c r="BO855" i="15" s="1"/>
  <c r="BP855" i="15" s="1"/>
  <c r="BQ855" i="15" s="1"/>
  <c r="AE847" i="15"/>
  <c r="AJ847" i="15"/>
  <c r="BO847" i="15" s="1"/>
  <c r="BP847" i="15" s="1"/>
  <c r="BQ847" i="15" s="1"/>
  <c r="AE841" i="15"/>
  <c r="AJ841" i="15"/>
  <c r="BO841" i="15" s="1"/>
  <c r="BP841" i="15" s="1"/>
  <c r="BQ841" i="15" s="1"/>
  <c r="AE835" i="15"/>
  <c r="AJ835" i="15"/>
  <c r="BO835" i="15" s="1"/>
  <c r="BP835" i="15" s="1"/>
  <c r="BQ835" i="15" s="1"/>
  <c r="AE831" i="15"/>
  <c r="AJ831" i="15"/>
  <c r="BO831" i="15" s="1"/>
  <c r="BP831" i="15" s="1"/>
  <c r="BQ831" i="15" s="1"/>
  <c r="CE769" i="15"/>
  <c r="CF769" i="15" s="1"/>
  <c r="AI769" i="15"/>
  <c r="CE763" i="15"/>
  <c r="CF763" i="15" s="1"/>
  <c r="AI763" i="15"/>
  <c r="CE774" i="15"/>
  <c r="CF774" i="15" s="1"/>
  <c r="AI774" i="15"/>
  <c r="CE749" i="15"/>
  <c r="CF749" i="15" s="1"/>
  <c r="AI749" i="15"/>
  <c r="CE741" i="15"/>
  <c r="CF741" i="15" s="1"/>
  <c r="AI741" i="15"/>
  <c r="CE719" i="15"/>
  <c r="CF719" i="15" s="1"/>
  <c r="AI719" i="15"/>
  <c r="CE521" i="15"/>
  <c r="CF521" i="15" s="1"/>
  <c r="AI521" i="15"/>
  <c r="CE505" i="15"/>
  <c r="CF505" i="15" s="1"/>
  <c r="AI505" i="15"/>
  <c r="CE223" i="15"/>
  <c r="CF223" i="15" s="1"/>
  <c r="AI223" i="15"/>
  <c r="CE25" i="15"/>
  <c r="CF25" i="15" s="1"/>
  <c r="AI25" i="15"/>
  <c r="CE17" i="15"/>
  <c r="CF17" i="15" s="1"/>
  <c r="AI17" i="15"/>
  <c r="CE38" i="15"/>
  <c r="CF38" i="15" s="1"/>
  <c r="AI38" i="15"/>
  <c r="CE158" i="15"/>
  <c r="CF158" i="15" s="1"/>
  <c r="AI158" i="15"/>
  <c r="AE708" i="15"/>
  <c r="AG708" i="15" s="1"/>
  <c r="AJ708" i="15"/>
  <c r="BO708" i="15" s="1"/>
  <c r="BP708" i="15" s="1"/>
  <c r="BQ708" i="15" s="1"/>
  <c r="AE704" i="15"/>
  <c r="AG704" i="15" s="1"/>
  <c r="AJ704" i="15"/>
  <c r="BO704" i="15" s="1"/>
  <c r="BP704" i="15" s="1"/>
  <c r="BQ704" i="15" s="1"/>
  <c r="AE698" i="15"/>
  <c r="AG698" i="15" s="1"/>
  <c r="AJ698" i="15"/>
  <c r="BO698" i="15" s="1"/>
  <c r="BP698" i="15" s="1"/>
  <c r="BQ698" i="15" s="1"/>
  <c r="AE692" i="15"/>
  <c r="AG692" i="15" s="1"/>
  <c r="AJ692" i="15"/>
  <c r="BO692" i="15" s="1"/>
  <c r="BP692" i="15" s="1"/>
  <c r="BQ692" i="15" s="1"/>
  <c r="CE680" i="15"/>
  <c r="CF680" i="15" s="1"/>
  <c r="AI680" i="15"/>
  <c r="CE672" i="15"/>
  <c r="CF672" i="15" s="1"/>
  <c r="AI672" i="15"/>
  <c r="CE625" i="15"/>
  <c r="CF625" i="15" s="1"/>
  <c r="AI625" i="15"/>
  <c r="CE440" i="15"/>
  <c r="CF440" i="15" s="1"/>
  <c r="AI440" i="15"/>
  <c r="CE426" i="15"/>
  <c r="CF426" i="15" s="1"/>
  <c r="AI426" i="15"/>
  <c r="CE418" i="15"/>
  <c r="CF418" i="15" s="1"/>
  <c r="AI418" i="15"/>
  <c r="CE410" i="15"/>
  <c r="CF410" i="15" s="1"/>
  <c r="AI410" i="15"/>
  <c r="CE396" i="15"/>
  <c r="CF396" i="15" s="1"/>
  <c r="AI396" i="15"/>
  <c r="CE384" i="15"/>
  <c r="CF384" i="15" s="1"/>
  <c r="AI384" i="15"/>
  <c r="CE321" i="15"/>
  <c r="CF321" i="15" s="1"/>
  <c r="AI321" i="15"/>
  <c r="CE313" i="15"/>
  <c r="CF313" i="15" s="1"/>
  <c r="AI313" i="15"/>
  <c r="CE305" i="15"/>
  <c r="CF305" i="15" s="1"/>
  <c r="AI305" i="15"/>
  <c r="AE297" i="15"/>
  <c r="AG297" i="15" s="1"/>
  <c r="AJ297" i="15"/>
  <c r="BO297" i="15" s="1"/>
  <c r="BP297" i="15" s="1"/>
  <c r="BQ297" i="15" s="1"/>
  <c r="AE293" i="15"/>
  <c r="AG293" i="15" s="1"/>
  <c r="AJ293" i="15"/>
  <c r="BO293" i="15" s="1"/>
  <c r="BP293" i="15" s="1"/>
  <c r="BQ293" i="15" s="1"/>
  <c r="AE289" i="15"/>
  <c r="AG289" i="15" s="1"/>
  <c r="AJ289" i="15"/>
  <c r="BO289" i="15" s="1"/>
  <c r="BP289" i="15" s="1"/>
  <c r="BQ289" i="15" s="1"/>
  <c r="AE283" i="15"/>
  <c r="AG283" i="15" s="1"/>
  <c r="AJ283" i="15"/>
  <c r="BO283" i="15" s="1"/>
  <c r="BP283" i="15" s="1"/>
  <c r="BQ283" i="15" s="1"/>
  <c r="AE279" i="15"/>
  <c r="AG279" i="15" s="1"/>
  <c r="AJ279" i="15"/>
  <c r="BO279" i="15" s="1"/>
  <c r="BP279" i="15" s="1"/>
  <c r="BQ279" i="15" s="1"/>
  <c r="AE274" i="15"/>
  <c r="AG274" i="15" s="1"/>
  <c r="AJ274" i="15"/>
  <c r="BO274" i="15" s="1"/>
  <c r="BP274" i="15" s="1"/>
  <c r="BQ274" i="15" s="1"/>
  <c r="CE134" i="15"/>
  <c r="CF134" i="15" s="1"/>
  <c r="AI134" i="15"/>
  <c r="CE122" i="15"/>
  <c r="CF122" i="15" s="1"/>
  <c r="AI122" i="15"/>
  <c r="CE118" i="15"/>
  <c r="CF118" i="15" s="1"/>
  <c r="AI118" i="15"/>
  <c r="CE114" i="15"/>
  <c r="CF114" i="15" s="1"/>
  <c r="AI114" i="15"/>
  <c r="CE110" i="15"/>
  <c r="CF110" i="15" s="1"/>
  <c r="AI110" i="15"/>
  <c r="CE106" i="15"/>
  <c r="CF106" i="15" s="1"/>
  <c r="AI106" i="15"/>
  <c r="CE102" i="15"/>
  <c r="CF102" i="15" s="1"/>
  <c r="AI102" i="15"/>
  <c r="CE40" i="15"/>
  <c r="CF40" i="15" s="1"/>
  <c r="AI40" i="15"/>
  <c r="CE818" i="15"/>
  <c r="CF818" i="15" s="1"/>
  <c r="AI818" i="15"/>
  <c r="CE748" i="15"/>
  <c r="CF748" i="15" s="1"/>
  <c r="AI748" i="15"/>
  <c r="CE726" i="15"/>
  <c r="CF726" i="15" s="1"/>
  <c r="AI726" i="15"/>
  <c r="CE526" i="15"/>
  <c r="CF526" i="15" s="1"/>
  <c r="AI526" i="15"/>
  <c r="CE510" i="15"/>
  <c r="CF510" i="15" s="1"/>
  <c r="AI510" i="15"/>
  <c r="CE496" i="15"/>
  <c r="CF496" i="15" s="1"/>
  <c r="AI496" i="15"/>
  <c r="CE486" i="15"/>
  <c r="CF486" i="15" s="1"/>
  <c r="AI486" i="15"/>
  <c r="CE478" i="15"/>
  <c r="CF478" i="15" s="1"/>
  <c r="AI478" i="15"/>
  <c r="CE224" i="15"/>
  <c r="CF224" i="15" s="1"/>
  <c r="AI224" i="15"/>
  <c r="CE679" i="15"/>
  <c r="CF679" i="15" s="1"/>
  <c r="AI679" i="15"/>
  <c r="CE671" i="15"/>
  <c r="CF671" i="15" s="1"/>
  <c r="AI671" i="15"/>
  <c r="CE651" i="15"/>
  <c r="CF651" i="15" s="1"/>
  <c r="AI651" i="15"/>
  <c r="CE608" i="15"/>
  <c r="CF608" i="15" s="1"/>
  <c r="AI608" i="15"/>
  <c r="CE604" i="15"/>
  <c r="CF604" i="15" s="1"/>
  <c r="AI604" i="15"/>
  <c r="CE600" i="15"/>
  <c r="CF600" i="15" s="1"/>
  <c r="AI600" i="15"/>
  <c r="CE596" i="15"/>
  <c r="CF596" i="15" s="1"/>
  <c r="AI596" i="15"/>
  <c r="CE592" i="15"/>
  <c r="CF592" i="15" s="1"/>
  <c r="AI592" i="15"/>
  <c r="CE586" i="15"/>
  <c r="CF586" i="15" s="1"/>
  <c r="AI586" i="15"/>
  <c r="CE582" i="15"/>
  <c r="CF582" i="15" s="1"/>
  <c r="AI582" i="15"/>
  <c r="CE469" i="15"/>
  <c r="CF469" i="15" s="1"/>
  <c r="AI469" i="15"/>
  <c r="AE461" i="15"/>
  <c r="AG461" i="15" s="1"/>
  <c r="AJ461" i="15"/>
  <c r="BO461" i="15" s="1"/>
  <c r="BP461" i="15" s="1"/>
  <c r="BQ461" i="15" s="1"/>
  <c r="CE433" i="15"/>
  <c r="CF433" i="15" s="1"/>
  <c r="AI433" i="15"/>
  <c r="CE401" i="15"/>
  <c r="CF401" i="15" s="1"/>
  <c r="AI401" i="15"/>
  <c r="CE376" i="15"/>
  <c r="CF376" i="15" s="1"/>
  <c r="AI376" i="15"/>
  <c r="AE368" i="15"/>
  <c r="AG368" i="15" s="1"/>
  <c r="AJ368" i="15"/>
  <c r="BO368" i="15" s="1"/>
  <c r="BP368" i="15" s="1"/>
  <c r="BQ368" i="15" s="1"/>
  <c r="AE362" i="15"/>
  <c r="AG362" i="15" s="1"/>
  <c r="AJ362" i="15"/>
  <c r="BO362" i="15" s="1"/>
  <c r="BP362" i="15" s="1"/>
  <c r="BQ362" i="15" s="1"/>
  <c r="AE358" i="15"/>
  <c r="AG358" i="15" s="1"/>
  <c r="AJ358" i="15"/>
  <c r="BO358" i="15" s="1"/>
  <c r="BP358" i="15" s="1"/>
  <c r="BQ358" i="15" s="1"/>
  <c r="AE354" i="15"/>
  <c r="AG354" i="15" s="1"/>
  <c r="AJ354" i="15"/>
  <c r="BO354" i="15" s="1"/>
  <c r="BP354" i="15" s="1"/>
  <c r="BQ354" i="15" s="1"/>
  <c r="AE348" i="15"/>
  <c r="AG348" i="15" s="1"/>
  <c r="AJ348" i="15"/>
  <c r="BO348" i="15" s="1"/>
  <c r="BP348" i="15" s="1"/>
  <c r="BQ348" i="15" s="1"/>
  <c r="AE344" i="15"/>
  <c r="AG344" i="15" s="1"/>
  <c r="AJ344" i="15"/>
  <c r="BO344" i="15" s="1"/>
  <c r="BP344" i="15" s="1"/>
  <c r="BQ344" i="15" s="1"/>
  <c r="AE340" i="15"/>
  <c r="AG340" i="15" s="1"/>
  <c r="AJ340" i="15"/>
  <c r="BO340" i="15" s="1"/>
  <c r="BP340" i="15" s="1"/>
  <c r="BQ340" i="15" s="1"/>
  <c r="AE336" i="15"/>
  <c r="AG336" i="15" s="1"/>
  <c r="AJ336" i="15"/>
  <c r="BO336" i="15" s="1"/>
  <c r="BP336" i="15" s="1"/>
  <c r="BQ336" i="15" s="1"/>
  <c r="AE330" i="15"/>
  <c r="AG330" i="15" s="1"/>
  <c r="AJ330" i="15"/>
  <c r="BO330" i="15" s="1"/>
  <c r="BP330" i="15" s="1"/>
  <c r="BQ330" i="15" s="1"/>
  <c r="AE326" i="15"/>
  <c r="AG326" i="15" s="1"/>
  <c r="AJ326" i="15"/>
  <c r="CE89" i="15"/>
  <c r="CF89" i="15" s="1"/>
  <c r="AI89" i="15"/>
  <c r="AE81" i="15"/>
  <c r="AG81" i="15" s="1"/>
  <c r="AJ81" i="15"/>
  <c r="BO81" i="15" s="1"/>
  <c r="BP81" i="15" s="1"/>
  <c r="BQ81" i="15" s="1"/>
  <c r="AE77" i="15"/>
  <c r="AG77" i="15" s="1"/>
  <c r="AJ77" i="15"/>
  <c r="BO77" i="15" s="1"/>
  <c r="BP77" i="15" s="1"/>
  <c r="BQ77" i="15" s="1"/>
  <c r="AE73" i="15"/>
  <c r="AG73" i="15" s="1"/>
  <c r="AJ73" i="15"/>
  <c r="BO73" i="15" s="1"/>
  <c r="BP73" i="15" s="1"/>
  <c r="BQ73" i="15" s="1"/>
  <c r="AE69" i="15"/>
  <c r="AG69" i="15" s="1"/>
  <c r="AJ69" i="15"/>
  <c r="BO69" i="15" s="1"/>
  <c r="BP69" i="15" s="1"/>
  <c r="BQ69" i="15" s="1"/>
  <c r="AE844" i="15"/>
  <c r="AJ844" i="15"/>
  <c r="BO844" i="15" s="1"/>
  <c r="BP844" i="15" s="1"/>
  <c r="BQ844" i="15" s="1"/>
  <c r="AE846" i="15"/>
  <c r="AJ846" i="15"/>
  <c r="BO846" i="15" s="1"/>
  <c r="BP846" i="15" s="1"/>
  <c r="BQ846" i="15" s="1"/>
  <c r="AE837" i="15"/>
  <c r="AJ837" i="15"/>
  <c r="BO837" i="15" s="1"/>
  <c r="BP837" i="15" s="1"/>
  <c r="BQ837" i="15" s="1"/>
  <c r="AE787" i="15"/>
  <c r="AG787" i="15" s="1"/>
  <c r="AJ787" i="15"/>
  <c r="BO787" i="15" s="1"/>
  <c r="BP787" i="15" s="1"/>
  <c r="BQ787" i="15" s="1"/>
  <c r="AE804" i="15"/>
  <c r="AG804" i="15" s="1"/>
  <c r="AJ804" i="15"/>
  <c r="BO804" i="15" s="1"/>
  <c r="BP804" i="15" s="1"/>
  <c r="BQ804" i="15" s="1"/>
  <c r="AE829" i="15"/>
  <c r="AJ829" i="15"/>
  <c r="AE848" i="15"/>
  <c r="AJ848" i="15"/>
  <c r="BO848" i="15" s="1"/>
  <c r="BP848" i="15" s="1"/>
  <c r="BQ848" i="15" s="1"/>
  <c r="AE718" i="15"/>
  <c r="AG718" i="15" s="1"/>
  <c r="AJ718" i="15"/>
  <c r="BO718" i="15" s="1"/>
  <c r="BP718" i="15" s="1"/>
  <c r="BQ718" i="15" s="1"/>
  <c r="AE677" i="15"/>
  <c r="AG677" i="15" s="1"/>
  <c r="AJ677" i="15"/>
  <c r="BO677" i="15" s="1"/>
  <c r="BP677" i="15" s="1"/>
  <c r="BQ677" i="15" s="1"/>
  <c r="AE673" i="15"/>
  <c r="AG673" i="15" s="1"/>
  <c r="AJ673" i="15"/>
  <c r="BO673" i="15" s="1"/>
  <c r="BP673" i="15" s="1"/>
  <c r="BQ673" i="15" s="1"/>
  <c r="AE744" i="15"/>
  <c r="AG744" i="15" s="1"/>
  <c r="AJ744" i="15"/>
  <c r="BO744" i="15" s="1"/>
  <c r="BP744" i="15" s="1"/>
  <c r="BQ744" i="15" s="1"/>
  <c r="AE762" i="15"/>
  <c r="AG762" i="15" s="1"/>
  <c r="AJ762" i="15"/>
  <c r="BO762" i="15" s="1"/>
  <c r="BP762" i="15" s="1"/>
  <c r="BQ762" i="15" s="1"/>
  <c r="AE735" i="15"/>
  <c r="AG735" i="15" s="1"/>
  <c r="AJ735" i="15"/>
  <c r="BO735" i="15" s="1"/>
  <c r="BP735" i="15" s="1"/>
  <c r="BQ735" i="15" s="1"/>
  <c r="AE658" i="15"/>
  <c r="AG658" i="15" s="1"/>
  <c r="AJ658" i="15"/>
  <c r="BO658" i="15" s="1"/>
  <c r="BP658" i="15" s="1"/>
  <c r="BQ658" i="15" s="1"/>
  <c r="AE572" i="15"/>
  <c r="AG572" i="15" s="1"/>
  <c r="AJ572" i="15"/>
  <c r="BO572" i="15" s="1"/>
  <c r="BP572" i="15" s="1"/>
  <c r="BQ572" i="15" s="1"/>
  <c r="AE665" i="15"/>
  <c r="AG665" i="15" s="1"/>
  <c r="AJ665" i="15"/>
  <c r="BO665" i="15" s="1"/>
  <c r="BP665" i="15" s="1"/>
  <c r="BQ665" i="15" s="1"/>
  <c r="AE609" i="15"/>
  <c r="AG609" i="15" s="1"/>
  <c r="AJ609" i="15"/>
  <c r="BO609" i="15" s="1"/>
  <c r="BP609" i="15" s="1"/>
  <c r="BQ609" i="15" s="1"/>
  <c r="AE510" i="15"/>
  <c r="AG510" i="15" s="1"/>
  <c r="AJ510" i="15"/>
  <c r="BO510" i="15" s="1"/>
  <c r="BP510" i="15" s="1"/>
  <c r="BQ510" i="15" s="1"/>
  <c r="AE656" i="15"/>
  <c r="AG656" i="15" s="1"/>
  <c r="AJ656" i="15"/>
  <c r="BO656" i="15" s="1"/>
  <c r="BP656" i="15" s="1"/>
  <c r="BQ656" i="15" s="1"/>
  <c r="AE519" i="15"/>
  <c r="AG519" i="15" s="1"/>
  <c r="AJ519" i="15"/>
  <c r="BO519" i="15" s="1"/>
  <c r="BP519" i="15" s="1"/>
  <c r="BQ519" i="15" s="1"/>
  <c r="AE486" i="15"/>
  <c r="AG486" i="15" s="1"/>
  <c r="AJ486" i="15"/>
  <c r="BO486" i="15" s="1"/>
  <c r="BP486" i="15" s="1"/>
  <c r="BQ486" i="15" s="1"/>
  <c r="AE424" i="15"/>
  <c r="AG424" i="15" s="1"/>
  <c r="AJ424" i="15"/>
  <c r="BO424" i="15" s="1"/>
  <c r="BP424" i="15" s="1"/>
  <c r="BQ424" i="15" s="1"/>
  <c r="AE408" i="15"/>
  <c r="AG408" i="15" s="1"/>
  <c r="AJ408" i="15"/>
  <c r="AE662" i="15"/>
  <c r="AG662" i="15" s="1"/>
  <c r="AJ662" i="15"/>
  <c r="BO662" i="15" s="1"/>
  <c r="BP662" i="15" s="1"/>
  <c r="BQ662" i="15" s="1"/>
  <c r="AE587" i="15"/>
  <c r="AG587" i="15" s="1"/>
  <c r="AJ587" i="15"/>
  <c r="BO587" i="15" s="1"/>
  <c r="BP587" i="15" s="1"/>
  <c r="BQ587" i="15" s="1"/>
  <c r="AE501" i="15"/>
  <c r="AG501" i="15" s="1"/>
  <c r="AJ501" i="15"/>
  <c r="BO501" i="15" s="1"/>
  <c r="BP501" i="15" s="1"/>
  <c r="BQ501" i="15" s="1"/>
  <c r="AE409" i="15"/>
  <c r="AG409" i="15" s="1"/>
  <c r="AJ409" i="15"/>
  <c r="BO409" i="15" s="1"/>
  <c r="BP409" i="15" s="1"/>
  <c r="BQ409" i="15" s="1"/>
  <c r="AE311" i="15"/>
  <c r="AG311" i="15" s="1"/>
  <c r="AJ311" i="15"/>
  <c r="BO311" i="15" s="1"/>
  <c r="BP311" i="15" s="1"/>
  <c r="BQ311" i="15" s="1"/>
  <c r="AE537" i="15"/>
  <c r="AG537" i="15" s="1"/>
  <c r="AJ537" i="15"/>
  <c r="BO537" i="15" s="1"/>
  <c r="BP537" i="15" s="1"/>
  <c r="BQ537" i="15" s="1"/>
  <c r="AE653" i="15"/>
  <c r="AG653" i="15" s="1"/>
  <c r="AJ653" i="15"/>
  <c r="BO653" i="15" s="1"/>
  <c r="BP653" i="15" s="1"/>
  <c r="BQ653" i="15" s="1"/>
  <c r="AE495" i="15"/>
  <c r="AG495" i="15" s="1"/>
  <c r="AJ495" i="15"/>
  <c r="BO495" i="15" s="1"/>
  <c r="BP495" i="15" s="1"/>
  <c r="BQ495" i="15" s="1"/>
  <c r="AE434" i="15"/>
  <c r="AG434" i="15" s="1"/>
  <c r="AJ434" i="15"/>
  <c r="BO434" i="15" s="1"/>
  <c r="BP434" i="15" s="1"/>
  <c r="BQ434" i="15" s="1"/>
  <c r="AE378" i="15"/>
  <c r="AG378" i="15" s="1"/>
  <c r="AJ378" i="15"/>
  <c r="BO378" i="15" s="1"/>
  <c r="BP378" i="15" s="1"/>
  <c r="BQ378" i="15" s="1"/>
  <c r="AE832" i="15"/>
  <c r="AJ832" i="15"/>
  <c r="BO832" i="15" s="1"/>
  <c r="BP832" i="15" s="1"/>
  <c r="BQ832" i="15" s="1"/>
  <c r="AE493" i="15"/>
  <c r="AG493" i="15" s="1"/>
  <c r="AJ493" i="15"/>
  <c r="BO493" i="15" s="1"/>
  <c r="BP493" i="15" s="1"/>
  <c r="BQ493" i="15" s="1"/>
  <c r="AE306" i="15"/>
  <c r="AG306" i="15" s="1"/>
  <c r="AJ306" i="15"/>
  <c r="BO306" i="15" s="1"/>
  <c r="BP306" i="15" s="1"/>
  <c r="BQ306" i="15" s="1"/>
  <c r="AE543" i="15"/>
  <c r="AG543" i="15" s="1"/>
  <c r="AJ543" i="15"/>
  <c r="BO543" i="15" s="1"/>
  <c r="BP543" i="15" s="1"/>
  <c r="BQ543" i="15" s="1"/>
  <c r="AE489" i="15"/>
  <c r="AG489" i="15" s="1"/>
  <c r="AJ489" i="15"/>
  <c r="BO489" i="15" s="1"/>
  <c r="BP489" i="15" s="1"/>
  <c r="BQ489" i="15" s="1"/>
  <c r="AE442" i="15"/>
  <c r="AG442" i="15" s="1"/>
  <c r="AJ442" i="15"/>
  <c r="BO442" i="15" s="1"/>
  <c r="BP442" i="15" s="1"/>
  <c r="BQ442" i="15" s="1"/>
  <c r="AE384" i="15"/>
  <c r="AG384" i="15" s="1"/>
  <c r="AJ384" i="15"/>
  <c r="BO384" i="15" s="1"/>
  <c r="BP384" i="15" s="1"/>
  <c r="BQ384" i="15" s="1"/>
  <c r="AE305" i="15"/>
  <c r="AG305" i="15" s="1"/>
  <c r="AJ305" i="15"/>
  <c r="BO305" i="15" s="1"/>
  <c r="BP305" i="15" s="1"/>
  <c r="BQ305" i="15" s="1"/>
  <c r="AE166" i="15"/>
  <c r="AG166" i="15" s="1"/>
  <c r="AJ166" i="15"/>
  <c r="BO166" i="15" s="1"/>
  <c r="BP166" i="15" s="1"/>
  <c r="BQ166" i="15" s="1"/>
  <c r="AE634" i="15"/>
  <c r="AG634" i="15" s="1"/>
  <c r="AJ634" i="15"/>
  <c r="BO634" i="15" s="1"/>
  <c r="BP634" i="15" s="1"/>
  <c r="BQ634" i="15" s="1"/>
  <c r="AE400" i="15"/>
  <c r="AG400" i="15" s="1"/>
  <c r="AJ400" i="15"/>
  <c r="BO400" i="15" s="1"/>
  <c r="BP400" i="15" s="1"/>
  <c r="BQ400" i="15" s="1"/>
  <c r="AE347" i="15"/>
  <c r="AG347" i="15" s="1"/>
  <c r="AJ347" i="15"/>
  <c r="BO347" i="15" s="1"/>
  <c r="BP347" i="15" s="1"/>
  <c r="BQ347" i="15" s="1"/>
  <c r="AE211" i="15"/>
  <c r="AG211" i="15" s="1"/>
  <c r="AJ211" i="15"/>
  <c r="BO211" i="15" s="1"/>
  <c r="BP211" i="15" s="1"/>
  <c r="BQ211" i="15" s="1"/>
  <c r="AE177" i="15"/>
  <c r="AG177" i="15" s="1"/>
  <c r="AJ177" i="15"/>
  <c r="BO177" i="15" s="1"/>
  <c r="BP177" i="15" s="1"/>
  <c r="BQ177" i="15" s="1"/>
  <c r="AE138" i="15"/>
  <c r="AG138" i="15" s="1"/>
  <c r="AJ138" i="15"/>
  <c r="BO138" i="15" s="1"/>
  <c r="BP138" i="15" s="1"/>
  <c r="BQ138" i="15" s="1"/>
  <c r="AE59" i="15"/>
  <c r="AG59" i="15" s="1"/>
  <c r="AJ59" i="15"/>
  <c r="BO59" i="15" s="1"/>
  <c r="BP59" i="15" s="1"/>
  <c r="BQ59" i="15" s="1"/>
  <c r="AE13" i="15"/>
  <c r="AG13" i="15" s="1"/>
  <c r="AJ13" i="15"/>
  <c r="BO13" i="15" s="1"/>
  <c r="BP13" i="15" s="1"/>
  <c r="BQ13" i="15" s="1"/>
  <c r="AE14" i="15"/>
  <c r="AG14" i="15" s="1"/>
  <c r="AJ14" i="15"/>
  <c r="BO14" i="15" s="1"/>
  <c r="BP14" i="15" s="1"/>
  <c r="BQ14" i="15" s="1"/>
  <c r="AE149" i="15"/>
  <c r="AG149" i="15" s="1"/>
  <c r="AJ149" i="15"/>
  <c r="BO149" i="15" s="1"/>
  <c r="BP149" i="15" s="1"/>
  <c r="BQ149" i="15" s="1"/>
  <c r="AE57" i="15"/>
  <c r="AG57" i="15" s="1"/>
  <c r="AJ57" i="15"/>
  <c r="BO57" i="15" s="1"/>
  <c r="BP57" i="15" s="1"/>
  <c r="BQ57" i="15" s="1"/>
  <c r="AE353" i="15"/>
  <c r="AG353" i="15" s="1"/>
  <c r="AJ353" i="15"/>
  <c r="BO353" i="15" s="1"/>
  <c r="BP353" i="15" s="1"/>
  <c r="BQ353" i="15" s="1"/>
  <c r="AE263" i="15"/>
  <c r="AG263" i="15" s="1"/>
  <c r="AJ263" i="15"/>
  <c r="BO263" i="15" s="1"/>
  <c r="BP263" i="15" s="1"/>
  <c r="BQ263" i="15" s="1"/>
  <c r="AE243" i="15"/>
  <c r="AG243" i="15" s="1"/>
  <c r="AJ243" i="15"/>
  <c r="BO243" i="15" s="1"/>
  <c r="BP243" i="15" s="1"/>
  <c r="BQ243" i="15" s="1"/>
  <c r="AE199" i="15"/>
  <c r="AG199" i="15" s="1"/>
  <c r="AJ199" i="15"/>
  <c r="BO199" i="15" s="1"/>
  <c r="BP199" i="15" s="1"/>
  <c r="BQ199" i="15" s="1"/>
  <c r="AE329" i="15"/>
  <c r="AG329" i="15" s="1"/>
  <c r="AJ329" i="15"/>
  <c r="BO329" i="15" s="1"/>
  <c r="BP329" i="15" s="1"/>
  <c r="BQ329" i="15" s="1"/>
  <c r="AE264" i="15"/>
  <c r="AG264" i="15" s="1"/>
  <c r="AJ264" i="15"/>
  <c r="BO264" i="15" s="1"/>
  <c r="BP264" i="15" s="1"/>
  <c r="BQ264" i="15" s="1"/>
  <c r="AE246" i="15"/>
  <c r="AG246" i="15" s="1"/>
  <c r="AJ246" i="15"/>
  <c r="BO246" i="15" s="1"/>
  <c r="BP246" i="15" s="1"/>
  <c r="BQ246" i="15" s="1"/>
  <c r="AE226" i="15"/>
  <c r="AG226" i="15" s="1"/>
  <c r="AJ226" i="15"/>
  <c r="BO226" i="15" s="1"/>
  <c r="BP226" i="15" s="1"/>
  <c r="BQ226" i="15" s="1"/>
  <c r="AE193" i="15"/>
  <c r="AG193" i="15" s="1"/>
  <c r="AJ193" i="15"/>
  <c r="BO193" i="15" s="1"/>
  <c r="BP193" i="15" s="1"/>
  <c r="BQ193" i="15" s="1"/>
  <c r="AE153" i="15"/>
  <c r="AG153" i="15" s="1"/>
  <c r="AJ153" i="15"/>
  <c r="BO153" i="15" s="1"/>
  <c r="BP153" i="15" s="1"/>
  <c r="BQ153" i="15" s="1"/>
  <c r="AE56" i="15"/>
  <c r="AG56" i="15" s="1"/>
  <c r="AJ56" i="15"/>
  <c r="BO56" i="15" s="1"/>
  <c r="BP56" i="15" s="1"/>
  <c r="BQ56" i="15" s="1"/>
  <c r="AE341" i="15"/>
  <c r="AG341" i="15" s="1"/>
  <c r="AJ341" i="15"/>
  <c r="BO341" i="15" s="1"/>
  <c r="BP341" i="15" s="1"/>
  <c r="BQ341" i="15" s="1"/>
  <c r="AE205" i="15"/>
  <c r="AG205" i="15" s="1"/>
  <c r="AJ205" i="15"/>
  <c r="BO205" i="15" s="1"/>
  <c r="BP205" i="15" s="1"/>
  <c r="BQ205" i="15" s="1"/>
  <c r="AE129" i="15"/>
  <c r="AG129" i="15" s="1"/>
  <c r="AJ129" i="15"/>
  <c r="BO129" i="15" s="1"/>
  <c r="BP129" i="15" s="1"/>
  <c r="BQ129" i="15" s="1"/>
  <c r="AE215" i="15"/>
  <c r="AG215" i="15" s="1"/>
  <c r="AJ215" i="15"/>
  <c r="BO215" i="15" s="1"/>
  <c r="BP215" i="15" s="1"/>
  <c r="BQ215" i="15" s="1"/>
  <c r="AE96" i="15"/>
  <c r="AG96" i="15" s="1"/>
  <c r="AJ96" i="15"/>
  <c r="BO96" i="15" s="1"/>
  <c r="BP96" i="15" s="1"/>
  <c r="BQ96" i="15" s="1"/>
  <c r="AE109" i="15"/>
  <c r="AG109" i="15" s="1"/>
  <c r="AJ109" i="15"/>
  <c r="BO109" i="15" s="1"/>
  <c r="BP109" i="15" s="1"/>
  <c r="BQ109" i="15" s="1"/>
  <c r="AE113" i="15"/>
  <c r="AG113" i="15" s="1"/>
  <c r="AJ113" i="15"/>
  <c r="BO113" i="15" s="1"/>
  <c r="BP113" i="15" s="1"/>
  <c r="BQ113" i="15" s="1"/>
  <c r="AE728" i="15"/>
  <c r="AG728" i="15" s="1"/>
  <c r="AJ728" i="15"/>
  <c r="BO728" i="15" s="1"/>
  <c r="BP728" i="15" s="1"/>
  <c r="BQ728" i="15" s="1"/>
  <c r="AE814" i="15"/>
  <c r="AG814" i="15" s="1"/>
  <c r="AJ814" i="15"/>
  <c r="BO814" i="15" s="1"/>
  <c r="BP814" i="15" s="1"/>
  <c r="BQ814" i="15" s="1"/>
  <c r="AE722" i="15"/>
  <c r="AG722" i="15" s="1"/>
  <c r="AJ722" i="15"/>
  <c r="BO722" i="15" s="1"/>
  <c r="BP722" i="15" s="1"/>
  <c r="BQ722" i="15" s="1"/>
  <c r="AE822" i="15"/>
  <c r="AG822" i="15" s="1"/>
  <c r="AJ822" i="15"/>
  <c r="BO822" i="15" s="1"/>
  <c r="BP822" i="15" s="1"/>
  <c r="BQ822" i="15" s="1"/>
  <c r="AE558" i="15"/>
  <c r="AG558" i="15" s="1"/>
  <c r="AJ558" i="15"/>
  <c r="BO558" i="15" s="1"/>
  <c r="BP558" i="15" s="1"/>
  <c r="BQ558" i="15" s="1"/>
  <c r="AE521" i="15"/>
  <c r="AG521" i="15" s="1"/>
  <c r="AJ521" i="15"/>
  <c r="BO521" i="15" s="1"/>
  <c r="BP521" i="15" s="1"/>
  <c r="BQ521" i="15" s="1"/>
  <c r="AE563" i="15"/>
  <c r="AG563" i="15" s="1"/>
  <c r="AJ563" i="15"/>
  <c r="BO563" i="15" s="1"/>
  <c r="BP563" i="15" s="1"/>
  <c r="BQ563" i="15" s="1"/>
  <c r="AE526" i="15"/>
  <c r="AG526" i="15" s="1"/>
  <c r="AJ526" i="15"/>
  <c r="BO526" i="15" s="1"/>
  <c r="BP526" i="15" s="1"/>
  <c r="BQ526" i="15" s="1"/>
  <c r="AE553" i="15"/>
  <c r="AG553" i="15" s="1"/>
  <c r="AJ553" i="15"/>
  <c r="BO553" i="15" s="1"/>
  <c r="BP553" i="15" s="1"/>
  <c r="BQ553" i="15" s="1"/>
  <c r="AE767" i="15"/>
  <c r="AG767" i="15" s="1"/>
  <c r="AJ767" i="15"/>
  <c r="BO767" i="15" s="1"/>
  <c r="BP767" i="15" s="1"/>
  <c r="BQ767" i="15" s="1"/>
  <c r="AE724" i="15"/>
  <c r="AG724" i="15" s="1"/>
  <c r="AJ724" i="15"/>
  <c r="BO724" i="15" s="1"/>
  <c r="BP724" i="15" s="1"/>
  <c r="BQ724" i="15" s="1"/>
  <c r="CE855" i="15"/>
  <c r="CF855" i="15" s="1"/>
  <c r="AI855" i="15"/>
  <c r="CE841" i="15"/>
  <c r="CF841" i="15" s="1"/>
  <c r="AI841" i="15"/>
  <c r="CE831" i="15"/>
  <c r="CF831" i="15" s="1"/>
  <c r="AI831" i="15"/>
  <c r="AE771" i="15"/>
  <c r="AG771" i="15" s="1"/>
  <c r="AJ771" i="15"/>
  <c r="BO771" i="15" s="1"/>
  <c r="BP771" i="15" s="1"/>
  <c r="BQ771" i="15" s="1"/>
  <c r="AE761" i="15"/>
  <c r="AG761" i="15" s="1"/>
  <c r="AJ761" i="15"/>
  <c r="BO761" i="15" s="1"/>
  <c r="BP761" i="15" s="1"/>
  <c r="BQ761" i="15" s="1"/>
  <c r="AE751" i="15"/>
  <c r="AG751" i="15" s="1"/>
  <c r="AJ751" i="15"/>
  <c r="BO751" i="15" s="1"/>
  <c r="BP751" i="15" s="1"/>
  <c r="BQ751" i="15" s="1"/>
  <c r="AE733" i="15"/>
  <c r="AG733" i="15" s="1"/>
  <c r="AJ733" i="15"/>
  <c r="CE27" i="15"/>
  <c r="CF27" i="15" s="1"/>
  <c r="AI27" i="15"/>
  <c r="CE11" i="15"/>
  <c r="CF11" i="15" s="1"/>
  <c r="AI11" i="15"/>
  <c r="CE708" i="15"/>
  <c r="CF708" i="15" s="1"/>
  <c r="AI708" i="15"/>
  <c r="CE698" i="15"/>
  <c r="CF698" i="15" s="1"/>
  <c r="AI698" i="15"/>
  <c r="CE682" i="15"/>
  <c r="CF682" i="15" s="1"/>
  <c r="AI682" i="15"/>
  <c r="CE674" i="15"/>
  <c r="CF674" i="15" s="1"/>
  <c r="AI674" i="15"/>
  <c r="CE444" i="15"/>
  <c r="CF444" i="15" s="1"/>
  <c r="AI444" i="15"/>
  <c r="CE420" i="15"/>
  <c r="CF420" i="15" s="1"/>
  <c r="AI420" i="15"/>
  <c r="AE404" i="15"/>
  <c r="AG404" i="15" s="1"/>
  <c r="AJ404" i="15"/>
  <c r="BO404" i="15" s="1"/>
  <c r="BP404" i="15" s="1"/>
  <c r="BQ404" i="15" s="1"/>
  <c r="CE323" i="15"/>
  <c r="CF323" i="15" s="1"/>
  <c r="AI323" i="15"/>
  <c r="CE307" i="15"/>
  <c r="CF307" i="15" s="1"/>
  <c r="AI307" i="15"/>
  <c r="CE293" i="15"/>
  <c r="CF293" i="15" s="1"/>
  <c r="AI293" i="15"/>
  <c r="CE283" i="15"/>
  <c r="CF283" i="15" s="1"/>
  <c r="AI283" i="15"/>
  <c r="CE274" i="15"/>
  <c r="CF274" i="15" s="1"/>
  <c r="AI274" i="15"/>
  <c r="CE136" i="15"/>
  <c r="CF136" i="15" s="1"/>
  <c r="AI136" i="15"/>
  <c r="AE120" i="15"/>
  <c r="AG120" i="15" s="1"/>
  <c r="AJ120" i="15"/>
  <c r="BO120" i="15" s="1"/>
  <c r="BP120" i="15" s="1"/>
  <c r="BQ120" i="15" s="1"/>
  <c r="AE112" i="15"/>
  <c r="AG112" i="15" s="1"/>
  <c r="AJ112" i="15"/>
  <c r="BO112" i="15" s="1"/>
  <c r="BP112" i="15" s="1"/>
  <c r="BQ112" i="15" s="1"/>
  <c r="AE100" i="15"/>
  <c r="AG100" i="15" s="1"/>
  <c r="AJ100" i="15"/>
  <c r="BO100" i="15" s="1"/>
  <c r="BP100" i="15" s="1"/>
  <c r="BQ100" i="15" s="1"/>
  <c r="CE826" i="15"/>
  <c r="CF826" i="15" s="1"/>
  <c r="AI826" i="15"/>
  <c r="CE728" i="15"/>
  <c r="CF728" i="15" s="1"/>
  <c r="AI728" i="15"/>
  <c r="CE512" i="15"/>
  <c r="CF512" i="15" s="1"/>
  <c r="AI512" i="15"/>
  <c r="CE488" i="15"/>
  <c r="CF488" i="15" s="1"/>
  <c r="AI488" i="15"/>
  <c r="CE228" i="15"/>
  <c r="CF228" i="15" s="1"/>
  <c r="AI228" i="15"/>
  <c r="CE673" i="15"/>
  <c r="CF673" i="15" s="1"/>
  <c r="AI673" i="15"/>
  <c r="AE633" i="15"/>
  <c r="AG633" i="15" s="1"/>
  <c r="AJ633" i="15"/>
  <c r="BO633" i="15" s="1"/>
  <c r="BP633" i="15" s="1"/>
  <c r="BQ633" i="15" s="1"/>
  <c r="AE602" i="15"/>
  <c r="AG602" i="15" s="1"/>
  <c r="AJ602" i="15"/>
  <c r="BO602" i="15" s="1"/>
  <c r="BP602" i="15" s="1"/>
  <c r="BQ602" i="15" s="1"/>
  <c r="AE594" i="15"/>
  <c r="AG594" i="15" s="1"/>
  <c r="AJ594" i="15"/>
  <c r="BO594" i="15" s="1"/>
  <c r="BP594" i="15" s="1"/>
  <c r="BQ594" i="15" s="1"/>
  <c r="AE584" i="15"/>
  <c r="AG584" i="15" s="1"/>
  <c r="AJ584" i="15"/>
  <c r="BO584" i="15" s="1"/>
  <c r="BP584" i="15" s="1"/>
  <c r="BQ584" i="15" s="1"/>
  <c r="AE441" i="15"/>
  <c r="AG441" i="15" s="1"/>
  <c r="AJ441" i="15"/>
  <c r="BO441" i="15" s="1"/>
  <c r="BP441" i="15" s="1"/>
  <c r="BQ441" i="15" s="1"/>
  <c r="CE391" i="15"/>
  <c r="CF391" i="15" s="1"/>
  <c r="AI391" i="15"/>
  <c r="CE362" i="15"/>
  <c r="CF362" i="15" s="1"/>
  <c r="AI362" i="15"/>
  <c r="CE354" i="15"/>
  <c r="CF354" i="15" s="1"/>
  <c r="AI354" i="15"/>
  <c r="CE340" i="15"/>
  <c r="CF340" i="15" s="1"/>
  <c r="AI340" i="15"/>
  <c r="CE330" i="15"/>
  <c r="CF330" i="15" s="1"/>
  <c r="AI330" i="15"/>
  <c r="CE91" i="15"/>
  <c r="CF91" i="15" s="1"/>
  <c r="AI91" i="15"/>
  <c r="CE77" i="15"/>
  <c r="CF77" i="15" s="1"/>
  <c r="AI77" i="15"/>
  <c r="CE69" i="15"/>
  <c r="CF69" i="15" s="1"/>
  <c r="AI69" i="15"/>
  <c r="AE830" i="15"/>
  <c r="AJ830" i="15"/>
  <c r="BO830" i="15" s="1"/>
  <c r="BP830" i="15" s="1"/>
  <c r="BQ830" i="15" s="1"/>
  <c r="AE748" i="15"/>
  <c r="AG748" i="15" s="1"/>
  <c r="AJ748" i="15"/>
  <c r="BO748" i="15" s="1"/>
  <c r="BP748" i="15" s="1"/>
  <c r="BQ748" i="15" s="1"/>
  <c r="AE845" i="15"/>
  <c r="AJ845" i="15"/>
  <c r="BO845" i="15" s="1"/>
  <c r="BP845" i="15" s="1"/>
  <c r="BQ845" i="15" s="1"/>
  <c r="AE766" i="15"/>
  <c r="AG766" i="15" s="1"/>
  <c r="AJ766" i="15"/>
  <c r="BO766" i="15" s="1"/>
  <c r="BP766" i="15" s="1"/>
  <c r="BQ766" i="15" s="1"/>
  <c r="AE675" i="15"/>
  <c r="AG675" i="15" s="1"/>
  <c r="AJ675" i="15"/>
  <c r="BO675" i="15" s="1"/>
  <c r="BP675" i="15" s="1"/>
  <c r="BQ675" i="15" s="1"/>
  <c r="AE720" i="15"/>
  <c r="AG720" i="15" s="1"/>
  <c r="AJ720" i="15"/>
  <c r="BO720" i="15" s="1"/>
  <c r="BP720" i="15" s="1"/>
  <c r="BQ720" i="15" s="1"/>
  <c r="AE686" i="15"/>
  <c r="AG686" i="15" s="1"/>
  <c r="AJ686" i="15"/>
  <c r="BO686" i="15" s="1"/>
  <c r="BP686" i="15" s="1"/>
  <c r="BQ686" i="15" s="1"/>
  <c r="AE650" i="15"/>
  <c r="AG650" i="15" s="1"/>
  <c r="AJ650" i="15"/>
  <c r="BO650" i="15" s="1"/>
  <c r="BP650" i="15" s="1"/>
  <c r="BQ650" i="15" s="1"/>
  <c r="AE701" i="15"/>
  <c r="AG701" i="15" s="1"/>
  <c r="AJ701" i="15"/>
  <c r="BO701" i="15" s="1"/>
  <c r="BP701" i="15" s="1"/>
  <c r="BQ701" i="15" s="1"/>
  <c r="AE601" i="15"/>
  <c r="AG601" i="15" s="1"/>
  <c r="AJ601" i="15"/>
  <c r="BO601" i="15" s="1"/>
  <c r="BP601" i="15" s="1"/>
  <c r="BQ601" i="15" s="1"/>
  <c r="AE393" i="15"/>
  <c r="AG393" i="15" s="1"/>
  <c r="AJ393" i="15"/>
  <c r="BO393" i="15" s="1"/>
  <c r="BP393" i="15" s="1"/>
  <c r="BQ393" i="15" s="1"/>
  <c r="AE515" i="15"/>
  <c r="AG515" i="15" s="1"/>
  <c r="AJ515" i="15"/>
  <c r="AE482" i="15"/>
  <c r="AG482" i="15" s="1"/>
  <c r="AJ482" i="15"/>
  <c r="BO482" i="15" s="1"/>
  <c r="BP482" i="15" s="1"/>
  <c r="BQ482" i="15" s="1"/>
  <c r="AE420" i="15"/>
  <c r="AG420" i="15" s="1"/>
  <c r="AJ420" i="15"/>
  <c r="BO420" i="15" s="1"/>
  <c r="BP420" i="15" s="1"/>
  <c r="BQ420" i="15" s="1"/>
  <c r="AE391" i="15"/>
  <c r="AG391" i="15" s="1"/>
  <c r="AJ391" i="15"/>
  <c r="BO391" i="15" s="1"/>
  <c r="BP391" i="15" s="1"/>
  <c r="BQ391" i="15" s="1"/>
  <c r="AE691" i="15"/>
  <c r="AG691" i="15" s="1"/>
  <c r="AJ691" i="15"/>
  <c r="BO691" i="15" s="1"/>
  <c r="BP691" i="15" s="1"/>
  <c r="BQ691" i="15" s="1"/>
  <c r="AE595" i="15"/>
  <c r="AG595" i="15" s="1"/>
  <c r="AJ595" i="15"/>
  <c r="BO595" i="15" s="1"/>
  <c r="BP595" i="15" s="1"/>
  <c r="BQ595" i="15" s="1"/>
  <c r="AE579" i="15"/>
  <c r="AG579" i="15" s="1"/>
  <c r="AJ579" i="15"/>
  <c r="AE632" i="15"/>
  <c r="AG632" i="15" s="1"/>
  <c r="AJ632" i="15"/>
  <c r="BO632" i="15" s="1"/>
  <c r="BP632" i="15" s="1"/>
  <c r="BQ632" i="15" s="1"/>
  <c r="AE617" i="15"/>
  <c r="AG617" i="15" s="1"/>
  <c r="AJ617" i="15"/>
  <c r="BO617" i="15" s="1"/>
  <c r="BP617" i="15" s="1"/>
  <c r="BQ617" i="15" s="1"/>
  <c r="AE533" i="15"/>
  <c r="AG533" i="15" s="1"/>
  <c r="AJ533" i="15"/>
  <c r="BO533" i="15" s="1"/>
  <c r="BP533" i="15" s="1"/>
  <c r="BQ533" i="15" s="1"/>
  <c r="AE477" i="15"/>
  <c r="AG477" i="15" s="1"/>
  <c r="AJ477" i="15"/>
  <c r="BO477" i="15" s="1"/>
  <c r="BP477" i="15" s="1"/>
  <c r="BQ477" i="15" s="1"/>
  <c r="AE425" i="15"/>
  <c r="AG425" i="15" s="1"/>
  <c r="AJ425" i="15"/>
  <c r="BO425" i="15" s="1"/>
  <c r="BP425" i="15" s="1"/>
  <c r="BQ425" i="15" s="1"/>
  <c r="AE394" i="15"/>
  <c r="AG394" i="15" s="1"/>
  <c r="AJ394" i="15"/>
  <c r="BO394" i="15" s="1"/>
  <c r="BP394" i="15" s="1"/>
  <c r="BQ394" i="15" s="1"/>
  <c r="AE374" i="15"/>
  <c r="AG374" i="15" s="1"/>
  <c r="AJ374" i="15"/>
  <c r="BO374" i="15" s="1"/>
  <c r="BP374" i="15" s="1"/>
  <c r="BQ374" i="15" s="1"/>
  <c r="AE319" i="15"/>
  <c r="AG319" i="15" s="1"/>
  <c r="AJ319" i="15"/>
  <c r="BO319" i="15" s="1"/>
  <c r="BP319" i="15" s="1"/>
  <c r="BQ319" i="15" s="1"/>
  <c r="AE303" i="15"/>
  <c r="AG303" i="15" s="1"/>
  <c r="AJ303" i="15"/>
  <c r="BO303" i="15" s="1"/>
  <c r="BP303" i="15" s="1"/>
  <c r="BQ303" i="15" s="1"/>
  <c r="AE764" i="15"/>
  <c r="AG764" i="15" s="1"/>
  <c r="AJ764" i="15"/>
  <c r="BO764" i="15" s="1"/>
  <c r="BP764" i="15" s="1"/>
  <c r="BQ764" i="15" s="1"/>
  <c r="AE451" i="15"/>
  <c r="AG451" i="15" s="1"/>
  <c r="AJ451" i="15"/>
  <c r="BO451" i="15" s="1"/>
  <c r="BP451" i="15" s="1"/>
  <c r="BQ451" i="15" s="1"/>
  <c r="AE381" i="15"/>
  <c r="AG381" i="15" s="1"/>
  <c r="AJ381" i="15"/>
  <c r="BO381" i="15" s="1"/>
  <c r="BP381" i="15" s="1"/>
  <c r="BQ381" i="15" s="1"/>
  <c r="AE628" i="15"/>
  <c r="AG628" i="15" s="1"/>
  <c r="AJ628" i="15"/>
  <c r="BO628" i="15" s="1"/>
  <c r="BP628" i="15" s="1"/>
  <c r="BQ628" i="15" s="1"/>
  <c r="AE538" i="15"/>
  <c r="AG538" i="15" s="1"/>
  <c r="AJ538" i="15"/>
  <c r="BO538" i="15" s="1"/>
  <c r="BP538" i="15" s="1"/>
  <c r="BQ538" i="15" s="1"/>
  <c r="AE509" i="15"/>
  <c r="AG509" i="15" s="1"/>
  <c r="AJ509" i="15"/>
  <c r="BO509" i="15" s="1"/>
  <c r="BP509" i="15" s="1"/>
  <c r="BQ509" i="15" s="1"/>
  <c r="AE475" i="15"/>
  <c r="AG475" i="15" s="1"/>
  <c r="AJ475" i="15"/>
  <c r="BO475" i="15" s="1"/>
  <c r="BP475" i="15" s="1"/>
  <c r="BQ475" i="15" s="1"/>
  <c r="AE448" i="15"/>
  <c r="AG448" i="15" s="1"/>
  <c r="AJ448" i="15"/>
  <c r="BO448" i="15" s="1"/>
  <c r="BP448" i="15" s="1"/>
  <c r="BQ448" i="15" s="1"/>
  <c r="AE423" i="15"/>
  <c r="AG423" i="15" s="1"/>
  <c r="AJ423" i="15"/>
  <c r="BO423" i="15" s="1"/>
  <c r="BP423" i="15" s="1"/>
  <c r="BQ423" i="15" s="1"/>
  <c r="AE387" i="15"/>
  <c r="AG387" i="15" s="1"/>
  <c r="AJ387" i="15"/>
  <c r="BO387" i="15" s="1"/>
  <c r="BP387" i="15" s="1"/>
  <c r="BQ387" i="15" s="1"/>
  <c r="AE320" i="15"/>
  <c r="AG320" i="15" s="1"/>
  <c r="AJ320" i="15"/>
  <c r="BO320" i="15" s="1"/>
  <c r="BP320" i="15" s="1"/>
  <c r="BQ320" i="15" s="1"/>
  <c r="AE304" i="15"/>
  <c r="AG304" i="15" s="1"/>
  <c r="AJ304" i="15"/>
  <c r="BO304" i="15" s="1"/>
  <c r="BP304" i="15" s="1"/>
  <c r="BQ304" i="15" s="1"/>
  <c r="AE778" i="15"/>
  <c r="AG778" i="15" s="1"/>
  <c r="AJ778" i="15"/>
  <c r="BO778" i="15" s="1"/>
  <c r="BP778" i="15" s="1"/>
  <c r="BQ778" i="15" s="1"/>
  <c r="AE518" i="15"/>
  <c r="AG518" i="15" s="1"/>
  <c r="AJ518" i="15"/>
  <c r="BO518" i="15" s="1"/>
  <c r="BP518" i="15" s="1"/>
  <c r="BQ518" i="15" s="1"/>
  <c r="AE453" i="15"/>
  <c r="AG453" i="15" s="1"/>
  <c r="AJ453" i="15"/>
  <c r="BO453" i="15" s="1"/>
  <c r="BP453" i="15" s="1"/>
  <c r="BQ453" i="15" s="1"/>
  <c r="AE314" i="15"/>
  <c r="AG314" i="15" s="1"/>
  <c r="AJ314" i="15"/>
  <c r="BO314" i="15" s="1"/>
  <c r="BP314" i="15" s="1"/>
  <c r="BQ314" i="15" s="1"/>
  <c r="AE705" i="15"/>
  <c r="AG705" i="15" s="1"/>
  <c r="AJ705" i="15"/>
  <c r="BO705" i="15" s="1"/>
  <c r="BP705" i="15" s="1"/>
  <c r="BQ705" i="15" s="1"/>
  <c r="AE631" i="15"/>
  <c r="AG631" i="15" s="1"/>
  <c r="AJ631" i="15"/>
  <c r="BO631" i="15" s="1"/>
  <c r="BP631" i="15" s="1"/>
  <c r="BQ631" i="15" s="1"/>
  <c r="AE536" i="15"/>
  <c r="AG536" i="15" s="1"/>
  <c r="AJ536" i="15"/>
  <c r="BO536" i="15" s="1"/>
  <c r="BP536" i="15" s="1"/>
  <c r="BQ536" i="15" s="1"/>
  <c r="AE503" i="15"/>
  <c r="AG503" i="15" s="1"/>
  <c r="AJ503" i="15"/>
  <c r="BO503" i="15" s="1"/>
  <c r="BP503" i="15" s="1"/>
  <c r="BQ503" i="15" s="1"/>
  <c r="AE473" i="15"/>
  <c r="AG473" i="15" s="1"/>
  <c r="AJ473" i="15"/>
  <c r="AE456" i="15"/>
  <c r="AG456" i="15" s="1"/>
  <c r="AJ456" i="15"/>
  <c r="AE435" i="15"/>
  <c r="AG435" i="15" s="1"/>
  <c r="AJ435" i="15"/>
  <c r="BO435" i="15" s="1"/>
  <c r="BP435" i="15" s="1"/>
  <c r="BQ435" i="15" s="1"/>
  <c r="AE392" i="15"/>
  <c r="AG392" i="15" s="1"/>
  <c r="AJ392" i="15"/>
  <c r="BO392" i="15" s="1"/>
  <c r="BP392" i="15" s="1"/>
  <c r="BQ392" i="15" s="1"/>
  <c r="AE376" i="15"/>
  <c r="AG376" i="15" s="1"/>
  <c r="AJ376" i="15"/>
  <c r="BO376" i="15" s="1"/>
  <c r="BP376" i="15" s="1"/>
  <c r="BQ376" i="15" s="1"/>
  <c r="AE313" i="15"/>
  <c r="AG313" i="15" s="1"/>
  <c r="AJ313" i="15"/>
  <c r="BO313" i="15" s="1"/>
  <c r="BP313" i="15" s="1"/>
  <c r="BQ313" i="15" s="1"/>
  <c r="AE228" i="15"/>
  <c r="AG228" i="15" s="1"/>
  <c r="AJ228" i="15"/>
  <c r="BO228" i="15" s="1"/>
  <c r="BP228" i="15" s="1"/>
  <c r="BQ228" i="15" s="1"/>
  <c r="AE220" i="15"/>
  <c r="AG220" i="15" s="1"/>
  <c r="AJ220" i="15"/>
  <c r="AE158" i="15"/>
  <c r="AG158" i="15" s="1"/>
  <c r="AJ158" i="15"/>
  <c r="BO158" i="15" s="1"/>
  <c r="BP158" i="15" s="1"/>
  <c r="BQ158" i="15" s="1"/>
  <c r="AE773" i="15"/>
  <c r="AG773" i="15" s="1"/>
  <c r="AJ773" i="15"/>
  <c r="BO773" i="15" s="1"/>
  <c r="BP773" i="15" s="1"/>
  <c r="BQ773" i="15" s="1"/>
  <c r="AE532" i="15"/>
  <c r="AG532" i="15" s="1"/>
  <c r="AJ532" i="15"/>
  <c r="BO532" i="15" s="1"/>
  <c r="BP532" i="15" s="1"/>
  <c r="BQ532" i="15" s="1"/>
  <c r="AE449" i="15"/>
  <c r="AG449" i="15" s="1"/>
  <c r="AJ449" i="15"/>
  <c r="BO449" i="15" s="1"/>
  <c r="BP449" i="15" s="1"/>
  <c r="BQ449" i="15" s="1"/>
  <c r="AE373" i="15"/>
  <c r="AG373" i="15" s="1"/>
  <c r="AJ373" i="15"/>
  <c r="BO373" i="15" s="1"/>
  <c r="BP373" i="15" s="1"/>
  <c r="BQ373" i="15" s="1"/>
  <c r="AE363" i="15"/>
  <c r="AG363" i="15" s="1"/>
  <c r="AJ363" i="15"/>
  <c r="BO363" i="15" s="1"/>
  <c r="BP363" i="15" s="1"/>
  <c r="BQ363" i="15" s="1"/>
  <c r="AE331" i="15"/>
  <c r="AG331" i="15" s="1"/>
  <c r="AJ331" i="15"/>
  <c r="BO331" i="15" s="1"/>
  <c r="BP331" i="15" s="1"/>
  <c r="BQ331" i="15" s="1"/>
  <c r="AE280" i="15"/>
  <c r="AG280" i="15" s="1"/>
  <c r="AJ280" i="15"/>
  <c r="BO280" i="15" s="1"/>
  <c r="BP280" i="15" s="1"/>
  <c r="BQ280" i="15" s="1"/>
  <c r="AE202" i="15"/>
  <c r="AG202" i="15" s="1"/>
  <c r="AJ202" i="15"/>
  <c r="BO202" i="15" s="1"/>
  <c r="BP202" i="15" s="1"/>
  <c r="BQ202" i="15" s="1"/>
  <c r="AE185" i="15"/>
  <c r="AG185" i="15" s="1"/>
  <c r="AJ185" i="15"/>
  <c r="BO185" i="15" s="1"/>
  <c r="BP185" i="15" s="1"/>
  <c r="BQ185" i="15" s="1"/>
  <c r="AE169" i="15"/>
  <c r="AG169" i="15" s="1"/>
  <c r="AJ169" i="15"/>
  <c r="AE148" i="15"/>
  <c r="AG148" i="15" s="1"/>
  <c r="AJ148" i="15"/>
  <c r="BO148" i="15" s="1"/>
  <c r="BP148" i="15" s="1"/>
  <c r="BQ148" i="15" s="1"/>
  <c r="AE131" i="15"/>
  <c r="AG131" i="15" s="1"/>
  <c r="AJ131" i="15"/>
  <c r="BO131" i="15" s="1"/>
  <c r="BP131" i="15" s="1"/>
  <c r="BQ131" i="15" s="1"/>
  <c r="AE85" i="15"/>
  <c r="AG85" i="15" s="1"/>
  <c r="AJ85" i="15"/>
  <c r="BO85" i="15" s="1"/>
  <c r="BP85" i="15" s="1"/>
  <c r="BQ85" i="15" s="1"/>
  <c r="AE51" i="15"/>
  <c r="AG51" i="15" s="1"/>
  <c r="AJ51" i="15"/>
  <c r="BO51" i="15" s="1"/>
  <c r="BP51" i="15" s="1"/>
  <c r="BQ51" i="15" s="1"/>
  <c r="AE21" i="15"/>
  <c r="AG21" i="15" s="1"/>
  <c r="AJ21" i="15"/>
  <c r="BO21" i="15" s="1"/>
  <c r="BP21" i="15" s="1"/>
  <c r="BQ21" i="15" s="1"/>
  <c r="AE94" i="15"/>
  <c r="AG94" i="15" s="1"/>
  <c r="AJ94" i="15"/>
  <c r="BO94" i="15" s="1"/>
  <c r="BP94" i="15" s="1"/>
  <c r="BQ94" i="15" s="1"/>
  <c r="AE30" i="15"/>
  <c r="AG30" i="15" s="1"/>
  <c r="AJ30" i="15"/>
  <c r="BO30" i="15" s="1"/>
  <c r="BP30" i="15" s="1"/>
  <c r="BQ30" i="15" s="1"/>
  <c r="AE203" i="15"/>
  <c r="AG203" i="15" s="1"/>
  <c r="AJ203" i="15"/>
  <c r="BO203" i="15" s="1"/>
  <c r="BP203" i="15" s="1"/>
  <c r="BQ203" i="15" s="1"/>
  <c r="AE165" i="15"/>
  <c r="AG165" i="15" s="1"/>
  <c r="AJ165" i="15"/>
  <c r="BO165" i="15" s="1"/>
  <c r="BP165" i="15" s="1"/>
  <c r="BQ165" i="15" s="1"/>
  <c r="AE49" i="15"/>
  <c r="AG49" i="15" s="1"/>
  <c r="AJ49" i="15"/>
  <c r="BO49" i="15" s="1"/>
  <c r="BP49" i="15" s="1"/>
  <c r="BQ49" i="15" s="1"/>
  <c r="AE11" i="15"/>
  <c r="AG11" i="15" s="1"/>
  <c r="AJ11" i="15"/>
  <c r="BO11" i="15" s="1"/>
  <c r="BP11" i="15" s="1"/>
  <c r="BQ11" i="15" s="1"/>
  <c r="AE337" i="15"/>
  <c r="AG337" i="15" s="1"/>
  <c r="AJ337" i="15"/>
  <c r="BO337" i="15" s="1"/>
  <c r="BP337" i="15" s="1"/>
  <c r="BQ337" i="15" s="1"/>
  <c r="AE267" i="15"/>
  <c r="AG267" i="15" s="1"/>
  <c r="AJ267" i="15"/>
  <c r="BO267" i="15" s="1"/>
  <c r="BP267" i="15" s="1"/>
  <c r="BQ267" i="15" s="1"/>
  <c r="AE259" i="15"/>
  <c r="AG259" i="15" s="1"/>
  <c r="AJ259" i="15"/>
  <c r="BO259" i="15" s="1"/>
  <c r="BP259" i="15" s="1"/>
  <c r="BQ259" i="15" s="1"/>
  <c r="AE247" i="15"/>
  <c r="AG247" i="15" s="1"/>
  <c r="AJ247" i="15"/>
  <c r="BO247" i="15" s="1"/>
  <c r="BP247" i="15" s="1"/>
  <c r="BQ247" i="15" s="1"/>
  <c r="AE237" i="15"/>
  <c r="AG237" i="15" s="1"/>
  <c r="AJ237" i="15"/>
  <c r="BO237" i="15" s="1"/>
  <c r="BP237" i="15" s="1"/>
  <c r="BQ237" i="15" s="1"/>
  <c r="AE217" i="15"/>
  <c r="AG217" i="15" s="1"/>
  <c r="AJ217" i="15"/>
  <c r="BO217" i="15" s="1"/>
  <c r="BP217" i="15" s="1"/>
  <c r="BQ217" i="15" s="1"/>
  <c r="AE182" i="15"/>
  <c r="AG182" i="15" s="1"/>
  <c r="AJ182" i="15"/>
  <c r="BO182" i="15" s="1"/>
  <c r="BP182" i="15" s="1"/>
  <c r="BQ182" i="15" s="1"/>
  <c r="AE123" i="15"/>
  <c r="AG123" i="15" s="1"/>
  <c r="AJ123" i="15"/>
  <c r="BO123" i="15" s="1"/>
  <c r="BP123" i="15" s="1"/>
  <c r="BQ123" i="15" s="1"/>
  <c r="AE107" i="15"/>
  <c r="AG107" i="15" s="1"/>
  <c r="AJ107" i="15"/>
  <c r="BO107" i="15" s="1"/>
  <c r="BP107" i="15" s="1"/>
  <c r="BQ107" i="15" s="1"/>
  <c r="AE28" i="15"/>
  <c r="AG28" i="15" s="1"/>
  <c r="AJ28" i="15"/>
  <c r="BO28" i="15" s="1"/>
  <c r="BP28" i="15" s="1"/>
  <c r="BQ28" i="15" s="1"/>
  <c r="AE345" i="15"/>
  <c r="AG345" i="15" s="1"/>
  <c r="AJ345" i="15"/>
  <c r="BO345" i="15" s="1"/>
  <c r="BP345" i="15" s="1"/>
  <c r="BQ345" i="15" s="1"/>
  <c r="AE294" i="15"/>
  <c r="AG294" i="15" s="1"/>
  <c r="AJ294" i="15"/>
  <c r="BO294" i="15" s="1"/>
  <c r="BP294" i="15" s="1"/>
  <c r="BQ294" i="15" s="1"/>
  <c r="AE268" i="15"/>
  <c r="AG268" i="15" s="1"/>
  <c r="AJ268" i="15"/>
  <c r="BO268" i="15" s="1"/>
  <c r="BP268" i="15" s="1"/>
  <c r="BQ268" i="15" s="1"/>
  <c r="AE260" i="15"/>
  <c r="AG260" i="15" s="1"/>
  <c r="AJ260" i="15"/>
  <c r="BO260" i="15" s="1"/>
  <c r="BP260" i="15" s="1"/>
  <c r="BQ260" i="15" s="1"/>
  <c r="AE252" i="15"/>
  <c r="AG252" i="15" s="1"/>
  <c r="AJ252" i="15"/>
  <c r="AE242" i="15"/>
  <c r="AG242" i="15" s="1"/>
  <c r="AJ242" i="15"/>
  <c r="BO242" i="15" s="1"/>
  <c r="BP242" i="15" s="1"/>
  <c r="BQ242" i="15" s="1"/>
  <c r="AE234" i="15"/>
  <c r="AG234" i="15" s="1"/>
  <c r="AJ234" i="15"/>
  <c r="BO234" i="15" s="1"/>
  <c r="BP234" i="15" s="1"/>
  <c r="BQ234" i="15" s="1"/>
  <c r="AE216" i="15"/>
  <c r="AG216" i="15" s="1"/>
  <c r="AJ216" i="15"/>
  <c r="BO216" i="15" s="1"/>
  <c r="BP216" i="15" s="1"/>
  <c r="BQ216" i="15" s="1"/>
  <c r="AE200" i="15"/>
  <c r="AG200" i="15" s="1"/>
  <c r="AJ200" i="15"/>
  <c r="BO200" i="15" s="1"/>
  <c r="BP200" i="15" s="1"/>
  <c r="BQ200" i="15" s="1"/>
  <c r="AE186" i="15"/>
  <c r="AG186" i="15" s="1"/>
  <c r="AJ186" i="15"/>
  <c r="BO186" i="15" s="1"/>
  <c r="BP186" i="15" s="1"/>
  <c r="BQ186" i="15" s="1"/>
  <c r="AE170" i="15"/>
  <c r="AG170" i="15" s="1"/>
  <c r="AJ170" i="15"/>
  <c r="BO170" i="15" s="1"/>
  <c r="BP170" i="15" s="1"/>
  <c r="BQ170" i="15" s="1"/>
  <c r="AE139" i="15"/>
  <c r="AG139" i="15" s="1"/>
  <c r="AJ139" i="15"/>
  <c r="BO139" i="15" s="1"/>
  <c r="BP139" i="15" s="1"/>
  <c r="BQ139" i="15" s="1"/>
  <c r="AE357" i="15"/>
  <c r="AG357" i="15" s="1"/>
  <c r="AJ357" i="15"/>
  <c r="BO357" i="15" s="1"/>
  <c r="BP357" i="15" s="1"/>
  <c r="BQ357" i="15" s="1"/>
  <c r="AE290" i="15"/>
  <c r="AG290" i="15" s="1"/>
  <c r="AJ290" i="15"/>
  <c r="BO290" i="15" s="1"/>
  <c r="BP290" i="15" s="1"/>
  <c r="BQ290" i="15" s="1"/>
  <c r="AE212" i="15"/>
  <c r="AG212" i="15" s="1"/>
  <c r="AJ212" i="15"/>
  <c r="BO212" i="15" s="1"/>
  <c r="BP212" i="15" s="1"/>
  <c r="BQ212" i="15" s="1"/>
  <c r="AE176" i="15"/>
  <c r="AG176" i="15" s="1"/>
  <c r="AJ176" i="15"/>
  <c r="BO176" i="15" s="1"/>
  <c r="BP176" i="15" s="1"/>
  <c r="BQ176" i="15" s="1"/>
  <c r="AE142" i="15"/>
  <c r="AG142" i="15" s="1"/>
  <c r="AJ142" i="15"/>
  <c r="BO142" i="15" s="1"/>
  <c r="BP142" i="15" s="1"/>
  <c r="BQ142" i="15" s="1"/>
  <c r="AE27" i="15"/>
  <c r="AG27" i="15" s="1"/>
  <c r="AJ27" i="15"/>
  <c r="BO27" i="15" s="1"/>
  <c r="BP27" i="15" s="1"/>
  <c r="BQ27" i="15" s="1"/>
  <c r="AE235" i="15"/>
  <c r="AG235" i="15" s="1"/>
  <c r="AJ235" i="15"/>
  <c r="BO235" i="15" s="1"/>
  <c r="BP235" i="15" s="1"/>
  <c r="BQ235" i="15" s="1"/>
  <c r="AE201" i="15"/>
  <c r="AG201" i="15" s="1"/>
  <c r="AJ201" i="15"/>
  <c r="BO201" i="15" s="1"/>
  <c r="BP201" i="15" s="1"/>
  <c r="BQ201" i="15" s="1"/>
  <c r="AE159" i="15"/>
  <c r="AG159" i="15" s="1"/>
  <c r="AJ159" i="15"/>
  <c r="BO159" i="15" s="1"/>
  <c r="BP159" i="15" s="1"/>
  <c r="BQ159" i="15" s="1"/>
  <c r="AE88" i="15"/>
  <c r="AG88" i="15" s="1"/>
  <c r="AJ88" i="15"/>
  <c r="BO88" i="15" s="1"/>
  <c r="BP88" i="15" s="1"/>
  <c r="BQ88" i="15" s="1"/>
  <c r="AE16" i="15"/>
  <c r="AG16" i="15" s="1"/>
  <c r="AJ16" i="15"/>
  <c r="BO16" i="15" s="1"/>
  <c r="BP16" i="15" s="1"/>
  <c r="BQ16" i="15" s="1"/>
  <c r="AE72" i="15"/>
  <c r="AG72" i="15" s="1"/>
  <c r="AJ72" i="15"/>
  <c r="BO72" i="15" s="1"/>
  <c r="BP72" i="15" s="1"/>
  <c r="BQ72" i="15" s="1"/>
  <c r="AE78" i="15"/>
  <c r="AG78" i="15" s="1"/>
  <c r="AJ78" i="15"/>
  <c r="BO78" i="15" s="1"/>
  <c r="BP78" i="15" s="1"/>
  <c r="BQ78" i="15" s="1"/>
  <c r="AE117" i="15"/>
  <c r="AG117" i="15" s="1"/>
  <c r="AJ117" i="15"/>
  <c r="BO117" i="15" s="1"/>
  <c r="BP117" i="15" s="1"/>
  <c r="BQ117" i="15" s="1"/>
  <c r="AE779" i="15"/>
  <c r="AG779" i="15" s="1"/>
  <c r="AJ779" i="15"/>
  <c r="BO779" i="15" s="1"/>
  <c r="BP779" i="15" s="1"/>
  <c r="BQ779" i="15" s="1"/>
  <c r="AE798" i="15"/>
  <c r="AG798" i="15" s="1"/>
  <c r="AJ798" i="15"/>
  <c r="BO798" i="15" s="1"/>
  <c r="BP798" i="15" s="1"/>
  <c r="BQ798" i="15" s="1"/>
  <c r="AE806" i="15"/>
  <c r="AG806" i="15" s="1"/>
  <c r="AJ806" i="15"/>
  <c r="BO806" i="15" s="1"/>
  <c r="BP806" i="15" s="1"/>
  <c r="BQ806" i="15" s="1"/>
  <c r="AE750" i="15"/>
  <c r="AG750" i="15" s="1"/>
  <c r="AJ750" i="15"/>
  <c r="BO750" i="15" s="1"/>
  <c r="BP750" i="15" s="1"/>
  <c r="BQ750" i="15" s="1"/>
  <c r="AE566" i="15"/>
  <c r="AG566" i="15" s="1"/>
  <c r="AJ566" i="15"/>
  <c r="BO566" i="15" s="1"/>
  <c r="BP566" i="15" s="1"/>
  <c r="BQ566" i="15" s="1"/>
  <c r="AE550" i="15"/>
  <c r="AG550" i="15" s="1"/>
  <c r="AJ550" i="15"/>
  <c r="BO550" i="15" s="1"/>
  <c r="BP550" i="15" s="1"/>
  <c r="BQ550" i="15" s="1"/>
  <c r="AE440" i="15"/>
  <c r="AG440" i="15" s="1"/>
  <c r="AJ440" i="15"/>
  <c r="BO440" i="15" s="1"/>
  <c r="BP440" i="15" s="1"/>
  <c r="BQ440" i="15" s="1"/>
  <c r="AE334" i="15"/>
  <c r="AG334" i="15" s="1"/>
  <c r="AJ334" i="15"/>
  <c r="BO334" i="15" s="1"/>
  <c r="BP334" i="15" s="1"/>
  <c r="BQ334" i="15" s="1"/>
  <c r="AE730" i="15"/>
  <c r="AG730" i="15" s="1"/>
  <c r="AJ730" i="15"/>
  <c r="BO730" i="15" s="1"/>
  <c r="BP730" i="15" s="1"/>
  <c r="BQ730" i="15" s="1"/>
  <c r="AE571" i="15"/>
  <c r="AG571" i="15" s="1"/>
  <c r="AJ571" i="15"/>
  <c r="BO571" i="15" s="1"/>
  <c r="BP571" i="15" s="1"/>
  <c r="BQ571" i="15" s="1"/>
  <c r="AE555" i="15"/>
  <c r="AG555" i="15" s="1"/>
  <c r="AJ555" i="15"/>
  <c r="BO555" i="15" s="1"/>
  <c r="BP555" i="15" s="1"/>
  <c r="BQ555" i="15" s="1"/>
  <c r="AE457" i="15"/>
  <c r="AG457" i="15" s="1"/>
  <c r="AJ457" i="15"/>
  <c r="BO457" i="15" s="1"/>
  <c r="BP457" i="15" s="1"/>
  <c r="BQ457" i="15" s="1"/>
  <c r="AE618" i="15"/>
  <c r="AG618" i="15" s="1"/>
  <c r="AJ618" i="15"/>
  <c r="BO618" i="15" s="1"/>
  <c r="BP618" i="15" s="1"/>
  <c r="BQ618" i="15" s="1"/>
  <c r="AE504" i="15"/>
  <c r="AG504" i="15" s="1"/>
  <c r="AJ504" i="15"/>
  <c r="BO504" i="15" s="1"/>
  <c r="BP504" i="15" s="1"/>
  <c r="BQ504" i="15" s="1"/>
  <c r="AE350" i="15"/>
  <c r="AG350" i="15" s="1"/>
  <c r="AJ350" i="15"/>
  <c r="BO350" i="15" s="1"/>
  <c r="BP350" i="15" s="1"/>
  <c r="BQ350" i="15" s="1"/>
  <c r="AE568" i="15"/>
  <c r="AG568" i="15" s="1"/>
  <c r="AJ568" i="15"/>
  <c r="BO568" i="15" s="1"/>
  <c r="BP568" i="15" s="1"/>
  <c r="BQ568" i="15" s="1"/>
  <c r="AE552" i="15"/>
  <c r="AG552" i="15" s="1"/>
  <c r="AJ552" i="15"/>
  <c r="BO552" i="15" s="1"/>
  <c r="BP552" i="15" s="1"/>
  <c r="BQ552" i="15" s="1"/>
  <c r="AE130" i="15"/>
  <c r="AG130" i="15" s="1"/>
  <c r="AJ130" i="15"/>
  <c r="BO130" i="15" s="1"/>
  <c r="BP130" i="15" s="1"/>
  <c r="BQ130" i="15" s="1"/>
  <c r="AE742" i="15"/>
  <c r="AG742" i="15" s="1"/>
  <c r="AJ742" i="15"/>
  <c r="BO742" i="15" s="1"/>
  <c r="BP742" i="15" s="1"/>
  <c r="BQ742" i="15" s="1"/>
  <c r="AE557" i="15"/>
  <c r="AG557" i="15" s="1"/>
  <c r="AJ557" i="15"/>
  <c r="BO557" i="15" s="1"/>
  <c r="BP557" i="15" s="1"/>
  <c r="BQ557" i="15" s="1"/>
  <c r="AE134" i="15"/>
  <c r="AG134" i="15" s="1"/>
  <c r="AJ134" i="15"/>
  <c r="BO134" i="15" s="1"/>
  <c r="BP134" i="15" s="1"/>
  <c r="BQ134" i="15" s="1"/>
  <c r="AE649" i="15"/>
  <c r="AG649" i="15" s="1"/>
  <c r="AJ649" i="15"/>
  <c r="BO649" i="15" s="1"/>
  <c r="BP649" i="15" s="1"/>
  <c r="BQ649" i="15" s="1"/>
  <c r="AE459" i="15"/>
  <c r="AG459" i="15" s="1"/>
  <c r="AJ459" i="15"/>
  <c r="BO459" i="15" s="1"/>
  <c r="BP459" i="15" s="1"/>
  <c r="BQ459" i="15" s="1"/>
  <c r="AE524" i="15"/>
  <c r="AG524" i="15" s="1"/>
  <c r="AJ524" i="15"/>
  <c r="BO524" i="15" s="1"/>
  <c r="BP524" i="15" s="1"/>
  <c r="BQ524" i="15" s="1"/>
  <c r="AJ36" i="15"/>
  <c r="CE857" i="15"/>
  <c r="CF857" i="15" s="1"/>
  <c r="AI857" i="15"/>
  <c r="CE851" i="15"/>
  <c r="CF851" i="15" s="1"/>
  <c r="AI851" i="15"/>
  <c r="CE843" i="15"/>
  <c r="CF843" i="15" s="1"/>
  <c r="AI843" i="15"/>
  <c r="CE839" i="15"/>
  <c r="CF839" i="15" s="1"/>
  <c r="AI839" i="15"/>
  <c r="CE833" i="15"/>
  <c r="CF833" i="15" s="1"/>
  <c r="AI833" i="15"/>
  <c r="CE779" i="15"/>
  <c r="CF779" i="15" s="1"/>
  <c r="AI779" i="15"/>
  <c r="AE769" i="15"/>
  <c r="AG769" i="15" s="1"/>
  <c r="AJ769" i="15"/>
  <c r="BO769" i="15" s="1"/>
  <c r="BP769" i="15" s="1"/>
  <c r="BQ769" i="15" s="1"/>
  <c r="AE763" i="15"/>
  <c r="AG763" i="15" s="1"/>
  <c r="AJ763" i="15"/>
  <c r="BO763" i="15" s="1"/>
  <c r="BP763" i="15" s="1"/>
  <c r="BQ763" i="15" s="1"/>
  <c r="AE774" i="15"/>
  <c r="AG774" i="15" s="1"/>
  <c r="AJ774" i="15"/>
  <c r="BO774" i="15" s="1"/>
  <c r="BP774" i="15" s="1"/>
  <c r="BQ774" i="15" s="1"/>
  <c r="AE755" i="15"/>
  <c r="AG755" i="15" s="1"/>
  <c r="AJ755" i="15"/>
  <c r="AE749" i="15"/>
  <c r="AG749" i="15" s="1"/>
  <c r="AJ749" i="15"/>
  <c r="BO749" i="15" s="1"/>
  <c r="BP749" i="15" s="1"/>
  <c r="BQ749" i="15" s="1"/>
  <c r="AE741" i="15"/>
  <c r="AG741" i="15" s="1"/>
  <c r="AJ741" i="15"/>
  <c r="BO741" i="15" s="1"/>
  <c r="BP741" i="15" s="1"/>
  <c r="BQ741" i="15" s="1"/>
  <c r="CE527" i="15"/>
  <c r="CF527" i="15" s="1"/>
  <c r="AI527" i="15"/>
  <c r="CE519" i="15"/>
  <c r="CF519" i="15" s="1"/>
  <c r="AI519" i="15"/>
  <c r="AE505" i="15"/>
  <c r="AG505" i="15" s="1"/>
  <c r="AJ505" i="15"/>
  <c r="BO505" i="15" s="1"/>
  <c r="BP505" i="15" s="1"/>
  <c r="BQ505" i="15" s="1"/>
  <c r="CE31" i="15"/>
  <c r="CF31" i="15" s="1"/>
  <c r="AI31" i="15"/>
  <c r="CE23" i="15"/>
  <c r="CF23" i="15" s="1"/>
  <c r="AI23" i="15"/>
  <c r="CE15" i="15"/>
  <c r="CF15" i="15" s="1"/>
  <c r="AI15" i="15"/>
  <c r="AE38" i="15"/>
  <c r="AG38" i="15" s="1"/>
  <c r="AJ38" i="15"/>
  <c r="BO38" i="15" s="1"/>
  <c r="BP38" i="15" s="1"/>
  <c r="BQ38" i="15" s="1"/>
  <c r="CE154" i="15"/>
  <c r="CF154" i="15" s="1"/>
  <c r="AI154" i="15"/>
  <c r="CE706" i="15"/>
  <c r="CF706" i="15" s="1"/>
  <c r="AI706" i="15"/>
  <c r="CE700" i="15"/>
  <c r="CF700" i="15" s="1"/>
  <c r="AI700" i="15"/>
  <c r="CE696" i="15"/>
  <c r="CF696" i="15" s="1"/>
  <c r="AI696" i="15"/>
  <c r="CE690" i="15"/>
  <c r="CF690" i="15" s="1"/>
  <c r="AI690" i="15"/>
  <c r="CE678" i="15"/>
  <c r="CF678" i="15" s="1"/>
  <c r="AI678" i="15"/>
  <c r="CE670" i="15"/>
  <c r="CF670" i="15" s="1"/>
  <c r="AI670" i="15"/>
  <c r="AE625" i="15"/>
  <c r="AG625" i="15" s="1"/>
  <c r="AJ625" i="15"/>
  <c r="BO625" i="15" s="1"/>
  <c r="BP625" i="15" s="1"/>
  <c r="BQ625" i="15" s="1"/>
  <c r="CE438" i="15"/>
  <c r="CF438" i="15" s="1"/>
  <c r="AI438" i="15"/>
  <c r="CE424" i="15"/>
  <c r="CF424" i="15" s="1"/>
  <c r="AI424" i="15"/>
  <c r="CE416" i="15"/>
  <c r="CF416" i="15" s="1"/>
  <c r="AI416" i="15"/>
  <c r="AE396" i="15"/>
  <c r="AG396" i="15" s="1"/>
  <c r="AJ396" i="15"/>
  <c r="BO396" i="15" s="1"/>
  <c r="BP396" i="15" s="1"/>
  <c r="BQ396" i="15" s="1"/>
  <c r="CE382" i="15"/>
  <c r="CF382" i="15" s="1"/>
  <c r="AI382" i="15"/>
  <c r="CE319" i="15"/>
  <c r="CF319" i="15" s="1"/>
  <c r="AI319" i="15"/>
  <c r="CE311" i="15"/>
  <c r="CF311" i="15" s="1"/>
  <c r="AI311" i="15"/>
  <c r="CE303" i="15"/>
  <c r="CF303" i="15" s="1"/>
  <c r="AI303" i="15"/>
  <c r="CE295" i="15"/>
  <c r="CF295" i="15" s="1"/>
  <c r="AI295" i="15"/>
  <c r="CE291" i="15"/>
  <c r="CF291" i="15" s="1"/>
  <c r="AI291" i="15"/>
  <c r="CE285" i="15"/>
  <c r="CF285" i="15" s="1"/>
  <c r="AI285" i="15"/>
  <c r="CE281" i="15"/>
  <c r="CF281" i="15" s="1"/>
  <c r="AI281" i="15"/>
  <c r="CE277" i="15"/>
  <c r="CF277" i="15" s="1"/>
  <c r="AI277" i="15"/>
  <c r="CE273" i="15"/>
  <c r="CF273" i="15" s="1"/>
  <c r="AI273" i="15"/>
  <c r="CE132" i="15"/>
  <c r="CF132" i="15" s="1"/>
  <c r="AI132" i="15"/>
  <c r="AE122" i="15"/>
  <c r="AG122" i="15" s="1"/>
  <c r="AJ122" i="15"/>
  <c r="BO122" i="15" s="1"/>
  <c r="BP122" i="15" s="1"/>
  <c r="BQ122" i="15" s="1"/>
  <c r="AE118" i="15"/>
  <c r="AG118" i="15" s="1"/>
  <c r="AJ118" i="15"/>
  <c r="BO118" i="15" s="1"/>
  <c r="BP118" i="15" s="1"/>
  <c r="BQ118" i="15" s="1"/>
  <c r="AE114" i="15"/>
  <c r="AG114" i="15" s="1"/>
  <c r="AJ114" i="15"/>
  <c r="BO114" i="15" s="1"/>
  <c r="BP114" i="15" s="1"/>
  <c r="BQ114" i="15" s="1"/>
  <c r="AE110" i="15"/>
  <c r="AG110" i="15" s="1"/>
  <c r="AJ110" i="15"/>
  <c r="BO110" i="15" s="1"/>
  <c r="BP110" i="15" s="1"/>
  <c r="BQ110" i="15" s="1"/>
  <c r="AE106" i="15"/>
  <c r="AG106" i="15" s="1"/>
  <c r="AJ106" i="15"/>
  <c r="BO106" i="15" s="1"/>
  <c r="BP106" i="15" s="1"/>
  <c r="BQ106" i="15" s="1"/>
  <c r="AE102" i="15"/>
  <c r="AG102" i="15" s="1"/>
  <c r="AJ102" i="15"/>
  <c r="BO102" i="15" s="1"/>
  <c r="BP102" i="15" s="1"/>
  <c r="BQ102" i="15" s="1"/>
  <c r="AE40" i="15"/>
  <c r="AG40" i="15" s="1"/>
  <c r="AJ40" i="15"/>
  <c r="BO40" i="15" s="1"/>
  <c r="BP40" i="15" s="1"/>
  <c r="BQ40" i="15" s="1"/>
  <c r="CE804" i="15"/>
  <c r="CF804" i="15" s="1"/>
  <c r="AI804" i="15"/>
  <c r="CE740" i="15"/>
  <c r="CF740" i="15" s="1"/>
  <c r="AI740" i="15"/>
  <c r="AE726" i="15"/>
  <c r="AG726" i="15" s="1"/>
  <c r="AJ726" i="15"/>
  <c r="BO726" i="15" s="1"/>
  <c r="BP726" i="15" s="1"/>
  <c r="BQ726" i="15" s="1"/>
  <c r="CE524" i="15"/>
  <c r="CF524" i="15" s="1"/>
  <c r="AI524" i="15"/>
  <c r="CE508" i="15"/>
  <c r="CF508" i="15" s="1"/>
  <c r="AI508" i="15"/>
  <c r="CE494" i="15"/>
  <c r="CF494" i="15" s="1"/>
  <c r="AI494" i="15"/>
  <c r="CE484" i="15"/>
  <c r="CF484" i="15" s="1"/>
  <c r="AI484" i="15"/>
  <c r="CE476" i="15"/>
  <c r="CF476" i="15" s="1"/>
  <c r="AI476" i="15"/>
  <c r="CE677" i="15"/>
  <c r="CF677" i="15" s="1"/>
  <c r="AI677" i="15"/>
  <c r="CE643" i="15"/>
  <c r="CF643" i="15" s="1"/>
  <c r="AI643" i="15"/>
  <c r="AE608" i="15"/>
  <c r="AG608" i="15" s="1"/>
  <c r="AJ608" i="15"/>
  <c r="BO608" i="15" s="1"/>
  <c r="BP608" i="15" s="1"/>
  <c r="BQ608" i="15" s="1"/>
  <c r="AE604" i="15"/>
  <c r="AG604" i="15" s="1"/>
  <c r="AJ604" i="15"/>
  <c r="BO604" i="15" s="1"/>
  <c r="BP604" i="15" s="1"/>
  <c r="BQ604" i="15" s="1"/>
  <c r="AE600" i="15"/>
  <c r="AG600" i="15" s="1"/>
  <c r="AJ600" i="15"/>
  <c r="BO600" i="15" s="1"/>
  <c r="BP600" i="15" s="1"/>
  <c r="BQ600" i="15" s="1"/>
  <c r="AE596" i="15"/>
  <c r="AG596" i="15" s="1"/>
  <c r="AJ596" i="15"/>
  <c r="BO596" i="15" s="1"/>
  <c r="BP596" i="15" s="1"/>
  <c r="BQ596" i="15" s="1"/>
  <c r="AE592" i="15"/>
  <c r="AG592" i="15" s="1"/>
  <c r="AJ592" i="15"/>
  <c r="BO592" i="15" s="1"/>
  <c r="BP592" i="15" s="1"/>
  <c r="BQ592" i="15" s="1"/>
  <c r="AE586" i="15"/>
  <c r="AG586" i="15" s="1"/>
  <c r="AJ586" i="15"/>
  <c r="BO586" i="15" s="1"/>
  <c r="BP586" i="15" s="1"/>
  <c r="BQ586" i="15" s="1"/>
  <c r="AE582" i="15"/>
  <c r="AG582" i="15" s="1"/>
  <c r="AJ582" i="15"/>
  <c r="BO582" i="15" s="1"/>
  <c r="BP582" i="15" s="1"/>
  <c r="BQ582" i="15" s="1"/>
  <c r="CE467" i="15"/>
  <c r="CF467" i="15" s="1"/>
  <c r="AI467" i="15"/>
  <c r="CE459" i="15"/>
  <c r="CF459" i="15" s="1"/>
  <c r="AI459" i="15"/>
  <c r="AE433" i="15"/>
  <c r="AG433" i="15" s="1"/>
  <c r="AJ433" i="15"/>
  <c r="BO433" i="15" s="1"/>
  <c r="BP433" i="15" s="1"/>
  <c r="BQ433" i="15" s="1"/>
  <c r="CE399" i="15"/>
  <c r="CF399" i="15" s="1"/>
  <c r="AI399" i="15"/>
  <c r="CE374" i="15"/>
  <c r="CF374" i="15" s="1"/>
  <c r="AI374" i="15"/>
  <c r="CE364" i="15"/>
  <c r="CF364" i="15" s="1"/>
  <c r="AI364" i="15"/>
  <c r="CE360" i="15"/>
  <c r="CF360" i="15" s="1"/>
  <c r="AI360" i="15"/>
  <c r="CE356" i="15"/>
  <c r="CF356" i="15" s="1"/>
  <c r="AI356" i="15"/>
  <c r="CE352" i="15"/>
  <c r="CF352" i="15" s="1"/>
  <c r="AI352" i="15"/>
  <c r="CE346" i="15"/>
  <c r="CF346" i="15" s="1"/>
  <c r="AI346" i="15"/>
  <c r="CE342" i="15"/>
  <c r="CF342" i="15" s="1"/>
  <c r="AI342" i="15"/>
  <c r="CE338" i="15"/>
  <c r="CF338" i="15" s="1"/>
  <c r="AI338" i="15"/>
  <c r="CE332" i="15"/>
  <c r="CF332" i="15" s="1"/>
  <c r="AI332" i="15"/>
  <c r="CE328" i="15"/>
  <c r="CF328" i="15" s="1"/>
  <c r="AI328" i="15"/>
  <c r="CE95" i="15"/>
  <c r="CF95" i="15" s="1"/>
  <c r="AI95" i="15"/>
  <c r="CE87" i="15"/>
  <c r="CF87" i="15" s="1"/>
  <c r="AI87" i="15"/>
  <c r="CE79" i="15"/>
  <c r="CF79" i="15" s="1"/>
  <c r="AI79" i="15"/>
  <c r="CE75" i="15"/>
  <c r="CF75" i="15" s="1"/>
  <c r="AI75" i="15"/>
  <c r="CE71" i="15"/>
  <c r="CF71" i="15" s="1"/>
  <c r="AI71" i="15"/>
  <c r="AE815" i="15"/>
  <c r="AG815" i="15" s="1"/>
  <c r="AJ815" i="15"/>
  <c r="BO815" i="15" s="1"/>
  <c r="BP815" i="15" s="1"/>
  <c r="BQ815" i="15" s="1"/>
  <c r="AE801" i="15"/>
  <c r="AG801" i="15" s="1"/>
  <c r="AJ801" i="15"/>
  <c r="BO801" i="15" s="1"/>
  <c r="BP801" i="15" s="1"/>
  <c r="BQ801" i="15" s="1"/>
  <c r="AE802" i="15"/>
  <c r="AG802" i="15" s="1"/>
  <c r="AJ802" i="15"/>
  <c r="BO802" i="15" s="1"/>
  <c r="BP802" i="15" s="1"/>
  <c r="BQ802" i="15" s="1"/>
  <c r="AE856" i="15"/>
  <c r="AJ856" i="15"/>
  <c r="BO856" i="15" s="1"/>
  <c r="BP856" i="15" s="1"/>
  <c r="BQ856" i="15" s="1"/>
  <c r="AE861" i="15"/>
  <c r="AJ861" i="15"/>
  <c r="BO861" i="15" s="1"/>
  <c r="BP861" i="15" s="1"/>
  <c r="BQ861" i="15" s="1"/>
  <c r="AE794" i="15"/>
  <c r="AG794" i="15" s="1"/>
  <c r="AJ794" i="15"/>
  <c r="BO794" i="15" s="1"/>
  <c r="BP794" i="15" s="1"/>
  <c r="BQ794" i="15" s="1"/>
  <c r="AE752" i="15"/>
  <c r="AG752" i="15" s="1"/>
  <c r="AJ752" i="15"/>
  <c r="BO752" i="15" s="1"/>
  <c r="BP752" i="15" s="1"/>
  <c r="BQ752" i="15" s="1"/>
  <c r="AE681" i="15"/>
  <c r="AG681" i="15" s="1"/>
  <c r="AJ681" i="15"/>
  <c r="BO681" i="15" s="1"/>
  <c r="BP681" i="15" s="1"/>
  <c r="BQ681" i="15" s="1"/>
  <c r="AE669" i="15"/>
  <c r="AG669" i="15" s="1"/>
  <c r="AJ669" i="15"/>
  <c r="AE812" i="15"/>
  <c r="AG812" i="15" s="1"/>
  <c r="AJ812" i="15"/>
  <c r="BO812" i="15" s="1"/>
  <c r="BP812" i="15" s="1"/>
  <c r="BQ812" i="15" s="1"/>
  <c r="AE727" i="15"/>
  <c r="AG727" i="15" s="1"/>
  <c r="AJ727" i="15"/>
  <c r="BO727" i="15" s="1"/>
  <c r="BP727" i="15" s="1"/>
  <c r="BQ727" i="15" s="1"/>
  <c r="AE703" i="15"/>
  <c r="AG703" i="15" s="1"/>
  <c r="AJ703" i="15"/>
  <c r="BO703" i="15" s="1"/>
  <c r="BP703" i="15" s="1"/>
  <c r="BQ703" i="15" s="1"/>
  <c r="AE642" i="15"/>
  <c r="AG642" i="15" s="1"/>
  <c r="AJ642" i="15"/>
  <c r="AE737" i="15"/>
  <c r="AG737" i="15" s="1"/>
  <c r="AJ737" i="15"/>
  <c r="BO737" i="15" s="1"/>
  <c r="BP737" i="15" s="1"/>
  <c r="BQ737" i="15" s="1"/>
  <c r="AE613" i="15"/>
  <c r="AG613" i="15" s="1"/>
  <c r="AJ613" i="15"/>
  <c r="BO613" i="15" s="1"/>
  <c r="BP613" i="15" s="1"/>
  <c r="BQ613" i="15" s="1"/>
  <c r="AE593" i="15"/>
  <c r="AG593" i="15" s="1"/>
  <c r="AJ593" i="15"/>
  <c r="BO593" i="15" s="1"/>
  <c r="BP593" i="15" s="1"/>
  <c r="BQ593" i="15" s="1"/>
  <c r="AE438" i="15"/>
  <c r="AG438" i="15" s="1"/>
  <c r="AJ438" i="15"/>
  <c r="BO438" i="15" s="1"/>
  <c r="BP438" i="15" s="1"/>
  <c r="BQ438" i="15" s="1"/>
  <c r="AE627" i="15"/>
  <c r="AG627" i="15" s="1"/>
  <c r="AJ627" i="15"/>
  <c r="BO627" i="15" s="1"/>
  <c r="BP627" i="15" s="1"/>
  <c r="BQ627" i="15" s="1"/>
  <c r="AE500" i="15"/>
  <c r="AG500" i="15" s="1"/>
  <c r="AJ500" i="15"/>
  <c r="BO500" i="15" s="1"/>
  <c r="BP500" i="15" s="1"/>
  <c r="BQ500" i="15" s="1"/>
  <c r="AE478" i="15"/>
  <c r="AG478" i="15" s="1"/>
  <c r="AJ478" i="15"/>
  <c r="BO478" i="15" s="1"/>
  <c r="BP478" i="15" s="1"/>
  <c r="BQ478" i="15" s="1"/>
  <c r="AE444" i="15"/>
  <c r="AG444" i="15" s="1"/>
  <c r="AJ444" i="15"/>
  <c r="BO444" i="15" s="1"/>
  <c r="BP444" i="15" s="1"/>
  <c r="BQ444" i="15" s="1"/>
  <c r="AE416" i="15"/>
  <c r="AG416" i="15" s="1"/>
  <c r="AJ416" i="15"/>
  <c r="BO416" i="15" s="1"/>
  <c r="BP416" i="15" s="1"/>
  <c r="BQ416" i="15" s="1"/>
  <c r="AE707" i="15"/>
  <c r="AG707" i="15" s="1"/>
  <c r="AJ707" i="15"/>
  <c r="BO707" i="15" s="1"/>
  <c r="BP707" i="15" s="1"/>
  <c r="BQ707" i="15" s="1"/>
  <c r="AE603" i="15"/>
  <c r="AG603" i="15" s="1"/>
  <c r="AJ603" i="15"/>
  <c r="BO603" i="15" s="1"/>
  <c r="BP603" i="15" s="1"/>
  <c r="BQ603" i="15" s="1"/>
  <c r="AE647" i="15"/>
  <c r="AG647" i="15" s="1"/>
  <c r="AJ647" i="15"/>
  <c r="BO647" i="15" s="1"/>
  <c r="BP647" i="15" s="1"/>
  <c r="BQ647" i="15" s="1"/>
  <c r="AE542" i="15"/>
  <c r="AG542" i="15" s="1"/>
  <c r="AJ542" i="15"/>
  <c r="BO542" i="15" s="1"/>
  <c r="BP542" i="15" s="1"/>
  <c r="BQ542" i="15" s="1"/>
  <c r="AE460" i="15"/>
  <c r="AG460" i="15" s="1"/>
  <c r="AJ460" i="15"/>
  <c r="BO460" i="15" s="1"/>
  <c r="BP460" i="15" s="1"/>
  <c r="BQ460" i="15" s="1"/>
  <c r="AE386" i="15"/>
  <c r="AG386" i="15" s="1"/>
  <c r="AJ386" i="15"/>
  <c r="BO386" i="15" s="1"/>
  <c r="BP386" i="15" s="1"/>
  <c r="BQ386" i="15" s="1"/>
  <c r="AE817" i="15"/>
  <c r="AG817" i="15" s="1"/>
  <c r="AJ817" i="15"/>
  <c r="BO817" i="15" s="1"/>
  <c r="BP817" i="15" s="1"/>
  <c r="BQ817" i="15" s="1"/>
  <c r="AE389" i="15"/>
  <c r="AG389" i="15" s="1"/>
  <c r="AJ389" i="15"/>
  <c r="BO389" i="15" s="1"/>
  <c r="BP389" i="15" s="1"/>
  <c r="BQ389" i="15" s="1"/>
  <c r="AE545" i="15"/>
  <c r="AG545" i="15" s="1"/>
  <c r="AJ545" i="15"/>
  <c r="BO545" i="15" s="1"/>
  <c r="BP545" i="15" s="1"/>
  <c r="BQ545" i="15" s="1"/>
  <c r="AE452" i="15"/>
  <c r="AG452" i="15" s="1"/>
  <c r="AJ452" i="15"/>
  <c r="BO452" i="15" s="1"/>
  <c r="BP452" i="15" s="1"/>
  <c r="BQ452" i="15" s="1"/>
  <c r="AE402" i="15"/>
  <c r="AG402" i="15" s="1"/>
  <c r="AJ402" i="15"/>
  <c r="BO402" i="15" s="1"/>
  <c r="BP402" i="15" s="1"/>
  <c r="BQ402" i="15" s="1"/>
  <c r="AE312" i="15"/>
  <c r="AG312" i="15" s="1"/>
  <c r="AJ312" i="15"/>
  <c r="BO312" i="15" s="1"/>
  <c r="BP312" i="15" s="1"/>
  <c r="BQ312" i="15" s="1"/>
  <c r="AE539" i="15"/>
  <c r="AG539" i="15" s="1"/>
  <c r="AJ539" i="15"/>
  <c r="BO539" i="15" s="1"/>
  <c r="BP539" i="15" s="1"/>
  <c r="BQ539" i="15" s="1"/>
  <c r="AE427" i="15"/>
  <c r="AG427" i="15" s="1"/>
  <c r="AJ427" i="15"/>
  <c r="BO427" i="15" s="1"/>
  <c r="BP427" i="15" s="1"/>
  <c r="BQ427" i="15" s="1"/>
  <c r="AE689" i="15"/>
  <c r="AG689" i="15" s="1"/>
  <c r="AJ689" i="15"/>
  <c r="AE520" i="15"/>
  <c r="AG520" i="15" s="1"/>
  <c r="AJ520" i="15"/>
  <c r="BO520" i="15" s="1"/>
  <c r="BP520" i="15" s="1"/>
  <c r="BQ520" i="15" s="1"/>
  <c r="AE413" i="15"/>
  <c r="AG413" i="15" s="1"/>
  <c r="AJ413" i="15"/>
  <c r="BO413" i="15" s="1"/>
  <c r="BP413" i="15" s="1"/>
  <c r="BQ413" i="15" s="1"/>
  <c r="AE321" i="15"/>
  <c r="AG321" i="15" s="1"/>
  <c r="AJ321" i="15"/>
  <c r="BO321" i="15" s="1"/>
  <c r="BP321" i="15" s="1"/>
  <c r="BQ321" i="15" s="1"/>
  <c r="AE224" i="15"/>
  <c r="AG224" i="15" s="1"/>
  <c r="AJ224" i="15"/>
  <c r="BO224" i="15" s="1"/>
  <c r="BP224" i="15" s="1"/>
  <c r="BQ224" i="15" s="1"/>
  <c r="AE150" i="15"/>
  <c r="AG150" i="15" s="1"/>
  <c r="AJ150" i="15"/>
  <c r="BO150" i="15" s="1"/>
  <c r="BP150" i="15" s="1"/>
  <c r="BQ150" i="15" s="1"/>
  <c r="AE466" i="15"/>
  <c r="AG466" i="15" s="1"/>
  <c r="AJ466" i="15"/>
  <c r="BO466" i="15" s="1"/>
  <c r="BP466" i="15" s="1"/>
  <c r="BQ466" i="15" s="1"/>
  <c r="AE302" i="15"/>
  <c r="AG302" i="15" s="1"/>
  <c r="AJ302" i="15"/>
  <c r="BO302" i="15" s="1"/>
  <c r="BP302" i="15" s="1"/>
  <c r="BQ302" i="15" s="1"/>
  <c r="AE296" i="15"/>
  <c r="AG296" i="15" s="1"/>
  <c r="AJ296" i="15"/>
  <c r="BO296" i="15" s="1"/>
  <c r="BP296" i="15" s="1"/>
  <c r="BQ296" i="15" s="1"/>
  <c r="AE195" i="15"/>
  <c r="AG195" i="15" s="1"/>
  <c r="AJ195" i="15"/>
  <c r="BO195" i="15" s="1"/>
  <c r="BP195" i="15" s="1"/>
  <c r="BQ195" i="15" s="1"/>
  <c r="AE157" i="15"/>
  <c r="AG157" i="15" s="1"/>
  <c r="AJ157" i="15"/>
  <c r="BO157" i="15" s="1"/>
  <c r="BP157" i="15" s="1"/>
  <c r="BQ157" i="15" s="1"/>
  <c r="AE92" i="15"/>
  <c r="AG92" i="15" s="1"/>
  <c r="AJ92" i="15"/>
  <c r="BO92" i="15" s="1"/>
  <c r="BP92" i="15" s="1"/>
  <c r="BQ92" i="15" s="1"/>
  <c r="AE29" i="15"/>
  <c r="AG29" i="15" s="1"/>
  <c r="AJ29" i="15"/>
  <c r="BO29" i="15" s="1"/>
  <c r="BP29" i="15" s="1"/>
  <c r="BQ29" i="15" s="1"/>
  <c r="AE86" i="15"/>
  <c r="AG86" i="15" s="1"/>
  <c r="AJ86" i="15"/>
  <c r="BO86" i="15" s="1"/>
  <c r="BP86" i="15" s="1"/>
  <c r="BQ86" i="15" s="1"/>
  <c r="AE184" i="15"/>
  <c r="AG184" i="15" s="1"/>
  <c r="AJ184" i="15"/>
  <c r="BO184" i="15" s="1"/>
  <c r="BP184" i="15" s="1"/>
  <c r="BQ184" i="15" s="1"/>
  <c r="AE91" i="15"/>
  <c r="AG91" i="15" s="1"/>
  <c r="AJ91" i="15"/>
  <c r="BO91" i="15" s="1"/>
  <c r="BP91" i="15" s="1"/>
  <c r="BQ91" i="15" s="1"/>
  <c r="AE23" i="15"/>
  <c r="AG23" i="15" s="1"/>
  <c r="AJ23" i="15"/>
  <c r="BO23" i="15" s="1"/>
  <c r="BP23" i="15" s="1"/>
  <c r="BQ23" i="15" s="1"/>
  <c r="AE286" i="15"/>
  <c r="AG286" i="15" s="1"/>
  <c r="AJ286" i="15"/>
  <c r="BO286" i="15" s="1"/>
  <c r="BP286" i="15" s="1"/>
  <c r="BQ286" i="15" s="1"/>
  <c r="AE255" i="15"/>
  <c r="AG255" i="15" s="1"/>
  <c r="AJ255" i="15"/>
  <c r="BO255" i="15" s="1"/>
  <c r="BP255" i="15" s="1"/>
  <c r="BQ255" i="15" s="1"/>
  <c r="AE229" i="15"/>
  <c r="AG229" i="15" s="1"/>
  <c r="AJ229" i="15"/>
  <c r="BO229" i="15" s="1"/>
  <c r="BP229" i="15" s="1"/>
  <c r="BQ229" i="15" s="1"/>
  <c r="AE161" i="15"/>
  <c r="AG161" i="15" s="1"/>
  <c r="AJ161" i="15"/>
  <c r="BO161" i="15" s="1"/>
  <c r="BP161" i="15" s="1"/>
  <c r="BQ161" i="15" s="1"/>
  <c r="AE115" i="15"/>
  <c r="AG115" i="15" s="1"/>
  <c r="AJ115" i="15"/>
  <c r="BO115" i="15" s="1"/>
  <c r="BP115" i="15" s="1"/>
  <c r="BQ115" i="15" s="1"/>
  <c r="AE361" i="15"/>
  <c r="AG361" i="15" s="1"/>
  <c r="AJ361" i="15"/>
  <c r="BO361" i="15" s="1"/>
  <c r="BP361" i="15" s="1"/>
  <c r="BQ361" i="15" s="1"/>
  <c r="AE278" i="15"/>
  <c r="AG278" i="15" s="1"/>
  <c r="AJ278" i="15"/>
  <c r="BO278" i="15" s="1"/>
  <c r="BP278" i="15" s="1"/>
  <c r="BQ278" i="15" s="1"/>
  <c r="AE256" i="15"/>
  <c r="AG256" i="15" s="1"/>
  <c r="AJ256" i="15"/>
  <c r="BO256" i="15" s="1"/>
  <c r="BP256" i="15" s="1"/>
  <c r="BQ256" i="15" s="1"/>
  <c r="AE238" i="15"/>
  <c r="AG238" i="15" s="1"/>
  <c r="AJ238" i="15"/>
  <c r="BO238" i="15" s="1"/>
  <c r="BP238" i="15" s="1"/>
  <c r="BQ238" i="15" s="1"/>
  <c r="AE209" i="15"/>
  <c r="AG209" i="15" s="1"/>
  <c r="AJ209" i="15"/>
  <c r="BO209" i="15" s="1"/>
  <c r="BP209" i="15" s="1"/>
  <c r="BQ209" i="15" s="1"/>
  <c r="AE178" i="15"/>
  <c r="AG178" i="15" s="1"/>
  <c r="AJ178" i="15"/>
  <c r="BO178" i="15" s="1"/>
  <c r="BP178" i="15" s="1"/>
  <c r="BQ178" i="15" s="1"/>
  <c r="AE132" i="15"/>
  <c r="AG132" i="15" s="1"/>
  <c r="AJ132" i="15"/>
  <c r="BO132" i="15" s="1"/>
  <c r="BP132" i="15" s="1"/>
  <c r="BQ132" i="15" s="1"/>
  <c r="AE22" i="15"/>
  <c r="AG22" i="15" s="1"/>
  <c r="AJ22" i="15"/>
  <c r="BO22" i="15" s="1"/>
  <c r="BP22" i="15" s="1"/>
  <c r="BQ22" i="15" s="1"/>
  <c r="AE275" i="15"/>
  <c r="AG275" i="15" s="1"/>
  <c r="AJ275" i="15"/>
  <c r="BO275" i="15" s="1"/>
  <c r="BP275" i="15" s="1"/>
  <c r="BQ275" i="15" s="1"/>
  <c r="AE163" i="15"/>
  <c r="AG163" i="15" s="1"/>
  <c r="AJ163" i="15"/>
  <c r="BO163" i="15" s="1"/>
  <c r="BP163" i="15" s="1"/>
  <c r="BQ163" i="15" s="1"/>
  <c r="AE253" i="15"/>
  <c r="AG253" i="15" s="1"/>
  <c r="AJ253" i="15"/>
  <c r="BO253" i="15" s="1"/>
  <c r="BP253" i="15" s="1"/>
  <c r="BQ253" i="15" s="1"/>
  <c r="AE174" i="15"/>
  <c r="AG174" i="15" s="1"/>
  <c r="AJ174" i="15"/>
  <c r="BO174" i="15" s="1"/>
  <c r="BP174" i="15" s="1"/>
  <c r="BQ174" i="15" s="1"/>
  <c r="AE39" i="15"/>
  <c r="AG39" i="15" s="1"/>
  <c r="AJ39" i="15"/>
  <c r="BO39" i="15" s="1"/>
  <c r="BP39" i="15" s="1"/>
  <c r="BQ39" i="15" s="1"/>
  <c r="AE105" i="15"/>
  <c r="AG105" i="15" s="1"/>
  <c r="AJ105" i="15"/>
  <c r="BO105" i="15" s="1"/>
  <c r="BP105" i="15" s="1"/>
  <c r="BQ105" i="15" s="1"/>
  <c r="AE76" i="15"/>
  <c r="AG76" i="15" s="1"/>
  <c r="AJ76" i="15"/>
  <c r="BO76" i="15" s="1"/>
  <c r="BP76" i="15" s="1"/>
  <c r="BQ76" i="15" s="1"/>
  <c r="AE734" i="15"/>
  <c r="AG734" i="15" s="1"/>
  <c r="AJ734" i="15"/>
  <c r="BO734" i="15" s="1"/>
  <c r="BP734" i="15" s="1"/>
  <c r="BQ734" i="15" s="1"/>
  <c r="AE463" i="15"/>
  <c r="AG463" i="15" s="1"/>
  <c r="AJ463" i="15"/>
  <c r="BO463" i="15" s="1"/>
  <c r="BP463" i="15" s="1"/>
  <c r="BQ463" i="15" s="1"/>
  <c r="AE746" i="15"/>
  <c r="AG746" i="15" s="1"/>
  <c r="AJ746" i="15"/>
  <c r="BO746" i="15" s="1"/>
  <c r="BP746" i="15" s="1"/>
  <c r="BQ746" i="15" s="1"/>
  <c r="AE657" i="15"/>
  <c r="AG657" i="15" s="1"/>
  <c r="AJ657" i="15"/>
  <c r="BO657" i="15" s="1"/>
  <c r="BP657" i="15" s="1"/>
  <c r="BQ657" i="15" s="1"/>
  <c r="AE612" i="15"/>
  <c r="AG612" i="15" s="1"/>
  <c r="AJ612" i="15"/>
  <c r="AE432" i="15"/>
  <c r="AG432" i="15" s="1"/>
  <c r="AJ432" i="15"/>
  <c r="BO432" i="15" s="1"/>
  <c r="BP432" i="15" s="1"/>
  <c r="BQ432" i="15" s="1"/>
  <c r="AE560" i="15"/>
  <c r="AG560" i="15" s="1"/>
  <c r="AJ560" i="15"/>
  <c r="BO560" i="15" s="1"/>
  <c r="BP560" i="15" s="1"/>
  <c r="BQ560" i="15" s="1"/>
  <c r="AE523" i="15"/>
  <c r="AG523" i="15" s="1"/>
  <c r="AJ523" i="15"/>
  <c r="BO523" i="15" s="1"/>
  <c r="BP523" i="15" s="1"/>
  <c r="BQ523" i="15" s="1"/>
  <c r="AE569" i="15"/>
  <c r="AG569" i="15" s="1"/>
  <c r="AJ569" i="15"/>
  <c r="BO569" i="15" s="1"/>
  <c r="BP569" i="15" s="1"/>
  <c r="BQ569" i="15" s="1"/>
  <c r="AE496" i="15"/>
  <c r="AG496" i="15" s="1"/>
  <c r="AJ496" i="15"/>
  <c r="BO496" i="15" s="1"/>
  <c r="BP496" i="15" s="1"/>
  <c r="BQ496" i="15" s="1"/>
  <c r="AE467" i="15"/>
  <c r="AG467" i="15" s="1"/>
  <c r="AJ467" i="15"/>
  <c r="BO467" i="15" s="1"/>
  <c r="BP467" i="15" s="1"/>
  <c r="BQ467" i="15" s="1"/>
  <c r="AE62" i="15"/>
  <c r="AG62" i="15" s="1"/>
  <c r="AJ62" i="15"/>
  <c r="BO62" i="15" s="1"/>
  <c r="BP62" i="15" s="1"/>
  <c r="BQ62" i="15" s="1"/>
  <c r="CE859" i="15"/>
  <c r="CF859" i="15" s="1"/>
  <c r="AI859" i="15"/>
  <c r="CE847" i="15"/>
  <c r="CF847" i="15" s="1"/>
  <c r="AI847" i="15"/>
  <c r="CE835" i="15"/>
  <c r="CF835" i="15" s="1"/>
  <c r="AI835" i="15"/>
  <c r="AE765" i="15"/>
  <c r="AG765" i="15" s="1"/>
  <c r="AJ765" i="15"/>
  <c r="BO765" i="15" s="1"/>
  <c r="BP765" i="15" s="1"/>
  <c r="BQ765" i="15" s="1"/>
  <c r="AE757" i="15"/>
  <c r="AG757" i="15" s="1"/>
  <c r="AJ757" i="15"/>
  <c r="BO757" i="15" s="1"/>
  <c r="BP757" i="15" s="1"/>
  <c r="BQ757" i="15" s="1"/>
  <c r="AE743" i="15"/>
  <c r="AG743" i="15" s="1"/>
  <c r="AJ743" i="15"/>
  <c r="BO743" i="15" s="1"/>
  <c r="BP743" i="15" s="1"/>
  <c r="BQ743" i="15" s="1"/>
  <c r="CE523" i="15"/>
  <c r="CF523" i="15" s="1"/>
  <c r="AI523" i="15"/>
  <c r="AE497" i="15"/>
  <c r="AG497" i="15" s="1"/>
  <c r="AJ497" i="15"/>
  <c r="BO497" i="15" s="1"/>
  <c r="BP497" i="15" s="1"/>
  <c r="BQ497" i="15" s="1"/>
  <c r="CE19" i="15"/>
  <c r="CF19" i="15" s="1"/>
  <c r="AI19" i="15"/>
  <c r="CE162" i="15"/>
  <c r="CF162" i="15" s="1"/>
  <c r="AI162" i="15"/>
  <c r="CE704" i="15"/>
  <c r="CF704" i="15" s="1"/>
  <c r="AI704" i="15"/>
  <c r="CE692" i="15"/>
  <c r="CF692" i="15" s="1"/>
  <c r="AI692" i="15"/>
  <c r="AE630" i="15"/>
  <c r="AG630" i="15" s="1"/>
  <c r="AJ630" i="15"/>
  <c r="BO630" i="15" s="1"/>
  <c r="BP630" i="15" s="1"/>
  <c r="BQ630" i="15" s="1"/>
  <c r="CE428" i="15"/>
  <c r="CF428" i="15" s="1"/>
  <c r="AI428" i="15"/>
  <c r="CE412" i="15"/>
  <c r="CF412" i="15" s="1"/>
  <c r="AI412" i="15"/>
  <c r="CE386" i="15"/>
  <c r="CF386" i="15" s="1"/>
  <c r="AI386" i="15"/>
  <c r="CE315" i="15"/>
  <c r="CF315" i="15" s="1"/>
  <c r="AI315" i="15"/>
  <c r="CE297" i="15"/>
  <c r="CF297" i="15" s="1"/>
  <c r="AI297" i="15"/>
  <c r="CE289" i="15"/>
  <c r="CF289" i="15" s="1"/>
  <c r="AI289" i="15"/>
  <c r="CE279" i="15"/>
  <c r="CF279" i="15" s="1"/>
  <c r="AI279" i="15"/>
  <c r="CE128" i="15"/>
  <c r="CF128" i="15" s="1"/>
  <c r="AI128" i="15"/>
  <c r="AE116" i="15"/>
  <c r="AG116" i="15" s="1"/>
  <c r="AJ116" i="15"/>
  <c r="BO116" i="15" s="1"/>
  <c r="BP116" i="15" s="1"/>
  <c r="BQ116" i="15" s="1"/>
  <c r="AE108" i="15"/>
  <c r="AG108" i="15" s="1"/>
  <c r="AJ108" i="15"/>
  <c r="BO108" i="15" s="1"/>
  <c r="BP108" i="15" s="1"/>
  <c r="BQ108" i="15" s="1"/>
  <c r="AE104" i="15"/>
  <c r="AG104" i="15" s="1"/>
  <c r="AJ104" i="15"/>
  <c r="BO104" i="15" s="1"/>
  <c r="BP104" i="15" s="1"/>
  <c r="BQ104" i="15" s="1"/>
  <c r="AE780" i="15"/>
  <c r="AG780" i="15" s="1"/>
  <c r="AJ780" i="15"/>
  <c r="BO780" i="15" s="1"/>
  <c r="BP780" i="15" s="1"/>
  <c r="BQ780" i="15" s="1"/>
  <c r="CE572" i="15"/>
  <c r="CF572" i="15" s="1"/>
  <c r="AI572" i="15"/>
  <c r="CE500" i="15"/>
  <c r="CF500" i="15" s="1"/>
  <c r="AI500" i="15"/>
  <c r="CE480" i="15"/>
  <c r="CF480" i="15" s="1"/>
  <c r="AI480" i="15"/>
  <c r="CE681" i="15"/>
  <c r="CF681" i="15" s="1"/>
  <c r="AI681" i="15"/>
  <c r="CE655" i="15"/>
  <c r="CF655" i="15" s="1"/>
  <c r="AI655" i="15"/>
  <c r="AE606" i="15"/>
  <c r="AG606" i="15" s="1"/>
  <c r="AJ606" i="15"/>
  <c r="BO606" i="15" s="1"/>
  <c r="BP606" i="15" s="1"/>
  <c r="BQ606" i="15" s="1"/>
  <c r="AE598" i="15"/>
  <c r="AG598" i="15" s="1"/>
  <c r="AJ598" i="15"/>
  <c r="BO598" i="15" s="1"/>
  <c r="BP598" i="15" s="1"/>
  <c r="BQ598" i="15" s="1"/>
  <c r="AE588" i="15"/>
  <c r="AG588" i="15" s="1"/>
  <c r="AJ588" i="15"/>
  <c r="BO588" i="15" s="1"/>
  <c r="BP588" i="15" s="1"/>
  <c r="BQ588" i="15" s="1"/>
  <c r="AE580" i="15"/>
  <c r="AG580" i="15" s="1"/>
  <c r="AJ580" i="15"/>
  <c r="BO580" i="15" s="1"/>
  <c r="BP580" i="15" s="1"/>
  <c r="BQ580" i="15" s="1"/>
  <c r="CE461" i="15"/>
  <c r="CF461" i="15" s="1"/>
  <c r="AI461" i="15"/>
  <c r="CE403" i="15"/>
  <c r="CF403" i="15" s="1"/>
  <c r="AI403" i="15"/>
  <c r="CE368" i="15"/>
  <c r="CF368" i="15" s="1"/>
  <c r="AI368" i="15"/>
  <c r="CE358" i="15"/>
  <c r="CF358" i="15" s="1"/>
  <c r="AI358" i="15"/>
  <c r="CE348" i="15"/>
  <c r="CF348" i="15" s="1"/>
  <c r="AI348" i="15"/>
  <c r="CE344" i="15"/>
  <c r="CF344" i="15" s="1"/>
  <c r="AI344" i="15"/>
  <c r="CE336" i="15"/>
  <c r="CF336" i="15" s="1"/>
  <c r="AI336" i="15"/>
  <c r="CE81" i="15"/>
  <c r="CF81" i="15" s="1"/>
  <c r="AI81" i="15"/>
  <c r="CE73" i="15"/>
  <c r="CF73" i="15" s="1"/>
  <c r="AI73" i="15"/>
  <c r="AE860" i="15"/>
  <c r="AJ860" i="15"/>
  <c r="BO860" i="15" s="1"/>
  <c r="BP860" i="15" s="1"/>
  <c r="BQ860" i="15" s="1"/>
  <c r="AE823" i="15"/>
  <c r="AG823" i="15" s="1"/>
  <c r="AJ823" i="15"/>
  <c r="BO823" i="15" s="1"/>
  <c r="BP823" i="15" s="1"/>
  <c r="BQ823" i="15" s="1"/>
  <c r="AE799" i="15"/>
  <c r="AG799" i="15" s="1"/>
  <c r="AJ799" i="15"/>
  <c r="BO799" i="15" s="1"/>
  <c r="BP799" i="15" s="1"/>
  <c r="BQ799" i="15" s="1"/>
  <c r="AE853" i="15"/>
  <c r="AJ853" i="15"/>
  <c r="BO853" i="15" s="1"/>
  <c r="BP853" i="15" s="1"/>
  <c r="BQ853" i="15" s="1"/>
  <c r="AE824" i="15"/>
  <c r="AG824" i="15" s="1"/>
  <c r="AJ824" i="15"/>
  <c r="BO824" i="15" s="1"/>
  <c r="BP824" i="15" s="1"/>
  <c r="BQ824" i="15" s="1"/>
  <c r="AE791" i="15"/>
  <c r="AG791" i="15" s="1"/>
  <c r="AJ791" i="15"/>
  <c r="BO791" i="15" s="1"/>
  <c r="BP791" i="15" s="1"/>
  <c r="BQ791" i="15" s="1"/>
  <c r="AE825" i="15"/>
  <c r="AG825" i="15" s="1"/>
  <c r="AJ825" i="15"/>
  <c r="BO825" i="15" s="1"/>
  <c r="BP825" i="15" s="1"/>
  <c r="BQ825" i="15" s="1"/>
  <c r="AE797" i="15"/>
  <c r="AG797" i="15" s="1"/>
  <c r="AJ797" i="15"/>
  <c r="AE811" i="15"/>
  <c r="AG811" i="15" s="1"/>
  <c r="AJ811" i="15"/>
  <c r="BO811" i="15" s="1"/>
  <c r="BP811" i="15" s="1"/>
  <c r="BQ811" i="15" s="1"/>
  <c r="AE790" i="15"/>
  <c r="AG790" i="15" s="1"/>
  <c r="AJ790" i="15"/>
  <c r="BO790" i="15" s="1"/>
  <c r="BP790" i="15" s="1"/>
  <c r="BQ790" i="15" s="1"/>
  <c r="AE723" i="15"/>
  <c r="AG723" i="15" s="1"/>
  <c r="AJ723" i="15"/>
  <c r="BO723" i="15" s="1"/>
  <c r="BP723" i="15" s="1"/>
  <c r="BQ723" i="15" s="1"/>
  <c r="AE683" i="15"/>
  <c r="AG683" i="15" s="1"/>
  <c r="AJ683" i="15"/>
  <c r="BO683" i="15" s="1"/>
  <c r="BP683" i="15" s="1"/>
  <c r="BQ683" i="15" s="1"/>
  <c r="AE679" i="15"/>
  <c r="AG679" i="15" s="1"/>
  <c r="AJ679" i="15"/>
  <c r="BO679" i="15" s="1"/>
  <c r="BP679" i="15" s="1"/>
  <c r="BQ679" i="15" s="1"/>
  <c r="AE671" i="15"/>
  <c r="AG671" i="15" s="1"/>
  <c r="AJ671" i="15"/>
  <c r="BO671" i="15" s="1"/>
  <c r="BP671" i="15" s="1"/>
  <c r="BQ671" i="15" s="1"/>
  <c r="AE760" i="15"/>
  <c r="AG760" i="15" s="1"/>
  <c r="AJ760" i="15"/>
  <c r="BO760" i="15" s="1"/>
  <c r="BP760" i="15" s="1"/>
  <c r="BQ760" i="15" s="1"/>
  <c r="AE772" i="15"/>
  <c r="AG772" i="15" s="1"/>
  <c r="AJ772" i="15"/>
  <c r="BO772" i="15" s="1"/>
  <c r="BP772" i="15" s="1"/>
  <c r="BQ772" i="15" s="1"/>
  <c r="AE745" i="15"/>
  <c r="AG745" i="15" s="1"/>
  <c r="AJ745" i="15"/>
  <c r="BO745" i="15" s="1"/>
  <c r="BP745" i="15" s="1"/>
  <c r="BQ745" i="15" s="1"/>
  <c r="AE721" i="15"/>
  <c r="AG721" i="15" s="1"/>
  <c r="AJ721" i="15"/>
  <c r="BO721" i="15" s="1"/>
  <c r="BP721" i="15" s="1"/>
  <c r="BQ721" i="15" s="1"/>
  <c r="AE664" i="15"/>
  <c r="AG664" i="15" s="1"/>
  <c r="AJ664" i="15"/>
  <c r="BO664" i="15" s="1"/>
  <c r="BP664" i="15" s="1"/>
  <c r="BQ664" i="15" s="1"/>
  <c r="AE619" i="15"/>
  <c r="AG619" i="15" s="1"/>
  <c r="AJ619" i="15"/>
  <c r="BO619" i="15" s="1"/>
  <c r="BP619" i="15" s="1"/>
  <c r="BQ619" i="15" s="1"/>
  <c r="AE652" i="15"/>
  <c r="AG652" i="15" s="1"/>
  <c r="AJ652" i="15"/>
  <c r="BO652" i="15" s="1"/>
  <c r="BP652" i="15" s="1"/>
  <c r="BQ652" i="15" s="1"/>
  <c r="AE655" i="15"/>
  <c r="AG655" i="15" s="1"/>
  <c r="AJ655" i="15"/>
  <c r="BO655" i="15" s="1"/>
  <c r="BP655" i="15" s="1"/>
  <c r="BQ655" i="15" s="1"/>
  <c r="AE585" i="15"/>
  <c r="AG585" i="15" s="1"/>
  <c r="AJ585" i="15"/>
  <c r="BO585" i="15" s="1"/>
  <c r="BP585" i="15" s="1"/>
  <c r="BQ585" i="15" s="1"/>
  <c r="AE494" i="15"/>
  <c r="AG494" i="15" s="1"/>
  <c r="AJ494" i="15"/>
  <c r="BO494" i="15" s="1"/>
  <c r="BP494" i="15" s="1"/>
  <c r="BQ494" i="15" s="1"/>
  <c r="AE638" i="15"/>
  <c r="AG638" i="15" s="1"/>
  <c r="AJ638" i="15"/>
  <c r="BO638" i="15" s="1"/>
  <c r="BP638" i="15" s="1"/>
  <c r="BQ638" i="15" s="1"/>
  <c r="AE614" i="15"/>
  <c r="AG614" i="15" s="1"/>
  <c r="AJ614" i="15"/>
  <c r="BO614" i="15" s="1"/>
  <c r="BP614" i="15" s="1"/>
  <c r="BQ614" i="15" s="1"/>
  <c r="AE474" i="15"/>
  <c r="AG474" i="15" s="1"/>
  <c r="AJ474" i="15"/>
  <c r="BO474" i="15" s="1"/>
  <c r="BP474" i="15" s="1"/>
  <c r="BQ474" i="15" s="1"/>
  <c r="AE428" i="15"/>
  <c r="AG428" i="15" s="1"/>
  <c r="AJ428" i="15"/>
  <c r="BO428" i="15" s="1"/>
  <c r="BP428" i="15" s="1"/>
  <c r="BQ428" i="15" s="1"/>
  <c r="AE412" i="15"/>
  <c r="AG412" i="15" s="1"/>
  <c r="AJ412" i="15"/>
  <c r="BO412" i="15" s="1"/>
  <c r="BP412" i="15" s="1"/>
  <c r="BQ412" i="15" s="1"/>
  <c r="AE615" i="15"/>
  <c r="AG615" i="15" s="1"/>
  <c r="AJ615" i="15"/>
  <c r="BO615" i="15" s="1"/>
  <c r="BP615" i="15" s="1"/>
  <c r="BQ615" i="15" s="1"/>
  <c r="AE852" i="15"/>
  <c r="AJ852" i="15"/>
  <c r="BO852" i="15" s="1"/>
  <c r="BP852" i="15" s="1"/>
  <c r="BQ852" i="15" s="1"/>
  <c r="AE819" i="15"/>
  <c r="AG819" i="15" s="1"/>
  <c r="AJ819" i="15"/>
  <c r="BO819" i="15" s="1"/>
  <c r="BP819" i="15" s="1"/>
  <c r="BQ819" i="15" s="1"/>
  <c r="AE854" i="15"/>
  <c r="AJ854" i="15"/>
  <c r="BO854" i="15" s="1"/>
  <c r="BP854" i="15" s="1"/>
  <c r="BQ854" i="15" s="1"/>
  <c r="AE809" i="15"/>
  <c r="AG809" i="15" s="1"/>
  <c r="AJ809" i="15"/>
  <c r="BO809" i="15" s="1"/>
  <c r="BP809" i="15" s="1"/>
  <c r="BQ809" i="15" s="1"/>
  <c r="AE850" i="15"/>
  <c r="AJ850" i="15"/>
  <c r="BO850" i="15" s="1"/>
  <c r="BP850" i="15" s="1"/>
  <c r="BQ850" i="15" s="1"/>
  <c r="AE821" i="15"/>
  <c r="AG821" i="15" s="1"/>
  <c r="AJ821" i="15"/>
  <c r="BO821" i="15" s="1"/>
  <c r="BP821" i="15" s="1"/>
  <c r="BQ821" i="15" s="1"/>
  <c r="AE789" i="15"/>
  <c r="AG789" i="15" s="1"/>
  <c r="AJ789" i="15"/>
  <c r="BO789" i="15" s="1"/>
  <c r="BP789" i="15" s="1"/>
  <c r="BQ789" i="15" s="1"/>
  <c r="AE740" i="15"/>
  <c r="AG740" i="15" s="1"/>
  <c r="AJ740" i="15"/>
  <c r="BO740" i="15" s="1"/>
  <c r="BP740" i="15" s="1"/>
  <c r="BQ740" i="15" s="1"/>
  <c r="AE810" i="15"/>
  <c r="AG810" i="15" s="1"/>
  <c r="AJ810" i="15"/>
  <c r="BO810" i="15" s="1"/>
  <c r="BP810" i="15" s="1"/>
  <c r="BQ810" i="15" s="1"/>
  <c r="AE842" i="15"/>
  <c r="AJ842" i="15"/>
  <c r="BO842" i="15" s="1"/>
  <c r="BP842" i="15" s="1"/>
  <c r="BQ842" i="15" s="1"/>
  <c r="AE805" i="15"/>
  <c r="AG805" i="15" s="1"/>
  <c r="AJ805" i="15"/>
  <c r="BO805" i="15" s="1"/>
  <c r="BP805" i="15" s="1"/>
  <c r="BQ805" i="15" s="1"/>
  <c r="AE788" i="15"/>
  <c r="AG788" i="15" s="1"/>
  <c r="AJ788" i="15"/>
  <c r="BO788" i="15" s="1"/>
  <c r="BP788" i="15" s="1"/>
  <c r="BQ788" i="15" s="1"/>
  <c r="AE758" i="15"/>
  <c r="AG758" i="15" s="1"/>
  <c r="AJ758" i="15"/>
  <c r="BO758" i="15" s="1"/>
  <c r="BP758" i="15" s="1"/>
  <c r="BQ758" i="15" s="1"/>
  <c r="AE719" i="15"/>
  <c r="AG719" i="15" s="1"/>
  <c r="AJ719" i="15"/>
  <c r="BO719" i="15" s="1"/>
  <c r="BP719" i="15" s="1"/>
  <c r="BQ719" i="15" s="1"/>
  <c r="AE682" i="15"/>
  <c r="AG682" i="15" s="1"/>
  <c r="AJ682" i="15"/>
  <c r="BO682" i="15" s="1"/>
  <c r="BP682" i="15" s="1"/>
  <c r="BQ682" i="15" s="1"/>
  <c r="AE678" i="15"/>
  <c r="AG678" i="15" s="1"/>
  <c r="AJ678" i="15"/>
  <c r="BO678" i="15" s="1"/>
  <c r="BP678" i="15" s="1"/>
  <c r="BQ678" i="15" s="1"/>
  <c r="AE674" i="15"/>
  <c r="AG674" i="15" s="1"/>
  <c r="AJ674" i="15"/>
  <c r="BO674" i="15" s="1"/>
  <c r="BP674" i="15" s="1"/>
  <c r="BQ674" i="15" s="1"/>
  <c r="AE670" i="15"/>
  <c r="AG670" i="15" s="1"/>
  <c r="AJ670" i="15"/>
  <c r="BO670" i="15" s="1"/>
  <c r="BP670" i="15" s="1"/>
  <c r="BQ670" i="15" s="1"/>
  <c r="AE684" i="15"/>
  <c r="AG684" i="15" s="1"/>
  <c r="AJ684" i="15"/>
  <c r="BO684" i="15" s="1"/>
  <c r="BP684" i="15" s="1"/>
  <c r="BQ684" i="15" s="1"/>
  <c r="AE770" i="15"/>
  <c r="AG770" i="15" s="1"/>
  <c r="AJ770" i="15"/>
  <c r="BO770" i="15" s="1"/>
  <c r="BP770" i="15" s="1"/>
  <c r="BQ770" i="15" s="1"/>
  <c r="AE736" i="15"/>
  <c r="AG736" i="15" s="1"/>
  <c r="AJ736" i="15"/>
  <c r="BO736" i="15" s="1"/>
  <c r="BP736" i="15" s="1"/>
  <c r="BQ736" i="15" s="1"/>
  <c r="AE711" i="15"/>
  <c r="AG711" i="15" s="1"/>
  <c r="AJ711" i="15"/>
  <c r="BO711" i="15" s="1"/>
  <c r="BP711" i="15" s="1"/>
  <c r="BQ711" i="15" s="1"/>
  <c r="AE659" i="15"/>
  <c r="AG659" i="15" s="1"/>
  <c r="AJ659" i="15"/>
  <c r="BO659" i="15" s="1"/>
  <c r="BP659" i="15" s="1"/>
  <c r="BQ659" i="15" s="1"/>
  <c r="AE643" i="15"/>
  <c r="AG643" i="15" s="1"/>
  <c r="AJ643" i="15"/>
  <c r="BO643" i="15" s="1"/>
  <c r="BP643" i="15" s="1"/>
  <c r="BQ643" i="15" s="1"/>
  <c r="AE747" i="15"/>
  <c r="AG747" i="15" s="1"/>
  <c r="AJ747" i="15"/>
  <c r="BO747" i="15" s="1"/>
  <c r="BP747" i="15" s="1"/>
  <c r="BQ747" i="15" s="1"/>
  <c r="AE693" i="15"/>
  <c r="AG693" i="15" s="1"/>
  <c r="AJ693" i="15"/>
  <c r="BO693" i="15" s="1"/>
  <c r="BP693" i="15" s="1"/>
  <c r="BQ693" i="15" s="1"/>
  <c r="AE644" i="15"/>
  <c r="AG644" i="15" s="1"/>
  <c r="AJ644" i="15"/>
  <c r="BO644" i="15" s="1"/>
  <c r="BP644" i="15" s="1"/>
  <c r="BQ644" i="15" s="1"/>
  <c r="AE654" i="15"/>
  <c r="AG654" i="15" s="1"/>
  <c r="AJ654" i="15"/>
  <c r="BO654" i="15" s="1"/>
  <c r="BP654" i="15" s="1"/>
  <c r="BQ654" i="15" s="1"/>
  <c r="AE599" i="15"/>
  <c r="AG599" i="15" s="1"/>
  <c r="AJ599" i="15"/>
  <c r="BO599" i="15" s="1"/>
  <c r="BP599" i="15" s="1"/>
  <c r="BQ599" i="15" s="1"/>
  <c r="AE583" i="15"/>
  <c r="AG583" i="15" s="1"/>
  <c r="AJ583" i="15"/>
  <c r="BO583" i="15" s="1"/>
  <c r="BP583" i="15" s="1"/>
  <c r="BQ583" i="15" s="1"/>
  <c r="AE446" i="15"/>
  <c r="AG446" i="15" s="1"/>
  <c r="AJ446" i="15"/>
  <c r="BO446" i="15" s="1"/>
  <c r="BP446" i="15" s="1"/>
  <c r="BQ446" i="15" s="1"/>
  <c r="AE661" i="15"/>
  <c r="AG661" i="15" s="1"/>
  <c r="AJ661" i="15"/>
  <c r="BO661" i="15" s="1"/>
  <c r="BP661" i="15" s="1"/>
  <c r="BQ661" i="15" s="1"/>
  <c r="AE635" i="15"/>
  <c r="AG635" i="15" s="1"/>
  <c r="AJ635" i="15"/>
  <c r="BO635" i="15" s="1"/>
  <c r="BP635" i="15" s="1"/>
  <c r="BQ635" i="15" s="1"/>
  <c r="AE508" i="15"/>
  <c r="AG508" i="15" s="1"/>
  <c r="AJ508" i="15"/>
  <c r="BO508" i="15" s="1"/>
  <c r="BP508" i="15" s="1"/>
  <c r="BQ508" i="15" s="1"/>
  <c r="AE488" i="15"/>
  <c r="AG488" i="15" s="1"/>
  <c r="AJ488" i="15"/>
  <c r="BO488" i="15" s="1"/>
  <c r="BP488" i="15" s="1"/>
  <c r="BQ488" i="15" s="1"/>
  <c r="AE480" i="15"/>
  <c r="AG480" i="15" s="1"/>
  <c r="AJ480" i="15"/>
  <c r="BO480" i="15" s="1"/>
  <c r="BP480" i="15" s="1"/>
  <c r="BQ480" i="15" s="1"/>
  <c r="AE426" i="15"/>
  <c r="AG426" i="15" s="1"/>
  <c r="AJ426" i="15"/>
  <c r="BO426" i="15" s="1"/>
  <c r="BP426" i="15" s="1"/>
  <c r="BQ426" i="15" s="1"/>
  <c r="AE418" i="15"/>
  <c r="AG418" i="15" s="1"/>
  <c r="AJ418" i="15"/>
  <c r="BO418" i="15" s="1"/>
  <c r="BP418" i="15" s="1"/>
  <c r="BQ418" i="15" s="1"/>
  <c r="AE410" i="15"/>
  <c r="AG410" i="15" s="1"/>
  <c r="AJ410" i="15"/>
  <c r="BO410" i="15" s="1"/>
  <c r="BP410" i="15" s="1"/>
  <c r="BQ410" i="15" s="1"/>
  <c r="AE715" i="15"/>
  <c r="AG715" i="15" s="1"/>
  <c r="AJ715" i="15"/>
  <c r="AE666" i="15"/>
  <c r="AG666" i="15" s="1"/>
  <c r="AJ666" i="15"/>
  <c r="BO666" i="15" s="1"/>
  <c r="BP666" i="15" s="1"/>
  <c r="BQ666" i="15" s="1"/>
  <c r="AE605" i="15"/>
  <c r="AG605" i="15" s="1"/>
  <c r="AJ605" i="15"/>
  <c r="BO605" i="15" s="1"/>
  <c r="BP605" i="15" s="1"/>
  <c r="BQ605" i="15" s="1"/>
  <c r="AE589" i="15"/>
  <c r="AG589" i="15" s="1"/>
  <c r="AJ589" i="15"/>
  <c r="BO589" i="15" s="1"/>
  <c r="BP589" i="15" s="1"/>
  <c r="BQ589" i="15" s="1"/>
  <c r="AE623" i="15"/>
  <c r="AG623" i="15" s="1"/>
  <c r="AJ623" i="15"/>
  <c r="BO623" i="15" s="1"/>
  <c r="BP623" i="15" s="1"/>
  <c r="BQ623" i="15" s="1"/>
  <c r="AE544" i="15"/>
  <c r="AG544" i="15" s="1"/>
  <c r="AJ544" i="15"/>
  <c r="BO544" i="15" s="1"/>
  <c r="BP544" i="15" s="1"/>
  <c r="BQ544" i="15" s="1"/>
  <c r="AE516" i="15"/>
  <c r="AG516" i="15" s="1"/>
  <c r="AJ516" i="15"/>
  <c r="BO516" i="15" s="1"/>
  <c r="BP516" i="15" s="1"/>
  <c r="BQ516" i="15" s="1"/>
  <c r="AE468" i="15"/>
  <c r="AG468" i="15" s="1"/>
  <c r="AJ468" i="15"/>
  <c r="BO468" i="15" s="1"/>
  <c r="BP468" i="15" s="1"/>
  <c r="BQ468" i="15" s="1"/>
  <c r="AE417" i="15"/>
  <c r="AG417" i="15" s="1"/>
  <c r="AJ417" i="15"/>
  <c r="BO417" i="15" s="1"/>
  <c r="BP417" i="15" s="1"/>
  <c r="BQ417" i="15" s="1"/>
  <c r="AE390" i="15"/>
  <c r="AG390" i="15" s="1"/>
  <c r="AJ390" i="15"/>
  <c r="BO390" i="15" s="1"/>
  <c r="BP390" i="15" s="1"/>
  <c r="BQ390" i="15" s="1"/>
  <c r="AE315" i="15"/>
  <c r="AG315" i="15" s="1"/>
  <c r="AJ315" i="15"/>
  <c r="BO315" i="15" s="1"/>
  <c r="BP315" i="15" s="1"/>
  <c r="BQ315" i="15" s="1"/>
  <c r="AE616" i="15"/>
  <c r="AG616" i="15" s="1"/>
  <c r="AJ616" i="15"/>
  <c r="BO616" i="15" s="1"/>
  <c r="BP616" i="15" s="1"/>
  <c r="BQ616" i="15" s="1"/>
  <c r="AE443" i="15"/>
  <c r="AG443" i="15" s="1"/>
  <c r="AJ443" i="15"/>
  <c r="BO443" i="15" s="1"/>
  <c r="BP443" i="15" s="1"/>
  <c r="BQ443" i="15" s="1"/>
  <c r="AE318" i="15"/>
  <c r="AG318" i="15" s="1"/>
  <c r="AJ318" i="15"/>
  <c r="BO318" i="15" s="1"/>
  <c r="BP318" i="15" s="1"/>
  <c r="BQ318" i="15" s="1"/>
  <c r="AE626" i="15"/>
  <c r="AG626" i="15" s="1"/>
  <c r="AJ626" i="15"/>
  <c r="BO626" i="15" s="1"/>
  <c r="BP626" i="15" s="1"/>
  <c r="BQ626" i="15" s="1"/>
  <c r="AE531" i="15"/>
  <c r="AG531" i="15" s="1"/>
  <c r="AJ531" i="15"/>
  <c r="BO531" i="15" s="1"/>
  <c r="BP531" i="15" s="1"/>
  <c r="BQ531" i="15" s="1"/>
  <c r="AE498" i="15"/>
  <c r="AG498" i="15" s="1"/>
  <c r="AJ498" i="15"/>
  <c r="BO498" i="15" s="1"/>
  <c r="BP498" i="15" s="1"/>
  <c r="BQ498" i="15" s="1"/>
  <c r="AE462" i="15"/>
  <c r="AG462" i="15" s="1"/>
  <c r="AJ462" i="15"/>
  <c r="BO462" i="15" s="1"/>
  <c r="BP462" i="15" s="1"/>
  <c r="BQ462" i="15" s="1"/>
  <c r="AE445" i="15"/>
  <c r="AG445" i="15" s="1"/>
  <c r="AJ445" i="15"/>
  <c r="BO445" i="15" s="1"/>
  <c r="BP445" i="15" s="1"/>
  <c r="BQ445" i="15" s="1"/>
  <c r="AE415" i="15"/>
  <c r="AG415" i="15" s="1"/>
  <c r="AJ415" i="15"/>
  <c r="BO415" i="15" s="1"/>
  <c r="BP415" i="15" s="1"/>
  <c r="BQ415" i="15" s="1"/>
  <c r="AE383" i="15"/>
  <c r="AG383" i="15" s="1"/>
  <c r="AJ383" i="15"/>
  <c r="BO383" i="15" s="1"/>
  <c r="BP383" i="15" s="1"/>
  <c r="BQ383" i="15" s="1"/>
  <c r="AE316" i="15"/>
  <c r="AG316" i="15" s="1"/>
  <c r="AJ316" i="15"/>
  <c r="BO316" i="15" s="1"/>
  <c r="BP316" i="15" s="1"/>
  <c r="BQ316" i="15" s="1"/>
  <c r="AE146" i="15"/>
  <c r="AG146" i="15" s="1"/>
  <c r="AJ146" i="15"/>
  <c r="AE636" i="15"/>
  <c r="AG636" i="15" s="1"/>
  <c r="AJ636" i="15"/>
  <c r="BO636" i="15" s="1"/>
  <c r="BP636" i="15" s="1"/>
  <c r="BQ636" i="15" s="1"/>
  <c r="AE511" i="15"/>
  <c r="AG511" i="15" s="1"/>
  <c r="AJ511" i="15"/>
  <c r="BO511" i="15" s="1"/>
  <c r="BP511" i="15" s="1"/>
  <c r="BQ511" i="15" s="1"/>
  <c r="AE447" i="15"/>
  <c r="AG447" i="15" s="1"/>
  <c r="AJ447" i="15"/>
  <c r="BO447" i="15" s="1"/>
  <c r="BP447" i="15" s="1"/>
  <c r="BQ447" i="15" s="1"/>
  <c r="AE310" i="15"/>
  <c r="AG310" i="15" s="1"/>
  <c r="AJ310" i="15"/>
  <c r="BO310" i="15" s="1"/>
  <c r="BP310" i="15" s="1"/>
  <c r="BQ310" i="15" s="1"/>
  <c r="AE697" i="15"/>
  <c r="AG697" i="15" s="1"/>
  <c r="AJ697" i="15"/>
  <c r="BO697" i="15" s="1"/>
  <c r="BP697" i="15" s="1"/>
  <c r="BQ697" i="15" s="1"/>
  <c r="AE624" i="15"/>
  <c r="AG624" i="15" s="1"/>
  <c r="AJ624" i="15"/>
  <c r="BO624" i="15" s="1"/>
  <c r="BP624" i="15" s="1"/>
  <c r="BQ624" i="15" s="1"/>
  <c r="AE534" i="15"/>
  <c r="AG534" i="15" s="1"/>
  <c r="AJ534" i="15"/>
  <c r="BO534" i="15" s="1"/>
  <c r="BP534" i="15" s="1"/>
  <c r="BQ534" i="15" s="1"/>
  <c r="AE499" i="15"/>
  <c r="AG499" i="15" s="1"/>
  <c r="AJ499" i="15"/>
  <c r="BO499" i="15" s="1"/>
  <c r="BP499" i="15" s="1"/>
  <c r="BQ499" i="15" s="1"/>
  <c r="AE421" i="15"/>
  <c r="AG421" i="15" s="1"/>
  <c r="AJ421" i="15"/>
  <c r="BO421" i="15" s="1"/>
  <c r="BP421" i="15" s="1"/>
  <c r="BQ421" i="15" s="1"/>
  <c r="AE388" i="15"/>
  <c r="AG388" i="15" s="1"/>
  <c r="AJ388" i="15"/>
  <c r="BO388" i="15" s="1"/>
  <c r="BP388" i="15" s="1"/>
  <c r="BQ388" i="15" s="1"/>
  <c r="AE372" i="15"/>
  <c r="AG372" i="15" s="1"/>
  <c r="AJ372" i="15"/>
  <c r="AE309" i="15"/>
  <c r="AG309" i="15" s="1"/>
  <c r="AJ309" i="15"/>
  <c r="BO309" i="15" s="1"/>
  <c r="BP309" i="15" s="1"/>
  <c r="BQ309" i="15" s="1"/>
  <c r="AE227" i="15"/>
  <c r="AG227" i="15" s="1"/>
  <c r="AJ227" i="15"/>
  <c r="BO227" i="15" s="1"/>
  <c r="BP227" i="15" s="1"/>
  <c r="BQ227" i="15" s="1"/>
  <c r="AE154" i="15"/>
  <c r="AG154" i="15" s="1"/>
  <c r="AJ154" i="15"/>
  <c r="BO154" i="15" s="1"/>
  <c r="BP154" i="15" s="1"/>
  <c r="BQ154" i="15" s="1"/>
  <c r="AE716" i="15"/>
  <c r="AG716" i="15" s="1"/>
  <c r="AJ716" i="15"/>
  <c r="BO716" i="15" s="1"/>
  <c r="BP716" i="15" s="1"/>
  <c r="BQ716" i="15" s="1"/>
  <c r="AE487" i="15"/>
  <c r="AG487" i="15" s="1"/>
  <c r="AJ487" i="15"/>
  <c r="BO487" i="15" s="1"/>
  <c r="BP487" i="15" s="1"/>
  <c r="BQ487" i="15" s="1"/>
  <c r="AE419" i="15"/>
  <c r="AG419" i="15" s="1"/>
  <c r="AJ419" i="15"/>
  <c r="BO419" i="15" s="1"/>
  <c r="BP419" i="15" s="1"/>
  <c r="BQ419" i="15" s="1"/>
  <c r="AE322" i="15"/>
  <c r="AG322" i="15" s="1"/>
  <c r="AJ322" i="15"/>
  <c r="BO322" i="15" s="1"/>
  <c r="BP322" i="15" s="1"/>
  <c r="BQ322" i="15" s="1"/>
  <c r="AE349" i="15"/>
  <c r="AG349" i="15" s="1"/>
  <c r="AJ349" i="15"/>
  <c r="BO349" i="15" s="1"/>
  <c r="BP349" i="15" s="1"/>
  <c r="BQ349" i="15" s="1"/>
  <c r="AE298" i="15"/>
  <c r="AG298" i="15" s="1"/>
  <c r="AJ298" i="15"/>
  <c r="BO298" i="15" s="1"/>
  <c r="BP298" i="15" s="1"/>
  <c r="BQ298" i="15" s="1"/>
  <c r="AE213" i="15"/>
  <c r="AG213" i="15" s="1"/>
  <c r="AJ213" i="15"/>
  <c r="BO213" i="15" s="1"/>
  <c r="BP213" i="15" s="1"/>
  <c r="BQ213" i="15" s="1"/>
  <c r="AE197" i="15"/>
  <c r="AG197" i="15" s="1"/>
  <c r="AJ197" i="15"/>
  <c r="BO197" i="15" s="1"/>
  <c r="BP197" i="15" s="1"/>
  <c r="BQ197" i="15" s="1"/>
  <c r="AE180" i="15"/>
  <c r="AG180" i="15" s="1"/>
  <c r="AJ180" i="15"/>
  <c r="BO180" i="15" s="1"/>
  <c r="BP180" i="15" s="1"/>
  <c r="BQ180" i="15" s="1"/>
  <c r="AE164" i="15"/>
  <c r="AG164" i="15" s="1"/>
  <c r="AJ164" i="15"/>
  <c r="BO164" i="15" s="1"/>
  <c r="BP164" i="15" s="1"/>
  <c r="BQ164" i="15" s="1"/>
  <c r="AE141" i="15"/>
  <c r="AG141" i="15" s="1"/>
  <c r="AJ141" i="15"/>
  <c r="BO141" i="15" s="1"/>
  <c r="BP141" i="15" s="1"/>
  <c r="BQ141" i="15" s="1"/>
  <c r="AE127" i="15"/>
  <c r="AG127" i="15" s="1"/>
  <c r="AJ127" i="15"/>
  <c r="BO127" i="15" s="1"/>
  <c r="BP127" i="15" s="1"/>
  <c r="BQ127" i="15" s="1"/>
  <c r="AE63" i="15"/>
  <c r="AG63" i="15" s="1"/>
  <c r="AJ63" i="15"/>
  <c r="BO63" i="15" s="1"/>
  <c r="BP63" i="15" s="1"/>
  <c r="BQ63" i="15" s="1"/>
  <c r="AE47" i="15"/>
  <c r="AG47" i="15" s="1"/>
  <c r="AJ47" i="15"/>
  <c r="BO47" i="15" s="1"/>
  <c r="BP47" i="15" s="1"/>
  <c r="BQ47" i="15" s="1"/>
  <c r="AE17" i="15"/>
  <c r="AG17" i="15" s="1"/>
  <c r="AJ17" i="15"/>
  <c r="BO17" i="15" s="1"/>
  <c r="BP17" i="15" s="1"/>
  <c r="BQ17" i="15" s="1"/>
  <c r="AE90" i="15"/>
  <c r="AG90" i="15" s="1"/>
  <c r="AJ90" i="15"/>
  <c r="BO90" i="15" s="1"/>
  <c r="BP90" i="15" s="1"/>
  <c r="BQ90" i="15" s="1"/>
  <c r="AE18" i="15"/>
  <c r="AG18" i="15" s="1"/>
  <c r="AJ18" i="15"/>
  <c r="BO18" i="15" s="1"/>
  <c r="BP18" i="15" s="1"/>
  <c r="BQ18" i="15" s="1"/>
  <c r="AE194" i="15"/>
  <c r="AG194" i="15" s="1"/>
  <c r="AJ194" i="15"/>
  <c r="BO194" i="15" s="1"/>
  <c r="BP194" i="15" s="1"/>
  <c r="BQ194" i="15" s="1"/>
  <c r="AE156" i="15"/>
  <c r="AG156" i="15" s="1"/>
  <c r="AJ156" i="15"/>
  <c r="BO156" i="15" s="1"/>
  <c r="BP156" i="15" s="1"/>
  <c r="BQ156" i="15" s="1"/>
  <c r="AE95" i="15"/>
  <c r="AG95" i="15" s="1"/>
  <c r="AJ95" i="15"/>
  <c r="BO95" i="15" s="1"/>
  <c r="BP95" i="15" s="1"/>
  <c r="BQ95" i="15" s="1"/>
  <c r="AE61" i="15"/>
  <c r="AG61" i="15" s="1"/>
  <c r="AJ61" i="15"/>
  <c r="BO61" i="15" s="1"/>
  <c r="BP61" i="15" s="1"/>
  <c r="BQ61" i="15" s="1"/>
  <c r="AE45" i="15"/>
  <c r="AG45" i="15" s="1"/>
  <c r="AJ45" i="15"/>
  <c r="BO45" i="15" s="1"/>
  <c r="BP45" i="15" s="1"/>
  <c r="BQ45" i="15" s="1"/>
  <c r="AE367" i="15"/>
  <c r="AG367" i="15" s="1"/>
  <c r="AJ367" i="15"/>
  <c r="BO367" i="15" s="1"/>
  <c r="BP367" i="15" s="1"/>
  <c r="BQ367" i="15" s="1"/>
  <c r="AE335" i="15"/>
  <c r="AG335" i="15" s="1"/>
  <c r="AJ335" i="15"/>
  <c r="BO335" i="15" s="1"/>
  <c r="BP335" i="15" s="1"/>
  <c r="BQ335" i="15" s="1"/>
  <c r="AE265" i="15"/>
  <c r="AG265" i="15" s="1"/>
  <c r="AJ265" i="15"/>
  <c r="BO265" i="15" s="1"/>
  <c r="BP265" i="15" s="1"/>
  <c r="BQ265" i="15" s="1"/>
  <c r="AE257" i="15"/>
  <c r="AG257" i="15" s="1"/>
  <c r="AJ257" i="15"/>
  <c r="BO257" i="15" s="1"/>
  <c r="BP257" i="15" s="1"/>
  <c r="BQ257" i="15" s="1"/>
  <c r="AE245" i="15"/>
  <c r="AG245" i="15" s="1"/>
  <c r="AJ245" i="15"/>
  <c r="BO245" i="15" s="1"/>
  <c r="BP245" i="15" s="1"/>
  <c r="BQ245" i="15" s="1"/>
  <c r="AE233" i="15"/>
  <c r="AG233" i="15" s="1"/>
  <c r="AJ233" i="15"/>
  <c r="AE208" i="15"/>
  <c r="AG208" i="15" s="1"/>
  <c r="AJ208" i="15"/>
  <c r="BO208" i="15" s="1"/>
  <c r="BP208" i="15" s="1"/>
  <c r="BQ208" i="15" s="1"/>
  <c r="AE179" i="15"/>
  <c r="AG179" i="15" s="1"/>
  <c r="AJ179" i="15"/>
  <c r="BO179" i="15" s="1"/>
  <c r="BP179" i="15" s="1"/>
  <c r="BQ179" i="15" s="1"/>
  <c r="AE119" i="15"/>
  <c r="AG119" i="15" s="1"/>
  <c r="AJ119" i="15"/>
  <c r="BO119" i="15" s="1"/>
  <c r="BP119" i="15" s="1"/>
  <c r="BQ119" i="15" s="1"/>
  <c r="AE103" i="15"/>
  <c r="AG103" i="15" s="1"/>
  <c r="AJ103" i="15"/>
  <c r="BO103" i="15" s="1"/>
  <c r="BP103" i="15" s="1"/>
  <c r="BQ103" i="15" s="1"/>
  <c r="AE24" i="15"/>
  <c r="AG24" i="15" s="1"/>
  <c r="AJ24" i="15"/>
  <c r="BO24" i="15" s="1"/>
  <c r="BP24" i="15" s="1"/>
  <c r="BQ24" i="15" s="1"/>
  <c r="AE343" i="15"/>
  <c r="AG343" i="15" s="1"/>
  <c r="AJ343" i="15"/>
  <c r="BO343" i="15" s="1"/>
  <c r="BP343" i="15" s="1"/>
  <c r="BQ343" i="15" s="1"/>
  <c r="AE292" i="15"/>
  <c r="AG292" i="15" s="1"/>
  <c r="AJ292" i="15"/>
  <c r="BO292" i="15" s="1"/>
  <c r="BP292" i="15" s="1"/>
  <c r="BQ292" i="15" s="1"/>
  <c r="AE266" i="15"/>
  <c r="AG266" i="15" s="1"/>
  <c r="AJ266" i="15"/>
  <c r="BO266" i="15" s="1"/>
  <c r="BP266" i="15" s="1"/>
  <c r="BQ266" i="15" s="1"/>
  <c r="AE258" i="15"/>
  <c r="AG258" i="15" s="1"/>
  <c r="AJ258" i="15"/>
  <c r="BO258" i="15" s="1"/>
  <c r="BP258" i="15" s="1"/>
  <c r="BQ258" i="15" s="1"/>
  <c r="AE248" i="15"/>
  <c r="AG248" i="15" s="1"/>
  <c r="AJ248" i="15"/>
  <c r="BO248" i="15" s="1"/>
  <c r="BP248" i="15" s="1"/>
  <c r="BQ248" i="15" s="1"/>
  <c r="AE240" i="15"/>
  <c r="AG240" i="15" s="1"/>
  <c r="AJ240" i="15"/>
  <c r="BO240" i="15" s="1"/>
  <c r="BP240" i="15" s="1"/>
  <c r="BQ240" i="15" s="1"/>
  <c r="AE230" i="15"/>
  <c r="AG230" i="15" s="1"/>
  <c r="AJ230" i="15"/>
  <c r="BO230" i="15" s="1"/>
  <c r="BP230" i="15" s="1"/>
  <c r="BQ230" i="15" s="1"/>
  <c r="AE214" i="15"/>
  <c r="AG214" i="15" s="1"/>
  <c r="AJ214" i="15"/>
  <c r="BO214" i="15" s="1"/>
  <c r="BP214" i="15" s="1"/>
  <c r="BQ214" i="15" s="1"/>
  <c r="AE198" i="15"/>
  <c r="AG198" i="15" s="1"/>
  <c r="AJ198" i="15"/>
  <c r="BO198" i="15" s="1"/>
  <c r="BP198" i="15" s="1"/>
  <c r="BQ198" i="15" s="1"/>
  <c r="AE183" i="15"/>
  <c r="AG183" i="15" s="1"/>
  <c r="AJ183" i="15"/>
  <c r="BO183" i="15" s="1"/>
  <c r="BP183" i="15" s="1"/>
  <c r="BQ183" i="15" s="1"/>
  <c r="AE160" i="15"/>
  <c r="AG160" i="15" s="1"/>
  <c r="AJ160" i="15"/>
  <c r="BO160" i="15" s="1"/>
  <c r="BP160" i="15" s="1"/>
  <c r="BQ160" i="15" s="1"/>
  <c r="AE136" i="15"/>
  <c r="AG136" i="15" s="1"/>
  <c r="AJ136" i="15"/>
  <c r="BO136" i="15" s="1"/>
  <c r="BP136" i="15" s="1"/>
  <c r="BQ136" i="15" s="1"/>
  <c r="AE60" i="15"/>
  <c r="AG60" i="15" s="1"/>
  <c r="AJ60" i="15"/>
  <c r="BO60" i="15" s="1"/>
  <c r="BP60" i="15" s="1"/>
  <c r="BQ60" i="15" s="1"/>
  <c r="AE26" i="15"/>
  <c r="AG26" i="15" s="1"/>
  <c r="AJ26" i="15"/>
  <c r="BO26" i="15" s="1"/>
  <c r="BP26" i="15" s="1"/>
  <c r="BQ26" i="15" s="1"/>
  <c r="AE355" i="15"/>
  <c r="AG355" i="15" s="1"/>
  <c r="AJ355" i="15"/>
  <c r="BO355" i="15" s="1"/>
  <c r="BP355" i="15" s="1"/>
  <c r="BQ355" i="15" s="1"/>
  <c r="AE288" i="15"/>
  <c r="AG288" i="15" s="1"/>
  <c r="AJ288" i="15"/>
  <c r="BO288" i="15" s="1"/>
  <c r="BP288" i="15" s="1"/>
  <c r="BQ288" i="15" s="1"/>
  <c r="AE210" i="15"/>
  <c r="AG210" i="15" s="1"/>
  <c r="AJ210" i="15"/>
  <c r="BO210" i="15" s="1"/>
  <c r="BP210" i="15" s="1"/>
  <c r="BQ210" i="15" s="1"/>
  <c r="AE173" i="15"/>
  <c r="AG173" i="15" s="1"/>
  <c r="AJ173" i="15"/>
  <c r="BO173" i="15" s="1"/>
  <c r="BP173" i="15" s="1"/>
  <c r="BQ173" i="15" s="1"/>
  <c r="AE133" i="15"/>
  <c r="AG133" i="15" s="1"/>
  <c r="AJ133" i="15"/>
  <c r="BO133" i="15" s="1"/>
  <c r="BP133" i="15" s="1"/>
  <c r="BQ133" i="15" s="1"/>
  <c r="AE19" i="15"/>
  <c r="AG19" i="15" s="1"/>
  <c r="AJ19" i="15"/>
  <c r="BO19" i="15" s="1"/>
  <c r="BP19" i="15" s="1"/>
  <c r="BQ19" i="15" s="1"/>
  <c r="AE225" i="15"/>
  <c r="AG225" i="15" s="1"/>
  <c r="AJ225" i="15"/>
  <c r="BO225" i="15" s="1"/>
  <c r="BP225" i="15" s="1"/>
  <c r="BQ225" i="15" s="1"/>
  <c r="AE187" i="15"/>
  <c r="AG187" i="15" s="1"/>
  <c r="AJ187" i="15"/>
  <c r="BO187" i="15" s="1"/>
  <c r="BP187" i="15" s="1"/>
  <c r="BQ187" i="15" s="1"/>
  <c r="AE140" i="15"/>
  <c r="AG140" i="15" s="1"/>
  <c r="AJ140" i="15"/>
  <c r="BO140" i="15" s="1"/>
  <c r="BP140" i="15" s="1"/>
  <c r="BQ140" i="15" s="1"/>
  <c r="AE12" i="15"/>
  <c r="AG12" i="15" s="1"/>
  <c r="AJ12" i="15"/>
  <c r="BO12" i="15" s="1"/>
  <c r="BP12" i="15" s="1"/>
  <c r="BQ12" i="15" s="1"/>
  <c r="AE121" i="15"/>
  <c r="AG121" i="15" s="1"/>
  <c r="AJ121" i="15"/>
  <c r="BO121" i="15" s="1"/>
  <c r="BP121" i="15" s="1"/>
  <c r="BQ121" i="15" s="1"/>
  <c r="AE37" i="15"/>
  <c r="AG37" i="15" s="1"/>
  <c r="AJ37" i="15"/>
  <c r="BO37" i="15" s="1"/>
  <c r="BP37" i="15" s="1"/>
  <c r="BQ37" i="15" s="1"/>
  <c r="AE101" i="15"/>
  <c r="AG101" i="15" s="1"/>
  <c r="AJ101" i="15"/>
  <c r="BO101" i="15" s="1"/>
  <c r="BP101" i="15" s="1"/>
  <c r="BQ101" i="15" s="1"/>
  <c r="AE818" i="15"/>
  <c r="AG818" i="15" s="1"/>
  <c r="AJ818" i="15"/>
  <c r="BO818" i="15" s="1"/>
  <c r="BP818" i="15" s="1"/>
  <c r="BQ818" i="15" s="1"/>
  <c r="AE738" i="15"/>
  <c r="AG738" i="15" s="1"/>
  <c r="AJ738" i="15"/>
  <c r="BO738" i="15" s="1"/>
  <c r="BP738" i="15" s="1"/>
  <c r="BQ738" i="15" s="1"/>
  <c r="AE785" i="15"/>
  <c r="AG785" i="15" s="1"/>
  <c r="AJ785" i="15"/>
  <c r="BO785" i="15" s="1"/>
  <c r="BP785" i="15" s="1"/>
  <c r="BQ785" i="15" s="1"/>
  <c r="AE759" i="15"/>
  <c r="AG759" i="15" s="1"/>
  <c r="AJ759" i="15"/>
  <c r="BO759" i="15" s="1"/>
  <c r="BP759" i="15" s="1"/>
  <c r="BQ759" i="15" s="1"/>
  <c r="AE694" i="15"/>
  <c r="AG694" i="15" s="1"/>
  <c r="AJ694" i="15"/>
  <c r="BO694" i="15" s="1"/>
  <c r="BP694" i="15" s="1"/>
  <c r="BQ694" i="15" s="1"/>
  <c r="AE562" i="15"/>
  <c r="AG562" i="15" s="1"/>
  <c r="AJ562" i="15"/>
  <c r="BO562" i="15" s="1"/>
  <c r="BP562" i="15" s="1"/>
  <c r="BQ562" i="15" s="1"/>
  <c r="AE525" i="15"/>
  <c r="AG525" i="15" s="1"/>
  <c r="AJ525" i="15"/>
  <c r="BO525" i="15" s="1"/>
  <c r="BP525" i="15" s="1"/>
  <c r="BQ525" i="15" s="1"/>
  <c r="AE287" i="15"/>
  <c r="AG287" i="15" s="1"/>
  <c r="AJ287" i="15"/>
  <c r="BO287" i="15" s="1"/>
  <c r="BP287" i="15" s="1"/>
  <c r="BQ287" i="15" s="1"/>
  <c r="AE717" i="15"/>
  <c r="AG717" i="15" s="1"/>
  <c r="AJ717" i="15"/>
  <c r="BO717" i="15" s="1"/>
  <c r="BP717" i="15" s="1"/>
  <c r="BQ717" i="15" s="1"/>
  <c r="AE567" i="15"/>
  <c r="AG567" i="15" s="1"/>
  <c r="AJ567" i="15"/>
  <c r="BO567" i="15" s="1"/>
  <c r="BP567" i="15" s="1"/>
  <c r="BQ567" i="15" s="1"/>
  <c r="AE551" i="15"/>
  <c r="AG551" i="15" s="1"/>
  <c r="AJ551" i="15"/>
  <c r="BO551" i="15" s="1"/>
  <c r="BP551" i="15" s="1"/>
  <c r="BQ551" i="15" s="1"/>
  <c r="AE366" i="15"/>
  <c r="AG366" i="15" s="1"/>
  <c r="AJ366" i="15"/>
  <c r="BO366" i="15" s="1"/>
  <c r="BP366" i="15" s="1"/>
  <c r="BQ366" i="15" s="1"/>
  <c r="AE565" i="15"/>
  <c r="AG565" i="15" s="1"/>
  <c r="AJ565" i="15"/>
  <c r="BO565" i="15" s="1"/>
  <c r="BP565" i="15" s="1"/>
  <c r="BQ565" i="15" s="1"/>
  <c r="AE465" i="15"/>
  <c r="AG465" i="15" s="1"/>
  <c r="AJ465" i="15"/>
  <c r="BO465" i="15" s="1"/>
  <c r="BP465" i="15" s="1"/>
  <c r="BQ465" i="15" s="1"/>
  <c r="AE849" i="15"/>
  <c r="AJ849" i="15"/>
  <c r="BO849" i="15" s="1"/>
  <c r="BP849" i="15" s="1"/>
  <c r="BQ849" i="15" s="1"/>
  <c r="AE564" i="15"/>
  <c r="AG564" i="15" s="1"/>
  <c r="AJ564" i="15"/>
  <c r="BO564" i="15" s="1"/>
  <c r="BP564" i="15" s="1"/>
  <c r="BQ564" i="15" s="1"/>
  <c r="AE527" i="15"/>
  <c r="AG527" i="15" s="1"/>
  <c r="AJ527" i="15"/>
  <c r="BO527" i="15" s="1"/>
  <c r="BP527" i="15" s="1"/>
  <c r="BQ527" i="15" s="1"/>
  <c r="AE58" i="15"/>
  <c r="AG58" i="15" s="1"/>
  <c r="AJ58" i="15"/>
  <c r="BO58" i="15" s="1"/>
  <c r="BP58" i="15" s="1"/>
  <c r="BQ58" i="15" s="1"/>
  <c r="AE685" i="15"/>
  <c r="AG685" i="15" s="1"/>
  <c r="AJ685" i="15"/>
  <c r="BO685" i="15" s="1"/>
  <c r="BP685" i="15" s="1"/>
  <c r="BQ685" i="15" s="1"/>
  <c r="AE54" i="15"/>
  <c r="AG54" i="15" s="1"/>
  <c r="AJ54" i="15"/>
  <c r="BO54" i="15" s="1"/>
  <c r="BP54" i="15" s="1"/>
  <c r="BQ54" i="15" s="1"/>
  <c r="AE50" i="15"/>
  <c r="AG50" i="15" s="1"/>
  <c r="AJ50" i="15"/>
  <c r="BO50" i="15" s="1"/>
  <c r="BP50" i="15" s="1"/>
  <c r="BQ50" i="15" s="1"/>
  <c r="AJ67" i="15"/>
  <c r="AE857" i="15"/>
  <c r="AJ857" i="15"/>
  <c r="BO857" i="15" s="1"/>
  <c r="BP857" i="15" s="1"/>
  <c r="BQ857" i="15" s="1"/>
  <c r="AE851" i="15"/>
  <c r="AJ851" i="15"/>
  <c r="BO851" i="15" s="1"/>
  <c r="BP851" i="15" s="1"/>
  <c r="BQ851" i="15" s="1"/>
  <c r="AE843" i="15"/>
  <c r="AJ843" i="15"/>
  <c r="BO843" i="15" s="1"/>
  <c r="BP843" i="15" s="1"/>
  <c r="BQ843" i="15" s="1"/>
  <c r="AE839" i="15"/>
  <c r="AJ839" i="15"/>
  <c r="BO839" i="15" s="1"/>
  <c r="BP839" i="15" s="1"/>
  <c r="BQ839" i="15" s="1"/>
  <c r="AE833" i="15"/>
  <c r="AJ833" i="15"/>
  <c r="BO833" i="15" s="1"/>
  <c r="BP833" i="15" s="1"/>
  <c r="BQ833" i="15" s="1"/>
  <c r="CE771" i="15"/>
  <c r="CF771" i="15" s="1"/>
  <c r="AI771" i="15"/>
  <c r="CE765" i="15"/>
  <c r="CF765" i="15" s="1"/>
  <c r="AI765" i="15"/>
  <c r="CE761" i="15"/>
  <c r="CF761" i="15" s="1"/>
  <c r="AI761" i="15"/>
  <c r="CE757" i="15"/>
  <c r="CF757" i="15" s="1"/>
  <c r="AI757" i="15"/>
  <c r="CE751" i="15"/>
  <c r="CF751" i="15" s="1"/>
  <c r="AI751" i="15"/>
  <c r="CE743" i="15"/>
  <c r="CF743" i="15" s="1"/>
  <c r="AI743" i="15"/>
  <c r="CE525" i="15"/>
  <c r="CF525" i="15" s="1"/>
  <c r="AI525" i="15"/>
  <c r="CE517" i="15"/>
  <c r="CF517" i="15" s="1"/>
  <c r="AI517" i="15"/>
  <c r="CE497" i="15"/>
  <c r="CF497" i="15" s="1"/>
  <c r="AI497" i="15"/>
  <c r="CE29" i="15"/>
  <c r="CF29" i="15" s="1"/>
  <c r="AI29" i="15"/>
  <c r="CE21" i="15"/>
  <c r="CF21" i="15" s="1"/>
  <c r="AI21" i="15"/>
  <c r="CE13" i="15"/>
  <c r="CF13" i="15" s="1"/>
  <c r="AI13" i="15"/>
  <c r="CE166" i="15"/>
  <c r="CF166" i="15" s="1"/>
  <c r="AI166" i="15"/>
  <c r="CE150" i="15"/>
  <c r="CF150" i="15" s="1"/>
  <c r="AI150" i="15"/>
  <c r="AE706" i="15"/>
  <c r="AG706" i="15" s="1"/>
  <c r="AJ706" i="15"/>
  <c r="BO706" i="15" s="1"/>
  <c r="BP706" i="15" s="1"/>
  <c r="BQ706" i="15" s="1"/>
  <c r="AE700" i="15"/>
  <c r="AG700" i="15" s="1"/>
  <c r="AJ700" i="15"/>
  <c r="BO700" i="15" s="1"/>
  <c r="BP700" i="15" s="1"/>
  <c r="BQ700" i="15" s="1"/>
  <c r="AE696" i="15"/>
  <c r="AG696" i="15" s="1"/>
  <c r="AJ696" i="15"/>
  <c r="BO696" i="15" s="1"/>
  <c r="BP696" i="15" s="1"/>
  <c r="BQ696" i="15" s="1"/>
  <c r="AE690" i="15"/>
  <c r="AG690" i="15" s="1"/>
  <c r="AJ690" i="15"/>
  <c r="BO690" i="15" s="1"/>
  <c r="BP690" i="15" s="1"/>
  <c r="BQ690" i="15" s="1"/>
  <c r="CE676" i="15"/>
  <c r="CF676" i="15" s="1"/>
  <c r="AI676" i="15"/>
  <c r="CE630" i="15"/>
  <c r="CF630" i="15" s="1"/>
  <c r="AI630" i="15"/>
  <c r="CE446" i="15"/>
  <c r="CF446" i="15" s="1"/>
  <c r="AI446" i="15"/>
  <c r="CE436" i="15"/>
  <c r="CF436" i="15" s="1"/>
  <c r="AI436" i="15"/>
  <c r="CE422" i="15"/>
  <c r="CF422" i="15" s="1"/>
  <c r="AI422" i="15"/>
  <c r="CE414" i="15"/>
  <c r="CF414" i="15" s="1"/>
  <c r="AI414" i="15"/>
  <c r="CE404" i="15"/>
  <c r="CF404" i="15" s="1"/>
  <c r="AI404" i="15"/>
  <c r="CE388" i="15"/>
  <c r="CF388" i="15" s="1"/>
  <c r="AI388" i="15"/>
  <c r="CE379" i="15"/>
  <c r="CF379" i="15" s="1"/>
  <c r="AI379" i="15"/>
  <c r="CE317" i="15"/>
  <c r="CF317" i="15" s="1"/>
  <c r="AI317" i="15"/>
  <c r="CE309" i="15"/>
  <c r="CF309" i="15" s="1"/>
  <c r="AI309" i="15"/>
  <c r="AE295" i="15"/>
  <c r="AG295" i="15" s="1"/>
  <c r="AJ295" i="15"/>
  <c r="BO295" i="15" s="1"/>
  <c r="BP295" i="15" s="1"/>
  <c r="BQ295" i="15" s="1"/>
  <c r="AE291" i="15"/>
  <c r="AG291" i="15" s="1"/>
  <c r="AJ291" i="15"/>
  <c r="BO291" i="15" s="1"/>
  <c r="BP291" i="15" s="1"/>
  <c r="BQ291" i="15" s="1"/>
  <c r="AE285" i="15"/>
  <c r="AG285" i="15" s="1"/>
  <c r="AJ285" i="15"/>
  <c r="BO285" i="15" s="1"/>
  <c r="BP285" i="15" s="1"/>
  <c r="BQ285" i="15" s="1"/>
  <c r="AE281" i="15"/>
  <c r="AG281" i="15" s="1"/>
  <c r="AJ281" i="15"/>
  <c r="BO281" i="15" s="1"/>
  <c r="BP281" i="15" s="1"/>
  <c r="BQ281" i="15" s="1"/>
  <c r="AE277" i="15"/>
  <c r="AG277" i="15" s="1"/>
  <c r="AJ277" i="15"/>
  <c r="BO277" i="15" s="1"/>
  <c r="BP277" i="15" s="1"/>
  <c r="BQ277" i="15" s="1"/>
  <c r="AE273" i="15"/>
  <c r="AG273" i="15" s="1"/>
  <c r="AJ273" i="15"/>
  <c r="BO273" i="15" s="1"/>
  <c r="BP273" i="15" s="1"/>
  <c r="BQ273" i="15" s="1"/>
  <c r="CE130" i="15"/>
  <c r="CF130" i="15" s="1"/>
  <c r="AI130" i="15"/>
  <c r="CE120" i="15"/>
  <c r="CF120" i="15" s="1"/>
  <c r="AI120" i="15"/>
  <c r="CE116" i="15"/>
  <c r="CF116" i="15" s="1"/>
  <c r="AI116" i="15"/>
  <c r="CE112" i="15"/>
  <c r="CF112" i="15" s="1"/>
  <c r="AI112" i="15"/>
  <c r="CE108" i="15"/>
  <c r="CF108" i="15" s="1"/>
  <c r="AI108" i="15"/>
  <c r="CE104" i="15"/>
  <c r="CF104" i="15" s="1"/>
  <c r="AI104" i="15"/>
  <c r="CE100" i="15"/>
  <c r="CF100" i="15" s="1"/>
  <c r="AI100" i="15"/>
  <c r="CE780" i="15"/>
  <c r="CF780" i="15" s="1"/>
  <c r="AI780" i="15"/>
  <c r="CE734" i="15"/>
  <c r="CF734" i="15" s="1"/>
  <c r="AI734" i="15"/>
  <c r="CE724" i="15"/>
  <c r="CF724" i="15" s="1"/>
  <c r="AI724" i="15"/>
  <c r="CE522" i="15"/>
  <c r="CF522" i="15" s="1"/>
  <c r="AI522" i="15"/>
  <c r="CE502" i="15"/>
  <c r="CF502" i="15" s="1"/>
  <c r="AI502" i="15"/>
  <c r="CE482" i="15"/>
  <c r="CF482" i="15" s="1"/>
  <c r="AI482" i="15"/>
  <c r="CE474" i="15"/>
  <c r="CF474" i="15" s="1"/>
  <c r="AI474" i="15"/>
  <c r="CE683" i="15"/>
  <c r="CF683" i="15" s="1"/>
  <c r="AI683" i="15"/>
  <c r="CE675" i="15"/>
  <c r="CF675" i="15" s="1"/>
  <c r="AI675" i="15"/>
  <c r="CE659" i="15"/>
  <c r="CF659" i="15" s="1"/>
  <c r="AI659" i="15"/>
  <c r="CE633" i="15"/>
  <c r="CF633" i="15" s="1"/>
  <c r="AI633" i="15"/>
  <c r="CE606" i="15"/>
  <c r="CF606" i="15" s="1"/>
  <c r="AI606" i="15"/>
  <c r="CE602" i="15"/>
  <c r="CF602" i="15" s="1"/>
  <c r="AI602" i="15"/>
  <c r="CE598" i="15"/>
  <c r="CF598" i="15" s="1"/>
  <c r="AI598" i="15"/>
  <c r="CE594" i="15"/>
  <c r="CF594" i="15" s="1"/>
  <c r="AI594" i="15"/>
  <c r="CE588" i="15"/>
  <c r="CF588" i="15" s="1"/>
  <c r="AI588" i="15"/>
  <c r="CE584" i="15"/>
  <c r="CF584" i="15" s="1"/>
  <c r="AI584" i="15"/>
  <c r="CE580" i="15"/>
  <c r="CF580" i="15" s="1"/>
  <c r="AI580" i="15"/>
  <c r="CE463" i="15"/>
  <c r="CF463" i="15" s="1"/>
  <c r="AI463" i="15"/>
  <c r="CE441" i="15"/>
  <c r="CF441" i="15" s="1"/>
  <c r="AI441" i="15"/>
  <c r="CE405" i="15"/>
  <c r="CF405" i="15" s="1"/>
  <c r="AI405" i="15"/>
  <c r="CE393" i="15"/>
  <c r="CF393" i="15" s="1"/>
  <c r="AI393" i="15"/>
  <c r="AE364" i="15"/>
  <c r="AG364" i="15" s="1"/>
  <c r="AJ364" i="15"/>
  <c r="BO364" i="15" s="1"/>
  <c r="BP364" i="15" s="1"/>
  <c r="BQ364" i="15" s="1"/>
  <c r="AE360" i="15"/>
  <c r="AG360" i="15" s="1"/>
  <c r="AJ360" i="15"/>
  <c r="BO360" i="15" s="1"/>
  <c r="BP360" i="15" s="1"/>
  <c r="BQ360" i="15" s="1"/>
  <c r="AE356" i="15"/>
  <c r="AG356" i="15" s="1"/>
  <c r="AJ356" i="15"/>
  <c r="BO356" i="15" s="1"/>
  <c r="BP356" i="15" s="1"/>
  <c r="BQ356" i="15" s="1"/>
  <c r="AE352" i="15"/>
  <c r="AG352" i="15" s="1"/>
  <c r="AJ352" i="15"/>
  <c r="BO352" i="15" s="1"/>
  <c r="BP352" i="15" s="1"/>
  <c r="BQ352" i="15" s="1"/>
  <c r="AE346" i="15"/>
  <c r="AG346" i="15" s="1"/>
  <c r="AJ346" i="15"/>
  <c r="BO346" i="15" s="1"/>
  <c r="BP346" i="15" s="1"/>
  <c r="BQ346" i="15" s="1"/>
  <c r="AE342" i="15"/>
  <c r="AG342" i="15" s="1"/>
  <c r="AJ342" i="15"/>
  <c r="BO342" i="15" s="1"/>
  <c r="BP342" i="15" s="1"/>
  <c r="BQ342" i="15" s="1"/>
  <c r="AE338" i="15"/>
  <c r="AG338" i="15" s="1"/>
  <c r="AJ338" i="15"/>
  <c r="BO338" i="15" s="1"/>
  <c r="BP338" i="15" s="1"/>
  <c r="BQ338" i="15" s="1"/>
  <c r="AE332" i="15"/>
  <c r="AG332" i="15" s="1"/>
  <c r="AJ332" i="15"/>
  <c r="BO332" i="15" s="1"/>
  <c r="BP332" i="15" s="1"/>
  <c r="BQ332" i="15" s="1"/>
  <c r="AE328" i="15"/>
  <c r="AG328" i="15" s="1"/>
  <c r="AJ328" i="15"/>
  <c r="BO328" i="15" s="1"/>
  <c r="BP328" i="15" s="1"/>
  <c r="BQ328" i="15" s="1"/>
  <c r="CE92" i="15"/>
  <c r="CF92" i="15" s="1"/>
  <c r="AI92" i="15"/>
  <c r="CE85" i="15"/>
  <c r="CF85" i="15" s="1"/>
  <c r="AI85" i="15"/>
  <c r="AE79" i="15"/>
  <c r="AG79" i="15" s="1"/>
  <c r="AJ79" i="15"/>
  <c r="BO79" i="15" s="1"/>
  <c r="BP79" i="15" s="1"/>
  <c r="BQ79" i="15" s="1"/>
  <c r="AE75" i="15"/>
  <c r="AG75" i="15" s="1"/>
  <c r="AJ75" i="15"/>
  <c r="BO75" i="15" s="1"/>
  <c r="BP75" i="15" s="1"/>
  <c r="BQ75" i="15" s="1"/>
  <c r="AE71" i="15"/>
  <c r="AG71" i="15" s="1"/>
  <c r="AJ71" i="15"/>
  <c r="BO71" i="15" s="1"/>
  <c r="BP71" i="15" s="1"/>
  <c r="BQ71" i="15" s="1"/>
  <c r="BU757" i="15"/>
  <c r="BV757" i="15" s="1"/>
  <c r="BW497" i="15"/>
  <c r="BX497" i="15" s="1"/>
  <c r="BW761" i="15"/>
  <c r="BX761" i="15" s="1"/>
  <c r="BW733" i="15"/>
  <c r="BX733" i="15" s="1"/>
  <c r="BU765" i="15"/>
  <c r="BV765" i="15" s="1"/>
  <c r="BU743" i="15"/>
  <c r="BV743" i="15" s="1"/>
  <c r="BW630" i="15"/>
  <c r="BX630" i="15" s="1"/>
  <c r="BW771" i="15"/>
  <c r="BX771" i="15" s="1"/>
  <c r="BW765" i="15"/>
  <c r="BX765" i="15" s="1"/>
  <c r="BU761" i="15"/>
  <c r="BV761" i="15" s="1"/>
  <c r="BW757" i="15"/>
  <c r="BX757" i="15" s="1"/>
  <c r="BW751" i="15"/>
  <c r="BX751" i="15" s="1"/>
  <c r="BW743" i="15"/>
  <c r="BX743" i="15" s="1"/>
  <c r="BU733" i="15"/>
  <c r="BV733" i="15" s="1"/>
  <c r="BU497" i="15"/>
  <c r="BV497" i="15" s="1"/>
  <c r="BU780" i="15"/>
  <c r="BV780" i="15" s="1"/>
  <c r="BW633" i="15"/>
  <c r="BX633" i="15" s="1"/>
  <c r="BW606" i="15"/>
  <c r="BX606" i="15" s="1"/>
  <c r="BU602" i="15"/>
  <c r="BV602" i="15" s="1"/>
  <c r="BU598" i="15"/>
  <c r="BV598" i="15" s="1"/>
  <c r="BU594" i="15"/>
  <c r="BV594" i="15" s="1"/>
  <c r="BW588" i="15"/>
  <c r="BX588" i="15" s="1"/>
  <c r="BU584" i="15"/>
  <c r="BV584" i="15" s="1"/>
  <c r="BU580" i="15"/>
  <c r="BV580" i="15" s="1"/>
  <c r="BU630" i="15"/>
  <c r="BV630" i="15" s="1"/>
  <c r="BW780" i="15"/>
  <c r="BX780" i="15" s="1"/>
  <c r="BU633" i="15"/>
  <c r="BV633" i="15" s="1"/>
  <c r="BU606" i="15"/>
  <c r="BV606" i="15" s="1"/>
  <c r="BW602" i="15"/>
  <c r="BX602" i="15" s="1"/>
  <c r="BW598" i="15"/>
  <c r="BX598" i="15" s="1"/>
  <c r="BW594" i="15"/>
  <c r="BX594" i="15" s="1"/>
  <c r="BU588" i="15"/>
  <c r="BV588" i="15" s="1"/>
  <c r="BW584" i="15"/>
  <c r="BX584" i="15" s="1"/>
  <c r="BW580" i="15"/>
  <c r="BX580" i="15" s="1"/>
  <c r="BW704" i="15"/>
  <c r="BX704" i="15" s="1"/>
  <c r="BW692" i="15"/>
  <c r="BX692" i="15" s="1"/>
  <c r="BU708" i="15"/>
  <c r="BV708" i="15" s="1"/>
  <c r="BW698" i="15"/>
  <c r="BX698" i="15" s="1"/>
  <c r="BW708" i="15"/>
  <c r="BX708" i="15" s="1"/>
  <c r="BU698" i="15"/>
  <c r="BV698" i="15" s="1"/>
  <c r="BU706" i="15"/>
  <c r="BV706" i="15" s="1"/>
  <c r="BW700" i="15"/>
  <c r="BX700" i="15" s="1"/>
  <c r="BU696" i="15"/>
  <c r="BV696" i="15" s="1"/>
  <c r="BU690" i="15"/>
  <c r="BV690" i="15" s="1"/>
  <c r="BW706" i="15"/>
  <c r="BX706" i="15" s="1"/>
  <c r="BU700" i="15"/>
  <c r="BV700" i="15" s="1"/>
  <c r="BW696" i="15"/>
  <c r="BX696" i="15" s="1"/>
  <c r="BW690" i="15"/>
  <c r="BX690" i="15" s="1"/>
  <c r="CE56" i="15"/>
  <c r="CF56" i="15" s="1"/>
  <c r="CE48" i="15"/>
  <c r="CF48" i="15" s="1"/>
  <c r="AH796" i="15"/>
  <c r="AI796" i="15" s="1"/>
  <c r="AH714" i="15"/>
  <c r="AI714" i="15" s="1"/>
  <c r="AH472" i="15"/>
  <c r="AI472" i="15" s="1"/>
  <c r="AH641" i="15"/>
  <c r="AI641" i="15" s="1"/>
  <c r="AH455" i="15"/>
  <c r="AI455" i="15" s="1"/>
  <c r="AH688" i="15"/>
  <c r="AI688" i="15" s="1"/>
  <c r="AH271" i="15"/>
  <c r="AI271" i="15" s="1"/>
  <c r="CE733" i="15"/>
  <c r="AH732" i="15"/>
  <c r="AI732" i="15" s="1"/>
  <c r="CE515" i="15"/>
  <c r="AH514" i="15"/>
  <c r="AI514" i="15" s="1"/>
  <c r="AH300" i="15"/>
  <c r="AI300" i="15" s="1"/>
  <c r="CE301" i="15"/>
  <c r="CE220" i="15"/>
  <c r="CF220" i="15" s="1"/>
  <c r="AH219" i="15"/>
  <c r="AI219" i="15" s="1"/>
  <c r="CE669" i="15"/>
  <c r="CF669" i="15" s="1"/>
  <c r="AH668" i="15"/>
  <c r="AI668" i="15" s="1"/>
  <c r="CE326" i="15"/>
  <c r="AH325" i="15"/>
  <c r="AI325" i="15" s="1"/>
  <c r="CE62" i="15"/>
  <c r="CF62" i="15" s="1"/>
  <c r="CE54" i="15"/>
  <c r="CF54" i="15" s="1"/>
  <c r="CE46" i="15"/>
  <c r="CF46" i="15" s="1"/>
  <c r="CE60" i="15"/>
  <c r="CF60" i="15" s="1"/>
  <c r="CE52" i="15"/>
  <c r="CF52" i="15" s="1"/>
  <c r="AH828" i="15"/>
  <c r="AI828" i="15" s="1"/>
  <c r="AH776" i="15"/>
  <c r="AI776" i="15" s="1"/>
  <c r="AH548" i="15"/>
  <c r="AI548" i="15" s="1"/>
  <c r="AH578" i="15"/>
  <c r="AI578" i="15" s="1"/>
  <c r="AH621" i="15"/>
  <c r="AI621" i="15" s="1"/>
  <c r="AH430" i="15"/>
  <c r="AI430" i="15" s="1"/>
  <c r="CE755" i="15"/>
  <c r="AH754" i="15"/>
  <c r="AI754" i="15" s="1"/>
  <c r="CE408" i="15"/>
  <c r="AH407" i="15"/>
  <c r="AI407" i="15" s="1"/>
  <c r="AH145" i="15"/>
  <c r="AI145" i="15" s="1"/>
  <c r="CE146" i="15"/>
  <c r="CF146" i="15" s="1"/>
  <c r="CE492" i="15"/>
  <c r="AH491" i="15"/>
  <c r="AI491" i="15" s="1"/>
  <c r="CE372" i="15"/>
  <c r="AH371" i="15"/>
  <c r="AI371" i="15" s="1"/>
  <c r="CE58" i="15"/>
  <c r="CF58" i="15" s="1"/>
  <c r="CE50" i="15"/>
  <c r="CF50" i="15" s="1"/>
  <c r="AB8" i="15"/>
  <c r="AO8" i="15" s="1"/>
  <c r="F6" i="15"/>
  <c r="G6" i="15"/>
  <c r="N6" i="15"/>
  <c r="J6" i="15"/>
  <c r="S6" i="15"/>
  <c r="R6" i="15"/>
  <c r="C6" i="15"/>
  <c r="K6" i="15"/>
  <c r="O6" i="15"/>
  <c r="Q6" i="15"/>
  <c r="P6" i="15"/>
  <c r="T6" i="15"/>
  <c r="L6" i="15"/>
  <c r="I6" i="15"/>
  <c r="D6" i="15"/>
  <c r="H6" i="15"/>
  <c r="M6" i="15"/>
  <c r="E6" i="15"/>
  <c r="AH34" i="15"/>
  <c r="AI34" i="15" s="1"/>
  <c r="AH9" i="15"/>
  <c r="AI9" i="15" s="1"/>
  <c r="AH98" i="15"/>
  <c r="AI98" i="15" s="1"/>
  <c r="AE84" i="15"/>
  <c r="AD83" i="15"/>
  <c r="W6" i="15"/>
  <c r="AH125" i="15"/>
  <c r="AI125" i="15" s="1"/>
  <c r="AE99" i="15"/>
  <c r="AD98" i="15"/>
  <c r="AH83" i="15"/>
  <c r="AI83" i="15" s="1"/>
  <c r="AE67" i="15"/>
  <c r="AD65" i="15"/>
  <c r="AE44" i="15"/>
  <c r="AD42" i="15"/>
  <c r="AE126" i="15"/>
  <c r="AD125" i="15"/>
  <c r="AE36" i="15"/>
  <c r="AD34" i="15"/>
  <c r="AH65" i="15"/>
  <c r="AI65" i="15" s="1"/>
  <c r="AD9" i="15"/>
  <c r="AH42" i="15"/>
  <c r="AI42" i="15" s="1"/>
  <c r="AE10" i="15"/>
  <c r="BW487" i="15"/>
  <c r="BX487" i="15" s="1"/>
  <c r="BU487" i="15"/>
  <c r="BV487" i="15" s="1"/>
  <c r="BW818" i="15"/>
  <c r="BX818" i="15" s="1"/>
  <c r="BU818" i="15"/>
  <c r="BV818" i="15" s="1"/>
  <c r="BU784" i="15"/>
  <c r="BV784" i="15" s="1"/>
  <c r="BW784" i="15"/>
  <c r="BX784" i="15" s="1"/>
  <c r="BW722" i="15"/>
  <c r="BX722" i="15" s="1"/>
  <c r="BU722" i="15"/>
  <c r="BV722" i="15" s="1"/>
  <c r="BW734" i="15"/>
  <c r="BX734" i="15" s="1"/>
  <c r="BU734" i="15"/>
  <c r="BV734" i="15" s="1"/>
  <c r="BW694" i="15"/>
  <c r="BX694" i="15" s="1"/>
  <c r="BU694" i="15"/>
  <c r="BV694" i="15" s="1"/>
  <c r="BW521" i="15"/>
  <c r="BX521" i="15" s="1"/>
  <c r="BU521" i="15"/>
  <c r="BV521" i="15" s="1"/>
  <c r="BW717" i="15"/>
  <c r="BX717" i="15" s="1"/>
  <c r="BU717" i="15"/>
  <c r="BV717" i="15" s="1"/>
  <c r="BW567" i="15"/>
  <c r="BX567" i="15" s="1"/>
  <c r="BU567" i="15"/>
  <c r="BV567" i="15" s="1"/>
  <c r="BW559" i="15"/>
  <c r="BX559" i="15" s="1"/>
  <c r="BU559" i="15"/>
  <c r="BV559" i="15" s="1"/>
  <c r="BW551" i="15"/>
  <c r="BX551" i="15" s="1"/>
  <c r="BU551" i="15"/>
  <c r="BV551" i="15" s="1"/>
  <c r="BW767" i="15"/>
  <c r="BX767" i="15" s="1"/>
  <c r="BU767" i="15"/>
  <c r="BV767" i="15" s="1"/>
  <c r="BU808" i="15"/>
  <c r="BV808" i="15" s="1"/>
  <c r="BW808" i="15"/>
  <c r="BX808" i="15" s="1"/>
  <c r="BW815" i="15"/>
  <c r="BX815" i="15" s="1"/>
  <c r="BU815" i="15"/>
  <c r="BV815" i="15" s="1"/>
  <c r="BU801" i="15"/>
  <c r="BV801" i="15" s="1"/>
  <c r="BW801" i="15"/>
  <c r="BX801" i="15" s="1"/>
  <c r="BU797" i="15"/>
  <c r="BV797" i="15" s="1"/>
  <c r="BW797" i="15"/>
  <c r="BX797" i="15" s="1"/>
  <c r="BU723" i="15"/>
  <c r="BV723" i="15" s="1"/>
  <c r="BW723" i="15"/>
  <c r="BX723" i="15" s="1"/>
  <c r="BW677" i="15"/>
  <c r="BX677" i="15" s="1"/>
  <c r="BU677" i="15"/>
  <c r="BV677" i="15" s="1"/>
  <c r="BW669" i="15"/>
  <c r="BX669" i="15" s="1"/>
  <c r="BU669" i="15"/>
  <c r="BV669" i="15" s="1"/>
  <c r="BW745" i="15"/>
  <c r="BX745" i="15" s="1"/>
  <c r="BU745" i="15"/>
  <c r="BV745" i="15" s="1"/>
  <c r="BU658" i="15"/>
  <c r="BV658" i="15" s="1"/>
  <c r="BW658" i="15"/>
  <c r="BX658" i="15" s="1"/>
  <c r="BW572" i="15"/>
  <c r="BX572" i="15" s="1"/>
  <c r="BU572" i="15"/>
  <c r="BV572" i="15" s="1"/>
  <c r="BW709" i="15"/>
  <c r="BX709" i="15" s="1"/>
  <c r="BU709" i="15"/>
  <c r="BV709" i="15" s="1"/>
  <c r="BW660" i="15"/>
  <c r="BX660" i="15" s="1"/>
  <c r="BU660" i="15"/>
  <c r="BV660" i="15" s="1"/>
  <c r="BW575" i="15"/>
  <c r="BX575" i="15" s="1"/>
  <c r="BU575" i="15"/>
  <c r="BV575" i="15" s="1"/>
  <c r="BU645" i="15"/>
  <c r="BV645" i="15" s="1"/>
  <c r="BW645" i="15"/>
  <c r="BX645" i="15" s="1"/>
  <c r="BU622" i="15"/>
  <c r="BV622" i="15" s="1"/>
  <c r="BW622" i="15"/>
  <c r="BX622" i="15" s="1"/>
  <c r="BW519" i="15"/>
  <c r="BX519" i="15" s="1"/>
  <c r="BU519" i="15"/>
  <c r="BV519" i="15" s="1"/>
  <c r="BW486" i="15"/>
  <c r="BX486" i="15" s="1"/>
  <c r="BU486" i="15"/>
  <c r="BV486" i="15" s="1"/>
  <c r="BW647" i="15"/>
  <c r="BX647" i="15" s="1"/>
  <c r="BU647" i="15"/>
  <c r="BV647" i="15" s="1"/>
  <c r="BW632" i="15"/>
  <c r="BX632" i="15" s="1"/>
  <c r="BU632" i="15"/>
  <c r="BV632" i="15" s="1"/>
  <c r="BW485" i="15"/>
  <c r="BX485" i="15" s="1"/>
  <c r="BU485" i="15"/>
  <c r="BV485" i="15" s="1"/>
  <c r="BW764" i="15"/>
  <c r="BX764" i="15" s="1"/>
  <c r="BU764" i="15"/>
  <c r="BV764" i="15" s="1"/>
  <c r="BU653" i="15"/>
  <c r="BV653" i="15" s="1"/>
  <c r="BW653" i="15"/>
  <c r="BX653" i="15" s="1"/>
  <c r="BW498" i="15"/>
  <c r="BX498" i="15" s="1"/>
  <c r="BU498" i="15"/>
  <c r="BV498" i="15" s="1"/>
  <c r="BW636" i="15"/>
  <c r="BX636" i="15" s="1"/>
  <c r="BU636" i="15"/>
  <c r="BV636" i="15" s="1"/>
  <c r="BW663" i="15"/>
  <c r="BX663" i="15" s="1"/>
  <c r="BU663" i="15"/>
  <c r="BV663" i="15" s="1"/>
  <c r="BU541" i="15"/>
  <c r="BV541" i="15" s="1"/>
  <c r="BW541" i="15"/>
  <c r="BX541" i="15" s="1"/>
  <c r="BW534" i="15"/>
  <c r="BX534" i="15" s="1"/>
  <c r="BU534" i="15"/>
  <c r="BV534" i="15" s="1"/>
  <c r="BU716" i="15"/>
  <c r="BV716" i="15" s="1"/>
  <c r="BW716" i="15"/>
  <c r="BX716" i="15" s="1"/>
  <c r="BW821" i="15"/>
  <c r="BX821" i="15" s="1"/>
  <c r="BU821" i="15"/>
  <c r="BV821" i="15" s="1"/>
  <c r="BW740" i="15"/>
  <c r="BX740" i="15" s="1"/>
  <c r="BU740" i="15"/>
  <c r="BV740" i="15" s="1"/>
  <c r="BW825" i="15"/>
  <c r="BX825" i="15" s="1"/>
  <c r="BU825" i="15"/>
  <c r="BV825" i="15" s="1"/>
  <c r="BW805" i="15"/>
  <c r="BX805" i="15" s="1"/>
  <c r="BU805" i="15"/>
  <c r="BV805" i="15" s="1"/>
  <c r="BW676" i="15"/>
  <c r="BX676" i="15" s="1"/>
  <c r="BU676" i="15"/>
  <c r="BV676" i="15" s="1"/>
  <c r="BU768" i="15"/>
  <c r="BV768" i="15" s="1"/>
  <c r="BW768" i="15"/>
  <c r="BX768" i="15" s="1"/>
  <c r="BW725" i="15"/>
  <c r="BX725" i="15" s="1"/>
  <c r="BU725" i="15"/>
  <c r="BV725" i="15" s="1"/>
  <c r="BW643" i="15"/>
  <c r="BX643" i="15" s="1"/>
  <c r="BU643" i="15"/>
  <c r="BV643" i="15" s="1"/>
  <c r="BU574" i="15"/>
  <c r="BV574" i="15" s="1"/>
  <c r="BW574" i="15"/>
  <c r="BX574" i="15" s="1"/>
  <c r="BW609" i="15"/>
  <c r="BX609" i="15" s="1"/>
  <c r="BU609" i="15"/>
  <c r="BV609" i="15" s="1"/>
  <c r="BW593" i="15"/>
  <c r="BX593" i="15" s="1"/>
  <c r="BU593" i="15"/>
  <c r="BV593" i="15" s="1"/>
  <c r="BW585" i="15"/>
  <c r="BX585" i="15" s="1"/>
  <c r="BU585" i="15"/>
  <c r="BV585" i="15" s="1"/>
  <c r="BW510" i="15"/>
  <c r="BX510" i="15" s="1"/>
  <c r="BU510" i="15"/>
  <c r="BV510" i="15" s="1"/>
  <c r="BW635" i="15"/>
  <c r="BX635" i="15" s="1"/>
  <c r="BU635" i="15"/>
  <c r="BV635" i="15" s="1"/>
  <c r="BU517" i="15"/>
  <c r="BV517" i="15" s="1"/>
  <c r="BW517" i="15"/>
  <c r="BX517" i="15" s="1"/>
  <c r="BW492" i="15"/>
  <c r="BX492" i="15" s="1"/>
  <c r="BU492" i="15"/>
  <c r="BV492" i="15" s="1"/>
  <c r="BW484" i="15"/>
  <c r="BX484" i="15" s="1"/>
  <c r="BU484" i="15"/>
  <c r="BV484" i="15" s="1"/>
  <c r="BW476" i="15"/>
  <c r="BX476" i="15" s="1"/>
  <c r="BU476" i="15"/>
  <c r="BV476" i="15" s="1"/>
  <c r="BW707" i="15"/>
  <c r="BX707" i="15" s="1"/>
  <c r="BU707" i="15"/>
  <c r="BV707" i="15" s="1"/>
  <c r="BU691" i="15"/>
  <c r="BV691" i="15" s="1"/>
  <c r="BW691" i="15"/>
  <c r="BX691" i="15" s="1"/>
  <c r="BU615" i="15"/>
  <c r="BV615" i="15" s="1"/>
  <c r="BW615" i="15"/>
  <c r="BX615" i="15" s="1"/>
  <c r="BW603" i="15"/>
  <c r="BX603" i="15" s="1"/>
  <c r="BU603" i="15"/>
  <c r="BV603" i="15" s="1"/>
  <c r="BU595" i="15"/>
  <c r="BV595" i="15" s="1"/>
  <c r="BW595" i="15"/>
  <c r="BX595" i="15" s="1"/>
  <c r="BW587" i="15"/>
  <c r="BX587" i="15" s="1"/>
  <c r="BU587" i="15"/>
  <c r="BV587" i="15" s="1"/>
  <c r="BU579" i="15"/>
  <c r="BV579" i="15" s="1"/>
  <c r="BW579" i="15"/>
  <c r="BX579" i="15" s="1"/>
  <c r="BW544" i="15"/>
  <c r="BX544" i="15" s="1"/>
  <c r="BU544" i="15"/>
  <c r="BV544" i="15" s="1"/>
  <c r="BU535" i="15"/>
  <c r="BV535" i="15" s="1"/>
  <c r="BW535" i="15"/>
  <c r="BX535" i="15" s="1"/>
  <c r="BW537" i="15"/>
  <c r="BX537" i="15" s="1"/>
  <c r="BU537" i="15"/>
  <c r="BV537" i="15" s="1"/>
  <c r="BW545" i="15"/>
  <c r="BX545" i="15" s="1"/>
  <c r="BU545" i="15"/>
  <c r="BV545" i="15" s="1"/>
  <c r="BU538" i="15"/>
  <c r="BV538" i="15" s="1"/>
  <c r="BW538" i="15"/>
  <c r="BX538" i="15" s="1"/>
  <c r="BU483" i="15"/>
  <c r="BV483" i="15" s="1"/>
  <c r="BW483" i="15"/>
  <c r="BX483" i="15" s="1"/>
  <c r="BU530" i="15"/>
  <c r="BV530" i="15" s="1"/>
  <c r="BW530" i="15"/>
  <c r="BX530" i="15" s="1"/>
  <c r="BU511" i="15"/>
  <c r="BV511" i="15" s="1"/>
  <c r="BW511" i="15"/>
  <c r="BX511" i="15" s="1"/>
  <c r="BU705" i="15"/>
  <c r="BV705" i="15" s="1"/>
  <c r="BW705" i="15"/>
  <c r="BX705" i="15" s="1"/>
  <c r="BU689" i="15"/>
  <c r="BV689" i="15" s="1"/>
  <c r="BW689" i="15"/>
  <c r="BX689" i="15" s="1"/>
  <c r="BU520" i="15"/>
  <c r="BV520" i="15" s="1"/>
  <c r="BW520" i="15"/>
  <c r="BX520" i="15" s="1"/>
  <c r="BW499" i="15"/>
  <c r="BX499" i="15" s="1"/>
  <c r="BU499" i="15"/>
  <c r="BV499" i="15" s="1"/>
  <c r="BU546" i="15"/>
  <c r="BV546" i="15" s="1"/>
  <c r="BW546" i="15"/>
  <c r="BX546" i="15" s="1"/>
  <c r="BW814" i="15"/>
  <c r="BX814" i="15" s="1"/>
  <c r="BU814" i="15"/>
  <c r="BV814" i="15" s="1"/>
  <c r="BW779" i="15"/>
  <c r="BX779" i="15" s="1"/>
  <c r="BU779" i="15"/>
  <c r="BV779" i="15" s="1"/>
  <c r="BW800" i="15"/>
  <c r="BX800" i="15" s="1"/>
  <c r="BU800" i="15"/>
  <c r="BV800" i="15" s="1"/>
  <c r="BW822" i="15"/>
  <c r="BX822" i="15" s="1"/>
  <c r="BU822" i="15"/>
  <c r="BV822" i="15" s="1"/>
  <c r="BW750" i="15"/>
  <c r="BX750" i="15" s="1"/>
  <c r="BU750" i="15"/>
  <c r="BV750" i="15" s="1"/>
  <c r="BW657" i="15"/>
  <c r="BX657" i="15" s="1"/>
  <c r="BU657" i="15"/>
  <c r="BV657" i="15" s="1"/>
  <c r="BW566" i="15"/>
  <c r="BX566" i="15" s="1"/>
  <c r="BU566" i="15"/>
  <c r="BV566" i="15" s="1"/>
  <c r="BW558" i="15"/>
  <c r="BX558" i="15" s="1"/>
  <c r="BU558" i="15"/>
  <c r="BV558" i="15" s="1"/>
  <c r="BW550" i="15"/>
  <c r="BX550" i="15" s="1"/>
  <c r="BU550" i="15"/>
  <c r="BV550" i="15" s="1"/>
  <c r="BW512" i="15"/>
  <c r="BX512" i="15" s="1"/>
  <c r="BU512" i="15"/>
  <c r="BV512" i="15" s="1"/>
  <c r="BU590" i="15"/>
  <c r="BV590" i="15" s="1"/>
  <c r="BW590" i="15"/>
  <c r="BX590" i="15" s="1"/>
  <c r="BW565" i="15"/>
  <c r="BX565" i="15" s="1"/>
  <c r="BU565" i="15"/>
  <c r="BV565" i="15" s="1"/>
  <c r="BW549" i="15"/>
  <c r="BX549" i="15" s="1"/>
  <c r="BU549" i="15"/>
  <c r="BV549" i="15" s="1"/>
  <c r="BW573" i="15"/>
  <c r="BX573" i="15" s="1"/>
  <c r="BU573" i="15"/>
  <c r="BV573" i="15" s="1"/>
  <c r="BU564" i="15"/>
  <c r="BV564" i="15" s="1"/>
  <c r="BW564" i="15"/>
  <c r="BX564" i="15" s="1"/>
  <c r="BW556" i="15"/>
  <c r="BX556" i="15" s="1"/>
  <c r="BU556" i="15"/>
  <c r="BV556" i="15" s="1"/>
  <c r="BW527" i="15"/>
  <c r="BX527" i="15" s="1"/>
  <c r="BU527" i="15"/>
  <c r="BV527" i="15" s="1"/>
  <c r="BW777" i="15"/>
  <c r="BX777" i="15" s="1"/>
  <c r="BU777" i="15"/>
  <c r="BV777" i="15" s="1"/>
  <c r="BW685" i="15"/>
  <c r="BX685" i="15" s="1"/>
  <c r="BU685" i="15"/>
  <c r="BV685" i="15" s="1"/>
  <c r="BW561" i="15"/>
  <c r="BX561" i="15" s="1"/>
  <c r="BU561" i="15"/>
  <c r="BV561" i="15" s="1"/>
  <c r="BW524" i="15"/>
  <c r="BX524" i="15" s="1"/>
  <c r="BU524" i="15"/>
  <c r="BV524" i="15" s="1"/>
  <c r="BU666" i="15"/>
  <c r="BV666" i="15" s="1"/>
  <c r="BW666" i="15"/>
  <c r="BX666" i="15" s="1"/>
  <c r="BW758" i="15"/>
  <c r="BX758" i="15" s="1"/>
  <c r="BU758" i="15"/>
  <c r="BV758" i="15" s="1"/>
  <c r="BU756" i="15"/>
  <c r="BV756" i="15" s="1"/>
  <c r="BW756" i="15"/>
  <c r="BX756" i="15" s="1"/>
  <c r="BW788" i="15"/>
  <c r="BX788" i="15" s="1"/>
  <c r="BU788" i="15"/>
  <c r="BV788" i="15" s="1"/>
  <c r="BW783" i="15"/>
  <c r="BX783" i="15" s="1"/>
  <c r="BU783" i="15"/>
  <c r="BV783" i="15" s="1"/>
  <c r="BW719" i="15"/>
  <c r="BX719" i="15" s="1"/>
  <c r="BU719" i="15"/>
  <c r="BV719" i="15" s="1"/>
  <c r="BW683" i="15"/>
  <c r="BX683" i="15" s="1"/>
  <c r="BU683" i="15"/>
  <c r="BV683" i="15" s="1"/>
  <c r="BW679" i="15"/>
  <c r="BX679" i="15" s="1"/>
  <c r="BU679" i="15"/>
  <c r="BV679" i="15" s="1"/>
  <c r="BU675" i="15"/>
  <c r="BV675" i="15" s="1"/>
  <c r="BW675" i="15"/>
  <c r="BX675" i="15" s="1"/>
  <c r="BW671" i="15"/>
  <c r="BX671" i="15" s="1"/>
  <c r="BU671" i="15"/>
  <c r="BV671" i="15" s="1"/>
  <c r="BU781" i="15"/>
  <c r="BV781" i="15" s="1"/>
  <c r="BW781" i="15"/>
  <c r="BX781" i="15" s="1"/>
  <c r="BW686" i="15"/>
  <c r="BX686" i="15" s="1"/>
  <c r="BU686" i="15"/>
  <c r="BV686" i="15" s="1"/>
  <c r="BW735" i="15"/>
  <c r="BX735" i="15" s="1"/>
  <c r="BU735" i="15"/>
  <c r="BV735" i="15" s="1"/>
  <c r="BU721" i="15"/>
  <c r="BV721" i="15" s="1"/>
  <c r="BW721" i="15"/>
  <c r="BX721" i="15" s="1"/>
  <c r="BW664" i="15"/>
  <c r="BX664" i="15" s="1"/>
  <c r="BU664" i="15"/>
  <c r="BV664" i="15" s="1"/>
  <c r="BW651" i="15"/>
  <c r="BX651" i="15" s="1"/>
  <c r="BU651" i="15"/>
  <c r="BV651" i="15" s="1"/>
  <c r="BU642" i="15"/>
  <c r="BV642" i="15" s="1"/>
  <c r="BW642" i="15"/>
  <c r="BX642" i="15" s="1"/>
  <c r="BW701" i="15"/>
  <c r="BX701" i="15" s="1"/>
  <c r="BU701" i="15"/>
  <c r="BV701" i="15" s="1"/>
  <c r="BW652" i="15"/>
  <c r="BX652" i="15" s="1"/>
  <c r="BU652" i="15"/>
  <c r="BV652" i="15" s="1"/>
  <c r="BU613" i="15"/>
  <c r="BV613" i="15" s="1"/>
  <c r="BW613" i="15"/>
  <c r="BX613" i="15" s="1"/>
  <c r="BW655" i="15"/>
  <c r="BX655" i="15" s="1"/>
  <c r="BU655" i="15"/>
  <c r="BV655" i="15" s="1"/>
  <c r="BU502" i="15"/>
  <c r="BV502" i="15" s="1"/>
  <c r="BW502" i="15"/>
  <c r="BX502" i="15" s="1"/>
  <c r="BW656" i="15"/>
  <c r="BX656" i="15" s="1"/>
  <c r="BU656" i="15"/>
  <c r="BV656" i="15" s="1"/>
  <c r="BU638" i="15"/>
  <c r="BV638" i="15" s="1"/>
  <c r="BW638" i="15"/>
  <c r="BX638" i="15" s="1"/>
  <c r="BW614" i="15"/>
  <c r="BX614" i="15" s="1"/>
  <c r="BU614" i="15"/>
  <c r="BV614" i="15" s="1"/>
  <c r="BU515" i="15"/>
  <c r="BV515" i="15" s="1"/>
  <c r="BW515" i="15"/>
  <c r="BX515" i="15" s="1"/>
  <c r="BW482" i="15"/>
  <c r="BX482" i="15" s="1"/>
  <c r="BU482" i="15"/>
  <c r="BV482" i="15" s="1"/>
  <c r="BW474" i="15"/>
  <c r="BX474" i="15" s="1"/>
  <c r="BU474" i="15"/>
  <c r="BV474" i="15" s="1"/>
  <c r="BW662" i="15"/>
  <c r="BX662" i="15" s="1"/>
  <c r="BU662" i="15"/>
  <c r="BV662" i="15" s="1"/>
  <c r="BU617" i="15"/>
  <c r="BV617" i="15" s="1"/>
  <c r="BW617" i="15"/>
  <c r="BX617" i="15" s="1"/>
  <c r="BW477" i="15"/>
  <c r="BX477" i="15" s="1"/>
  <c r="BU477" i="15"/>
  <c r="BV477" i="15" s="1"/>
  <c r="BW782" i="15"/>
  <c r="BX782" i="15" s="1"/>
  <c r="BU782" i="15"/>
  <c r="BV782" i="15" s="1"/>
  <c r="BW616" i="15"/>
  <c r="BX616" i="15" s="1"/>
  <c r="BU616" i="15"/>
  <c r="BV616" i="15" s="1"/>
  <c r="BW648" i="15"/>
  <c r="BX648" i="15" s="1"/>
  <c r="BU648" i="15"/>
  <c r="BV648" i="15" s="1"/>
  <c r="BW626" i="15"/>
  <c r="BX626" i="15" s="1"/>
  <c r="BU626" i="15"/>
  <c r="BV626" i="15" s="1"/>
  <c r="BU518" i="15"/>
  <c r="BV518" i="15" s="1"/>
  <c r="BW518" i="15"/>
  <c r="BX518" i="15" s="1"/>
  <c r="BU631" i="15"/>
  <c r="BV631" i="15" s="1"/>
  <c r="BW631" i="15"/>
  <c r="BX631" i="15" s="1"/>
  <c r="BU543" i="15"/>
  <c r="BV543" i="15" s="1"/>
  <c r="BW543" i="15"/>
  <c r="BX543" i="15" s="1"/>
  <c r="BW536" i="15"/>
  <c r="BX536" i="15" s="1"/>
  <c r="BU536" i="15"/>
  <c r="BV536" i="15" s="1"/>
  <c r="BW489" i="15"/>
  <c r="BX489" i="15" s="1"/>
  <c r="BU489" i="15"/>
  <c r="BV489" i="15" s="1"/>
  <c r="BW473" i="15"/>
  <c r="BX473" i="15" s="1"/>
  <c r="BU473" i="15"/>
  <c r="BV473" i="15" s="1"/>
  <c r="BW773" i="15"/>
  <c r="BX773" i="15" s="1"/>
  <c r="BU773" i="15"/>
  <c r="BV773" i="15" s="1"/>
  <c r="BW634" i="15"/>
  <c r="BX634" i="15" s="1"/>
  <c r="BU634" i="15"/>
  <c r="BV634" i="15" s="1"/>
  <c r="BU738" i="15"/>
  <c r="BV738" i="15" s="1"/>
  <c r="BW738" i="15"/>
  <c r="BX738" i="15" s="1"/>
  <c r="BW785" i="15"/>
  <c r="BX785" i="15" s="1"/>
  <c r="BU785" i="15"/>
  <c r="BV785" i="15" s="1"/>
  <c r="BU710" i="15"/>
  <c r="BV710" i="15" s="1"/>
  <c r="BW710" i="15"/>
  <c r="BX710" i="15" s="1"/>
  <c r="BU759" i="15"/>
  <c r="BV759" i="15" s="1"/>
  <c r="BW759" i="15"/>
  <c r="BX759" i="15" s="1"/>
  <c r="BW702" i="15"/>
  <c r="BX702" i="15" s="1"/>
  <c r="BU702" i="15"/>
  <c r="BV702" i="15" s="1"/>
  <c r="BW730" i="15"/>
  <c r="BX730" i="15" s="1"/>
  <c r="BU730" i="15"/>
  <c r="BV730" i="15" s="1"/>
  <c r="BW612" i="15"/>
  <c r="BX612" i="15" s="1"/>
  <c r="BU612" i="15"/>
  <c r="BV612" i="15" s="1"/>
  <c r="BU571" i="15"/>
  <c r="BV571" i="15" s="1"/>
  <c r="BW571" i="15"/>
  <c r="BX571" i="15" s="1"/>
  <c r="BW563" i="15"/>
  <c r="BX563" i="15" s="1"/>
  <c r="BU563" i="15"/>
  <c r="BV563" i="15" s="1"/>
  <c r="BU555" i="15"/>
  <c r="BV555" i="15" s="1"/>
  <c r="BW555" i="15"/>
  <c r="BX555" i="15" s="1"/>
  <c r="BU526" i="15"/>
  <c r="BV526" i="15" s="1"/>
  <c r="BW526" i="15"/>
  <c r="BX526" i="15" s="1"/>
  <c r="BU523" i="15"/>
  <c r="BV523" i="15" s="1"/>
  <c r="BW523" i="15"/>
  <c r="BX523" i="15" s="1"/>
  <c r="BW724" i="15"/>
  <c r="BX724" i="15" s="1"/>
  <c r="BU724" i="15"/>
  <c r="BV724" i="15" s="1"/>
  <c r="BW496" i="15"/>
  <c r="BX496" i="15" s="1"/>
  <c r="BU496" i="15"/>
  <c r="BV496" i="15" s="1"/>
  <c r="BU826" i="15"/>
  <c r="BV826" i="15" s="1"/>
  <c r="BW826" i="15"/>
  <c r="BX826" i="15" s="1"/>
  <c r="BW649" i="15"/>
  <c r="BX649" i="15" s="1"/>
  <c r="BU649" i="15"/>
  <c r="BV649" i="15" s="1"/>
  <c r="BW823" i="15"/>
  <c r="BX823" i="15" s="1"/>
  <c r="BU823" i="15"/>
  <c r="BV823" i="15" s="1"/>
  <c r="BW799" i="15"/>
  <c r="BX799" i="15" s="1"/>
  <c r="BU799" i="15"/>
  <c r="BV799" i="15" s="1"/>
  <c r="BW791" i="15"/>
  <c r="BX791" i="15" s="1"/>
  <c r="BU791" i="15"/>
  <c r="BV791" i="15" s="1"/>
  <c r="BW787" i="15"/>
  <c r="BX787" i="15" s="1"/>
  <c r="BU787" i="15"/>
  <c r="BV787" i="15" s="1"/>
  <c r="BU794" i="15"/>
  <c r="BV794" i="15" s="1"/>
  <c r="BW794" i="15"/>
  <c r="BX794" i="15" s="1"/>
  <c r="BW790" i="15"/>
  <c r="BX790" i="15" s="1"/>
  <c r="BU790" i="15"/>
  <c r="BV790" i="15" s="1"/>
  <c r="BW681" i="15"/>
  <c r="BX681" i="15" s="1"/>
  <c r="BU681" i="15"/>
  <c r="BV681" i="15" s="1"/>
  <c r="BU673" i="15"/>
  <c r="BV673" i="15" s="1"/>
  <c r="BW673" i="15"/>
  <c r="BX673" i="15" s="1"/>
  <c r="BU693" i="15"/>
  <c r="BV693" i="15" s="1"/>
  <c r="BW693" i="15"/>
  <c r="BX693" i="15" s="1"/>
  <c r="BW644" i="15"/>
  <c r="BX644" i="15" s="1"/>
  <c r="BU644" i="15"/>
  <c r="BV644" i="15" s="1"/>
  <c r="BU661" i="15"/>
  <c r="BV661" i="15" s="1"/>
  <c r="BW661" i="15"/>
  <c r="BX661" i="15" s="1"/>
  <c r="BW500" i="15"/>
  <c r="BX500" i="15" s="1"/>
  <c r="BU500" i="15"/>
  <c r="BV500" i="15" s="1"/>
  <c r="BW478" i="15"/>
  <c r="BX478" i="15" s="1"/>
  <c r="BU478" i="15"/>
  <c r="BV478" i="15" s="1"/>
  <c r="BW516" i="15"/>
  <c r="BX516" i="15" s="1"/>
  <c r="BU516" i="15"/>
  <c r="BV516" i="15" s="1"/>
  <c r="BU817" i="15"/>
  <c r="BV817" i="15" s="1"/>
  <c r="BW817" i="15"/>
  <c r="BX817" i="15" s="1"/>
  <c r="BW628" i="15"/>
  <c r="BX628" i="15" s="1"/>
  <c r="BU628" i="15"/>
  <c r="BV628" i="15" s="1"/>
  <c r="BU495" i="15"/>
  <c r="BV495" i="15" s="1"/>
  <c r="BW495" i="15"/>
  <c r="BX495" i="15" s="1"/>
  <c r="BW820" i="15"/>
  <c r="BX820" i="15" s="1"/>
  <c r="BU820" i="15"/>
  <c r="BV820" i="15" s="1"/>
  <c r="BW479" i="15"/>
  <c r="BX479" i="15" s="1"/>
  <c r="BU479" i="15"/>
  <c r="BV479" i="15" s="1"/>
  <c r="BW481" i="15"/>
  <c r="BX481" i="15" s="1"/>
  <c r="BU481" i="15"/>
  <c r="BV481" i="15" s="1"/>
  <c r="BW813" i="15"/>
  <c r="BX813" i="15" s="1"/>
  <c r="BU813" i="15"/>
  <c r="BV813" i="15" s="1"/>
  <c r="BW804" i="15"/>
  <c r="BX804" i="15" s="1"/>
  <c r="BU804" i="15"/>
  <c r="BV804" i="15" s="1"/>
  <c r="BW816" i="15"/>
  <c r="BX816" i="15" s="1"/>
  <c r="BU816" i="15"/>
  <c r="BV816" i="15" s="1"/>
  <c r="BU680" i="15"/>
  <c r="BV680" i="15" s="1"/>
  <c r="BW680" i="15"/>
  <c r="BX680" i="15" s="1"/>
  <c r="BW672" i="15"/>
  <c r="BX672" i="15" s="1"/>
  <c r="BU672" i="15"/>
  <c r="BV672" i="15" s="1"/>
  <c r="BU684" i="15"/>
  <c r="BV684" i="15" s="1"/>
  <c r="BW684" i="15"/>
  <c r="BX684" i="15" s="1"/>
  <c r="BU770" i="15"/>
  <c r="BV770" i="15" s="1"/>
  <c r="BW770" i="15"/>
  <c r="BX770" i="15" s="1"/>
  <c r="BU736" i="15"/>
  <c r="BV736" i="15" s="1"/>
  <c r="BW736" i="15"/>
  <c r="BX736" i="15" s="1"/>
  <c r="BW703" i="15"/>
  <c r="BX703" i="15" s="1"/>
  <c r="BU703" i="15"/>
  <c r="BV703" i="15" s="1"/>
  <c r="BW619" i="15"/>
  <c r="BX619" i="15" s="1"/>
  <c r="BU619" i="15"/>
  <c r="BV619" i="15" s="1"/>
  <c r="BU747" i="15"/>
  <c r="BV747" i="15" s="1"/>
  <c r="BW747" i="15"/>
  <c r="BX747" i="15" s="1"/>
  <c r="BW601" i="15"/>
  <c r="BX601" i="15" s="1"/>
  <c r="BU601" i="15"/>
  <c r="BV601" i="15" s="1"/>
  <c r="BU819" i="15"/>
  <c r="BV819" i="15" s="1"/>
  <c r="BW819" i="15"/>
  <c r="BX819" i="15" s="1"/>
  <c r="BW807" i="15"/>
  <c r="BX807" i="15" s="1"/>
  <c r="BU807" i="15"/>
  <c r="BV807" i="15" s="1"/>
  <c r="BW809" i="15"/>
  <c r="BX809" i="15" s="1"/>
  <c r="BU809" i="15"/>
  <c r="BV809" i="15" s="1"/>
  <c r="BW793" i="15"/>
  <c r="BX793" i="15" s="1"/>
  <c r="BU793" i="15"/>
  <c r="BV793" i="15" s="1"/>
  <c r="BU789" i="15"/>
  <c r="BV789" i="15" s="1"/>
  <c r="BW789" i="15"/>
  <c r="BX789" i="15" s="1"/>
  <c r="BU803" i="15"/>
  <c r="BV803" i="15" s="1"/>
  <c r="BW803" i="15"/>
  <c r="BX803" i="15" s="1"/>
  <c r="BU792" i="15"/>
  <c r="BV792" i="15" s="1"/>
  <c r="BW792" i="15"/>
  <c r="BX792" i="15" s="1"/>
  <c r="BU824" i="15"/>
  <c r="BV824" i="15" s="1"/>
  <c r="BW824" i="15"/>
  <c r="BX824" i="15" s="1"/>
  <c r="BW802" i="15"/>
  <c r="BX802" i="15" s="1"/>
  <c r="BU802" i="15"/>
  <c r="BV802" i="15" s="1"/>
  <c r="BW748" i="15"/>
  <c r="BX748" i="15" s="1"/>
  <c r="BU748" i="15"/>
  <c r="BV748" i="15" s="1"/>
  <c r="BU810" i="15"/>
  <c r="BV810" i="15" s="1"/>
  <c r="BW810" i="15"/>
  <c r="BX810" i="15" s="1"/>
  <c r="BW811" i="15"/>
  <c r="BX811" i="15" s="1"/>
  <c r="BU811" i="15"/>
  <c r="BV811" i="15" s="1"/>
  <c r="BU766" i="15"/>
  <c r="BV766" i="15" s="1"/>
  <c r="BW766" i="15"/>
  <c r="BX766" i="15" s="1"/>
  <c r="BU752" i="15"/>
  <c r="BV752" i="15" s="1"/>
  <c r="BW752" i="15"/>
  <c r="BX752" i="15" s="1"/>
  <c r="BU739" i="15"/>
  <c r="BV739" i="15" s="1"/>
  <c r="BW739" i="15"/>
  <c r="BX739" i="15" s="1"/>
  <c r="BU718" i="15"/>
  <c r="BV718" i="15" s="1"/>
  <c r="BW718" i="15"/>
  <c r="BX718" i="15" s="1"/>
  <c r="BU682" i="15"/>
  <c r="BV682" i="15" s="1"/>
  <c r="BW682" i="15"/>
  <c r="BX682" i="15" s="1"/>
  <c r="BW678" i="15"/>
  <c r="BX678" i="15" s="1"/>
  <c r="BU678" i="15"/>
  <c r="BV678" i="15" s="1"/>
  <c r="BW674" i="15"/>
  <c r="BX674" i="15" s="1"/>
  <c r="BU674" i="15"/>
  <c r="BV674" i="15" s="1"/>
  <c r="BW670" i="15"/>
  <c r="BX670" i="15" s="1"/>
  <c r="BU670" i="15"/>
  <c r="BV670" i="15" s="1"/>
  <c r="BW760" i="15"/>
  <c r="BX760" i="15" s="1"/>
  <c r="BU760" i="15"/>
  <c r="BV760" i="15" s="1"/>
  <c r="BU744" i="15"/>
  <c r="BV744" i="15" s="1"/>
  <c r="BW744" i="15"/>
  <c r="BX744" i="15" s="1"/>
  <c r="BU720" i="15"/>
  <c r="BV720" i="15" s="1"/>
  <c r="BW720" i="15"/>
  <c r="BX720" i="15" s="1"/>
  <c r="BU812" i="15"/>
  <c r="BV812" i="15" s="1"/>
  <c r="BW812" i="15"/>
  <c r="BX812" i="15" s="1"/>
  <c r="BW772" i="15"/>
  <c r="BX772" i="15" s="1"/>
  <c r="BU772" i="15"/>
  <c r="BV772" i="15" s="1"/>
  <c r="BW762" i="15"/>
  <c r="BX762" i="15" s="1"/>
  <c r="BU762" i="15"/>
  <c r="BV762" i="15" s="1"/>
  <c r="BW727" i="15"/>
  <c r="BX727" i="15" s="1"/>
  <c r="BU727" i="15"/>
  <c r="BV727" i="15" s="1"/>
  <c r="BU729" i="15"/>
  <c r="BV729" i="15" s="1"/>
  <c r="BW729" i="15"/>
  <c r="BX729" i="15" s="1"/>
  <c r="BW711" i="15"/>
  <c r="BX711" i="15" s="1"/>
  <c r="BU711" i="15"/>
  <c r="BV711" i="15" s="1"/>
  <c r="BW695" i="15"/>
  <c r="BX695" i="15" s="1"/>
  <c r="BU695" i="15"/>
  <c r="BV695" i="15" s="1"/>
  <c r="BW659" i="15"/>
  <c r="BX659" i="15" s="1"/>
  <c r="BU659" i="15"/>
  <c r="BV659" i="15" s="1"/>
  <c r="BU650" i="15"/>
  <c r="BV650" i="15" s="1"/>
  <c r="BW650" i="15"/>
  <c r="BX650" i="15" s="1"/>
  <c r="BW737" i="15"/>
  <c r="BX737" i="15" s="1"/>
  <c r="BU737" i="15"/>
  <c r="BV737" i="15" s="1"/>
  <c r="BW665" i="15"/>
  <c r="BX665" i="15" s="1"/>
  <c r="BU665" i="15"/>
  <c r="BV665" i="15" s="1"/>
  <c r="BW654" i="15"/>
  <c r="BX654" i="15" s="1"/>
  <c r="BU654" i="15"/>
  <c r="BV654" i="15" s="1"/>
  <c r="BW607" i="15"/>
  <c r="BX607" i="15" s="1"/>
  <c r="BU607" i="15"/>
  <c r="BV607" i="15" s="1"/>
  <c r="BU599" i="15"/>
  <c r="BV599" i="15" s="1"/>
  <c r="BW599" i="15"/>
  <c r="BX599" i="15" s="1"/>
  <c r="BW591" i="15"/>
  <c r="BX591" i="15" s="1"/>
  <c r="BU591" i="15"/>
  <c r="BV591" i="15" s="1"/>
  <c r="BU583" i="15"/>
  <c r="BV583" i="15" s="1"/>
  <c r="BW583" i="15"/>
  <c r="BX583" i="15" s="1"/>
  <c r="BW494" i="15"/>
  <c r="BX494" i="15" s="1"/>
  <c r="BU494" i="15"/>
  <c r="BV494" i="15" s="1"/>
  <c r="BW627" i="15"/>
  <c r="BX627" i="15" s="1"/>
  <c r="BU627" i="15"/>
  <c r="BV627" i="15" s="1"/>
  <c r="BW508" i="15"/>
  <c r="BX508" i="15" s="1"/>
  <c r="BU508" i="15"/>
  <c r="BV508" i="15" s="1"/>
  <c r="BU488" i="15"/>
  <c r="BV488" i="15" s="1"/>
  <c r="BW488" i="15"/>
  <c r="BX488" i="15" s="1"/>
  <c r="BU480" i="15"/>
  <c r="BV480" i="15" s="1"/>
  <c r="BW480" i="15"/>
  <c r="BX480" i="15" s="1"/>
  <c r="BW715" i="15"/>
  <c r="BX715" i="15" s="1"/>
  <c r="BU715" i="15"/>
  <c r="BV715" i="15" s="1"/>
  <c r="BW699" i="15"/>
  <c r="BX699" i="15" s="1"/>
  <c r="BU699" i="15"/>
  <c r="BV699" i="15" s="1"/>
  <c r="BW646" i="15"/>
  <c r="BX646" i="15" s="1"/>
  <c r="BU646" i="15"/>
  <c r="BV646" i="15" s="1"/>
  <c r="BW605" i="15"/>
  <c r="BX605" i="15" s="1"/>
  <c r="BU605" i="15"/>
  <c r="BV605" i="15" s="1"/>
  <c r="BU597" i="15"/>
  <c r="BV597" i="15" s="1"/>
  <c r="BW597" i="15"/>
  <c r="BX597" i="15" s="1"/>
  <c r="BW589" i="15"/>
  <c r="BX589" i="15" s="1"/>
  <c r="BU589" i="15"/>
  <c r="BV589" i="15" s="1"/>
  <c r="BU581" i="15"/>
  <c r="BV581" i="15" s="1"/>
  <c r="BW581" i="15"/>
  <c r="BX581" i="15" s="1"/>
  <c r="BW639" i="15"/>
  <c r="BX639" i="15" s="1"/>
  <c r="BU639" i="15"/>
  <c r="BV639" i="15" s="1"/>
  <c r="BW623" i="15"/>
  <c r="BX623" i="15" s="1"/>
  <c r="BU623" i="15"/>
  <c r="BV623" i="15" s="1"/>
  <c r="BW542" i="15"/>
  <c r="BX542" i="15" s="1"/>
  <c r="BU542" i="15"/>
  <c r="BV542" i="15" s="1"/>
  <c r="BU533" i="15"/>
  <c r="BV533" i="15" s="1"/>
  <c r="BW533" i="15"/>
  <c r="BX533" i="15" s="1"/>
  <c r="BW501" i="15"/>
  <c r="BX501" i="15" s="1"/>
  <c r="BU501" i="15"/>
  <c r="BV501" i="15" s="1"/>
  <c r="BW507" i="15"/>
  <c r="BX507" i="15" s="1"/>
  <c r="BU507" i="15"/>
  <c r="BV507" i="15" s="1"/>
  <c r="BU540" i="15"/>
  <c r="BV540" i="15" s="1"/>
  <c r="BW540" i="15"/>
  <c r="BX540" i="15" s="1"/>
  <c r="BW531" i="15"/>
  <c r="BX531" i="15" s="1"/>
  <c r="BU531" i="15"/>
  <c r="BV531" i="15" s="1"/>
  <c r="BW509" i="15"/>
  <c r="BX509" i="15" s="1"/>
  <c r="BU509" i="15"/>
  <c r="BV509" i="15" s="1"/>
  <c r="BU475" i="15"/>
  <c r="BV475" i="15" s="1"/>
  <c r="BW475" i="15"/>
  <c r="BX475" i="15" s="1"/>
  <c r="BW778" i="15"/>
  <c r="BX778" i="15" s="1"/>
  <c r="BU778" i="15"/>
  <c r="BV778" i="15" s="1"/>
  <c r="BW539" i="15"/>
  <c r="BX539" i="15" s="1"/>
  <c r="BU539" i="15"/>
  <c r="BV539" i="15" s="1"/>
  <c r="BW493" i="15"/>
  <c r="BX493" i="15" s="1"/>
  <c r="BU493" i="15"/>
  <c r="BV493" i="15" s="1"/>
  <c r="BW697" i="15"/>
  <c r="BX697" i="15" s="1"/>
  <c r="BU697" i="15"/>
  <c r="BV697" i="15" s="1"/>
  <c r="BU624" i="15"/>
  <c r="BV624" i="15" s="1"/>
  <c r="BW624" i="15"/>
  <c r="BX624" i="15" s="1"/>
  <c r="BU506" i="15"/>
  <c r="BV506" i="15" s="1"/>
  <c r="BW506" i="15"/>
  <c r="BX506" i="15" s="1"/>
  <c r="BW503" i="15"/>
  <c r="BX503" i="15" s="1"/>
  <c r="BU503" i="15"/>
  <c r="BV503" i="15" s="1"/>
  <c r="BU532" i="15"/>
  <c r="BV532" i="15" s="1"/>
  <c r="BW532" i="15"/>
  <c r="BX532" i="15" s="1"/>
  <c r="BU728" i="15"/>
  <c r="BV728" i="15" s="1"/>
  <c r="BW728" i="15"/>
  <c r="BX728" i="15" s="1"/>
  <c r="BW637" i="15"/>
  <c r="BX637" i="15" s="1"/>
  <c r="BU637" i="15"/>
  <c r="BV637" i="15" s="1"/>
  <c r="BW798" i="15"/>
  <c r="BX798" i="15" s="1"/>
  <c r="BU798" i="15"/>
  <c r="BV798" i="15" s="1"/>
  <c r="BW806" i="15"/>
  <c r="BX806" i="15" s="1"/>
  <c r="BU806" i="15"/>
  <c r="BV806" i="15" s="1"/>
  <c r="BU746" i="15"/>
  <c r="BV746" i="15" s="1"/>
  <c r="BW746" i="15"/>
  <c r="BX746" i="15" s="1"/>
  <c r="BW786" i="15"/>
  <c r="BX786" i="15" s="1"/>
  <c r="BU786" i="15"/>
  <c r="BV786" i="15" s="1"/>
  <c r="BW570" i="15"/>
  <c r="BX570" i="15" s="1"/>
  <c r="BU570" i="15"/>
  <c r="BV570" i="15" s="1"/>
  <c r="BU562" i="15"/>
  <c r="BV562" i="15" s="1"/>
  <c r="BW562" i="15"/>
  <c r="BX562" i="15" s="1"/>
  <c r="BW554" i="15"/>
  <c r="BX554" i="15" s="1"/>
  <c r="BU554" i="15"/>
  <c r="BV554" i="15" s="1"/>
  <c r="BU525" i="15"/>
  <c r="BV525" i="15" s="1"/>
  <c r="BW525" i="15"/>
  <c r="BX525" i="15" s="1"/>
  <c r="BW522" i="15"/>
  <c r="BX522" i="15" s="1"/>
  <c r="BU522" i="15"/>
  <c r="BV522" i="15" s="1"/>
  <c r="BU618" i="15"/>
  <c r="BV618" i="15" s="1"/>
  <c r="BW618" i="15"/>
  <c r="BX618" i="15" s="1"/>
  <c r="BU553" i="15"/>
  <c r="BV553" i="15" s="1"/>
  <c r="BW553" i="15"/>
  <c r="BX553" i="15" s="1"/>
  <c r="BU504" i="15"/>
  <c r="BV504" i="15" s="1"/>
  <c r="BW504" i="15"/>
  <c r="BX504" i="15" s="1"/>
  <c r="BW568" i="15"/>
  <c r="BX568" i="15" s="1"/>
  <c r="BU568" i="15"/>
  <c r="BV568" i="15" s="1"/>
  <c r="BW560" i="15"/>
  <c r="BX560" i="15" s="1"/>
  <c r="BU560" i="15"/>
  <c r="BV560" i="15" s="1"/>
  <c r="BW552" i="15"/>
  <c r="BX552" i="15" s="1"/>
  <c r="BU552" i="15"/>
  <c r="BV552" i="15" s="1"/>
  <c r="BW742" i="15"/>
  <c r="BX742" i="15" s="1"/>
  <c r="BU742" i="15"/>
  <c r="BV742" i="15" s="1"/>
  <c r="BU569" i="15"/>
  <c r="BV569" i="15" s="1"/>
  <c r="BW569" i="15"/>
  <c r="BX569" i="15" s="1"/>
  <c r="BU557" i="15"/>
  <c r="BV557" i="15" s="1"/>
  <c r="BW557" i="15"/>
  <c r="BX557" i="15" s="1"/>
  <c r="G578" i="16"/>
  <c r="I541" i="16"/>
  <c r="J541" i="16" s="1"/>
  <c r="J543" i="16" s="1"/>
  <c r="AD300" i="15"/>
  <c r="AE300" i="15" s="1"/>
  <c r="AG300" i="15" s="1"/>
  <c r="AD232" i="15"/>
  <c r="AE232" i="15" s="1"/>
  <c r="AG232" i="15" s="1"/>
  <c r="AD529" i="15"/>
  <c r="AE529" i="15" s="1"/>
  <c r="AG529" i="15" s="1"/>
  <c r="AD828" i="15"/>
  <c r="AE828" i="15" s="1"/>
  <c r="AG828" i="15" s="1"/>
  <c r="AD219" i="15"/>
  <c r="AE219" i="15" s="1"/>
  <c r="AG219" i="15" s="1"/>
  <c r="AD455" i="15"/>
  <c r="AE455" i="15" s="1"/>
  <c r="AG455" i="15" s="1"/>
  <c r="AD407" i="15"/>
  <c r="AE407" i="15" s="1"/>
  <c r="AG407" i="15" s="1"/>
  <c r="AD168" i="15"/>
  <c r="AE168" i="15" s="1"/>
  <c r="AG168" i="15" s="1"/>
  <c r="AD732" i="15"/>
  <c r="AE732" i="15" s="1"/>
  <c r="AG732" i="15" s="1"/>
  <c r="AD430" i="15"/>
  <c r="AE430" i="15" s="1"/>
  <c r="AG430" i="15" s="1"/>
  <c r="AD325" i="15"/>
  <c r="AE325" i="15" s="1"/>
  <c r="AG325" i="15" s="1"/>
  <c r="AB144" i="15"/>
  <c r="AD271" i="15"/>
  <c r="AE271" i="15" s="1"/>
  <c r="AG271" i="15" s="1"/>
  <c r="U144" i="15"/>
  <c r="U577" i="15"/>
  <c r="AB577" i="15"/>
  <c r="AB270" i="15"/>
  <c r="U713" i="15"/>
  <c r="AD641" i="15"/>
  <c r="AE641" i="15" s="1"/>
  <c r="AG641" i="15" s="1"/>
  <c r="AD688" i="15"/>
  <c r="AE688" i="15" s="1"/>
  <c r="AG688" i="15" s="1"/>
  <c r="AD548" i="15"/>
  <c r="AE548" i="15" s="1"/>
  <c r="AG548" i="15" s="1"/>
  <c r="AD621" i="15"/>
  <c r="AE621" i="15" s="1"/>
  <c r="AG621" i="15" s="1"/>
  <c r="AD611" i="15"/>
  <c r="AE611" i="15" s="1"/>
  <c r="AG611" i="15" s="1"/>
  <c r="AD776" i="15"/>
  <c r="AE776" i="15" s="1"/>
  <c r="AG776" i="15" s="1"/>
  <c r="AB471" i="15"/>
  <c r="AD472" i="15"/>
  <c r="AE472" i="15" s="1"/>
  <c r="AG472" i="15" s="1"/>
  <c r="AD796" i="15"/>
  <c r="AE796" i="15" s="1"/>
  <c r="AG796" i="15" s="1"/>
  <c r="AD714" i="15"/>
  <c r="AE714" i="15" s="1"/>
  <c r="AG714" i="15" s="1"/>
  <c r="AB713" i="15"/>
  <c r="AD491" i="15"/>
  <c r="AE491" i="15" s="1"/>
  <c r="AG491" i="15" s="1"/>
  <c r="U471" i="15"/>
  <c r="U270" i="15"/>
  <c r="CG688" i="15" l="1"/>
  <c r="CH688" i="15" s="1"/>
  <c r="CE251" i="15"/>
  <c r="CF251" i="15" s="1"/>
  <c r="CG34" i="15"/>
  <c r="CH34" i="15" s="1"/>
  <c r="AP828" i="15"/>
  <c r="AP219" i="15"/>
  <c r="AP190" i="15"/>
  <c r="AP125" i="15"/>
  <c r="CG668" i="15"/>
  <c r="CH668" i="15" s="1"/>
  <c r="AP455" i="15"/>
  <c r="AP529" i="15"/>
  <c r="CG641" i="15"/>
  <c r="CH641" i="15" s="1"/>
  <c r="CG514" i="15"/>
  <c r="CH514" i="15" s="1"/>
  <c r="CG621" i="15"/>
  <c r="CH621" i="15" s="1"/>
  <c r="AP42" i="15"/>
  <c r="AP430" i="15"/>
  <c r="CG578" i="15"/>
  <c r="CH578" i="15" s="1"/>
  <c r="AP168" i="15"/>
  <c r="AP271" i="15"/>
  <c r="CG472" i="15"/>
  <c r="CH472" i="15" s="1"/>
  <c r="AP732" i="15"/>
  <c r="CG98" i="15"/>
  <c r="CH98" i="15" s="1"/>
  <c r="CG407" i="15"/>
  <c r="CH407" i="15" s="1"/>
  <c r="AP796" i="15"/>
  <c r="AP714" i="15"/>
  <c r="AP325" i="15"/>
  <c r="AP65" i="15"/>
  <c r="CG232" i="15"/>
  <c r="CH232" i="15" s="1"/>
  <c r="CG611" i="15"/>
  <c r="CH611" i="15" s="1"/>
  <c r="CG776" i="15"/>
  <c r="CH776" i="15" s="1"/>
  <c r="AP83" i="15"/>
  <c r="CG754" i="15"/>
  <c r="CH754" i="15" s="1"/>
  <c r="AP145" i="15"/>
  <c r="CG371" i="15"/>
  <c r="CH371" i="15" s="1"/>
  <c r="AP251" i="15"/>
  <c r="AP548" i="15"/>
  <c r="CG300" i="15"/>
  <c r="CH300" i="15" s="1"/>
  <c r="AO713" i="15"/>
  <c r="CG713" i="15" s="1"/>
  <c r="CH713" i="15" s="1"/>
  <c r="AO471" i="15"/>
  <c r="CG471" i="15" s="1"/>
  <c r="CH471" i="15" s="1"/>
  <c r="AO270" i="15"/>
  <c r="CG270" i="15" s="1"/>
  <c r="CH270" i="15" s="1"/>
  <c r="AO577" i="15"/>
  <c r="CG577" i="15" s="1"/>
  <c r="CH577" i="15" s="1"/>
  <c r="AO144" i="15"/>
  <c r="CG144" i="15" s="1"/>
  <c r="CH144" i="15" s="1"/>
  <c r="CG8" i="15"/>
  <c r="CH8" i="15" s="1"/>
  <c r="AP8" i="15"/>
  <c r="BY118" i="15"/>
  <c r="BY749" i="15"/>
  <c r="BY769" i="15"/>
  <c r="BY71" i="15"/>
  <c r="BY102" i="15"/>
  <c r="BY69" i="15"/>
  <c r="BY75" i="15"/>
  <c r="BY356" i="15"/>
  <c r="BY771" i="15"/>
  <c r="BY77" i="15"/>
  <c r="CB471" i="15"/>
  <c r="CM611" i="15"/>
  <c r="CN611" i="15" s="1"/>
  <c r="BY604" i="15"/>
  <c r="CB713" i="15"/>
  <c r="CO611" i="15"/>
  <c r="CP611" i="15" s="1"/>
  <c r="CI611" i="15"/>
  <c r="CJ611" i="15" s="1"/>
  <c r="CM688" i="15"/>
  <c r="CN688" i="15" s="1"/>
  <c r="CK732" i="15"/>
  <c r="CL732" i="15" s="1"/>
  <c r="CK98" i="15"/>
  <c r="CL98" i="15" s="1"/>
  <c r="CO688" i="15"/>
  <c r="CP688" i="15" s="1"/>
  <c r="CI407" i="15"/>
  <c r="CJ407" i="15" s="1"/>
  <c r="CM641" i="15"/>
  <c r="CN641" i="15" s="1"/>
  <c r="CM668" i="15"/>
  <c r="CN668" i="15" s="1"/>
  <c r="CO828" i="15"/>
  <c r="CP828" i="15" s="1"/>
  <c r="CM190" i="15"/>
  <c r="CN190" i="15" s="1"/>
  <c r="CK430" i="15"/>
  <c r="CL430" i="15" s="1"/>
  <c r="CB577" i="15"/>
  <c r="CF372" i="15"/>
  <c r="CE371" i="15"/>
  <c r="CF371" i="15" s="1"/>
  <c r="CF755" i="15"/>
  <c r="CE754" i="15"/>
  <c r="CF754" i="15" s="1"/>
  <c r="CF530" i="15"/>
  <c r="CE529" i="15"/>
  <c r="CF529" i="15" s="1"/>
  <c r="CF715" i="15"/>
  <c r="CE714" i="15"/>
  <c r="CC473" i="15"/>
  <c r="CA472" i="15"/>
  <c r="CC715" i="15"/>
  <c r="CA714" i="15"/>
  <c r="CC797" i="15"/>
  <c r="CA796" i="15"/>
  <c r="CA828" i="15"/>
  <c r="CA407" i="15"/>
  <c r="CC579" i="15"/>
  <c r="CA578" i="15"/>
  <c r="CC669" i="15"/>
  <c r="CA668" i="15"/>
  <c r="CC431" i="15"/>
  <c r="CA430" i="15"/>
  <c r="CA251" i="15"/>
  <c r="CC622" i="15"/>
  <c r="CA621" i="15"/>
  <c r="CC169" i="15"/>
  <c r="CA168" i="15"/>
  <c r="CC642" i="15"/>
  <c r="CA641" i="15"/>
  <c r="CF797" i="15"/>
  <c r="CE796" i="15"/>
  <c r="CF796" i="15" s="1"/>
  <c r="CF272" i="15"/>
  <c r="CE271" i="15"/>
  <c r="CF456" i="15"/>
  <c r="CE455" i="15"/>
  <c r="CF455" i="15" s="1"/>
  <c r="CM732" i="15"/>
  <c r="CN732" i="15" s="1"/>
  <c r="CM98" i="15"/>
  <c r="CN98" i="15" s="1"/>
  <c r="CI688" i="15"/>
  <c r="CJ688" i="15" s="1"/>
  <c r="CM407" i="15"/>
  <c r="CN407" i="15" s="1"/>
  <c r="CO641" i="15"/>
  <c r="CP641" i="15" s="1"/>
  <c r="CO668" i="15"/>
  <c r="CP668" i="15" s="1"/>
  <c r="CI828" i="15"/>
  <c r="CJ828" i="15" s="1"/>
  <c r="CO190" i="15"/>
  <c r="CP190" i="15" s="1"/>
  <c r="CK300" i="15"/>
  <c r="CL300" i="15" s="1"/>
  <c r="CO430" i="15"/>
  <c r="CP430" i="15" s="1"/>
  <c r="CI65" i="15"/>
  <c r="CJ65" i="15" s="1"/>
  <c r="CO83" i="15"/>
  <c r="CP83" i="15" s="1"/>
  <c r="CM232" i="15"/>
  <c r="CN232" i="15" s="1"/>
  <c r="CK371" i="15"/>
  <c r="CL371" i="15" s="1"/>
  <c r="CK145" i="15"/>
  <c r="CL145" i="15" s="1"/>
  <c r="CK714" i="15"/>
  <c r="CL714" i="15" s="1"/>
  <c r="CM776" i="15"/>
  <c r="CN776" i="15" s="1"/>
  <c r="CI754" i="15"/>
  <c r="CJ754" i="15" s="1"/>
  <c r="CK34" i="15"/>
  <c r="CL34" i="15" s="1"/>
  <c r="CM125" i="15"/>
  <c r="CN125" i="15" s="1"/>
  <c r="CM42" i="15"/>
  <c r="CN42" i="15" s="1"/>
  <c r="CO251" i="15"/>
  <c r="CP251" i="15" s="1"/>
  <c r="CO168" i="15"/>
  <c r="CP168" i="15" s="1"/>
  <c r="CO219" i="15"/>
  <c r="CP219" i="15" s="1"/>
  <c r="CI455" i="15"/>
  <c r="CJ455" i="15" s="1"/>
  <c r="CI472" i="15"/>
  <c r="CJ472" i="15" s="1"/>
  <c r="CI578" i="15"/>
  <c r="CJ578" i="15" s="1"/>
  <c r="CI514" i="15"/>
  <c r="CJ514" i="15" s="1"/>
  <c r="CM796" i="15"/>
  <c r="CN796" i="15" s="1"/>
  <c r="CI548" i="15"/>
  <c r="CJ548" i="15" s="1"/>
  <c r="CI529" i="15"/>
  <c r="CJ529" i="15" s="1"/>
  <c r="CM621" i="15"/>
  <c r="CN621" i="15" s="1"/>
  <c r="CM325" i="15"/>
  <c r="CN325" i="15" s="1"/>
  <c r="CK271" i="15"/>
  <c r="CL271" i="15" s="1"/>
  <c r="CK9" i="15"/>
  <c r="CL9" i="15" s="1"/>
  <c r="CO491" i="15"/>
  <c r="CP491" i="15" s="1"/>
  <c r="CF733" i="15"/>
  <c r="CE732" i="15"/>
  <c r="CF732" i="15" s="1"/>
  <c r="BU271" i="15"/>
  <c r="BV271" i="15" s="1"/>
  <c r="CF326" i="15"/>
  <c r="CE325" i="15"/>
  <c r="CF325" i="15" s="1"/>
  <c r="CF515" i="15"/>
  <c r="CE514" i="15"/>
  <c r="CF514" i="15" s="1"/>
  <c r="CF689" i="15"/>
  <c r="CE688" i="15"/>
  <c r="CF688" i="15" s="1"/>
  <c r="CC733" i="15"/>
  <c r="CA732" i="15"/>
  <c r="CC689" i="15"/>
  <c r="CA688" i="15"/>
  <c r="CC530" i="15"/>
  <c r="CA529" i="15"/>
  <c r="CC755" i="15"/>
  <c r="CA754" i="15"/>
  <c r="CC456" i="15"/>
  <c r="CA455" i="15"/>
  <c r="CE232" i="15"/>
  <c r="CO732" i="15"/>
  <c r="CP732" i="15" s="1"/>
  <c r="CO98" i="15"/>
  <c r="CP98" i="15" s="1"/>
  <c r="CK407" i="15"/>
  <c r="CL407" i="15" s="1"/>
  <c r="CI641" i="15"/>
  <c r="CJ641" i="15" s="1"/>
  <c r="CI668" i="15"/>
  <c r="CJ668" i="15" s="1"/>
  <c r="CK828" i="15"/>
  <c r="CL828" i="15" s="1"/>
  <c r="CI190" i="15"/>
  <c r="CJ190" i="15" s="1"/>
  <c r="CI300" i="15"/>
  <c r="CJ300" i="15" s="1"/>
  <c r="CI430" i="15"/>
  <c r="CJ430" i="15" s="1"/>
  <c r="CE776" i="15"/>
  <c r="CF776" i="15" s="1"/>
  <c r="CO65" i="15"/>
  <c r="CP65" i="15" s="1"/>
  <c r="CI83" i="15"/>
  <c r="CJ83" i="15" s="1"/>
  <c r="CO232" i="15"/>
  <c r="CP232" i="15" s="1"/>
  <c r="CO371" i="15"/>
  <c r="CP371" i="15" s="1"/>
  <c r="CM145" i="15"/>
  <c r="CN145" i="15" s="1"/>
  <c r="CM714" i="15"/>
  <c r="CN714" i="15" s="1"/>
  <c r="CO776" i="15"/>
  <c r="CP776" i="15" s="1"/>
  <c r="CE621" i="15"/>
  <c r="CF621" i="15" s="1"/>
  <c r="CK754" i="15"/>
  <c r="CL754" i="15" s="1"/>
  <c r="CI34" i="15"/>
  <c r="CJ34" i="15" s="1"/>
  <c r="CO125" i="15"/>
  <c r="CP125" i="15" s="1"/>
  <c r="CK42" i="15"/>
  <c r="CL42" i="15" s="1"/>
  <c r="CI251" i="15"/>
  <c r="CJ251" i="15" s="1"/>
  <c r="CI168" i="15"/>
  <c r="CJ168" i="15" s="1"/>
  <c r="CI219" i="15"/>
  <c r="CJ219" i="15" s="1"/>
  <c r="CK455" i="15"/>
  <c r="CL455" i="15" s="1"/>
  <c r="CK472" i="15"/>
  <c r="CL472" i="15" s="1"/>
  <c r="CK578" i="15"/>
  <c r="CL578" i="15" s="1"/>
  <c r="CK514" i="15"/>
  <c r="CL514" i="15" s="1"/>
  <c r="CO796" i="15"/>
  <c r="CP796" i="15" s="1"/>
  <c r="CK548" i="15"/>
  <c r="CL548" i="15" s="1"/>
  <c r="CK529" i="15"/>
  <c r="CL529" i="15" s="1"/>
  <c r="CO621" i="15"/>
  <c r="CP621" i="15" s="1"/>
  <c r="CK325" i="15"/>
  <c r="CL325" i="15" s="1"/>
  <c r="CO271" i="15"/>
  <c r="CP271" i="15" s="1"/>
  <c r="CI9" i="15"/>
  <c r="CJ9" i="15" s="1"/>
  <c r="CI491" i="15"/>
  <c r="CJ491" i="15" s="1"/>
  <c r="BW271" i="15"/>
  <c r="BX271" i="15" s="1"/>
  <c r="CF492" i="15"/>
  <c r="CE491" i="15"/>
  <c r="CF491" i="15" s="1"/>
  <c r="CF408" i="15"/>
  <c r="CE407" i="15"/>
  <c r="CF407" i="15" s="1"/>
  <c r="CF301" i="15"/>
  <c r="CE300" i="15"/>
  <c r="CF300" i="15" s="1"/>
  <c r="CF579" i="15"/>
  <c r="CE578" i="15"/>
  <c r="CD829" i="15"/>
  <c r="CC828" i="15"/>
  <c r="CD828" i="15" s="1"/>
  <c r="CC515" i="15"/>
  <c r="CA514" i="15"/>
  <c r="CC549" i="15"/>
  <c r="CA548" i="15"/>
  <c r="CC326" i="15"/>
  <c r="CA325" i="15"/>
  <c r="CC233" i="15"/>
  <c r="CA232" i="15"/>
  <c r="CC492" i="15"/>
  <c r="CA491" i="15"/>
  <c r="CC777" i="15"/>
  <c r="CA776" i="15"/>
  <c r="CC272" i="15"/>
  <c r="CA271" i="15"/>
  <c r="CC372" i="15"/>
  <c r="CA371" i="15"/>
  <c r="CC301" i="15"/>
  <c r="CA300" i="15"/>
  <c r="CC146" i="15"/>
  <c r="CA145" i="15"/>
  <c r="CC220" i="15"/>
  <c r="CA219" i="15"/>
  <c r="CF549" i="15"/>
  <c r="CE548" i="15"/>
  <c r="CF548" i="15" s="1"/>
  <c r="CF829" i="15"/>
  <c r="CE828" i="15"/>
  <c r="CF828" i="15" s="1"/>
  <c r="CI732" i="15"/>
  <c r="CJ732" i="15" s="1"/>
  <c r="CK611" i="15"/>
  <c r="CL611" i="15" s="1"/>
  <c r="CI98" i="15"/>
  <c r="CJ98" i="15" s="1"/>
  <c r="CK688" i="15"/>
  <c r="CL688" i="15" s="1"/>
  <c r="CO407" i="15"/>
  <c r="CP407" i="15" s="1"/>
  <c r="CK641" i="15"/>
  <c r="CL641" i="15" s="1"/>
  <c r="CK668" i="15"/>
  <c r="CL668" i="15" s="1"/>
  <c r="CM828" i="15"/>
  <c r="CN828" i="15" s="1"/>
  <c r="CK190" i="15"/>
  <c r="CL190" i="15" s="1"/>
  <c r="CM300" i="15"/>
  <c r="CN300" i="15" s="1"/>
  <c r="CM430" i="15"/>
  <c r="CN430" i="15" s="1"/>
  <c r="CM65" i="15"/>
  <c r="CN65" i="15" s="1"/>
  <c r="CK83" i="15"/>
  <c r="CL83" i="15" s="1"/>
  <c r="CI232" i="15"/>
  <c r="CJ232" i="15" s="1"/>
  <c r="CI371" i="15"/>
  <c r="CJ371" i="15" s="1"/>
  <c r="CO145" i="15"/>
  <c r="CP145" i="15" s="1"/>
  <c r="CO714" i="15"/>
  <c r="CP714" i="15" s="1"/>
  <c r="CI776" i="15"/>
  <c r="CJ776" i="15" s="1"/>
  <c r="CM754" i="15"/>
  <c r="CN754" i="15" s="1"/>
  <c r="CO34" i="15"/>
  <c r="CP34" i="15" s="1"/>
  <c r="CI125" i="15"/>
  <c r="CJ125" i="15" s="1"/>
  <c r="CI42" i="15"/>
  <c r="CJ42" i="15" s="1"/>
  <c r="CK251" i="15"/>
  <c r="CL251" i="15" s="1"/>
  <c r="CK168" i="15"/>
  <c r="CL168" i="15" s="1"/>
  <c r="CK219" i="15"/>
  <c r="CL219" i="15" s="1"/>
  <c r="CM455" i="15"/>
  <c r="CN455" i="15" s="1"/>
  <c r="CM472" i="15"/>
  <c r="CN472" i="15" s="1"/>
  <c r="CM578" i="15"/>
  <c r="CN578" i="15" s="1"/>
  <c r="CM514" i="15"/>
  <c r="CN514" i="15" s="1"/>
  <c r="CI796" i="15"/>
  <c r="CJ796" i="15" s="1"/>
  <c r="CM548" i="15"/>
  <c r="CN548" i="15" s="1"/>
  <c r="CM529" i="15"/>
  <c r="CN529" i="15" s="1"/>
  <c r="CI621" i="15"/>
  <c r="CJ621" i="15" s="1"/>
  <c r="CE641" i="15"/>
  <c r="CF641" i="15" s="1"/>
  <c r="CO325" i="15"/>
  <c r="CP325" i="15" s="1"/>
  <c r="CI271" i="15"/>
  <c r="CJ271" i="15" s="1"/>
  <c r="CM9" i="15"/>
  <c r="CN9" i="15" s="1"/>
  <c r="CK491" i="15"/>
  <c r="CL491" i="15" s="1"/>
  <c r="CF473" i="15"/>
  <c r="CE472" i="15"/>
  <c r="CD252" i="15"/>
  <c r="CC251" i="15"/>
  <c r="CD251" i="15" s="1"/>
  <c r="CD408" i="15"/>
  <c r="CC407" i="15"/>
  <c r="CD407" i="15" s="1"/>
  <c r="CC191" i="15"/>
  <c r="CA190" i="15"/>
  <c r="CE430" i="15"/>
  <c r="CF430" i="15" s="1"/>
  <c r="CO300" i="15"/>
  <c r="CP300" i="15" s="1"/>
  <c r="CK65" i="15"/>
  <c r="CL65" i="15" s="1"/>
  <c r="CM83" i="15"/>
  <c r="CN83" i="15" s="1"/>
  <c r="CK232" i="15"/>
  <c r="CL232" i="15" s="1"/>
  <c r="CM371" i="15"/>
  <c r="CN371" i="15" s="1"/>
  <c r="CI145" i="15"/>
  <c r="CJ145" i="15" s="1"/>
  <c r="CI714" i="15"/>
  <c r="CJ714" i="15" s="1"/>
  <c r="CK776" i="15"/>
  <c r="CL776" i="15" s="1"/>
  <c r="CO754" i="15"/>
  <c r="CP754" i="15" s="1"/>
  <c r="CM34" i="15"/>
  <c r="CN34" i="15" s="1"/>
  <c r="CK125" i="15"/>
  <c r="CL125" i="15" s="1"/>
  <c r="CO42" i="15"/>
  <c r="CP42" i="15" s="1"/>
  <c r="CM251" i="15"/>
  <c r="CN251" i="15" s="1"/>
  <c r="CM168" i="15"/>
  <c r="CN168" i="15" s="1"/>
  <c r="CM219" i="15"/>
  <c r="CN219" i="15" s="1"/>
  <c r="CO455" i="15"/>
  <c r="CP455" i="15" s="1"/>
  <c r="CO472" i="15"/>
  <c r="CP472" i="15" s="1"/>
  <c r="CO578" i="15"/>
  <c r="CP578" i="15" s="1"/>
  <c r="CO514" i="15"/>
  <c r="CP514" i="15" s="1"/>
  <c r="CK796" i="15"/>
  <c r="CL796" i="15" s="1"/>
  <c r="CO548" i="15"/>
  <c r="CP548" i="15" s="1"/>
  <c r="CO529" i="15"/>
  <c r="CP529" i="15" s="1"/>
  <c r="CK621" i="15"/>
  <c r="CL621" i="15" s="1"/>
  <c r="CI325" i="15"/>
  <c r="CJ325" i="15" s="1"/>
  <c r="CM271" i="15"/>
  <c r="CN271" i="15" s="1"/>
  <c r="CO9" i="15"/>
  <c r="CP9" i="15" s="1"/>
  <c r="CM491" i="15"/>
  <c r="CN491" i="15" s="1"/>
  <c r="AF126" i="15"/>
  <c r="AG126" i="15"/>
  <c r="AF67" i="15"/>
  <c r="AG67" i="15"/>
  <c r="AF10" i="15"/>
  <c r="AG10" i="15"/>
  <c r="AF36" i="15"/>
  <c r="AG36" i="15"/>
  <c r="AF44" i="15"/>
  <c r="AG44" i="15"/>
  <c r="AF99" i="15"/>
  <c r="AG99" i="15"/>
  <c r="AF84" i="15"/>
  <c r="AG84" i="15"/>
  <c r="AF75" i="15"/>
  <c r="AF328" i="15"/>
  <c r="AF338" i="15"/>
  <c r="AF346" i="15"/>
  <c r="AF356" i="15"/>
  <c r="AF364" i="15"/>
  <c r="AF273" i="15"/>
  <c r="AF281" i="15"/>
  <c r="AF291" i="15"/>
  <c r="AF696" i="15"/>
  <c r="AF706" i="15"/>
  <c r="AF839" i="15"/>
  <c r="AF851" i="15"/>
  <c r="AF54" i="15"/>
  <c r="AF58" i="15"/>
  <c r="AF564" i="15"/>
  <c r="AF465" i="15"/>
  <c r="AF366" i="15"/>
  <c r="AF567" i="15"/>
  <c r="AF287" i="15"/>
  <c r="AF562" i="15"/>
  <c r="AF759" i="15"/>
  <c r="AF738" i="15"/>
  <c r="AF101" i="15"/>
  <c r="AF121" i="15"/>
  <c r="AF134" i="15"/>
  <c r="AF742" i="15"/>
  <c r="AF552" i="15"/>
  <c r="AF350" i="15"/>
  <c r="AF618" i="15"/>
  <c r="AF555" i="15"/>
  <c r="AF730" i="15"/>
  <c r="AF440" i="15"/>
  <c r="AF566" i="15"/>
  <c r="AF806" i="15"/>
  <c r="AF779" i="15"/>
  <c r="AF78" i="15"/>
  <c r="AF16" i="15"/>
  <c r="AF159" i="15"/>
  <c r="AF235" i="15"/>
  <c r="AF142" i="15"/>
  <c r="AF212" i="15"/>
  <c r="AF357" i="15"/>
  <c r="AF199" i="15"/>
  <c r="AF263" i="15"/>
  <c r="AF57" i="15"/>
  <c r="AF14" i="15"/>
  <c r="AF59" i="15"/>
  <c r="AF177" i="15"/>
  <c r="AF347" i="15"/>
  <c r="AF634" i="15"/>
  <c r="AF305" i="15"/>
  <c r="AF442" i="15"/>
  <c r="AF543" i="15"/>
  <c r="AF493" i="15"/>
  <c r="AF378" i="15"/>
  <c r="AF495" i="15"/>
  <c r="AF537" i="15"/>
  <c r="AF409" i="15"/>
  <c r="AF587" i="15"/>
  <c r="AF408" i="15"/>
  <c r="AF486" i="15"/>
  <c r="AF656" i="15"/>
  <c r="AF609" i="15"/>
  <c r="AF572" i="15"/>
  <c r="AF735" i="15"/>
  <c r="AF744" i="15"/>
  <c r="AF677" i="15"/>
  <c r="AF848" i="15"/>
  <c r="AF804" i="15"/>
  <c r="AF837" i="15"/>
  <c r="AF844" i="15"/>
  <c r="AF73" i="15"/>
  <c r="AF81" i="15"/>
  <c r="AF326" i="15"/>
  <c r="AF336" i="15"/>
  <c r="AF344" i="15"/>
  <c r="AF354" i="15"/>
  <c r="AF362" i="15"/>
  <c r="AF274" i="15"/>
  <c r="AF283" i="15"/>
  <c r="AF293" i="15"/>
  <c r="AF692" i="15"/>
  <c r="AF704" i="15"/>
  <c r="AF835" i="15"/>
  <c r="AF847" i="15"/>
  <c r="AF859" i="15"/>
  <c r="AF808" i="15"/>
  <c r="AF826" i="15"/>
  <c r="AF777" i="15"/>
  <c r="AF573" i="15"/>
  <c r="AF549" i="15"/>
  <c r="AF559" i="15"/>
  <c r="AF403" i="15"/>
  <c r="AF554" i="15"/>
  <c r="AF786" i="15"/>
  <c r="AF710" i="15"/>
  <c r="AF637" i="15"/>
  <c r="AF74" i="15"/>
  <c r="AF80" i="15"/>
  <c r="AF20" i="15"/>
  <c r="AF171" i="15"/>
  <c r="AF241" i="15"/>
  <c r="AF147" i="15"/>
  <c r="AF272" i="15"/>
  <c r="AF369" i="15"/>
  <c r="AF128" i="15"/>
  <c r="AF175" i="15"/>
  <c r="AF207" i="15"/>
  <c r="AF236" i="15"/>
  <c r="AF254" i="15"/>
  <c r="AF276" i="15"/>
  <c r="AF359" i="15"/>
  <c r="AF111" i="15"/>
  <c r="AF192" i="15"/>
  <c r="AF239" i="15"/>
  <c r="AF261" i="15"/>
  <c r="AF351" i="15"/>
  <c r="AF53" i="15"/>
  <c r="AF137" i="15"/>
  <c r="AF52" i="15"/>
  <c r="AF55" i="15"/>
  <c r="AF135" i="15"/>
  <c r="AF172" i="15"/>
  <c r="AF204" i="15"/>
  <c r="AF333" i="15"/>
  <c r="AF377" i="15"/>
  <c r="AF546" i="15"/>
  <c r="AF162" i="15"/>
  <c r="AF301" i="15"/>
  <c r="AF379" i="15"/>
  <c r="AF439" i="15"/>
  <c r="AF481" i="15"/>
  <c r="AF541" i="15"/>
  <c r="AF411" i="15"/>
  <c r="AF530" i="15"/>
  <c r="AF308" i="15"/>
  <c r="AF398" i="15"/>
  <c r="AF450" i="15"/>
  <c r="AF540" i="15"/>
  <c r="AF385" i="15"/>
  <c r="AF782" i="15"/>
  <c r="AF323" i="15"/>
  <c r="AF397" i="15"/>
  <c r="AF485" i="15"/>
  <c r="AF639" i="15"/>
  <c r="AF597" i="15"/>
  <c r="AF699" i="15"/>
  <c r="AF414" i="15"/>
  <c r="AF436" i="15"/>
  <c r="AF484" i="15"/>
  <c r="AF517" i="15"/>
  <c r="AF645" i="15"/>
  <c r="AF502" i="15"/>
  <c r="AF607" i="15"/>
  <c r="AF660" i="15"/>
  <c r="AF574" i="15"/>
  <c r="AF695" i="15"/>
  <c r="AF756" i="15"/>
  <c r="AF725" i="15"/>
  <c r="AF672" i="15"/>
  <c r="AF680" i="15"/>
  <c r="AF783" i="15"/>
  <c r="AF816" i="15"/>
  <c r="AF803" i="15"/>
  <c r="AF793" i="15"/>
  <c r="AF838" i="15"/>
  <c r="AF836" i="15"/>
  <c r="AF140" i="15"/>
  <c r="AF225" i="15"/>
  <c r="AF133" i="15"/>
  <c r="AF210" i="15"/>
  <c r="AF355" i="15"/>
  <c r="AF60" i="15"/>
  <c r="AF160" i="15"/>
  <c r="AF198" i="15"/>
  <c r="AF230" i="15"/>
  <c r="AF248" i="15"/>
  <c r="AF266" i="15"/>
  <c r="AF343" i="15"/>
  <c r="AF103" i="15"/>
  <c r="AF179" i="15"/>
  <c r="AF233" i="15"/>
  <c r="AF257" i="15"/>
  <c r="AF335" i="15"/>
  <c r="AF45" i="15"/>
  <c r="AF95" i="15"/>
  <c r="AF194" i="15"/>
  <c r="AF90" i="15"/>
  <c r="AF47" i="15"/>
  <c r="AF127" i="15"/>
  <c r="AF164" i="15"/>
  <c r="AF197" i="15"/>
  <c r="AF298" i="15"/>
  <c r="AF322" i="15"/>
  <c r="AF487" i="15"/>
  <c r="AF154" i="15"/>
  <c r="AF309" i="15"/>
  <c r="AF388" i="15"/>
  <c r="AF499" i="15"/>
  <c r="AF624" i="15"/>
  <c r="AF310" i="15"/>
  <c r="AF511" i="15"/>
  <c r="AF146" i="15"/>
  <c r="AF383" i="15"/>
  <c r="AF445" i="15"/>
  <c r="AF498" i="15"/>
  <c r="AF626" i="15"/>
  <c r="AF443" i="15"/>
  <c r="AF315" i="15"/>
  <c r="AF417" i="15"/>
  <c r="AF516" i="15"/>
  <c r="AF623" i="15"/>
  <c r="AF605" i="15"/>
  <c r="AF715" i="15"/>
  <c r="AF418" i="15"/>
  <c r="AF480" i="15"/>
  <c r="AF508" i="15"/>
  <c r="AF661" i="15"/>
  <c r="AF583" i="15"/>
  <c r="AF654" i="15"/>
  <c r="AF693" i="15"/>
  <c r="AF643" i="15"/>
  <c r="AF711" i="15"/>
  <c r="AF770" i="15"/>
  <c r="AF670" i="15"/>
  <c r="AF678" i="15"/>
  <c r="AF719" i="15"/>
  <c r="AF788" i="15"/>
  <c r="AF842" i="15"/>
  <c r="AF740" i="15"/>
  <c r="AF821" i="15"/>
  <c r="AF809" i="15"/>
  <c r="AF819" i="15"/>
  <c r="AF615" i="15"/>
  <c r="AF428" i="15"/>
  <c r="AF614" i="15"/>
  <c r="AF494" i="15"/>
  <c r="AF655" i="15"/>
  <c r="AF619" i="15"/>
  <c r="AF721" i="15"/>
  <c r="AF772" i="15"/>
  <c r="AF671" i="15"/>
  <c r="AF683" i="15"/>
  <c r="AF790" i="15"/>
  <c r="AF797" i="15"/>
  <c r="AF791" i="15"/>
  <c r="AF853" i="15"/>
  <c r="AF823" i="15"/>
  <c r="AF588" i="15"/>
  <c r="AF606" i="15"/>
  <c r="AF780" i="15"/>
  <c r="AF108" i="15"/>
  <c r="AF630" i="15"/>
  <c r="AF757" i="15"/>
  <c r="AF467" i="15"/>
  <c r="AF569" i="15"/>
  <c r="AF560" i="15"/>
  <c r="AF612" i="15"/>
  <c r="AF746" i="15"/>
  <c r="AF734" i="15"/>
  <c r="AF105" i="15"/>
  <c r="AF174" i="15"/>
  <c r="AF163" i="15"/>
  <c r="AF22" i="15"/>
  <c r="AF178" i="15"/>
  <c r="AF238" i="15"/>
  <c r="AF278" i="15"/>
  <c r="AF115" i="15"/>
  <c r="AF229" i="15"/>
  <c r="AF286" i="15"/>
  <c r="AF91" i="15"/>
  <c r="AF86" i="15"/>
  <c r="AF92" i="15"/>
  <c r="AF195" i="15"/>
  <c r="AF302" i="15"/>
  <c r="AF150" i="15"/>
  <c r="AF321" i="15"/>
  <c r="AF520" i="15"/>
  <c r="AF427" i="15"/>
  <c r="AF312" i="15"/>
  <c r="AF452" i="15"/>
  <c r="AF389" i="15"/>
  <c r="AF386" i="15"/>
  <c r="AF542" i="15"/>
  <c r="AF603" i="15"/>
  <c r="AF416" i="15"/>
  <c r="AF478" i="15"/>
  <c r="AF627" i="15"/>
  <c r="AF593" i="15"/>
  <c r="AF737" i="15"/>
  <c r="AF703" i="15"/>
  <c r="AF812" i="15"/>
  <c r="AF681" i="15"/>
  <c r="AF794" i="15"/>
  <c r="AF856" i="15"/>
  <c r="AF801" i="15"/>
  <c r="AF433" i="15"/>
  <c r="AF586" i="15"/>
  <c r="AF596" i="15"/>
  <c r="AF604" i="15"/>
  <c r="AF40" i="15"/>
  <c r="AF106" i="15"/>
  <c r="AF114" i="15"/>
  <c r="AF122" i="15"/>
  <c r="AF396" i="15"/>
  <c r="AF625" i="15"/>
  <c r="AF38" i="15"/>
  <c r="AF505" i="15"/>
  <c r="AF749" i="15"/>
  <c r="AF774" i="15"/>
  <c r="AF769" i="15"/>
  <c r="AF524" i="15"/>
  <c r="AF170" i="15"/>
  <c r="AF200" i="15"/>
  <c r="AF234" i="15"/>
  <c r="AF252" i="15"/>
  <c r="AF268" i="15"/>
  <c r="AF345" i="15"/>
  <c r="AF107" i="15"/>
  <c r="AF182" i="15"/>
  <c r="AF237" i="15"/>
  <c r="AF259" i="15"/>
  <c r="AF337" i="15"/>
  <c r="AF49" i="15"/>
  <c r="AF203" i="15"/>
  <c r="AF94" i="15"/>
  <c r="AF51" i="15"/>
  <c r="AF131" i="15"/>
  <c r="AF169" i="15"/>
  <c r="AF202" i="15"/>
  <c r="AF331" i="15"/>
  <c r="AF373" i="15"/>
  <c r="AF532" i="15"/>
  <c r="AF158" i="15"/>
  <c r="AF228" i="15"/>
  <c r="AF376" i="15"/>
  <c r="AF435" i="15"/>
  <c r="AF473" i="15"/>
  <c r="AF536" i="15"/>
  <c r="AF705" i="15"/>
  <c r="AF453" i="15"/>
  <c r="AF778" i="15"/>
  <c r="AF320" i="15"/>
  <c r="AF423" i="15"/>
  <c r="AF475" i="15"/>
  <c r="AF538" i="15"/>
  <c r="AF381" i="15"/>
  <c r="AF764" i="15"/>
  <c r="AF319" i="15"/>
  <c r="AF394" i="15"/>
  <c r="AF477" i="15"/>
  <c r="AF617" i="15"/>
  <c r="AF579" i="15"/>
  <c r="AF691" i="15"/>
  <c r="AF420" i="15"/>
  <c r="AF515" i="15"/>
  <c r="AF601" i="15"/>
  <c r="AF650" i="15"/>
  <c r="AF720" i="15"/>
  <c r="AF766" i="15"/>
  <c r="AF748" i="15"/>
  <c r="AF441" i="15"/>
  <c r="AF594" i="15"/>
  <c r="AF633" i="15"/>
  <c r="AF112" i="15"/>
  <c r="AF404" i="15"/>
  <c r="AF751" i="15"/>
  <c r="AF771" i="15"/>
  <c r="AF724" i="15"/>
  <c r="AF553" i="15"/>
  <c r="AF563" i="15"/>
  <c r="AF558" i="15"/>
  <c r="AF722" i="15"/>
  <c r="AF728" i="15"/>
  <c r="AF109" i="15"/>
  <c r="AF215" i="15"/>
  <c r="AF205" i="15"/>
  <c r="AF56" i="15"/>
  <c r="AF193" i="15"/>
  <c r="AF246" i="15"/>
  <c r="AF329" i="15"/>
  <c r="AF71" i="15"/>
  <c r="AF79" i="15"/>
  <c r="AF332" i="15"/>
  <c r="AF342" i="15"/>
  <c r="AF352" i="15"/>
  <c r="AF360" i="15"/>
  <c r="AF277" i="15"/>
  <c r="AF285" i="15"/>
  <c r="AF295" i="15"/>
  <c r="AF690" i="15"/>
  <c r="AF700" i="15"/>
  <c r="AF833" i="15"/>
  <c r="AF843" i="15"/>
  <c r="AF857" i="15"/>
  <c r="AF50" i="15"/>
  <c r="AF685" i="15"/>
  <c r="AF527" i="15"/>
  <c r="AF849" i="15"/>
  <c r="AF565" i="15"/>
  <c r="AF551" i="15"/>
  <c r="AF717" i="15"/>
  <c r="AF525" i="15"/>
  <c r="AF694" i="15"/>
  <c r="AF785" i="15"/>
  <c r="AF818" i="15"/>
  <c r="AF37" i="15"/>
  <c r="AF12" i="15"/>
  <c r="AF649" i="15"/>
  <c r="AF557" i="15"/>
  <c r="AF130" i="15"/>
  <c r="AF568" i="15"/>
  <c r="AF504" i="15"/>
  <c r="AF457" i="15"/>
  <c r="AF571" i="15"/>
  <c r="AF334" i="15"/>
  <c r="AF550" i="15"/>
  <c r="AF750" i="15"/>
  <c r="AF798" i="15"/>
  <c r="AF117" i="15"/>
  <c r="AF72" i="15"/>
  <c r="AF88" i="15"/>
  <c r="AF201" i="15"/>
  <c r="AF27" i="15"/>
  <c r="AF176" i="15"/>
  <c r="AF290" i="15"/>
  <c r="AF243" i="15"/>
  <c r="AF353" i="15"/>
  <c r="AF149" i="15"/>
  <c r="AF13" i="15"/>
  <c r="AF138" i="15"/>
  <c r="AF211" i="15"/>
  <c r="AF400" i="15"/>
  <c r="AF166" i="15"/>
  <c r="AF384" i="15"/>
  <c r="AF489" i="15"/>
  <c r="AF306" i="15"/>
  <c r="AF832" i="15"/>
  <c r="AF434" i="15"/>
  <c r="AF653" i="15"/>
  <c r="AF311" i="15"/>
  <c r="AF501" i="15"/>
  <c r="AF662" i="15"/>
  <c r="AF424" i="15"/>
  <c r="AF519" i="15"/>
  <c r="AF510" i="15"/>
  <c r="AF665" i="15"/>
  <c r="AF658" i="15"/>
  <c r="AF762" i="15"/>
  <c r="AF673" i="15"/>
  <c r="AF718" i="15"/>
  <c r="AF829" i="15"/>
  <c r="AF787" i="15"/>
  <c r="AF846" i="15"/>
  <c r="AF69" i="15"/>
  <c r="AF77" i="15"/>
  <c r="AF330" i="15"/>
  <c r="AF340" i="15"/>
  <c r="AF348" i="15"/>
  <c r="AF358" i="15"/>
  <c r="AF368" i="15"/>
  <c r="AF461" i="15"/>
  <c r="AF279" i="15"/>
  <c r="AF289" i="15"/>
  <c r="AF297" i="15"/>
  <c r="AF698" i="15"/>
  <c r="AF708" i="15"/>
  <c r="AF831" i="15"/>
  <c r="AF841" i="15"/>
  <c r="AF855" i="15"/>
  <c r="AF469" i="15"/>
  <c r="AF46" i="15"/>
  <c r="AF561" i="15"/>
  <c r="AF556" i="15"/>
  <c r="AF395" i="15"/>
  <c r="AF522" i="15"/>
  <c r="AF590" i="15"/>
  <c r="AF512" i="15"/>
  <c r="AF570" i="15"/>
  <c r="AF702" i="15"/>
  <c r="AF800" i="15"/>
  <c r="AF784" i="15"/>
  <c r="AF70" i="15"/>
  <c r="AF68" i="15"/>
  <c r="AF93" i="15"/>
  <c r="AF206" i="15"/>
  <c r="AF31" i="15"/>
  <c r="AF196" i="15"/>
  <c r="AF339" i="15"/>
  <c r="AF48" i="15"/>
  <c r="AF151" i="15"/>
  <c r="AF191" i="15"/>
  <c r="AF222" i="15"/>
  <c r="AF244" i="15"/>
  <c r="AF262" i="15"/>
  <c r="AF327" i="15"/>
  <c r="AF32" i="15"/>
  <c r="AF152" i="15"/>
  <c r="AF221" i="15"/>
  <c r="AF249" i="15"/>
  <c r="AF284" i="15"/>
  <c r="AF15" i="15"/>
  <c r="AF87" i="15"/>
  <c r="AF181" i="15"/>
  <c r="AF25" i="15"/>
  <c r="AF89" i="15"/>
  <c r="AF155" i="15"/>
  <c r="AF188" i="15"/>
  <c r="AF282" i="15"/>
  <c r="AF365" i="15"/>
  <c r="AF458" i="15"/>
  <c r="AF813" i="15"/>
  <c r="AF223" i="15"/>
  <c r="AF317" i="15"/>
  <c r="AF405" i="15"/>
  <c r="AF464" i="15"/>
  <c r="AF506" i="15"/>
  <c r="AF663" i="15"/>
  <c r="AF479" i="15"/>
  <c r="AF820" i="15"/>
  <c r="AF375" i="15"/>
  <c r="AF431" i="15"/>
  <c r="AF483" i="15"/>
  <c r="AF648" i="15"/>
  <c r="AF507" i="15"/>
  <c r="AF307" i="15"/>
  <c r="AF382" i="15"/>
  <c r="AF437" i="15"/>
  <c r="AF535" i="15"/>
  <c r="AF581" i="15"/>
  <c r="AF646" i="15"/>
  <c r="AF399" i="15"/>
  <c r="AF422" i="15"/>
  <c r="AF476" i="15"/>
  <c r="AF492" i="15"/>
  <c r="AF622" i="15"/>
  <c r="AF401" i="15"/>
  <c r="AF591" i="15"/>
  <c r="AF575" i="15"/>
  <c r="AF709" i="15"/>
  <c r="AF651" i="15"/>
  <c r="AF729" i="15"/>
  <c r="AF781" i="15"/>
  <c r="AF768" i="15"/>
  <c r="AF676" i="15"/>
  <c r="AF739" i="15"/>
  <c r="AF792" i="15"/>
  <c r="AF858" i="15"/>
  <c r="AF840" i="15"/>
  <c r="AF834" i="15"/>
  <c r="AF807" i="15"/>
  <c r="AF187" i="15"/>
  <c r="AF19" i="15"/>
  <c r="AF173" i="15"/>
  <c r="AF288" i="15"/>
  <c r="AF26" i="15"/>
  <c r="AF136" i="15"/>
  <c r="AF183" i="15"/>
  <c r="AF214" i="15"/>
  <c r="AF240" i="15"/>
  <c r="AF258" i="15"/>
  <c r="AF292" i="15"/>
  <c r="AF24" i="15"/>
  <c r="AF119" i="15"/>
  <c r="AF208" i="15"/>
  <c r="AF245" i="15"/>
  <c r="AF265" i="15"/>
  <c r="AF367" i="15"/>
  <c r="AF61" i="15"/>
  <c r="AF156" i="15"/>
  <c r="AF18" i="15"/>
  <c r="AF17" i="15"/>
  <c r="AF63" i="15"/>
  <c r="AF141" i="15"/>
  <c r="AF180" i="15"/>
  <c r="AF213" i="15"/>
  <c r="AF349" i="15"/>
  <c r="AF419" i="15"/>
  <c r="AF716" i="15"/>
  <c r="AF227" i="15"/>
  <c r="AF372" i="15"/>
  <c r="AF421" i="15"/>
  <c r="AF534" i="15"/>
  <c r="AF697" i="15"/>
  <c r="AF447" i="15"/>
  <c r="AF636" i="15"/>
  <c r="AF316" i="15"/>
  <c r="AF415" i="15"/>
  <c r="AF462" i="15"/>
  <c r="AF531" i="15"/>
  <c r="AF318" i="15"/>
  <c r="AF616" i="15"/>
  <c r="AF390" i="15"/>
  <c r="AF468" i="15"/>
  <c r="AF544" i="15"/>
  <c r="AF589" i="15"/>
  <c r="AF666" i="15"/>
  <c r="AF410" i="15"/>
  <c r="AF426" i="15"/>
  <c r="AF488" i="15"/>
  <c r="AF635" i="15"/>
  <c r="AF446" i="15"/>
  <c r="AF599" i="15"/>
  <c r="AF644" i="15"/>
  <c r="AF747" i="15"/>
  <c r="AF659" i="15"/>
  <c r="AF736" i="15"/>
  <c r="AF684" i="15"/>
  <c r="AF674" i="15"/>
  <c r="AF682" i="15"/>
  <c r="AF758" i="15"/>
  <c r="AF805" i="15"/>
  <c r="AF810" i="15"/>
  <c r="AF789" i="15"/>
  <c r="AF850" i="15"/>
  <c r="AF854" i="15"/>
  <c r="AF852" i="15"/>
  <c r="AF412" i="15"/>
  <c r="AF474" i="15"/>
  <c r="AF638" i="15"/>
  <c r="AF585" i="15"/>
  <c r="AF652" i="15"/>
  <c r="AF664" i="15"/>
  <c r="AF745" i="15"/>
  <c r="AF760" i="15"/>
  <c r="AF679" i="15"/>
  <c r="AF723" i="15"/>
  <c r="AF811" i="15"/>
  <c r="AF825" i="15"/>
  <c r="AF824" i="15"/>
  <c r="AF799" i="15"/>
  <c r="AF860" i="15"/>
  <c r="AF580" i="15"/>
  <c r="AF598" i="15"/>
  <c r="AF104" i="15"/>
  <c r="AF116" i="15"/>
  <c r="AF497" i="15"/>
  <c r="AF743" i="15"/>
  <c r="AF765" i="15"/>
  <c r="AF62" i="15"/>
  <c r="AF496" i="15"/>
  <c r="AF523" i="15"/>
  <c r="AF432" i="15"/>
  <c r="AF657" i="15"/>
  <c r="AF463" i="15"/>
  <c r="AF76" i="15"/>
  <c r="AF39" i="15"/>
  <c r="AF253" i="15"/>
  <c r="AF275" i="15"/>
  <c r="AF132" i="15"/>
  <c r="AF209" i="15"/>
  <c r="AF256" i="15"/>
  <c r="AF361" i="15"/>
  <c r="AF161" i="15"/>
  <c r="AF255" i="15"/>
  <c r="AF23" i="15"/>
  <c r="AF184" i="15"/>
  <c r="AF29" i="15"/>
  <c r="AF157" i="15"/>
  <c r="AF296" i="15"/>
  <c r="AF466" i="15"/>
  <c r="AF224" i="15"/>
  <c r="AF413" i="15"/>
  <c r="AF689" i="15"/>
  <c r="AF539" i="15"/>
  <c r="AF402" i="15"/>
  <c r="AF545" i="15"/>
  <c r="AF817" i="15"/>
  <c r="AF460" i="15"/>
  <c r="AF647" i="15"/>
  <c r="AF707" i="15"/>
  <c r="AF444" i="15"/>
  <c r="AF500" i="15"/>
  <c r="AF438" i="15"/>
  <c r="AF613" i="15"/>
  <c r="AF642" i="15"/>
  <c r="AF727" i="15"/>
  <c r="AF669" i="15"/>
  <c r="AF752" i="15"/>
  <c r="AF861" i="15"/>
  <c r="AF802" i="15"/>
  <c r="AF815" i="15"/>
  <c r="AF582" i="15"/>
  <c r="AF592" i="15"/>
  <c r="AF600" i="15"/>
  <c r="AF608" i="15"/>
  <c r="AF726" i="15"/>
  <c r="AF102" i="15"/>
  <c r="AF110" i="15"/>
  <c r="AF118" i="15"/>
  <c r="AF741" i="15"/>
  <c r="AF755" i="15"/>
  <c r="AF763" i="15"/>
  <c r="AF459" i="15"/>
  <c r="AF139" i="15"/>
  <c r="AF186" i="15"/>
  <c r="AF216" i="15"/>
  <c r="AF242" i="15"/>
  <c r="AF260" i="15"/>
  <c r="AF294" i="15"/>
  <c r="AF28" i="15"/>
  <c r="AF123" i="15"/>
  <c r="AF217" i="15"/>
  <c r="AF247" i="15"/>
  <c r="AF267" i="15"/>
  <c r="AF11" i="15"/>
  <c r="AF165" i="15"/>
  <c r="AF30" i="15"/>
  <c r="AF21" i="15"/>
  <c r="AF85" i="15"/>
  <c r="AF148" i="15"/>
  <c r="AF185" i="15"/>
  <c r="AF280" i="15"/>
  <c r="AF363" i="15"/>
  <c r="AF449" i="15"/>
  <c r="AF773" i="15"/>
  <c r="AF220" i="15"/>
  <c r="AF313" i="15"/>
  <c r="AF392" i="15"/>
  <c r="AF456" i="15"/>
  <c r="AF503" i="15"/>
  <c r="AF631" i="15"/>
  <c r="AF314" i="15"/>
  <c r="AF518" i="15"/>
  <c r="AF304" i="15"/>
  <c r="AF387" i="15"/>
  <c r="AF448" i="15"/>
  <c r="AF509" i="15"/>
  <c r="AF628" i="15"/>
  <c r="AF451" i="15"/>
  <c r="AF303" i="15"/>
  <c r="AF374" i="15"/>
  <c r="AF425" i="15"/>
  <c r="AF533" i="15"/>
  <c r="AF632" i="15"/>
  <c r="AF595" i="15"/>
  <c r="AF391" i="15"/>
  <c r="AF482" i="15"/>
  <c r="AF393" i="15"/>
  <c r="AF701" i="15"/>
  <c r="AF686" i="15"/>
  <c r="AF675" i="15"/>
  <c r="AF845" i="15"/>
  <c r="AF830" i="15"/>
  <c r="AF584" i="15"/>
  <c r="AF602" i="15"/>
  <c r="AF100" i="15"/>
  <c r="AF120" i="15"/>
  <c r="AF733" i="15"/>
  <c r="AF761" i="15"/>
  <c r="AF767" i="15"/>
  <c r="AF526" i="15"/>
  <c r="AF521" i="15"/>
  <c r="AF822" i="15"/>
  <c r="AF814" i="15"/>
  <c r="AF113" i="15"/>
  <c r="AF96" i="15"/>
  <c r="AF129" i="15"/>
  <c r="AF341" i="15"/>
  <c r="AF153" i="15"/>
  <c r="AF226" i="15"/>
  <c r="AF264" i="15"/>
  <c r="AM754" i="15"/>
  <c r="AN754" i="15" s="1"/>
  <c r="AM271" i="15"/>
  <c r="AN271" i="15" s="1"/>
  <c r="AM371" i="15"/>
  <c r="AN371" i="15" s="1"/>
  <c r="CA9" i="15"/>
  <c r="CC9" i="15" s="1"/>
  <c r="CD9" i="15" s="1"/>
  <c r="AM9" i="15"/>
  <c r="AN9" i="15" s="1"/>
  <c r="AM219" i="15"/>
  <c r="AN219" i="15" s="1"/>
  <c r="AM145" i="15"/>
  <c r="AN145" i="15" s="1"/>
  <c r="AM668" i="15"/>
  <c r="AN668" i="15" s="1"/>
  <c r="AM514" i="15"/>
  <c r="AN514" i="15" s="1"/>
  <c r="AM688" i="15"/>
  <c r="AN688" i="15" s="1"/>
  <c r="AM190" i="15"/>
  <c r="AN190" i="15" s="1"/>
  <c r="AM714" i="15"/>
  <c r="AN714" i="15" s="1"/>
  <c r="CA34" i="15"/>
  <c r="CC34" i="15" s="1"/>
  <c r="CD34" i="15" s="1"/>
  <c r="AM34" i="15"/>
  <c r="AN34" i="15" s="1"/>
  <c r="AM251" i="15"/>
  <c r="AN251" i="15" s="1"/>
  <c r="AM472" i="15"/>
  <c r="AN472" i="15" s="1"/>
  <c r="AM168" i="15"/>
  <c r="AN168" i="15" s="1"/>
  <c r="AM325" i="15"/>
  <c r="AN325" i="15" s="1"/>
  <c r="AM491" i="15"/>
  <c r="AN491" i="15" s="1"/>
  <c r="BY352" i="15"/>
  <c r="BY763" i="15"/>
  <c r="BY441" i="15"/>
  <c r="AM529" i="15"/>
  <c r="AN529" i="15" s="1"/>
  <c r="AM776" i="15"/>
  <c r="AN776" i="15" s="1"/>
  <c r="CA65" i="15"/>
  <c r="CC65" i="15" s="1"/>
  <c r="CD65" i="15" s="1"/>
  <c r="AM65" i="15"/>
  <c r="AN65" i="15" s="1"/>
  <c r="AM430" i="15"/>
  <c r="AN430" i="15" s="1"/>
  <c r="CA611" i="15"/>
  <c r="CC611" i="15" s="1"/>
  <c r="CD611" i="15" s="1"/>
  <c r="AM611" i="15"/>
  <c r="AN611" i="15" s="1"/>
  <c r="AM407" i="15"/>
  <c r="AN407" i="15" s="1"/>
  <c r="AM455" i="15"/>
  <c r="AN455" i="15" s="1"/>
  <c r="AM232" i="15"/>
  <c r="AN232" i="15" s="1"/>
  <c r="AM548" i="15"/>
  <c r="AN548" i="15" s="1"/>
  <c r="BY79" i="15"/>
  <c r="CA125" i="15"/>
  <c r="CC125" i="15" s="1"/>
  <c r="CD125" i="15" s="1"/>
  <c r="AM125" i="15"/>
  <c r="AN125" i="15" s="1"/>
  <c r="CA42" i="15"/>
  <c r="CC42" i="15" s="1"/>
  <c r="CD42" i="15" s="1"/>
  <c r="AM42" i="15"/>
  <c r="AN42" i="15" s="1"/>
  <c r="AM828" i="15"/>
  <c r="AN828" i="15" s="1"/>
  <c r="AM578" i="15"/>
  <c r="AN578" i="15" s="1"/>
  <c r="AM732" i="15"/>
  <c r="AN732" i="15" s="1"/>
  <c r="CA98" i="15"/>
  <c r="CC98" i="15" s="1"/>
  <c r="CD98" i="15" s="1"/>
  <c r="AM98" i="15"/>
  <c r="AN98" i="15" s="1"/>
  <c r="AM300" i="15"/>
  <c r="AN300" i="15" s="1"/>
  <c r="AM796" i="15"/>
  <c r="AN796" i="15" s="1"/>
  <c r="CA83" i="15"/>
  <c r="CC83" i="15" s="1"/>
  <c r="CD83" i="15" s="1"/>
  <c r="AM83" i="15"/>
  <c r="AN83" i="15" s="1"/>
  <c r="AM641" i="15"/>
  <c r="AN641" i="15" s="1"/>
  <c r="AM621" i="15"/>
  <c r="AN621" i="15" s="1"/>
  <c r="BY741" i="15"/>
  <c r="BW514" i="15"/>
  <c r="BX514" i="15" s="1"/>
  <c r="BY336" i="15"/>
  <c r="BY586" i="15"/>
  <c r="BY328" i="15"/>
  <c r="AK8" i="15"/>
  <c r="AL8" i="15"/>
  <c r="CB8" i="15" s="1"/>
  <c r="BY108" i="15"/>
  <c r="BY596" i="15"/>
  <c r="AK471" i="15"/>
  <c r="AL471" i="15"/>
  <c r="BU514" i="15"/>
  <c r="BV514" i="15" s="1"/>
  <c r="BY600" i="15"/>
  <c r="AL713" i="15"/>
  <c r="AK713" i="15"/>
  <c r="AK270" i="15"/>
  <c r="AL270" i="15"/>
  <c r="CB270" i="15" s="1"/>
  <c r="BY114" i="15"/>
  <c r="AL577" i="15"/>
  <c r="AK577" i="15"/>
  <c r="AK144" i="15"/>
  <c r="AL144" i="15"/>
  <c r="CB144" i="15" s="1"/>
  <c r="BY40" i="15"/>
  <c r="BY110" i="15"/>
  <c r="BY396" i="15"/>
  <c r="BY122" i="15"/>
  <c r="BY332" i="15"/>
  <c r="BY505" i="15"/>
  <c r="BY608" i="15"/>
  <c r="BY625" i="15"/>
  <c r="BY297" i="15"/>
  <c r="BY106" i="15"/>
  <c r="BY81" i="15"/>
  <c r="BY342" i="15"/>
  <c r="BY293" i="15"/>
  <c r="BY755" i="15"/>
  <c r="BY346" i="15"/>
  <c r="BY774" i="15"/>
  <c r="BY73" i="15"/>
  <c r="BY726" i="15"/>
  <c r="BY765" i="15"/>
  <c r="BY338" i="15"/>
  <c r="BY326" i="15"/>
  <c r="BY592" i="15"/>
  <c r="BY598" i="15"/>
  <c r="BY360" i="15"/>
  <c r="BY281" i="15"/>
  <c r="BY364" i="15"/>
  <c r="BY433" i="15"/>
  <c r="BY582" i="15"/>
  <c r="BY368" i="15"/>
  <c r="BY100" i="15"/>
  <c r="AJ83" i="15"/>
  <c r="BY580" i="15"/>
  <c r="BP42" i="15"/>
  <c r="BQ42" i="15" s="1"/>
  <c r="BP98" i="15"/>
  <c r="BQ98" i="15" s="1"/>
  <c r="BP83" i="15"/>
  <c r="BQ83" i="15" s="1"/>
  <c r="BP9" i="15"/>
  <c r="BQ9" i="15" s="1"/>
  <c r="BP125" i="15"/>
  <c r="BQ125" i="15" s="1"/>
  <c r="BO372" i="15"/>
  <c r="BP372" i="15" s="1"/>
  <c r="BQ372" i="15" s="1"/>
  <c r="AJ371" i="15"/>
  <c r="BO689" i="15"/>
  <c r="BP689" i="15" s="1"/>
  <c r="BQ689" i="15" s="1"/>
  <c r="AJ688" i="15"/>
  <c r="BO642" i="15"/>
  <c r="BP642" i="15" s="1"/>
  <c r="BQ642" i="15" s="1"/>
  <c r="AJ641" i="15"/>
  <c r="AJ668" i="15"/>
  <c r="BO669" i="15"/>
  <c r="BP669" i="15" s="1"/>
  <c r="BQ669" i="15" s="1"/>
  <c r="AJ754" i="15"/>
  <c r="BO755" i="15"/>
  <c r="BP755" i="15" s="1"/>
  <c r="BQ755" i="15" s="1"/>
  <c r="AJ472" i="15"/>
  <c r="BO473" i="15"/>
  <c r="BP473" i="15" s="1"/>
  <c r="BQ473" i="15" s="1"/>
  <c r="BO777" i="15"/>
  <c r="BP777" i="15" s="1"/>
  <c r="BQ777" i="15" s="1"/>
  <c r="AJ776" i="15"/>
  <c r="BO549" i="15"/>
  <c r="BP549" i="15" s="1"/>
  <c r="BQ549" i="15" s="1"/>
  <c r="AJ548" i="15"/>
  <c r="BO492" i="15"/>
  <c r="BP492" i="15" s="1"/>
  <c r="BQ492" i="15" s="1"/>
  <c r="AJ491" i="15"/>
  <c r="BY602" i="15"/>
  <c r="BY340" i="15"/>
  <c r="BY404" i="15"/>
  <c r="BY633" i="15"/>
  <c r="BY780" i="15"/>
  <c r="BY497" i="15"/>
  <c r="BO233" i="15"/>
  <c r="BP233" i="15" s="1"/>
  <c r="BQ233" i="15" s="1"/>
  <c r="AJ232" i="15"/>
  <c r="AJ145" i="15"/>
  <c r="BO146" i="15"/>
  <c r="BP146" i="15" s="1"/>
  <c r="BQ146" i="15" s="1"/>
  <c r="BO715" i="15"/>
  <c r="BP715" i="15" s="1"/>
  <c r="BQ715" i="15" s="1"/>
  <c r="AJ714" i="15"/>
  <c r="AJ796" i="15"/>
  <c r="BO797" i="15"/>
  <c r="BP797" i="15" s="1"/>
  <c r="BQ797" i="15" s="1"/>
  <c r="BO612" i="15"/>
  <c r="BP612" i="15" s="1"/>
  <c r="BQ612" i="15" s="1"/>
  <c r="AJ611" i="15"/>
  <c r="AJ125" i="15"/>
  <c r="BO220" i="15"/>
  <c r="BP220" i="15" s="1"/>
  <c r="BQ220" i="15" s="1"/>
  <c r="AJ219" i="15"/>
  <c r="AJ455" i="15"/>
  <c r="BO456" i="15"/>
  <c r="BP456" i="15" s="1"/>
  <c r="BQ456" i="15" s="1"/>
  <c r="BO733" i="15"/>
  <c r="BP733" i="15" s="1"/>
  <c r="BQ733" i="15" s="1"/>
  <c r="AJ732" i="15"/>
  <c r="BO829" i="15"/>
  <c r="BP829" i="15" s="1"/>
  <c r="BQ829" i="15" s="1"/>
  <c r="AJ828" i="15"/>
  <c r="BO191" i="15"/>
  <c r="BP191" i="15" s="1"/>
  <c r="BQ191" i="15" s="1"/>
  <c r="AJ190" i="15"/>
  <c r="BO301" i="15"/>
  <c r="BP301" i="15" s="1"/>
  <c r="BQ301" i="15" s="1"/>
  <c r="AJ300" i="15"/>
  <c r="BO530" i="15"/>
  <c r="AJ529" i="15"/>
  <c r="BO67" i="15"/>
  <c r="BP67" i="15" s="1"/>
  <c r="BQ67" i="15" s="1"/>
  <c r="AJ65" i="15"/>
  <c r="BO36" i="15"/>
  <c r="BP36" i="15" s="1"/>
  <c r="BQ36" i="15" s="1"/>
  <c r="AJ34" i="15"/>
  <c r="AJ42" i="15"/>
  <c r="AJ251" i="15"/>
  <c r="BO252" i="15"/>
  <c r="BP252" i="15" s="1"/>
  <c r="BQ252" i="15" s="1"/>
  <c r="BO169" i="15"/>
  <c r="BP169" i="15" s="1"/>
  <c r="BQ169" i="15" s="1"/>
  <c r="AJ168" i="15"/>
  <c r="BO579" i="15"/>
  <c r="BP579" i="15" s="1"/>
  <c r="BQ579" i="15" s="1"/>
  <c r="AJ578" i="15"/>
  <c r="BO515" i="15"/>
  <c r="BP515" i="15" s="1"/>
  <c r="BQ515" i="15" s="1"/>
  <c r="AJ514" i="15"/>
  <c r="BO408" i="15"/>
  <c r="BP408" i="15" s="1"/>
  <c r="BQ408" i="15" s="1"/>
  <c r="AJ407" i="15"/>
  <c r="BO326" i="15"/>
  <c r="BP326" i="15" s="1"/>
  <c r="BQ326" i="15" s="1"/>
  <c r="AJ325" i="15"/>
  <c r="BO272" i="15"/>
  <c r="BP272" i="15" s="1"/>
  <c r="BQ272" i="15" s="1"/>
  <c r="AJ271" i="15"/>
  <c r="AJ9" i="15"/>
  <c r="AJ430" i="15"/>
  <c r="BO431" i="15"/>
  <c r="BP431" i="15" s="1"/>
  <c r="BQ431" i="15" s="1"/>
  <c r="BO622" i="15"/>
  <c r="BP622" i="15" s="1"/>
  <c r="BQ622" i="15" s="1"/>
  <c r="AJ621" i="15"/>
  <c r="BY588" i="15"/>
  <c r="BY692" i="15"/>
  <c r="BY38" i="15"/>
  <c r="BY295" i="15"/>
  <c r="BY751" i="15"/>
  <c r="BY594" i="15"/>
  <c r="AJ98" i="15"/>
  <c r="BY743" i="15"/>
  <c r="BY584" i="15"/>
  <c r="BY283" i="15"/>
  <c r="BY104" i="15"/>
  <c r="BY833" i="15"/>
  <c r="BY835" i="15"/>
  <c r="BY841" i="15"/>
  <c r="BY279" i="15"/>
  <c r="BY330" i="15"/>
  <c r="BY348" i="15"/>
  <c r="BY120" i="15"/>
  <c r="BY112" i="15"/>
  <c r="BY273" i="15"/>
  <c r="BY354" i="15"/>
  <c r="BY116" i="15"/>
  <c r="BY606" i="15"/>
  <c r="BY757" i="15"/>
  <c r="BY857" i="15"/>
  <c r="BY690" i="15"/>
  <c r="BY847" i="15"/>
  <c r="BY733" i="15"/>
  <c r="BY630" i="15"/>
  <c r="BY761" i="15"/>
  <c r="BY289" i="15"/>
  <c r="BY358" i="15"/>
  <c r="BY704" i="15"/>
  <c r="BY362" i="15"/>
  <c r="BY461" i="15"/>
  <c r="BY700" i="15"/>
  <c r="BY706" i="15"/>
  <c r="BY855" i="15"/>
  <c r="BY859" i="15"/>
  <c r="BY708" i="15"/>
  <c r="BY67" i="15"/>
  <c r="BY698" i="15"/>
  <c r="BY274" i="15"/>
  <c r="BY344" i="15"/>
  <c r="BY285" i="15"/>
  <c r="BY831" i="15"/>
  <c r="BY839" i="15"/>
  <c r="BY277" i="15"/>
  <c r="BY843" i="15"/>
  <c r="BY291" i="15"/>
  <c r="BY696" i="15"/>
  <c r="BY851" i="15"/>
  <c r="BW168" i="15"/>
  <c r="BX168" i="15" s="1"/>
  <c r="BU371" i="15"/>
  <c r="BV371" i="15" s="1"/>
  <c r="BW219" i="15"/>
  <c r="BX219" i="15" s="1"/>
  <c r="BU455" i="15"/>
  <c r="BV455" i="15" s="1"/>
  <c r="BU168" i="15"/>
  <c r="BV168" i="15" s="1"/>
  <c r="BW371" i="15"/>
  <c r="BX371" i="15" s="1"/>
  <c r="BU219" i="15"/>
  <c r="BV219" i="15" s="1"/>
  <c r="BW455" i="15"/>
  <c r="BX455" i="15" s="1"/>
  <c r="BU251" i="15"/>
  <c r="BV251" i="15" s="1"/>
  <c r="BY36" i="15"/>
  <c r="BU232" i="15"/>
  <c r="BV232" i="15" s="1"/>
  <c r="BU430" i="15"/>
  <c r="BV430" i="15" s="1"/>
  <c r="BU190" i="15"/>
  <c r="BV190" i="15" s="1"/>
  <c r="BU145" i="15"/>
  <c r="BV145" i="15" s="1"/>
  <c r="BU407" i="15"/>
  <c r="BV407" i="15" s="1"/>
  <c r="BW251" i="15"/>
  <c r="BX251" i="15" s="1"/>
  <c r="BW232" i="15"/>
  <c r="BX232" i="15" s="1"/>
  <c r="BW430" i="15"/>
  <c r="BX430" i="15" s="1"/>
  <c r="BW190" i="15"/>
  <c r="BX190" i="15" s="1"/>
  <c r="BW145" i="15"/>
  <c r="BX145" i="15" s="1"/>
  <c r="BW407" i="15"/>
  <c r="BX407" i="15" s="1"/>
  <c r="BW34" i="15"/>
  <c r="BX34" i="15" s="1"/>
  <c r="BU828" i="15"/>
  <c r="BV828" i="15" s="1"/>
  <c r="BW325" i="15"/>
  <c r="BX325" i="15" s="1"/>
  <c r="BW828" i="15"/>
  <c r="BX828" i="15" s="1"/>
  <c r="BU325" i="15"/>
  <c r="BV325" i="15" s="1"/>
  <c r="AD8" i="15"/>
  <c r="AH8" i="15"/>
  <c r="AI8" i="15" s="1"/>
  <c r="U6" i="15"/>
  <c r="AB6" i="15"/>
  <c r="AO6" i="15" s="1"/>
  <c r="BW125" i="15"/>
  <c r="BX125" i="15" s="1"/>
  <c r="BW42" i="15"/>
  <c r="BX42" i="15" s="1"/>
  <c r="BU42" i="15"/>
  <c r="BV42" i="15" s="1"/>
  <c r="AE34" i="15"/>
  <c r="AG34" i="15" s="1"/>
  <c r="AE125" i="15"/>
  <c r="AG125" i="15" s="1"/>
  <c r="AE65" i="15"/>
  <c r="AG65" i="15" s="1"/>
  <c r="AE9" i="15"/>
  <c r="AG9" i="15" s="1"/>
  <c r="BU65" i="15"/>
  <c r="BV65" i="15" s="1"/>
  <c r="BW65" i="15"/>
  <c r="BX65" i="15" s="1"/>
  <c r="BU83" i="15"/>
  <c r="BV83" i="15" s="1"/>
  <c r="BW98" i="15"/>
  <c r="BX98" i="15" s="1"/>
  <c r="AE42" i="15"/>
  <c r="AG42" i="15" s="1"/>
  <c r="BU34" i="15"/>
  <c r="BV34" i="15" s="1"/>
  <c r="AE83" i="15"/>
  <c r="AG83" i="15" s="1"/>
  <c r="BU125" i="15"/>
  <c r="BV125" i="15" s="1"/>
  <c r="BW83" i="15"/>
  <c r="BX83" i="15" s="1"/>
  <c r="BU98" i="15"/>
  <c r="BV98" i="15" s="1"/>
  <c r="AE98" i="15"/>
  <c r="AG98" i="15" s="1"/>
  <c r="BY128" i="15"/>
  <c r="BY140" i="15"/>
  <c r="AH270" i="15"/>
  <c r="AI270" i="15" s="1"/>
  <c r="BY126" i="15"/>
  <c r="BY569" i="15"/>
  <c r="BY553" i="15"/>
  <c r="BY746" i="15"/>
  <c r="BY728" i="15"/>
  <c r="BY532" i="15"/>
  <c r="BY506" i="15"/>
  <c r="BY475" i="15"/>
  <c r="BY488" i="15"/>
  <c r="BY650" i="15"/>
  <c r="BY729" i="15"/>
  <c r="BY812" i="15"/>
  <c r="BY744" i="15"/>
  <c r="BY718" i="15"/>
  <c r="BY752" i="15"/>
  <c r="BY810" i="15"/>
  <c r="BY824" i="15"/>
  <c r="BY792" i="15"/>
  <c r="BY819" i="15"/>
  <c r="BY747" i="15"/>
  <c r="BY770" i="15"/>
  <c r="BY495" i="15"/>
  <c r="BY661" i="15"/>
  <c r="BY693" i="15"/>
  <c r="BY794" i="15"/>
  <c r="BY830" i="15"/>
  <c r="BY826" i="15"/>
  <c r="BY555" i="15"/>
  <c r="BY571" i="15"/>
  <c r="BY631" i="15"/>
  <c r="BY518" i="15"/>
  <c r="BY502" i="15"/>
  <c r="BY613" i="15"/>
  <c r="BY721" i="15"/>
  <c r="BY844" i="15"/>
  <c r="BY685" i="15"/>
  <c r="BY527" i="15"/>
  <c r="BY549" i="15"/>
  <c r="BY550" i="15"/>
  <c r="BY566" i="15"/>
  <c r="BY750" i="15"/>
  <c r="BY800" i="15"/>
  <c r="BY814" i="15"/>
  <c r="BY255" i="15"/>
  <c r="BY263" i="15"/>
  <c r="BY499" i="15"/>
  <c r="BY545" i="15"/>
  <c r="BY537" i="15"/>
  <c r="BY544" i="15"/>
  <c r="BY587" i="15"/>
  <c r="BY603" i="15"/>
  <c r="BY476" i="15"/>
  <c r="BY492" i="15"/>
  <c r="BY635" i="15"/>
  <c r="BY510" i="15"/>
  <c r="BY593" i="15"/>
  <c r="BY725" i="15"/>
  <c r="BY676" i="15"/>
  <c r="BY842" i="15"/>
  <c r="BY740" i="15"/>
  <c r="BY850" i="15"/>
  <c r="BY534" i="15"/>
  <c r="BY663" i="15"/>
  <c r="BY498" i="15"/>
  <c r="BY764" i="15"/>
  <c r="BY632" i="15"/>
  <c r="BY486" i="15"/>
  <c r="BY660" i="15"/>
  <c r="BY572" i="15"/>
  <c r="BY745" i="15"/>
  <c r="BY677" i="15"/>
  <c r="BY845" i="15"/>
  <c r="BY767" i="15"/>
  <c r="BY559" i="15"/>
  <c r="BY717" i="15"/>
  <c r="BY694" i="15"/>
  <c r="BY722" i="15"/>
  <c r="BY818" i="15"/>
  <c r="BY264" i="15"/>
  <c r="BU9" i="15"/>
  <c r="BV9" i="15" s="1"/>
  <c r="BY135" i="15"/>
  <c r="BY742" i="15"/>
  <c r="BY552" i="15"/>
  <c r="BY568" i="15"/>
  <c r="BY522" i="15"/>
  <c r="BY786" i="15"/>
  <c r="BY806" i="15"/>
  <c r="BY637" i="15"/>
  <c r="BY257" i="15"/>
  <c r="BY265" i="15"/>
  <c r="BY503" i="15"/>
  <c r="BY539" i="15"/>
  <c r="BY509" i="15"/>
  <c r="BY507" i="15"/>
  <c r="BY623" i="15"/>
  <c r="BY646" i="15"/>
  <c r="BY715" i="15"/>
  <c r="BY508" i="15"/>
  <c r="BY654" i="15"/>
  <c r="BY737" i="15"/>
  <c r="BY659" i="15"/>
  <c r="BY711" i="15"/>
  <c r="BY727" i="15"/>
  <c r="BY772" i="15"/>
  <c r="BY760" i="15"/>
  <c r="BY674" i="15"/>
  <c r="BY811" i="15"/>
  <c r="BY856" i="15"/>
  <c r="BY802" i="15"/>
  <c r="BY852" i="15"/>
  <c r="BY809" i="15"/>
  <c r="BY807" i="15"/>
  <c r="BY601" i="15"/>
  <c r="BY619" i="15"/>
  <c r="BY858" i="15"/>
  <c r="BY834" i="15"/>
  <c r="BY813" i="15"/>
  <c r="BY481" i="15"/>
  <c r="BY820" i="15"/>
  <c r="BY628" i="15"/>
  <c r="BY500" i="15"/>
  <c r="BY644" i="15"/>
  <c r="BY790" i="15"/>
  <c r="BY829" i="15"/>
  <c r="BY787" i="15"/>
  <c r="BY799" i="15"/>
  <c r="BY649" i="15"/>
  <c r="BY496" i="15"/>
  <c r="BY563" i="15"/>
  <c r="BY612" i="15"/>
  <c r="BY138" i="15"/>
  <c r="BY634" i="15"/>
  <c r="BY489" i="15"/>
  <c r="BY832" i="15"/>
  <c r="BY626" i="15"/>
  <c r="BY616" i="15"/>
  <c r="BY474" i="15"/>
  <c r="BY655" i="15"/>
  <c r="BY652" i="15"/>
  <c r="BY664" i="15"/>
  <c r="BY735" i="15"/>
  <c r="BY683" i="15"/>
  <c r="BY783" i="15"/>
  <c r="BY854" i="15"/>
  <c r="BY134" i="15"/>
  <c r="BY564" i="15"/>
  <c r="BY590" i="15"/>
  <c r="BY546" i="15"/>
  <c r="BY530" i="15"/>
  <c r="BY483" i="15"/>
  <c r="BY691" i="15"/>
  <c r="BY574" i="15"/>
  <c r="BY622" i="15"/>
  <c r="BY837" i="15"/>
  <c r="BY846" i="15"/>
  <c r="BY860" i="15"/>
  <c r="BY808" i="15"/>
  <c r="BY256" i="15"/>
  <c r="BY137" i="15"/>
  <c r="BY557" i="15"/>
  <c r="BY504" i="15"/>
  <c r="BY618" i="15"/>
  <c r="BY525" i="15"/>
  <c r="BY562" i="15"/>
  <c r="BY624" i="15"/>
  <c r="BY540" i="15"/>
  <c r="BY533" i="15"/>
  <c r="BY581" i="15"/>
  <c r="BY597" i="15"/>
  <c r="BY480" i="15"/>
  <c r="BY583" i="15"/>
  <c r="BY599" i="15"/>
  <c r="BY720" i="15"/>
  <c r="BY682" i="15"/>
  <c r="BY739" i="15"/>
  <c r="BY766" i="15"/>
  <c r="BY803" i="15"/>
  <c r="BY789" i="15"/>
  <c r="BY736" i="15"/>
  <c r="BY684" i="15"/>
  <c r="BY680" i="15"/>
  <c r="BY817" i="15"/>
  <c r="BY673" i="15"/>
  <c r="BY853" i="15"/>
  <c r="BY523" i="15"/>
  <c r="BY526" i="15"/>
  <c r="BY759" i="15"/>
  <c r="BY710" i="15"/>
  <c r="BY738" i="15"/>
  <c r="BY129" i="15"/>
  <c r="BY254" i="15"/>
  <c r="BY262" i="15"/>
  <c r="BY543" i="15"/>
  <c r="BY617" i="15"/>
  <c r="BY515" i="15"/>
  <c r="BY638" i="15"/>
  <c r="BY642" i="15"/>
  <c r="BY781" i="15"/>
  <c r="BY675" i="15"/>
  <c r="BY756" i="15"/>
  <c r="BY666" i="15"/>
  <c r="BY524" i="15"/>
  <c r="BY561" i="15"/>
  <c r="BY777" i="15"/>
  <c r="BY556" i="15"/>
  <c r="BY573" i="15"/>
  <c r="BY565" i="15"/>
  <c r="BY512" i="15"/>
  <c r="BY558" i="15"/>
  <c r="BY657" i="15"/>
  <c r="BY822" i="15"/>
  <c r="BY779" i="15"/>
  <c r="BY707" i="15"/>
  <c r="BY484" i="15"/>
  <c r="BY585" i="15"/>
  <c r="BY609" i="15"/>
  <c r="BY643" i="15"/>
  <c r="BY805" i="15"/>
  <c r="BY825" i="15"/>
  <c r="BY821" i="15"/>
  <c r="BY636" i="15"/>
  <c r="BY485" i="15"/>
  <c r="BY647" i="15"/>
  <c r="BY519" i="15"/>
  <c r="BY575" i="15"/>
  <c r="BY709" i="15"/>
  <c r="BY669" i="15"/>
  <c r="BY815" i="15"/>
  <c r="BY130" i="15"/>
  <c r="BY551" i="15"/>
  <c r="BY567" i="15"/>
  <c r="BY521" i="15"/>
  <c r="BY734" i="15"/>
  <c r="BY253" i="15"/>
  <c r="BY133" i="15"/>
  <c r="BY252" i="15"/>
  <c r="BY260" i="15"/>
  <c r="BY268" i="15"/>
  <c r="BY127" i="15"/>
  <c r="BY141" i="15"/>
  <c r="BY487" i="15"/>
  <c r="BY560" i="15"/>
  <c r="BY554" i="15"/>
  <c r="BY570" i="15"/>
  <c r="BY798" i="15"/>
  <c r="BY142" i="15"/>
  <c r="BY132" i="15"/>
  <c r="BY261" i="15"/>
  <c r="BY697" i="15"/>
  <c r="BY493" i="15"/>
  <c r="BY778" i="15"/>
  <c r="BY531" i="15"/>
  <c r="BY501" i="15"/>
  <c r="BY542" i="15"/>
  <c r="BY639" i="15"/>
  <c r="BY589" i="15"/>
  <c r="BY605" i="15"/>
  <c r="BY699" i="15"/>
  <c r="BY627" i="15"/>
  <c r="BY494" i="15"/>
  <c r="BY591" i="15"/>
  <c r="BY607" i="15"/>
  <c r="BY665" i="15"/>
  <c r="BY695" i="15"/>
  <c r="BY762" i="15"/>
  <c r="BY670" i="15"/>
  <c r="BY678" i="15"/>
  <c r="BY848" i="15"/>
  <c r="BY748" i="15"/>
  <c r="BY840" i="15"/>
  <c r="BY793" i="15"/>
  <c r="BY838" i="15"/>
  <c r="BY703" i="15"/>
  <c r="BY672" i="15"/>
  <c r="BY816" i="15"/>
  <c r="BY804" i="15"/>
  <c r="BY836" i="15"/>
  <c r="BY479" i="15"/>
  <c r="BY516" i="15"/>
  <c r="BY478" i="15"/>
  <c r="BY681" i="15"/>
  <c r="BY861" i="15"/>
  <c r="BY791" i="15"/>
  <c r="BY823" i="15"/>
  <c r="BY724" i="15"/>
  <c r="BY849" i="15"/>
  <c r="BY730" i="15"/>
  <c r="BY702" i="15"/>
  <c r="BY785" i="15"/>
  <c r="BY136" i="15"/>
  <c r="BY258" i="15"/>
  <c r="BY266" i="15"/>
  <c r="BW9" i="15"/>
  <c r="BX9" i="15" s="1"/>
  <c r="BY131" i="15"/>
  <c r="BY773" i="15"/>
  <c r="BY473" i="15"/>
  <c r="BY536" i="15"/>
  <c r="BY648" i="15"/>
  <c r="BY782" i="15"/>
  <c r="BY477" i="15"/>
  <c r="BY662" i="15"/>
  <c r="BY482" i="15"/>
  <c r="BY614" i="15"/>
  <c r="BY656" i="15"/>
  <c r="BY701" i="15"/>
  <c r="BY651" i="15"/>
  <c r="BY686" i="15"/>
  <c r="BY671" i="15"/>
  <c r="BY679" i="15"/>
  <c r="BY719" i="15"/>
  <c r="BY788" i="15"/>
  <c r="BY758" i="15"/>
  <c r="BY259" i="15"/>
  <c r="BY267" i="15"/>
  <c r="BY520" i="15"/>
  <c r="BY705" i="15"/>
  <c r="BY511" i="15"/>
  <c r="BY538" i="15"/>
  <c r="BY535" i="15"/>
  <c r="BY579" i="15"/>
  <c r="BY595" i="15"/>
  <c r="BY615" i="15"/>
  <c r="BY517" i="15"/>
  <c r="BY768" i="15"/>
  <c r="BY716" i="15"/>
  <c r="BY541" i="15"/>
  <c r="BY653" i="15"/>
  <c r="BY645" i="15"/>
  <c r="BY658" i="15"/>
  <c r="BY723" i="15"/>
  <c r="BY797" i="15"/>
  <c r="BY801" i="15"/>
  <c r="BY784" i="15"/>
  <c r="BY139" i="15"/>
  <c r="BY403" i="15"/>
  <c r="BY457" i="15"/>
  <c r="BY76" i="15"/>
  <c r="BY96" i="15"/>
  <c r="BY215" i="15"/>
  <c r="BY163" i="15"/>
  <c r="BY160" i="15"/>
  <c r="BY183" i="15"/>
  <c r="BY214" i="15"/>
  <c r="BY233" i="15"/>
  <c r="BY91" i="15"/>
  <c r="BY165" i="15"/>
  <c r="BY157" i="15"/>
  <c r="BY166" i="15"/>
  <c r="BY421" i="15"/>
  <c r="BY375" i="15"/>
  <c r="BY431" i="15"/>
  <c r="BY448" i="15"/>
  <c r="BY443" i="15"/>
  <c r="BY315" i="15"/>
  <c r="BY410" i="15"/>
  <c r="BY426" i="15"/>
  <c r="BY121" i="15"/>
  <c r="BY206" i="15"/>
  <c r="BY290" i="15"/>
  <c r="BY357" i="15"/>
  <c r="BY191" i="15"/>
  <c r="BY236" i="15"/>
  <c r="BY244" i="15"/>
  <c r="BY111" i="15"/>
  <c r="BY367" i="15"/>
  <c r="BY184" i="15"/>
  <c r="BY169" i="15"/>
  <c r="BY185" i="15"/>
  <c r="BY211" i="15"/>
  <c r="BY296" i="15"/>
  <c r="BY347" i="15"/>
  <c r="BY302" i="15"/>
  <c r="BY466" i="15"/>
  <c r="BY227" i="15"/>
  <c r="BY372" i="15"/>
  <c r="BY435" i="15"/>
  <c r="BY314" i="15"/>
  <c r="BY385" i="15"/>
  <c r="BY319" i="15"/>
  <c r="BY390" i="15"/>
  <c r="BY74" i="15"/>
  <c r="BY109" i="15"/>
  <c r="BY193" i="15"/>
  <c r="BY209" i="15"/>
  <c r="BY226" i="15"/>
  <c r="BY107" i="15"/>
  <c r="BY155" i="15"/>
  <c r="BY204" i="15"/>
  <c r="BY220" i="15"/>
  <c r="BY313" i="15"/>
  <c r="BY392" i="15"/>
  <c r="BY447" i="15"/>
  <c r="BY308" i="15"/>
  <c r="BY323" i="15"/>
  <c r="BY399" i="15"/>
  <c r="BY422" i="15"/>
  <c r="BY173" i="15"/>
  <c r="BY288" i="15"/>
  <c r="BY355" i="15"/>
  <c r="BY170" i="15"/>
  <c r="BY186" i="15"/>
  <c r="BY238" i="15"/>
  <c r="BY246" i="15"/>
  <c r="BY329" i="15"/>
  <c r="BY361" i="15"/>
  <c r="BY229" i="15"/>
  <c r="BY337" i="15"/>
  <c r="BY87" i="15"/>
  <c r="BY181" i="15"/>
  <c r="BY180" i="15"/>
  <c r="BY197" i="15"/>
  <c r="BY298" i="15"/>
  <c r="BY349" i="15"/>
  <c r="BY419" i="15"/>
  <c r="BY439" i="15"/>
  <c r="BY456" i="15"/>
  <c r="BY411" i="15"/>
  <c r="BY398" i="15"/>
  <c r="BY381" i="15"/>
  <c r="BY311" i="15"/>
  <c r="BY394" i="15"/>
  <c r="BY416" i="15"/>
  <c r="BY444" i="15"/>
  <c r="BY446" i="15"/>
  <c r="BW548" i="15"/>
  <c r="BX548" i="15" s="1"/>
  <c r="BU548" i="15"/>
  <c r="BV548" i="15" s="1"/>
  <c r="BY395" i="15"/>
  <c r="BY467" i="15"/>
  <c r="BY459" i="15"/>
  <c r="BY78" i="15"/>
  <c r="BY72" i="15"/>
  <c r="BY230" i="15"/>
  <c r="BY152" i="15"/>
  <c r="BY192" i="15"/>
  <c r="BY245" i="15"/>
  <c r="BY400" i="15"/>
  <c r="BY305" i="15"/>
  <c r="BY384" i="15"/>
  <c r="BY312" i="15"/>
  <c r="BY171" i="15"/>
  <c r="BY205" i="15"/>
  <c r="BY276" i="15"/>
  <c r="BY327" i="15"/>
  <c r="BY359" i="15"/>
  <c r="BY335" i="15"/>
  <c r="BY90" i="15"/>
  <c r="BY402" i="15"/>
  <c r="BY445" i="15"/>
  <c r="BY425" i="15"/>
  <c r="BY412" i="15"/>
  <c r="BY428" i="15"/>
  <c r="BY80" i="15"/>
  <c r="BY93" i="15"/>
  <c r="BY147" i="15"/>
  <c r="BY210" i="15"/>
  <c r="BY237" i="15"/>
  <c r="BY247" i="15"/>
  <c r="BY194" i="15"/>
  <c r="BY378" i="15"/>
  <c r="BY450" i="15"/>
  <c r="BY437" i="15"/>
  <c r="BY68" i="15"/>
  <c r="BY201" i="15"/>
  <c r="BY278" i="15"/>
  <c r="BY123" i="15"/>
  <c r="BY199" i="15"/>
  <c r="BY94" i="15"/>
  <c r="BY322" i="15"/>
  <c r="BY223" i="15"/>
  <c r="BY317" i="15"/>
  <c r="BY417" i="15"/>
  <c r="BW300" i="15"/>
  <c r="BX300" i="15" s="1"/>
  <c r="BU300" i="15"/>
  <c r="BV300" i="15" s="1"/>
  <c r="BU529" i="15"/>
  <c r="BV529" i="15" s="1"/>
  <c r="BW529" i="15"/>
  <c r="BX529" i="15" s="1"/>
  <c r="BY469" i="15"/>
  <c r="BY463" i="15"/>
  <c r="BY465" i="15"/>
  <c r="BY287" i="15"/>
  <c r="BY350" i="15"/>
  <c r="BY432" i="15"/>
  <c r="BY334" i="15"/>
  <c r="BY88" i="15"/>
  <c r="BY151" i="15"/>
  <c r="BY175" i="15"/>
  <c r="BY198" i="15"/>
  <c r="BY222" i="15"/>
  <c r="BY119" i="15"/>
  <c r="BY239" i="15"/>
  <c r="BY149" i="15"/>
  <c r="BY148" i="15"/>
  <c r="BY202" i="15"/>
  <c r="BY449" i="15"/>
  <c r="BY150" i="15"/>
  <c r="BY224" i="15"/>
  <c r="BY321" i="15"/>
  <c r="BY405" i="15"/>
  <c r="BY304" i="15"/>
  <c r="BY320" i="15"/>
  <c r="BY383" i="15"/>
  <c r="BY452" i="15"/>
  <c r="BY418" i="15"/>
  <c r="BY241" i="15"/>
  <c r="BY176" i="15"/>
  <c r="BY275" i="15"/>
  <c r="BY341" i="15"/>
  <c r="BY207" i="15"/>
  <c r="BY248" i="15"/>
  <c r="BY95" i="15"/>
  <c r="BY177" i="15"/>
  <c r="BY195" i="15"/>
  <c r="BY280" i="15"/>
  <c r="BY331" i="15"/>
  <c r="BY363" i="15"/>
  <c r="BY373" i="15"/>
  <c r="BY309" i="15"/>
  <c r="BY388" i="15"/>
  <c r="BY464" i="15"/>
  <c r="BY306" i="15"/>
  <c r="BY427" i="15"/>
  <c r="BY415" i="15"/>
  <c r="BY318" i="15"/>
  <c r="BY374" i="15"/>
  <c r="BY460" i="15"/>
  <c r="BY401" i="15"/>
  <c r="BY70" i="15"/>
  <c r="BY84" i="15"/>
  <c r="BY225" i="15"/>
  <c r="BY196" i="15"/>
  <c r="BY153" i="15"/>
  <c r="BY200" i="15"/>
  <c r="BY216" i="15"/>
  <c r="BY99" i="15"/>
  <c r="BY89" i="15"/>
  <c r="BY213" i="15"/>
  <c r="BY158" i="15"/>
  <c r="BY413" i="15"/>
  <c r="BY146" i="15"/>
  <c r="BY316" i="15"/>
  <c r="BY387" i="15"/>
  <c r="BY451" i="15"/>
  <c r="BY307" i="15"/>
  <c r="BY414" i="15"/>
  <c r="BY436" i="15"/>
  <c r="BY438" i="15"/>
  <c r="BY159" i="15"/>
  <c r="BY272" i="15"/>
  <c r="BY339" i="15"/>
  <c r="BY178" i="15"/>
  <c r="BY234" i="15"/>
  <c r="BY242" i="15"/>
  <c r="BY345" i="15"/>
  <c r="BY217" i="15"/>
  <c r="BY353" i="15"/>
  <c r="BY86" i="15"/>
  <c r="BY92" i="15"/>
  <c r="BY172" i="15"/>
  <c r="BY188" i="15"/>
  <c r="BY282" i="15"/>
  <c r="BY333" i="15"/>
  <c r="BY365" i="15"/>
  <c r="BY377" i="15"/>
  <c r="BY458" i="15"/>
  <c r="BY162" i="15"/>
  <c r="BY379" i="15"/>
  <c r="BY423" i="15"/>
  <c r="BY389" i="15"/>
  <c r="BY382" i="15"/>
  <c r="BY397" i="15"/>
  <c r="BY468" i="15"/>
  <c r="BY408" i="15"/>
  <c r="BY424" i="15"/>
  <c r="BY440" i="15"/>
  <c r="BY366" i="15"/>
  <c r="BY113" i="15"/>
  <c r="BY105" i="15"/>
  <c r="BY174" i="15"/>
  <c r="BY212" i="15"/>
  <c r="BY179" i="15"/>
  <c r="BY208" i="15"/>
  <c r="BY453" i="15"/>
  <c r="BY434" i="15"/>
  <c r="BY386" i="15"/>
  <c r="BY393" i="15"/>
  <c r="BY101" i="15"/>
  <c r="BY187" i="15"/>
  <c r="BY240" i="15"/>
  <c r="BY292" i="15"/>
  <c r="BY343" i="15"/>
  <c r="BY103" i="15"/>
  <c r="BY221" i="15"/>
  <c r="BY284" i="15"/>
  <c r="BY351" i="15"/>
  <c r="BY203" i="15"/>
  <c r="BY85" i="15"/>
  <c r="BY154" i="15"/>
  <c r="BY303" i="15"/>
  <c r="BY409" i="15"/>
  <c r="BY391" i="15"/>
  <c r="BY420" i="15"/>
  <c r="BY161" i="15"/>
  <c r="BY243" i="15"/>
  <c r="BY156" i="15"/>
  <c r="BY164" i="15"/>
  <c r="BY228" i="15"/>
  <c r="BY376" i="15"/>
  <c r="BY462" i="15"/>
  <c r="BY117" i="15"/>
  <c r="BY235" i="15"/>
  <c r="BY369" i="15"/>
  <c r="BY294" i="15"/>
  <c r="BY115" i="15"/>
  <c r="BY182" i="15"/>
  <c r="BY286" i="15"/>
  <c r="BY301" i="15"/>
  <c r="BY442" i="15"/>
  <c r="BY310" i="15"/>
  <c r="F578" i="16"/>
  <c r="F579" i="16" s="1"/>
  <c r="G579" i="16"/>
  <c r="G580" i="16" s="1"/>
  <c r="BY17" i="15"/>
  <c r="BY25" i="15"/>
  <c r="BY39" i="15"/>
  <c r="BY18" i="15"/>
  <c r="BY44" i="15"/>
  <c r="BY62" i="15"/>
  <c r="BY19" i="15"/>
  <c r="BY48" i="15"/>
  <c r="BY32" i="15"/>
  <c r="BY45" i="15"/>
  <c r="BY61" i="15"/>
  <c r="BY30" i="15"/>
  <c r="BY29" i="15"/>
  <c r="BY59" i="15"/>
  <c r="BY56" i="15"/>
  <c r="BY52" i="15"/>
  <c r="BY20" i="15"/>
  <c r="BY46" i="15"/>
  <c r="BY31" i="15"/>
  <c r="BY60" i="15"/>
  <c r="BY49" i="15"/>
  <c r="BY47" i="15"/>
  <c r="BY63" i="15"/>
  <c r="BY58" i="15"/>
  <c r="BY10" i="15"/>
  <c r="BY21" i="15"/>
  <c r="BY54" i="15"/>
  <c r="BY12" i="15"/>
  <c r="BY11" i="15"/>
  <c r="BY50" i="15"/>
  <c r="BY16" i="15"/>
  <c r="BY37" i="15"/>
  <c r="BY22" i="15"/>
  <c r="BY24" i="15"/>
  <c r="BY15" i="15"/>
  <c r="BY53" i="15"/>
  <c r="BY14" i="15"/>
  <c r="BY13" i="15"/>
  <c r="BY51" i="15"/>
  <c r="BY27" i="15"/>
  <c r="BY23" i="15"/>
  <c r="BY26" i="15"/>
  <c r="BY28" i="15"/>
  <c r="BY57" i="15"/>
  <c r="BY55" i="15"/>
  <c r="AD144" i="15"/>
  <c r="AE144" i="15" s="1"/>
  <c r="AG144" i="15" s="1"/>
  <c r="AD270" i="15"/>
  <c r="AE270" i="15" s="1"/>
  <c r="AG270" i="15" s="1"/>
  <c r="AD471" i="15"/>
  <c r="AE471" i="15" s="1"/>
  <c r="AG471" i="15" s="1"/>
  <c r="AH144" i="15"/>
  <c r="AI144" i="15" s="1"/>
  <c r="AH577" i="15"/>
  <c r="AI577" i="15" s="1"/>
  <c r="AD577" i="15"/>
  <c r="AE577" i="15" s="1"/>
  <c r="AG577" i="15" s="1"/>
  <c r="AD713" i="15"/>
  <c r="AE713" i="15" s="1"/>
  <c r="AG713" i="15" s="1"/>
  <c r="AH713" i="15"/>
  <c r="AI713" i="15" s="1"/>
  <c r="AH471" i="15"/>
  <c r="AI471" i="15" s="1"/>
  <c r="AP270" i="15" l="1"/>
  <c r="AP471" i="15"/>
  <c r="AP713" i="15"/>
  <c r="AP577" i="15"/>
  <c r="AP144" i="15"/>
  <c r="CG6" i="15"/>
  <c r="O162" i="1" s="1"/>
  <c r="O164" i="1"/>
  <c r="CO577" i="15"/>
  <c r="CP577" i="15" s="1"/>
  <c r="CO8" i="15"/>
  <c r="CP8" i="15" s="1"/>
  <c r="CI144" i="15"/>
  <c r="CJ144" i="15" s="1"/>
  <c r="CO713" i="15"/>
  <c r="CP713" i="15" s="1"/>
  <c r="CK577" i="15"/>
  <c r="CL577" i="15" s="1"/>
  <c r="CM713" i="15"/>
  <c r="CN713" i="15" s="1"/>
  <c r="CK713" i="15"/>
  <c r="CL713" i="15" s="1"/>
  <c r="BY472" i="15"/>
  <c r="CI713" i="15"/>
  <c r="CJ713" i="15" s="1"/>
  <c r="CA713" i="15"/>
  <c r="CM8" i="15"/>
  <c r="CN8" i="15" s="1"/>
  <c r="CI8" i="15"/>
  <c r="CJ8" i="15" s="1"/>
  <c r="CM270" i="15"/>
  <c r="CN270" i="15" s="1"/>
  <c r="CO471" i="15"/>
  <c r="CP471" i="15" s="1"/>
  <c r="CI270" i="15"/>
  <c r="CJ270" i="15" s="1"/>
  <c r="CM577" i="15"/>
  <c r="CN577" i="15" s="1"/>
  <c r="CO144" i="15"/>
  <c r="CP144" i="15" s="1"/>
  <c r="CO270" i="15"/>
  <c r="CP270" i="15" s="1"/>
  <c r="CK471" i="15"/>
  <c r="CL471" i="15" s="1"/>
  <c r="CM144" i="15"/>
  <c r="CN144" i="15" s="1"/>
  <c r="CK8" i="15"/>
  <c r="CL8" i="15" s="1"/>
  <c r="CI577" i="15"/>
  <c r="CJ577" i="15" s="1"/>
  <c r="CK144" i="15"/>
  <c r="CL144" i="15" s="1"/>
  <c r="CA577" i="15"/>
  <c r="CA471" i="15"/>
  <c r="CM471" i="15"/>
  <c r="CN471" i="15" s="1"/>
  <c r="CK270" i="15"/>
  <c r="CL270" i="15" s="1"/>
  <c r="CI471" i="15"/>
  <c r="CJ471" i="15" s="1"/>
  <c r="BY548" i="15"/>
  <c r="BY754" i="15"/>
  <c r="CD642" i="15"/>
  <c r="CC641" i="15"/>
  <c r="CD641" i="15" s="1"/>
  <c r="CD622" i="15"/>
  <c r="CC621" i="15"/>
  <c r="CD621" i="15" s="1"/>
  <c r="CE713" i="15"/>
  <c r="CF713" i="15" s="1"/>
  <c r="CF714" i="15"/>
  <c r="BY514" i="15"/>
  <c r="BY641" i="15"/>
  <c r="BY621" i="15"/>
  <c r="BY529" i="15"/>
  <c r="BY714" i="15"/>
  <c r="BY491" i="15"/>
  <c r="BY688" i="15"/>
  <c r="CD191" i="15"/>
  <c r="CC190" i="15"/>
  <c r="CD190" i="15" s="1"/>
  <c r="CD146" i="15"/>
  <c r="CC145" i="15"/>
  <c r="CD145" i="15" s="1"/>
  <c r="CD372" i="15"/>
  <c r="CC371" i="15"/>
  <c r="CD371" i="15" s="1"/>
  <c r="CD777" i="15"/>
  <c r="CC776" i="15"/>
  <c r="CD776" i="15" s="1"/>
  <c r="CD233" i="15"/>
  <c r="CC232" i="15"/>
  <c r="CD232" i="15" s="1"/>
  <c r="CD549" i="15"/>
  <c r="CC548" i="15"/>
  <c r="CD548" i="15" s="1"/>
  <c r="CF232" i="15"/>
  <c r="CE144" i="15"/>
  <c r="CD755" i="15"/>
  <c r="CC754" i="15"/>
  <c r="CD754" i="15" s="1"/>
  <c r="CD689" i="15"/>
  <c r="CC688" i="15"/>
  <c r="CD688" i="15" s="1"/>
  <c r="CD669" i="15"/>
  <c r="CC668" i="15"/>
  <c r="CD668" i="15" s="1"/>
  <c r="CD715" i="15"/>
  <c r="CC714" i="15"/>
  <c r="BY776" i="15"/>
  <c r="BY828" i="15"/>
  <c r="CF472" i="15"/>
  <c r="CE471" i="15"/>
  <c r="CF471" i="15" s="1"/>
  <c r="CF578" i="15"/>
  <c r="CE577" i="15"/>
  <c r="CF577" i="15" s="1"/>
  <c r="CD169" i="15"/>
  <c r="CC168" i="15"/>
  <c r="CD168" i="15" s="1"/>
  <c r="BY271" i="15"/>
  <c r="BY796" i="15"/>
  <c r="BY732" i="15"/>
  <c r="CD220" i="15"/>
  <c r="CC219" i="15"/>
  <c r="CD219" i="15" s="1"/>
  <c r="CD301" i="15"/>
  <c r="CC300" i="15"/>
  <c r="CD300" i="15" s="1"/>
  <c r="CD272" i="15"/>
  <c r="CC271" i="15"/>
  <c r="CD271" i="15" s="1"/>
  <c r="CD492" i="15"/>
  <c r="CC491" i="15"/>
  <c r="CD491" i="15" s="1"/>
  <c r="CD326" i="15"/>
  <c r="CC325" i="15"/>
  <c r="CD325" i="15" s="1"/>
  <c r="CD515" i="15"/>
  <c r="CC514" i="15"/>
  <c r="CD514" i="15" s="1"/>
  <c r="CD456" i="15"/>
  <c r="CC455" i="15"/>
  <c r="CD455" i="15" s="1"/>
  <c r="CD530" i="15"/>
  <c r="CC529" i="15"/>
  <c r="CD529" i="15" s="1"/>
  <c r="CD733" i="15"/>
  <c r="CC732" i="15"/>
  <c r="CD732" i="15" s="1"/>
  <c r="CF271" i="15"/>
  <c r="CE270" i="15"/>
  <c r="CF270" i="15" s="1"/>
  <c r="CD431" i="15"/>
  <c r="CC430" i="15"/>
  <c r="CD430" i="15" s="1"/>
  <c r="CD579" i="15"/>
  <c r="CC578" i="15"/>
  <c r="CD797" i="15"/>
  <c r="CC796" i="15"/>
  <c r="CD796" i="15" s="1"/>
  <c r="CD473" i="15"/>
  <c r="CC472" i="15"/>
  <c r="AF732" i="15"/>
  <c r="AF455" i="15"/>
  <c r="AF641" i="15"/>
  <c r="AF219" i="15"/>
  <c r="AF371" i="15"/>
  <c r="AF578" i="15"/>
  <c r="AF168" i="15"/>
  <c r="AF796" i="15"/>
  <c r="AF300" i="15"/>
  <c r="AF776" i="15"/>
  <c r="AF754" i="15"/>
  <c r="AF688" i="15"/>
  <c r="AF621" i="15"/>
  <c r="AF190" i="15"/>
  <c r="AF828" i="15"/>
  <c r="AF514" i="15"/>
  <c r="AF251" i="15"/>
  <c r="AF271" i="15"/>
  <c r="AF407" i="15"/>
  <c r="AF98" i="15"/>
  <c r="AF34" i="15"/>
  <c r="AF65" i="15"/>
  <c r="AF491" i="15"/>
  <c r="AF145" i="15"/>
  <c r="AF529" i="15"/>
  <c r="AF548" i="15"/>
  <c r="AF668" i="15"/>
  <c r="AF430" i="15"/>
  <c r="AF472" i="15"/>
  <c r="AF611" i="15"/>
  <c r="AF714" i="15"/>
  <c r="AF232" i="15"/>
  <c r="AF325" i="15"/>
  <c r="AF83" i="15"/>
  <c r="AF42" i="15"/>
  <c r="AF9" i="15"/>
  <c r="AF125" i="15"/>
  <c r="AM577" i="15"/>
  <c r="AN577" i="15" s="1"/>
  <c r="AM713" i="15"/>
  <c r="AN713" i="15" s="1"/>
  <c r="CA144" i="15"/>
  <c r="CC144" i="15" s="1"/>
  <c r="CD144" i="15" s="1"/>
  <c r="AM144" i="15"/>
  <c r="AN144" i="15" s="1"/>
  <c r="CA270" i="15"/>
  <c r="CC270" i="15" s="1"/>
  <c r="CD270" i="15" s="1"/>
  <c r="AM270" i="15"/>
  <c r="AN270" i="15" s="1"/>
  <c r="AM471" i="15"/>
  <c r="AN471" i="15" s="1"/>
  <c r="CA8" i="15"/>
  <c r="CC8" i="15" s="1"/>
  <c r="CD8" i="15" s="1"/>
  <c r="AM8" i="15"/>
  <c r="AN8" i="15" s="1"/>
  <c r="AL6" i="15"/>
  <c r="CB6" i="15" s="1"/>
  <c r="AK6" i="15"/>
  <c r="AJ8" i="15"/>
  <c r="BP325" i="15"/>
  <c r="BQ325" i="15" s="1"/>
  <c r="BP514" i="15"/>
  <c r="BQ514" i="15" s="1"/>
  <c r="BP168" i="15"/>
  <c r="BQ168" i="15" s="1"/>
  <c r="BP611" i="15"/>
  <c r="BQ611" i="15" s="1"/>
  <c r="BP714" i="15"/>
  <c r="BQ714" i="15" s="1"/>
  <c r="BP232" i="15"/>
  <c r="BQ232" i="15" s="1"/>
  <c r="BP491" i="15"/>
  <c r="BQ491" i="15" s="1"/>
  <c r="BP776" i="15"/>
  <c r="BQ776" i="15" s="1"/>
  <c r="BP641" i="15"/>
  <c r="BQ641" i="15" s="1"/>
  <c r="BP371" i="15"/>
  <c r="BQ371" i="15" s="1"/>
  <c r="BP621" i="15"/>
  <c r="BQ621" i="15" s="1"/>
  <c r="AJ270" i="15"/>
  <c r="BP251" i="15"/>
  <c r="BQ251" i="15" s="1"/>
  <c r="BP34" i="15"/>
  <c r="BQ34" i="15" s="1"/>
  <c r="BO529" i="15"/>
  <c r="BO471" i="15" s="1"/>
  <c r="BO6" i="15" s="1"/>
  <c r="BP530" i="15"/>
  <c r="BQ530" i="15" s="1"/>
  <c r="BP190" i="15"/>
  <c r="BQ190" i="15" s="1"/>
  <c r="BP732" i="15"/>
  <c r="BQ732" i="15" s="1"/>
  <c r="BP219" i="15"/>
  <c r="BQ219" i="15" s="1"/>
  <c r="BP796" i="15"/>
  <c r="BQ796" i="15" s="1"/>
  <c r="BP145" i="15"/>
  <c r="BQ145" i="15" s="1"/>
  <c r="BP472" i="15"/>
  <c r="BQ472" i="15" s="1"/>
  <c r="BP668" i="15"/>
  <c r="BQ668" i="15" s="1"/>
  <c r="BP430" i="15"/>
  <c r="BQ430" i="15" s="1"/>
  <c r="BP271" i="15"/>
  <c r="BQ271" i="15" s="1"/>
  <c r="BP407" i="15"/>
  <c r="BQ407" i="15" s="1"/>
  <c r="BP578" i="15"/>
  <c r="BQ578" i="15" s="1"/>
  <c r="BP455" i="15"/>
  <c r="BQ455" i="15" s="1"/>
  <c r="BP548" i="15"/>
  <c r="BQ548" i="15" s="1"/>
  <c r="BP688" i="15"/>
  <c r="BQ688" i="15" s="1"/>
  <c r="BP65" i="15"/>
  <c r="BQ65" i="15" s="1"/>
  <c r="BP300" i="15"/>
  <c r="BQ300" i="15" s="1"/>
  <c r="BP828" i="15"/>
  <c r="BQ828" i="15" s="1"/>
  <c r="BP754" i="15"/>
  <c r="BQ754" i="15" s="1"/>
  <c r="AJ144" i="15"/>
  <c r="AJ471" i="15"/>
  <c r="AJ713" i="15"/>
  <c r="AJ577" i="15"/>
  <c r="BY407" i="15"/>
  <c r="BY145" i="15"/>
  <c r="BY455" i="15"/>
  <c r="BY232" i="15"/>
  <c r="BY251" i="15"/>
  <c r="BU8" i="15"/>
  <c r="BV8" i="15" s="1"/>
  <c r="BY219" i="15"/>
  <c r="BW8" i="15"/>
  <c r="BX8" i="15" s="1"/>
  <c r="BU270" i="15"/>
  <c r="BV270" i="15" s="1"/>
  <c r="BY371" i="15"/>
  <c r="BY168" i="15"/>
  <c r="BY430" i="15"/>
  <c r="BW144" i="15"/>
  <c r="BX144" i="15" s="1"/>
  <c r="BY190" i="15"/>
  <c r="BY9" i="15"/>
  <c r="BY8" i="15" s="1"/>
  <c r="BW270" i="15"/>
  <c r="BX270" i="15" s="1"/>
  <c r="BU144" i="15"/>
  <c r="BV144" i="15" s="1"/>
  <c r="BY325" i="15"/>
  <c r="AE8" i="15"/>
  <c r="BY65" i="15"/>
  <c r="BY34" i="15"/>
  <c r="AH6" i="15"/>
  <c r="BY98" i="15"/>
  <c r="BY125" i="15"/>
  <c r="AD6" i="15"/>
  <c r="BY83" i="15"/>
  <c r="BY42" i="15"/>
  <c r="BY300" i="15"/>
  <c r="W151" i="1"/>
  <c r="M151" i="1"/>
  <c r="D151" i="1"/>
  <c r="W150" i="1"/>
  <c r="N150" i="1"/>
  <c r="M150" i="1"/>
  <c r="D150" i="1"/>
  <c r="W149" i="1"/>
  <c r="M149" i="1"/>
  <c r="D149" i="1"/>
  <c r="W148" i="1"/>
  <c r="N148" i="1"/>
  <c r="M148" i="1"/>
  <c r="D148" i="1"/>
  <c r="W147" i="1"/>
  <c r="N147" i="1"/>
  <c r="M147" i="1"/>
  <c r="D147" i="1"/>
  <c r="W146" i="1"/>
  <c r="M146" i="1"/>
  <c r="D146" i="1"/>
  <c r="W145" i="1"/>
  <c r="N145" i="1"/>
  <c r="M145" i="1"/>
  <c r="D145" i="1"/>
  <c r="W144" i="1"/>
  <c r="N144" i="1"/>
  <c r="M144" i="1"/>
  <c r="D144" i="1"/>
  <c r="G37" i="3"/>
  <c r="G38" i="3"/>
  <c r="W143" i="1"/>
  <c r="M143" i="1"/>
  <c r="D143" i="1"/>
  <c r="W142" i="1"/>
  <c r="N142" i="1"/>
  <c r="M142" i="1"/>
  <c r="D142" i="1"/>
  <c r="W141" i="1"/>
  <c r="M141" i="1"/>
  <c r="D141" i="1"/>
  <c r="W140" i="1"/>
  <c r="N140" i="1"/>
  <c r="M140" i="1"/>
  <c r="D140" i="1"/>
  <c r="W139" i="1"/>
  <c r="N139" i="1"/>
  <c r="M139" i="1"/>
  <c r="D139" i="1"/>
  <c r="W138" i="1"/>
  <c r="N138" i="1"/>
  <c r="M138" i="1"/>
  <c r="D138" i="1"/>
  <c r="W111" i="1"/>
  <c r="M111" i="1"/>
  <c r="D111" i="1"/>
  <c r="W109" i="1"/>
  <c r="M109" i="1"/>
  <c r="D109" i="1"/>
  <c r="AB95" i="1"/>
  <c r="AH95" i="1" s="1"/>
  <c r="AA95" i="1"/>
  <c r="AG95" i="1" s="1"/>
  <c r="Z95" i="1"/>
  <c r="AF95" i="1" s="1"/>
  <c r="Y95" i="1"/>
  <c r="AE95" i="1" s="1"/>
  <c r="X95" i="1"/>
  <c r="AD95" i="1" s="1"/>
  <c r="W95" i="1"/>
  <c r="N95" i="1"/>
  <c r="M95" i="1"/>
  <c r="D95" i="1"/>
  <c r="W94" i="1"/>
  <c r="N94" i="1"/>
  <c r="M94" i="1"/>
  <c r="D94" i="1"/>
  <c r="W93" i="1"/>
  <c r="N93" i="1"/>
  <c r="M93" i="1"/>
  <c r="D93" i="1"/>
  <c r="AB92" i="1"/>
  <c r="AH92" i="1" s="1"/>
  <c r="AA92" i="1"/>
  <c r="AG92" i="1" s="1"/>
  <c r="Z92" i="1"/>
  <c r="AF92" i="1" s="1"/>
  <c r="Y92" i="1"/>
  <c r="AE92" i="1" s="1"/>
  <c r="X92" i="1"/>
  <c r="AD92" i="1" s="1"/>
  <c r="W92" i="1"/>
  <c r="N92" i="1"/>
  <c r="M92" i="1"/>
  <c r="D92" i="1"/>
  <c r="W91" i="1"/>
  <c r="N91" i="1"/>
  <c r="M91" i="1"/>
  <c r="D91" i="1"/>
  <c r="W17" i="1"/>
  <c r="M17" i="1"/>
  <c r="D17" i="1"/>
  <c r="W24" i="1"/>
  <c r="M24" i="1"/>
  <c r="D24" i="1"/>
  <c r="N225" i="1" l="1"/>
  <c r="AA225" i="1"/>
  <c r="AG225" i="1" s="1"/>
  <c r="X225" i="1"/>
  <c r="AB225" i="1"/>
  <c r="AH225" i="1" s="1"/>
  <c r="Y225" i="1"/>
  <c r="AE225" i="1" s="1"/>
  <c r="Z225" i="1"/>
  <c r="AF225" i="1" s="1"/>
  <c r="BP8" i="15"/>
  <c r="BQ8" i="15" s="1"/>
  <c r="Y164" i="1"/>
  <c r="AE164" i="1" s="1"/>
  <c r="Z164" i="1"/>
  <c r="AF164" i="1" s="1"/>
  <c r="X164" i="1"/>
  <c r="AB164" i="1"/>
  <c r="AH164" i="1" s="1"/>
  <c r="AA164" i="1"/>
  <c r="AG164" i="1" s="1"/>
  <c r="Z162" i="1"/>
  <c r="AF162" i="1" s="1"/>
  <c r="Y162" i="1"/>
  <c r="AE162" i="1" s="1"/>
  <c r="X162" i="1"/>
  <c r="AB162" i="1"/>
  <c r="AH162" i="1" s="1"/>
  <c r="AA162" i="1"/>
  <c r="AG162" i="1" s="1"/>
  <c r="CO6" i="15"/>
  <c r="CD714" i="15"/>
  <c r="CC713" i="15"/>
  <c r="CD713" i="15" s="1"/>
  <c r="CK6" i="15"/>
  <c r="CD472" i="15"/>
  <c r="CC471" i="15"/>
  <c r="CD471" i="15" s="1"/>
  <c r="CD578" i="15"/>
  <c r="CC577" i="15"/>
  <c r="CD577" i="15" s="1"/>
  <c r="CI6" i="15"/>
  <c r="CM6" i="15"/>
  <c r="BY577" i="15"/>
  <c r="CF144" i="15"/>
  <c r="CE6" i="15"/>
  <c r="AF713" i="15"/>
  <c r="AE6" i="15"/>
  <c r="AG8" i="15"/>
  <c r="AF8" i="15"/>
  <c r="AF270" i="15"/>
  <c r="AF577" i="15"/>
  <c r="AF471" i="15"/>
  <c r="AF144" i="15"/>
  <c r="CA6" i="15"/>
  <c r="CC6" i="15" s="1"/>
  <c r="AM6" i="15"/>
  <c r="AJ6" i="15"/>
  <c r="BP577" i="15"/>
  <c r="BQ577" i="15" s="1"/>
  <c r="BP270" i="15"/>
  <c r="BQ270" i="15" s="1"/>
  <c r="BP144" i="15"/>
  <c r="BQ144" i="15" s="1"/>
  <c r="BP713" i="15"/>
  <c r="BQ713" i="15" s="1"/>
  <c r="BP529" i="15"/>
  <c r="BQ529" i="15" s="1"/>
  <c r="BY270" i="15"/>
  <c r="BY144" i="15"/>
  <c r="BW6" i="15"/>
  <c r="BU6" i="15"/>
  <c r="O178" i="1" s="1"/>
  <c r="BY713" i="15"/>
  <c r="AI95" i="1"/>
  <c r="AC95" i="1"/>
  <c r="AI92" i="1"/>
  <c r="AC92" i="1"/>
  <c r="AB297" i="1"/>
  <c r="AH297" i="1" s="1"/>
  <c r="AA297" i="1"/>
  <c r="AG297" i="1" s="1"/>
  <c r="Z297" i="1"/>
  <c r="AF297" i="1" s="1"/>
  <c r="Y297" i="1"/>
  <c r="AE297" i="1" s="1"/>
  <c r="X297" i="1"/>
  <c r="AD297" i="1" s="1"/>
  <c r="W297" i="1"/>
  <c r="N297" i="1"/>
  <c r="M297" i="1"/>
  <c r="D297" i="1"/>
  <c r="W296" i="1"/>
  <c r="N296" i="1"/>
  <c r="M296" i="1"/>
  <c r="D296" i="1"/>
  <c r="W295" i="1"/>
  <c r="N295" i="1"/>
  <c r="M295" i="1"/>
  <c r="D295" i="1"/>
  <c r="AB294" i="1"/>
  <c r="AH294" i="1" s="1"/>
  <c r="AA294" i="1"/>
  <c r="AG294" i="1" s="1"/>
  <c r="Z294" i="1"/>
  <c r="AF294" i="1" s="1"/>
  <c r="Y294" i="1"/>
  <c r="AE294" i="1" s="1"/>
  <c r="X294" i="1"/>
  <c r="AD294" i="1" s="1"/>
  <c r="W294" i="1"/>
  <c r="N294" i="1"/>
  <c r="M294" i="1"/>
  <c r="D294" i="1"/>
  <c r="AB293" i="1"/>
  <c r="AH293" i="1" s="1"/>
  <c r="AA293" i="1"/>
  <c r="AG293" i="1" s="1"/>
  <c r="Z293" i="1"/>
  <c r="AF293" i="1" s="1"/>
  <c r="Y293" i="1"/>
  <c r="AE293" i="1" s="1"/>
  <c r="X293" i="1"/>
  <c r="AD293" i="1" s="1"/>
  <c r="W293" i="1"/>
  <c r="N293" i="1"/>
  <c r="M293" i="1"/>
  <c r="D293" i="1"/>
  <c r="AB292" i="1"/>
  <c r="AH292" i="1" s="1"/>
  <c r="AA292" i="1"/>
  <c r="AG292" i="1" s="1"/>
  <c r="Z292" i="1"/>
  <c r="AF292" i="1" s="1"/>
  <c r="Y292" i="1"/>
  <c r="X292" i="1"/>
  <c r="AD292" i="1" s="1"/>
  <c r="W292" i="1"/>
  <c r="N292" i="1"/>
  <c r="M292" i="1"/>
  <c r="D292" i="1"/>
  <c r="W291" i="1"/>
  <c r="N291" i="1"/>
  <c r="M291" i="1"/>
  <c r="D291" i="1"/>
  <c r="AB290" i="1"/>
  <c r="AH290" i="1" s="1"/>
  <c r="AA290" i="1"/>
  <c r="AG290" i="1" s="1"/>
  <c r="Z290" i="1"/>
  <c r="AF290" i="1" s="1"/>
  <c r="Y290" i="1"/>
  <c r="AE290" i="1" s="1"/>
  <c r="X290" i="1"/>
  <c r="AD290" i="1" s="1"/>
  <c r="W290" i="1"/>
  <c r="N290" i="1"/>
  <c r="M290" i="1"/>
  <c r="D290" i="1"/>
  <c r="AB289" i="1"/>
  <c r="AH289" i="1" s="1"/>
  <c r="AA289" i="1"/>
  <c r="AG289" i="1" s="1"/>
  <c r="Z289" i="1"/>
  <c r="AF289" i="1" s="1"/>
  <c r="Y289" i="1"/>
  <c r="AE289" i="1" s="1"/>
  <c r="X289" i="1"/>
  <c r="AD289" i="1" s="1"/>
  <c r="W289" i="1"/>
  <c r="N289" i="1"/>
  <c r="M289" i="1"/>
  <c r="D289" i="1"/>
  <c r="W288" i="1"/>
  <c r="N288" i="1"/>
  <c r="M288" i="1"/>
  <c r="D288" i="1"/>
  <c r="W286" i="1"/>
  <c r="N286" i="1"/>
  <c r="M286" i="1"/>
  <c r="D286" i="1"/>
  <c r="W285" i="1"/>
  <c r="N285" i="1"/>
  <c r="M285" i="1"/>
  <c r="D285" i="1"/>
  <c r="W284" i="1"/>
  <c r="N284" i="1"/>
  <c r="M284" i="1"/>
  <c r="D284" i="1"/>
  <c r="W283" i="1"/>
  <c r="N283" i="1"/>
  <c r="M283" i="1"/>
  <c r="D283" i="1"/>
  <c r="C283" i="1" s="1"/>
  <c r="W249" i="1"/>
  <c r="N249" i="1"/>
  <c r="M249" i="1"/>
  <c r="D249" i="1"/>
  <c r="W248" i="1"/>
  <c r="N248" i="1"/>
  <c r="M248" i="1"/>
  <c r="D248" i="1"/>
  <c r="W247" i="1"/>
  <c r="N247" i="1"/>
  <c r="M247" i="1"/>
  <c r="D247" i="1"/>
  <c r="W246" i="1"/>
  <c r="N246" i="1"/>
  <c r="M246" i="1"/>
  <c r="D246" i="1"/>
  <c r="C246" i="1" s="1"/>
  <c r="W245" i="1"/>
  <c r="M245" i="1"/>
  <c r="D245" i="1"/>
  <c r="W241" i="1"/>
  <c r="M241" i="1"/>
  <c r="D241" i="1"/>
  <c r="AB238" i="1"/>
  <c r="AH238" i="1" s="1"/>
  <c r="AA238" i="1"/>
  <c r="AG238" i="1" s="1"/>
  <c r="Z238" i="1"/>
  <c r="AF238" i="1" s="1"/>
  <c r="Y238" i="1"/>
  <c r="AE238" i="1" s="1"/>
  <c r="X238" i="1"/>
  <c r="AD238" i="1" s="1"/>
  <c r="W238" i="1"/>
  <c r="N238" i="1"/>
  <c r="M238" i="1"/>
  <c r="D238" i="1"/>
  <c r="W237" i="1"/>
  <c r="N237" i="1"/>
  <c r="M237" i="1"/>
  <c r="D237" i="1"/>
  <c r="W229" i="1"/>
  <c r="N229" i="1"/>
  <c r="M229" i="1"/>
  <c r="D229" i="1"/>
  <c r="W228" i="1"/>
  <c r="N228" i="1"/>
  <c r="M228" i="1"/>
  <c r="D228" i="1"/>
  <c r="W227" i="1"/>
  <c r="N227" i="1"/>
  <c r="M227" i="1"/>
  <c r="D227" i="1"/>
  <c r="W226" i="1"/>
  <c r="N226" i="1"/>
  <c r="M226" i="1"/>
  <c r="D226" i="1"/>
  <c r="X4" i="1"/>
  <c r="AD4" i="1"/>
  <c r="H7" i="13"/>
  <c r="N7" i="13" s="1"/>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65" i="3"/>
  <c r="G66" i="3"/>
  <c r="G67" i="3"/>
  <c r="G68" i="3"/>
  <c r="G70" i="3"/>
  <c r="G71" i="3"/>
  <c r="G77" i="3"/>
  <c r="G78" i="3"/>
  <c r="G79" i="3"/>
  <c r="G80" i="3"/>
  <c r="G81" i="3"/>
  <c r="G82" i="3"/>
  <c r="G83" i="3"/>
  <c r="G84" i="3"/>
  <c r="G85" i="3"/>
  <c r="G86" i="3"/>
  <c r="G92" i="3"/>
  <c r="G95" i="3"/>
  <c r="G96"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64" i="3"/>
  <c r="G63" i="3"/>
  <c r="G62" i="3"/>
  <c r="G61" i="3"/>
  <c r="AC225" i="1" l="1"/>
  <c r="AD225" i="1"/>
  <c r="AI225" i="1" s="1"/>
  <c r="AB231" i="1"/>
  <c r="AH231" i="1" s="1"/>
  <c r="X231" i="1"/>
  <c r="Y231" i="1"/>
  <c r="AE231" i="1" s="1"/>
  <c r="AA231" i="1"/>
  <c r="AG231" i="1" s="1"/>
  <c r="Z231" i="1"/>
  <c r="AF231" i="1" s="1"/>
  <c r="N231" i="1"/>
  <c r="Y277" i="1"/>
  <c r="AE277" i="1" s="1"/>
  <c r="AB277" i="1"/>
  <c r="AH277" i="1" s="1"/>
  <c r="X277" i="1"/>
  <c r="N277" i="1"/>
  <c r="AA277" i="1"/>
  <c r="AG277" i="1" s="1"/>
  <c r="Z277" i="1"/>
  <c r="AF277" i="1" s="1"/>
  <c r="AA280" i="1"/>
  <c r="AG280" i="1" s="1"/>
  <c r="AB275" i="1"/>
  <c r="AH275" i="1" s="1"/>
  <c r="X275" i="1"/>
  <c r="N280" i="1"/>
  <c r="AA275" i="1"/>
  <c r="AG275" i="1" s="1"/>
  <c r="Y280" i="1"/>
  <c r="AE280" i="1" s="1"/>
  <c r="Z275" i="1"/>
  <c r="AF275" i="1" s="1"/>
  <c r="N275" i="1"/>
  <c r="Y275" i="1"/>
  <c r="AE275" i="1" s="1"/>
  <c r="Z280" i="1"/>
  <c r="AF280" i="1" s="1"/>
  <c r="AB280" i="1"/>
  <c r="AH280" i="1" s="1"/>
  <c r="X280" i="1"/>
  <c r="N244" i="1"/>
  <c r="Z276" i="1"/>
  <c r="AF276" i="1" s="1"/>
  <c r="N276" i="1"/>
  <c r="Y276" i="1"/>
  <c r="AE276" i="1" s="1"/>
  <c r="AA276" i="1"/>
  <c r="AG276" i="1" s="1"/>
  <c r="AB276" i="1"/>
  <c r="AH276" i="1" s="1"/>
  <c r="X276" i="1"/>
  <c r="AB281" i="1"/>
  <c r="AH281" i="1" s="1"/>
  <c r="N281" i="1"/>
  <c r="Z281" i="1"/>
  <c r="AF281" i="1" s="1"/>
  <c r="AA281" i="1"/>
  <c r="AG281" i="1" s="1"/>
  <c r="X281" i="1"/>
  <c r="Y281" i="1"/>
  <c r="AE281" i="1" s="1"/>
  <c r="AA282" i="1"/>
  <c r="AG282" i="1" s="1"/>
  <c r="N282" i="1"/>
  <c r="X282" i="1"/>
  <c r="AB282" i="1"/>
  <c r="AH282" i="1" s="1"/>
  <c r="Z282" i="1"/>
  <c r="AF282" i="1" s="1"/>
  <c r="Y282" i="1"/>
  <c r="AE282" i="1" s="1"/>
  <c r="O215" i="1"/>
  <c r="O217" i="1"/>
  <c r="AC162" i="1"/>
  <c r="AD162" i="1"/>
  <c r="AI162" i="1" s="1"/>
  <c r="O199" i="1"/>
  <c r="O201" i="1"/>
  <c r="O205" i="1"/>
  <c r="O207" i="1"/>
  <c r="O220" i="1"/>
  <c r="O222" i="1"/>
  <c r="AD164" i="1"/>
  <c r="AI164" i="1" s="1"/>
  <c r="AC164" i="1"/>
  <c r="O210" i="1"/>
  <c r="O212" i="1"/>
  <c r="N173" i="1"/>
  <c r="AA173" i="1"/>
  <c r="AG173" i="1" s="1"/>
  <c r="Z173" i="1"/>
  <c r="AF173" i="1" s="1"/>
  <c r="AB173" i="1"/>
  <c r="AH173" i="1" s="1"/>
  <c r="X173" i="1"/>
  <c r="Y173" i="1"/>
  <c r="AE173" i="1" s="1"/>
  <c r="N172" i="1"/>
  <c r="N169" i="1"/>
  <c r="AB169" i="1"/>
  <c r="AH169" i="1" s="1"/>
  <c r="AB172" i="1"/>
  <c r="AH172" i="1" s="1"/>
  <c r="AA169" i="1"/>
  <c r="AG169" i="1" s="1"/>
  <c r="Y169" i="1"/>
  <c r="AE169" i="1" s="1"/>
  <c r="Y172" i="1"/>
  <c r="AE172" i="1" s="1"/>
  <c r="AA172" i="1"/>
  <c r="AG172" i="1" s="1"/>
  <c r="X169" i="1"/>
  <c r="Z172" i="1"/>
  <c r="AF172" i="1" s="1"/>
  <c r="Z169" i="1"/>
  <c r="AF169" i="1" s="1"/>
  <c r="X172" i="1"/>
  <c r="N171" i="1"/>
  <c r="N168" i="1"/>
  <c r="Z171" i="1"/>
  <c r="AF171" i="1" s="1"/>
  <c r="AB171" i="1"/>
  <c r="AH171" i="1" s="1"/>
  <c r="Y171" i="1"/>
  <c r="AE171" i="1" s="1"/>
  <c r="X171" i="1"/>
  <c r="AA171" i="1"/>
  <c r="AG171" i="1" s="1"/>
  <c r="AA168" i="1"/>
  <c r="AG168" i="1" s="1"/>
  <c r="AB168" i="1"/>
  <c r="AH168" i="1" s="1"/>
  <c r="Y168" i="1"/>
  <c r="AE168" i="1" s="1"/>
  <c r="Z168" i="1"/>
  <c r="AF168" i="1" s="1"/>
  <c r="X168" i="1"/>
  <c r="AF6" i="15"/>
  <c r="O181" i="1" s="1"/>
  <c r="O195" i="1"/>
  <c r="O193" i="1"/>
  <c r="BP471" i="15"/>
  <c r="BQ471" i="15" s="1"/>
  <c r="O179" i="1"/>
  <c r="X241" i="1"/>
  <c r="AD241" i="1" s="1"/>
  <c r="Z245" i="1"/>
  <c r="AF245" i="1" s="1"/>
  <c r="AB241" i="1"/>
  <c r="AH241" i="1" s="1"/>
  <c r="AA241" i="1"/>
  <c r="AG241" i="1" s="1"/>
  <c r="BY6" i="15"/>
  <c r="Y241" i="1"/>
  <c r="AE241" i="1" s="1"/>
  <c r="N241" i="1"/>
  <c r="Z241" i="1"/>
  <c r="AF241" i="1" s="1"/>
  <c r="Z250" i="1"/>
  <c r="AF250" i="1" s="1"/>
  <c r="N250" i="1"/>
  <c r="Y250" i="1"/>
  <c r="AE250" i="1" s="1"/>
  <c r="AB250" i="1"/>
  <c r="AH250" i="1" s="1"/>
  <c r="X250" i="1"/>
  <c r="AA250" i="1"/>
  <c r="AG250" i="1" s="1"/>
  <c r="AA245" i="1"/>
  <c r="AG245" i="1" s="1"/>
  <c r="X245" i="1"/>
  <c r="AD245" i="1" s="1"/>
  <c r="AB245" i="1"/>
  <c r="AH245" i="1" s="1"/>
  <c r="Y244" i="1"/>
  <c r="AE244" i="1" s="1"/>
  <c r="AB244" i="1"/>
  <c r="AH244" i="1" s="1"/>
  <c r="AA244" i="1"/>
  <c r="AG244" i="1" s="1"/>
  <c r="X244" i="1"/>
  <c r="Z244" i="1"/>
  <c r="AF244" i="1" s="1"/>
  <c r="Y245" i="1"/>
  <c r="AE245" i="1" s="1"/>
  <c r="AB240" i="1"/>
  <c r="AH240" i="1" s="1"/>
  <c r="X240" i="1"/>
  <c r="AA240" i="1"/>
  <c r="AG240" i="1" s="1"/>
  <c r="Z240" i="1"/>
  <c r="AF240" i="1" s="1"/>
  <c r="N240" i="1"/>
  <c r="Y240" i="1"/>
  <c r="AE240" i="1" s="1"/>
  <c r="N245" i="1"/>
  <c r="Z151" i="1"/>
  <c r="AF151" i="1" s="1"/>
  <c r="N151" i="1"/>
  <c r="AB151" i="1"/>
  <c r="AH151" i="1" s="1"/>
  <c r="AA151" i="1"/>
  <c r="AG151" i="1" s="1"/>
  <c r="Y151" i="1"/>
  <c r="AE151" i="1" s="1"/>
  <c r="X151" i="1"/>
  <c r="AA149" i="1"/>
  <c r="AG149" i="1" s="1"/>
  <c r="AB146" i="1"/>
  <c r="AH146" i="1" s="1"/>
  <c r="X146" i="1"/>
  <c r="Y149" i="1"/>
  <c r="AE149" i="1" s="1"/>
  <c r="Z146" i="1"/>
  <c r="AF146" i="1" s="1"/>
  <c r="AB149" i="1"/>
  <c r="AH149" i="1" s="1"/>
  <c r="Y146" i="1"/>
  <c r="AE146" i="1" s="1"/>
  <c r="Z149" i="1"/>
  <c r="AF149" i="1" s="1"/>
  <c r="N149" i="1"/>
  <c r="AA146" i="1"/>
  <c r="AG146" i="1" s="1"/>
  <c r="N146" i="1"/>
  <c r="X149" i="1"/>
  <c r="Y111" i="1"/>
  <c r="AE111" i="1" s="1"/>
  <c r="Z109" i="1"/>
  <c r="AF109" i="1" s="1"/>
  <c r="N109" i="1"/>
  <c r="Z24" i="1"/>
  <c r="AF24" i="1" s="1"/>
  <c r="N24" i="1"/>
  <c r="AB24" i="1"/>
  <c r="AH24" i="1" s="1"/>
  <c r="Z111" i="1"/>
  <c r="AF111" i="1" s="1"/>
  <c r="AB111" i="1"/>
  <c r="AH111" i="1" s="1"/>
  <c r="X111" i="1"/>
  <c r="Y109" i="1"/>
  <c r="AE109" i="1" s="1"/>
  <c r="Y24" i="1"/>
  <c r="AE24" i="1" s="1"/>
  <c r="AA109" i="1"/>
  <c r="AG109" i="1" s="1"/>
  <c r="AA24" i="1"/>
  <c r="AG24" i="1" s="1"/>
  <c r="AA111" i="1"/>
  <c r="AG111" i="1" s="1"/>
  <c r="AB109" i="1"/>
  <c r="AH109" i="1" s="1"/>
  <c r="X109" i="1"/>
  <c r="X24" i="1"/>
  <c r="N111" i="1"/>
  <c r="AI290" i="1"/>
  <c r="AC292" i="1"/>
  <c r="AI289" i="1"/>
  <c r="AI297" i="1"/>
  <c r="AI294" i="1"/>
  <c r="AI293" i="1"/>
  <c r="AC289" i="1"/>
  <c r="AC293" i="1"/>
  <c r="AC297" i="1"/>
  <c r="AC290" i="1"/>
  <c r="AE292" i="1"/>
  <c r="AI292" i="1" s="1"/>
  <c r="AC294" i="1"/>
  <c r="AC238" i="1"/>
  <c r="AI238" i="1"/>
  <c r="C226" i="1"/>
  <c r="I7" i="13"/>
  <c r="J7" i="13" s="1"/>
  <c r="K7" i="13" s="1"/>
  <c r="Q7" i="13" s="1"/>
  <c r="AD281" i="1" l="1"/>
  <c r="AI281" i="1" s="1"/>
  <c r="AC281" i="1"/>
  <c r="AD280" i="1"/>
  <c r="AI280" i="1" s="1"/>
  <c r="AC280" i="1"/>
  <c r="AD276" i="1"/>
  <c r="AI276" i="1" s="1"/>
  <c r="AC276" i="1"/>
  <c r="AD275" i="1"/>
  <c r="AI275" i="1" s="1"/>
  <c r="AC275" i="1"/>
  <c r="AD282" i="1"/>
  <c r="AI282" i="1" s="1"/>
  <c r="AC282" i="1"/>
  <c r="AD231" i="1"/>
  <c r="AI231" i="1" s="1"/>
  <c r="AC231" i="1"/>
  <c r="AD277" i="1"/>
  <c r="AI277" i="1" s="1"/>
  <c r="AC277" i="1"/>
  <c r="X201" i="1"/>
  <c r="Y201" i="1"/>
  <c r="AE201" i="1" s="1"/>
  <c r="Z201" i="1"/>
  <c r="AF201" i="1" s="1"/>
  <c r="AB201" i="1"/>
  <c r="AH201" i="1" s="1"/>
  <c r="AA201" i="1"/>
  <c r="AG201" i="1" s="1"/>
  <c r="AD168" i="1"/>
  <c r="AI168" i="1" s="1"/>
  <c r="AC168" i="1"/>
  <c r="AD172" i="1"/>
  <c r="AI172" i="1" s="1"/>
  <c r="AC172" i="1"/>
  <c r="AD171" i="1"/>
  <c r="AI171" i="1" s="1"/>
  <c r="AC171" i="1"/>
  <c r="AC169" i="1"/>
  <c r="AD169" i="1"/>
  <c r="AI169" i="1" s="1"/>
  <c r="AD173" i="1"/>
  <c r="AI173" i="1" s="1"/>
  <c r="AC173" i="1"/>
  <c r="BP6" i="15"/>
  <c r="O101" i="1" s="1"/>
  <c r="AI241" i="1"/>
  <c r="AC241" i="1"/>
  <c r="Y179" i="1"/>
  <c r="AE179" i="1" s="1"/>
  <c r="AB179" i="1"/>
  <c r="AH179" i="1" s="1"/>
  <c r="AA179" i="1"/>
  <c r="AG179" i="1" s="1"/>
  <c r="X179" i="1"/>
  <c r="Z179" i="1"/>
  <c r="AF179" i="1" s="1"/>
  <c r="AC245" i="1"/>
  <c r="AD250" i="1"/>
  <c r="AI250" i="1" s="1"/>
  <c r="AC250" i="1"/>
  <c r="AD240" i="1"/>
  <c r="AI240" i="1" s="1"/>
  <c r="AC240" i="1"/>
  <c r="AC244" i="1"/>
  <c r="AD244" i="1"/>
  <c r="AI244" i="1" s="1"/>
  <c r="AI245" i="1"/>
  <c r="AD146" i="1"/>
  <c r="AI146" i="1" s="1"/>
  <c r="AC146" i="1"/>
  <c r="AD149" i="1"/>
  <c r="AI149" i="1" s="1"/>
  <c r="AC149" i="1"/>
  <c r="AD151" i="1"/>
  <c r="AI151" i="1" s="1"/>
  <c r="AC151" i="1"/>
  <c r="AD109" i="1"/>
  <c r="AI109" i="1" s="1"/>
  <c r="AC109" i="1"/>
  <c r="AD24" i="1"/>
  <c r="AI24" i="1" s="1"/>
  <c r="AC24" i="1"/>
  <c r="AD111" i="1"/>
  <c r="AI111" i="1" s="1"/>
  <c r="AC111" i="1"/>
  <c r="O7" i="13"/>
  <c r="P7" i="13"/>
  <c r="L7" i="13"/>
  <c r="R6" i="11" s="1"/>
  <c r="CU6" i="15" l="1"/>
  <c r="CV6" i="15" s="1"/>
  <c r="CU11" i="15"/>
  <c r="CV11" i="15" s="1"/>
  <c r="CU15" i="15"/>
  <c r="CV15" i="15" s="1"/>
  <c r="CU19" i="15"/>
  <c r="CV19" i="15" s="1"/>
  <c r="CU23" i="15"/>
  <c r="CV23" i="15" s="1"/>
  <c r="CU27" i="15"/>
  <c r="CV27" i="15" s="1"/>
  <c r="CU31" i="15"/>
  <c r="CV31" i="15" s="1"/>
  <c r="CU35" i="15"/>
  <c r="CV35" i="15" s="1"/>
  <c r="CU39" i="15"/>
  <c r="CV39" i="15" s="1"/>
  <c r="CU43" i="15"/>
  <c r="CV43" i="15" s="1"/>
  <c r="CU47" i="15"/>
  <c r="CV47" i="15" s="1"/>
  <c r="CU51" i="15"/>
  <c r="CV51" i="15" s="1"/>
  <c r="CU55" i="15"/>
  <c r="CV55" i="15" s="1"/>
  <c r="CU59" i="15"/>
  <c r="CV59" i="15" s="1"/>
  <c r="CU63" i="15"/>
  <c r="CV63" i="15" s="1"/>
  <c r="CU67" i="15"/>
  <c r="CV67" i="15" s="1"/>
  <c r="CU71" i="15"/>
  <c r="CV71" i="15" s="1"/>
  <c r="CU75" i="15"/>
  <c r="CV75" i="15" s="1"/>
  <c r="CU79" i="15"/>
  <c r="CV79" i="15" s="1"/>
  <c r="CU83" i="15"/>
  <c r="CV83" i="15" s="1"/>
  <c r="CU8" i="15"/>
  <c r="CV8" i="15" s="1"/>
  <c r="CU12" i="15"/>
  <c r="CV12" i="15" s="1"/>
  <c r="CU16" i="15"/>
  <c r="CV16" i="15" s="1"/>
  <c r="CU20" i="15"/>
  <c r="CV20" i="15" s="1"/>
  <c r="CU24" i="15"/>
  <c r="CV24" i="15" s="1"/>
  <c r="CU28" i="15"/>
  <c r="CV28" i="15" s="1"/>
  <c r="CU32" i="15"/>
  <c r="CV32" i="15" s="1"/>
  <c r="CU36" i="15"/>
  <c r="CV36" i="15" s="1"/>
  <c r="CU40" i="15"/>
  <c r="CV40" i="15" s="1"/>
  <c r="CU44" i="15"/>
  <c r="CV44" i="15" s="1"/>
  <c r="CU48" i="15"/>
  <c r="CV48" i="15" s="1"/>
  <c r="CU52" i="15"/>
  <c r="CV52" i="15" s="1"/>
  <c r="CU56" i="15"/>
  <c r="CV56" i="15" s="1"/>
  <c r="CU60" i="15"/>
  <c r="CV60" i="15" s="1"/>
  <c r="CU64" i="15"/>
  <c r="CV64" i="15" s="1"/>
  <c r="CU68" i="15"/>
  <c r="CV68" i="15" s="1"/>
  <c r="CU72" i="15"/>
  <c r="CV72" i="15" s="1"/>
  <c r="CU76" i="15"/>
  <c r="CV76" i="15" s="1"/>
  <c r="CU80" i="15"/>
  <c r="CV80" i="15" s="1"/>
  <c r="CU84" i="15"/>
  <c r="CV84" i="15" s="1"/>
  <c r="CU9" i="15"/>
  <c r="CV9" i="15" s="1"/>
  <c r="CU13" i="15"/>
  <c r="CV13" i="15" s="1"/>
  <c r="CU17" i="15"/>
  <c r="CV17" i="15" s="1"/>
  <c r="CU21" i="15"/>
  <c r="CV21" i="15" s="1"/>
  <c r="CU25" i="15"/>
  <c r="CV25" i="15" s="1"/>
  <c r="CU29" i="15"/>
  <c r="CV29" i="15" s="1"/>
  <c r="CU33" i="15"/>
  <c r="CV33" i="15" s="1"/>
  <c r="CU37" i="15"/>
  <c r="CV37" i="15" s="1"/>
  <c r="CU41" i="15"/>
  <c r="CV41" i="15" s="1"/>
  <c r="CU45" i="15"/>
  <c r="CV45" i="15" s="1"/>
  <c r="CU49" i="15"/>
  <c r="CV49" i="15" s="1"/>
  <c r="CU53" i="15"/>
  <c r="CV53" i="15" s="1"/>
  <c r="CU57" i="15"/>
  <c r="CV57" i="15" s="1"/>
  <c r="CU61" i="15"/>
  <c r="CV61" i="15" s="1"/>
  <c r="CU65" i="15"/>
  <c r="CV65" i="15" s="1"/>
  <c r="CU69" i="15"/>
  <c r="CV69" i="15" s="1"/>
  <c r="CU73" i="15"/>
  <c r="CV73" i="15" s="1"/>
  <c r="CU77" i="15"/>
  <c r="CV77" i="15" s="1"/>
  <c r="CU81" i="15"/>
  <c r="CV81" i="15" s="1"/>
  <c r="CU85" i="15"/>
  <c r="CV85" i="15" s="1"/>
  <c r="CU18" i="15"/>
  <c r="CV18" i="15" s="1"/>
  <c r="CU34" i="15"/>
  <c r="CV34" i="15" s="1"/>
  <c r="CU50" i="15"/>
  <c r="CV50" i="15" s="1"/>
  <c r="CU66" i="15"/>
  <c r="CV66" i="15" s="1"/>
  <c r="CU82" i="15"/>
  <c r="CV82" i="15" s="1"/>
  <c r="CU89" i="15"/>
  <c r="CV89" i="15" s="1"/>
  <c r="CU93" i="15"/>
  <c r="CV93" i="15" s="1"/>
  <c r="CU97" i="15"/>
  <c r="CV97" i="15" s="1"/>
  <c r="CU101" i="15"/>
  <c r="CV101" i="15" s="1"/>
  <c r="CU105" i="15"/>
  <c r="CV105" i="15" s="1"/>
  <c r="CU109" i="15"/>
  <c r="CV109" i="15" s="1"/>
  <c r="CU113" i="15"/>
  <c r="CV113" i="15" s="1"/>
  <c r="CU117" i="15"/>
  <c r="CV117" i="15" s="1"/>
  <c r="CU121" i="15"/>
  <c r="CV121" i="15" s="1"/>
  <c r="CU125" i="15"/>
  <c r="CV125" i="15" s="1"/>
  <c r="CU129" i="15"/>
  <c r="CV129" i="15" s="1"/>
  <c r="CU133" i="15"/>
  <c r="CV133" i="15" s="1"/>
  <c r="CU137" i="15"/>
  <c r="CV137" i="15" s="1"/>
  <c r="CU141" i="15"/>
  <c r="CV141" i="15" s="1"/>
  <c r="CU145" i="15"/>
  <c r="CV145" i="15" s="1"/>
  <c r="CU149" i="15"/>
  <c r="CV149" i="15" s="1"/>
  <c r="CU153" i="15"/>
  <c r="CV153" i="15" s="1"/>
  <c r="CU157" i="15"/>
  <c r="CV157" i="15" s="1"/>
  <c r="CU161" i="15"/>
  <c r="CV161" i="15" s="1"/>
  <c r="CU165" i="15"/>
  <c r="CV165" i="15" s="1"/>
  <c r="CU169" i="15"/>
  <c r="CV169" i="15" s="1"/>
  <c r="CU173" i="15"/>
  <c r="CV173" i="15" s="1"/>
  <c r="CU177" i="15"/>
  <c r="CV177" i="15" s="1"/>
  <c r="CU181" i="15"/>
  <c r="CV181" i="15" s="1"/>
  <c r="CU185" i="15"/>
  <c r="CV185" i="15" s="1"/>
  <c r="CU189" i="15"/>
  <c r="CV189" i="15" s="1"/>
  <c r="CU193" i="15"/>
  <c r="CV193" i="15" s="1"/>
  <c r="CU197" i="15"/>
  <c r="CV197" i="15" s="1"/>
  <c r="CU201" i="15"/>
  <c r="CV201" i="15" s="1"/>
  <c r="CU205" i="15"/>
  <c r="CV205" i="15" s="1"/>
  <c r="CU209" i="15"/>
  <c r="CV209" i="15" s="1"/>
  <c r="CU213" i="15"/>
  <c r="CV213" i="15" s="1"/>
  <c r="CU217" i="15"/>
  <c r="CV217" i="15" s="1"/>
  <c r="CU221" i="15"/>
  <c r="CV221" i="15" s="1"/>
  <c r="CU225" i="15"/>
  <c r="CV225" i="15" s="1"/>
  <c r="CU229" i="15"/>
  <c r="CV229" i="15" s="1"/>
  <c r="CU233" i="15"/>
  <c r="CV233" i="15" s="1"/>
  <c r="CU237" i="15"/>
  <c r="CV237" i="15" s="1"/>
  <c r="CU241" i="15"/>
  <c r="CV241" i="15" s="1"/>
  <c r="CU245" i="15"/>
  <c r="CV245" i="15" s="1"/>
  <c r="CU249" i="15"/>
  <c r="CV249" i="15" s="1"/>
  <c r="CU253" i="15"/>
  <c r="CV253" i="15" s="1"/>
  <c r="CU257" i="15"/>
  <c r="CV257" i="15" s="1"/>
  <c r="CU261" i="15"/>
  <c r="CV261" i="15" s="1"/>
  <c r="CU265" i="15"/>
  <c r="CV265" i="15" s="1"/>
  <c r="CU269" i="15"/>
  <c r="CV269" i="15" s="1"/>
  <c r="CU273" i="15"/>
  <c r="CV273" i="15" s="1"/>
  <c r="CU277" i="15"/>
  <c r="CV277" i="15" s="1"/>
  <c r="CU281" i="15"/>
  <c r="CV281" i="15" s="1"/>
  <c r="CU285" i="15"/>
  <c r="CV285" i="15" s="1"/>
  <c r="CU289" i="15"/>
  <c r="CV289" i="15" s="1"/>
  <c r="CU293" i="15"/>
  <c r="CV293" i="15" s="1"/>
  <c r="CU297" i="15"/>
  <c r="CV297" i="15" s="1"/>
  <c r="CU301" i="15"/>
  <c r="CV301" i="15" s="1"/>
  <c r="CU305" i="15"/>
  <c r="CV305" i="15" s="1"/>
  <c r="CU309" i="15"/>
  <c r="CV309" i="15" s="1"/>
  <c r="CU313" i="15"/>
  <c r="CV313" i="15" s="1"/>
  <c r="CU317" i="15"/>
  <c r="CV317" i="15" s="1"/>
  <c r="CU321" i="15"/>
  <c r="CV321" i="15" s="1"/>
  <c r="CU325" i="15"/>
  <c r="CV325" i="15" s="1"/>
  <c r="CU329" i="15"/>
  <c r="CV329" i="15" s="1"/>
  <c r="CU333" i="15"/>
  <c r="CV333" i="15" s="1"/>
  <c r="CU337" i="15"/>
  <c r="CV337" i="15" s="1"/>
  <c r="CU341" i="15"/>
  <c r="CV341" i="15" s="1"/>
  <c r="CU345" i="15"/>
  <c r="CV345" i="15" s="1"/>
  <c r="CU349" i="15"/>
  <c r="CV349" i="15" s="1"/>
  <c r="CU353" i="15"/>
  <c r="CV353" i="15" s="1"/>
  <c r="CU357" i="15"/>
  <c r="CV357" i="15" s="1"/>
  <c r="CU361" i="15"/>
  <c r="CV361" i="15" s="1"/>
  <c r="CU365" i="15"/>
  <c r="CV365" i="15" s="1"/>
  <c r="CU369" i="15"/>
  <c r="CV369" i="15" s="1"/>
  <c r="CU373" i="15"/>
  <c r="CV373" i="15" s="1"/>
  <c r="CU377" i="15"/>
  <c r="CV377" i="15" s="1"/>
  <c r="CU381" i="15"/>
  <c r="CV381" i="15" s="1"/>
  <c r="CU385" i="15"/>
  <c r="CV385" i="15" s="1"/>
  <c r="CU389" i="15"/>
  <c r="CV389" i="15" s="1"/>
  <c r="CU393" i="15"/>
  <c r="CV393" i="15" s="1"/>
  <c r="CU397" i="15"/>
  <c r="CV397" i="15" s="1"/>
  <c r="CU401" i="15"/>
  <c r="CV401" i="15" s="1"/>
  <c r="CU405" i="15"/>
  <c r="CV405" i="15" s="1"/>
  <c r="CU409" i="15"/>
  <c r="CV409" i="15" s="1"/>
  <c r="CU413" i="15"/>
  <c r="CV413" i="15" s="1"/>
  <c r="CU417" i="15"/>
  <c r="CV417" i="15" s="1"/>
  <c r="CU421" i="15"/>
  <c r="CV421" i="15" s="1"/>
  <c r="CU425" i="15"/>
  <c r="CV425" i="15" s="1"/>
  <c r="CU429" i="15"/>
  <c r="CV429" i="15" s="1"/>
  <c r="CU433" i="15"/>
  <c r="CV433" i="15" s="1"/>
  <c r="CU437" i="15"/>
  <c r="CV437" i="15" s="1"/>
  <c r="CU441" i="15"/>
  <c r="CV441" i="15" s="1"/>
  <c r="CU445" i="15"/>
  <c r="CV445" i="15" s="1"/>
  <c r="CU449" i="15"/>
  <c r="CV449" i="15" s="1"/>
  <c r="CU453" i="15"/>
  <c r="CV453" i="15" s="1"/>
  <c r="CU457" i="15"/>
  <c r="CV457" i="15" s="1"/>
  <c r="CU461" i="15"/>
  <c r="CV461" i="15" s="1"/>
  <c r="CU465" i="15"/>
  <c r="CV465" i="15" s="1"/>
  <c r="CU469" i="15"/>
  <c r="CV469" i="15" s="1"/>
  <c r="CU473" i="15"/>
  <c r="CV473" i="15" s="1"/>
  <c r="CU477" i="15"/>
  <c r="CV477" i="15" s="1"/>
  <c r="CU481" i="15"/>
  <c r="CV481" i="15" s="1"/>
  <c r="CU485" i="15"/>
  <c r="CV485" i="15" s="1"/>
  <c r="CU489" i="15"/>
  <c r="CV489" i="15" s="1"/>
  <c r="CU493" i="15"/>
  <c r="CV493" i="15" s="1"/>
  <c r="CU497" i="15"/>
  <c r="CV497" i="15" s="1"/>
  <c r="CU501" i="15"/>
  <c r="CV501" i="15" s="1"/>
  <c r="CU505" i="15"/>
  <c r="CV505" i="15" s="1"/>
  <c r="CU509" i="15"/>
  <c r="CV509" i="15" s="1"/>
  <c r="CU513" i="15"/>
  <c r="CV513" i="15" s="1"/>
  <c r="CU517" i="15"/>
  <c r="CV517" i="15" s="1"/>
  <c r="CU521" i="15"/>
  <c r="CV521" i="15" s="1"/>
  <c r="CU525" i="15"/>
  <c r="CV525" i="15" s="1"/>
  <c r="CU529" i="15"/>
  <c r="CV529" i="15" s="1"/>
  <c r="CU533" i="15"/>
  <c r="CV533" i="15" s="1"/>
  <c r="CU537" i="15"/>
  <c r="CV537" i="15" s="1"/>
  <c r="CU541" i="15"/>
  <c r="CV541" i="15" s="1"/>
  <c r="CU545" i="15"/>
  <c r="CV545" i="15" s="1"/>
  <c r="CU549" i="15"/>
  <c r="CV549" i="15" s="1"/>
  <c r="CU553" i="15"/>
  <c r="CV553" i="15" s="1"/>
  <c r="CU557" i="15"/>
  <c r="CV557" i="15" s="1"/>
  <c r="CU561" i="15"/>
  <c r="CV561" i="15" s="1"/>
  <c r="CU565" i="15"/>
  <c r="CV565" i="15" s="1"/>
  <c r="CU569" i="15"/>
  <c r="CV569" i="15" s="1"/>
  <c r="CU573" i="15"/>
  <c r="CV573" i="15" s="1"/>
  <c r="CU577" i="15"/>
  <c r="CV577" i="15" s="1"/>
  <c r="CU581" i="15"/>
  <c r="CV581" i="15" s="1"/>
  <c r="CU585" i="15"/>
  <c r="CV585" i="15" s="1"/>
  <c r="CU589" i="15"/>
  <c r="CV589" i="15" s="1"/>
  <c r="CU593" i="15"/>
  <c r="CV593" i="15" s="1"/>
  <c r="CU597" i="15"/>
  <c r="CV597" i="15" s="1"/>
  <c r="CU601" i="15"/>
  <c r="CV601" i="15" s="1"/>
  <c r="CU605" i="15"/>
  <c r="CV605" i="15" s="1"/>
  <c r="CU609" i="15"/>
  <c r="CV609" i="15" s="1"/>
  <c r="CU613" i="15"/>
  <c r="CV613" i="15" s="1"/>
  <c r="CU617" i="15"/>
  <c r="CV617" i="15" s="1"/>
  <c r="CU621" i="15"/>
  <c r="CV621" i="15" s="1"/>
  <c r="CU625" i="15"/>
  <c r="CV625" i="15" s="1"/>
  <c r="CU629" i="15"/>
  <c r="CV629" i="15" s="1"/>
  <c r="CU633" i="15"/>
  <c r="CV633" i="15" s="1"/>
  <c r="CU637" i="15"/>
  <c r="CV637" i="15" s="1"/>
  <c r="CU641" i="15"/>
  <c r="CV641" i="15" s="1"/>
  <c r="CU645" i="15"/>
  <c r="CV645" i="15" s="1"/>
  <c r="CU649" i="15"/>
  <c r="CV649" i="15" s="1"/>
  <c r="CU653" i="15"/>
  <c r="CV653" i="15" s="1"/>
  <c r="CU657" i="15"/>
  <c r="CV657" i="15" s="1"/>
  <c r="CU661" i="15"/>
  <c r="CV661" i="15" s="1"/>
  <c r="CU665" i="15"/>
  <c r="CV665" i="15" s="1"/>
  <c r="CU669" i="15"/>
  <c r="CV669" i="15" s="1"/>
  <c r="CU673" i="15"/>
  <c r="CV673" i="15" s="1"/>
  <c r="CU677" i="15"/>
  <c r="CV677" i="15" s="1"/>
  <c r="CU681" i="15"/>
  <c r="CV681" i="15" s="1"/>
  <c r="CU685" i="15"/>
  <c r="CV685" i="15" s="1"/>
  <c r="CU689" i="15"/>
  <c r="CV689" i="15" s="1"/>
  <c r="CU693" i="15"/>
  <c r="CV693" i="15" s="1"/>
  <c r="CU697" i="15"/>
  <c r="CV697" i="15" s="1"/>
  <c r="CU701" i="15"/>
  <c r="CV701" i="15" s="1"/>
  <c r="CU705" i="15"/>
  <c r="CV705" i="15" s="1"/>
  <c r="CU709" i="15"/>
  <c r="CV709" i="15" s="1"/>
  <c r="CU713" i="15"/>
  <c r="CV713" i="15" s="1"/>
  <c r="CU717" i="15"/>
  <c r="CV717" i="15" s="1"/>
  <c r="CU721" i="15"/>
  <c r="CV721" i="15" s="1"/>
  <c r="CU725" i="15"/>
  <c r="CV725" i="15" s="1"/>
  <c r="CU729" i="15"/>
  <c r="CV729" i="15" s="1"/>
  <c r="CU733" i="15"/>
  <c r="CV733" i="15" s="1"/>
  <c r="CU737" i="15"/>
  <c r="CV737" i="15" s="1"/>
  <c r="CU741" i="15"/>
  <c r="CV741" i="15" s="1"/>
  <c r="CU745" i="15"/>
  <c r="CV745" i="15" s="1"/>
  <c r="CU749" i="15"/>
  <c r="CV749" i="15" s="1"/>
  <c r="CU753" i="15"/>
  <c r="CV753" i="15" s="1"/>
  <c r="CU757" i="15"/>
  <c r="CV757" i="15" s="1"/>
  <c r="CU761" i="15"/>
  <c r="CV761" i="15" s="1"/>
  <c r="CU765" i="15"/>
  <c r="CV765" i="15" s="1"/>
  <c r="CU769" i="15"/>
  <c r="CV769" i="15" s="1"/>
  <c r="CU773" i="15"/>
  <c r="CV773" i="15" s="1"/>
  <c r="CU777" i="15"/>
  <c r="CV777" i="15" s="1"/>
  <c r="CU781" i="15"/>
  <c r="CV781" i="15" s="1"/>
  <c r="CU785" i="15"/>
  <c r="CV785" i="15" s="1"/>
  <c r="CU789" i="15"/>
  <c r="CV789" i="15" s="1"/>
  <c r="CU793" i="15"/>
  <c r="CV793" i="15" s="1"/>
  <c r="CU797" i="15"/>
  <c r="CV797" i="15" s="1"/>
  <c r="CU801" i="15"/>
  <c r="CV801" i="15" s="1"/>
  <c r="CU805" i="15"/>
  <c r="CV805" i="15" s="1"/>
  <c r="CU809" i="15"/>
  <c r="CV809" i="15" s="1"/>
  <c r="CU813" i="15"/>
  <c r="CV813" i="15" s="1"/>
  <c r="CU817" i="15"/>
  <c r="CV817" i="15" s="1"/>
  <c r="CU821" i="15"/>
  <c r="CV821" i="15" s="1"/>
  <c r="CU825" i="15"/>
  <c r="CV825" i="15" s="1"/>
  <c r="CU829" i="15"/>
  <c r="CV829" i="15" s="1"/>
  <c r="CU833" i="15"/>
  <c r="CV833" i="15" s="1"/>
  <c r="CU837" i="15"/>
  <c r="CV837" i="15" s="1"/>
  <c r="CU841" i="15"/>
  <c r="CV841" i="15" s="1"/>
  <c r="CU845" i="15"/>
  <c r="CV845" i="15" s="1"/>
  <c r="CU849" i="15"/>
  <c r="CV849" i="15" s="1"/>
  <c r="CU853" i="15"/>
  <c r="CV853" i="15" s="1"/>
  <c r="CU857" i="15"/>
  <c r="CV857" i="15" s="1"/>
  <c r="CU861" i="15"/>
  <c r="CV861" i="15" s="1"/>
  <c r="CU14" i="15"/>
  <c r="CV14" i="15" s="1"/>
  <c r="CU92" i="15"/>
  <c r="CV92" i="15" s="1"/>
  <c r="CU112" i="15"/>
  <c r="CV112" i="15" s="1"/>
  <c r="CU124" i="15"/>
  <c r="CV124" i="15" s="1"/>
  <c r="CU136" i="15"/>
  <c r="CV136" i="15" s="1"/>
  <c r="CU148" i="15"/>
  <c r="CV148" i="15" s="1"/>
  <c r="CU160" i="15"/>
  <c r="CV160" i="15" s="1"/>
  <c r="CU176" i="15"/>
  <c r="CV176" i="15" s="1"/>
  <c r="CU192" i="15"/>
  <c r="CV192" i="15" s="1"/>
  <c r="CU204" i="15"/>
  <c r="CV204" i="15" s="1"/>
  <c r="CU216" i="15"/>
  <c r="CV216" i="15" s="1"/>
  <c r="CU228" i="15"/>
  <c r="CV228" i="15" s="1"/>
  <c r="CU244" i="15"/>
  <c r="CV244" i="15" s="1"/>
  <c r="CU260" i="15"/>
  <c r="CV260" i="15" s="1"/>
  <c r="CU272" i="15"/>
  <c r="CV272" i="15" s="1"/>
  <c r="CU292" i="15"/>
  <c r="CV292" i="15" s="1"/>
  <c r="CU304" i="15"/>
  <c r="CV304" i="15" s="1"/>
  <c r="CU316" i="15"/>
  <c r="CV316" i="15" s="1"/>
  <c r="CU328" i="15"/>
  <c r="CV328" i="15" s="1"/>
  <c r="CU340" i="15"/>
  <c r="CV340" i="15" s="1"/>
  <c r="CU352" i="15"/>
  <c r="CV352" i="15" s="1"/>
  <c r="CU364" i="15"/>
  <c r="CV364" i="15" s="1"/>
  <c r="CU384" i="15"/>
  <c r="CV384" i="15" s="1"/>
  <c r="CU396" i="15"/>
  <c r="CV396" i="15" s="1"/>
  <c r="CU408" i="15"/>
  <c r="CV408" i="15" s="1"/>
  <c r="CU420" i="15"/>
  <c r="CV420" i="15" s="1"/>
  <c r="CU432" i="15"/>
  <c r="CV432" i="15" s="1"/>
  <c r="CU448" i="15"/>
  <c r="CV448" i="15" s="1"/>
  <c r="CU464" i="15"/>
  <c r="CV464" i="15" s="1"/>
  <c r="CU476" i="15"/>
  <c r="CV476" i="15" s="1"/>
  <c r="CU488" i="15"/>
  <c r="CV488" i="15" s="1"/>
  <c r="CU500" i="15"/>
  <c r="CV500" i="15" s="1"/>
  <c r="CU512" i="15"/>
  <c r="CV512" i="15" s="1"/>
  <c r="CU516" i="15"/>
  <c r="CV516" i="15" s="1"/>
  <c r="CU528" i="15"/>
  <c r="CV528" i="15" s="1"/>
  <c r="CU540" i="15"/>
  <c r="CV540" i="15" s="1"/>
  <c r="CU552" i="15"/>
  <c r="CV552" i="15" s="1"/>
  <c r="CU572" i="15"/>
  <c r="CV572" i="15" s="1"/>
  <c r="CU592" i="15"/>
  <c r="CV592" i="15" s="1"/>
  <c r="CU612" i="15"/>
  <c r="CV612" i="15" s="1"/>
  <c r="CU624" i="15"/>
  <c r="CV624" i="15" s="1"/>
  <c r="CU644" i="15"/>
  <c r="CV644" i="15" s="1"/>
  <c r="CU660" i="15"/>
  <c r="CV660" i="15" s="1"/>
  <c r="CU676" i="15"/>
  <c r="CV676" i="15" s="1"/>
  <c r="CU696" i="15"/>
  <c r="CV696" i="15" s="1"/>
  <c r="CU716" i="15"/>
  <c r="CV716" i="15" s="1"/>
  <c r="CU736" i="15"/>
  <c r="CV736" i="15" s="1"/>
  <c r="CU756" i="15"/>
  <c r="CV756" i="15" s="1"/>
  <c r="CU776" i="15"/>
  <c r="CV776" i="15" s="1"/>
  <c r="CU796" i="15"/>
  <c r="CV796" i="15" s="1"/>
  <c r="CU808" i="15"/>
  <c r="CV808" i="15" s="1"/>
  <c r="CU828" i="15"/>
  <c r="CV828" i="15" s="1"/>
  <c r="CU848" i="15"/>
  <c r="CV848" i="15" s="1"/>
  <c r="CU860" i="15"/>
  <c r="CV860" i="15" s="1"/>
  <c r="CU22" i="15"/>
  <c r="CV22" i="15" s="1"/>
  <c r="CU38" i="15"/>
  <c r="CV38" i="15" s="1"/>
  <c r="CU54" i="15"/>
  <c r="CV54" i="15" s="1"/>
  <c r="CU70" i="15"/>
  <c r="CV70" i="15" s="1"/>
  <c r="CU86" i="15"/>
  <c r="CV86" i="15" s="1"/>
  <c r="CU90" i="15"/>
  <c r="CV90" i="15" s="1"/>
  <c r="CU94" i="15"/>
  <c r="CV94" i="15" s="1"/>
  <c r="CU98" i="15"/>
  <c r="CV98" i="15" s="1"/>
  <c r="CU102" i="15"/>
  <c r="CV102" i="15" s="1"/>
  <c r="CU106" i="15"/>
  <c r="CV106" i="15" s="1"/>
  <c r="CU110" i="15"/>
  <c r="CV110" i="15" s="1"/>
  <c r="CU114" i="15"/>
  <c r="CV114" i="15" s="1"/>
  <c r="CU118" i="15"/>
  <c r="CV118" i="15" s="1"/>
  <c r="CU122" i="15"/>
  <c r="CV122" i="15" s="1"/>
  <c r="CU126" i="15"/>
  <c r="CV126" i="15" s="1"/>
  <c r="CU130" i="15"/>
  <c r="CV130" i="15" s="1"/>
  <c r="CU134" i="15"/>
  <c r="CV134" i="15" s="1"/>
  <c r="CU138" i="15"/>
  <c r="CV138" i="15" s="1"/>
  <c r="CU142" i="15"/>
  <c r="CV142" i="15" s="1"/>
  <c r="CU146" i="15"/>
  <c r="CV146" i="15" s="1"/>
  <c r="CU150" i="15"/>
  <c r="CV150" i="15" s="1"/>
  <c r="CU154" i="15"/>
  <c r="CV154" i="15" s="1"/>
  <c r="CU158" i="15"/>
  <c r="CV158" i="15" s="1"/>
  <c r="CU162" i="15"/>
  <c r="CV162" i="15" s="1"/>
  <c r="CU166" i="15"/>
  <c r="CV166" i="15" s="1"/>
  <c r="CU170" i="15"/>
  <c r="CV170" i="15" s="1"/>
  <c r="CU174" i="15"/>
  <c r="CV174" i="15" s="1"/>
  <c r="CU178" i="15"/>
  <c r="CV178" i="15" s="1"/>
  <c r="CU182" i="15"/>
  <c r="CV182" i="15" s="1"/>
  <c r="CU186" i="15"/>
  <c r="CV186" i="15" s="1"/>
  <c r="CU190" i="15"/>
  <c r="CV190" i="15" s="1"/>
  <c r="CU194" i="15"/>
  <c r="CV194" i="15" s="1"/>
  <c r="CU198" i="15"/>
  <c r="CV198" i="15" s="1"/>
  <c r="CU202" i="15"/>
  <c r="CV202" i="15" s="1"/>
  <c r="CU206" i="15"/>
  <c r="CV206" i="15" s="1"/>
  <c r="CU210" i="15"/>
  <c r="CV210" i="15" s="1"/>
  <c r="CU214" i="15"/>
  <c r="CV214" i="15" s="1"/>
  <c r="CU218" i="15"/>
  <c r="CV218" i="15" s="1"/>
  <c r="CU222" i="15"/>
  <c r="CV222" i="15" s="1"/>
  <c r="CU226" i="15"/>
  <c r="CV226" i="15" s="1"/>
  <c r="CU230" i="15"/>
  <c r="CV230" i="15" s="1"/>
  <c r="CU234" i="15"/>
  <c r="CV234" i="15" s="1"/>
  <c r="CU238" i="15"/>
  <c r="CV238" i="15" s="1"/>
  <c r="CU242" i="15"/>
  <c r="CV242" i="15" s="1"/>
  <c r="CU246" i="15"/>
  <c r="CV246" i="15" s="1"/>
  <c r="CU250" i="15"/>
  <c r="CV250" i="15" s="1"/>
  <c r="CU254" i="15"/>
  <c r="CV254" i="15" s="1"/>
  <c r="CU258" i="15"/>
  <c r="CV258" i="15" s="1"/>
  <c r="CU262" i="15"/>
  <c r="CV262" i="15" s="1"/>
  <c r="CU266" i="15"/>
  <c r="CV266" i="15" s="1"/>
  <c r="CU270" i="15"/>
  <c r="CV270" i="15" s="1"/>
  <c r="CU274" i="15"/>
  <c r="CV274" i="15" s="1"/>
  <c r="CU278" i="15"/>
  <c r="CV278" i="15" s="1"/>
  <c r="CU282" i="15"/>
  <c r="CV282" i="15" s="1"/>
  <c r="CU286" i="15"/>
  <c r="CV286" i="15" s="1"/>
  <c r="CU290" i="15"/>
  <c r="CV290" i="15" s="1"/>
  <c r="CU294" i="15"/>
  <c r="CV294" i="15" s="1"/>
  <c r="CU298" i="15"/>
  <c r="CV298" i="15" s="1"/>
  <c r="CU302" i="15"/>
  <c r="CV302" i="15" s="1"/>
  <c r="CU306" i="15"/>
  <c r="CV306" i="15" s="1"/>
  <c r="CU310" i="15"/>
  <c r="CV310" i="15" s="1"/>
  <c r="CU314" i="15"/>
  <c r="CV314" i="15" s="1"/>
  <c r="CU318" i="15"/>
  <c r="CV318" i="15" s="1"/>
  <c r="CU322" i="15"/>
  <c r="CV322" i="15" s="1"/>
  <c r="CU326" i="15"/>
  <c r="CV326" i="15" s="1"/>
  <c r="CU330" i="15"/>
  <c r="CV330" i="15" s="1"/>
  <c r="CU334" i="15"/>
  <c r="CV334" i="15" s="1"/>
  <c r="CU338" i="15"/>
  <c r="CV338" i="15" s="1"/>
  <c r="CU342" i="15"/>
  <c r="CV342" i="15" s="1"/>
  <c r="CU346" i="15"/>
  <c r="CV346" i="15" s="1"/>
  <c r="CU350" i="15"/>
  <c r="CV350" i="15" s="1"/>
  <c r="CU354" i="15"/>
  <c r="CV354" i="15" s="1"/>
  <c r="CU358" i="15"/>
  <c r="CV358" i="15" s="1"/>
  <c r="CU362" i="15"/>
  <c r="CV362" i="15" s="1"/>
  <c r="CU366" i="15"/>
  <c r="CV366" i="15" s="1"/>
  <c r="CU370" i="15"/>
  <c r="CV370" i="15" s="1"/>
  <c r="CU374" i="15"/>
  <c r="CV374" i="15" s="1"/>
  <c r="CU378" i="15"/>
  <c r="CV378" i="15" s="1"/>
  <c r="CU382" i="15"/>
  <c r="CV382" i="15" s="1"/>
  <c r="CU386" i="15"/>
  <c r="CV386" i="15" s="1"/>
  <c r="CU390" i="15"/>
  <c r="CV390" i="15" s="1"/>
  <c r="CU394" i="15"/>
  <c r="CV394" i="15" s="1"/>
  <c r="CU398" i="15"/>
  <c r="CV398" i="15" s="1"/>
  <c r="CU402" i="15"/>
  <c r="CV402" i="15" s="1"/>
  <c r="CU406" i="15"/>
  <c r="CV406" i="15" s="1"/>
  <c r="CU410" i="15"/>
  <c r="CV410" i="15" s="1"/>
  <c r="CU414" i="15"/>
  <c r="CV414" i="15" s="1"/>
  <c r="CU418" i="15"/>
  <c r="CV418" i="15" s="1"/>
  <c r="CU422" i="15"/>
  <c r="CV422" i="15" s="1"/>
  <c r="CU426" i="15"/>
  <c r="CV426" i="15" s="1"/>
  <c r="CU430" i="15"/>
  <c r="CV430" i="15" s="1"/>
  <c r="CU434" i="15"/>
  <c r="CV434" i="15" s="1"/>
  <c r="CU438" i="15"/>
  <c r="CV438" i="15" s="1"/>
  <c r="CU442" i="15"/>
  <c r="CV442" i="15" s="1"/>
  <c r="CU446" i="15"/>
  <c r="CV446" i="15" s="1"/>
  <c r="CU450" i="15"/>
  <c r="CV450" i="15" s="1"/>
  <c r="CU454" i="15"/>
  <c r="CV454" i="15" s="1"/>
  <c r="CU458" i="15"/>
  <c r="CV458" i="15" s="1"/>
  <c r="CU462" i="15"/>
  <c r="CV462" i="15" s="1"/>
  <c r="CU466" i="15"/>
  <c r="CV466" i="15" s="1"/>
  <c r="CU470" i="15"/>
  <c r="CV470" i="15" s="1"/>
  <c r="CU474" i="15"/>
  <c r="CV474" i="15" s="1"/>
  <c r="CU478" i="15"/>
  <c r="CV478" i="15" s="1"/>
  <c r="CU482" i="15"/>
  <c r="CV482" i="15" s="1"/>
  <c r="CU486" i="15"/>
  <c r="CV486" i="15" s="1"/>
  <c r="CU490" i="15"/>
  <c r="CV490" i="15" s="1"/>
  <c r="CU494" i="15"/>
  <c r="CV494" i="15" s="1"/>
  <c r="CU498" i="15"/>
  <c r="CV498" i="15" s="1"/>
  <c r="CU502" i="15"/>
  <c r="CV502" i="15" s="1"/>
  <c r="CU506" i="15"/>
  <c r="CV506" i="15" s="1"/>
  <c r="CU510" i="15"/>
  <c r="CV510" i="15" s="1"/>
  <c r="CU514" i="15"/>
  <c r="CV514" i="15" s="1"/>
  <c r="CU518" i="15"/>
  <c r="CV518" i="15" s="1"/>
  <c r="CU522" i="15"/>
  <c r="CV522" i="15" s="1"/>
  <c r="CU526" i="15"/>
  <c r="CV526" i="15" s="1"/>
  <c r="CU530" i="15"/>
  <c r="CV530" i="15" s="1"/>
  <c r="CU534" i="15"/>
  <c r="CV534" i="15" s="1"/>
  <c r="CU538" i="15"/>
  <c r="CV538" i="15" s="1"/>
  <c r="CU542" i="15"/>
  <c r="CV542" i="15" s="1"/>
  <c r="CU546" i="15"/>
  <c r="CV546" i="15" s="1"/>
  <c r="CU550" i="15"/>
  <c r="CV550" i="15" s="1"/>
  <c r="CU554" i="15"/>
  <c r="CV554" i="15" s="1"/>
  <c r="CU558" i="15"/>
  <c r="CV558" i="15" s="1"/>
  <c r="CU562" i="15"/>
  <c r="CV562" i="15" s="1"/>
  <c r="CU566" i="15"/>
  <c r="CV566" i="15" s="1"/>
  <c r="CU570" i="15"/>
  <c r="CV570" i="15" s="1"/>
  <c r="CU574" i="15"/>
  <c r="CV574" i="15" s="1"/>
  <c r="CU578" i="15"/>
  <c r="CV578" i="15" s="1"/>
  <c r="CU582" i="15"/>
  <c r="CV582" i="15" s="1"/>
  <c r="CU586" i="15"/>
  <c r="CV586" i="15" s="1"/>
  <c r="CU590" i="15"/>
  <c r="CV590" i="15" s="1"/>
  <c r="CU594" i="15"/>
  <c r="CV594" i="15" s="1"/>
  <c r="CU598" i="15"/>
  <c r="CV598" i="15" s="1"/>
  <c r="CU602" i="15"/>
  <c r="CV602" i="15" s="1"/>
  <c r="CU606" i="15"/>
  <c r="CV606" i="15" s="1"/>
  <c r="CU610" i="15"/>
  <c r="CV610" i="15" s="1"/>
  <c r="CU614" i="15"/>
  <c r="CV614" i="15" s="1"/>
  <c r="CU618" i="15"/>
  <c r="CV618" i="15" s="1"/>
  <c r="CU622" i="15"/>
  <c r="CV622" i="15" s="1"/>
  <c r="CU626" i="15"/>
  <c r="CV626" i="15" s="1"/>
  <c r="CU630" i="15"/>
  <c r="CV630" i="15" s="1"/>
  <c r="CU634" i="15"/>
  <c r="CV634" i="15" s="1"/>
  <c r="CU638" i="15"/>
  <c r="CV638" i="15" s="1"/>
  <c r="CU642" i="15"/>
  <c r="CV642" i="15" s="1"/>
  <c r="CU646" i="15"/>
  <c r="CV646" i="15" s="1"/>
  <c r="CU650" i="15"/>
  <c r="CV650" i="15" s="1"/>
  <c r="CU654" i="15"/>
  <c r="CV654" i="15" s="1"/>
  <c r="CU658" i="15"/>
  <c r="CV658" i="15" s="1"/>
  <c r="CU662" i="15"/>
  <c r="CV662" i="15" s="1"/>
  <c r="CU666" i="15"/>
  <c r="CV666" i="15" s="1"/>
  <c r="CU670" i="15"/>
  <c r="CV670" i="15" s="1"/>
  <c r="CU674" i="15"/>
  <c r="CV674" i="15" s="1"/>
  <c r="CU678" i="15"/>
  <c r="CV678" i="15" s="1"/>
  <c r="CU682" i="15"/>
  <c r="CV682" i="15" s="1"/>
  <c r="CU686" i="15"/>
  <c r="CV686" i="15" s="1"/>
  <c r="CU690" i="15"/>
  <c r="CV690" i="15" s="1"/>
  <c r="CU694" i="15"/>
  <c r="CV694" i="15" s="1"/>
  <c r="CU698" i="15"/>
  <c r="CV698" i="15" s="1"/>
  <c r="CU702" i="15"/>
  <c r="CV702" i="15" s="1"/>
  <c r="CU706" i="15"/>
  <c r="CV706" i="15" s="1"/>
  <c r="CU710" i="15"/>
  <c r="CV710" i="15" s="1"/>
  <c r="CU714" i="15"/>
  <c r="CV714" i="15" s="1"/>
  <c r="CU718" i="15"/>
  <c r="CV718" i="15" s="1"/>
  <c r="CU722" i="15"/>
  <c r="CV722" i="15" s="1"/>
  <c r="CU726" i="15"/>
  <c r="CV726" i="15" s="1"/>
  <c r="CU730" i="15"/>
  <c r="CV730" i="15" s="1"/>
  <c r="CU734" i="15"/>
  <c r="CV734" i="15" s="1"/>
  <c r="CU738" i="15"/>
  <c r="CV738" i="15" s="1"/>
  <c r="CU742" i="15"/>
  <c r="CV742" i="15" s="1"/>
  <c r="CU746" i="15"/>
  <c r="CV746" i="15" s="1"/>
  <c r="CU750" i="15"/>
  <c r="CV750" i="15" s="1"/>
  <c r="CU754" i="15"/>
  <c r="CV754" i="15" s="1"/>
  <c r="CU758" i="15"/>
  <c r="CV758" i="15" s="1"/>
  <c r="CU762" i="15"/>
  <c r="CV762" i="15" s="1"/>
  <c r="CU766" i="15"/>
  <c r="CV766" i="15" s="1"/>
  <c r="CU770" i="15"/>
  <c r="CV770" i="15" s="1"/>
  <c r="CU774" i="15"/>
  <c r="CV774" i="15" s="1"/>
  <c r="CU778" i="15"/>
  <c r="CV778" i="15" s="1"/>
  <c r="CU782" i="15"/>
  <c r="CV782" i="15" s="1"/>
  <c r="CU786" i="15"/>
  <c r="CV786" i="15" s="1"/>
  <c r="CU790" i="15"/>
  <c r="CV790" i="15" s="1"/>
  <c r="CU794" i="15"/>
  <c r="CV794" i="15" s="1"/>
  <c r="CU798" i="15"/>
  <c r="CV798" i="15" s="1"/>
  <c r="CU802" i="15"/>
  <c r="CV802" i="15" s="1"/>
  <c r="CU806" i="15"/>
  <c r="CV806" i="15" s="1"/>
  <c r="CU810" i="15"/>
  <c r="CV810" i="15" s="1"/>
  <c r="CU814" i="15"/>
  <c r="CV814" i="15" s="1"/>
  <c r="CU818" i="15"/>
  <c r="CV818" i="15" s="1"/>
  <c r="CU822" i="15"/>
  <c r="CV822" i="15" s="1"/>
  <c r="CU826" i="15"/>
  <c r="CV826" i="15" s="1"/>
  <c r="CU830" i="15"/>
  <c r="CV830" i="15" s="1"/>
  <c r="CU834" i="15"/>
  <c r="CV834" i="15" s="1"/>
  <c r="CU838" i="15"/>
  <c r="CV838" i="15" s="1"/>
  <c r="CU842" i="15"/>
  <c r="CV842" i="15" s="1"/>
  <c r="CU846" i="15"/>
  <c r="CV846" i="15" s="1"/>
  <c r="CU850" i="15"/>
  <c r="CV850" i="15" s="1"/>
  <c r="CU854" i="15"/>
  <c r="CV854" i="15" s="1"/>
  <c r="CU858" i="15"/>
  <c r="CV858" i="15" s="1"/>
  <c r="CU46" i="15"/>
  <c r="CV46" i="15" s="1"/>
  <c r="CU78" i="15"/>
  <c r="CV78" i="15" s="1"/>
  <c r="CU96" i="15"/>
  <c r="CV96" i="15" s="1"/>
  <c r="CU104" i="15"/>
  <c r="CV104" i="15" s="1"/>
  <c r="CU116" i="15"/>
  <c r="CV116" i="15" s="1"/>
  <c r="CU128" i="15"/>
  <c r="CV128" i="15" s="1"/>
  <c r="CU140" i="15"/>
  <c r="CV140" i="15" s="1"/>
  <c r="CU152" i="15"/>
  <c r="CV152" i="15" s="1"/>
  <c r="CU168" i="15"/>
  <c r="CV168" i="15" s="1"/>
  <c r="CU180" i="15"/>
  <c r="CV180" i="15" s="1"/>
  <c r="CU188" i="15"/>
  <c r="CV188" i="15" s="1"/>
  <c r="CU200" i="15"/>
  <c r="CV200" i="15" s="1"/>
  <c r="CU212" i="15"/>
  <c r="CV212" i="15" s="1"/>
  <c r="CU224" i="15"/>
  <c r="CV224" i="15" s="1"/>
  <c r="CU236" i="15"/>
  <c r="CV236" i="15" s="1"/>
  <c r="CU248" i="15"/>
  <c r="CV248" i="15" s="1"/>
  <c r="CU256" i="15"/>
  <c r="CV256" i="15" s="1"/>
  <c r="CU268" i="15"/>
  <c r="CV268" i="15" s="1"/>
  <c r="CU280" i="15"/>
  <c r="CV280" i="15" s="1"/>
  <c r="CU288" i="15"/>
  <c r="CV288" i="15" s="1"/>
  <c r="CU300" i="15"/>
  <c r="CV300" i="15" s="1"/>
  <c r="CU312" i="15"/>
  <c r="CV312" i="15" s="1"/>
  <c r="CU324" i="15"/>
  <c r="CV324" i="15" s="1"/>
  <c r="CU336" i="15"/>
  <c r="CV336" i="15" s="1"/>
  <c r="CU348" i="15"/>
  <c r="CV348" i="15" s="1"/>
  <c r="CU360" i="15"/>
  <c r="CV360" i="15" s="1"/>
  <c r="CU372" i="15"/>
  <c r="CV372" i="15" s="1"/>
  <c r="CU380" i="15"/>
  <c r="CV380" i="15" s="1"/>
  <c r="CU392" i="15"/>
  <c r="CV392" i="15" s="1"/>
  <c r="CU404" i="15"/>
  <c r="CV404" i="15" s="1"/>
  <c r="CU416" i="15"/>
  <c r="CV416" i="15" s="1"/>
  <c r="CU428" i="15"/>
  <c r="CV428" i="15" s="1"/>
  <c r="CU440" i="15"/>
  <c r="CV440" i="15" s="1"/>
  <c r="CU452" i="15"/>
  <c r="CV452" i="15" s="1"/>
  <c r="CU460" i="15"/>
  <c r="CV460" i="15" s="1"/>
  <c r="CU472" i="15"/>
  <c r="CV472" i="15" s="1"/>
  <c r="CU484" i="15"/>
  <c r="CV484" i="15" s="1"/>
  <c r="CU496" i="15"/>
  <c r="CV496" i="15" s="1"/>
  <c r="CU504" i="15"/>
  <c r="CV504" i="15" s="1"/>
  <c r="CU520" i="15"/>
  <c r="CV520" i="15" s="1"/>
  <c r="CU532" i="15"/>
  <c r="CV532" i="15" s="1"/>
  <c r="CU544" i="15"/>
  <c r="CV544" i="15" s="1"/>
  <c r="CU560" i="15"/>
  <c r="CV560" i="15" s="1"/>
  <c r="CU564" i="15"/>
  <c r="CV564" i="15" s="1"/>
  <c r="CU576" i="15"/>
  <c r="CV576" i="15" s="1"/>
  <c r="CU584" i="15"/>
  <c r="CV584" i="15" s="1"/>
  <c r="CU596" i="15"/>
  <c r="CV596" i="15" s="1"/>
  <c r="CU604" i="15"/>
  <c r="CV604" i="15" s="1"/>
  <c r="CU616" i="15"/>
  <c r="CV616" i="15" s="1"/>
  <c r="CU628" i="15"/>
  <c r="CV628" i="15" s="1"/>
  <c r="CU636" i="15"/>
  <c r="CV636" i="15" s="1"/>
  <c r="CU648" i="15"/>
  <c r="CV648" i="15" s="1"/>
  <c r="CU656" i="15"/>
  <c r="CV656" i="15" s="1"/>
  <c r="CU668" i="15"/>
  <c r="CV668" i="15" s="1"/>
  <c r="CU680" i="15"/>
  <c r="CV680" i="15" s="1"/>
  <c r="CU688" i="15"/>
  <c r="CV688" i="15" s="1"/>
  <c r="CU700" i="15"/>
  <c r="CV700" i="15" s="1"/>
  <c r="CU708" i="15"/>
  <c r="CV708" i="15" s="1"/>
  <c r="CU720" i="15"/>
  <c r="CV720" i="15" s="1"/>
  <c r="CU728" i="15"/>
  <c r="CV728" i="15" s="1"/>
  <c r="CU744" i="15"/>
  <c r="CV744" i="15" s="1"/>
  <c r="CU752" i="15"/>
  <c r="CV752" i="15" s="1"/>
  <c r="CU764" i="15"/>
  <c r="CV764" i="15" s="1"/>
  <c r="CU772" i="15"/>
  <c r="CV772" i="15" s="1"/>
  <c r="CU784" i="15"/>
  <c r="CV784" i="15" s="1"/>
  <c r="CU792" i="15"/>
  <c r="CV792" i="15" s="1"/>
  <c r="CU804" i="15"/>
  <c r="CV804" i="15" s="1"/>
  <c r="CU816" i="15"/>
  <c r="CV816" i="15" s="1"/>
  <c r="CU824" i="15"/>
  <c r="CV824" i="15" s="1"/>
  <c r="CU836" i="15"/>
  <c r="CV836" i="15" s="1"/>
  <c r="CU844" i="15"/>
  <c r="CV844" i="15" s="1"/>
  <c r="CU856" i="15"/>
  <c r="CV856" i="15" s="1"/>
  <c r="CU10" i="15"/>
  <c r="CV10" i="15" s="1"/>
  <c r="CU26" i="15"/>
  <c r="CV26" i="15" s="1"/>
  <c r="CU42" i="15"/>
  <c r="CV42" i="15" s="1"/>
  <c r="CU58" i="15"/>
  <c r="CV58" i="15" s="1"/>
  <c r="CU74" i="15"/>
  <c r="CV74" i="15" s="1"/>
  <c r="CU87" i="15"/>
  <c r="CV87" i="15" s="1"/>
  <c r="CU91" i="15"/>
  <c r="CV91" i="15" s="1"/>
  <c r="CU95" i="15"/>
  <c r="CV95" i="15" s="1"/>
  <c r="CU99" i="15"/>
  <c r="CV99" i="15" s="1"/>
  <c r="CU103" i="15"/>
  <c r="CV103" i="15" s="1"/>
  <c r="CU107" i="15"/>
  <c r="CV107" i="15" s="1"/>
  <c r="CU111" i="15"/>
  <c r="CV111" i="15" s="1"/>
  <c r="CU115" i="15"/>
  <c r="CV115" i="15" s="1"/>
  <c r="CU119" i="15"/>
  <c r="CV119" i="15" s="1"/>
  <c r="CU123" i="15"/>
  <c r="CV123" i="15" s="1"/>
  <c r="CU127" i="15"/>
  <c r="CV127" i="15" s="1"/>
  <c r="CU131" i="15"/>
  <c r="CV131" i="15" s="1"/>
  <c r="CU135" i="15"/>
  <c r="CV135" i="15" s="1"/>
  <c r="CU139" i="15"/>
  <c r="CV139" i="15" s="1"/>
  <c r="CU143" i="15"/>
  <c r="CV143" i="15" s="1"/>
  <c r="CU147" i="15"/>
  <c r="CV147" i="15" s="1"/>
  <c r="CU151" i="15"/>
  <c r="CV151" i="15" s="1"/>
  <c r="CU155" i="15"/>
  <c r="CV155" i="15" s="1"/>
  <c r="CU159" i="15"/>
  <c r="CV159" i="15" s="1"/>
  <c r="CU163" i="15"/>
  <c r="CV163" i="15" s="1"/>
  <c r="CU167" i="15"/>
  <c r="CV167" i="15" s="1"/>
  <c r="CU171" i="15"/>
  <c r="CV171" i="15" s="1"/>
  <c r="CU175" i="15"/>
  <c r="CV175" i="15" s="1"/>
  <c r="CU179" i="15"/>
  <c r="CV179" i="15" s="1"/>
  <c r="CU183" i="15"/>
  <c r="CV183" i="15" s="1"/>
  <c r="CU187" i="15"/>
  <c r="CV187" i="15" s="1"/>
  <c r="CU191" i="15"/>
  <c r="CV191" i="15" s="1"/>
  <c r="CU195" i="15"/>
  <c r="CV195" i="15" s="1"/>
  <c r="CU199" i="15"/>
  <c r="CV199" i="15" s="1"/>
  <c r="CU203" i="15"/>
  <c r="CV203" i="15" s="1"/>
  <c r="CU207" i="15"/>
  <c r="CV207" i="15" s="1"/>
  <c r="CU211" i="15"/>
  <c r="CV211" i="15" s="1"/>
  <c r="CU215" i="15"/>
  <c r="CV215" i="15" s="1"/>
  <c r="CU219" i="15"/>
  <c r="CV219" i="15" s="1"/>
  <c r="CU223" i="15"/>
  <c r="CV223" i="15" s="1"/>
  <c r="CU227" i="15"/>
  <c r="CV227" i="15" s="1"/>
  <c r="CU231" i="15"/>
  <c r="CV231" i="15" s="1"/>
  <c r="CU235" i="15"/>
  <c r="CV235" i="15" s="1"/>
  <c r="CU239" i="15"/>
  <c r="CV239" i="15" s="1"/>
  <c r="CU243" i="15"/>
  <c r="CV243" i="15" s="1"/>
  <c r="CU247" i="15"/>
  <c r="CV247" i="15" s="1"/>
  <c r="CU251" i="15"/>
  <c r="CV251" i="15" s="1"/>
  <c r="CU255" i="15"/>
  <c r="CV255" i="15" s="1"/>
  <c r="CU259" i="15"/>
  <c r="CV259" i="15" s="1"/>
  <c r="CU263" i="15"/>
  <c r="CV263" i="15" s="1"/>
  <c r="CU267" i="15"/>
  <c r="CV267" i="15" s="1"/>
  <c r="CU271" i="15"/>
  <c r="CV271" i="15" s="1"/>
  <c r="CU275" i="15"/>
  <c r="CV275" i="15" s="1"/>
  <c r="CU279" i="15"/>
  <c r="CV279" i="15" s="1"/>
  <c r="CU283" i="15"/>
  <c r="CV283" i="15" s="1"/>
  <c r="CU287" i="15"/>
  <c r="CV287" i="15" s="1"/>
  <c r="CU291" i="15"/>
  <c r="CV291" i="15" s="1"/>
  <c r="CU295" i="15"/>
  <c r="CV295" i="15" s="1"/>
  <c r="CU299" i="15"/>
  <c r="CV299" i="15" s="1"/>
  <c r="CU303" i="15"/>
  <c r="CV303" i="15" s="1"/>
  <c r="CU307" i="15"/>
  <c r="CV307" i="15" s="1"/>
  <c r="CU311" i="15"/>
  <c r="CV311" i="15" s="1"/>
  <c r="CU315" i="15"/>
  <c r="CV315" i="15" s="1"/>
  <c r="CU319" i="15"/>
  <c r="CV319" i="15" s="1"/>
  <c r="CU323" i="15"/>
  <c r="CV323" i="15" s="1"/>
  <c r="CU327" i="15"/>
  <c r="CV327" i="15" s="1"/>
  <c r="CU331" i="15"/>
  <c r="CV331" i="15" s="1"/>
  <c r="CU335" i="15"/>
  <c r="CV335" i="15" s="1"/>
  <c r="CU339" i="15"/>
  <c r="CV339" i="15" s="1"/>
  <c r="CU343" i="15"/>
  <c r="CV343" i="15" s="1"/>
  <c r="CU347" i="15"/>
  <c r="CV347" i="15" s="1"/>
  <c r="CU351" i="15"/>
  <c r="CV351" i="15" s="1"/>
  <c r="CU355" i="15"/>
  <c r="CV355" i="15" s="1"/>
  <c r="CU359" i="15"/>
  <c r="CV359" i="15" s="1"/>
  <c r="CU363" i="15"/>
  <c r="CV363" i="15" s="1"/>
  <c r="CU367" i="15"/>
  <c r="CV367" i="15" s="1"/>
  <c r="CU371" i="15"/>
  <c r="CV371" i="15" s="1"/>
  <c r="CU375" i="15"/>
  <c r="CV375" i="15" s="1"/>
  <c r="CU379" i="15"/>
  <c r="CV379" i="15" s="1"/>
  <c r="CU383" i="15"/>
  <c r="CV383" i="15" s="1"/>
  <c r="CU387" i="15"/>
  <c r="CV387" i="15" s="1"/>
  <c r="CU391" i="15"/>
  <c r="CV391" i="15" s="1"/>
  <c r="CU395" i="15"/>
  <c r="CV395" i="15" s="1"/>
  <c r="CU399" i="15"/>
  <c r="CV399" i="15" s="1"/>
  <c r="CU403" i="15"/>
  <c r="CV403" i="15" s="1"/>
  <c r="CU407" i="15"/>
  <c r="CV407" i="15" s="1"/>
  <c r="CU411" i="15"/>
  <c r="CV411" i="15" s="1"/>
  <c r="CU415" i="15"/>
  <c r="CV415" i="15" s="1"/>
  <c r="CU419" i="15"/>
  <c r="CV419" i="15" s="1"/>
  <c r="CU423" i="15"/>
  <c r="CV423" i="15" s="1"/>
  <c r="CU427" i="15"/>
  <c r="CV427" i="15" s="1"/>
  <c r="CU431" i="15"/>
  <c r="CV431" i="15" s="1"/>
  <c r="CU435" i="15"/>
  <c r="CV435" i="15" s="1"/>
  <c r="CU439" i="15"/>
  <c r="CV439" i="15" s="1"/>
  <c r="CU443" i="15"/>
  <c r="CV443" i="15" s="1"/>
  <c r="CU447" i="15"/>
  <c r="CV447" i="15" s="1"/>
  <c r="CU451" i="15"/>
  <c r="CV451" i="15" s="1"/>
  <c r="CU455" i="15"/>
  <c r="CV455" i="15" s="1"/>
  <c r="CU459" i="15"/>
  <c r="CV459" i="15" s="1"/>
  <c r="CU463" i="15"/>
  <c r="CV463" i="15" s="1"/>
  <c r="CU467" i="15"/>
  <c r="CV467" i="15" s="1"/>
  <c r="CU471" i="15"/>
  <c r="CV471" i="15" s="1"/>
  <c r="CU475" i="15"/>
  <c r="CV475" i="15" s="1"/>
  <c r="CU479" i="15"/>
  <c r="CV479" i="15" s="1"/>
  <c r="CU483" i="15"/>
  <c r="CV483" i="15" s="1"/>
  <c r="CU487" i="15"/>
  <c r="CV487" i="15" s="1"/>
  <c r="CU491" i="15"/>
  <c r="CV491" i="15" s="1"/>
  <c r="CU495" i="15"/>
  <c r="CV495" i="15" s="1"/>
  <c r="CU499" i="15"/>
  <c r="CV499" i="15" s="1"/>
  <c r="CU503" i="15"/>
  <c r="CV503" i="15" s="1"/>
  <c r="CU507" i="15"/>
  <c r="CV507" i="15" s="1"/>
  <c r="CU511" i="15"/>
  <c r="CV511" i="15" s="1"/>
  <c r="CU515" i="15"/>
  <c r="CV515" i="15" s="1"/>
  <c r="CU519" i="15"/>
  <c r="CV519" i="15" s="1"/>
  <c r="CU523" i="15"/>
  <c r="CV523" i="15" s="1"/>
  <c r="CU527" i="15"/>
  <c r="CV527" i="15" s="1"/>
  <c r="CU531" i="15"/>
  <c r="CV531" i="15" s="1"/>
  <c r="CU535" i="15"/>
  <c r="CV535" i="15" s="1"/>
  <c r="CU539" i="15"/>
  <c r="CV539" i="15" s="1"/>
  <c r="CU543" i="15"/>
  <c r="CV543" i="15" s="1"/>
  <c r="CU547" i="15"/>
  <c r="CV547" i="15" s="1"/>
  <c r="CU551" i="15"/>
  <c r="CV551" i="15" s="1"/>
  <c r="CU555" i="15"/>
  <c r="CV555" i="15" s="1"/>
  <c r="CU559" i="15"/>
  <c r="CV559" i="15" s="1"/>
  <c r="CU563" i="15"/>
  <c r="CV563" i="15" s="1"/>
  <c r="CU567" i="15"/>
  <c r="CV567" i="15" s="1"/>
  <c r="CU571" i="15"/>
  <c r="CV571" i="15" s="1"/>
  <c r="CU575" i="15"/>
  <c r="CV575" i="15" s="1"/>
  <c r="CU579" i="15"/>
  <c r="CV579" i="15" s="1"/>
  <c r="CU583" i="15"/>
  <c r="CV583" i="15" s="1"/>
  <c r="CU587" i="15"/>
  <c r="CV587" i="15" s="1"/>
  <c r="CU591" i="15"/>
  <c r="CV591" i="15" s="1"/>
  <c r="CU595" i="15"/>
  <c r="CV595" i="15" s="1"/>
  <c r="CU599" i="15"/>
  <c r="CV599" i="15" s="1"/>
  <c r="CU603" i="15"/>
  <c r="CV603" i="15" s="1"/>
  <c r="CU607" i="15"/>
  <c r="CV607" i="15" s="1"/>
  <c r="CU611" i="15"/>
  <c r="CV611" i="15" s="1"/>
  <c r="CU615" i="15"/>
  <c r="CV615" i="15" s="1"/>
  <c r="CU619" i="15"/>
  <c r="CV619" i="15" s="1"/>
  <c r="CU623" i="15"/>
  <c r="CV623" i="15" s="1"/>
  <c r="CU627" i="15"/>
  <c r="CV627" i="15" s="1"/>
  <c r="CU631" i="15"/>
  <c r="CV631" i="15" s="1"/>
  <c r="CU635" i="15"/>
  <c r="CV635" i="15" s="1"/>
  <c r="CU639" i="15"/>
  <c r="CV639" i="15" s="1"/>
  <c r="CU643" i="15"/>
  <c r="CV643" i="15" s="1"/>
  <c r="CU647" i="15"/>
  <c r="CV647" i="15" s="1"/>
  <c r="CU651" i="15"/>
  <c r="CV651" i="15" s="1"/>
  <c r="CU655" i="15"/>
  <c r="CV655" i="15" s="1"/>
  <c r="CU659" i="15"/>
  <c r="CV659" i="15" s="1"/>
  <c r="CU663" i="15"/>
  <c r="CV663" i="15" s="1"/>
  <c r="CU667" i="15"/>
  <c r="CV667" i="15" s="1"/>
  <c r="CU671" i="15"/>
  <c r="CV671" i="15" s="1"/>
  <c r="CU675" i="15"/>
  <c r="CV675" i="15" s="1"/>
  <c r="CU679" i="15"/>
  <c r="CV679" i="15" s="1"/>
  <c r="CU683" i="15"/>
  <c r="CV683" i="15" s="1"/>
  <c r="CU687" i="15"/>
  <c r="CV687" i="15" s="1"/>
  <c r="CU691" i="15"/>
  <c r="CV691" i="15" s="1"/>
  <c r="CU695" i="15"/>
  <c r="CV695" i="15" s="1"/>
  <c r="CU699" i="15"/>
  <c r="CV699" i="15" s="1"/>
  <c r="CU703" i="15"/>
  <c r="CV703" i="15" s="1"/>
  <c r="CU707" i="15"/>
  <c r="CV707" i="15" s="1"/>
  <c r="CU711" i="15"/>
  <c r="CV711" i="15" s="1"/>
  <c r="CU715" i="15"/>
  <c r="CV715" i="15" s="1"/>
  <c r="CU719" i="15"/>
  <c r="CV719" i="15" s="1"/>
  <c r="CU723" i="15"/>
  <c r="CV723" i="15" s="1"/>
  <c r="CU727" i="15"/>
  <c r="CV727" i="15" s="1"/>
  <c r="CU731" i="15"/>
  <c r="CV731" i="15" s="1"/>
  <c r="CU735" i="15"/>
  <c r="CV735" i="15" s="1"/>
  <c r="CU739" i="15"/>
  <c r="CV739" i="15" s="1"/>
  <c r="CU743" i="15"/>
  <c r="CV743" i="15" s="1"/>
  <c r="CU747" i="15"/>
  <c r="CV747" i="15" s="1"/>
  <c r="CU751" i="15"/>
  <c r="CV751" i="15" s="1"/>
  <c r="CU755" i="15"/>
  <c r="CV755" i="15" s="1"/>
  <c r="CU759" i="15"/>
  <c r="CV759" i="15" s="1"/>
  <c r="CU763" i="15"/>
  <c r="CV763" i="15" s="1"/>
  <c r="CU767" i="15"/>
  <c r="CV767" i="15" s="1"/>
  <c r="CU771" i="15"/>
  <c r="CV771" i="15" s="1"/>
  <c r="CU775" i="15"/>
  <c r="CV775" i="15" s="1"/>
  <c r="CU779" i="15"/>
  <c r="CV779" i="15" s="1"/>
  <c r="CU783" i="15"/>
  <c r="CV783" i="15" s="1"/>
  <c r="CU787" i="15"/>
  <c r="CV787" i="15" s="1"/>
  <c r="CU791" i="15"/>
  <c r="CV791" i="15" s="1"/>
  <c r="CU795" i="15"/>
  <c r="CV795" i="15" s="1"/>
  <c r="CU799" i="15"/>
  <c r="CV799" i="15" s="1"/>
  <c r="CU803" i="15"/>
  <c r="CV803" i="15" s="1"/>
  <c r="CU807" i="15"/>
  <c r="CV807" i="15" s="1"/>
  <c r="CU811" i="15"/>
  <c r="CV811" i="15" s="1"/>
  <c r="CU815" i="15"/>
  <c r="CV815" i="15" s="1"/>
  <c r="CU819" i="15"/>
  <c r="CV819" i="15" s="1"/>
  <c r="CU823" i="15"/>
  <c r="CV823" i="15" s="1"/>
  <c r="CU827" i="15"/>
  <c r="CV827" i="15" s="1"/>
  <c r="CU831" i="15"/>
  <c r="CV831" i="15" s="1"/>
  <c r="CU835" i="15"/>
  <c r="CV835" i="15" s="1"/>
  <c r="CU839" i="15"/>
  <c r="CV839" i="15" s="1"/>
  <c r="CU843" i="15"/>
  <c r="CV843" i="15" s="1"/>
  <c r="CU847" i="15"/>
  <c r="CV847" i="15" s="1"/>
  <c r="CU851" i="15"/>
  <c r="CV851" i="15" s="1"/>
  <c r="CU855" i="15"/>
  <c r="CV855" i="15" s="1"/>
  <c r="CU859" i="15"/>
  <c r="CV859" i="15" s="1"/>
  <c r="CU30" i="15"/>
  <c r="CV30" i="15" s="1"/>
  <c r="CU62" i="15"/>
  <c r="CV62" i="15" s="1"/>
  <c r="CU88" i="15"/>
  <c r="CV88" i="15" s="1"/>
  <c r="CU100" i="15"/>
  <c r="CV100" i="15" s="1"/>
  <c r="CU108" i="15"/>
  <c r="CV108" i="15" s="1"/>
  <c r="CU120" i="15"/>
  <c r="CV120" i="15" s="1"/>
  <c r="CU132" i="15"/>
  <c r="CV132" i="15" s="1"/>
  <c r="CU144" i="15"/>
  <c r="CV144" i="15" s="1"/>
  <c r="CU156" i="15"/>
  <c r="CV156" i="15" s="1"/>
  <c r="CU164" i="15"/>
  <c r="CV164" i="15" s="1"/>
  <c r="CU172" i="15"/>
  <c r="CV172" i="15" s="1"/>
  <c r="CU184" i="15"/>
  <c r="CV184" i="15" s="1"/>
  <c r="CU196" i="15"/>
  <c r="CV196" i="15" s="1"/>
  <c r="CU208" i="15"/>
  <c r="CV208" i="15" s="1"/>
  <c r="CU220" i="15"/>
  <c r="CV220" i="15" s="1"/>
  <c r="CU232" i="15"/>
  <c r="CV232" i="15" s="1"/>
  <c r="CU240" i="15"/>
  <c r="CV240" i="15" s="1"/>
  <c r="CU252" i="15"/>
  <c r="CV252" i="15" s="1"/>
  <c r="CU264" i="15"/>
  <c r="CV264" i="15" s="1"/>
  <c r="CU276" i="15"/>
  <c r="CV276" i="15" s="1"/>
  <c r="CU284" i="15"/>
  <c r="CV284" i="15" s="1"/>
  <c r="CU296" i="15"/>
  <c r="CV296" i="15" s="1"/>
  <c r="CU308" i="15"/>
  <c r="CV308" i="15" s="1"/>
  <c r="CU320" i="15"/>
  <c r="CV320" i="15" s="1"/>
  <c r="CU332" i="15"/>
  <c r="CV332" i="15" s="1"/>
  <c r="CU344" i="15"/>
  <c r="CV344" i="15" s="1"/>
  <c r="CU356" i="15"/>
  <c r="CV356" i="15" s="1"/>
  <c r="CU368" i="15"/>
  <c r="CV368" i="15" s="1"/>
  <c r="CU376" i="15"/>
  <c r="CV376" i="15" s="1"/>
  <c r="CU388" i="15"/>
  <c r="CV388" i="15" s="1"/>
  <c r="CU400" i="15"/>
  <c r="CV400" i="15" s="1"/>
  <c r="CU412" i="15"/>
  <c r="CV412" i="15" s="1"/>
  <c r="CU424" i="15"/>
  <c r="CV424" i="15" s="1"/>
  <c r="CU436" i="15"/>
  <c r="CV436" i="15" s="1"/>
  <c r="CU444" i="15"/>
  <c r="CV444" i="15" s="1"/>
  <c r="CU456" i="15"/>
  <c r="CV456" i="15" s="1"/>
  <c r="CU468" i="15"/>
  <c r="CV468" i="15" s="1"/>
  <c r="CU480" i="15"/>
  <c r="CV480" i="15" s="1"/>
  <c r="CU492" i="15"/>
  <c r="CV492" i="15" s="1"/>
  <c r="CU508" i="15"/>
  <c r="CV508" i="15" s="1"/>
  <c r="CU524" i="15"/>
  <c r="CV524" i="15" s="1"/>
  <c r="CU536" i="15"/>
  <c r="CV536" i="15" s="1"/>
  <c r="CU548" i="15"/>
  <c r="CV548" i="15" s="1"/>
  <c r="CU556" i="15"/>
  <c r="CV556" i="15" s="1"/>
  <c r="CU568" i="15"/>
  <c r="CV568" i="15" s="1"/>
  <c r="CU580" i="15"/>
  <c r="CV580" i="15" s="1"/>
  <c r="CU588" i="15"/>
  <c r="CV588" i="15" s="1"/>
  <c r="CU600" i="15"/>
  <c r="CV600" i="15" s="1"/>
  <c r="CU608" i="15"/>
  <c r="CV608" i="15" s="1"/>
  <c r="CU620" i="15"/>
  <c r="CV620" i="15" s="1"/>
  <c r="CU632" i="15"/>
  <c r="CV632" i="15" s="1"/>
  <c r="CU640" i="15"/>
  <c r="CV640" i="15" s="1"/>
  <c r="CU652" i="15"/>
  <c r="CV652" i="15" s="1"/>
  <c r="CU664" i="15"/>
  <c r="CV664" i="15" s="1"/>
  <c r="CU672" i="15"/>
  <c r="CV672" i="15" s="1"/>
  <c r="CU684" i="15"/>
  <c r="CV684" i="15" s="1"/>
  <c r="CU692" i="15"/>
  <c r="CV692" i="15" s="1"/>
  <c r="CU704" i="15"/>
  <c r="CV704" i="15" s="1"/>
  <c r="CU712" i="15"/>
  <c r="CV712" i="15" s="1"/>
  <c r="CU724" i="15"/>
  <c r="CV724" i="15" s="1"/>
  <c r="CU732" i="15"/>
  <c r="CV732" i="15" s="1"/>
  <c r="CU740" i="15"/>
  <c r="CV740" i="15" s="1"/>
  <c r="CU748" i="15"/>
  <c r="CV748" i="15" s="1"/>
  <c r="CU760" i="15"/>
  <c r="CV760" i="15" s="1"/>
  <c r="CU768" i="15"/>
  <c r="CV768" i="15" s="1"/>
  <c r="CU780" i="15"/>
  <c r="CV780" i="15" s="1"/>
  <c r="CU788" i="15"/>
  <c r="CV788" i="15" s="1"/>
  <c r="CU800" i="15"/>
  <c r="CV800" i="15" s="1"/>
  <c r="CU812" i="15"/>
  <c r="CV812" i="15" s="1"/>
  <c r="CU820" i="15"/>
  <c r="CV820" i="15" s="1"/>
  <c r="CU832" i="15"/>
  <c r="CV832" i="15" s="1"/>
  <c r="CU840" i="15"/>
  <c r="CV840" i="15" s="1"/>
  <c r="CU852" i="15"/>
  <c r="CV852" i="15" s="1"/>
  <c r="AD201" i="1"/>
  <c r="AI201" i="1" s="1"/>
  <c r="AC201" i="1"/>
  <c r="O99" i="1"/>
  <c r="AD179" i="1"/>
  <c r="AI179" i="1" s="1"/>
  <c r="AC179" i="1"/>
  <c r="R7" i="13"/>
  <c r="D37" i="13"/>
  <c r="D46" i="13"/>
  <c r="D45" i="13"/>
  <c r="D44" i="13"/>
  <c r="D43" i="13"/>
  <c r="D42" i="13"/>
  <c r="D41" i="13"/>
  <c r="DO65" i="15" l="1"/>
  <c r="DO9" i="15"/>
  <c r="DP9" i="15" s="1"/>
  <c r="DO6" i="15"/>
  <c r="DP6" i="15" s="1"/>
  <c r="DO8" i="15"/>
  <c r="DP8" i="15" s="1"/>
  <c r="DO35" i="15"/>
  <c r="DP35" i="15" s="1"/>
  <c r="DO43" i="15"/>
  <c r="DP43" i="15" s="1"/>
  <c r="DO66" i="15"/>
  <c r="DP66" i="15" s="1"/>
  <c r="DO380" i="15"/>
  <c r="DP380" i="15" s="1"/>
  <c r="DO11" i="15"/>
  <c r="DP11" i="15" s="1"/>
  <c r="DO27" i="15"/>
  <c r="DP27" i="15" s="1"/>
  <c r="DO45" i="15"/>
  <c r="DP45" i="15" s="1"/>
  <c r="DO61" i="15"/>
  <c r="DP61" i="15" s="1"/>
  <c r="DO78" i="15"/>
  <c r="DP78" i="15" s="1"/>
  <c r="DO95" i="15"/>
  <c r="DP95" i="15" s="1"/>
  <c r="DO112" i="15"/>
  <c r="DP112" i="15" s="1"/>
  <c r="DO129" i="15"/>
  <c r="DP129" i="15" s="1"/>
  <c r="DO145" i="15"/>
  <c r="DO161" i="15"/>
  <c r="DP161" i="15" s="1"/>
  <c r="DO178" i="15"/>
  <c r="DP178" i="15" s="1"/>
  <c r="DO195" i="15"/>
  <c r="DP195" i="15" s="1"/>
  <c r="DO211" i="15"/>
  <c r="DP211" i="15" s="1"/>
  <c r="DO228" i="15"/>
  <c r="DP228" i="15" s="1"/>
  <c r="DO245" i="15"/>
  <c r="DP245" i="15" s="1"/>
  <c r="DO263" i="15"/>
  <c r="DP263" i="15" s="1"/>
  <c r="DO282" i="15"/>
  <c r="DP282" i="15" s="1"/>
  <c r="DO298" i="15"/>
  <c r="DP298" i="15" s="1"/>
  <c r="DO316" i="15"/>
  <c r="DP316" i="15" s="1"/>
  <c r="DO333" i="15"/>
  <c r="DP333" i="15" s="1"/>
  <c r="DO349" i="15"/>
  <c r="DP349" i="15" s="1"/>
  <c r="DO365" i="15"/>
  <c r="DP365" i="15" s="1"/>
  <c r="DO24" i="15"/>
  <c r="DP24" i="15" s="1"/>
  <c r="DO42" i="15"/>
  <c r="DO58" i="15"/>
  <c r="DP58" i="15" s="1"/>
  <c r="DO75" i="15"/>
  <c r="DP75" i="15" s="1"/>
  <c r="DO93" i="15"/>
  <c r="DP93" i="15" s="1"/>
  <c r="DO109" i="15"/>
  <c r="DP109" i="15" s="1"/>
  <c r="DO126" i="15"/>
  <c r="DP126" i="15" s="1"/>
  <c r="DO142" i="15"/>
  <c r="DP142" i="15" s="1"/>
  <c r="DO158" i="15"/>
  <c r="DP158" i="15" s="1"/>
  <c r="DO175" i="15"/>
  <c r="DP175" i="15" s="1"/>
  <c r="DO192" i="15"/>
  <c r="DP192" i="15" s="1"/>
  <c r="DO208" i="15"/>
  <c r="DP208" i="15" s="1"/>
  <c r="DO225" i="15"/>
  <c r="DP225" i="15" s="1"/>
  <c r="DO242" i="15"/>
  <c r="DP242" i="15" s="1"/>
  <c r="DO259" i="15"/>
  <c r="DP259" i="15" s="1"/>
  <c r="DO279" i="15"/>
  <c r="DP279" i="15" s="1"/>
  <c r="DO295" i="15"/>
  <c r="DP295" i="15" s="1"/>
  <c r="DO313" i="15"/>
  <c r="DP313" i="15" s="1"/>
  <c r="DO330" i="15"/>
  <c r="DP330" i="15" s="1"/>
  <c r="DO346" i="15"/>
  <c r="DP346" i="15" s="1"/>
  <c r="DO362" i="15"/>
  <c r="DP362" i="15" s="1"/>
  <c r="DO21" i="15"/>
  <c r="DP21" i="15" s="1"/>
  <c r="DO38" i="15"/>
  <c r="DP38" i="15" s="1"/>
  <c r="DO55" i="15"/>
  <c r="DP55" i="15" s="1"/>
  <c r="DO72" i="15"/>
  <c r="DP72" i="15" s="1"/>
  <c r="DO89" i="15"/>
  <c r="DP89" i="15" s="1"/>
  <c r="DO106" i="15"/>
  <c r="DP106" i="15" s="1"/>
  <c r="DO122" i="15"/>
  <c r="DP122" i="15" s="1"/>
  <c r="DO139" i="15"/>
  <c r="DP139" i="15" s="1"/>
  <c r="DO155" i="15"/>
  <c r="DP155" i="15" s="1"/>
  <c r="DO172" i="15"/>
  <c r="DP172" i="15" s="1"/>
  <c r="DO188" i="15"/>
  <c r="DP188" i="15" s="1"/>
  <c r="DO205" i="15"/>
  <c r="DP205" i="15" s="1"/>
  <c r="DO222" i="15"/>
  <c r="DP222" i="15" s="1"/>
  <c r="DO239" i="15"/>
  <c r="DP239" i="15" s="1"/>
  <c r="DO256" i="15"/>
  <c r="DP256" i="15" s="1"/>
  <c r="DO276" i="15"/>
  <c r="DP276" i="15" s="1"/>
  <c r="DO292" i="15"/>
  <c r="DP292" i="15" s="1"/>
  <c r="DO310" i="15"/>
  <c r="DP310" i="15" s="1"/>
  <c r="DO327" i="15"/>
  <c r="DP327" i="15" s="1"/>
  <c r="DO343" i="15"/>
  <c r="DP343" i="15" s="1"/>
  <c r="DO359" i="15"/>
  <c r="DP359" i="15" s="1"/>
  <c r="DO52" i="15"/>
  <c r="DP52" i="15" s="1"/>
  <c r="DO119" i="15"/>
  <c r="DP119" i="15" s="1"/>
  <c r="DO185" i="15"/>
  <c r="DP185" i="15" s="1"/>
  <c r="DO253" i="15"/>
  <c r="DP253" i="15" s="1"/>
  <c r="DO323" i="15"/>
  <c r="DP323" i="15" s="1"/>
  <c r="DO372" i="15"/>
  <c r="DP372" i="15" s="1"/>
  <c r="DO388" i="15"/>
  <c r="DP388" i="15" s="1"/>
  <c r="DO404" i="15"/>
  <c r="DP404" i="15" s="1"/>
  <c r="DO421" i="15"/>
  <c r="DP421" i="15" s="1"/>
  <c r="DO438" i="15"/>
  <c r="DP438" i="15" s="1"/>
  <c r="DO455" i="15"/>
  <c r="DO471" i="15"/>
  <c r="DO487" i="15"/>
  <c r="DP487" i="15" s="1"/>
  <c r="DO504" i="15"/>
  <c r="DP504" i="15" s="1"/>
  <c r="DO521" i="15"/>
  <c r="DP521" i="15" s="1"/>
  <c r="DO538" i="15"/>
  <c r="DP538" i="15" s="1"/>
  <c r="DO555" i="15"/>
  <c r="DP555" i="15" s="1"/>
  <c r="DO571" i="15"/>
  <c r="DP571" i="15" s="1"/>
  <c r="DO587" i="15"/>
  <c r="DP587" i="15" s="1"/>
  <c r="DO603" i="15"/>
  <c r="DP603" i="15" s="1"/>
  <c r="DO621" i="15"/>
  <c r="DO637" i="15"/>
  <c r="DP637" i="15" s="1"/>
  <c r="DO654" i="15"/>
  <c r="DP654" i="15" s="1"/>
  <c r="DO22" i="15"/>
  <c r="DP22" i="15" s="1"/>
  <c r="DO90" i="15"/>
  <c r="DP90" i="15" s="1"/>
  <c r="DO156" i="15"/>
  <c r="DP156" i="15" s="1"/>
  <c r="DO223" i="15"/>
  <c r="DP223" i="15" s="1"/>
  <c r="DO293" i="15"/>
  <c r="DP293" i="15" s="1"/>
  <c r="DO360" i="15"/>
  <c r="DP360" i="15" s="1"/>
  <c r="DO381" i="15"/>
  <c r="DP381" i="15" s="1"/>
  <c r="DO397" i="15"/>
  <c r="DP397" i="15" s="1"/>
  <c r="DO414" i="15"/>
  <c r="DP414" i="15" s="1"/>
  <c r="DO431" i="15"/>
  <c r="DP431" i="15" s="1"/>
  <c r="DO447" i="15"/>
  <c r="DP447" i="15" s="1"/>
  <c r="DO464" i="15"/>
  <c r="DP464" i="15" s="1"/>
  <c r="DO480" i="15"/>
  <c r="DP480" i="15" s="1"/>
  <c r="DO497" i="15"/>
  <c r="DP497" i="15" s="1"/>
  <c r="DO514" i="15"/>
  <c r="DO531" i="15"/>
  <c r="DP531" i="15" s="1"/>
  <c r="DO548" i="15"/>
  <c r="DO564" i="15"/>
  <c r="DP564" i="15" s="1"/>
  <c r="DO580" i="15"/>
  <c r="DP580" i="15" s="1"/>
  <c r="DO596" i="15"/>
  <c r="DP596" i="15" s="1"/>
  <c r="DO613" i="15"/>
  <c r="DP613" i="15" s="1"/>
  <c r="DO630" i="15"/>
  <c r="DP630" i="15" s="1"/>
  <c r="DO60" i="15"/>
  <c r="DP60" i="15" s="1"/>
  <c r="DO128" i="15"/>
  <c r="DP128" i="15" s="1"/>
  <c r="DO194" i="15"/>
  <c r="DP194" i="15" s="1"/>
  <c r="DO261" i="15"/>
  <c r="DP261" i="15" s="1"/>
  <c r="DO332" i="15"/>
  <c r="DP332" i="15" s="1"/>
  <c r="DO374" i="15"/>
  <c r="DP374" i="15" s="1"/>
  <c r="DO390" i="15"/>
  <c r="DP390" i="15" s="1"/>
  <c r="DO407" i="15"/>
  <c r="DO423" i="15"/>
  <c r="DP423" i="15" s="1"/>
  <c r="DO440" i="15"/>
  <c r="DP440" i="15" s="1"/>
  <c r="DO457" i="15"/>
  <c r="DP457" i="15" s="1"/>
  <c r="DO473" i="15"/>
  <c r="DP473" i="15" s="1"/>
  <c r="DO489" i="15"/>
  <c r="DP489" i="15" s="1"/>
  <c r="DO506" i="15"/>
  <c r="DP506" i="15" s="1"/>
  <c r="DO523" i="15"/>
  <c r="DP523" i="15" s="1"/>
  <c r="DO540" i="15"/>
  <c r="DP540" i="15" s="1"/>
  <c r="DO557" i="15"/>
  <c r="DP557" i="15" s="1"/>
  <c r="DO574" i="15"/>
  <c r="DP574" i="15" s="1"/>
  <c r="DO589" i="15"/>
  <c r="DP589" i="15" s="1"/>
  <c r="DO605" i="15"/>
  <c r="DP605" i="15" s="1"/>
  <c r="DO623" i="15"/>
  <c r="DP623" i="15" s="1"/>
  <c r="DO639" i="15"/>
  <c r="DP639" i="15" s="1"/>
  <c r="DO656" i="15"/>
  <c r="DP656" i="15" s="1"/>
  <c r="DO115" i="15"/>
  <c r="DP115" i="15" s="1"/>
  <c r="DO371" i="15"/>
  <c r="DO437" i="15"/>
  <c r="DP437" i="15" s="1"/>
  <c r="DO503" i="15"/>
  <c r="DP503" i="15" s="1"/>
  <c r="DO570" i="15"/>
  <c r="DP570" i="15" s="1"/>
  <c r="DO634" i="15"/>
  <c r="DP634" i="15" s="1"/>
  <c r="DO668" i="15"/>
  <c r="DO684" i="15"/>
  <c r="DP684" i="15" s="1"/>
  <c r="DO701" i="15"/>
  <c r="DP701" i="15" s="1"/>
  <c r="DO717" i="15"/>
  <c r="DP717" i="15" s="1"/>
  <c r="DO734" i="15"/>
  <c r="DP734" i="15" s="1"/>
  <c r="DO750" i="15"/>
  <c r="DP750" i="15" s="1"/>
  <c r="DO765" i="15"/>
  <c r="DP765" i="15" s="1"/>
  <c r="DO784" i="15"/>
  <c r="DP784" i="15" s="1"/>
  <c r="DO266" i="15"/>
  <c r="DP266" i="15" s="1"/>
  <c r="DO408" i="15"/>
  <c r="DP408" i="15" s="1"/>
  <c r="DO474" i="15"/>
  <c r="DP474" i="15" s="1"/>
  <c r="DO541" i="15"/>
  <c r="DP541" i="15" s="1"/>
  <c r="DO606" i="15"/>
  <c r="DP606" i="15" s="1"/>
  <c r="DO653" i="15"/>
  <c r="DP653" i="15" s="1"/>
  <c r="DO677" i="15"/>
  <c r="DP677" i="15" s="1"/>
  <c r="DO694" i="15"/>
  <c r="DP694" i="15" s="1"/>
  <c r="DO710" i="15"/>
  <c r="DP710" i="15" s="1"/>
  <c r="DO726" i="15"/>
  <c r="DP726" i="15" s="1"/>
  <c r="DO743" i="15"/>
  <c r="DP743" i="15" s="1"/>
  <c r="DO758" i="15"/>
  <c r="DP758" i="15" s="1"/>
  <c r="DO777" i="15"/>
  <c r="DP777" i="15" s="1"/>
  <c r="DO793" i="15"/>
  <c r="DP793" i="15" s="1"/>
  <c r="DO810" i="15"/>
  <c r="DP810" i="15" s="1"/>
  <c r="DO826" i="15"/>
  <c r="DP826" i="15" s="1"/>
  <c r="DO843" i="15"/>
  <c r="DP843" i="15" s="1"/>
  <c r="DO859" i="15"/>
  <c r="DP859" i="15" s="1"/>
  <c r="DO399" i="15"/>
  <c r="DP399" i="15" s="1"/>
  <c r="DO550" i="15"/>
  <c r="DP550" i="15" s="1"/>
  <c r="DO657" i="15"/>
  <c r="DP657" i="15" s="1"/>
  <c r="DO696" i="15"/>
  <c r="DP696" i="15" s="1"/>
  <c r="DO728" i="15"/>
  <c r="DP728" i="15" s="1"/>
  <c r="DO760" i="15"/>
  <c r="DP760" i="15" s="1"/>
  <c r="DO15" i="15"/>
  <c r="DP15" i="15" s="1"/>
  <c r="DO31" i="15"/>
  <c r="DP31" i="15" s="1"/>
  <c r="DO49" i="15"/>
  <c r="DP49" i="15" s="1"/>
  <c r="DO83" i="15"/>
  <c r="DO100" i="15"/>
  <c r="DP100" i="15" s="1"/>
  <c r="DO116" i="15"/>
  <c r="DP116" i="15" s="1"/>
  <c r="DO133" i="15"/>
  <c r="DP133" i="15" s="1"/>
  <c r="DO149" i="15"/>
  <c r="DP149" i="15" s="1"/>
  <c r="DO165" i="15"/>
  <c r="DP165" i="15" s="1"/>
  <c r="DO182" i="15"/>
  <c r="DP182" i="15" s="1"/>
  <c r="DO199" i="15"/>
  <c r="DP199" i="15" s="1"/>
  <c r="DO215" i="15"/>
  <c r="DP215" i="15" s="1"/>
  <c r="DO233" i="15"/>
  <c r="DP233" i="15" s="1"/>
  <c r="DO249" i="15"/>
  <c r="DP249" i="15" s="1"/>
  <c r="DO267" i="15"/>
  <c r="DP267" i="15" s="1"/>
  <c r="DO286" i="15"/>
  <c r="DP286" i="15" s="1"/>
  <c r="DO304" i="15"/>
  <c r="DP304" i="15" s="1"/>
  <c r="DO320" i="15"/>
  <c r="DP320" i="15" s="1"/>
  <c r="DO337" i="15"/>
  <c r="DP337" i="15" s="1"/>
  <c r="DO353" i="15"/>
  <c r="DP353" i="15" s="1"/>
  <c r="DO12" i="15"/>
  <c r="DP12" i="15" s="1"/>
  <c r="DO28" i="15"/>
  <c r="DP28" i="15" s="1"/>
  <c r="DO46" i="15"/>
  <c r="DP46" i="15" s="1"/>
  <c r="DO62" i="15"/>
  <c r="DP62" i="15" s="1"/>
  <c r="DO79" i="15"/>
  <c r="DP79" i="15" s="1"/>
  <c r="DO96" i="15"/>
  <c r="DP96" i="15" s="1"/>
  <c r="DO113" i="15"/>
  <c r="DP113" i="15" s="1"/>
  <c r="DO130" i="15"/>
  <c r="DP130" i="15" s="1"/>
  <c r="DO146" i="15"/>
  <c r="DP146" i="15" s="1"/>
  <c r="DO162" i="15"/>
  <c r="DP162" i="15" s="1"/>
  <c r="DO179" i="15"/>
  <c r="DP179" i="15" s="1"/>
  <c r="DO196" i="15"/>
  <c r="DP196" i="15" s="1"/>
  <c r="DO212" i="15"/>
  <c r="DP212" i="15" s="1"/>
  <c r="DO229" i="15"/>
  <c r="DP229" i="15" s="1"/>
  <c r="DO246" i="15"/>
  <c r="DP246" i="15" s="1"/>
  <c r="DO264" i="15"/>
  <c r="DP264" i="15" s="1"/>
  <c r="DO283" i="15"/>
  <c r="DP283" i="15" s="1"/>
  <c r="DO301" i="15"/>
  <c r="DP301" i="15" s="1"/>
  <c r="DO317" i="15"/>
  <c r="DP317" i="15" s="1"/>
  <c r="DO334" i="15"/>
  <c r="DP334" i="15" s="1"/>
  <c r="DO350" i="15"/>
  <c r="DP350" i="15" s="1"/>
  <c r="DO262" i="15"/>
  <c r="DP262" i="15" s="1"/>
  <c r="DO25" i="15"/>
  <c r="DP25" i="15" s="1"/>
  <c r="DO59" i="15"/>
  <c r="DP59" i="15" s="1"/>
  <c r="DO76" i="15"/>
  <c r="DP76" i="15" s="1"/>
  <c r="DO92" i="15"/>
  <c r="DP92" i="15" s="1"/>
  <c r="DO110" i="15"/>
  <c r="DP110" i="15" s="1"/>
  <c r="DO127" i="15"/>
  <c r="DP127" i="15" s="1"/>
  <c r="DO159" i="15"/>
  <c r="DP159" i="15" s="1"/>
  <c r="DO176" i="15"/>
  <c r="DP176" i="15" s="1"/>
  <c r="DO193" i="15"/>
  <c r="DP193" i="15" s="1"/>
  <c r="DO209" i="15"/>
  <c r="DP209" i="15" s="1"/>
  <c r="DO226" i="15"/>
  <c r="DP226" i="15" s="1"/>
  <c r="DO243" i="15"/>
  <c r="DP243" i="15" s="1"/>
  <c r="DO260" i="15"/>
  <c r="DP260" i="15" s="1"/>
  <c r="DO280" i="15"/>
  <c r="DP280" i="15" s="1"/>
  <c r="DO296" i="15"/>
  <c r="DP296" i="15" s="1"/>
  <c r="DO314" i="15"/>
  <c r="DP314" i="15" s="1"/>
  <c r="DO331" i="15"/>
  <c r="DP331" i="15" s="1"/>
  <c r="DO347" i="15"/>
  <c r="DP347" i="15" s="1"/>
  <c r="DO363" i="15"/>
  <c r="DP363" i="15" s="1"/>
  <c r="DO69" i="15"/>
  <c r="DP69" i="15" s="1"/>
  <c r="DO136" i="15"/>
  <c r="DP136" i="15" s="1"/>
  <c r="DO202" i="15"/>
  <c r="DP202" i="15" s="1"/>
  <c r="DO273" i="15"/>
  <c r="DP273" i="15" s="1"/>
  <c r="DO340" i="15"/>
  <c r="DP340" i="15" s="1"/>
  <c r="DO376" i="15"/>
  <c r="DP376" i="15" s="1"/>
  <c r="DO392" i="15"/>
  <c r="DP392" i="15" s="1"/>
  <c r="DO409" i="15"/>
  <c r="DP409" i="15" s="1"/>
  <c r="DO425" i="15"/>
  <c r="DP425" i="15" s="1"/>
  <c r="DO442" i="15"/>
  <c r="DP442" i="15" s="1"/>
  <c r="DO459" i="15"/>
  <c r="DP459" i="15" s="1"/>
  <c r="DO475" i="15"/>
  <c r="DP475" i="15" s="1"/>
  <c r="DO492" i="15"/>
  <c r="DP492" i="15" s="1"/>
  <c r="DO508" i="15"/>
  <c r="DP508" i="15" s="1"/>
  <c r="DO525" i="15"/>
  <c r="DP525" i="15" s="1"/>
  <c r="DO542" i="15"/>
  <c r="DP542" i="15" s="1"/>
  <c r="DO559" i="15"/>
  <c r="DP559" i="15" s="1"/>
  <c r="DO575" i="15"/>
  <c r="DP575" i="15" s="1"/>
  <c r="DO591" i="15"/>
  <c r="DP591" i="15" s="1"/>
  <c r="DO607" i="15"/>
  <c r="DP607" i="15" s="1"/>
  <c r="DO625" i="15"/>
  <c r="DP625" i="15" s="1"/>
  <c r="DO642" i="15"/>
  <c r="DP642" i="15" s="1"/>
  <c r="DO658" i="15"/>
  <c r="DP658" i="15" s="1"/>
  <c r="DO39" i="15"/>
  <c r="DP39" i="15" s="1"/>
  <c r="DO107" i="15"/>
  <c r="DP107" i="15" s="1"/>
  <c r="DO173" i="15"/>
  <c r="DP173" i="15" s="1"/>
  <c r="DO240" i="15"/>
  <c r="DP240" i="15" s="1"/>
  <c r="DO311" i="15"/>
  <c r="DP311" i="15" s="1"/>
  <c r="DO368" i="15"/>
  <c r="DP368" i="15" s="1"/>
  <c r="DO385" i="15"/>
  <c r="DP385" i="15" s="1"/>
  <c r="DO401" i="15"/>
  <c r="DP401" i="15" s="1"/>
  <c r="DO418" i="15"/>
  <c r="DP418" i="15" s="1"/>
  <c r="DO435" i="15"/>
  <c r="DP435" i="15" s="1"/>
  <c r="DO451" i="15"/>
  <c r="DP451" i="15" s="1"/>
  <c r="DO468" i="15"/>
  <c r="DP468" i="15" s="1"/>
  <c r="DO484" i="15"/>
  <c r="DP484" i="15" s="1"/>
  <c r="DO501" i="15"/>
  <c r="DP501" i="15" s="1"/>
  <c r="DO518" i="15"/>
  <c r="DP518" i="15" s="1"/>
  <c r="DO535" i="15"/>
  <c r="DP535" i="15" s="1"/>
  <c r="DO552" i="15"/>
  <c r="DP552" i="15" s="1"/>
  <c r="DO568" i="15"/>
  <c r="DP568" i="15" s="1"/>
  <c r="DO584" i="15"/>
  <c r="DP584" i="15" s="1"/>
  <c r="DO600" i="15"/>
  <c r="DP600" i="15" s="1"/>
  <c r="DO617" i="15"/>
  <c r="DP617" i="15" s="1"/>
  <c r="DO10" i="15"/>
  <c r="DP10" i="15" s="1"/>
  <c r="DO77" i="15"/>
  <c r="DP77" i="15" s="1"/>
  <c r="DO144" i="15"/>
  <c r="DO210" i="15"/>
  <c r="DP210" i="15" s="1"/>
  <c r="DO281" i="15"/>
  <c r="DP281" i="15" s="1"/>
  <c r="DO348" i="15"/>
  <c r="DP348" i="15" s="1"/>
  <c r="DO394" i="15"/>
  <c r="DP394" i="15" s="1"/>
  <c r="DO411" i="15"/>
  <c r="DP411" i="15" s="1"/>
  <c r="DO427" i="15"/>
  <c r="DP427" i="15" s="1"/>
  <c r="DO444" i="15"/>
  <c r="DP444" i="15" s="1"/>
  <c r="DO461" i="15"/>
  <c r="DP461" i="15" s="1"/>
  <c r="DO477" i="15"/>
  <c r="DP477" i="15" s="1"/>
  <c r="DO494" i="15"/>
  <c r="DP494" i="15" s="1"/>
  <c r="DO510" i="15"/>
  <c r="DP510" i="15" s="1"/>
  <c r="DO527" i="15"/>
  <c r="DP527" i="15" s="1"/>
  <c r="DO544" i="15"/>
  <c r="DP544" i="15" s="1"/>
  <c r="DO561" i="15"/>
  <c r="DP561" i="15" s="1"/>
  <c r="DO577" i="15"/>
  <c r="DO593" i="15"/>
  <c r="DP593" i="15" s="1"/>
  <c r="DO609" i="15"/>
  <c r="DP609" i="15" s="1"/>
  <c r="DO627" i="15"/>
  <c r="DP627" i="15" s="1"/>
  <c r="DO644" i="15"/>
  <c r="DP644" i="15" s="1"/>
  <c r="DO660" i="15"/>
  <c r="DP660" i="15" s="1"/>
  <c r="DO181" i="15"/>
  <c r="DP181" i="15" s="1"/>
  <c r="DO387" i="15"/>
  <c r="DP387" i="15" s="1"/>
  <c r="DO453" i="15"/>
  <c r="DP453" i="15" s="1"/>
  <c r="DO520" i="15"/>
  <c r="DP520" i="15" s="1"/>
  <c r="DO586" i="15"/>
  <c r="DP586" i="15" s="1"/>
  <c r="DO643" i="15"/>
  <c r="DP643" i="15" s="1"/>
  <c r="DO672" i="15"/>
  <c r="DP672" i="15" s="1"/>
  <c r="DO689" i="15"/>
  <c r="DP689" i="15" s="1"/>
  <c r="DO705" i="15"/>
  <c r="DP705" i="15" s="1"/>
  <c r="DO721" i="15"/>
  <c r="DP721" i="15" s="1"/>
  <c r="DO738" i="15"/>
  <c r="DP738" i="15" s="1"/>
  <c r="DO755" i="15"/>
  <c r="DP755" i="15" s="1"/>
  <c r="DO769" i="15"/>
  <c r="DP769" i="15" s="1"/>
  <c r="DO336" i="15"/>
  <c r="DP336" i="15" s="1"/>
  <c r="DO424" i="15"/>
  <c r="DP424" i="15" s="1"/>
  <c r="DO491" i="15"/>
  <c r="DO558" i="15"/>
  <c r="DP558" i="15" s="1"/>
  <c r="DO624" i="15"/>
  <c r="DP624" i="15" s="1"/>
  <c r="DO661" i="15"/>
  <c r="DP661" i="15" s="1"/>
  <c r="DO681" i="15"/>
  <c r="DP681" i="15" s="1"/>
  <c r="DO698" i="15"/>
  <c r="DP698" i="15" s="1"/>
  <c r="DO714" i="15"/>
  <c r="DO730" i="15"/>
  <c r="DP730" i="15" s="1"/>
  <c r="DO747" i="15"/>
  <c r="DP747" i="15" s="1"/>
  <c r="DO762" i="15"/>
  <c r="DP762" i="15" s="1"/>
  <c r="DO781" i="15"/>
  <c r="DP781" i="15" s="1"/>
  <c r="DO798" i="15"/>
  <c r="DP798" i="15" s="1"/>
  <c r="DO814" i="15"/>
  <c r="DP814" i="15" s="1"/>
  <c r="DO831" i="15"/>
  <c r="DP831" i="15" s="1"/>
  <c r="DO847" i="15"/>
  <c r="DP847" i="15" s="1"/>
  <c r="DO99" i="15"/>
  <c r="DP99" i="15" s="1"/>
  <c r="DO449" i="15"/>
  <c r="DP449" i="15" s="1"/>
  <c r="DO582" i="15"/>
  <c r="DP582" i="15" s="1"/>
  <c r="DO671" i="15"/>
  <c r="DP671" i="15" s="1"/>
  <c r="DO704" i="15"/>
  <c r="DP704" i="15" s="1"/>
  <c r="DO737" i="15"/>
  <c r="DP737" i="15" s="1"/>
  <c r="DO768" i="15"/>
  <c r="DP768" i="15" s="1"/>
  <c r="DO804" i="15"/>
  <c r="DP804" i="15" s="1"/>
  <c r="DO19" i="15"/>
  <c r="DP19" i="15" s="1"/>
  <c r="DO53" i="15"/>
  <c r="DP53" i="15" s="1"/>
  <c r="DO87" i="15"/>
  <c r="DP87" i="15" s="1"/>
  <c r="DO120" i="15"/>
  <c r="DP120" i="15" s="1"/>
  <c r="DO153" i="15"/>
  <c r="DP153" i="15" s="1"/>
  <c r="DO186" i="15"/>
  <c r="DP186" i="15" s="1"/>
  <c r="DO220" i="15"/>
  <c r="DP220" i="15" s="1"/>
  <c r="DO254" i="15"/>
  <c r="DP254" i="15" s="1"/>
  <c r="DO290" i="15"/>
  <c r="DP290" i="15" s="1"/>
  <c r="DO325" i="15"/>
  <c r="DO357" i="15"/>
  <c r="DP357" i="15" s="1"/>
  <c r="DO32" i="15"/>
  <c r="DP32" i="15" s="1"/>
  <c r="DO67" i="15"/>
  <c r="DP67" i="15" s="1"/>
  <c r="DO101" i="15"/>
  <c r="DP101" i="15" s="1"/>
  <c r="DO134" i="15"/>
  <c r="DP134" i="15" s="1"/>
  <c r="DO166" i="15"/>
  <c r="DP166" i="15" s="1"/>
  <c r="DO200" i="15"/>
  <c r="DP200" i="15" s="1"/>
  <c r="DO234" i="15"/>
  <c r="DP234" i="15" s="1"/>
  <c r="DO268" i="15"/>
  <c r="DP268" i="15" s="1"/>
  <c r="DO305" i="15"/>
  <c r="DP305" i="15" s="1"/>
  <c r="DO338" i="15"/>
  <c r="DP338" i="15" s="1"/>
  <c r="DO13" i="15"/>
  <c r="DP13" i="15" s="1"/>
  <c r="DO47" i="15"/>
  <c r="DP47" i="15" s="1"/>
  <c r="DO80" i="15"/>
  <c r="DP80" i="15" s="1"/>
  <c r="DO114" i="15"/>
  <c r="DP114" i="15" s="1"/>
  <c r="DO147" i="15"/>
  <c r="DP147" i="15" s="1"/>
  <c r="DO180" i="15"/>
  <c r="DP180" i="15" s="1"/>
  <c r="DO213" i="15"/>
  <c r="DP213" i="15" s="1"/>
  <c r="DO247" i="15"/>
  <c r="DP247" i="15" s="1"/>
  <c r="DO284" i="15"/>
  <c r="DP284" i="15" s="1"/>
  <c r="DO318" i="15"/>
  <c r="DP318" i="15" s="1"/>
  <c r="DO351" i="15"/>
  <c r="DP351" i="15" s="1"/>
  <c r="DO86" i="15"/>
  <c r="DP86" i="15" s="1"/>
  <c r="DO219" i="15"/>
  <c r="DO356" i="15"/>
  <c r="DP356" i="15" s="1"/>
  <c r="DO396" i="15"/>
  <c r="DP396" i="15" s="1"/>
  <c r="DO430" i="15"/>
  <c r="DO463" i="15"/>
  <c r="DP463" i="15" s="1"/>
  <c r="DO496" i="15"/>
  <c r="DP496" i="15" s="1"/>
  <c r="DO530" i="15"/>
  <c r="DP530" i="15" s="1"/>
  <c r="DO563" i="15"/>
  <c r="DP563" i="15" s="1"/>
  <c r="DO595" i="15"/>
  <c r="DP595" i="15" s="1"/>
  <c r="DO629" i="15"/>
  <c r="DP629" i="15" s="1"/>
  <c r="DO662" i="15"/>
  <c r="DP662" i="15" s="1"/>
  <c r="DO123" i="15"/>
  <c r="DP123" i="15" s="1"/>
  <c r="DO257" i="15"/>
  <c r="DP257" i="15" s="1"/>
  <c r="DO373" i="15"/>
  <c r="DP373" i="15" s="1"/>
  <c r="DO405" i="15"/>
  <c r="DP405" i="15" s="1"/>
  <c r="DO439" i="15"/>
  <c r="DP439" i="15" s="1"/>
  <c r="DO472" i="15"/>
  <c r="DO505" i="15"/>
  <c r="DP505" i="15" s="1"/>
  <c r="DO539" i="15"/>
  <c r="DP539" i="15" s="1"/>
  <c r="DO573" i="15"/>
  <c r="DP573" i="15" s="1"/>
  <c r="DO604" i="15"/>
  <c r="DP604" i="15" s="1"/>
  <c r="DO26" i="15"/>
  <c r="DP26" i="15" s="1"/>
  <c r="DO160" i="15"/>
  <c r="DP160" i="15" s="1"/>
  <c r="DO297" i="15"/>
  <c r="DP297" i="15" s="1"/>
  <c r="DO382" i="15"/>
  <c r="DP382" i="15" s="1"/>
  <c r="DO415" i="15"/>
  <c r="DP415" i="15" s="1"/>
  <c r="DO448" i="15"/>
  <c r="DP448" i="15" s="1"/>
  <c r="DO481" i="15"/>
  <c r="DP481" i="15" s="1"/>
  <c r="DO515" i="15"/>
  <c r="DP515" i="15" s="1"/>
  <c r="DO549" i="15"/>
  <c r="DP549" i="15" s="1"/>
  <c r="DO581" i="15"/>
  <c r="DP581" i="15" s="1"/>
  <c r="DO614" i="15"/>
  <c r="DP614" i="15" s="1"/>
  <c r="DO648" i="15"/>
  <c r="DP648" i="15" s="1"/>
  <c r="DO248" i="15"/>
  <c r="DP248" i="15" s="1"/>
  <c r="DO602" i="15"/>
  <c r="DP602" i="15" s="1"/>
  <c r="DO676" i="15"/>
  <c r="DP676" i="15" s="1"/>
  <c r="DO709" i="15"/>
  <c r="DP709" i="15" s="1"/>
  <c r="DO742" i="15"/>
  <c r="DP742" i="15" s="1"/>
  <c r="DO776" i="15"/>
  <c r="DO375" i="15"/>
  <c r="DP375" i="15" s="1"/>
  <c r="DO507" i="15"/>
  <c r="DP507" i="15" s="1"/>
  <c r="DO636" i="15"/>
  <c r="DP636" i="15" s="1"/>
  <c r="DO685" i="15"/>
  <c r="DP685" i="15" s="1"/>
  <c r="DO718" i="15"/>
  <c r="DP718" i="15" s="1"/>
  <c r="DO751" i="15"/>
  <c r="DP751" i="15" s="1"/>
  <c r="DO785" i="15"/>
  <c r="DP785" i="15" s="1"/>
  <c r="DO818" i="15"/>
  <c r="DP818" i="15" s="1"/>
  <c r="DO851" i="15"/>
  <c r="DP851" i="15" s="1"/>
  <c r="DO482" i="15"/>
  <c r="DP482" i="15" s="1"/>
  <c r="DO679" i="15"/>
  <c r="DP679" i="15" s="1"/>
  <c r="DO745" i="15"/>
  <c r="DP745" i="15" s="1"/>
  <c r="DO796" i="15"/>
  <c r="DO837" i="15"/>
  <c r="DP837" i="15" s="1"/>
  <c r="DO792" i="15"/>
  <c r="DP792" i="15" s="1"/>
  <c r="DO821" i="15"/>
  <c r="DP821" i="15" s="1"/>
  <c r="DO854" i="15"/>
  <c r="DP854" i="15" s="1"/>
  <c r="DO214" i="15"/>
  <c r="DP214" i="15" s="1"/>
  <c r="DO395" i="15"/>
  <c r="DP395" i="15" s="1"/>
  <c r="DO462" i="15"/>
  <c r="DP462" i="15" s="1"/>
  <c r="DO529" i="15"/>
  <c r="DO594" i="15"/>
  <c r="DP594" i="15" s="1"/>
  <c r="DO647" i="15"/>
  <c r="DP647" i="15" s="1"/>
  <c r="DO674" i="15"/>
  <c r="DP674" i="15" s="1"/>
  <c r="DO691" i="15"/>
  <c r="DP691" i="15" s="1"/>
  <c r="DO707" i="15"/>
  <c r="DP707" i="15" s="1"/>
  <c r="DO723" i="15"/>
  <c r="DP723" i="15" s="1"/>
  <c r="DO740" i="15"/>
  <c r="DP740" i="15" s="1"/>
  <c r="DO757" i="15"/>
  <c r="DP757" i="15" s="1"/>
  <c r="DO771" i="15"/>
  <c r="DP771" i="15" s="1"/>
  <c r="DO790" i="15"/>
  <c r="DP790" i="15" s="1"/>
  <c r="DO807" i="15"/>
  <c r="DP807" i="15" s="1"/>
  <c r="DO823" i="15"/>
  <c r="DP823" i="15" s="1"/>
  <c r="DO840" i="15"/>
  <c r="DP840" i="15" s="1"/>
  <c r="DO856" i="15"/>
  <c r="DP856" i="15" s="1"/>
  <c r="DO303" i="15"/>
  <c r="DP303" i="15" s="1"/>
  <c r="DO466" i="15"/>
  <c r="DP466" i="15" s="1"/>
  <c r="DO598" i="15"/>
  <c r="DP598" i="15" s="1"/>
  <c r="DO675" i="15"/>
  <c r="DP675" i="15" s="1"/>
  <c r="DO708" i="15"/>
  <c r="DP708" i="15" s="1"/>
  <c r="DO741" i="15"/>
  <c r="DP741" i="15" s="1"/>
  <c r="DO772" i="15"/>
  <c r="DP772" i="15" s="1"/>
  <c r="DO808" i="15"/>
  <c r="DP808" i="15" s="1"/>
  <c r="DO841" i="15"/>
  <c r="DP841" i="15" s="1"/>
  <c r="DO801" i="15"/>
  <c r="DP801" i="15" s="1"/>
  <c r="DO834" i="15"/>
  <c r="DP834" i="15" s="1"/>
  <c r="DO108" i="15"/>
  <c r="DP108" i="15" s="1"/>
  <c r="DO207" i="15"/>
  <c r="DP207" i="15" s="1"/>
  <c r="DO345" i="15"/>
  <c r="DP345" i="15" s="1"/>
  <c r="DO88" i="15"/>
  <c r="DP88" i="15" s="1"/>
  <c r="DO154" i="15"/>
  <c r="DP154" i="15" s="1"/>
  <c r="DO291" i="15"/>
  <c r="DP291" i="15" s="1"/>
  <c r="DO34" i="15"/>
  <c r="DO102" i="15"/>
  <c r="DP102" i="15" s="1"/>
  <c r="DO201" i="15"/>
  <c r="DP201" i="15" s="1"/>
  <c r="DO306" i="15"/>
  <c r="DP306" i="15" s="1"/>
  <c r="DO169" i="15"/>
  <c r="DP169" i="15" s="1"/>
  <c r="DO417" i="15"/>
  <c r="DP417" i="15" s="1"/>
  <c r="DO517" i="15"/>
  <c r="DP517" i="15" s="1"/>
  <c r="DO650" i="15"/>
  <c r="DP650" i="15" s="1"/>
  <c r="DO344" i="15"/>
  <c r="DP344" i="15" s="1"/>
  <c r="DO460" i="15"/>
  <c r="DP460" i="15" s="1"/>
  <c r="DO560" i="15"/>
  <c r="DP560" i="15" s="1"/>
  <c r="DO111" i="15"/>
  <c r="DP111" i="15" s="1"/>
  <c r="DO369" i="15"/>
  <c r="DP369" i="15" s="1"/>
  <c r="DO469" i="15"/>
  <c r="DP469" i="15" s="1"/>
  <c r="DO569" i="15"/>
  <c r="DP569" i="15" s="1"/>
  <c r="DO48" i="15"/>
  <c r="DP48" i="15" s="1"/>
  <c r="DO554" i="15"/>
  <c r="DP554" i="15" s="1"/>
  <c r="DO729" i="15"/>
  <c r="DP729" i="15" s="1"/>
  <c r="DO458" i="15"/>
  <c r="DP458" i="15" s="1"/>
  <c r="DO706" i="15"/>
  <c r="DP706" i="15" s="1"/>
  <c r="DO806" i="15"/>
  <c r="DP806" i="15" s="1"/>
  <c r="DO641" i="15"/>
  <c r="DO829" i="15"/>
  <c r="DP829" i="15" s="1"/>
  <c r="DO813" i="15"/>
  <c r="DP813" i="15" s="1"/>
  <c r="DO378" i="15"/>
  <c r="DP378" i="15" s="1"/>
  <c r="DO578" i="15"/>
  <c r="DO686" i="15"/>
  <c r="DP686" i="15" s="1"/>
  <c r="DO736" i="15"/>
  <c r="DP736" i="15" s="1"/>
  <c r="DO767" i="15"/>
  <c r="DP767" i="15" s="1"/>
  <c r="DO803" i="15"/>
  <c r="DP803" i="15" s="1"/>
  <c r="DO852" i="15"/>
  <c r="DP852" i="15" s="1"/>
  <c r="DO700" i="15"/>
  <c r="DP700" i="15" s="1"/>
  <c r="DO833" i="15"/>
  <c r="DP833" i="15" s="1"/>
  <c r="DO825" i="15"/>
  <c r="DP825" i="15" s="1"/>
  <c r="DO23" i="15"/>
  <c r="DP23" i="15" s="1"/>
  <c r="DO57" i="15"/>
  <c r="DP57" i="15" s="1"/>
  <c r="DO91" i="15"/>
  <c r="DP91" i="15" s="1"/>
  <c r="DO125" i="15"/>
  <c r="DO157" i="15"/>
  <c r="DP157" i="15" s="1"/>
  <c r="DO191" i="15"/>
  <c r="DP191" i="15" s="1"/>
  <c r="DO224" i="15"/>
  <c r="DP224" i="15" s="1"/>
  <c r="DO258" i="15"/>
  <c r="DP258" i="15" s="1"/>
  <c r="DO294" i="15"/>
  <c r="DP294" i="15" s="1"/>
  <c r="DO329" i="15"/>
  <c r="DP329" i="15" s="1"/>
  <c r="DO361" i="15"/>
  <c r="DP361" i="15" s="1"/>
  <c r="DO37" i="15"/>
  <c r="DP37" i="15" s="1"/>
  <c r="DO71" i="15"/>
  <c r="DP71" i="15" s="1"/>
  <c r="DO105" i="15"/>
  <c r="DP105" i="15" s="1"/>
  <c r="DO138" i="15"/>
  <c r="DP138" i="15" s="1"/>
  <c r="DO171" i="15"/>
  <c r="DP171" i="15" s="1"/>
  <c r="DO204" i="15"/>
  <c r="DP204" i="15" s="1"/>
  <c r="DO238" i="15"/>
  <c r="DP238" i="15" s="1"/>
  <c r="DO274" i="15"/>
  <c r="DP274" i="15" s="1"/>
  <c r="DO309" i="15"/>
  <c r="DP309" i="15" s="1"/>
  <c r="DO342" i="15"/>
  <c r="DP342" i="15" s="1"/>
  <c r="DO17" i="15"/>
  <c r="DP17" i="15" s="1"/>
  <c r="DO51" i="15"/>
  <c r="DP51" i="15" s="1"/>
  <c r="DO85" i="15"/>
  <c r="DP85" i="15" s="1"/>
  <c r="DO118" i="15"/>
  <c r="DP118" i="15" s="1"/>
  <c r="DO151" i="15"/>
  <c r="DP151" i="15" s="1"/>
  <c r="DO184" i="15"/>
  <c r="DP184" i="15" s="1"/>
  <c r="DO217" i="15"/>
  <c r="DP217" i="15" s="1"/>
  <c r="DO252" i="15"/>
  <c r="DP252" i="15" s="1"/>
  <c r="DO288" i="15"/>
  <c r="DP288" i="15" s="1"/>
  <c r="DO322" i="15"/>
  <c r="DP322" i="15" s="1"/>
  <c r="DO355" i="15"/>
  <c r="DP355" i="15" s="1"/>
  <c r="DO103" i="15"/>
  <c r="DP103" i="15" s="1"/>
  <c r="DO236" i="15"/>
  <c r="DP236" i="15" s="1"/>
  <c r="DO367" i="15"/>
  <c r="DP367" i="15" s="1"/>
  <c r="DO400" i="15"/>
  <c r="DP400" i="15" s="1"/>
  <c r="DO434" i="15"/>
  <c r="DP434" i="15" s="1"/>
  <c r="DO467" i="15"/>
  <c r="DP467" i="15" s="1"/>
  <c r="DO500" i="15"/>
  <c r="DP500" i="15" s="1"/>
  <c r="DO534" i="15"/>
  <c r="DP534" i="15" s="1"/>
  <c r="DO567" i="15"/>
  <c r="DP567" i="15" s="1"/>
  <c r="DO599" i="15"/>
  <c r="DP599" i="15" s="1"/>
  <c r="DO633" i="15"/>
  <c r="DP633" i="15" s="1"/>
  <c r="DO666" i="15"/>
  <c r="DP666" i="15" s="1"/>
  <c r="DO140" i="15"/>
  <c r="DP140" i="15" s="1"/>
  <c r="DO277" i="15"/>
  <c r="DP277" i="15" s="1"/>
  <c r="DO377" i="15"/>
  <c r="DP377" i="15" s="1"/>
  <c r="DO410" i="15"/>
  <c r="DP410" i="15" s="1"/>
  <c r="DO443" i="15"/>
  <c r="DP443" i="15" s="1"/>
  <c r="DO476" i="15"/>
  <c r="DP476" i="15" s="1"/>
  <c r="DO509" i="15"/>
  <c r="DP509" i="15" s="1"/>
  <c r="DO543" i="15"/>
  <c r="DP543" i="15" s="1"/>
  <c r="DO608" i="15"/>
  <c r="DP608" i="15" s="1"/>
  <c r="DO44" i="15"/>
  <c r="DP44" i="15" s="1"/>
  <c r="DO177" i="15"/>
  <c r="DP177" i="15" s="1"/>
  <c r="DO315" i="15"/>
  <c r="DP315" i="15" s="1"/>
  <c r="DO386" i="15"/>
  <c r="DP386" i="15" s="1"/>
  <c r="DO419" i="15"/>
  <c r="DP419" i="15" s="1"/>
  <c r="DO452" i="15"/>
  <c r="DP452" i="15" s="1"/>
  <c r="DO485" i="15"/>
  <c r="DP485" i="15" s="1"/>
  <c r="DO519" i="15"/>
  <c r="DP519" i="15" s="1"/>
  <c r="DO553" i="15"/>
  <c r="DP553" i="15" s="1"/>
  <c r="DO585" i="15"/>
  <c r="DP585" i="15" s="1"/>
  <c r="DO618" i="15"/>
  <c r="DP618" i="15" s="1"/>
  <c r="DO652" i="15"/>
  <c r="DP652" i="15" s="1"/>
  <c r="DO319" i="15"/>
  <c r="DP319" i="15" s="1"/>
  <c r="DO486" i="15"/>
  <c r="DP486" i="15" s="1"/>
  <c r="DO619" i="15"/>
  <c r="DP619" i="15" s="1"/>
  <c r="DO680" i="15"/>
  <c r="DP680" i="15" s="1"/>
  <c r="DO713" i="15"/>
  <c r="DO746" i="15"/>
  <c r="DP746" i="15" s="1"/>
  <c r="DO780" i="15"/>
  <c r="DP780" i="15" s="1"/>
  <c r="DO391" i="15"/>
  <c r="DP391" i="15" s="1"/>
  <c r="DO524" i="15"/>
  <c r="DP524" i="15" s="1"/>
  <c r="DO645" i="15"/>
  <c r="DP645" i="15" s="1"/>
  <c r="DO690" i="15"/>
  <c r="DP690" i="15" s="1"/>
  <c r="DO722" i="15"/>
  <c r="DP722" i="15" s="1"/>
  <c r="DO756" i="15"/>
  <c r="DP756" i="15" s="1"/>
  <c r="DO789" i="15"/>
  <c r="DP789" i="15" s="1"/>
  <c r="DO822" i="15"/>
  <c r="DP822" i="15" s="1"/>
  <c r="DO855" i="15"/>
  <c r="DP855" i="15" s="1"/>
  <c r="DO516" i="15"/>
  <c r="DP516" i="15" s="1"/>
  <c r="DO688" i="15"/>
  <c r="DO754" i="15"/>
  <c r="DO812" i="15"/>
  <c r="DP812" i="15" s="1"/>
  <c r="DO845" i="15"/>
  <c r="DP845" i="15" s="1"/>
  <c r="DO797" i="15"/>
  <c r="DP797" i="15" s="1"/>
  <c r="DO830" i="15"/>
  <c r="DP830" i="15" s="1"/>
  <c r="DO14" i="15"/>
  <c r="DP14" i="15" s="1"/>
  <c r="DO285" i="15"/>
  <c r="DP285" i="15" s="1"/>
  <c r="DO412" i="15"/>
  <c r="DP412" i="15" s="1"/>
  <c r="DO478" i="15"/>
  <c r="DP478" i="15" s="1"/>
  <c r="DO545" i="15"/>
  <c r="DP545" i="15" s="1"/>
  <c r="DO611" i="15"/>
  <c r="DO655" i="15"/>
  <c r="DP655" i="15" s="1"/>
  <c r="DO678" i="15"/>
  <c r="DP678" i="15" s="1"/>
  <c r="DO695" i="15"/>
  <c r="DP695" i="15" s="1"/>
  <c r="DO711" i="15"/>
  <c r="DP711" i="15" s="1"/>
  <c r="DO727" i="15"/>
  <c r="DP727" i="15" s="1"/>
  <c r="DO744" i="15"/>
  <c r="DP744" i="15" s="1"/>
  <c r="DO759" i="15"/>
  <c r="DP759" i="15" s="1"/>
  <c r="DO778" i="15"/>
  <c r="DP778" i="15" s="1"/>
  <c r="DO794" i="15"/>
  <c r="DP794" i="15" s="1"/>
  <c r="DO811" i="15"/>
  <c r="DP811" i="15" s="1"/>
  <c r="DO828" i="15"/>
  <c r="DO844" i="15"/>
  <c r="DP844" i="15" s="1"/>
  <c r="DO860" i="15"/>
  <c r="DP860" i="15" s="1"/>
  <c r="DO383" i="15"/>
  <c r="DP383" i="15" s="1"/>
  <c r="DO499" i="15"/>
  <c r="DP499" i="15" s="1"/>
  <c r="DO632" i="15"/>
  <c r="DP632" i="15" s="1"/>
  <c r="DO683" i="15"/>
  <c r="DP683" i="15" s="1"/>
  <c r="DO716" i="15"/>
  <c r="DP716" i="15" s="1"/>
  <c r="DO749" i="15"/>
  <c r="DP749" i="15" s="1"/>
  <c r="DO783" i="15"/>
  <c r="DP783" i="15" s="1"/>
  <c r="DO816" i="15"/>
  <c r="DP816" i="15" s="1"/>
  <c r="DO849" i="15"/>
  <c r="DP849" i="15" s="1"/>
  <c r="DO809" i="15"/>
  <c r="DP809" i="15" s="1"/>
  <c r="DO842" i="15"/>
  <c r="DP842" i="15" s="1"/>
  <c r="DO174" i="15"/>
  <c r="DP174" i="15" s="1"/>
  <c r="DO241" i="15"/>
  <c r="DP241" i="15" s="1"/>
  <c r="DO312" i="15"/>
  <c r="DP312" i="15" s="1"/>
  <c r="DO54" i="15"/>
  <c r="DP54" i="15" s="1"/>
  <c r="DO187" i="15"/>
  <c r="DP187" i="15" s="1"/>
  <c r="DO255" i="15"/>
  <c r="DP255" i="15" s="1"/>
  <c r="DO326" i="15"/>
  <c r="DP326" i="15" s="1"/>
  <c r="DO68" i="15"/>
  <c r="DP68" i="15" s="1"/>
  <c r="DO168" i="15"/>
  <c r="DO235" i="15"/>
  <c r="DP235" i="15" s="1"/>
  <c r="DO339" i="15"/>
  <c r="DP339" i="15" s="1"/>
  <c r="DO307" i="15"/>
  <c r="DP307" i="15" s="1"/>
  <c r="DO450" i="15"/>
  <c r="DP450" i="15" s="1"/>
  <c r="DO551" i="15"/>
  <c r="DP551" i="15" s="1"/>
  <c r="DO616" i="15"/>
  <c r="DP616" i="15" s="1"/>
  <c r="DO206" i="15"/>
  <c r="DP206" i="15" s="1"/>
  <c r="DO393" i="15"/>
  <c r="DP393" i="15" s="1"/>
  <c r="DO493" i="15"/>
  <c r="DP493" i="15" s="1"/>
  <c r="DO592" i="15"/>
  <c r="DP592" i="15" s="1"/>
  <c r="DO244" i="15"/>
  <c r="DP244" i="15" s="1"/>
  <c r="DO436" i="15"/>
  <c r="DP436" i="15" s="1"/>
  <c r="DO536" i="15"/>
  <c r="DP536" i="15" s="1"/>
  <c r="DO601" i="15"/>
  <c r="DP601" i="15" s="1"/>
  <c r="DO420" i="15"/>
  <c r="DP420" i="15" s="1"/>
  <c r="DO697" i="15"/>
  <c r="DP697" i="15" s="1"/>
  <c r="DO198" i="15"/>
  <c r="DP198" i="15" s="1"/>
  <c r="DO673" i="15"/>
  <c r="DP673" i="15" s="1"/>
  <c r="DO770" i="15"/>
  <c r="DP770" i="15" s="1"/>
  <c r="DO366" i="15"/>
  <c r="DP366" i="15" s="1"/>
  <c r="DO720" i="15"/>
  <c r="DP720" i="15" s="1"/>
  <c r="DO861" i="15"/>
  <c r="DP861" i="15" s="1"/>
  <c r="DO148" i="15"/>
  <c r="DP148" i="15" s="1"/>
  <c r="DO511" i="15"/>
  <c r="DP511" i="15" s="1"/>
  <c r="DO670" i="15"/>
  <c r="DP670" i="15" s="1"/>
  <c r="DO719" i="15"/>
  <c r="DP719" i="15" s="1"/>
  <c r="DO786" i="15"/>
  <c r="DP786" i="15" s="1"/>
  <c r="DO836" i="15"/>
  <c r="DP836" i="15" s="1"/>
  <c r="DO164" i="15"/>
  <c r="DP164" i="15" s="1"/>
  <c r="DO566" i="15"/>
  <c r="DP566" i="15" s="1"/>
  <c r="DO733" i="15"/>
  <c r="DP733" i="15" s="1"/>
  <c r="DO800" i="15"/>
  <c r="DP800" i="15" s="1"/>
  <c r="DO858" i="15"/>
  <c r="DP858" i="15" s="1"/>
  <c r="DO36" i="15"/>
  <c r="DP36" i="15" s="1"/>
  <c r="DO70" i="15"/>
  <c r="DP70" i="15" s="1"/>
  <c r="DO104" i="15"/>
  <c r="DP104" i="15" s="1"/>
  <c r="DO137" i="15"/>
  <c r="DP137" i="15" s="1"/>
  <c r="DO170" i="15"/>
  <c r="DP170" i="15" s="1"/>
  <c r="DO203" i="15"/>
  <c r="DP203" i="15" s="1"/>
  <c r="DO237" i="15"/>
  <c r="DP237" i="15" s="1"/>
  <c r="DO275" i="15"/>
  <c r="DP275" i="15" s="1"/>
  <c r="DO308" i="15"/>
  <c r="DP308" i="15" s="1"/>
  <c r="DO341" i="15"/>
  <c r="DP341" i="15" s="1"/>
  <c r="DO16" i="15"/>
  <c r="DP16" i="15" s="1"/>
  <c r="DO50" i="15"/>
  <c r="DP50" i="15" s="1"/>
  <c r="DO84" i="15"/>
  <c r="DP84" i="15" s="1"/>
  <c r="DO117" i="15"/>
  <c r="DP117" i="15" s="1"/>
  <c r="DO150" i="15"/>
  <c r="DP150" i="15" s="1"/>
  <c r="DO183" i="15"/>
  <c r="DP183" i="15" s="1"/>
  <c r="DO216" i="15"/>
  <c r="DP216" i="15" s="1"/>
  <c r="DO251" i="15"/>
  <c r="DO287" i="15"/>
  <c r="DP287" i="15" s="1"/>
  <c r="DO321" i="15"/>
  <c r="DP321" i="15" s="1"/>
  <c r="DO354" i="15"/>
  <c r="DP354" i="15" s="1"/>
  <c r="DO29" i="15"/>
  <c r="DP29" i="15" s="1"/>
  <c r="DO63" i="15"/>
  <c r="DP63" i="15" s="1"/>
  <c r="DO98" i="15"/>
  <c r="DO131" i="15"/>
  <c r="DP131" i="15" s="1"/>
  <c r="DO163" i="15"/>
  <c r="DP163" i="15" s="1"/>
  <c r="DO197" i="15"/>
  <c r="DP197" i="15" s="1"/>
  <c r="DO230" i="15"/>
  <c r="DP230" i="15" s="1"/>
  <c r="DO265" i="15"/>
  <c r="DP265" i="15" s="1"/>
  <c r="DO302" i="15"/>
  <c r="DP302" i="15" s="1"/>
  <c r="DO335" i="15"/>
  <c r="DP335" i="15" s="1"/>
  <c r="DO18" i="15"/>
  <c r="DP18" i="15" s="1"/>
  <c r="DO152" i="15"/>
  <c r="DP152" i="15" s="1"/>
  <c r="DO289" i="15"/>
  <c r="DP289" i="15" s="1"/>
  <c r="DO379" i="15"/>
  <c r="DP379" i="15" s="1"/>
  <c r="DO413" i="15"/>
  <c r="DP413" i="15" s="1"/>
  <c r="DO446" i="15"/>
  <c r="DP446" i="15" s="1"/>
  <c r="DO479" i="15"/>
  <c r="DP479" i="15" s="1"/>
  <c r="DO512" i="15"/>
  <c r="DP512" i="15" s="1"/>
  <c r="DO546" i="15"/>
  <c r="DP546" i="15" s="1"/>
  <c r="DO579" i="15"/>
  <c r="DP579" i="15" s="1"/>
  <c r="DO612" i="15"/>
  <c r="DP612" i="15" s="1"/>
  <c r="DO646" i="15"/>
  <c r="DP646" i="15" s="1"/>
  <c r="DO56" i="15"/>
  <c r="DP56" i="15" s="1"/>
  <c r="DO190" i="15"/>
  <c r="DO328" i="15"/>
  <c r="DP328" i="15" s="1"/>
  <c r="DO389" i="15"/>
  <c r="DP389" i="15" s="1"/>
  <c r="DO422" i="15"/>
  <c r="DP422" i="15" s="1"/>
  <c r="DO456" i="15"/>
  <c r="DP456" i="15" s="1"/>
  <c r="DO488" i="15"/>
  <c r="DP488" i="15" s="1"/>
  <c r="DO522" i="15"/>
  <c r="DP522" i="15" s="1"/>
  <c r="DO556" i="15"/>
  <c r="DP556" i="15" s="1"/>
  <c r="DO588" i="15"/>
  <c r="DP588" i="15" s="1"/>
  <c r="DO622" i="15"/>
  <c r="DP622" i="15" s="1"/>
  <c r="DO94" i="15"/>
  <c r="DP94" i="15" s="1"/>
  <c r="DO227" i="15"/>
  <c r="DP227" i="15" s="1"/>
  <c r="DO364" i="15"/>
  <c r="DP364" i="15" s="1"/>
  <c r="DO398" i="15"/>
  <c r="DP398" i="15" s="1"/>
  <c r="DO432" i="15"/>
  <c r="DP432" i="15" s="1"/>
  <c r="DO465" i="15"/>
  <c r="DP465" i="15" s="1"/>
  <c r="DO498" i="15"/>
  <c r="DP498" i="15" s="1"/>
  <c r="DO532" i="15"/>
  <c r="DP532" i="15" s="1"/>
  <c r="DO565" i="15"/>
  <c r="DP565" i="15" s="1"/>
  <c r="DO597" i="15"/>
  <c r="DP597" i="15" s="1"/>
  <c r="DO631" i="15"/>
  <c r="DP631" i="15" s="1"/>
  <c r="DO664" i="15"/>
  <c r="DP664" i="15" s="1"/>
  <c r="DO403" i="15"/>
  <c r="DP403" i="15" s="1"/>
  <c r="DO537" i="15"/>
  <c r="DP537" i="15" s="1"/>
  <c r="DO651" i="15"/>
  <c r="DP651" i="15" s="1"/>
  <c r="DO693" i="15"/>
  <c r="DP693" i="15" s="1"/>
  <c r="DO725" i="15"/>
  <c r="DP725" i="15" s="1"/>
  <c r="DO774" i="15"/>
  <c r="DP774" i="15" s="1"/>
  <c r="DO132" i="15"/>
  <c r="DP132" i="15" s="1"/>
  <c r="DO441" i="15"/>
  <c r="DP441" i="15" s="1"/>
  <c r="DO572" i="15"/>
  <c r="DP572" i="15" s="1"/>
  <c r="DO669" i="15"/>
  <c r="DP669" i="15" s="1"/>
  <c r="DO702" i="15"/>
  <c r="DP702" i="15" s="1"/>
  <c r="DO735" i="15"/>
  <c r="DP735" i="15" s="1"/>
  <c r="DO766" i="15"/>
  <c r="DP766" i="15" s="1"/>
  <c r="DO802" i="15"/>
  <c r="DP802" i="15" s="1"/>
  <c r="DO835" i="15"/>
  <c r="DP835" i="15" s="1"/>
  <c r="DO232" i="15"/>
  <c r="DO615" i="15"/>
  <c r="DP615" i="15" s="1"/>
  <c r="DO779" i="15"/>
  <c r="DP779" i="15" s="1"/>
  <c r="DO820" i="15"/>
  <c r="DP820" i="15" s="1"/>
  <c r="DO853" i="15"/>
  <c r="DP853" i="15" s="1"/>
  <c r="DO805" i="15"/>
  <c r="DP805" i="15" s="1"/>
  <c r="DO838" i="15"/>
  <c r="DP838" i="15" s="1"/>
  <c r="DO81" i="15"/>
  <c r="DP81" i="15" s="1"/>
  <c r="DO352" i="15"/>
  <c r="DP352" i="15" s="1"/>
  <c r="DO428" i="15"/>
  <c r="DP428" i="15" s="1"/>
  <c r="DO495" i="15"/>
  <c r="DP495" i="15" s="1"/>
  <c r="DO562" i="15"/>
  <c r="DP562" i="15" s="1"/>
  <c r="DO628" i="15"/>
  <c r="DP628" i="15" s="1"/>
  <c r="DO663" i="15"/>
  <c r="DP663" i="15" s="1"/>
  <c r="DO682" i="15"/>
  <c r="DP682" i="15" s="1"/>
  <c r="DO699" i="15"/>
  <c r="DP699" i="15" s="1"/>
  <c r="DO715" i="15"/>
  <c r="DP715" i="15" s="1"/>
  <c r="DO732" i="15"/>
  <c r="DO748" i="15"/>
  <c r="DP748" i="15" s="1"/>
  <c r="DO763" i="15"/>
  <c r="DP763" i="15" s="1"/>
  <c r="DO782" i="15"/>
  <c r="DP782" i="15" s="1"/>
  <c r="DO799" i="15"/>
  <c r="DP799" i="15" s="1"/>
  <c r="DO815" i="15"/>
  <c r="DP815" i="15" s="1"/>
  <c r="DO832" i="15"/>
  <c r="DP832" i="15" s="1"/>
  <c r="DO848" i="15"/>
  <c r="DP848" i="15" s="1"/>
  <c r="DO30" i="15"/>
  <c r="DP30" i="15" s="1"/>
  <c r="DO416" i="15"/>
  <c r="DP416" i="15" s="1"/>
  <c r="DO533" i="15"/>
  <c r="DP533" i="15" s="1"/>
  <c r="DO649" i="15"/>
  <c r="DP649" i="15" s="1"/>
  <c r="DO692" i="15"/>
  <c r="DP692" i="15" s="1"/>
  <c r="DO724" i="15"/>
  <c r="DP724" i="15" s="1"/>
  <c r="DO773" i="15"/>
  <c r="DP773" i="15" s="1"/>
  <c r="DO791" i="15"/>
  <c r="DP791" i="15" s="1"/>
  <c r="DO824" i="15"/>
  <c r="DP824" i="15" s="1"/>
  <c r="DO857" i="15"/>
  <c r="DP857" i="15" s="1"/>
  <c r="DO817" i="15"/>
  <c r="DP817" i="15" s="1"/>
  <c r="DO850" i="15"/>
  <c r="DP850" i="15" s="1"/>
  <c r="DO141" i="15"/>
  <c r="DP141" i="15" s="1"/>
  <c r="DO278" i="15"/>
  <c r="DP278" i="15" s="1"/>
  <c r="DO20" i="15"/>
  <c r="DP20" i="15" s="1"/>
  <c r="DO121" i="15"/>
  <c r="DP121" i="15" s="1"/>
  <c r="DO221" i="15"/>
  <c r="DP221" i="15" s="1"/>
  <c r="DO358" i="15"/>
  <c r="DP358" i="15" s="1"/>
  <c r="DO135" i="15"/>
  <c r="DP135" i="15" s="1"/>
  <c r="DO272" i="15"/>
  <c r="DP272" i="15" s="1"/>
  <c r="DO384" i="15"/>
  <c r="DP384" i="15" s="1"/>
  <c r="DO483" i="15"/>
  <c r="DP483" i="15" s="1"/>
  <c r="DO583" i="15"/>
  <c r="DP583" i="15" s="1"/>
  <c r="DO73" i="15"/>
  <c r="DP73" i="15" s="1"/>
  <c r="DO426" i="15"/>
  <c r="DP426" i="15" s="1"/>
  <c r="DO526" i="15"/>
  <c r="DP526" i="15" s="1"/>
  <c r="DO626" i="15"/>
  <c r="DP626" i="15" s="1"/>
  <c r="DO402" i="15"/>
  <c r="DP402" i="15" s="1"/>
  <c r="DO502" i="15"/>
  <c r="DP502" i="15" s="1"/>
  <c r="DO635" i="15"/>
  <c r="DP635" i="15" s="1"/>
  <c r="DO659" i="15"/>
  <c r="DP659" i="15" s="1"/>
  <c r="DO761" i="15"/>
  <c r="DP761" i="15" s="1"/>
  <c r="DO590" i="15"/>
  <c r="DP590" i="15" s="1"/>
  <c r="DO739" i="15"/>
  <c r="DP739" i="15" s="1"/>
  <c r="DO839" i="15"/>
  <c r="DP839" i="15" s="1"/>
  <c r="DO787" i="15"/>
  <c r="DP787" i="15" s="1"/>
  <c r="DO846" i="15"/>
  <c r="DP846" i="15" s="1"/>
  <c r="DO445" i="15"/>
  <c r="DP445" i="15" s="1"/>
  <c r="DO638" i="15"/>
  <c r="DP638" i="15" s="1"/>
  <c r="DO703" i="15"/>
  <c r="DP703" i="15" s="1"/>
  <c r="DO752" i="15"/>
  <c r="DP752" i="15" s="1"/>
  <c r="DO819" i="15"/>
  <c r="DP819" i="15" s="1"/>
  <c r="DO433" i="15"/>
  <c r="DP433" i="15" s="1"/>
  <c r="DO665" i="15"/>
  <c r="DP665" i="15" s="1"/>
  <c r="DO764" i="15"/>
  <c r="DP764" i="15" s="1"/>
  <c r="DO788" i="15"/>
  <c r="DP788" i="15" s="1"/>
  <c r="DO40" i="15"/>
  <c r="DP40" i="15" s="1"/>
  <c r="DO74" i="15"/>
  <c r="DP74" i="15" s="1"/>
  <c r="H2" i="7"/>
  <c r="G11" i="3"/>
  <c r="G16" i="3"/>
  <c r="G22" i="3"/>
  <c r="G24" i="3"/>
  <c r="G25" i="3"/>
  <c r="G26" i="3"/>
  <c r="G30" i="3"/>
  <c r="G31" i="3"/>
  <c r="G32" i="3"/>
  <c r="G33" i="3"/>
  <c r="G34" i="3"/>
  <c r="G35" i="3"/>
  <c r="G36" i="3"/>
  <c r="G39" i="3"/>
  <c r="G44" i="3"/>
  <c r="G45" i="3"/>
  <c r="G46" i="3"/>
  <c r="G49" i="3"/>
  <c r="G50" i="3"/>
  <c r="G51" i="3"/>
  <c r="G52" i="3"/>
  <c r="G53" i="3"/>
  <c r="G54" i="3"/>
  <c r="G55" i="3"/>
  <c r="G56" i="3"/>
  <c r="G57" i="3"/>
  <c r="G58" i="3"/>
  <c r="G59" i="3"/>
  <c r="G60" i="3"/>
  <c r="M6" i="13"/>
  <c r="AD5" i="1"/>
  <c r="D4" i="3"/>
  <c r="N230" i="1" l="1"/>
  <c r="AA230" i="1"/>
  <c r="AG230" i="1" s="1"/>
  <c r="Z230" i="1"/>
  <c r="AF230" i="1" s="1"/>
  <c r="X230" i="1"/>
  <c r="Y230" i="1"/>
  <c r="AE230" i="1" s="1"/>
  <c r="AB230" i="1"/>
  <c r="AH230" i="1" s="1"/>
  <c r="DP219" i="15"/>
  <c r="DP168" i="15"/>
  <c r="DP190" i="15"/>
  <c r="DP251" i="15"/>
  <c r="DP407" i="15"/>
  <c r="DP232" i="15"/>
  <c r="DP455" i="15"/>
  <c r="DP430" i="15"/>
  <c r="DP491" i="15"/>
  <c r="DP472" i="15"/>
  <c r="DP514" i="15"/>
  <c r="DP529" i="15"/>
  <c r="DP548" i="15"/>
  <c r="DP621" i="15"/>
  <c r="DP611" i="15"/>
  <c r="DP578" i="15"/>
  <c r="DP641" i="15"/>
  <c r="DP668" i="15"/>
  <c r="DP688" i="15"/>
  <c r="DP714" i="15"/>
  <c r="DP732" i="15"/>
  <c r="DP754" i="15"/>
  <c r="DP776" i="15"/>
  <c r="DP796" i="15"/>
  <c r="DP371" i="15"/>
  <c r="DP828" i="15"/>
  <c r="DP325" i="15"/>
  <c r="DP300" i="15"/>
  <c r="DP271" i="15"/>
  <c r="DP145" i="15"/>
  <c r="DP34" i="15"/>
  <c r="DP83" i="15"/>
  <c r="DP65" i="15"/>
  <c r="DP98" i="15"/>
  <c r="DP42" i="15"/>
  <c r="DP125" i="15"/>
  <c r="Y143" i="1"/>
  <c r="AE143" i="1" s="1"/>
  <c r="AA143" i="1"/>
  <c r="AG143" i="1" s="1"/>
  <c r="Z143" i="1"/>
  <c r="AF143" i="1" s="1"/>
  <c r="X143" i="1"/>
  <c r="N143" i="1"/>
  <c r="AB143" i="1"/>
  <c r="AH143" i="1" s="1"/>
  <c r="Y222" i="1"/>
  <c r="AE222" i="1" s="1"/>
  <c r="N222" i="1"/>
  <c r="AB222" i="1"/>
  <c r="AH222" i="1" s="1"/>
  <c r="X222" i="1"/>
  <c r="AA222" i="1"/>
  <c r="AG222" i="1" s="1"/>
  <c r="Z222" i="1"/>
  <c r="AF222" i="1" s="1"/>
  <c r="Y212" i="1"/>
  <c r="AE212" i="1" s="1"/>
  <c r="AA212" i="1"/>
  <c r="AG212" i="1" s="1"/>
  <c r="Z212" i="1"/>
  <c r="AF212" i="1" s="1"/>
  <c r="AB212" i="1"/>
  <c r="AH212" i="1" s="1"/>
  <c r="X212" i="1"/>
  <c r="N212" i="1"/>
  <c r="Z220" i="1"/>
  <c r="AF220" i="1" s="1"/>
  <c r="N220" i="1"/>
  <c r="X220" i="1"/>
  <c r="Y220" i="1"/>
  <c r="AE220" i="1" s="1"/>
  <c r="AB220" i="1"/>
  <c r="AH220" i="1" s="1"/>
  <c r="AA220" i="1"/>
  <c r="AG220" i="1" s="1"/>
  <c r="Z210" i="1"/>
  <c r="AF210" i="1" s="1"/>
  <c r="N210" i="1"/>
  <c r="AA210" i="1"/>
  <c r="AG210" i="1" s="1"/>
  <c r="Y210" i="1"/>
  <c r="AE210" i="1" s="1"/>
  <c r="AB210" i="1"/>
  <c r="AH210" i="1" s="1"/>
  <c r="X210" i="1"/>
  <c r="AA195" i="1"/>
  <c r="AG195" i="1" s="1"/>
  <c r="X195" i="1"/>
  <c r="Z195" i="1"/>
  <c r="AF195" i="1" s="1"/>
  <c r="N195" i="1"/>
  <c r="Y195" i="1"/>
  <c r="AE195" i="1" s="1"/>
  <c r="AB195" i="1"/>
  <c r="AH195" i="1" s="1"/>
  <c r="AA217" i="1"/>
  <c r="AG217" i="1" s="1"/>
  <c r="AB217" i="1"/>
  <c r="AH217" i="1" s="1"/>
  <c r="Z217" i="1"/>
  <c r="AF217" i="1" s="1"/>
  <c r="N217" i="1"/>
  <c r="Y217" i="1"/>
  <c r="AE217" i="1" s="1"/>
  <c r="X217" i="1"/>
  <c r="Z199" i="1"/>
  <c r="AF199" i="1" s="1"/>
  <c r="N199" i="1"/>
  <c r="AB193" i="1"/>
  <c r="AH193" i="1" s="1"/>
  <c r="X193" i="1"/>
  <c r="X199" i="1"/>
  <c r="N193" i="1"/>
  <c r="Y199" i="1"/>
  <c r="AE199" i="1" s="1"/>
  <c r="AA193" i="1"/>
  <c r="AG193" i="1" s="1"/>
  <c r="AB199" i="1"/>
  <c r="AH199" i="1" s="1"/>
  <c r="Z193" i="1"/>
  <c r="AF193" i="1" s="1"/>
  <c r="AA199" i="1"/>
  <c r="AG199" i="1" s="1"/>
  <c r="Y193" i="1"/>
  <c r="AE193" i="1" s="1"/>
  <c r="AA207" i="1"/>
  <c r="AG207" i="1" s="1"/>
  <c r="AB207" i="1"/>
  <c r="AH207" i="1" s="1"/>
  <c r="Z207" i="1"/>
  <c r="AF207" i="1" s="1"/>
  <c r="N207" i="1"/>
  <c r="Y207" i="1"/>
  <c r="AE207" i="1" s="1"/>
  <c r="X207" i="1"/>
  <c r="AB205" i="1"/>
  <c r="AH205" i="1" s="1"/>
  <c r="X205" i="1"/>
  <c r="AA205" i="1"/>
  <c r="AG205" i="1" s="1"/>
  <c r="Z205" i="1"/>
  <c r="AF205" i="1" s="1"/>
  <c r="N205" i="1"/>
  <c r="Y205" i="1"/>
  <c r="AE205" i="1" s="1"/>
  <c r="AB215" i="1"/>
  <c r="AH215" i="1" s="1"/>
  <c r="X215" i="1"/>
  <c r="Z215" i="1"/>
  <c r="AF215" i="1" s="1"/>
  <c r="Y215" i="1"/>
  <c r="AE215" i="1" s="1"/>
  <c r="AA215" i="1"/>
  <c r="AG215" i="1" s="1"/>
  <c r="N215" i="1"/>
  <c r="AA178" i="1"/>
  <c r="AG178" i="1" s="1"/>
  <c r="Z178" i="1"/>
  <c r="AF178" i="1" s="1"/>
  <c r="N178" i="1"/>
  <c r="Y178" i="1"/>
  <c r="AE178" i="1" s="1"/>
  <c r="AB178" i="1"/>
  <c r="AH178" i="1" s="1"/>
  <c r="X178" i="1"/>
  <c r="Y17" i="1"/>
  <c r="AE17" i="1" s="1"/>
  <c r="AB17" i="1"/>
  <c r="AH17" i="1" s="1"/>
  <c r="X17" i="1"/>
  <c r="Z17" i="1"/>
  <c r="AF17" i="1" s="1"/>
  <c r="N17" i="1"/>
  <c r="AA17" i="1"/>
  <c r="AG17" i="1" s="1"/>
  <c r="AB141" i="1"/>
  <c r="AH141" i="1" s="1"/>
  <c r="X141" i="1"/>
  <c r="Y141" i="1"/>
  <c r="AE141" i="1" s="1"/>
  <c r="AA141" i="1"/>
  <c r="AG141" i="1" s="1"/>
  <c r="Z141" i="1"/>
  <c r="AF141" i="1" s="1"/>
  <c r="N141" i="1"/>
  <c r="C8" i="1"/>
  <c r="D9" i="1"/>
  <c r="M9" i="1"/>
  <c r="N9" i="1"/>
  <c r="W9" i="1"/>
  <c r="AC230" i="1" l="1"/>
  <c r="AD230" i="1"/>
  <c r="AI230" i="1" s="1"/>
  <c r="DP144" i="15"/>
  <c r="DP270" i="15"/>
  <c r="DP471" i="15"/>
  <c r="DP577" i="15"/>
  <c r="DP713" i="15"/>
  <c r="AD143" i="1"/>
  <c r="AI143" i="1" s="1"/>
  <c r="AC143" i="1"/>
  <c r="AD215" i="1"/>
  <c r="AI215" i="1" s="1"/>
  <c r="AC215" i="1"/>
  <c r="AD207" i="1"/>
  <c r="AI207" i="1" s="1"/>
  <c r="AC207" i="1"/>
  <c r="AD210" i="1"/>
  <c r="AI210" i="1" s="1"/>
  <c r="AC210" i="1"/>
  <c r="AD222" i="1"/>
  <c r="AI222" i="1" s="1"/>
  <c r="AC222" i="1"/>
  <c r="AD199" i="1"/>
  <c r="AI199" i="1" s="1"/>
  <c r="AC199" i="1"/>
  <c r="AD220" i="1"/>
  <c r="AI220" i="1" s="1"/>
  <c r="AC220" i="1"/>
  <c r="AD212" i="1"/>
  <c r="AI212" i="1" s="1"/>
  <c r="AC212" i="1"/>
  <c r="AD205" i="1"/>
  <c r="AI205" i="1" s="1"/>
  <c r="AC205" i="1"/>
  <c r="AD193" i="1"/>
  <c r="AI193" i="1" s="1"/>
  <c r="AC193" i="1"/>
  <c r="AD217" i="1"/>
  <c r="AI217" i="1" s="1"/>
  <c r="AC217" i="1"/>
  <c r="AD195" i="1"/>
  <c r="AI195" i="1" s="1"/>
  <c r="AC195" i="1"/>
  <c r="AD178" i="1"/>
  <c r="AI178" i="1" s="1"/>
  <c r="AC178" i="1"/>
  <c r="AD17" i="1"/>
  <c r="AI17" i="1" s="1"/>
  <c r="AC17" i="1"/>
  <c r="AD141" i="1"/>
  <c r="AI141" i="1" s="1"/>
  <c r="AC141" i="1"/>
  <c r="C9" i="1"/>
  <c r="E9" i="1"/>
  <c r="F9" i="1" s="1"/>
  <c r="G9" i="1" s="1"/>
  <c r="EV9" i="15" l="1"/>
  <c r="EW9" i="15" s="1"/>
  <c r="EV12" i="15"/>
  <c r="EW12" i="15" s="1"/>
  <c r="EV16" i="15"/>
  <c r="EW16" i="15" s="1"/>
  <c r="EV20" i="15"/>
  <c r="EW20" i="15" s="1"/>
  <c r="EV24" i="15"/>
  <c r="EW24" i="15" s="1"/>
  <c r="EV28" i="15"/>
  <c r="EW28" i="15" s="1"/>
  <c r="EV32" i="15"/>
  <c r="EW32" i="15" s="1"/>
  <c r="EV35" i="15"/>
  <c r="EW35" i="15" s="1"/>
  <c r="EV39" i="15"/>
  <c r="EW39" i="15" s="1"/>
  <c r="EV46" i="15"/>
  <c r="EW46" i="15" s="1"/>
  <c r="EV50" i="15"/>
  <c r="EW50" i="15" s="1"/>
  <c r="EV54" i="15"/>
  <c r="EW54" i="15" s="1"/>
  <c r="EV58" i="15"/>
  <c r="EW58" i="15" s="1"/>
  <c r="EV62" i="15"/>
  <c r="EW62" i="15" s="1"/>
  <c r="EV69" i="15"/>
  <c r="EW69" i="15" s="1"/>
  <c r="EV73" i="15"/>
  <c r="EW73" i="15" s="1"/>
  <c r="EV77" i="15"/>
  <c r="EW77" i="15" s="1"/>
  <c r="EV81" i="15"/>
  <c r="EW81" i="15" s="1"/>
  <c r="EV84" i="15"/>
  <c r="EW84" i="15" s="1"/>
  <c r="EV88" i="15"/>
  <c r="EW88" i="15" s="1"/>
  <c r="EV93" i="15"/>
  <c r="EW93" i="15" s="1"/>
  <c r="EV96" i="15"/>
  <c r="EW96" i="15" s="1"/>
  <c r="EV99" i="15"/>
  <c r="EW99" i="15" s="1"/>
  <c r="EV103" i="15"/>
  <c r="EW103" i="15" s="1"/>
  <c r="EV107" i="15"/>
  <c r="EW107" i="15" s="1"/>
  <c r="EV111" i="15"/>
  <c r="EW111" i="15" s="1"/>
  <c r="EV115" i="15"/>
  <c r="EW115" i="15" s="1"/>
  <c r="EV119" i="15"/>
  <c r="EW119" i="15" s="1"/>
  <c r="EV123" i="15"/>
  <c r="EW123" i="15" s="1"/>
  <c r="EV126" i="15"/>
  <c r="EW126" i="15" s="1"/>
  <c r="EV130" i="15"/>
  <c r="EW130" i="15" s="1"/>
  <c r="EV134" i="15"/>
  <c r="EW134" i="15" s="1"/>
  <c r="EV138" i="15"/>
  <c r="EW138" i="15" s="1"/>
  <c r="EV142" i="15"/>
  <c r="EW142" i="15" s="1"/>
  <c r="EV149" i="15"/>
  <c r="EW149" i="15" s="1"/>
  <c r="EV153" i="15"/>
  <c r="EW153" i="15" s="1"/>
  <c r="EV157" i="15"/>
  <c r="EW157" i="15" s="1"/>
  <c r="EV161" i="15"/>
  <c r="EW161" i="15" s="1"/>
  <c r="EV165" i="15"/>
  <c r="EW165" i="15" s="1"/>
  <c r="EV172" i="15"/>
  <c r="EW172" i="15" s="1"/>
  <c r="EV176" i="15"/>
  <c r="EW176" i="15" s="1"/>
  <c r="EV180" i="15"/>
  <c r="EW180" i="15" s="1"/>
  <c r="EV184" i="15"/>
  <c r="EW184" i="15" s="1"/>
  <c r="EV188" i="15"/>
  <c r="EW188" i="15" s="1"/>
  <c r="EV191" i="15"/>
  <c r="EW191" i="15" s="1"/>
  <c r="EV195" i="15"/>
  <c r="EW195" i="15" s="1"/>
  <c r="EV199" i="15"/>
  <c r="EW199" i="15" s="1"/>
  <c r="EV203" i="15"/>
  <c r="EW203" i="15" s="1"/>
  <c r="EV207" i="15"/>
  <c r="EW207" i="15" s="1"/>
  <c r="EV211" i="15"/>
  <c r="EW211" i="15" s="1"/>
  <c r="EV215" i="15"/>
  <c r="EW215" i="15" s="1"/>
  <c r="EV219" i="15"/>
  <c r="EW219" i="15" s="1"/>
  <c r="EV222" i="15"/>
  <c r="EW222" i="15" s="1"/>
  <c r="EV226" i="15"/>
  <c r="EW226" i="15" s="1"/>
  <c r="EV230" i="15"/>
  <c r="EW230" i="15" s="1"/>
  <c r="EV233" i="15"/>
  <c r="EW233" i="15" s="1"/>
  <c r="EV237" i="15"/>
  <c r="EW237" i="15" s="1"/>
  <c r="EV241" i="15"/>
  <c r="EW241" i="15" s="1"/>
  <c r="EV245" i="15"/>
  <c r="EW245" i="15" s="1"/>
  <c r="EV249" i="15"/>
  <c r="EW249" i="15" s="1"/>
  <c r="EV252" i="15"/>
  <c r="EW252" i="15" s="1"/>
  <c r="EV256" i="15"/>
  <c r="EW256" i="15" s="1"/>
  <c r="EV260" i="15"/>
  <c r="EW260" i="15" s="1"/>
  <c r="EV264" i="15"/>
  <c r="EW264" i="15" s="1"/>
  <c r="EV268" i="15"/>
  <c r="EW268" i="15" s="1"/>
  <c r="EV274" i="15"/>
  <c r="EW274" i="15" s="1"/>
  <c r="EV279" i="15"/>
  <c r="EW279" i="15" s="1"/>
  <c r="EV283" i="15"/>
  <c r="EW283" i="15" s="1"/>
  <c r="EV287" i="15"/>
  <c r="EW287" i="15" s="1"/>
  <c r="EV291" i="15"/>
  <c r="EW291" i="15" s="1"/>
  <c r="EV295" i="15"/>
  <c r="EW295" i="15" s="1"/>
  <c r="EV299" i="15"/>
  <c r="EW299" i="15" s="1"/>
  <c r="EV302" i="15"/>
  <c r="EW302" i="15" s="1"/>
  <c r="EV306" i="15"/>
  <c r="EW306" i="15" s="1"/>
  <c r="EV310" i="15"/>
  <c r="EW310" i="15" s="1"/>
  <c r="EV314" i="15"/>
  <c r="EW314" i="15" s="1"/>
  <c r="EV318" i="15"/>
  <c r="EW318" i="15" s="1"/>
  <c r="EV322" i="15"/>
  <c r="EW322" i="15" s="1"/>
  <c r="EV329" i="15"/>
  <c r="EW329" i="15" s="1"/>
  <c r="EV333" i="15"/>
  <c r="EW333" i="15" s="1"/>
  <c r="EV337" i="15"/>
  <c r="EW337" i="15" s="1"/>
  <c r="EV341" i="15"/>
  <c r="EW341" i="15" s="1"/>
  <c r="EV345" i="15"/>
  <c r="EW345" i="15" s="1"/>
  <c r="EV349" i="15"/>
  <c r="EW349" i="15" s="1"/>
  <c r="EV353" i="15"/>
  <c r="EW353" i="15" s="1"/>
  <c r="EV357" i="15"/>
  <c r="EW357" i="15" s="1"/>
  <c r="EV361" i="15"/>
  <c r="EW361" i="15" s="1"/>
  <c r="EV365" i="15"/>
  <c r="EW365" i="15" s="1"/>
  <c r="EV369" i="15"/>
  <c r="EW369" i="15" s="1"/>
  <c r="EV372" i="15"/>
  <c r="EW372" i="15" s="1"/>
  <c r="EV376" i="15"/>
  <c r="EW376" i="15" s="1"/>
  <c r="EV380" i="15"/>
  <c r="EW380" i="15" s="1"/>
  <c r="EV384" i="15"/>
  <c r="EW384" i="15" s="1"/>
  <c r="EV388" i="15"/>
  <c r="EW388" i="15" s="1"/>
  <c r="EV392" i="15"/>
  <c r="EW392" i="15" s="1"/>
  <c r="EV396" i="15"/>
  <c r="EW396" i="15" s="1"/>
  <c r="EV400" i="15"/>
  <c r="EW400" i="15" s="1"/>
  <c r="EV404" i="15"/>
  <c r="EW404" i="15" s="1"/>
  <c r="EV411" i="15"/>
  <c r="EW411" i="15" s="1"/>
  <c r="EV415" i="15"/>
  <c r="EW415" i="15" s="1"/>
  <c r="EV419" i="15"/>
  <c r="EW419" i="15" s="1"/>
  <c r="EV423" i="15"/>
  <c r="EW423" i="15" s="1"/>
  <c r="EV427" i="15"/>
  <c r="EW427" i="15" s="1"/>
  <c r="EV434" i="15"/>
  <c r="EW434" i="15" s="1"/>
  <c r="EV438" i="15"/>
  <c r="EW438" i="15" s="1"/>
  <c r="EV442" i="15"/>
  <c r="EW442" i="15" s="1"/>
  <c r="EV446" i="15"/>
  <c r="EW446" i="15" s="1"/>
  <c r="EV450" i="15"/>
  <c r="EW450" i="15" s="1"/>
  <c r="EV454" i="15"/>
  <c r="EW454" i="15" s="1"/>
  <c r="EV457" i="15"/>
  <c r="EW457" i="15" s="1"/>
  <c r="EV461" i="15"/>
  <c r="EW461" i="15" s="1"/>
  <c r="EV465" i="15"/>
  <c r="EW465" i="15" s="1"/>
  <c r="EV469" i="15"/>
  <c r="EW469" i="15" s="1"/>
  <c r="EV476" i="15"/>
  <c r="EW476" i="15" s="1"/>
  <c r="EV480" i="15"/>
  <c r="EW480" i="15" s="1"/>
  <c r="EV484" i="15"/>
  <c r="EW484" i="15" s="1"/>
  <c r="EV488" i="15"/>
  <c r="EW488" i="15" s="1"/>
  <c r="EV495" i="15"/>
  <c r="EW495" i="15" s="1"/>
  <c r="EV499" i="15"/>
  <c r="EW499" i="15" s="1"/>
  <c r="EV503" i="15"/>
  <c r="EW503" i="15" s="1"/>
  <c r="EV507" i="15"/>
  <c r="EW507" i="15" s="1"/>
  <c r="EV511" i="15"/>
  <c r="EW511" i="15" s="1"/>
  <c r="EV518" i="15"/>
  <c r="EW518" i="15" s="1"/>
  <c r="EV522" i="15"/>
  <c r="EW522" i="15" s="1"/>
  <c r="EV526" i="15"/>
  <c r="EW526" i="15" s="1"/>
  <c r="EV533" i="15"/>
  <c r="EW533" i="15" s="1"/>
  <c r="EV537" i="15"/>
  <c r="EW537" i="15" s="1"/>
  <c r="EV541" i="15"/>
  <c r="EW541" i="15" s="1"/>
  <c r="EV545" i="15"/>
  <c r="EW545" i="15" s="1"/>
  <c r="EV552" i="15"/>
  <c r="EW552" i="15" s="1"/>
  <c r="EV556" i="15"/>
  <c r="EW556" i="15" s="1"/>
  <c r="EV560" i="15"/>
  <c r="EW560" i="15" s="1"/>
  <c r="EV564" i="15"/>
  <c r="EW564" i="15" s="1"/>
  <c r="EV568" i="15"/>
  <c r="EW568" i="15" s="1"/>
  <c r="EV573" i="15"/>
  <c r="EW573" i="15" s="1"/>
  <c r="EV579" i="15"/>
  <c r="EW579" i="15" s="1"/>
  <c r="EV583" i="15"/>
  <c r="EW583" i="15" s="1"/>
  <c r="EV587" i="15"/>
  <c r="EW587" i="15" s="1"/>
  <c r="EV591" i="15"/>
  <c r="EW591" i="15" s="1"/>
  <c r="EV595" i="15"/>
  <c r="EW595" i="15" s="1"/>
  <c r="EV599" i="15"/>
  <c r="EW599" i="15" s="1"/>
  <c r="EV603" i="15"/>
  <c r="EW603" i="15" s="1"/>
  <c r="EV607" i="15"/>
  <c r="EW607" i="15" s="1"/>
  <c r="EV611" i="15"/>
  <c r="EW611" i="15" s="1"/>
  <c r="EV614" i="15"/>
  <c r="EW614" i="15" s="1"/>
  <c r="EV618" i="15"/>
  <c r="EW618" i="15" s="1"/>
  <c r="EV625" i="15"/>
  <c r="EW625" i="15" s="1"/>
  <c r="EV629" i="15"/>
  <c r="EW629" i="15" s="1"/>
  <c r="EV633" i="15"/>
  <c r="EW633" i="15" s="1"/>
  <c r="EV637" i="15"/>
  <c r="EW637" i="15" s="1"/>
  <c r="EV641" i="15"/>
  <c r="EW641" i="15" s="1"/>
  <c r="EV644" i="15"/>
  <c r="EW644" i="15" s="1"/>
  <c r="EV648" i="15"/>
  <c r="EW648" i="15" s="1"/>
  <c r="EV652" i="15"/>
  <c r="EW652" i="15" s="1"/>
  <c r="EV656" i="15"/>
  <c r="EW656" i="15" s="1"/>
  <c r="EV660" i="15"/>
  <c r="EW660" i="15" s="1"/>
  <c r="EV664" i="15"/>
  <c r="EW664" i="15" s="1"/>
  <c r="EV668" i="15"/>
  <c r="EW668" i="15" s="1"/>
  <c r="EV671" i="15"/>
  <c r="EW671" i="15" s="1"/>
  <c r="EV675" i="15"/>
  <c r="EW675" i="15" s="1"/>
  <c r="EV679" i="15"/>
  <c r="EW679" i="15" s="1"/>
  <c r="EV683" i="15"/>
  <c r="EW683" i="15" s="1"/>
  <c r="EV690" i="15"/>
  <c r="EW690" i="15" s="1"/>
  <c r="EV694" i="15"/>
  <c r="EW694" i="15" s="1"/>
  <c r="EV698" i="15"/>
  <c r="EW698" i="15" s="1"/>
  <c r="EV702" i="15"/>
  <c r="EW702" i="15" s="1"/>
  <c r="EV706" i="15"/>
  <c r="EW706" i="15" s="1"/>
  <c r="EV710" i="15"/>
  <c r="EW710" i="15" s="1"/>
  <c r="EV714" i="15"/>
  <c r="EW714" i="15" s="1"/>
  <c r="EV717" i="15"/>
  <c r="EW717" i="15" s="1"/>
  <c r="EV721" i="15"/>
  <c r="EW721" i="15" s="1"/>
  <c r="EV725" i="15"/>
  <c r="EW725" i="15" s="1"/>
  <c r="EV729" i="15"/>
  <c r="EW729" i="15" s="1"/>
  <c r="EV736" i="15"/>
  <c r="EW736" i="15" s="1"/>
  <c r="EV740" i="15"/>
  <c r="EW740" i="15" s="1"/>
  <c r="EV744" i="15"/>
  <c r="EW744" i="15" s="1"/>
  <c r="EV748" i="15"/>
  <c r="EW748" i="15" s="1"/>
  <c r="EV752" i="15"/>
  <c r="EW752" i="15" s="1"/>
  <c r="EV755" i="15"/>
  <c r="EW755" i="15" s="1"/>
  <c r="EV774" i="15"/>
  <c r="EW774" i="15" s="1"/>
  <c r="EV761" i="15"/>
  <c r="EW761" i="15" s="1"/>
  <c r="EV765" i="15"/>
  <c r="EW765" i="15" s="1"/>
  <c r="EV769" i="15"/>
  <c r="EW769" i="15" s="1"/>
  <c r="EV778" i="15"/>
  <c r="EW778" i="15" s="1"/>
  <c r="EV782" i="15"/>
  <c r="EW782" i="15" s="1"/>
  <c r="EV786" i="15"/>
  <c r="EW786" i="15" s="1"/>
  <c r="EV790" i="15"/>
  <c r="EW790" i="15" s="1"/>
  <c r="EV794" i="15"/>
  <c r="EW794" i="15" s="1"/>
  <c r="EV797" i="15"/>
  <c r="EW797" i="15" s="1"/>
  <c r="EV801" i="15"/>
  <c r="EW801" i="15" s="1"/>
  <c r="EV805" i="15"/>
  <c r="EW805" i="15" s="1"/>
  <c r="EV809" i="15"/>
  <c r="EW809" i="15" s="1"/>
  <c r="EV813" i="15"/>
  <c r="EW813" i="15" s="1"/>
  <c r="EV817" i="15"/>
  <c r="EW817" i="15" s="1"/>
  <c r="EV821" i="15"/>
  <c r="EW821" i="15" s="1"/>
  <c r="EV825" i="15"/>
  <c r="EW825" i="15" s="1"/>
  <c r="EV832" i="15"/>
  <c r="EW832" i="15" s="1"/>
  <c r="EV836" i="15"/>
  <c r="EW836" i="15" s="1"/>
  <c r="EV840" i="15"/>
  <c r="EW840" i="15" s="1"/>
  <c r="EV844" i="15"/>
  <c r="EW844" i="15" s="1"/>
  <c r="EV848" i="15"/>
  <c r="EW848" i="15" s="1"/>
  <c r="EV852" i="15"/>
  <c r="EW852" i="15" s="1"/>
  <c r="EV856" i="15"/>
  <c r="EW856" i="15" s="1"/>
  <c r="EV860" i="15"/>
  <c r="EW860" i="15" s="1"/>
  <c r="EV6" i="15"/>
  <c r="EW6" i="15" s="1"/>
  <c r="EV13" i="15"/>
  <c r="EW13" i="15" s="1"/>
  <c r="EV17" i="15"/>
  <c r="EW17" i="15" s="1"/>
  <c r="EV21" i="15"/>
  <c r="EW21" i="15" s="1"/>
  <c r="EV25" i="15"/>
  <c r="EW25" i="15" s="1"/>
  <c r="EV29" i="15"/>
  <c r="EW29" i="15" s="1"/>
  <c r="EV36" i="15"/>
  <c r="EW36" i="15" s="1"/>
  <c r="EV40" i="15"/>
  <c r="EW40" i="15" s="1"/>
  <c r="EV43" i="15"/>
  <c r="EW43" i="15" s="1"/>
  <c r="EV47" i="15"/>
  <c r="EW47" i="15" s="1"/>
  <c r="EV51" i="15"/>
  <c r="EW51" i="15" s="1"/>
  <c r="EV55" i="15"/>
  <c r="EW55" i="15" s="1"/>
  <c r="EV59" i="15"/>
  <c r="EW59" i="15" s="1"/>
  <c r="EV63" i="15"/>
  <c r="EW63" i="15" s="1"/>
  <c r="EV66" i="15"/>
  <c r="EW66" i="15" s="1"/>
  <c r="EV70" i="15"/>
  <c r="EW70" i="15" s="1"/>
  <c r="EV74" i="15"/>
  <c r="EW74" i="15" s="1"/>
  <c r="EV78" i="15"/>
  <c r="EW78" i="15" s="1"/>
  <c r="EV85" i="15"/>
  <c r="EW85" i="15" s="1"/>
  <c r="EV89" i="15"/>
  <c r="EW89" i="15" s="1"/>
  <c r="EV92" i="15"/>
  <c r="EW92" i="15" s="1"/>
  <c r="EV100" i="15"/>
  <c r="EW100" i="15" s="1"/>
  <c r="EV104" i="15"/>
  <c r="EW104" i="15" s="1"/>
  <c r="EV108" i="15"/>
  <c r="EW108" i="15" s="1"/>
  <c r="EV112" i="15"/>
  <c r="EW112" i="15" s="1"/>
  <c r="EV116" i="15"/>
  <c r="EW116" i="15" s="1"/>
  <c r="EV120" i="15"/>
  <c r="EW120" i="15" s="1"/>
  <c r="EV127" i="15"/>
  <c r="EW127" i="15" s="1"/>
  <c r="EV131" i="15"/>
  <c r="EW131" i="15" s="1"/>
  <c r="EV135" i="15"/>
  <c r="EW135" i="15" s="1"/>
  <c r="EV139" i="15"/>
  <c r="EW139" i="15" s="1"/>
  <c r="EV146" i="15"/>
  <c r="EW146" i="15" s="1"/>
  <c r="EV150" i="15"/>
  <c r="EW150" i="15" s="1"/>
  <c r="EV154" i="15"/>
  <c r="EW154" i="15" s="1"/>
  <c r="EV158" i="15"/>
  <c r="EW158" i="15" s="1"/>
  <c r="EV162" i="15"/>
  <c r="EW162" i="15" s="1"/>
  <c r="EV166" i="15"/>
  <c r="EW166" i="15" s="1"/>
  <c r="EV169" i="15"/>
  <c r="EW169" i="15" s="1"/>
  <c r="EV173" i="15"/>
  <c r="EW173" i="15" s="1"/>
  <c r="EV177" i="15"/>
  <c r="EW177" i="15" s="1"/>
  <c r="EV181" i="15"/>
  <c r="EW181" i="15" s="1"/>
  <c r="EV185" i="15"/>
  <c r="EW185" i="15" s="1"/>
  <c r="EV189" i="15"/>
  <c r="EW189" i="15" s="1"/>
  <c r="EV192" i="15"/>
  <c r="EW192" i="15" s="1"/>
  <c r="EV196" i="15"/>
  <c r="EW196" i="15" s="1"/>
  <c r="EV200" i="15"/>
  <c r="EW200" i="15" s="1"/>
  <c r="EV204" i="15"/>
  <c r="EW204" i="15" s="1"/>
  <c r="EV208" i="15"/>
  <c r="EW208" i="15" s="1"/>
  <c r="EV212" i="15"/>
  <c r="EW212" i="15" s="1"/>
  <c r="EV216" i="15"/>
  <c r="EW216" i="15" s="1"/>
  <c r="EV223" i="15"/>
  <c r="EW223" i="15" s="1"/>
  <c r="EV227" i="15"/>
  <c r="EW227" i="15" s="1"/>
  <c r="EV231" i="15"/>
  <c r="EW231" i="15" s="1"/>
  <c r="EV234" i="15"/>
  <c r="EW234" i="15" s="1"/>
  <c r="EV238" i="15"/>
  <c r="EW238" i="15" s="1"/>
  <c r="EV242" i="15"/>
  <c r="EW242" i="15" s="1"/>
  <c r="EV246" i="15"/>
  <c r="EW246" i="15" s="1"/>
  <c r="EV253" i="15"/>
  <c r="EW253" i="15" s="1"/>
  <c r="EV257" i="15"/>
  <c r="EW257" i="15" s="1"/>
  <c r="EV261" i="15"/>
  <c r="EW261" i="15" s="1"/>
  <c r="EV265" i="15"/>
  <c r="EW265" i="15" s="1"/>
  <c r="EV272" i="15"/>
  <c r="EW272" i="15" s="1"/>
  <c r="EV276" i="15"/>
  <c r="EW276" i="15" s="1"/>
  <c r="EV280" i="15"/>
  <c r="EW280" i="15" s="1"/>
  <c r="EV284" i="15"/>
  <c r="EW284" i="15" s="1"/>
  <c r="EV288" i="15"/>
  <c r="EW288" i="15" s="1"/>
  <c r="EV292" i="15"/>
  <c r="EW292" i="15" s="1"/>
  <c r="EV296" i="15"/>
  <c r="EW296" i="15" s="1"/>
  <c r="EV300" i="15"/>
  <c r="EW300" i="15" s="1"/>
  <c r="EV303" i="15"/>
  <c r="EW303" i="15" s="1"/>
  <c r="EV307" i="15"/>
  <c r="EW307" i="15" s="1"/>
  <c r="EV311" i="15"/>
  <c r="EW311" i="15" s="1"/>
  <c r="EV315" i="15"/>
  <c r="EW315" i="15" s="1"/>
  <c r="EV319" i="15"/>
  <c r="EW319" i="15" s="1"/>
  <c r="EV323" i="15"/>
  <c r="EW323" i="15" s="1"/>
  <c r="EV326" i="15"/>
  <c r="EW326" i="15" s="1"/>
  <c r="EV330" i="15"/>
  <c r="EW330" i="15" s="1"/>
  <c r="EV334" i="15"/>
  <c r="EW334" i="15" s="1"/>
  <c r="EV338" i="15"/>
  <c r="EW338" i="15" s="1"/>
  <c r="EV342" i="15"/>
  <c r="EW342" i="15" s="1"/>
  <c r="EV346" i="15"/>
  <c r="EW346" i="15" s="1"/>
  <c r="EV350" i="15"/>
  <c r="EW350" i="15" s="1"/>
  <c r="EV354" i="15"/>
  <c r="EW354" i="15" s="1"/>
  <c r="EV358" i="15"/>
  <c r="EW358" i="15" s="1"/>
  <c r="EV362" i="15"/>
  <c r="EW362" i="15" s="1"/>
  <c r="EV366" i="15"/>
  <c r="EW366" i="15" s="1"/>
  <c r="EV370" i="15"/>
  <c r="EW370" i="15" s="1"/>
  <c r="EV373" i="15"/>
  <c r="EW373" i="15" s="1"/>
  <c r="EV377" i="15"/>
  <c r="EW377" i="15" s="1"/>
  <c r="EV381" i="15"/>
  <c r="EW381" i="15" s="1"/>
  <c r="EV385" i="15"/>
  <c r="EW385" i="15" s="1"/>
  <c r="EV389" i="15"/>
  <c r="EW389" i="15" s="1"/>
  <c r="EV393" i="15"/>
  <c r="EW393" i="15" s="1"/>
  <c r="EV397" i="15"/>
  <c r="EW397" i="15" s="1"/>
  <c r="EV401" i="15"/>
  <c r="EW401" i="15" s="1"/>
  <c r="EV405" i="15"/>
  <c r="EW405" i="15" s="1"/>
  <c r="EV408" i="15"/>
  <c r="EW408" i="15" s="1"/>
  <c r="EV412" i="15"/>
  <c r="EW412" i="15" s="1"/>
  <c r="EV416" i="15"/>
  <c r="EW416" i="15" s="1"/>
  <c r="EV420" i="15"/>
  <c r="EW420" i="15" s="1"/>
  <c r="EV424" i="15"/>
  <c r="EW424" i="15" s="1"/>
  <c r="EV428" i="15"/>
  <c r="EW428" i="15" s="1"/>
  <c r="EV431" i="15"/>
  <c r="EW431" i="15" s="1"/>
  <c r="EV435" i="15"/>
  <c r="EW435" i="15" s="1"/>
  <c r="EV439" i="15"/>
  <c r="EW439" i="15" s="1"/>
  <c r="EV443" i="15"/>
  <c r="EW443" i="15" s="1"/>
  <c r="EV447" i="15"/>
  <c r="EW447" i="15" s="1"/>
  <c r="EV451" i="15"/>
  <c r="EW451" i="15" s="1"/>
  <c r="EV455" i="15"/>
  <c r="EW455" i="15" s="1"/>
  <c r="EV458" i="15"/>
  <c r="EW458" i="15" s="1"/>
  <c r="EV462" i="15"/>
  <c r="EW462" i="15" s="1"/>
  <c r="EV466" i="15"/>
  <c r="EW466" i="15" s="1"/>
  <c r="EV473" i="15"/>
  <c r="EW473" i="15" s="1"/>
  <c r="EV477" i="15"/>
  <c r="EW477" i="15" s="1"/>
  <c r="EV481" i="15"/>
  <c r="EW481" i="15" s="1"/>
  <c r="EV485" i="15"/>
  <c r="EW485" i="15" s="1"/>
  <c r="EV489" i="15"/>
  <c r="EW489" i="15" s="1"/>
  <c r="EV492" i="15"/>
  <c r="EW492" i="15" s="1"/>
  <c r="EV496" i="15"/>
  <c r="EW496" i="15" s="1"/>
  <c r="EV500" i="15"/>
  <c r="EW500" i="15" s="1"/>
  <c r="EV504" i="15"/>
  <c r="EW504" i="15" s="1"/>
  <c r="EV508" i="15"/>
  <c r="EW508" i="15" s="1"/>
  <c r="EV512" i="15"/>
  <c r="EW512" i="15" s="1"/>
  <c r="EV515" i="15"/>
  <c r="EW515" i="15" s="1"/>
  <c r="EV519" i="15"/>
  <c r="EW519" i="15" s="1"/>
  <c r="EV523" i="15"/>
  <c r="EW523" i="15" s="1"/>
  <c r="EV527" i="15"/>
  <c r="EW527" i="15" s="1"/>
  <c r="EV530" i="15"/>
  <c r="EW530" i="15" s="1"/>
  <c r="EV534" i="15"/>
  <c r="EW534" i="15" s="1"/>
  <c r="EV538" i="15"/>
  <c r="EW538" i="15" s="1"/>
  <c r="EV542" i="15"/>
  <c r="EW542" i="15" s="1"/>
  <c r="EV546" i="15"/>
  <c r="EW546" i="15" s="1"/>
  <c r="EV549" i="15"/>
  <c r="EW549" i="15" s="1"/>
  <c r="EV553" i="15"/>
  <c r="EW553" i="15" s="1"/>
  <c r="EV557" i="15"/>
  <c r="EW557" i="15" s="1"/>
  <c r="EV561" i="15"/>
  <c r="EW561" i="15" s="1"/>
  <c r="EV565" i="15"/>
  <c r="EW565" i="15" s="1"/>
  <c r="EV569" i="15"/>
  <c r="EW569" i="15" s="1"/>
  <c r="EV574" i="15"/>
  <c r="EW574" i="15" s="1"/>
  <c r="EV577" i="15"/>
  <c r="EW577" i="15" s="1"/>
  <c r="EV580" i="15"/>
  <c r="EW580" i="15" s="1"/>
  <c r="EV584" i="15"/>
  <c r="EW584" i="15" s="1"/>
  <c r="EV588" i="15"/>
  <c r="EW588" i="15" s="1"/>
  <c r="EV592" i="15"/>
  <c r="EW592" i="15" s="1"/>
  <c r="EV596" i="15"/>
  <c r="EW596" i="15" s="1"/>
  <c r="EV600" i="15"/>
  <c r="EW600" i="15" s="1"/>
  <c r="EV604" i="15"/>
  <c r="EW604" i="15" s="1"/>
  <c r="EV608" i="15"/>
  <c r="EW608" i="15" s="1"/>
  <c r="EV615" i="15"/>
  <c r="EW615" i="15" s="1"/>
  <c r="EV619" i="15"/>
  <c r="EW619" i="15" s="1"/>
  <c r="EV622" i="15"/>
  <c r="EW622" i="15" s="1"/>
  <c r="EV626" i="15"/>
  <c r="EW626" i="15" s="1"/>
  <c r="EV630" i="15"/>
  <c r="EW630" i="15" s="1"/>
  <c r="EV634" i="15"/>
  <c r="EW634" i="15" s="1"/>
  <c r="EV638" i="15"/>
  <c r="EW638" i="15" s="1"/>
  <c r="EV645" i="15"/>
  <c r="EW645" i="15" s="1"/>
  <c r="EV649" i="15"/>
  <c r="EW649" i="15" s="1"/>
  <c r="EV653" i="15"/>
  <c r="EW653" i="15" s="1"/>
  <c r="EV657" i="15"/>
  <c r="EW657" i="15" s="1"/>
  <c r="EV661" i="15"/>
  <c r="EW661" i="15" s="1"/>
  <c r="EV665" i="15"/>
  <c r="EW665" i="15" s="1"/>
  <c r="EV672" i="15"/>
  <c r="EW672" i="15" s="1"/>
  <c r="EV676" i="15"/>
  <c r="EW676" i="15" s="1"/>
  <c r="EV680" i="15"/>
  <c r="EW680" i="15" s="1"/>
  <c r="EV684" i="15"/>
  <c r="EW684" i="15" s="1"/>
  <c r="EV688" i="15"/>
  <c r="EW688" i="15" s="1"/>
  <c r="EV691" i="15"/>
  <c r="EW691" i="15" s="1"/>
  <c r="EV695" i="15"/>
  <c r="EW695" i="15" s="1"/>
  <c r="EV699" i="15"/>
  <c r="EW699" i="15" s="1"/>
  <c r="EV703" i="15"/>
  <c r="EW703" i="15" s="1"/>
  <c r="EV707" i="15"/>
  <c r="EW707" i="15" s="1"/>
  <c r="EV711" i="15"/>
  <c r="EW711" i="15" s="1"/>
  <c r="EV718" i="15"/>
  <c r="EW718" i="15" s="1"/>
  <c r="EV722" i="15"/>
  <c r="EW722" i="15" s="1"/>
  <c r="EV726" i="15"/>
  <c r="EW726" i="15" s="1"/>
  <c r="EV730" i="15"/>
  <c r="EW730" i="15" s="1"/>
  <c r="EV733" i="15"/>
  <c r="EW733" i="15" s="1"/>
  <c r="EV737" i="15"/>
  <c r="EW737" i="15" s="1"/>
  <c r="EV741" i="15"/>
  <c r="EW741" i="15" s="1"/>
  <c r="EV745" i="15"/>
  <c r="EW745" i="15" s="1"/>
  <c r="EV749" i="15"/>
  <c r="EW749" i="15" s="1"/>
  <c r="EV756" i="15"/>
  <c r="EW756" i="15" s="1"/>
  <c r="EV758" i="15"/>
  <c r="EW758" i="15" s="1"/>
  <c r="EV762" i="15"/>
  <c r="EW762" i="15" s="1"/>
  <c r="EV766" i="15"/>
  <c r="EW766" i="15" s="1"/>
  <c r="EV770" i="15"/>
  <c r="EW770" i="15" s="1"/>
  <c r="EV776" i="15"/>
  <c r="EW776" i="15" s="1"/>
  <c r="EV779" i="15"/>
  <c r="EW779" i="15" s="1"/>
  <c r="EV783" i="15"/>
  <c r="EW783" i="15" s="1"/>
  <c r="EV787" i="15"/>
  <c r="EW787" i="15" s="1"/>
  <c r="EV791" i="15"/>
  <c r="EW791" i="15" s="1"/>
  <c r="EV798" i="15"/>
  <c r="EW798" i="15" s="1"/>
  <c r="EV802" i="15"/>
  <c r="EW802" i="15" s="1"/>
  <c r="EV806" i="15"/>
  <c r="EW806" i="15" s="1"/>
  <c r="EV810" i="15"/>
  <c r="EW810" i="15" s="1"/>
  <c r="EV814" i="15"/>
  <c r="EW814" i="15" s="1"/>
  <c r="EV818" i="15"/>
  <c r="EW818" i="15" s="1"/>
  <c r="EV822" i="15"/>
  <c r="EW822" i="15" s="1"/>
  <c r="EV826" i="15"/>
  <c r="EW826" i="15" s="1"/>
  <c r="EV829" i="15"/>
  <c r="EW829" i="15" s="1"/>
  <c r="EV833" i="15"/>
  <c r="EW833" i="15" s="1"/>
  <c r="EV837" i="15"/>
  <c r="EW837" i="15" s="1"/>
  <c r="EV841" i="15"/>
  <c r="EW841" i="15" s="1"/>
  <c r="EV845" i="15"/>
  <c r="EW845" i="15" s="1"/>
  <c r="EV849" i="15"/>
  <c r="EW849" i="15" s="1"/>
  <c r="EV853" i="15"/>
  <c r="EW853" i="15" s="1"/>
  <c r="EV857" i="15"/>
  <c r="EW857" i="15" s="1"/>
  <c r="EV861" i="15"/>
  <c r="EW861" i="15" s="1"/>
  <c r="EV10" i="15"/>
  <c r="EW10" i="15" s="1"/>
  <c r="EV14" i="15"/>
  <c r="EW14" i="15" s="1"/>
  <c r="EV18" i="15"/>
  <c r="EW18" i="15" s="1"/>
  <c r="EV22" i="15"/>
  <c r="EW22" i="15" s="1"/>
  <c r="EV26" i="15"/>
  <c r="EW26" i="15" s="1"/>
  <c r="EV30" i="15"/>
  <c r="EW30" i="15" s="1"/>
  <c r="EV34" i="15"/>
  <c r="EW34" i="15" s="1"/>
  <c r="EV37" i="15"/>
  <c r="EW37" i="15" s="1"/>
  <c r="EV44" i="15"/>
  <c r="EW44" i="15" s="1"/>
  <c r="EV48" i="15"/>
  <c r="EW48" i="15" s="1"/>
  <c r="EV52" i="15"/>
  <c r="EW52" i="15" s="1"/>
  <c r="EV56" i="15"/>
  <c r="EW56" i="15" s="1"/>
  <c r="EV60" i="15"/>
  <c r="EW60" i="15" s="1"/>
  <c r="EV67" i="15"/>
  <c r="EW67" i="15" s="1"/>
  <c r="EV71" i="15"/>
  <c r="EW71" i="15" s="1"/>
  <c r="EV75" i="15"/>
  <c r="EW75" i="15" s="1"/>
  <c r="EV79" i="15"/>
  <c r="EW79" i="15" s="1"/>
  <c r="EV83" i="15"/>
  <c r="EW83" i="15" s="1"/>
  <c r="EV86" i="15"/>
  <c r="EW86" i="15" s="1"/>
  <c r="EV90" i="15"/>
  <c r="EW90" i="15" s="1"/>
  <c r="EV94" i="15"/>
  <c r="EW94" i="15" s="1"/>
  <c r="EV98" i="15"/>
  <c r="EW98" i="15" s="1"/>
  <c r="EV101" i="15"/>
  <c r="EW101" i="15" s="1"/>
  <c r="EV105" i="15"/>
  <c r="EW105" i="15" s="1"/>
  <c r="EV109" i="15"/>
  <c r="EW109" i="15" s="1"/>
  <c r="EV113" i="15"/>
  <c r="EW113" i="15" s="1"/>
  <c r="EV117" i="15"/>
  <c r="EW117" i="15" s="1"/>
  <c r="EV121" i="15"/>
  <c r="EW121" i="15" s="1"/>
  <c r="EV125" i="15"/>
  <c r="EW125" i="15" s="1"/>
  <c r="EV128" i="15"/>
  <c r="EW128" i="15" s="1"/>
  <c r="EV132" i="15"/>
  <c r="EW132" i="15" s="1"/>
  <c r="EV136" i="15"/>
  <c r="EW136" i="15" s="1"/>
  <c r="EV140" i="15"/>
  <c r="EW140" i="15" s="1"/>
  <c r="EV144" i="15"/>
  <c r="EW144" i="15" s="1"/>
  <c r="EV147" i="15"/>
  <c r="EW147" i="15" s="1"/>
  <c r="EV151" i="15"/>
  <c r="EW151" i="15" s="1"/>
  <c r="EV155" i="15"/>
  <c r="EW155" i="15" s="1"/>
  <c r="EV159" i="15"/>
  <c r="EW159" i="15" s="1"/>
  <c r="EV163" i="15"/>
  <c r="EW163" i="15" s="1"/>
  <c r="EV167" i="15"/>
  <c r="EW167" i="15" s="1"/>
  <c r="EV170" i="15"/>
  <c r="EW170" i="15" s="1"/>
  <c r="EV174" i="15"/>
  <c r="EW174" i="15" s="1"/>
  <c r="EV178" i="15"/>
  <c r="EW178" i="15" s="1"/>
  <c r="EV182" i="15"/>
  <c r="EW182" i="15" s="1"/>
  <c r="EV186" i="15"/>
  <c r="EW186" i="15" s="1"/>
  <c r="EV190" i="15"/>
  <c r="EW190" i="15" s="1"/>
  <c r="EV193" i="15"/>
  <c r="EW193" i="15" s="1"/>
  <c r="EV197" i="15"/>
  <c r="EW197" i="15" s="1"/>
  <c r="EV201" i="15"/>
  <c r="EW201" i="15" s="1"/>
  <c r="EV205" i="15"/>
  <c r="EW205" i="15" s="1"/>
  <c r="EV209" i="15"/>
  <c r="EW209" i="15" s="1"/>
  <c r="EV213" i="15"/>
  <c r="EW213" i="15" s="1"/>
  <c r="EV217" i="15"/>
  <c r="EW217" i="15" s="1"/>
  <c r="EV220" i="15"/>
  <c r="EW220" i="15" s="1"/>
  <c r="EV224" i="15"/>
  <c r="EW224" i="15" s="1"/>
  <c r="EV228" i="15"/>
  <c r="EW228" i="15" s="1"/>
  <c r="EV232" i="15"/>
  <c r="EW232" i="15" s="1"/>
  <c r="EV235" i="15"/>
  <c r="EW235" i="15" s="1"/>
  <c r="EV239" i="15"/>
  <c r="EW239" i="15" s="1"/>
  <c r="EV243" i="15"/>
  <c r="EW243" i="15" s="1"/>
  <c r="EV247" i="15"/>
  <c r="EW247" i="15" s="1"/>
  <c r="EV251" i="15"/>
  <c r="EW251" i="15" s="1"/>
  <c r="EV254" i="15"/>
  <c r="EW254" i="15" s="1"/>
  <c r="EV258" i="15"/>
  <c r="EW258" i="15" s="1"/>
  <c r="EV262" i="15"/>
  <c r="EW262" i="15" s="1"/>
  <c r="EV266" i="15"/>
  <c r="EW266" i="15" s="1"/>
  <c r="EV270" i="15"/>
  <c r="EW270" i="15" s="1"/>
  <c r="EV273" i="15"/>
  <c r="EW273" i="15" s="1"/>
  <c r="EV277" i="15"/>
  <c r="EW277" i="15" s="1"/>
  <c r="EV281" i="15"/>
  <c r="EW281" i="15" s="1"/>
  <c r="EV285" i="15"/>
  <c r="EW285" i="15" s="1"/>
  <c r="EV289" i="15"/>
  <c r="EW289" i="15" s="1"/>
  <c r="EV293" i="15"/>
  <c r="EW293" i="15" s="1"/>
  <c r="EV297" i="15"/>
  <c r="EW297" i="15" s="1"/>
  <c r="EV304" i="15"/>
  <c r="EW304" i="15" s="1"/>
  <c r="EV308" i="15"/>
  <c r="EW308" i="15" s="1"/>
  <c r="EV312" i="15"/>
  <c r="EW312" i="15" s="1"/>
  <c r="EV316" i="15"/>
  <c r="EW316" i="15" s="1"/>
  <c r="EV320" i="15"/>
  <c r="EW320" i="15" s="1"/>
  <c r="EV327" i="15"/>
  <c r="EW327" i="15" s="1"/>
  <c r="EV331" i="15"/>
  <c r="EW331" i="15" s="1"/>
  <c r="EV335" i="15"/>
  <c r="EW335" i="15" s="1"/>
  <c r="EV339" i="15"/>
  <c r="EW339" i="15" s="1"/>
  <c r="EV343" i="15"/>
  <c r="EW343" i="15" s="1"/>
  <c r="EV347" i="15"/>
  <c r="EW347" i="15" s="1"/>
  <c r="EV351" i="15"/>
  <c r="EW351" i="15" s="1"/>
  <c r="EV355" i="15"/>
  <c r="EW355" i="15" s="1"/>
  <c r="EV359" i="15"/>
  <c r="EW359" i="15" s="1"/>
  <c r="EV363" i="15"/>
  <c r="EW363" i="15" s="1"/>
  <c r="EV367" i="15"/>
  <c r="EW367" i="15" s="1"/>
  <c r="EV371" i="15"/>
  <c r="EW371" i="15" s="1"/>
  <c r="EV374" i="15"/>
  <c r="EW374" i="15" s="1"/>
  <c r="EV378" i="15"/>
  <c r="EW378" i="15" s="1"/>
  <c r="EV382" i="15"/>
  <c r="EW382" i="15" s="1"/>
  <c r="EV386" i="15"/>
  <c r="EW386" i="15" s="1"/>
  <c r="EV390" i="15"/>
  <c r="EW390" i="15" s="1"/>
  <c r="EV394" i="15"/>
  <c r="EW394" i="15" s="1"/>
  <c r="EV398" i="15"/>
  <c r="EW398" i="15" s="1"/>
  <c r="EV402" i="15"/>
  <c r="EW402" i="15" s="1"/>
  <c r="EV409" i="15"/>
  <c r="EW409" i="15" s="1"/>
  <c r="EV413" i="15"/>
  <c r="EW413" i="15" s="1"/>
  <c r="EV417" i="15"/>
  <c r="EW417" i="15" s="1"/>
  <c r="EV421" i="15"/>
  <c r="EW421" i="15" s="1"/>
  <c r="EV425" i="15"/>
  <c r="EW425" i="15" s="1"/>
  <c r="EV432" i="15"/>
  <c r="EW432" i="15" s="1"/>
  <c r="EV436" i="15"/>
  <c r="EW436" i="15" s="1"/>
  <c r="EV440" i="15"/>
  <c r="EW440" i="15" s="1"/>
  <c r="EV444" i="15"/>
  <c r="EW444" i="15" s="1"/>
  <c r="EV448" i="15"/>
  <c r="EW448" i="15" s="1"/>
  <c r="EV452" i="15"/>
  <c r="EW452" i="15" s="1"/>
  <c r="EV459" i="15"/>
  <c r="EW459" i="15" s="1"/>
  <c r="EV463" i="15"/>
  <c r="EW463" i="15" s="1"/>
  <c r="EV467" i="15"/>
  <c r="EW467" i="15" s="1"/>
  <c r="EV471" i="15"/>
  <c r="EW471" i="15" s="1"/>
  <c r="EV474" i="15"/>
  <c r="EW474" i="15" s="1"/>
  <c r="EV478" i="15"/>
  <c r="EW478" i="15" s="1"/>
  <c r="EV482" i="15"/>
  <c r="EW482" i="15" s="1"/>
  <c r="EV486" i="15"/>
  <c r="EW486" i="15" s="1"/>
  <c r="EV493" i="15"/>
  <c r="EW493" i="15" s="1"/>
  <c r="EV497" i="15"/>
  <c r="EW497" i="15" s="1"/>
  <c r="EV501" i="15"/>
  <c r="EW501" i="15" s="1"/>
  <c r="EV505" i="15"/>
  <c r="EW505" i="15" s="1"/>
  <c r="EV509" i="15"/>
  <c r="EW509" i="15" s="1"/>
  <c r="EV513" i="15"/>
  <c r="EW513" i="15" s="1"/>
  <c r="EV516" i="15"/>
  <c r="EW516" i="15" s="1"/>
  <c r="EV520" i="15"/>
  <c r="EW520" i="15" s="1"/>
  <c r="EV524" i="15"/>
  <c r="EW524" i="15" s="1"/>
  <c r="EV531" i="15"/>
  <c r="EW531" i="15" s="1"/>
  <c r="EV535" i="15"/>
  <c r="EW535" i="15" s="1"/>
  <c r="EV539" i="15"/>
  <c r="EW539" i="15" s="1"/>
  <c r="EV543" i="15"/>
  <c r="EW543" i="15" s="1"/>
  <c r="EV547" i="15"/>
  <c r="EW547" i="15" s="1"/>
  <c r="EV550" i="15"/>
  <c r="EW550" i="15" s="1"/>
  <c r="EV554" i="15"/>
  <c r="EW554" i="15" s="1"/>
  <c r="EV558" i="15"/>
  <c r="EW558" i="15" s="1"/>
  <c r="EV562" i="15"/>
  <c r="EW562" i="15" s="1"/>
  <c r="EV566" i="15"/>
  <c r="EW566" i="15" s="1"/>
  <c r="EV570" i="15"/>
  <c r="EW570" i="15" s="1"/>
  <c r="EV572" i="15"/>
  <c r="EW572" i="15" s="1"/>
  <c r="EV578" i="15"/>
  <c r="EW578" i="15" s="1"/>
  <c r="EV581" i="15"/>
  <c r="EW581" i="15" s="1"/>
  <c r="EV585" i="15"/>
  <c r="EW585" i="15" s="1"/>
  <c r="EV589" i="15"/>
  <c r="EW589" i="15" s="1"/>
  <c r="EV593" i="15"/>
  <c r="EW593" i="15" s="1"/>
  <c r="EV597" i="15"/>
  <c r="EW597" i="15" s="1"/>
  <c r="EV601" i="15"/>
  <c r="EW601" i="15" s="1"/>
  <c r="EV605" i="15"/>
  <c r="EW605" i="15" s="1"/>
  <c r="EV609" i="15"/>
  <c r="EW609" i="15" s="1"/>
  <c r="EV612" i="15"/>
  <c r="EW612" i="15" s="1"/>
  <c r="EV616" i="15"/>
  <c r="EW616" i="15" s="1"/>
  <c r="EV620" i="15"/>
  <c r="EW620" i="15" s="1"/>
  <c r="EV623" i="15"/>
  <c r="EW623" i="15" s="1"/>
  <c r="EV627" i="15"/>
  <c r="EW627" i="15" s="1"/>
  <c r="EV631" i="15"/>
  <c r="EW631" i="15" s="1"/>
  <c r="EV635" i="15"/>
  <c r="EW635" i="15" s="1"/>
  <c r="EV639" i="15"/>
  <c r="EW639" i="15" s="1"/>
  <c r="EV642" i="15"/>
  <c r="EW642" i="15" s="1"/>
  <c r="EV646" i="15"/>
  <c r="EW646" i="15" s="1"/>
  <c r="EV650" i="15"/>
  <c r="EW650" i="15" s="1"/>
  <c r="EV654" i="15"/>
  <c r="EW654" i="15" s="1"/>
  <c r="EV658" i="15"/>
  <c r="EW658" i="15" s="1"/>
  <c r="EV662" i="15"/>
  <c r="EW662" i="15" s="1"/>
  <c r="EV666" i="15"/>
  <c r="EW666" i="15" s="1"/>
  <c r="EV669" i="15"/>
  <c r="EW669" i="15" s="1"/>
  <c r="EV673" i="15"/>
  <c r="EW673" i="15" s="1"/>
  <c r="EV677" i="15"/>
  <c r="EW677" i="15" s="1"/>
  <c r="EV681" i="15"/>
  <c r="EW681" i="15" s="1"/>
  <c r="EV685" i="15"/>
  <c r="EW685" i="15" s="1"/>
  <c r="EV692" i="15"/>
  <c r="EW692" i="15" s="1"/>
  <c r="EV696" i="15"/>
  <c r="EW696" i="15" s="1"/>
  <c r="EV700" i="15"/>
  <c r="EW700" i="15" s="1"/>
  <c r="EV704" i="15"/>
  <c r="EW704" i="15" s="1"/>
  <c r="EV708" i="15"/>
  <c r="EW708" i="15" s="1"/>
  <c r="EV715" i="15"/>
  <c r="EW715" i="15" s="1"/>
  <c r="EV719" i="15"/>
  <c r="EW719" i="15" s="1"/>
  <c r="EV723" i="15"/>
  <c r="EW723" i="15" s="1"/>
  <c r="EV727" i="15"/>
  <c r="EW727" i="15" s="1"/>
  <c r="EV734" i="15"/>
  <c r="EW734" i="15" s="1"/>
  <c r="EV738" i="15"/>
  <c r="EW738" i="15" s="1"/>
  <c r="EV742" i="15"/>
  <c r="EW742" i="15" s="1"/>
  <c r="EV746" i="15"/>
  <c r="EW746" i="15" s="1"/>
  <c r="EV750" i="15"/>
  <c r="EW750" i="15" s="1"/>
  <c r="EV754" i="15"/>
  <c r="EW754" i="15" s="1"/>
  <c r="EV757" i="15"/>
  <c r="EW757" i="15" s="1"/>
  <c r="EV759" i="15"/>
  <c r="EW759" i="15" s="1"/>
  <c r="EV763" i="15"/>
  <c r="EW763" i="15" s="1"/>
  <c r="EV767" i="15"/>
  <c r="EW767" i="15" s="1"/>
  <c r="EV771" i="15"/>
  <c r="EW771" i="15" s="1"/>
  <c r="EV780" i="15"/>
  <c r="EW780" i="15" s="1"/>
  <c r="EV784" i="15"/>
  <c r="EW784" i="15" s="1"/>
  <c r="EV788" i="15"/>
  <c r="EW788" i="15" s="1"/>
  <c r="EV792" i="15"/>
  <c r="EW792" i="15" s="1"/>
  <c r="EV796" i="15"/>
  <c r="EW796" i="15" s="1"/>
  <c r="EV799" i="15"/>
  <c r="EW799" i="15" s="1"/>
  <c r="EV803" i="15"/>
  <c r="EW803" i="15" s="1"/>
  <c r="EV807" i="15"/>
  <c r="EW807" i="15" s="1"/>
  <c r="EV811" i="15"/>
  <c r="EW811" i="15" s="1"/>
  <c r="EV815" i="15"/>
  <c r="EW815" i="15" s="1"/>
  <c r="EV819" i="15"/>
  <c r="EW819" i="15" s="1"/>
  <c r="EV823" i="15"/>
  <c r="EW823" i="15" s="1"/>
  <c r="EV830" i="15"/>
  <c r="EW830" i="15" s="1"/>
  <c r="EV834" i="15"/>
  <c r="EW834" i="15" s="1"/>
  <c r="EV838" i="15"/>
  <c r="EW838" i="15" s="1"/>
  <c r="EV842" i="15"/>
  <c r="EW842" i="15" s="1"/>
  <c r="EV846" i="15"/>
  <c r="EW846" i="15" s="1"/>
  <c r="EV850" i="15"/>
  <c r="EW850" i="15" s="1"/>
  <c r="EV854" i="15"/>
  <c r="EW854" i="15" s="1"/>
  <c r="EV858" i="15"/>
  <c r="EW858" i="15" s="1"/>
  <c r="EV11" i="15"/>
  <c r="EW11" i="15" s="1"/>
  <c r="EV27" i="15"/>
  <c r="EW27" i="15" s="1"/>
  <c r="EV42" i="15"/>
  <c r="EW42" i="15" s="1"/>
  <c r="EV57" i="15"/>
  <c r="EW57" i="15" s="1"/>
  <c r="EV72" i="15"/>
  <c r="EW72" i="15" s="1"/>
  <c r="EV87" i="15"/>
  <c r="EW87" i="15" s="1"/>
  <c r="EV102" i="15"/>
  <c r="EW102" i="15" s="1"/>
  <c r="EV118" i="15"/>
  <c r="EW118" i="15" s="1"/>
  <c r="EV133" i="15"/>
  <c r="EW133" i="15" s="1"/>
  <c r="EV148" i="15"/>
  <c r="EW148" i="15" s="1"/>
  <c r="EV164" i="15"/>
  <c r="EW164" i="15" s="1"/>
  <c r="EV179" i="15"/>
  <c r="EW179" i="15" s="1"/>
  <c r="EV194" i="15"/>
  <c r="EW194" i="15" s="1"/>
  <c r="EV210" i="15"/>
  <c r="EW210" i="15" s="1"/>
  <c r="EV225" i="15"/>
  <c r="EW225" i="15" s="1"/>
  <c r="EV240" i="15"/>
  <c r="EW240" i="15" s="1"/>
  <c r="EV255" i="15"/>
  <c r="EW255" i="15" s="1"/>
  <c r="EV271" i="15"/>
  <c r="EW271" i="15" s="1"/>
  <c r="EV286" i="15"/>
  <c r="EW286" i="15" s="1"/>
  <c r="EV301" i="15"/>
  <c r="EW301" i="15" s="1"/>
  <c r="EV317" i="15"/>
  <c r="EW317" i="15" s="1"/>
  <c r="EV332" i="15"/>
  <c r="EW332" i="15" s="1"/>
  <c r="EV348" i="15"/>
  <c r="EW348" i="15" s="1"/>
  <c r="EV364" i="15"/>
  <c r="EW364" i="15" s="1"/>
  <c r="EV379" i="15"/>
  <c r="EW379" i="15" s="1"/>
  <c r="EV395" i="15"/>
  <c r="EW395" i="15" s="1"/>
  <c r="EV410" i="15"/>
  <c r="EW410" i="15" s="1"/>
  <c r="EV426" i="15"/>
  <c r="EW426" i="15" s="1"/>
  <c r="EV441" i="15"/>
  <c r="EW441" i="15" s="1"/>
  <c r="EV456" i="15"/>
  <c r="EW456" i="15" s="1"/>
  <c r="EV472" i="15"/>
  <c r="EW472" i="15" s="1"/>
  <c r="EV487" i="15"/>
  <c r="EW487" i="15" s="1"/>
  <c r="EV502" i="15"/>
  <c r="EW502" i="15" s="1"/>
  <c r="EV517" i="15"/>
  <c r="EW517" i="15" s="1"/>
  <c r="EV532" i="15"/>
  <c r="EW532" i="15" s="1"/>
  <c r="EV548" i="15"/>
  <c r="EW548" i="15" s="1"/>
  <c r="EV563" i="15"/>
  <c r="EW563" i="15" s="1"/>
  <c r="EV594" i="15"/>
  <c r="EW594" i="15" s="1"/>
  <c r="EV610" i="15"/>
  <c r="EW610" i="15" s="1"/>
  <c r="EV624" i="15"/>
  <c r="EW624" i="15" s="1"/>
  <c r="EV655" i="15"/>
  <c r="EW655" i="15" s="1"/>
  <c r="EV670" i="15"/>
  <c r="EW670" i="15" s="1"/>
  <c r="EV686" i="15"/>
  <c r="EW686" i="15" s="1"/>
  <c r="EV701" i="15"/>
  <c r="EW701" i="15" s="1"/>
  <c r="EV716" i="15"/>
  <c r="EW716" i="15" s="1"/>
  <c r="EV732" i="15"/>
  <c r="EW732" i="15" s="1"/>
  <c r="EV747" i="15"/>
  <c r="EW747" i="15" s="1"/>
  <c r="EV760" i="15"/>
  <c r="EW760" i="15" s="1"/>
  <c r="EV777" i="15"/>
  <c r="EW777" i="15" s="1"/>
  <c r="EV793" i="15"/>
  <c r="EW793" i="15" s="1"/>
  <c r="EV808" i="15"/>
  <c r="EW808" i="15" s="1"/>
  <c r="EV824" i="15"/>
  <c r="EW824" i="15" s="1"/>
  <c r="EV839" i="15"/>
  <c r="EW839" i="15" s="1"/>
  <c r="EV855" i="15"/>
  <c r="EW855" i="15" s="1"/>
  <c r="EV8" i="15"/>
  <c r="EW8" i="15" s="1"/>
  <c r="EV53" i="15"/>
  <c r="EW53" i="15" s="1"/>
  <c r="EV68" i="15"/>
  <c r="EW68" i="15" s="1"/>
  <c r="EV114" i="15"/>
  <c r="EW114" i="15" s="1"/>
  <c r="EV160" i="15"/>
  <c r="EW160" i="15" s="1"/>
  <c r="EV236" i="15"/>
  <c r="EW236" i="15" s="1"/>
  <c r="EV282" i="15"/>
  <c r="EW282" i="15" s="1"/>
  <c r="EV328" i="15"/>
  <c r="EW328" i="15" s="1"/>
  <c r="EV360" i="15"/>
  <c r="EW360" i="15" s="1"/>
  <c r="EV407" i="15"/>
  <c r="EW407" i="15" s="1"/>
  <c r="EV453" i="15"/>
  <c r="EW453" i="15" s="1"/>
  <c r="EV498" i="15"/>
  <c r="EW498" i="15" s="1"/>
  <c r="EV529" i="15"/>
  <c r="EW529" i="15" s="1"/>
  <c r="EV575" i="15"/>
  <c r="EW575" i="15" s="1"/>
  <c r="EV636" i="15"/>
  <c r="EW636" i="15" s="1"/>
  <c r="EV682" i="15"/>
  <c r="EW682" i="15" s="1"/>
  <c r="EV728" i="15"/>
  <c r="EW728" i="15" s="1"/>
  <c r="EV773" i="15"/>
  <c r="EW773" i="15" s="1"/>
  <c r="EV804" i="15"/>
  <c r="EW804" i="15" s="1"/>
  <c r="EV851" i="15"/>
  <c r="EW851" i="15" s="1"/>
  <c r="EV15" i="15"/>
  <c r="EW15" i="15" s="1"/>
  <c r="EV31" i="15"/>
  <c r="EW31" i="15" s="1"/>
  <c r="EV45" i="15"/>
  <c r="EW45" i="15" s="1"/>
  <c r="EV61" i="15"/>
  <c r="EW61" i="15" s="1"/>
  <c r="EV76" i="15"/>
  <c r="EW76" i="15" s="1"/>
  <c r="EV91" i="15"/>
  <c r="EW91" i="15" s="1"/>
  <c r="EV106" i="15"/>
  <c r="EW106" i="15" s="1"/>
  <c r="EV122" i="15"/>
  <c r="EW122" i="15" s="1"/>
  <c r="EV137" i="15"/>
  <c r="EW137" i="15" s="1"/>
  <c r="EV152" i="15"/>
  <c r="EW152" i="15" s="1"/>
  <c r="EV168" i="15"/>
  <c r="EW168" i="15" s="1"/>
  <c r="EV183" i="15"/>
  <c r="EW183" i="15" s="1"/>
  <c r="EV198" i="15"/>
  <c r="EW198" i="15" s="1"/>
  <c r="EV214" i="15"/>
  <c r="EW214" i="15" s="1"/>
  <c r="EV229" i="15"/>
  <c r="EW229" i="15" s="1"/>
  <c r="EV244" i="15"/>
  <c r="EW244" i="15" s="1"/>
  <c r="EV259" i="15"/>
  <c r="EW259" i="15" s="1"/>
  <c r="EV275" i="15"/>
  <c r="EW275" i="15" s="1"/>
  <c r="EV290" i="15"/>
  <c r="EW290" i="15" s="1"/>
  <c r="EV305" i="15"/>
  <c r="EW305" i="15" s="1"/>
  <c r="EV321" i="15"/>
  <c r="EW321" i="15" s="1"/>
  <c r="EV336" i="15"/>
  <c r="EW336" i="15" s="1"/>
  <c r="EV352" i="15"/>
  <c r="EW352" i="15" s="1"/>
  <c r="EV368" i="15"/>
  <c r="EW368" i="15" s="1"/>
  <c r="EV383" i="15"/>
  <c r="EW383" i="15" s="1"/>
  <c r="EV399" i="15"/>
  <c r="EW399" i="15" s="1"/>
  <c r="EV414" i="15"/>
  <c r="EW414" i="15" s="1"/>
  <c r="EV430" i="15"/>
  <c r="EW430" i="15" s="1"/>
  <c r="EV445" i="15"/>
  <c r="EW445" i="15" s="1"/>
  <c r="EV460" i="15"/>
  <c r="EW460" i="15" s="1"/>
  <c r="EV475" i="15"/>
  <c r="EW475" i="15" s="1"/>
  <c r="EV491" i="15"/>
  <c r="EW491" i="15" s="1"/>
  <c r="EV506" i="15"/>
  <c r="EW506" i="15" s="1"/>
  <c r="EV521" i="15"/>
  <c r="EW521" i="15" s="1"/>
  <c r="EV536" i="15"/>
  <c r="EW536" i="15" s="1"/>
  <c r="EV551" i="15"/>
  <c r="EW551" i="15" s="1"/>
  <c r="EV567" i="15"/>
  <c r="EW567" i="15" s="1"/>
  <c r="EV582" i="15"/>
  <c r="EW582" i="15" s="1"/>
  <c r="EV598" i="15"/>
  <c r="EW598" i="15" s="1"/>
  <c r="EV613" i="15"/>
  <c r="EW613" i="15" s="1"/>
  <c r="EV628" i="15"/>
  <c r="EW628" i="15" s="1"/>
  <c r="EV643" i="15"/>
  <c r="EW643" i="15" s="1"/>
  <c r="EV659" i="15"/>
  <c r="EW659" i="15" s="1"/>
  <c r="EV674" i="15"/>
  <c r="EW674" i="15" s="1"/>
  <c r="EV689" i="15"/>
  <c r="EW689" i="15" s="1"/>
  <c r="EV705" i="15"/>
  <c r="EW705" i="15" s="1"/>
  <c r="EV720" i="15"/>
  <c r="EW720" i="15" s="1"/>
  <c r="EV735" i="15"/>
  <c r="EW735" i="15" s="1"/>
  <c r="EV751" i="15"/>
  <c r="EW751" i="15" s="1"/>
  <c r="EV764" i="15"/>
  <c r="EW764" i="15" s="1"/>
  <c r="EV781" i="15"/>
  <c r="EW781" i="15" s="1"/>
  <c r="EV812" i="15"/>
  <c r="EW812" i="15" s="1"/>
  <c r="EV828" i="15"/>
  <c r="EW828" i="15" s="1"/>
  <c r="EV843" i="15"/>
  <c r="EW843" i="15" s="1"/>
  <c r="EV859" i="15"/>
  <c r="EW859" i="15" s="1"/>
  <c r="EV23" i="15"/>
  <c r="EW23" i="15" s="1"/>
  <c r="EV145" i="15"/>
  <c r="EW145" i="15" s="1"/>
  <c r="EV221" i="15"/>
  <c r="EW221" i="15" s="1"/>
  <c r="EV267" i="15"/>
  <c r="EW267" i="15" s="1"/>
  <c r="EV313" i="15"/>
  <c r="EW313" i="15" s="1"/>
  <c r="EV375" i="15"/>
  <c r="EW375" i="15" s="1"/>
  <c r="EV437" i="15"/>
  <c r="EW437" i="15" s="1"/>
  <c r="EV483" i="15"/>
  <c r="EW483" i="15" s="1"/>
  <c r="EV559" i="15"/>
  <c r="EW559" i="15" s="1"/>
  <c r="EV606" i="15"/>
  <c r="EW606" i="15" s="1"/>
  <c r="EV651" i="15"/>
  <c r="EW651" i="15" s="1"/>
  <c r="EV713" i="15"/>
  <c r="EW713" i="15" s="1"/>
  <c r="EV772" i="15"/>
  <c r="EW772" i="15" s="1"/>
  <c r="EV835" i="15"/>
  <c r="EW835" i="15" s="1"/>
  <c r="EV19" i="15"/>
  <c r="EW19" i="15" s="1"/>
  <c r="EV49" i="15"/>
  <c r="EW49" i="15" s="1"/>
  <c r="EV65" i="15"/>
  <c r="EW65" i="15" s="1"/>
  <c r="EV80" i="15"/>
  <c r="EW80" i="15" s="1"/>
  <c r="EV95" i="15"/>
  <c r="EW95" i="15" s="1"/>
  <c r="EV110" i="15"/>
  <c r="EW110" i="15" s="1"/>
  <c r="EV141" i="15"/>
  <c r="EW141" i="15" s="1"/>
  <c r="EV156" i="15"/>
  <c r="EW156" i="15" s="1"/>
  <c r="EV171" i="15"/>
  <c r="EW171" i="15" s="1"/>
  <c r="EV187" i="15"/>
  <c r="EW187" i="15" s="1"/>
  <c r="EV202" i="15"/>
  <c r="EW202" i="15" s="1"/>
  <c r="EV218" i="15"/>
  <c r="EW218" i="15" s="1"/>
  <c r="EV248" i="15"/>
  <c r="EW248" i="15" s="1"/>
  <c r="EV263" i="15"/>
  <c r="EW263" i="15" s="1"/>
  <c r="EV278" i="15"/>
  <c r="EW278" i="15" s="1"/>
  <c r="EV294" i="15"/>
  <c r="EW294" i="15" s="1"/>
  <c r="EV309" i="15"/>
  <c r="EW309" i="15" s="1"/>
  <c r="EV325" i="15"/>
  <c r="EW325" i="15" s="1"/>
  <c r="EV340" i="15"/>
  <c r="EW340" i="15" s="1"/>
  <c r="EV356" i="15"/>
  <c r="EW356" i="15" s="1"/>
  <c r="EV387" i="15"/>
  <c r="EW387" i="15" s="1"/>
  <c r="EV403" i="15"/>
  <c r="EW403" i="15" s="1"/>
  <c r="EV418" i="15"/>
  <c r="EW418" i="15" s="1"/>
  <c r="EV433" i="15"/>
  <c r="EW433" i="15" s="1"/>
  <c r="EV449" i="15"/>
  <c r="EW449" i="15" s="1"/>
  <c r="EV464" i="15"/>
  <c r="EW464" i="15" s="1"/>
  <c r="EV479" i="15"/>
  <c r="EW479" i="15" s="1"/>
  <c r="EV494" i="15"/>
  <c r="EW494" i="15" s="1"/>
  <c r="EV510" i="15"/>
  <c r="EW510" i="15" s="1"/>
  <c r="EV525" i="15"/>
  <c r="EW525" i="15" s="1"/>
  <c r="EV540" i="15"/>
  <c r="EW540" i="15" s="1"/>
  <c r="EV555" i="15"/>
  <c r="EW555" i="15" s="1"/>
  <c r="EV571" i="15"/>
  <c r="EW571" i="15" s="1"/>
  <c r="EV586" i="15"/>
  <c r="EW586" i="15" s="1"/>
  <c r="EV602" i="15"/>
  <c r="EW602" i="15" s="1"/>
  <c r="EV617" i="15"/>
  <c r="EW617" i="15" s="1"/>
  <c r="EV632" i="15"/>
  <c r="EW632" i="15" s="1"/>
  <c r="EV647" i="15"/>
  <c r="EW647" i="15" s="1"/>
  <c r="EV663" i="15"/>
  <c r="EW663" i="15" s="1"/>
  <c r="EV678" i="15"/>
  <c r="EW678" i="15" s="1"/>
  <c r="EV693" i="15"/>
  <c r="EW693" i="15" s="1"/>
  <c r="EV709" i="15"/>
  <c r="EW709" i="15" s="1"/>
  <c r="EV724" i="15"/>
  <c r="EW724" i="15" s="1"/>
  <c r="EV739" i="15"/>
  <c r="EW739" i="15" s="1"/>
  <c r="EV768" i="15"/>
  <c r="EW768" i="15" s="1"/>
  <c r="EV785" i="15"/>
  <c r="EW785" i="15" s="1"/>
  <c r="EV800" i="15"/>
  <c r="EW800" i="15" s="1"/>
  <c r="EV816" i="15"/>
  <c r="EW816" i="15" s="1"/>
  <c r="EV831" i="15"/>
  <c r="EW831" i="15" s="1"/>
  <c r="EV847" i="15"/>
  <c r="EW847" i="15" s="1"/>
  <c r="EV38" i="15"/>
  <c r="EW38" i="15" s="1"/>
  <c r="EV129" i="15"/>
  <c r="EW129" i="15" s="1"/>
  <c r="EV175" i="15"/>
  <c r="EW175" i="15" s="1"/>
  <c r="EV206" i="15"/>
  <c r="EW206" i="15" s="1"/>
  <c r="EV298" i="15"/>
  <c r="EW298" i="15" s="1"/>
  <c r="EV344" i="15"/>
  <c r="EW344" i="15" s="1"/>
  <c r="EV391" i="15"/>
  <c r="EW391" i="15" s="1"/>
  <c r="EV422" i="15"/>
  <c r="EW422" i="15" s="1"/>
  <c r="EV468" i="15"/>
  <c r="EW468" i="15" s="1"/>
  <c r="EV514" i="15"/>
  <c r="EW514" i="15" s="1"/>
  <c r="EV544" i="15"/>
  <c r="EW544" i="15" s="1"/>
  <c r="EV590" i="15"/>
  <c r="EW590" i="15" s="1"/>
  <c r="EV621" i="15"/>
  <c r="EW621" i="15" s="1"/>
  <c r="EV667" i="15"/>
  <c r="EW667" i="15" s="1"/>
  <c r="EV697" i="15"/>
  <c r="EW697" i="15" s="1"/>
  <c r="EV743" i="15"/>
  <c r="EW743" i="15" s="1"/>
  <c r="EV789" i="15"/>
  <c r="EW789" i="15" s="1"/>
  <c r="EV820" i="15"/>
  <c r="EW820" i="15" s="1"/>
  <c r="FA9" i="15"/>
  <c r="FB9" i="15" s="1"/>
  <c r="FA12" i="15"/>
  <c r="FB12" i="15" s="1"/>
  <c r="FA16" i="15"/>
  <c r="FB16" i="15" s="1"/>
  <c r="FA20" i="15"/>
  <c r="FB20" i="15" s="1"/>
  <c r="FA24" i="15"/>
  <c r="FB24" i="15" s="1"/>
  <c r="FA28" i="15"/>
  <c r="FB28" i="15" s="1"/>
  <c r="FA32" i="15"/>
  <c r="FB32" i="15" s="1"/>
  <c r="FA35" i="15"/>
  <c r="FB35" i="15" s="1"/>
  <c r="FA39" i="15"/>
  <c r="FB39" i="15" s="1"/>
  <c r="FA46" i="15"/>
  <c r="FB46" i="15" s="1"/>
  <c r="FA50" i="15"/>
  <c r="FB50" i="15" s="1"/>
  <c r="FA54" i="15"/>
  <c r="FB54" i="15" s="1"/>
  <c r="FA58" i="15"/>
  <c r="FB58" i="15" s="1"/>
  <c r="FA62" i="15"/>
  <c r="FB62" i="15" s="1"/>
  <c r="FA69" i="15"/>
  <c r="FB69" i="15" s="1"/>
  <c r="FA73" i="15"/>
  <c r="FB73" i="15" s="1"/>
  <c r="FA77" i="15"/>
  <c r="FB77" i="15" s="1"/>
  <c r="FA81" i="15"/>
  <c r="FB81" i="15" s="1"/>
  <c r="FA84" i="15"/>
  <c r="FB84" i="15" s="1"/>
  <c r="FA88" i="15"/>
  <c r="FB88" i="15" s="1"/>
  <c r="FA93" i="15"/>
  <c r="FB93" i="15" s="1"/>
  <c r="FA96" i="15"/>
  <c r="FB96" i="15" s="1"/>
  <c r="FA99" i="15"/>
  <c r="FB99" i="15" s="1"/>
  <c r="FA103" i="15"/>
  <c r="FB103" i="15" s="1"/>
  <c r="FA107" i="15"/>
  <c r="FB107" i="15" s="1"/>
  <c r="FA111" i="15"/>
  <c r="FB111" i="15" s="1"/>
  <c r="FA115" i="15"/>
  <c r="FB115" i="15" s="1"/>
  <c r="FA119" i="15"/>
  <c r="FB119" i="15" s="1"/>
  <c r="FA123" i="15"/>
  <c r="FB123" i="15" s="1"/>
  <c r="FA126" i="15"/>
  <c r="FB126" i="15" s="1"/>
  <c r="FA130" i="15"/>
  <c r="FB130" i="15" s="1"/>
  <c r="FA134" i="15"/>
  <c r="FB134" i="15" s="1"/>
  <c r="FA138" i="15"/>
  <c r="FB138" i="15" s="1"/>
  <c r="FA142" i="15"/>
  <c r="FB142" i="15" s="1"/>
  <c r="FA149" i="15"/>
  <c r="FB149" i="15" s="1"/>
  <c r="FA153" i="15"/>
  <c r="FB153" i="15" s="1"/>
  <c r="FA157" i="15"/>
  <c r="FB157" i="15" s="1"/>
  <c r="FA161" i="15"/>
  <c r="FB161" i="15" s="1"/>
  <c r="FA165" i="15"/>
  <c r="FB165" i="15" s="1"/>
  <c r="FA172" i="15"/>
  <c r="FB172" i="15" s="1"/>
  <c r="FA176" i="15"/>
  <c r="FB176" i="15" s="1"/>
  <c r="FA180" i="15"/>
  <c r="FB180" i="15" s="1"/>
  <c r="FA184" i="15"/>
  <c r="FB184" i="15" s="1"/>
  <c r="FA188" i="15"/>
  <c r="FB188" i="15" s="1"/>
  <c r="FA191" i="15"/>
  <c r="FB191" i="15" s="1"/>
  <c r="FA195" i="15"/>
  <c r="FB195" i="15" s="1"/>
  <c r="FA199" i="15"/>
  <c r="FB199" i="15" s="1"/>
  <c r="FA203" i="15"/>
  <c r="FB203" i="15" s="1"/>
  <c r="FA207" i="15"/>
  <c r="FB207" i="15" s="1"/>
  <c r="FA211" i="15"/>
  <c r="FB211" i="15" s="1"/>
  <c r="FA215" i="15"/>
  <c r="FB215" i="15" s="1"/>
  <c r="FA219" i="15"/>
  <c r="FB219" i="15" s="1"/>
  <c r="FA222" i="15"/>
  <c r="FB222" i="15" s="1"/>
  <c r="FA226" i="15"/>
  <c r="FB226" i="15" s="1"/>
  <c r="FA230" i="15"/>
  <c r="FB230" i="15" s="1"/>
  <c r="FA233" i="15"/>
  <c r="FB233" i="15" s="1"/>
  <c r="FA237" i="15"/>
  <c r="FB237" i="15" s="1"/>
  <c r="FA241" i="15"/>
  <c r="FB241" i="15" s="1"/>
  <c r="FA245" i="15"/>
  <c r="FB245" i="15" s="1"/>
  <c r="FA249" i="15"/>
  <c r="FB249" i="15" s="1"/>
  <c r="FA252" i="15"/>
  <c r="FB252" i="15" s="1"/>
  <c r="FA256" i="15"/>
  <c r="FB256" i="15" s="1"/>
  <c r="FA260" i="15"/>
  <c r="FB260" i="15" s="1"/>
  <c r="FA264" i="15"/>
  <c r="FB264" i="15" s="1"/>
  <c r="FA268" i="15"/>
  <c r="FB268" i="15" s="1"/>
  <c r="FA274" i="15"/>
  <c r="FB274" i="15" s="1"/>
  <c r="FA279" i="15"/>
  <c r="FB279" i="15" s="1"/>
  <c r="FA283" i="15"/>
  <c r="FB283" i="15" s="1"/>
  <c r="FA287" i="15"/>
  <c r="FB287" i="15" s="1"/>
  <c r="FA291" i="15"/>
  <c r="FB291" i="15" s="1"/>
  <c r="FA295" i="15"/>
  <c r="FB295" i="15" s="1"/>
  <c r="FA299" i="15"/>
  <c r="FB299" i="15" s="1"/>
  <c r="FA302" i="15"/>
  <c r="FB302" i="15" s="1"/>
  <c r="FA306" i="15"/>
  <c r="FB306" i="15" s="1"/>
  <c r="FA310" i="15"/>
  <c r="FB310" i="15" s="1"/>
  <c r="FA314" i="15"/>
  <c r="FB314" i="15" s="1"/>
  <c r="FA318" i="15"/>
  <c r="FB318" i="15" s="1"/>
  <c r="FA322" i="15"/>
  <c r="FB322" i="15" s="1"/>
  <c r="FA329" i="15"/>
  <c r="FB329" i="15" s="1"/>
  <c r="FA333" i="15"/>
  <c r="FB333" i="15" s="1"/>
  <c r="FA337" i="15"/>
  <c r="FB337" i="15" s="1"/>
  <c r="FA341" i="15"/>
  <c r="FB341" i="15" s="1"/>
  <c r="FA345" i="15"/>
  <c r="FB345" i="15" s="1"/>
  <c r="FA349" i="15"/>
  <c r="FB349" i="15" s="1"/>
  <c r="FA353" i="15"/>
  <c r="FB353" i="15" s="1"/>
  <c r="FA357" i="15"/>
  <c r="FB357" i="15" s="1"/>
  <c r="FA361" i="15"/>
  <c r="FB361" i="15" s="1"/>
  <c r="FA365" i="15"/>
  <c r="FB365" i="15" s="1"/>
  <c r="FA369" i="15"/>
  <c r="FB369" i="15" s="1"/>
  <c r="FA372" i="15"/>
  <c r="FB372" i="15" s="1"/>
  <c r="FA376" i="15"/>
  <c r="FB376" i="15" s="1"/>
  <c r="FA380" i="15"/>
  <c r="FB380" i="15" s="1"/>
  <c r="FA384" i="15"/>
  <c r="FB384" i="15" s="1"/>
  <c r="FA388" i="15"/>
  <c r="FB388" i="15" s="1"/>
  <c r="FA392" i="15"/>
  <c r="FB392" i="15" s="1"/>
  <c r="FA396" i="15"/>
  <c r="FB396" i="15" s="1"/>
  <c r="FA400" i="15"/>
  <c r="FB400" i="15" s="1"/>
  <c r="FA404" i="15"/>
  <c r="FB404" i="15" s="1"/>
  <c r="FA411" i="15"/>
  <c r="FB411" i="15" s="1"/>
  <c r="FA415" i="15"/>
  <c r="FB415" i="15" s="1"/>
  <c r="FA419" i="15"/>
  <c r="FB419" i="15" s="1"/>
  <c r="FA423" i="15"/>
  <c r="FB423" i="15" s="1"/>
  <c r="FA427" i="15"/>
  <c r="FB427" i="15" s="1"/>
  <c r="FA434" i="15"/>
  <c r="FB434" i="15" s="1"/>
  <c r="FA438" i="15"/>
  <c r="FB438" i="15" s="1"/>
  <c r="FA442" i="15"/>
  <c r="FB442" i="15" s="1"/>
  <c r="FA446" i="15"/>
  <c r="FB446" i="15" s="1"/>
  <c r="FA450" i="15"/>
  <c r="FB450" i="15" s="1"/>
  <c r="FA454" i="15"/>
  <c r="FB454" i="15" s="1"/>
  <c r="FA457" i="15"/>
  <c r="FB457" i="15" s="1"/>
  <c r="FA461" i="15"/>
  <c r="FB461" i="15" s="1"/>
  <c r="FA465" i="15"/>
  <c r="FB465" i="15" s="1"/>
  <c r="FA469" i="15"/>
  <c r="FB469" i="15" s="1"/>
  <c r="FA476" i="15"/>
  <c r="FB476" i="15" s="1"/>
  <c r="FA480" i="15"/>
  <c r="FB480" i="15" s="1"/>
  <c r="FA484" i="15"/>
  <c r="FB484" i="15" s="1"/>
  <c r="FA488" i="15"/>
  <c r="FB488" i="15" s="1"/>
  <c r="FA495" i="15"/>
  <c r="FB495" i="15" s="1"/>
  <c r="FA499" i="15"/>
  <c r="FB499" i="15" s="1"/>
  <c r="FA503" i="15"/>
  <c r="FB503" i="15" s="1"/>
  <c r="FA507" i="15"/>
  <c r="FB507" i="15" s="1"/>
  <c r="FA511" i="15"/>
  <c r="FB511" i="15" s="1"/>
  <c r="FA518" i="15"/>
  <c r="FB518" i="15" s="1"/>
  <c r="FA522" i="15"/>
  <c r="FB522" i="15" s="1"/>
  <c r="FA526" i="15"/>
  <c r="FB526" i="15" s="1"/>
  <c r="FA533" i="15"/>
  <c r="FB533" i="15" s="1"/>
  <c r="FA537" i="15"/>
  <c r="FB537" i="15" s="1"/>
  <c r="FA541" i="15"/>
  <c r="FB541" i="15" s="1"/>
  <c r="FA545" i="15"/>
  <c r="FB545" i="15" s="1"/>
  <c r="FA552" i="15"/>
  <c r="FB552" i="15" s="1"/>
  <c r="FA556" i="15"/>
  <c r="FB556" i="15" s="1"/>
  <c r="FA560" i="15"/>
  <c r="FB560" i="15" s="1"/>
  <c r="FA564" i="15"/>
  <c r="FB564" i="15" s="1"/>
  <c r="FA568" i="15"/>
  <c r="FB568" i="15" s="1"/>
  <c r="FA573" i="15"/>
  <c r="FB573" i="15" s="1"/>
  <c r="FA579" i="15"/>
  <c r="FB579" i="15" s="1"/>
  <c r="FA583" i="15"/>
  <c r="FB583" i="15" s="1"/>
  <c r="FA587" i="15"/>
  <c r="FB587" i="15" s="1"/>
  <c r="FA591" i="15"/>
  <c r="FB591" i="15" s="1"/>
  <c r="FA595" i="15"/>
  <c r="FB595" i="15" s="1"/>
  <c r="FA599" i="15"/>
  <c r="FB599" i="15" s="1"/>
  <c r="FA603" i="15"/>
  <c r="FB603" i="15" s="1"/>
  <c r="FA607" i="15"/>
  <c r="FB607" i="15" s="1"/>
  <c r="FA611" i="15"/>
  <c r="FB611" i="15" s="1"/>
  <c r="FA614" i="15"/>
  <c r="FB614" i="15" s="1"/>
  <c r="FA618" i="15"/>
  <c r="FB618" i="15" s="1"/>
  <c r="FA625" i="15"/>
  <c r="FB625" i="15" s="1"/>
  <c r="FA629" i="15"/>
  <c r="FB629" i="15" s="1"/>
  <c r="FA633" i="15"/>
  <c r="FB633" i="15" s="1"/>
  <c r="FA637" i="15"/>
  <c r="FB637" i="15" s="1"/>
  <c r="FA641" i="15"/>
  <c r="FB641" i="15" s="1"/>
  <c r="FA644" i="15"/>
  <c r="FB644" i="15" s="1"/>
  <c r="FA648" i="15"/>
  <c r="FB648" i="15" s="1"/>
  <c r="FA652" i="15"/>
  <c r="FB652" i="15" s="1"/>
  <c r="FA656" i="15"/>
  <c r="FB656" i="15" s="1"/>
  <c r="FA660" i="15"/>
  <c r="FB660" i="15" s="1"/>
  <c r="FA664" i="15"/>
  <c r="FB664" i="15" s="1"/>
  <c r="FA668" i="15"/>
  <c r="FB668" i="15" s="1"/>
  <c r="FA671" i="15"/>
  <c r="FB671" i="15" s="1"/>
  <c r="FA675" i="15"/>
  <c r="FB675" i="15" s="1"/>
  <c r="FA679" i="15"/>
  <c r="FB679" i="15" s="1"/>
  <c r="FA683" i="15"/>
  <c r="FB683" i="15" s="1"/>
  <c r="FA690" i="15"/>
  <c r="FB690" i="15" s="1"/>
  <c r="FA694" i="15"/>
  <c r="FB694" i="15" s="1"/>
  <c r="FA698" i="15"/>
  <c r="FB698" i="15" s="1"/>
  <c r="FA702" i="15"/>
  <c r="FB702" i="15" s="1"/>
  <c r="FA6" i="15"/>
  <c r="FB6" i="15" s="1"/>
  <c r="FA13" i="15"/>
  <c r="FB13" i="15" s="1"/>
  <c r="FA17" i="15"/>
  <c r="FB17" i="15" s="1"/>
  <c r="FA21" i="15"/>
  <c r="FB21" i="15" s="1"/>
  <c r="FA25" i="15"/>
  <c r="FB25" i="15" s="1"/>
  <c r="FA29" i="15"/>
  <c r="FB29" i="15" s="1"/>
  <c r="FA36" i="15"/>
  <c r="FB36" i="15" s="1"/>
  <c r="FA40" i="15"/>
  <c r="FB40" i="15" s="1"/>
  <c r="FA43" i="15"/>
  <c r="FB43" i="15" s="1"/>
  <c r="FA47" i="15"/>
  <c r="FB47" i="15" s="1"/>
  <c r="FA51" i="15"/>
  <c r="FB51" i="15" s="1"/>
  <c r="FA55" i="15"/>
  <c r="FB55" i="15" s="1"/>
  <c r="FA59" i="15"/>
  <c r="FB59" i="15" s="1"/>
  <c r="FA63" i="15"/>
  <c r="FB63" i="15" s="1"/>
  <c r="FA66" i="15"/>
  <c r="FB66" i="15" s="1"/>
  <c r="FA70" i="15"/>
  <c r="FB70" i="15" s="1"/>
  <c r="FA74" i="15"/>
  <c r="FB74" i="15" s="1"/>
  <c r="FA78" i="15"/>
  <c r="FB78" i="15" s="1"/>
  <c r="FA85" i="15"/>
  <c r="FB85" i="15" s="1"/>
  <c r="FA89" i="15"/>
  <c r="FB89" i="15" s="1"/>
  <c r="FA92" i="15"/>
  <c r="FB92" i="15" s="1"/>
  <c r="FA100" i="15"/>
  <c r="FB100" i="15" s="1"/>
  <c r="FA104" i="15"/>
  <c r="FB104" i="15" s="1"/>
  <c r="FA108" i="15"/>
  <c r="FB108" i="15" s="1"/>
  <c r="FA112" i="15"/>
  <c r="FB112" i="15" s="1"/>
  <c r="FA116" i="15"/>
  <c r="FB116" i="15" s="1"/>
  <c r="FA120" i="15"/>
  <c r="FB120" i="15" s="1"/>
  <c r="FA127" i="15"/>
  <c r="FB127" i="15" s="1"/>
  <c r="FA131" i="15"/>
  <c r="FB131" i="15" s="1"/>
  <c r="FA135" i="15"/>
  <c r="FB135" i="15" s="1"/>
  <c r="FA139" i="15"/>
  <c r="FB139" i="15" s="1"/>
  <c r="FA146" i="15"/>
  <c r="FB146" i="15" s="1"/>
  <c r="FA150" i="15"/>
  <c r="FB150" i="15" s="1"/>
  <c r="FA154" i="15"/>
  <c r="FB154" i="15" s="1"/>
  <c r="FA158" i="15"/>
  <c r="FB158" i="15" s="1"/>
  <c r="FA162" i="15"/>
  <c r="FB162" i="15" s="1"/>
  <c r="FA166" i="15"/>
  <c r="FB166" i="15" s="1"/>
  <c r="FA169" i="15"/>
  <c r="FB169" i="15" s="1"/>
  <c r="FA173" i="15"/>
  <c r="FB173" i="15" s="1"/>
  <c r="FA177" i="15"/>
  <c r="FB177" i="15" s="1"/>
  <c r="FA181" i="15"/>
  <c r="FB181" i="15" s="1"/>
  <c r="FA185" i="15"/>
  <c r="FB185" i="15" s="1"/>
  <c r="FA189" i="15"/>
  <c r="FB189" i="15" s="1"/>
  <c r="FA192" i="15"/>
  <c r="FB192" i="15" s="1"/>
  <c r="FA196" i="15"/>
  <c r="FB196" i="15" s="1"/>
  <c r="FA200" i="15"/>
  <c r="FB200" i="15" s="1"/>
  <c r="FA204" i="15"/>
  <c r="FB204" i="15" s="1"/>
  <c r="FA208" i="15"/>
  <c r="FB208" i="15" s="1"/>
  <c r="FA212" i="15"/>
  <c r="FB212" i="15" s="1"/>
  <c r="FA216" i="15"/>
  <c r="FB216" i="15" s="1"/>
  <c r="FA223" i="15"/>
  <c r="FB223" i="15" s="1"/>
  <c r="FA227" i="15"/>
  <c r="FB227" i="15" s="1"/>
  <c r="FA231" i="15"/>
  <c r="FB231" i="15" s="1"/>
  <c r="FA234" i="15"/>
  <c r="FB234" i="15" s="1"/>
  <c r="FA238" i="15"/>
  <c r="FB238" i="15" s="1"/>
  <c r="FA242" i="15"/>
  <c r="FB242" i="15" s="1"/>
  <c r="FA246" i="15"/>
  <c r="FB246" i="15" s="1"/>
  <c r="FA253" i="15"/>
  <c r="FB253" i="15" s="1"/>
  <c r="FA257" i="15"/>
  <c r="FB257" i="15" s="1"/>
  <c r="FA261" i="15"/>
  <c r="FB261" i="15" s="1"/>
  <c r="FA265" i="15"/>
  <c r="FB265" i="15" s="1"/>
  <c r="FA272" i="15"/>
  <c r="FB272" i="15" s="1"/>
  <c r="FA276" i="15"/>
  <c r="FB276" i="15" s="1"/>
  <c r="FA280" i="15"/>
  <c r="FB280" i="15" s="1"/>
  <c r="FA284" i="15"/>
  <c r="FB284" i="15" s="1"/>
  <c r="FA288" i="15"/>
  <c r="FB288" i="15" s="1"/>
  <c r="FA292" i="15"/>
  <c r="FB292" i="15" s="1"/>
  <c r="FA296" i="15"/>
  <c r="FB296" i="15" s="1"/>
  <c r="FA300" i="15"/>
  <c r="FB300" i="15" s="1"/>
  <c r="FA303" i="15"/>
  <c r="FB303" i="15" s="1"/>
  <c r="FA307" i="15"/>
  <c r="FB307" i="15" s="1"/>
  <c r="FA311" i="15"/>
  <c r="FB311" i="15" s="1"/>
  <c r="FA315" i="15"/>
  <c r="FB315" i="15" s="1"/>
  <c r="FA319" i="15"/>
  <c r="FB319" i="15" s="1"/>
  <c r="FA323" i="15"/>
  <c r="FB323" i="15" s="1"/>
  <c r="FA326" i="15"/>
  <c r="FB326" i="15" s="1"/>
  <c r="FA330" i="15"/>
  <c r="FB330" i="15" s="1"/>
  <c r="FA334" i="15"/>
  <c r="FB334" i="15" s="1"/>
  <c r="FA338" i="15"/>
  <c r="FB338" i="15" s="1"/>
  <c r="FA342" i="15"/>
  <c r="FB342" i="15" s="1"/>
  <c r="FA346" i="15"/>
  <c r="FB346" i="15" s="1"/>
  <c r="FA350" i="15"/>
  <c r="FB350" i="15" s="1"/>
  <c r="FA354" i="15"/>
  <c r="FB354" i="15" s="1"/>
  <c r="FA358" i="15"/>
  <c r="FB358" i="15" s="1"/>
  <c r="FA362" i="15"/>
  <c r="FB362" i="15" s="1"/>
  <c r="FA366" i="15"/>
  <c r="FB366" i="15" s="1"/>
  <c r="FA370" i="15"/>
  <c r="FB370" i="15" s="1"/>
  <c r="FA373" i="15"/>
  <c r="FB373" i="15" s="1"/>
  <c r="FA377" i="15"/>
  <c r="FB377" i="15" s="1"/>
  <c r="FA381" i="15"/>
  <c r="FB381" i="15" s="1"/>
  <c r="FA385" i="15"/>
  <c r="FB385" i="15" s="1"/>
  <c r="FA389" i="15"/>
  <c r="FB389" i="15" s="1"/>
  <c r="FA393" i="15"/>
  <c r="FB393" i="15" s="1"/>
  <c r="FA397" i="15"/>
  <c r="FB397" i="15" s="1"/>
  <c r="FA401" i="15"/>
  <c r="FB401" i="15" s="1"/>
  <c r="FA405" i="15"/>
  <c r="FB405" i="15" s="1"/>
  <c r="FA408" i="15"/>
  <c r="FB408" i="15" s="1"/>
  <c r="FA412" i="15"/>
  <c r="FB412" i="15" s="1"/>
  <c r="FA416" i="15"/>
  <c r="FB416" i="15" s="1"/>
  <c r="FA420" i="15"/>
  <c r="FB420" i="15" s="1"/>
  <c r="FA424" i="15"/>
  <c r="FB424" i="15" s="1"/>
  <c r="FA428" i="15"/>
  <c r="FB428" i="15" s="1"/>
  <c r="FA431" i="15"/>
  <c r="FB431" i="15" s="1"/>
  <c r="FA435" i="15"/>
  <c r="FB435" i="15" s="1"/>
  <c r="FA439" i="15"/>
  <c r="FB439" i="15" s="1"/>
  <c r="FA443" i="15"/>
  <c r="FB443" i="15" s="1"/>
  <c r="FA447" i="15"/>
  <c r="FB447" i="15" s="1"/>
  <c r="FA451" i="15"/>
  <c r="FB451" i="15" s="1"/>
  <c r="FA455" i="15"/>
  <c r="FB455" i="15" s="1"/>
  <c r="FA458" i="15"/>
  <c r="FB458" i="15" s="1"/>
  <c r="FA462" i="15"/>
  <c r="FB462" i="15" s="1"/>
  <c r="FA466" i="15"/>
  <c r="FB466" i="15" s="1"/>
  <c r="FA473" i="15"/>
  <c r="FB473" i="15" s="1"/>
  <c r="FA477" i="15"/>
  <c r="FB477" i="15" s="1"/>
  <c r="FA481" i="15"/>
  <c r="FB481" i="15" s="1"/>
  <c r="FA485" i="15"/>
  <c r="FB485" i="15" s="1"/>
  <c r="FA489" i="15"/>
  <c r="FB489" i="15" s="1"/>
  <c r="FA492" i="15"/>
  <c r="FB492" i="15" s="1"/>
  <c r="FA496" i="15"/>
  <c r="FB496" i="15" s="1"/>
  <c r="FA500" i="15"/>
  <c r="FB500" i="15" s="1"/>
  <c r="FA504" i="15"/>
  <c r="FB504" i="15" s="1"/>
  <c r="FA508" i="15"/>
  <c r="FB508" i="15" s="1"/>
  <c r="FA512" i="15"/>
  <c r="FB512" i="15" s="1"/>
  <c r="FA515" i="15"/>
  <c r="FB515" i="15" s="1"/>
  <c r="FA519" i="15"/>
  <c r="FB519" i="15" s="1"/>
  <c r="FA523" i="15"/>
  <c r="FB523" i="15" s="1"/>
  <c r="FA527" i="15"/>
  <c r="FB527" i="15" s="1"/>
  <c r="FA530" i="15"/>
  <c r="FB530" i="15" s="1"/>
  <c r="FA534" i="15"/>
  <c r="FB534" i="15" s="1"/>
  <c r="FA538" i="15"/>
  <c r="FB538" i="15" s="1"/>
  <c r="FA542" i="15"/>
  <c r="FB542" i="15" s="1"/>
  <c r="FA546" i="15"/>
  <c r="FB546" i="15" s="1"/>
  <c r="FA549" i="15"/>
  <c r="FB549" i="15" s="1"/>
  <c r="FA553" i="15"/>
  <c r="FB553" i="15" s="1"/>
  <c r="FA557" i="15"/>
  <c r="FB557" i="15" s="1"/>
  <c r="FA561" i="15"/>
  <c r="FB561" i="15" s="1"/>
  <c r="FA565" i="15"/>
  <c r="FB565" i="15" s="1"/>
  <c r="FA569" i="15"/>
  <c r="FB569" i="15" s="1"/>
  <c r="FA574" i="15"/>
  <c r="FB574" i="15" s="1"/>
  <c r="FA577" i="15"/>
  <c r="FB577" i="15" s="1"/>
  <c r="FA580" i="15"/>
  <c r="FB580" i="15" s="1"/>
  <c r="FA584" i="15"/>
  <c r="FB584" i="15" s="1"/>
  <c r="FA588" i="15"/>
  <c r="FB588" i="15" s="1"/>
  <c r="FA592" i="15"/>
  <c r="FB592" i="15" s="1"/>
  <c r="FA596" i="15"/>
  <c r="FB596" i="15" s="1"/>
  <c r="FA600" i="15"/>
  <c r="FB600" i="15" s="1"/>
  <c r="FA10" i="15"/>
  <c r="FB10" i="15" s="1"/>
  <c r="FA14" i="15"/>
  <c r="FB14" i="15" s="1"/>
  <c r="FA18" i="15"/>
  <c r="FB18" i="15" s="1"/>
  <c r="FA22" i="15"/>
  <c r="FB22" i="15" s="1"/>
  <c r="FA26" i="15"/>
  <c r="FB26" i="15" s="1"/>
  <c r="FA30" i="15"/>
  <c r="FB30" i="15" s="1"/>
  <c r="FA34" i="15"/>
  <c r="FB34" i="15" s="1"/>
  <c r="FA37" i="15"/>
  <c r="FB37" i="15" s="1"/>
  <c r="FA44" i="15"/>
  <c r="FB44" i="15" s="1"/>
  <c r="FA48" i="15"/>
  <c r="FB48" i="15" s="1"/>
  <c r="FA52" i="15"/>
  <c r="FB52" i="15" s="1"/>
  <c r="FA56" i="15"/>
  <c r="FB56" i="15" s="1"/>
  <c r="FA60" i="15"/>
  <c r="FB60" i="15" s="1"/>
  <c r="FA67" i="15"/>
  <c r="FB67" i="15" s="1"/>
  <c r="FA71" i="15"/>
  <c r="FB71" i="15" s="1"/>
  <c r="FA75" i="15"/>
  <c r="FB75" i="15" s="1"/>
  <c r="FA79" i="15"/>
  <c r="FB79" i="15" s="1"/>
  <c r="FA83" i="15"/>
  <c r="FB83" i="15" s="1"/>
  <c r="FA86" i="15"/>
  <c r="FB86" i="15" s="1"/>
  <c r="FA90" i="15"/>
  <c r="FB90" i="15" s="1"/>
  <c r="FA94" i="15"/>
  <c r="FB94" i="15" s="1"/>
  <c r="FA98" i="15"/>
  <c r="FB98" i="15" s="1"/>
  <c r="FA101" i="15"/>
  <c r="FB101" i="15" s="1"/>
  <c r="FA105" i="15"/>
  <c r="FB105" i="15" s="1"/>
  <c r="FA109" i="15"/>
  <c r="FB109" i="15" s="1"/>
  <c r="FA113" i="15"/>
  <c r="FB113" i="15" s="1"/>
  <c r="FA117" i="15"/>
  <c r="FB117" i="15" s="1"/>
  <c r="FA121" i="15"/>
  <c r="FB121" i="15" s="1"/>
  <c r="FA125" i="15"/>
  <c r="FB125" i="15" s="1"/>
  <c r="FA128" i="15"/>
  <c r="FB128" i="15" s="1"/>
  <c r="FA132" i="15"/>
  <c r="FB132" i="15" s="1"/>
  <c r="FA136" i="15"/>
  <c r="FB136" i="15" s="1"/>
  <c r="FA140" i="15"/>
  <c r="FB140" i="15" s="1"/>
  <c r="FA144" i="15"/>
  <c r="FB144" i="15" s="1"/>
  <c r="FA147" i="15"/>
  <c r="FB147" i="15" s="1"/>
  <c r="FA151" i="15"/>
  <c r="FB151" i="15" s="1"/>
  <c r="FA155" i="15"/>
  <c r="FB155" i="15" s="1"/>
  <c r="FA159" i="15"/>
  <c r="FB159" i="15" s="1"/>
  <c r="FA163" i="15"/>
  <c r="FB163" i="15" s="1"/>
  <c r="FA167" i="15"/>
  <c r="FB167" i="15" s="1"/>
  <c r="FA170" i="15"/>
  <c r="FB170" i="15" s="1"/>
  <c r="FA174" i="15"/>
  <c r="FB174" i="15" s="1"/>
  <c r="FA178" i="15"/>
  <c r="FB178" i="15" s="1"/>
  <c r="FA182" i="15"/>
  <c r="FB182" i="15" s="1"/>
  <c r="FA186" i="15"/>
  <c r="FB186" i="15" s="1"/>
  <c r="FA190" i="15"/>
  <c r="FB190" i="15" s="1"/>
  <c r="FA193" i="15"/>
  <c r="FB193" i="15" s="1"/>
  <c r="FA197" i="15"/>
  <c r="FB197" i="15" s="1"/>
  <c r="FA201" i="15"/>
  <c r="FB201" i="15" s="1"/>
  <c r="FA205" i="15"/>
  <c r="FB205" i="15" s="1"/>
  <c r="FA209" i="15"/>
  <c r="FB209" i="15" s="1"/>
  <c r="FA213" i="15"/>
  <c r="FB213" i="15" s="1"/>
  <c r="FA217" i="15"/>
  <c r="FB217" i="15" s="1"/>
  <c r="FA220" i="15"/>
  <c r="FB220" i="15" s="1"/>
  <c r="FA224" i="15"/>
  <c r="FB224" i="15" s="1"/>
  <c r="FA228" i="15"/>
  <c r="FB228" i="15" s="1"/>
  <c r="FA232" i="15"/>
  <c r="FB232" i="15" s="1"/>
  <c r="FA235" i="15"/>
  <c r="FB235" i="15" s="1"/>
  <c r="FA239" i="15"/>
  <c r="FB239" i="15" s="1"/>
  <c r="FA243" i="15"/>
  <c r="FB243" i="15" s="1"/>
  <c r="FA247" i="15"/>
  <c r="FB247" i="15" s="1"/>
  <c r="FA251" i="15"/>
  <c r="FB251" i="15" s="1"/>
  <c r="FA254" i="15"/>
  <c r="FB254" i="15" s="1"/>
  <c r="FA258" i="15"/>
  <c r="FB258" i="15" s="1"/>
  <c r="FA262" i="15"/>
  <c r="FB262" i="15" s="1"/>
  <c r="FA266" i="15"/>
  <c r="FB266" i="15" s="1"/>
  <c r="FA270" i="15"/>
  <c r="FB270" i="15" s="1"/>
  <c r="FA273" i="15"/>
  <c r="FB273" i="15" s="1"/>
  <c r="FA277" i="15"/>
  <c r="FB277" i="15" s="1"/>
  <c r="FA281" i="15"/>
  <c r="FB281" i="15" s="1"/>
  <c r="FA285" i="15"/>
  <c r="FB285" i="15" s="1"/>
  <c r="FA289" i="15"/>
  <c r="FB289" i="15" s="1"/>
  <c r="FA293" i="15"/>
  <c r="FB293" i="15" s="1"/>
  <c r="FA297" i="15"/>
  <c r="FB297" i="15" s="1"/>
  <c r="FA304" i="15"/>
  <c r="FB304" i="15" s="1"/>
  <c r="FA308" i="15"/>
  <c r="FB308" i="15" s="1"/>
  <c r="FA312" i="15"/>
  <c r="FB312" i="15" s="1"/>
  <c r="FA316" i="15"/>
  <c r="FB316" i="15" s="1"/>
  <c r="FA320" i="15"/>
  <c r="FB320" i="15" s="1"/>
  <c r="FA327" i="15"/>
  <c r="FB327" i="15" s="1"/>
  <c r="FA331" i="15"/>
  <c r="FB331" i="15" s="1"/>
  <c r="FA335" i="15"/>
  <c r="FB335" i="15" s="1"/>
  <c r="FA339" i="15"/>
  <c r="FB339" i="15" s="1"/>
  <c r="FA343" i="15"/>
  <c r="FB343" i="15" s="1"/>
  <c r="FA347" i="15"/>
  <c r="FB347" i="15" s="1"/>
  <c r="FA351" i="15"/>
  <c r="FB351" i="15" s="1"/>
  <c r="FA355" i="15"/>
  <c r="FB355" i="15" s="1"/>
  <c r="FA359" i="15"/>
  <c r="FB359" i="15" s="1"/>
  <c r="FA363" i="15"/>
  <c r="FB363" i="15" s="1"/>
  <c r="FA367" i="15"/>
  <c r="FB367" i="15" s="1"/>
  <c r="FA371" i="15"/>
  <c r="FB371" i="15" s="1"/>
  <c r="FA374" i="15"/>
  <c r="FB374" i="15" s="1"/>
  <c r="FA378" i="15"/>
  <c r="FB378" i="15" s="1"/>
  <c r="FA382" i="15"/>
  <c r="FB382" i="15" s="1"/>
  <c r="FA386" i="15"/>
  <c r="FB386" i="15" s="1"/>
  <c r="FA390" i="15"/>
  <c r="FB390" i="15" s="1"/>
  <c r="FA394" i="15"/>
  <c r="FB394" i="15" s="1"/>
  <c r="FA398" i="15"/>
  <c r="FB398" i="15" s="1"/>
  <c r="FA402" i="15"/>
  <c r="FB402" i="15" s="1"/>
  <c r="FA409" i="15"/>
  <c r="FB409" i="15" s="1"/>
  <c r="FA413" i="15"/>
  <c r="FB413" i="15" s="1"/>
  <c r="FA417" i="15"/>
  <c r="FB417" i="15" s="1"/>
  <c r="FA421" i="15"/>
  <c r="FB421" i="15" s="1"/>
  <c r="FA425" i="15"/>
  <c r="FB425" i="15" s="1"/>
  <c r="FA432" i="15"/>
  <c r="FB432" i="15" s="1"/>
  <c r="FA436" i="15"/>
  <c r="FB436" i="15" s="1"/>
  <c r="FA440" i="15"/>
  <c r="FB440" i="15" s="1"/>
  <c r="FA444" i="15"/>
  <c r="FB444" i="15" s="1"/>
  <c r="FA448" i="15"/>
  <c r="FB448" i="15" s="1"/>
  <c r="FA452" i="15"/>
  <c r="FB452" i="15" s="1"/>
  <c r="FA459" i="15"/>
  <c r="FB459" i="15" s="1"/>
  <c r="FA463" i="15"/>
  <c r="FB463" i="15" s="1"/>
  <c r="FA467" i="15"/>
  <c r="FB467" i="15" s="1"/>
  <c r="FA471" i="15"/>
  <c r="FB471" i="15" s="1"/>
  <c r="FA474" i="15"/>
  <c r="FB474" i="15" s="1"/>
  <c r="FA478" i="15"/>
  <c r="FB478" i="15" s="1"/>
  <c r="FA482" i="15"/>
  <c r="FB482" i="15" s="1"/>
  <c r="FA486" i="15"/>
  <c r="FB486" i="15" s="1"/>
  <c r="FA493" i="15"/>
  <c r="FB493" i="15" s="1"/>
  <c r="FA497" i="15"/>
  <c r="FB497" i="15" s="1"/>
  <c r="FA501" i="15"/>
  <c r="FB501" i="15" s="1"/>
  <c r="FA505" i="15"/>
  <c r="FB505" i="15" s="1"/>
  <c r="FA509" i="15"/>
  <c r="FB509" i="15" s="1"/>
  <c r="FA513" i="15"/>
  <c r="FB513" i="15" s="1"/>
  <c r="FA516" i="15"/>
  <c r="FB516" i="15" s="1"/>
  <c r="FA520" i="15"/>
  <c r="FB520" i="15" s="1"/>
  <c r="FA524" i="15"/>
  <c r="FB524" i="15" s="1"/>
  <c r="FA531" i="15"/>
  <c r="FB531" i="15" s="1"/>
  <c r="FA535" i="15"/>
  <c r="FB535" i="15" s="1"/>
  <c r="FA539" i="15"/>
  <c r="FB539" i="15" s="1"/>
  <c r="FA543" i="15"/>
  <c r="FB543" i="15" s="1"/>
  <c r="FA547" i="15"/>
  <c r="FB547" i="15" s="1"/>
  <c r="FA550" i="15"/>
  <c r="FB550" i="15" s="1"/>
  <c r="FA554" i="15"/>
  <c r="FB554" i="15" s="1"/>
  <c r="FA558" i="15"/>
  <c r="FB558" i="15" s="1"/>
  <c r="FA562" i="15"/>
  <c r="FB562" i="15" s="1"/>
  <c r="FA566" i="15"/>
  <c r="FB566" i="15" s="1"/>
  <c r="FA570" i="15"/>
  <c r="FB570" i="15" s="1"/>
  <c r="FA572" i="15"/>
  <c r="FB572" i="15" s="1"/>
  <c r="FA578" i="15"/>
  <c r="FB578" i="15" s="1"/>
  <c r="FA581" i="15"/>
  <c r="FB581" i="15" s="1"/>
  <c r="FA585" i="15"/>
  <c r="FB585" i="15" s="1"/>
  <c r="FA589" i="15"/>
  <c r="FB589" i="15" s="1"/>
  <c r="FA593" i="15"/>
  <c r="FB593" i="15" s="1"/>
  <c r="FA597" i="15"/>
  <c r="FB597" i="15" s="1"/>
  <c r="FA601" i="15"/>
  <c r="FB601" i="15" s="1"/>
  <c r="FA605" i="15"/>
  <c r="FB605" i="15" s="1"/>
  <c r="FA609" i="15"/>
  <c r="FB609" i="15" s="1"/>
  <c r="FA612" i="15"/>
  <c r="FB612" i="15" s="1"/>
  <c r="FA616" i="15"/>
  <c r="FB616" i="15" s="1"/>
  <c r="FA620" i="15"/>
  <c r="FB620" i="15" s="1"/>
  <c r="FA623" i="15"/>
  <c r="FB623" i="15" s="1"/>
  <c r="FA627" i="15"/>
  <c r="FB627" i="15" s="1"/>
  <c r="FA631" i="15"/>
  <c r="FB631" i="15" s="1"/>
  <c r="FA635" i="15"/>
  <c r="FB635" i="15" s="1"/>
  <c r="FA639" i="15"/>
  <c r="FB639" i="15" s="1"/>
  <c r="FA642" i="15"/>
  <c r="FB642" i="15" s="1"/>
  <c r="FA646" i="15"/>
  <c r="FB646" i="15" s="1"/>
  <c r="FA650" i="15"/>
  <c r="FB650" i="15" s="1"/>
  <c r="FA654" i="15"/>
  <c r="FB654" i="15" s="1"/>
  <c r="FA658" i="15"/>
  <c r="FB658" i="15" s="1"/>
  <c r="FA662" i="15"/>
  <c r="FB662" i="15" s="1"/>
  <c r="FA666" i="15"/>
  <c r="FB666" i="15" s="1"/>
  <c r="FA669" i="15"/>
  <c r="FB669" i="15" s="1"/>
  <c r="FA673" i="15"/>
  <c r="FB673" i="15" s="1"/>
  <c r="FA677" i="15"/>
  <c r="FB677" i="15" s="1"/>
  <c r="FA681" i="15"/>
  <c r="FB681" i="15" s="1"/>
  <c r="FA685" i="15"/>
  <c r="FB685" i="15" s="1"/>
  <c r="FA692" i="15"/>
  <c r="FB692" i="15" s="1"/>
  <c r="FA696" i="15"/>
  <c r="FB696" i="15" s="1"/>
  <c r="FA700" i="15"/>
  <c r="FB700" i="15" s="1"/>
  <c r="FA704" i="15"/>
  <c r="FB704" i="15" s="1"/>
  <c r="FA19" i="15"/>
  <c r="FB19" i="15" s="1"/>
  <c r="FA49" i="15"/>
  <c r="FB49" i="15" s="1"/>
  <c r="FA65" i="15"/>
  <c r="FB65" i="15" s="1"/>
  <c r="FA80" i="15"/>
  <c r="FB80" i="15" s="1"/>
  <c r="FA95" i="15"/>
  <c r="FB95" i="15" s="1"/>
  <c r="FA110" i="15"/>
  <c r="FB110" i="15" s="1"/>
  <c r="FA141" i="15"/>
  <c r="FB141" i="15" s="1"/>
  <c r="FA156" i="15"/>
  <c r="FB156" i="15" s="1"/>
  <c r="FA171" i="15"/>
  <c r="FB171" i="15" s="1"/>
  <c r="FA187" i="15"/>
  <c r="FB187" i="15" s="1"/>
  <c r="FA202" i="15"/>
  <c r="FB202" i="15" s="1"/>
  <c r="FA218" i="15"/>
  <c r="FB218" i="15" s="1"/>
  <c r="FA248" i="15"/>
  <c r="FB248" i="15" s="1"/>
  <c r="FA263" i="15"/>
  <c r="FB263" i="15" s="1"/>
  <c r="FA278" i="15"/>
  <c r="FB278" i="15" s="1"/>
  <c r="FA294" i="15"/>
  <c r="FB294" i="15" s="1"/>
  <c r="FA309" i="15"/>
  <c r="FB309" i="15" s="1"/>
  <c r="FA325" i="15"/>
  <c r="FB325" i="15" s="1"/>
  <c r="FA340" i="15"/>
  <c r="FB340" i="15" s="1"/>
  <c r="FA356" i="15"/>
  <c r="FB356" i="15" s="1"/>
  <c r="FA387" i="15"/>
  <c r="FB387" i="15" s="1"/>
  <c r="FA403" i="15"/>
  <c r="FB403" i="15" s="1"/>
  <c r="FA418" i="15"/>
  <c r="FB418" i="15" s="1"/>
  <c r="FA433" i="15"/>
  <c r="FB433" i="15" s="1"/>
  <c r="FA449" i="15"/>
  <c r="FB449" i="15" s="1"/>
  <c r="FA464" i="15"/>
  <c r="FB464" i="15" s="1"/>
  <c r="FA479" i="15"/>
  <c r="FB479" i="15" s="1"/>
  <c r="FA494" i="15"/>
  <c r="FB494" i="15" s="1"/>
  <c r="FA510" i="15"/>
  <c r="FB510" i="15" s="1"/>
  <c r="FA525" i="15"/>
  <c r="FB525" i="15" s="1"/>
  <c r="FA540" i="15"/>
  <c r="FB540" i="15" s="1"/>
  <c r="FA555" i="15"/>
  <c r="FB555" i="15" s="1"/>
  <c r="FA571" i="15"/>
  <c r="FB571" i="15" s="1"/>
  <c r="FA586" i="15"/>
  <c r="FB586" i="15" s="1"/>
  <c r="FA602" i="15"/>
  <c r="FB602" i="15" s="1"/>
  <c r="FA610" i="15"/>
  <c r="FB610" i="15" s="1"/>
  <c r="FA617" i="15"/>
  <c r="FB617" i="15" s="1"/>
  <c r="FA624" i="15"/>
  <c r="FB624" i="15" s="1"/>
  <c r="FA632" i="15"/>
  <c r="FB632" i="15" s="1"/>
  <c r="FA647" i="15"/>
  <c r="FB647" i="15" s="1"/>
  <c r="FA655" i="15"/>
  <c r="FB655" i="15" s="1"/>
  <c r="FA663" i="15"/>
  <c r="FB663" i="15" s="1"/>
  <c r="FA670" i="15"/>
  <c r="FB670" i="15" s="1"/>
  <c r="FA678" i="15"/>
  <c r="FB678" i="15" s="1"/>
  <c r="FA686" i="15"/>
  <c r="FB686" i="15" s="1"/>
  <c r="FA693" i="15"/>
  <c r="FB693" i="15" s="1"/>
  <c r="FA701" i="15"/>
  <c r="FB701" i="15" s="1"/>
  <c r="FA707" i="15"/>
  <c r="FB707" i="15" s="1"/>
  <c r="FA711" i="15"/>
  <c r="FB711" i="15" s="1"/>
  <c r="FA718" i="15"/>
  <c r="FB718" i="15" s="1"/>
  <c r="FA722" i="15"/>
  <c r="FB722" i="15" s="1"/>
  <c r="FA726" i="15"/>
  <c r="FB726" i="15" s="1"/>
  <c r="FA730" i="15"/>
  <c r="FB730" i="15" s="1"/>
  <c r="FA733" i="15"/>
  <c r="FB733" i="15" s="1"/>
  <c r="FA737" i="15"/>
  <c r="FB737" i="15" s="1"/>
  <c r="FA741" i="15"/>
  <c r="FB741" i="15" s="1"/>
  <c r="FA745" i="15"/>
  <c r="FB745" i="15" s="1"/>
  <c r="FA749" i="15"/>
  <c r="FB749" i="15" s="1"/>
  <c r="FA756" i="15"/>
  <c r="FB756" i="15" s="1"/>
  <c r="FA758" i="15"/>
  <c r="FB758" i="15" s="1"/>
  <c r="FA762" i="15"/>
  <c r="FB762" i="15" s="1"/>
  <c r="FA766" i="15"/>
  <c r="FB766" i="15" s="1"/>
  <c r="FA770" i="15"/>
  <c r="FB770" i="15" s="1"/>
  <c r="FA776" i="15"/>
  <c r="FB776" i="15" s="1"/>
  <c r="FA779" i="15"/>
  <c r="FB779" i="15" s="1"/>
  <c r="FA783" i="15"/>
  <c r="FB783" i="15" s="1"/>
  <c r="FA787" i="15"/>
  <c r="FB787" i="15" s="1"/>
  <c r="FA791" i="15"/>
  <c r="FB791" i="15" s="1"/>
  <c r="FA798" i="15"/>
  <c r="FB798" i="15" s="1"/>
  <c r="FA802" i="15"/>
  <c r="FB802" i="15" s="1"/>
  <c r="FA806" i="15"/>
  <c r="FB806" i="15" s="1"/>
  <c r="FA810" i="15"/>
  <c r="FB810" i="15" s="1"/>
  <c r="FA814" i="15"/>
  <c r="FB814" i="15" s="1"/>
  <c r="FA818" i="15"/>
  <c r="FB818" i="15" s="1"/>
  <c r="FA822" i="15"/>
  <c r="FB822" i="15" s="1"/>
  <c r="FA826" i="15"/>
  <c r="FB826" i="15" s="1"/>
  <c r="FA829" i="15"/>
  <c r="FB829" i="15" s="1"/>
  <c r="FA833" i="15"/>
  <c r="FB833" i="15" s="1"/>
  <c r="FA837" i="15"/>
  <c r="FB837" i="15" s="1"/>
  <c r="FA841" i="15"/>
  <c r="FB841" i="15" s="1"/>
  <c r="FA845" i="15"/>
  <c r="FB845" i="15" s="1"/>
  <c r="FA849" i="15"/>
  <c r="FB849" i="15" s="1"/>
  <c r="FA853" i="15"/>
  <c r="FB853" i="15" s="1"/>
  <c r="FA857" i="15"/>
  <c r="FB857" i="15" s="1"/>
  <c r="FA861" i="15"/>
  <c r="FB861" i="15" s="1"/>
  <c r="FA8" i="15"/>
  <c r="FB8" i="15" s="1"/>
  <c r="FA23" i="15"/>
  <c r="FB23" i="15" s="1"/>
  <c r="FA38" i="15"/>
  <c r="FB38" i="15" s="1"/>
  <c r="FA53" i="15"/>
  <c r="FB53" i="15" s="1"/>
  <c r="FA68" i="15"/>
  <c r="FB68" i="15" s="1"/>
  <c r="FA114" i="15"/>
  <c r="FB114" i="15" s="1"/>
  <c r="FA129" i="15"/>
  <c r="FB129" i="15" s="1"/>
  <c r="FA145" i="15"/>
  <c r="FB145" i="15" s="1"/>
  <c r="FA160" i="15"/>
  <c r="FB160" i="15" s="1"/>
  <c r="FA175" i="15"/>
  <c r="FB175" i="15" s="1"/>
  <c r="FA206" i="15"/>
  <c r="FB206" i="15" s="1"/>
  <c r="FA221" i="15"/>
  <c r="FB221" i="15" s="1"/>
  <c r="FA236" i="15"/>
  <c r="FB236" i="15" s="1"/>
  <c r="FA267" i="15"/>
  <c r="FB267" i="15" s="1"/>
  <c r="FA282" i="15"/>
  <c r="FB282" i="15" s="1"/>
  <c r="FA298" i="15"/>
  <c r="FB298" i="15" s="1"/>
  <c r="FA313" i="15"/>
  <c r="FB313" i="15" s="1"/>
  <c r="FA328" i="15"/>
  <c r="FB328" i="15" s="1"/>
  <c r="FA344" i="15"/>
  <c r="FB344" i="15" s="1"/>
  <c r="FA360" i="15"/>
  <c r="FB360" i="15" s="1"/>
  <c r="FA375" i="15"/>
  <c r="FB375" i="15" s="1"/>
  <c r="FA391" i="15"/>
  <c r="FB391" i="15" s="1"/>
  <c r="FA407" i="15"/>
  <c r="FB407" i="15" s="1"/>
  <c r="FA422" i="15"/>
  <c r="FB422" i="15" s="1"/>
  <c r="FA437" i="15"/>
  <c r="FB437" i="15" s="1"/>
  <c r="FA453" i="15"/>
  <c r="FB453" i="15" s="1"/>
  <c r="FA468" i="15"/>
  <c r="FB468" i="15" s="1"/>
  <c r="FA483" i="15"/>
  <c r="FB483" i="15" s="1"/>
  <c r="FA498" i="15"/>
  <c r="FB498" i="15" s="1"/>
  <c r="FA514" i="15"/>
  <c r="FB514" i="15" s="1"/>
  <c r="FA529" i="15"/>
  <c r="FB529" i="15" s="1"/>
  <c r="FA544" i="15"/>
  <c r="FB544" i="15" s="1"/>
  <c r="FA559" i="15"/>
  <c r="FB559" i="15" s="1"/>
  <c r="FA575" i="15"/>
  <c r="FB575" i="15" s="1"/>
  <c r="FA590" i="15"/>
  <c r="FB590" i="15" s="1"/>
  <c r="FA604" i="15"/>
  <c r="FB604" i="15" s="1"/>
  <c r="FA619" i="15"/>
  <c r="FB619" i="15" s="1"/>
  <c r="FA626" i="15"/>
  <c r="FB626" i="15" s="1"/>
  <c r="FA634" i="15"/>
  <c r="FB634" i="15" s="1"/>
  <c r="FA649" i="15"/>
  <c r="FB649" i="15" s="1"/>
  <c r="FA657" i="15"/>
  <c r="FB657" i="15" s="1"/>
  <c r="FA665" i="15"/>
  <c r="FB665" i="15" s="1"/>
  <c r="FA672" i="15"/>
  <c r="FB672" i="15" s="1"/>
  <c r="FA680" i="15"/>
  <c r="FB680" i="15" s="1"/>
  <c r="FA688" i="15"/>
  <c r="FB688" i="15" s="1"/>
  <c r="FA695" i="15"/>
  <c r="FB695" i="15" s="1"/>
  <c r="FA703" i="15"/>
  <c r="FB703" i="15" s="1"/>
  <c r="FA708" i="15"/>
  <c r="FB708" i="15" s="1"/>
  <c r="FA715" i="15"/>
  <c r="FB715" i="15" s="1"/>
  <c r="FA719" i="15"/>
  <c r="FB719" i="15" s="1"/>
  <c r="FA723" i="15"/>
  <c r="FB723" i="15" s="1"/>
  <c r="FA727" i="15"/>
  <c r="FB727" i="15" s="1"/>
  <c r="FA734" i="15"/>
  <c r="FB734" i="15" s="1"/>
  <c r="FA738" i="15"/>
  <c r="FB738" i="15" s="1"/>
  <c r="FA742" i="15"/>
  <c r="FB742" i="15" s="1"/>
  <c r="FA746" i="15"/>
  <c r="FB746" i="15" s="1"/>
  <c r="FA750" i="15"/>
  <c r="FB750" i="15" s="1"/>
  <c r="FA754" i="15"/>
  <c r="FB754" i="15" s="1"/>
  <c r="FA757" i="15"/>
  <c r="FB757" i="15" s="1"/>
  <c r="FA759" i="15"/>
  <c r="FB759" i="15" s="1"/>
  <c r="FA763" i="15"/>
  <c r="FB763" i="15" s="1"/>
  <c r="FA767" i="15"/>
  <c r="FB767" i="15" s="1"/>
  <c r="FA771" i="15"/>
  <c r="FB771" i="15" s="1"/>
  <c r="FA780" i="15"/>
  <c r="FB780" i="15" s="1"/>
  <c r="FA784" i="15"/>
  <c r="FB784" i="15" s="1"/>
  <c r="FA788" i="15"/>
  <c r="FB788" i="15" s="1"/>
  <c r="FA792" i="15"/>
  <c r="FB792" i="15" s="1"/>
  <c r="FA796" i="15"/>
  <c r="FB796" i="15" s="1"/>
  <c r="FA799" i="15"/>
  <c r="FB799" i="15" s="1"/>
  <c r="FA803" i="15"/>
  <c r="FB803" i="15" s="1"/>
  <c r="FA807" i="15"/>
  <c r="FB807" i="15" s="1"/>
  <c r="FA811" i="15"/>
  <c r="FB811" i="15" s="1"/>
  <c r="FA815" i="15"/>
  <c r="FB815" i="15" s="1"/>
  <c r="FA819" i="15"/>
  <c r="FB819" i="15" s="1"/>
  <c r="FA823" i="15"/>
  <c r="FB823" i="15" s="1"/>
  <c r="FA830" i="15"/>
  <c r="FB830" i="15" s="1"/>
  <c r="FA834" i="15"/>
  <c r="FB834" i="15" s="1"/>
  <c r="FA838" i="15"/>
  <c r="FB838" i="15" s="1"/>
  <c r="FA842" i="15"/>
  <c r="FB842" i="15" s="1"/>
  <c r="FA846" i="15"/>
  <c r="FB846" i="15" s="1"/>
  <c r="FA850" i="15"/>
  <c r="FB850" i="15" s="1"/>
  <c r="FA854" i="15"/>
  <c r="FB854" i="15" s="1"/>
  <c r="FA858" i="15"/>
  <c r="FB858" i="15" s="1"/>
  <c r="FA11" i="15"/>
  <c r="FB11" i="15" s="1"/>
  <c r="FA27" i="15"/>
  <c r="FB27" i="15" s="1"/>
  <c r="FA42" i="15"/>
  <c r="FB42" i="15" s="1"/>
  <c r="FA57" i="15"/>
  <c r="FB57" i="15" s="1"/>
  <c r="FA72" i="15"/>
  <c r="FB72" i="15" s="1"/>
  <c r="FA87" i="15"/>
  <c r="FB87" i="15" s="1"/>
  <c r="FA102" i="15"/>
  <c r="FB102" i="15" s="1"/>
  <c r="FA118" i="15"/>
  <c r="FB118" i="15" s="1"/>
  <c r="FA133" i="15"/>
  <c r="FB133" i="15" s="1"/>
  <c r="FA148" i="15"/>
  <c r="FB148" i="15" s="1"/>
  <c r="FA164" i="15"/>
  <c r="FB164" i="15" s="1"/>
  <c r="FA179" i="15"/>
  <c r="FB179" i="15" s="1"/>
  <c r="FA194" i="15"/>
  <c r="FB194" i="15" s="1"/>
  <c r="FA210" i="15"/>
  <c r="FB210" i="15" s="1"/>
  <c r="FA225" i="15"/>
  <c r="FB225" i="15" s="1"/>
  <c r="FA240" i="15"/>
  <c r="FB240" i="15" s="1"/>
  <c r="FA255" i="15"/>
  <c r="FB255" i="15" s="1"/>
  <c r="FA271" i="15"/>
  <c r="FB271" i="15" s="1"/>
  <c r="FA286" i="15"/>
  <c r="FB286" i="15" s="1"/>
  <c r="FA301" i="15"/>
  <c r="FB301" i="15" s="1"/>
  <c r="FA317" i="15"/>
  <c r="FB317" i="15" s="1"/>
  <c r="FA332" i="15"/>
  <c r="FB332" i="15" s="1"/>
  <c r="FA348" i="15"/>
  <c r="FB348" i="15" s="1"/>
  <c r="FA364" i="15"/>
  <c r="FB364" i="15" s="1"/>
  <c r="FA379" i="15"/>
  <c r="FB379" i="15" s="1"/>
  <c r="FA395" i="15"/>
  <c r="FB395" i="15" s="1"/>
  <c r="FA410" i="15"/>
  <c r="FB410" i="15" s="1"/>
  <c r="FA426" i="15"/>
  <c r="FB426" i="15" s="1"/>
  <c r="FA441" i="15"/>
  <c r="FB441" i="15" s="1"/>
  <c r="FA456" i="15"/>
  <c r="FB456" i="15" s="1"/>
  <c r="FA472" i="15"/>
  <c r="FB472" i="15" s="1"/>
  <c r="FA487" i="15"/>
  <c r="FB487" i="15" s="1"/>
  <c r="FA502" i="15"/>
  <c r="FB502" i="15" s="1"/>
  <c r="FA517" i="15"/>
  <c r="FB517" i="15" s="1"/>
  <c r="FA532" i="15"/>
  <c r="FB532" i="15" s="1"/>
  <c r="FA548" i="15"/>
  <c r="FB548" i="15" s="1"/>
  <c r="FA563" i="15"/>
  <c r="FB563" i="15" s="1"/>
  <c r="FA594" i="15"/>
  <c r="FB594" i="15" s="1"/>
  <c r="FA606" i="15"/>
  <c r="FB606" i="15" s="1"/>
  <c r="FA613" i="15"/>
  <c r="FB613" i="15" s="1"/>
  <c r="FA621" i="15"/>
  <c r="FB621" i="15" s="1"/>
  <c r="FA628" i="15"/>
  <c r="FB628" i="15" s="1"/>
  <c r="FA636" i="15"/>
  <c r="FB636" i="15" s="1"/>
  <c r="FA643" i="15"/>
  <c r="FB643" i="15" s="1"/>
  <c r="FA651" i="15"/>
  <c r="FB651" i="15" s="1"/>
  <c r="FA659" i="15"/>
  <c r="FB659" i="15" s="1"/>
  <c r="FA667" i="15"/>
  <c r="FB667" i="15" s="1"/>
  <c r="FA674" i="15"/>
  <c r="FB674" i="15" s="1"/>
  <c r="FA682" i="15"/>
  <c r="FB682" i="15" s="1"/>
  <c r="FA689" i="15"/>
  <c r="FB689" i="15" s="1"/>
  <c r="FA697" i="15"/>
  <c r="FB697" i="15" s="1"/>
  <c r="FA705" i="15"/>
  <c r="FB705" i="15" s="1"/>
  <c r="FA709" i="15"/>
  <c r="FB709" i="15" s="1"/>
  <c r="FA713" i="15"/>
  <c r="FB713" i="15" s="1"/>
  <c r="FA716" i="15"/>
  <c r="FB716" i="15" s="1"/>
  <c r="FA720" i="15"/>
  <c r="FB720" i="15" s="1"/>
  <c r="FA724" i="15"/>
  <c r="FB724" i="15" s="1"/>
  <c r="FA728" i="15"/>
  <c r="FB728" i="15" s="1"/>
  <c r="FA732" i="15"/>
  <c r="FB732" i="15" s="1"/>
  <c r="FA735" i="15"/>
  <c r="FB735" i="15" s="1"/>
  <c r="FA739" i="15"/>
  <c r="FB739" i="15" s="1"/>
  <c r="FA743" i="15"/>
  <c r="FB743" i="15" s="1"/>
  <c r="FA747" i="15"/>
  <c r="FB747" i="15" s="1"/>
  <c r="FA751" i="15"/>
  <c r="FB751" i="15" s="1"/>
  <c r="FA773" i="15"/>
  <c r="FB773" i="15" s="1"/>
  <c r="FA760" i="15"/>
  <c r="FB760" i="15" s="1"/>
  <c r="FA764" i="15"/>
  <c r="FB764" i="15" s="1"/>
  <c r="FA768" i="15"/>
  <c r="FB768" i="15" s="1"/>
  <c r="FA772" i="15"/>
  <c r="FB772" i="15" s="1"/>
  <c r="FA777" i="15"/>
  <c r="FB777" i="15" s="1"/>
  <c r="FA781" i="15"/>
  <c r="FB781" i="15" s="1"/>
  <c r="FA785" i="15"/>
  <c r="FB785" i="15" s="1"/>
  <c r="FA789" i="15"/>
  <c r="FB789" i="15" s="1"/>
  <c r="FA793" i="15"/>
  <c r="FB793" i="15" s="1"/>
  <c r="FA800" i="15"/>
  <c r="FB800" i="15" s="1"/>
  <c r="FA804" i="15"/>
  <c r="FB804" i="15" s="1"/>
  <c r="FA808" i="15"/>
  <c r="FB808" i="15" s="1"/>
  <c r="FA812" i="15"/>
  <c r="FB812" i="15" s="1"/>
  <c r="FA816" i="15"/>
  <c r="FB816" i="15" s="1"/>
  <c r="FA820" i="15"/>
  <c r="FB820" i="15" s="1"/>
  <c r="FA824" i="15"/>
  <c r="FB824" i="15" s="1"/>
  <c r="FA828" i="15"/>
  <c r="FB828" i="15" s="1"/>
  <c r="FA831" i="15"/>
  <c r="FB831" i="15" s="1"/>
  <c r="FA835" i="15"/>
  <c r="FB835" i="15" s="1"/>
  <c r="FA839" i="15"/>
  <c r="FB839" i="15" s="1"/>
  <c r="FA843" i="15"/>
  <c r="FB843" i="15" s="1"/>
  <c r="FA847" i="15"/>
  <c r="FB847" i="15" s="1"/>
  <c r="FA851" i="15"/>
  <c r="FB851" i="15" s="1"/>
  <c r="FA855" i="15"/>
  <c r="FB855" i="15" s="1"/>
  <c r="FA859" i="15"/>
  <c r="FB859" i="15" s="1"/>
  <c r="FA45" i="15"/>
  <c r="FB45" i="15" s="1"/>
  <c r="FA106" i="15"/>
  <c r="FB106" i="15" s="1"/>
  <c r="FA168" i="15"/>
  <c r="FB168" i="15" s="1"/>
  <c r="FA229" i="15"/>
  <c r="FB229" i="15" s="1"/>
  <c r="FA290" i="15"/>
  <c r="FB290" i="15" s="1"/>
  <c r="FA352" i="15"/>
  <c r="FB352" i="15" s="1"/>
  <c r="FA414" i="15"/>
  <c r="FB414" i="15" s="1"/>
  <c r="FA475" i="15"/>
  <c r="FB475" i="15" s="1"/>
  <c r="FA536" i="15"/>
  <c r="FB536" i="15" s="1"/>
  <c r="FA598" i="15"/>
  <c r="FB598" i="15" s="1"/>
  <c r="FA630" i="15"/>
  <c r="FB630" i="15" s="1"/>
  <c r="FA661" i="15"/>
  <c r="FB661" i="15" s="1"/>
  <c r="FA691" i="15"/>
  <c r="FB691" i="15" s="1"/>
  <c r="FA714" i="15"/>
  <c r="FB714" i="15" s="1"/>
  <c r="FA729" i="15"/>
  <c r="FB729" i="15" s="1"/>
  <c r="FA744" i="15"/>
  <c r="FB744" i="15" s="1"/>
  <c r="FA774" i="15"/>
  <c r="FB774" i="15" s="1"/>
  <c r="FA790" i="15"/>
  <c r="FB790" i="15" s="1"/>
  <c r="FA805" i="15"/>
  <c r="FB805" i="15" s="1"/>
  <c r="FA821" i="15"/>
  <c r="FB821" i="15" s="1"/>
  <c r="FA836" i="15"/>
  <c r="FB836" i="15" s="1"/>
  <c r="FA852" i="15"/>
  <c r="FB852" i="15" s="1"/>
  <c r="FA31" i="15"/>
  <c r="FB31" i="15" s="1"/>
  <c r="FA152" i="15"/>
  <c r="FB152" i="15" s="1"/>
  <c r="FA275" i="15"/>
  <c r="FB275" i="15" s="1"/>
  <c r="FA399" i="15"/>
  <c r="FB399" i="15" s="1"/>
  <c r="FA521" i="15"/>
  <c r="FB521" i="15" s="1"/>
  <c r="FA622" i="15"/>
  <c r="FB622" i="15" s="1"/>
  <c r="FA684" i="15"/>
  <c r="FB684" i="15" s="1"/>
  <c r="FA725" i="15"/>
  <c r="FB725" i="15" s="1"/>
  <c r="FA769" i="15"/>
  <c r="FB769" i="15" s="1"/>
  <c r="FA801" i="15"/>
  <c r="FB801" i="15" s="1"/>
  <c r="FA832" i="15"/>
  <c r="FB832" i="15" s="1"/>
  <c r="FA61" i="15"/>
  <c r="FB61" i="15" s="1"/>
  <c r="FA122" i="15"/>
  <c r="FB122" i="15" s="1"/>
  <c r="FA183" i="15"/>
  <c r="FB183" i="15" s="1"/>
  <c r="FA244" i="15"/>
  <c r="FB244" i="15" s="1"/>
  <c r="FA305" i="15"/>
  <c r="FB305" i="15" s="1"/>
  <c r="FA368" i="15"/>
  <c r="FB368" i="15" s="1"/>
  <c r="FA430" i="15"/>
  <c r="FB430" i="15" s="1"/>
  <c r="FA491" i="15"/>
  <c r="FB491" i="15" s="1"/>
  <c r="FA551" i="15"/>
  <c r="FB551" i="15" s="1"/>
  <c r="FA608" i="15"/>
  <c r="FB608" i="15" s="1"/>
  <c r="FA638" i="15"/>
  <c r="FB638" i="15" s="1"/>
  <c r="FA699" i="15"/>
  <c r="FB699" i="15" s="1"/>
  <c r="FA717" i="15"/>
  <c r="FB717" i="15" s="1"/>
  <c r="FA748" i="15"/>
  <c r="FB748" i="15" s="1"/>
  <c r="FA761" i="15"/>
  <c r="FB761" i="15" s="1"/>
  <c r="FA778" i="15"/>
  <c r="FB778" i="15" s="1"/>
  <c r="FA794" i="15"/>
  <c r="FB794" i="15" s="1"/>
  <c r="FA809" i="15"/>
  <c r="FB809" i="15" s="1"/>
  <c r="FA825" i="15"/>
  <c r="FB825" i="15" s="1"/>
  <c r="FA840" i="15"/>
  <c r="FB840" i="15" s="1"/>
  <c r="FA856" i="15"/>
  <c r="FB856" i="15" s="1"/>
  <c r="FA755" i="15"/>
  <c r="FB755" i="15" s="1"/>
  <c r="FA15" i="15"/>
  <c r="FB15" i="15" s="1"/>
  <c r="FA76" i="15"/>
  <c r="FB76" i="15" s="1"/>
  <c r="FA137" i="15"/>
  <c r="FB137" i="15" s="1"/>
  <c r="FA198" i="15"/>
  <c r="FB198" i="15" s="1"/>
  <c r="FA259" i="15"/>
  <c r="FB259" i="15" s="1"/>
  <c r="FA321" i="15"/>
  <c r="FB321" i="15" s="1"/>
  <c r="FA383" i="15"/>
  <c r="FB383" i="15" s="1"/>
  <c r="FA445" i="15"/>
  <c r="FB445" i="15" s="1"/>
  <c r="FA506" i="15"/>
  <c r="FB506" i="15" s="1"/>
  <c r="FA567" i="15"/>
  <c r="FB567" i="15" s="1"/>
  <c r="FA615" i="15"/>
  <c r="FB615" i="15" s="1"/>
  <c r="FA645" i="15"/>
  <c r="FB645" i="15" s="1"/>
  <c r="FA676" i="15"/>
  <c r="FB676" i="15" s="1"/>
  <c r="FA706" i="15"/>
  <c r="FB706" i="15" s="1"/>
  <c r="FA721" i="15"/>
  <c r="FB721" i="15" s="1"/>
  <c r="FA736" i="15"/>
  <c r="FB736" i="15" s="1"/>
  <c r="FA752" i="15"/>
  <c r="FB752" i="15" s="1"/>
  <c r="FA765" i="15"/>
  <c r="FB765" i="15" s="1"/>
  <c r="FA782" i="15"/>
  <c r="FB782" i="15" s="1"/>
  <c r="FA797" i="15"/>
  <c r="FB797" i="15" s="1"/>
  <c r="FA813" i="15"/>
  <c r="FB813" i="15" s="1"/>
  <c r="FA844" i="15"/>
  <c r="FB844" i="15" s="1"/>
  <c r="FA860" i="15"/>
  <c r="FB860" i="15" s="1"/>
  <c r="FA91" i="15"/>
  <c r="FB91" i="15" s="1"/>
  <c r="FA214" i="15"/>
  <c r="FB214" i="15" s="1"/>
  <c r="FA336" i="15"/>
  <c r="FB336" i="15" s="1"/>
  <c r="FA460" i="15"/>
  <c r="FB460" i="15" s="1"/>
  <c r="FA582" i="15"/>
  <c r="FB582" i="15" s="1"/>
  <c r="FA653" i="15"/>
  <c r="FB653" i="15" s="1"/>
  <c r="FA710" i="15"/>
  <c r="FB710" i="15" s="1"/>
  <c r="FA740" i="15"/>
  <c r="FB740" i="15" s="1"/>
  <c r="FA786" i="15"/>
  <c r="FB786" i="15" s="1"/>
  <c r="FA817" i="15"/>
  <c r="FB817" i="15" s="1"/>
  <c r="FA848" i="15"/>
  <c r="FB848" i="15" s="1"/>
  <c r="DM65" i="15"/>
  <c r="DM9" i="15"/>
  <c r="DN9" i="15" s="1"/>
  <c r="DM6" i="15"/>
  <c r="DN6" i="15" s="1"/>
  <c r="DQ6" i="15" s="1"/>
  <c r="DM8" i="15"/>
  <c r="DN8" i="15" s="1"/>
  <c r="DM66" i="15"/>
  <c r="DN66" i="15" s="1"/>
  <c r="DM43" i="15"/>
  <c r="DN43" i="15" s="1"/>
  <c r="DM35" i="15"/>
  <c r="DN35" i="15" s="1"/>
  <c r="DM629" i="15"/>
  <c r="DN629" i="15" s="1"/>
  <c r="DQ629" i="15" s="1"/>
  <c r="DM380" i="15"/>
  <c r="DN380" i="15" s="1"/>
  <c r="DQ380" i="15" s="1"/>
  <c r="DM11" i="15"/>
  <c r="DM15" i="15"/>
  <c r="DM19" i="15"/>
  <c r="DM23" i="15"/>
  <c r="DM27" i="15"/>
  <c r="DM31" i="15"/>
  <c r="DM36" i="15"/>
  <c r="DM40" i="15"/>
  <c r="DM45" i="15"/>
  <c r="DM49" i="15"/>
  <c r="DM53" i="15"/>
  <c r="DM57" i="15"/>
  <c r="DM61" i="15"/>
  <c r="DM70" i="15"/>
  <c r="DM74" i="15"/>
  <c r="DM78" i="15"/>
  <c r="DM83" i="15"/>
  <c r="DM87" i="15"/>
  <c r="DM91" i="15"/>
  <c r="DM95" i="15"/>
  <c r="DM100" i="15"/>
  <c r="DM104" i="15"/>
  <c r="DM108" i="15"/>
  <c r="DM112" i="15"/>
  <c r="DM116" i="15"/>
  <c r="DM120" i="15"/>
  <c r="DM125" i="15"/>
  <c r="DM129" i="15"/>
  <c r="DM133" i="15"/>
  <c r="DM137" i="15"/>
  <c r="DM141" i="15"/>
  <c r="DM145" i="15"/>
  <c r="DM149" i="15"/>
  <c r="DM153" i="15"/>
  <c r="DM157" i="15"/>
  <c r="DM161" i="15"/>
  <c r="DM165" i="15"/>
  <c r="DM170" i="15"/>
  <c r="DM174" i="15"/>
  <c r="DM178" i="15"/>
  <c r="DM182" i="15"/>
  <c r="DM186" i="15"/>
  <c r="DM191" i="15"/>
  <c r="DM195" i="15"/>
  <c r="DM199" i="15"/>
  <c r="DM203" i="15"/>
  <c r="DM207" i="15"/>
  <c r="DM211" i="15"/>
  <c r="DM215" i="15"/>
  <c r="DM220" i="15"/>
  <c r="DM224" i="15"/>
  <c r="DM228" i="15"/>
  <c r="DM12" i="15"/>
  <c r="DM16" i="15"/>
  <c r="DM20" i="15"/>
  <c r="DM24" i="15"/>
  <c r="DM28" i="15"/>
  <c r="DM32" i="15"/>
  <c r="DM37" i="15"/>
  <c r="DM42" i="15"/>
  <c r="DM46" i="15"/>
  <c r="DM50" i="15"/>
  <c r="DM54" i="15"/>
  <c r="DM58" i="15"/>
  <c r="DM62" i="15"/>
  <c r="DM67" i="15"/>
  <c r="DM71" i="15"/>
  <c r="DM75" i="15"/>
  <c r="DM79" i="15"/>
  <c r="DM84" i="15"/>
  <c r="DM88" i="15"/>
  <c r="DM93" i="15"/>
  <c r="DM96" i="15"/>
  <c r="DM101" i="15"/>
  <c r="DM105" i="15"/>
  <c r="DM109" i="15"/>
  <c r="DM113" i="15"/>
  <c r="DM117" i="15"/>
  <c r="DM121" i="15"/>
  <c r="DM126" i="15"/>
  <c r="DM130" i="15"/>
  <c r="DM134" i="15"/>
  <c r="DM138" i="15"/>
  <c r="DM142" i="15"/>
  <c r="DM146" i="15"/>
  <c r="DM150" i="15"/>
  <c r="DM154" i="15"/>
  <c r="DM158" i="15"/>
  <c r="DM162" i="15"/>
  <c r="DM166" i="15"/>
  <c r="DM171" i="15"/>
  <c r="DM175" i="15"/>
  <c r="DM179" i="15"/>
  <c r="DM183" i="15"/>
  <c r="DM187" i="15"/>
  <c r="DM192" i="15"/>
  <c r="DM196" i="15"/>
  <c r="DM13" i="15"/>
  <c r="DM17" i="15"/>
  <c r="DM21" i="15"/>
  <c r="DM25" i="15"/>
  <c r="DM29" i="15"/>
  <c r="DM34" i="15"/>
  <c r="DM38" i="15"/>
  <c r="DM47" i="15"/>
  <c r="DM51" i="15"/>
  <c r="DM55" i="15"/>
  <c r="DM59" i="15"/>
  <c r="DM63" i="15"/>
  <c r="DM68" i="15"/>
  <c r="DM72" i="15"/>
  <c r="DM76" i="15"/>
  <c r="DM80" i="15"/>
  <c r="DM85" i="15"/>
  <c r="DM89" i="15"/>
  <c r="DM92" i="15"/>
  <c r="DM98" i="15"/>
  <c r="DM102" i="15"/>
  <c r="DM106" i="15"/>
  <c r="DM110" i="15"/>
  <c r="DM114" i="15"/>
  <c r="DM118" i="15"/>
  <c r="DM122" i="15"/>
  <c r="DM127" i="15"/>
  <c r="DM131" i="15"/>
  <c r="DM135" i="15"/>
  <c r="DM139" i="15"/>
  <c r="DM147" i="15"/>
  <c r="DM151" i="15"/>
  <c r="DM14" i="15"/>
  <c r="DM30" i="15"/>
  <c r="DM48" i="15"/>
  <c r="DM81" i="15"/>
  <c r="DM99" i="15"/>
  <c r="DM115" i="15"/>
  <c r="DM132" i="15"/>
  <c r="DM148" i="15"/>
  <c r="DM159" i="15"/>
  <c r="DM168" i="15"/>
  <c r="DM176" i="15"/>
  <c r="DM184" i="15"/>
  <c r="DM193" i="15"/>
  <c r="DM200" i="15"/>
  <c r="DM205" i="15"/>
  <c r="DM210" i="15"/>
  <c r="DM216" i="15"/>
  <c r="DM222" i="15"/>
  <c r="DM227" i="15"/>
  <c r="DM233" i="15"/>
  <c r="DM237" i="15"/>
  <c r="DM241" i="15"/>
  <c r="DM245" i="15"/>
  <c r="DM249" i="15"/>
  <c r="DM254" i="15"/>
  <c r="DM258" i="15"/>
  <c r="DM262" i="15"/>
  <c r="DM266" i="15"/>
  <c r="DM275" i="15"/>
  <c r="DM278" i="15"/>
  <c r="DM282" i="15"/>
  <c r="DM286" i="15"/>
  <c r="DM290" i="15"/>
  <c r="DM294" i="15"/>
  <c r="DM298" i="15"/>
  <c r="DM303" i="15"/>
  <c r="DM307" i="15"/>
  <c r="DM311" i="15"/>
  <c r="DM315" i="15"/>
  <c r="DM319" i="15"/>
  <c r="DM323" i="15"/>
  <c r="DM328" i="15"/>
  <c r="DM332" i="15"/>
  <c r="DM336" i="15"/>
  <c r="DM340" i="15"/>
  <c r="DM344" i="15"/>
  <c r="DM348" i="15"/>
  <c r="DM352" i="15"/>
  <c r="DM356" i="15"/>
  <c r="DM360" i="15"/>
  <c r="DM364" i="15"/>
  <c r="DM368" i="15"/>
  <c r="DM373" i="15"/>
  <c r="DM377" i="15"/>
  <c r="DM381" i="15"/>
  <c r="DM385" i="15"/>
  <c r="DM389" i="15"/>
  <c r="DM393" i="15"/>
  <c r="DM397" i="15"/>
  <c r="DM401" i="15"/>
  <c r="DM405" i="15"/>
  <c r="DM410" i="15"/>
  <c r="DM414" i="15"/>
  <c r="DM418" i="15"/>
  <c r="DM422" i="15"/>
  <c r="DM426" i="15"/>
  <c r="DM431" i="15"/>
  <c r="DM435" i="15"/>
  <c r="DM439" i="15"/>
  <c r="DM443" i="15"/>
  <c r="DM447" i="15"/>
  <c r="DM451" i="15"/>
  <c r="DM456" i="15"/>
  <c r="DM460" i="15"/>
  <c r="DM464" i="15"/>
  <c r="DM468" i="15"/>
  <c r="DM472" i="15"/>
  <c r="DM476" i="15"/>
  <c r="DM480" i="15"/>
  <c r="DM484" i="15"/>
  <c r="DM488" i="15"/>
  <c r="DM493" i="15"/>
  <c r="DM497" i="15"/>
  <c r="DM501" i="15"/>
  <c r="DM505" i="15"/>
  <c r="DM509" i="15"/>
  <c r="DM514" i="15"/>
  <c r="DM518" i="15"/>
  <c r="DM522" i="15"/>
  <c r="DM526" i="15"/>
  <c r="DM531" i="15"/>
  <c r="DM535" i="15"/>
  <c r="DM539" i="15"/>
  <c r="DM543" i="15"/>
  <c r="DM548" i="15"/>
  <c r="DM552" i="15"/>
  <c r="DM556" i="15"/>
  <c r="DM560" i="15"/>
  <c r="DM564" i="15"/>
  <c r="DM568" i="15"/>
  <c r="DM573" i="15"/>
  <c r="DM580" i="15"/>
  <c r="DM584" i="15"/>
  <c r="DM588" i="15"/>
  <c r="DM592" i="15"/>
  <c r="DM596" i="15"/>
  <c r="DM600" i="15"/>
  <c r="DM604" i="15"/>
  <c r="DM608" i="15"/>
  <c r="DM613" i="15"/>
  <c r="DM617" i="15"/>
  <c r="DM622" i="15"/>
  <c r="DM626" i="15"/>
  <c r="DM634" i="15"/>
  <c r="DM638" i="15"/>
  <c r="DM643" i="15"/>
  <c r="DM647" i="15"/>
  <c r="DM651" i="15"/>
  <c r="DM655" i="15"/>
  <c r="DM659" i="15"/>
  <c r="DM663" i="15"/>
  <c r="DM668" i="15"/>
  <c r="DM672" i="15"/>
  <c r="DM676" i="15"/>
  <c r="DM680" i="15"/>
  <c r="DM684" i="15"/>
  <c r="DM689" i="15"/>
  <c r="DM693" i="15"/>
  <c r="DM697" i="15"/>
  <c r="DM701" i="15"/>
  <c r="DM705" i="15"/>
  <c r="DM709" i="15"/>
  <c r="DM713" i="15"/>
  <c r="DM717" i="15"/>
  <c r="DM721" i="15"/>
  <c r="DM725" i="15"/>
  <c r="DM729" i="15"/>
  <c r="DM734" i="15"/>
  <c r="DM18" i="15"/>
  <c r="DM52" i="15"/>
  <c r="DM69" i="15"/>
  <c r="DM86" i="15"/>
  <c r="DM103" i="15"/>
  <c r="DM119" i="15"/>
  <c r="DM136" i="15"/>
  <c r="DM152" i="15"/>
  <c r="DM160" i="15"/>
  <c r="DM169" i="15"/>
  <c r="DM177" i="15"/>
  <c r="DM185" i="15"/>
  <c r="DM194" i="15"/>
  <c r="DM201" i="15"/>
  <c r="DM206" i="15"/>
  <c r="DM212" i="15"/>
  <c r="DM217" i="15"/>
  <c r="DM223" i="15"/>
  <c r="DM229" i="15"/>
  <c r="DM234" i="15"/>
  <c r="DM238" i="15"/>
  <c r="DM242" i="15"/>
  <c r="DM246" i="15"/>
  <c r="DM251" i="15"/>
  <c r="DM255" i="15"/>
  <c r="DM259" i="15"/>
  <c r="DM263" i="15"/>
  <c r="DM267" i="15"/>
  <c r="DM274" i="15"/>
  <c r="DM279" i="15"/>
  <c r="DM283" i="15"/>
  <c r="DM287" i="15"/>
  <c r="DM291" i="15"/>
  <c r="DM295" i="15"/>
  <c r="DM304" i="15"/>
  <c r="DM308" i="15"/>
  <c r="DM312" i="15"/>
  <c r="DM316" i="15"/>
  <c r="DM320" i="15"/>
  <c r="DM325" i="15"/>
  <c r="DM329" i="15"/>
  <c r="DM333" i="15"/>
  <c r="DM337" i="15"/>
  <c r="DM341" i="15"/>
  <c r="DM345" i="15"/>
  <c r="DM349" i="15"/>
  <c r="DM353" i="15"/>
  <c r="DM357" i="15"/>
  <c r="DM361" i="15"/>
  <c r="DM365" i="15"/>
  <c r="DM369" i="15"/>
  <c r="DM374" i="15"/>
  <c r="DM382" i="15"/>
  <c r="DM386" i="15"/>
  <c r="DM390" i="15"/>
  <c r="DM394" i="15"/>
  <c r="DM398" i="15"/>
  <c r="DM402" i="15"/>
  <c r="DM407" i="15"/>
  <c r="DM411" i="15"/>
  <c r="DM415" i="15"/>
  <c r="DM419" i="15"/>
  <c r="DM423" i="15"/>
  <c r="DM427" i="15"/>
  <c r="DM432" i="15"/>
  <c r="DM436" i="15"/>
  <c r="DM440" i="15"/>
  <c r="DM444" i="15"/>
  <c r="DM448" i="15"/>
  <c r="DM452" i="15"/>
  <c r="DM457" i="15"/>
  <c r="DM461" i="15"/>
  <c r="DM465" i="15"/>
  <c r="DM469" i="15"/>
  <c r="DM473" i="15"/>
  <c r="DM477" i="15"/>
  <c r="DM481" i="15"/>
  <c r="DM485" i="15"/>
  <c r="DM489" i="15"/>
  <c r="DM494" i="15"/>
  <c r="DM498" i="15"/>
  <c r="DM502" i="15"/>
  <c r="DM506" i="15"/>
  <c r="DM510" i="15"/>
  <c r="DM515" i="15"/>
  <c r="DM519" i="15"/>
  <c r="DM523" i="15"/>
  <c r="DM527" i="15"/>
  <c r="DM532" i="15"/>
  <c r="DM536" i="15"/>
  <c r="DM540" i="15"/>
  <c r="DM544" i="15"/>
  <c r="DM549" i="15"/>
  <c r="DM553" i="15"/>
  <c r="DM557" i="15"/>
  <c r="DM561" i="15"/>
  <c r="DM565" i="15"/>
  <c r="DM569" i="15"/>
  <c r="DM574" i="15"/>
  <c r="DM577" i="15"/>
  <c r="DM581" i="15"/>
  <c r="DM585" i="15"/>
  <c r="DM589" i="15"/>
  <c r="DM593" i="15"/>
  <c r="DM597" i="15"/>
  <c r="DM601" i="15"/>
  <c r="DM605" i="15"/>
  <c r="DM609" i="15"/>
  <c r="DM614" i="15"/>
  <c r="DM618" i="15"/>
  <c r="DM623" i="15"/>
  <c r="DM627" i="15"/>
  <c r="DM631" i="15"/>
  <c r="DM635" i="15"/>
  <c r="DM639" i="15"/>
  <c r="DM644" i="15"/>
  <c r="DM648" i="15"/>
  <c r="DM652" i="15"/>
  <c r="DM656" i="15"/>
  <c r="DM660" i="15"/>
  <c r="DM664" i="15"/>
  <c r="DM669" i="15"/>
  <c r="DM673" i="15"/>
  <c r="DM677" i="15"/>
  <c r="DM681" i="15"/>
  <c r="DM685" i="15"/>
  <c r="DM690" i="15"/>
  <c r="DM694" i="15"/>
  <c r="DM698" i="15"/>
  <c r="DM702" i="15"/>
  <c r="DM706" i="15"/>
  <c r="DM710" i="15"/>
  <c r="DM714" i="15"/>
  <c r="DM718" i="15"/>
  <c r="DM722" i="15"/>
  <c r="DM726" i="15"/>
  <c r="DM22" i="15"/>
  <c r="DM39" i="15"/>
  <c r="DM56" i="15"/>
  <c r="DM73" i="15"/>
  <c r="DM90" i="15"/>
  <c r="DM107" i="15"/>
  <c r="DM123" i="15"/>
  <c r="DM140" i="15"/>
  <c r="DM155" i="15"/>
  <c r="DM163" i="15"/>
  <c r="DM172" i="15"/>
  <c r="DM180" i="15"/>
  <c r="DM188" i="15"/>
  <c r="DM197" i="15"/>
  <c r="DM202" i="15"/>
  <c r="DM208" i="15"/>
  <c r="DM213" i="15"/>
  <c r="DM219" i="15"/>
  <c r="DM225" i="15"/>
  <c r="DM230" i="15"/>
  <c r="DM235" i="15"/>
  <c r="DM239" i="15"/>
  <c r="DM243" i="15"/>
  <c r="DM247" i="15"/>
  <c r="DM252" i="15"/>
  <c r="DM256" i="15"/>
  <c r="DM260" i="15"/>
  <c r="DM264" i="15"/>
  <c r="DM268" i="15"/>
  <c r="DM272" i="15"/>
  <c r="DM276" i="15"/>
  <c r="DM280" i="15"/>
  <c r="DM284" i="15"/>
  <c r="DM288" i="15"/>
  <c r="DM292" i="15"/>
  <c r="DM296" i="15"/>
  <c r="DM301" i="15"/>
  <c r="DN301" i="15" s="1"/>
  <c r="DM305" i="15"/>
  <c r="DM309" i="15"/>
  <c r="DM313" i="15"/>
  <c r="DM317" i="15"/>
  <c r="DM321" i="15"/>
  <c r="DM326" i="15"/>
  <c r="DM330" i="15"/>
  <c r="DM334" i="15"/>
  <c r="DM338" i="15"/>
  <c r="DM342" i="15"/>
  <c r="DM346" i="15"/>
  <c r="DM350" i="15"/>
  <c r="DM354" i="15"/>
  <c r="DM358" i="15"/>
  <c r="DM362" i="15"/>
  <c r="DM366" i="15"/>
  <c r="DM371" i="15"/>
  <c r="DM375" i="15"/>
  <c r="DM378" i="15"/>
  <c r="DM383" i="15"/>
  <c r="DM387" i="15"/>
  <c r="DM391" i="15"/>
  <c r="DM395" i="15"/>
  <c r="DM399" i="15"/>
  <c r="DM403" i="15"/>
  <c r="DM408" i="15"/>
  <c r="DM412" i="15"/>
  <c r="DM416" i="15"/>
  <c r="DM420" i="15"/>
  <c r="DM424" i="15"/>
  <c r="DM428" i="15"/>
  <c r="DM433" i="15"/>
  <c r="DM437" i="15"/>
  <c r="DM441" i="15"/>
  <c r="DM445" i="15"/>
  <c r="DM449" i="15"/>
  <c r="DM453" i="15"/>
  <c r="DM458" i="15"/>
  <c r="DM462" i="15"/>
  <c r="DM466" i="15"/>
  <c r="DM474" i="15"/>
  <c r="DM478" i="15"/>
  <c r="DM482" i="15"/>
  <c r="DM486" i="15"/>
  <c r="DM491" i="15"/>
  <c r="DM495" i="15"/>
  <c r="DM499" i="15"/>
  <c r="DM503" i="15"/>
  <c r="DM507" i="15"/>
  <c r="DM511" i="15"/>
  <c r="DM516" i="15"/>
  <c r="DM520" i="15"/>
  <c r="DM524" i="15"/>
  <c r="DM529" i="15"/>
  <c r="DM533" i="15"/>
  <c r="DM537" i="15"/>
  <c r="DM541" i="15"/>
  <c r="DM545" i="15"/>
  <c r="DM550" i="15"/>
  <c r="DM554" i="15"/>
  <c r="DM558" i="15"/>
  <c r="DM562" i="15"/>
  <c r="DM566" i="15"/>
  <c r="DM570" i="15"/>
  <c r="DM572" i="15"/>
  <c r="DM578" i="15"/>
  <c r="DM582" i="15"/>
  <c r="DM586" i="15"/>
  <c r="DM590" i="15"/>
  <c r="DM594" i="15"/>
  <c r="DM598" i="15"/>
  <c r="DM602" i="15"/>
  <c r="DM606" i="15"/>
  <c r="DM611" i="15"/>
  <c r="DM615" i="15"/>
  <c r="DM619" i="15"/>
  <c r="DM624" i="15"/>
  <c r="DM628" i="15"/>
  <c r="DM632" i="15"/>
  <c r="DM636" i="15"/>
  <c r="DM641" i="15"/>
  <c r="DM645" i="15"/>
  <c r="DM649" i="15"/>
  <c r="DM653" i="15"/>
  <c r="DM657" i="15"/>
  <c r="DM661" i="15"/>
  <c r="DM665" i="15"/>
  <c r="DM670" i="15"/>
  <c r="DM674" i="15"/>
  <c r="DM678" i="15"/>
  <c r="DM682" i="15"/>
  <c r="DM686" i="15"/>
  <c r="DM691" i="15"/>
  <c r="DM695" i="15"/>
  <c r="DM699" i="15"/>
  <c r="DM703" i="15"/>
  <c r="DM707" i="15"/>
  <c r="DM711" i="15"/>
  <c r="DM715" i="15"/>
  <c r="DM719" i="15"/>
  <c r="DM723" i="15"/>
  <c r="DM727" i="15"/>
  <c r="DM26" i="15"/>
  <c r="DM94" i="15"/>
  <c r="DM156" i="15"/>
  <c r="DM190" i="15"/>
  <c r="DM214" i="15"/>
  <c r="DM236" i="15"/>
  <c r="DM253" i="15"/>
  <c r="DM285" i="15"/>
  <c r="DM302" i="15"/>
  <c r="DM318" i="15"/>
  <c r="DM335" i="15"/>
  <c r="DM351" i="15"/>
  <c r="DM367" i="15"/>
  <c r="DM384" i="15"/>
  <c r="DM400" i="15"/>
  <c r="DM417" i="15"/>
  <c r="DM434" i="15"/>
  <c r="DM450" i="15"/>
  <c r="DM467" i="15"/>
  <c r="DM483" i="15"/>
  <c r="DM500" i="15"/>
  <c r="DM517" i="15"/>
  <c r="DM534" i="15"/>
  <c r="DM551" i="15"/>
  <c r="DM567" i="15"/>
  <c r="DM583" i="15"/>
  <c r="DM599" i="15"/>
  <c r="DM616" i="15"/>
  <c r="DM633" i="15"/>
  <c r="DM650" i="15"/>
  <c r="DM666" i="15"/>
  <c r="DM683" i="15"/>
  <c r="DM700" i="15"/>
  <c r="DM716" i="15"/>
  <c r="DM730" i="15"/>
  <c r="DM736" i="15"/>
  <c r="DM740" i="15"/>
  <c r="DM744" i="15"/>
  <c r="DM748" i="15"/>
  <c r="DM752" i="15"/>
  <c r="DM757" i="15"/>
  <c r="DM759" i="15"/>
  <c r="DM763" i="15"/>
  <c r="DM767" i="15"/>
  <c r="DM771" i="15"/>
  <c r="DM778" i="15"/>
  <c r="DM782" i="15"/>
  <c r="DM786" i="15"/>
  <c r="DM790" i="15"/>
  <c r="DM794" i="15"/>
  <c r="DM799" i="15"/>
  <c r="DM803" i="15"/>
  <c r="DM807" i="15"/>
  <c r="DM811" i="15"/>
  <c r="DM815" i="15"/>
  <c r="DM819" i="15"/>
  <c r="DM823" i="15"/>
  <c r="DM828" i="15"/>
  <c r="DM832" i="15"/>
  <c r="DM836" i="15"/>
  <c r="DM840" i="15"/>
  <c r="DM844" i="15"/>
  <c r="DM848" i="15"/>
  <c r="DM852" i="15"/>
  <c r="DM856" i="15"/>
  <c r="DM860" i="15"/>
  <c r="DM44" i="15"/>
  <c r="DM111" i="15"/>
  <c r="DM164" i="15"/>
  <c r="DM198" i="15"/>
  <c r="DM221" i="15"/>
  <c r="DM240" i="15"/>
  <c r="DM257" i="15"/>
  <c r="DM273" i="15"/>
  <c r="DM289" i="15"/>
  <c r="DM306" i="15"/>
  <c r="DM322" i="15"/>
  <c r="DM339" i="15"/>
  <c r="DM355" i="15"/>
  <c r="DM372" i="15"/>
  <c r="DM388" i="15"/>
  <c r="DM404" i="15"/>
  <c r="DM421" i="15"/>
  <c r="DM438" i="15"/>
  <c r="DM455" i="15"/>
  <c r="DM471" i="15"/>
  <c r="DM487" i="15"/>
  <c r="DM504" i="15"/>
  <c r="DM521" i="15"/>
  <c r="DM538" i="15"/>
  <c r="DM555" i="15"/>
  <c r="DM571" i="15"/>
  <c r="DM587" i="15"/>
  <c r="DM603" i="15"/>
  <c r="DM621" i="15"/>
  <c r="DM637" i="15"/>
  <c r="DM654" i="15"/>
  <c r="DM671" i="15"/>
  <c r="DM688" i="15"/>
  <c r="DM704" i="15"/>
  <c r="DM720" i="15"/>
  <c r="DM732" i="15"/>
  <c r="DM737" i="15"/>
  <c r="DM741" i="15"/>
  <c r="DM745" i="15"/>
  <c r="DM749" i="15"/>
  <c r="DM754" i="15"/>
  <c r="DM773" i="15"/>
  <c r="DM760" i="15"/>
  <c r="DM764" i="15"/>
  <c r="DM768" i="15"/>
  <c r="DM772" i="15"/>
  <c r="DM779" i="15"/>
  <c r="DM783" i="15"/>
  <c r="DM787" i="15"/>
  <c r="DM791" i="15"/>
  <c r="DM796" i="15"/>
  <c r="DM800" i="15"/>
  <c r="DM804" i="15"/>
  <c r="DM808" i="15"/>
  <c r="DM812" i="15"/>
  <c r="DM816" i="15"/>
  <c r="DM820" i="15"/>
  <c r="DM824" i="15"/>
  <c r="DM829" i="15"/>
  <c r="DM833" i="15"/>
  <c r="DM837" i="15"/>
  <c r="DM841" i="15"/>
  <c r="DM845" i="15"/>
  <c r="DM849" i="15"/>
  <c r="DM853" i="15"/>
  <c r="DM857" i="15"/>
  <c r="DM861" i="15"/>
  <c r="DM60" i="15"/>
  <c r="DM128" i="15"/>
  <c r="DM173" i="15"/>
  <c r="DM204" i="15"/>
  <c r="DM226" i="15"/>
  <c r="DM244" i="15"/>
  <c r="DM261" i="15"/>
  <c r="DM277" i="15"/>
  <c r="DM293" i="15"/>
  <c r="DM310" i="15"/>
  <c r="DM327" i="15"/>
  <c r="DM343" i="15"/>
  <c r="DM359" i="15"/>
  <c r="DM376" i="15"/>
  <c r="DM392" i="15"/>
  <c r="DM409" i="15"/>
  <c r="DM425" i="15"/>
  <c r="DM442" i="15"/>
  <c r="DM459" i="15"/>
  <c r="DM475" i="15"/>
  <c r="DM492" i="15"/>
  <c r="DM508" i="15"/>
  <c r="DM525" i="15"/>
  <c r="DM542" i="15"/>
  <c r="DM559" i="15"/>
  <c r="DM575" i="15"/>
  <c r="DM591" i="15"/>
  <c r="DM607" i="15"/>
  <c r="DM625" i="15"/>
  <c r="DM642" i="15"/>
  <c r="DM658" i="15"/>
  <c r="DM675" i="15"/>
  <c r="DM692" i="15"/>
  <c r="DM708" i="15"/>
  <c r="DM724" i="15"/>
  <c r="DM733" i="15"/>
  <c r="DM738" i="15"/>
  <c r="DM742" i="15"/>
  <c r="DM746" i="15"/>
  <c r="DM750" i="15"/>
  <c r="DM755" i="15"/>
  <c r="DM774" i="15"/>
  <c r="DM761" i="15"/>
  <c r="DM765" i="15"/>
  <c r="DM769" i="15"/>
  <c r="DM776" i="15"/>
  <c r="DM780" i="15"/>
  <c r="DM784" i="15"/>
  <c r="DM788" i="15"/>
  <c r="DM792" i="15"/>
  <c r="DM797" i="15"/>
  <c r="DM801" i="15"/>
  <c r="DM805" i="15"/>
  <c r="DM809" i="15"/>
  <c r="DM813" i="15"/>
  <c r="DM817" i="15"/>
  <c r="DM821" i="15"/>
  <c r="DM825" i="15"/>
  <c r="DM830" i="15"/>
  <c r="DM834" i="15"/>
  <c r="DM838" i="15"/>
  <c r="DM842" i="15"/>
  <c r="DM846" i="15"/>
  <c r="DM850" i="15"/>
  <c r="DM854" i="15"/>
  <c r="DM858" i="15"/>
  <c r="DM181" i="15"/>
  <c r="DM265" i="15"/>
  <c r="DM331" i="15"/>
  <c r="DM396" i="15"/>
  <c r="DM463" i="15"/>
  <c r="DM530" i="15"/>
  <c r="DM595" i="15"/>
  <c r="DM662" i="15"/>
  <c r="DM728" i="15"/>
  <c r="DM747" i="15"/>
  <c r="DM762" i="15"/>
  <c r="DM781" i="15"/>
  <c r="DM798" i="15"/>
  <c r="DM814" i="15"/>
  <c r="DM831" i="15"/>
  <c r="DM847" i="15"/>
  <c r="DM144" i="15"/>
  <c r="DM379" i="15"/>
  <c r="DM579" i="15"/>
  <c r="DM743" i="15"/>
  <c r="DM793" i="15"/>
  <c r="DM859" i="15"/>
  <c r="DM10" i="15"/>
  <c r="DN10" i="15" s="1"/>
  <c r="DM209" i="15"/>
  <c r="DM281" i="15"/>
  <c r="DM347" i="15"/>
  <c r="DM413" i="15"/>
  <c r="DM479" i="15"/>
  <c r="DM546" i="15"/>
  <c r="DM612" i="15"/>
  <c r="DM679" i="15"/>
  <c r="DM735" i="15"/>
  <c r="DM751" i="15"/>
  <c r="DM766" i="15"/>
  <c r="DM785" i="15"/>
  <c r="DM802" i="15"/>
  <c r="DM818" i="15"/>
  <c r="DM835" i="15"/>
  <c r="DM851" i="15"/>
  <c r="DM248" i="15"/>
  <c r="DM446" i="15"/>
  <c r="DM777" i="15"/>
  <c r="DM826" i="15"/>
  <c r="DM77" i="15"/>
  <c r="DM232" i="15"/>
  <c r="DM297" i="15"/>
  <c r="DM363" i="15"/>
  <c r="DM430" i="15"/>
  <c r="DM496" i="15"/>
  <c r="DM563" i="15"/>
  <c r="DM630" i="15"/>
  <c r="DM696" i="15"/>
  <c r="DM739" i="15"/>
  <c r="DM756" i="15"/>
  <c r="DM770" i="15"/>
  <c r="DM789" i="15"/>
  <c r="DM806" i="15"/>
  <c r="DM822" i="15"/>
  <c r="DM839" i="15"/>
  <c r="DM855" i="15"/>
  <c r="DM314" i="15"/>
  <c r="DM512" i="15"/>
  <c r="DM646" i="15"/>
  <c r="DM758" i="15"/>
  <c r="DM810" i="15"/>
  <c r="DM843" i="15"/>
  <c r="F41" i="13"/>
  <c r="H9"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DQ35" i="15" l="1"/>
  <c r="DQ43" i="15"/>
  <c r="DQ66" i="15"/>
  <c r="DN794" i="15"/>
  <c r="DQ794" i="15" s="1"/>
  <c r="DN759" i="15"/>
  <c r="DQ759" i="15" s="1"/>
  <c r="DN716" i="15"/>
  <c r="DQ716" i="15" s="1"/>
  <c r="DN517" i="15"/>
  <c r="DQ517" i="15" s="1"/>
  <c r="DN384" i="15"/>
  <c r="DQ384" i="15" s="1"/>
  <c r="DN236" i="15"/>
  <c r="DQ236" i="15" s="1"/>
  <c r="DN719" i="15"/>
  <c r="DQ719" i="15" s="1"/>
  <c r="DN686" i="15"/>
  <c r="DQ686" i="15" s="1"/>
  <c r="DN653" i="15"/>
  <c r="DQ653" i="15" s="1"/>
  <c r="DN619" i="15"/>
  <c r="DQ619" i="15" s="1"/>
  <c r="DN586" i="15"/>
  <c r="DQ586" i="15" s="1"/>
  <c r="DN554" i="15"/>
  <c r="DQ554" i="15" s="1"/>
  <c r="DN520" i="15"/>
  <c r="DQ520" i="15" s="1"/>
  <c r="DN486" i="15"/>
  <c r="DQ486" i="15" s="1"/>
  <c r="DN453" i="15"/>
  <c r="DQ453" i="15" s="1"/>
  <c r="DN437" i="15"/>
  <c r="DQ437" i="15" s="1"/>
  <c r="DN403" i="15"/>
  <c r="DQ403" i="15" s="1"/>
  <c r="DN338" i="15"/>
  <c r="DQ338" i="15" s="1"/>
  <c r="DN305" i="15"/>
  <c r="DQ305" i="15" s="1"/>
  <c r="DN272" i="15"/>
  <c r="DN239" i="15"/>
  <c r="DQ239" i="15" s="1"/>
  <c r="DN197" i="15"/>
  <c r="DQ197" i="15" s="1"/>
  <c r="DN107" i="15"/>
  <c r="DQ107" i="15" s="1"/>
  <c r="DN718" i="15"/>
  <c r="DQ718" i="15" s="1"/>
  <c r="DN685" i="15"/>
  <c r="DQ685" i="15" s="1"/>
  <c r="DN652" i="15"/>
  <c r="DQ652" i="15" s="1"/>
  <c r="DN618" i="15"/>
  <c r="DQ618" i="15" s="1"/>
  <c r="DN585" i="15"/>
  <c r="DQ585" i="15" s="1"/>
  <c r="DN553" i="15"/>
  <c r="DQ553" i="15" s="1"/>
  <c r="DN502" i="15"/>
  <c r="DQ502" i="15" s="1"/>
  <c r="DN485" i="15"/>
  <c r="DQ485" i="15" s="1"/>
  <c r="DN452" i="15"/>
  <c r="DQ452" i="15" s="1"/>
  <c r="DN419" i="15"/>
  <c r="DQ419" i="15" s="1"/>
  <c r="DN386" i="15"/>
  <c r="DQ386" i="15" s="1"/>
  <c r="DN353" i="15"/>
  <c r="DQ353" i="15" s="1"/>
  <c r="DN320" i="15"/>
  <c r="DQ320" i="15" s="1"/>
  <c r="DN283" i="15"/>
  <c r="DQ283" i="15" s="1"/>
  <c r="DN246" i="15"/>
  <c r="DQ246" i="15" s="1"/>
  <c r="DN177" i="15"/>
  <c r="DQ177" i="15" s="1"/>
  <c r="DN69" i="15"/>
  <c r="DQ69" i="15" s="1"/>
  <c r="DN734" i="15"/>
  <c r="DQ734" i="15" s="1"/>
  <c r="DN701" i="15"/>
  <c r="DQ701" i="15" s="1"/>
  <c r="DN634" i="15"/>
  <c r="DQ634" i="15" s="1"/>
  <c r="DN596" i="15"/>
  <c r="DQ596" i="15" s="1"/>
  <c r="DN564" i="15"/>
  <c r="DQ564" i="15" s="1"/>
  <c r="DN531" i="15"/>
  <c r="DQ531" i="15" s="1"/>
  <c r="DN497" i="15"/>
  <c r="DQ497" i="15" s="1"/>
  <c r="DN464" i="15"/>
  <c r="DQ464" i="15" s="1"/>
  <c r="DN447" i="15"/>
  <c r="DQ447" i="15" s="1"/>
  <c r="DN431" i="15"/>
  <c r="DN414" i="15"/>
  <c r="DQ414" i="15" s="1"/>
  <c r="DN381" i="15"/>
  <c r="DQ381" i="15" s="1"/>
  <c r="DN364" i="15"/>
  <c r="DQ364" i="15" s="1"/>
  <c r="DN348" i="15"/>
  <c r="DQ348" i="15" s="1"/>
  <c r="DN332" i="15"/>
  <c r="DQ332" i="15" s="1"/>
  <c r="DN315" i="15"/>
  <c r="DQ315" i="15" s="1"/>
  <c r="DN298" i="15"/>
  <c r="DQ298" i="15" s="1"/>
  <c r="DN282" i="15"/>
  <c r="DQ282" i="15" s="1"/>
  <c r="DN262" i="15"/>
  <c r="DQ262" i="15" s="1"/>
  <c r="DN245" i="15"/>
  <c r="DQ245" i="15" s="1"/>
  <c r="DN227" i="15"/>
  <c r="DQ227" i="15" s="1"/>
  <c r="DN205" i="15"/>
  <c r="DQ205" i="15" s="1"/>
  <c r="DN176" i="15"/>
  <c r="DQ176" i="15" s="1"/>
  <c r="DN132" i="15"/>
  <c r="DQ132" i="15" s="1"/>
  <c r="DN151" i="15"/>
  <c r="DQ151" i="15" s="1"/>
  <c r="DN135" i="15"/>
  <c r="DQ135" i="15" s="1"/>
  <c r="DN118" i="15"/>
  <c r="DQ118" i="15" s="1"/>
  <c r="DN102" i="15"/>
  <c r="DQ102" i="15" s="1"/>
  <c r="DN85" i="15"/>
  <c r="DQ85" i="15" s="1"/>
  <c r="DN68" i="15"/>
  <c r="DQ68" i="15" s="1"/>
  <c r="DN51" i="15"/>
  <c r="DQ51" i="15" s="1"/>
  <c r="DN17" i="15"/>
  <c r="DQ17" i="15" s="1"/>
  <c r="DN192" i="15"/>
  <c r="DQ192" i="15" s="1"/>
  <c r="DN175" i="15"/>
  <c r="DQ175" i="15" s="1"/>
  <c r="DN158" i="15"/>
  <c r="DQ158" i="15" s="1"/>
  <c r="DN142" i="15"/>
  <c r="DQ142" i="15" s="1"/>
  <c r="DN126" i="15"/>
  <c r="DN109" i="15"/>
  <c r="DQ109" i="15" s="1"/>
  <c r="DN93" i="15"/>
  <c r="DQ93" i="15" s="1"/>
  <c r="DN75" i="15"/>
  <c r="DQ75" i="15" s="1"/>
  <c r="DN58" i="15"/>
  <c r="DQ58" i="15" s="1"/>
  <c r="DN24" i="15"/>
  <c r="DQ24" i="15" s="1"/>
  <c r="DN215" i="15"/>
  <c r="DQ215" i="15" s="1"/>
  <c r="DN199" i="15"/>
  <c r="DQ199" i="15" s="1"/>
  <c r="DN182" i="15"/>
  <c r="DQ182" i="15" s="1"/>
  <c r="DN165" i="15"/>
  <c r="DQ165" i="15" s="1"/>
  <c r="DN149" i="15"/>
  <c r="DQ149" i="15" s="1"/>
  <c r="DN133" i="15"/>
  <c r="DQ133" i="15" s="1"/>
  <c r="DN116" i="15"/>
  <c r="DQ116" i="15" s="1"/>
  <c r="DN100" i="15"/>
  <c r="DQ100" i="15" s="1"/>
  <c r="DN49" i="15"/>
  <c r="DQ49" i="15" s="1"/>
  <c r="DN15" i="15"/>
  <c r="DQ15" i="15" s="1"/>
  <c r="DN810" i="15"/>
  <c r="DQ810" i="15" s="1"/>
  <c r="DN314" i="15"/>
  <c r="DQ314" i="15" s="1"/>
  <c r="DN806" i="15"/>
  <c r="DQ806" i="15" s="1"/>
  <c r="DN739" i="15"/>
  <c r="DQ739" i="15" s="1"/>
  <c r="DN496" i="15"/>
  <c r="DQ496" i="15" s="1"/>
  <c r="DN835" i="15"/>
  <c r="DQ835" i="15" s="1"/>
  <c r="DN766" i="15"/>
  <c r="DQ766" i="15" s="1"/>
  <c r="DN612" i="15"/>
  <c r="DN347" i="15"/>
  <c r="DQ347" i="15" s="1"/>
  <c r="DN859" i="15"/>
  <c r="DQ859" i="15" s="1"/>
  <c r="DN379" i="15"/>
  <c r="DQ379" i="15" s="1"/>
  <c r="DN814" i="15"/>
  <c r="DQ814" i="15" s="1"/>
  <c r="DN747" i="15"/>
  <c r="DQ747" i="15" s="1"/>
  <c r="DN530" i="15"/>
  <c r="DN265" i="15"/>
  <c r="DQ265" i="15" s="1"/>
  <c r="DN850" i="15"/>
  <c r="DQ850" i="15" s="1"/>
  <c r="DN834" i="15"/>
  <c r="DQ834" i="15" s="1"/>
  <c r="DN817" i="15"/>
  <c r="DQ817" i="15" s="1"/>
  <c r="DN801" i="15"/>
  <c r="DQ801" i="15" s="1"/>
  <c r="DN784" i="15"/>
  <c r="DQ784" i="15" s="1"/>
  <c r="DN765" i="15"/>
  <c r="DQ765" i="15" s="1"/>
  <c r="DN750" i="15"/>
  <c r="DQ750" i="15" s="1"/>
  <c r="DN733" i="15"/>
  <c r="DN675" i="15"/>
  <c r="DQ675" i="15" s="1"/>
  <c r="DN607" i="15"/>
  <c r="DQ607" i="15" s="1"/>
  <c r="DN542" i="15"/>
  <c r="DQ542" i="15" s="1"/>
  <c r="DN475" i="15"/>
  <c r="DQ475" i="15" s="1"/>
  <c r="DN409" i="15"/>
  <c r="DQ409" i="15" s="1"/>
  <c r="DN343" i="15"/>
  <c r="DQ343" i="15" s="1"/>
  <c r="DN277" i="15"/>
  <c r="DQ277" i="15" s="1"/>
  <c r="DN204" i="15"/>
  <c r="DQ204" i="15" s="1"/>
  <c r="DN861" i="15"/>
  <c r="DQ861" i="15" s="1"/>
  <c r="DN845" i="15"/>
  <c r="DQ845" i="15" s="1"/>
  <c r="DN829" i="15"/>
  <c r="DN812" i="15"/>
  <c r="DQ812" i="15" s="1"/>
  <c r="DN779" i="15"/>
  <c r="DQ779" i="15" s="1"/>
  <c r="DN760" i="15"/>
  <c r="DQ760" i="15" s="1"/>
  <c r="DN745" i="15"/>
  <c r="DQ745" i="15" s="1"/>
  <c r="DN720" i="15"/>
  <c r="DQ720" i="15" s="1"/>
  <c r="DN654" i="15"/>
  <c r="DQ654" i="15" s="1"/>
  <c r="DN587" i="15"/>
  <c r="DQ587" i="15" s="1"/>
  <c r="DN521" i="15"/>
  <c r="DQ521" i="15" s="1"/>
  <c r="DN388" i="15"/>
  <c r="DQ388" i="15" s="1"/>
  <c r="DN322" i="15"/>
  <c r="DQ322" i="15" s="1"/>
  <c r="DN257" i="15"/>
  <c r="DQ257" i="15" s="1"/>
  <c r="DN164" i="15"/>
  <c r="DQ164" i="15" s="1"/>
  <c r="DN856" i="15"/>
  <c r="DQ856" i="15" s="1"/>
  <c r="DN840" i="15"/>
  <c r="DQ840" i="15" s="1"/>
  <c r="DN823" i="15"/>
  <c r="DQ823" i="15" s="1"/>
  <c r="DN807" i="15"/>
  <c r="DQ807" i="15" s="1"/>
  <c r="DN790" i="15"/>
  <c r="DQ790" i="15" s="1"/>
  <c r="DN771" i="15"/>
  <c r="DQ771" i="15" s="1"/>
  <c r="DN757" i="15"/>
  <c r="DQ757" i="15" s="1"/>
  <c r="DN740" i="15"/>
  <c r="DQ740" i="15" s="1"/>
  <c r="DN700" i="15"/>
  <c r="DQ700" i="15" s="1"/>
  <c r="DN633" i="15"/>
  <c r="DQ633" i="15" s="1"/>
  <c r="DN567" i="15"/>
  <c r="DQ567" i="15" s="1"/>
  <c r="DN500" i="15"/>
  <c r="DQ500" i="15" s="1"/>
  <c r="DN434" i="15"/>
  <c r="DQ434" i="15" s="1"/>
  <c r="DN367" i="15"/>
  <c r="DQ367" i="15" s="1"/>
  <c r="DN302" i="15"/>
  <c r="DQ302" i="15" s="1"/>
  <c r="DN214" i="15"/>
  <c r="DQ214" i="15" s="1"/>
  <c r="DN26" i="15"/>
  <c r="DQ26" i="15" s="1"/>
  <c r="DN715" i="15"/>
  <c r="DN699" i="15"/>
  <c r="DQ699" i="15" s="1"/>
  <c r="DN682" i="15"/>
  <c r="DQ682" i="15" s="1"/>
  <c r="DN665" i="15"/>
  <c r="DQ665" i="15" s="1"/>
  <c r="DN649" i="15"/>
  <c r="DQ649" i="15" s="1"/>
  <c r="DN632" i="15"/>
  <c r="DQ632" i="15" s="1"/>
  <c r="DN615" i="15"/>
  <c r="DQ615" i="15" s="1"/>
  <c r="DN598" i="15"/>
  <c r="DQ598" i="15" s="1"/>
  <c r="DN582" i="15"/>
  <c r="DQ582" i="15" s="1"/>
  <c r="DN566" i="15"/>
  <c r="DQ566" i="15" s="1"/>
  <c r="DN550" i="15"/>
  <c r="DQ550" i="15" s="1"/>
  <c r="DN533" i="15"/>
  <c r="DQ533" i="15" s="1"/>
  <c r="DN516" i="15"/>
  <c r="DQ516" i="15" s="1"/>
  <c r="DN499" i="15"/>
  <c r="DQ499" i="15" s="1"/>
  <c r="DN482" i="15"/>
  <c r="DQ482" i="15" s="1"/>
  <c r="DN466" i="15"/>
  <c r="DQ466" i="15" s="1"/>
  <c r="DN449" i="15"/>
  <c r="DQ449" i="15" s="1"/>
  <c r="DN433" i="15"/>
  <c r="DQ433" i="15" s="1"/>
  <c r="DN416" i="15"/>
  <c r="DQ416" i="15" s="1"/>
  <c r="DN399" i="15"/>
  <c r="DQ399" i="15" s="1"/>
  <c r="DN383" i="15"/>
  <c r="DQ383" i="15" s="1"/>
  <c r="DN366" i="15"/>
  <c r="DQ366" i="15" s="1"/>
  <c r="DN350" i="15"/>
  <c r="DQ350" i="15" s="1"/>
  <c r="DN334" i="15"/>
  <c r="DQ334" i="15" s="1"/>
  <c r="DN317" i="15"/>
  <c r="DQ317" i="15" s="1"/>
  <c r="DN284" i="15"/>
  <c r="DQ284" i="15" s="1"/>
  <c r="DN268" i="15"/>
  <c r="DQ268" i="15" s="1"/>
  <c r="DN252" i="15"/>
  <c r="DN235" i="15"/>
  <c r="DQ235" i="15" s="1"/>
  <c r="DN213" i="15"/>
  <c r="DQ213" i="15" s="1"/>
  <c r="DN188" i="15"/>
  <c r="DQ188" i="15" s="1"/>
  <c r="DN155" i="15"/>
  <c r="DQ155" i="15" s="1"/>
  <c r="DN90" i="15"/>
  <c r="DQ90" i="15" s="1"/>
  <c r="DN22" i="15"/>
  <c r="DQ22" i="15" s="1"/>
  <c r="DN698" i="15"/>
  <c r="DQ698" i="15" s="1"/>
  <c r="DN681" i="15"/>
  <c r="DQ681" i="15" s="1"/>
  <c r="DN664" i="15"/>
  <c r="DQ664" i="15" s="1"/>
  <c r="DN648" i="15"/>
  <c r="DQ648" i="15" s="1"/>
  <c r="DN631" i="15"/>
  <c r="DQ631" i="15" s="1"/>
  <c r="DN614" i="15"/>
  <c r="DQ614" i="15" s="1"/>
  <c r="DN597" i="15"/>
  <c r="DQ597" i="15" s="1"/>
  <c r="DN581" i="15"/>
  <c r="DQ581" i="15" s="1"/>
  <c r="DN565" i="15"/>
  <c r="DQ565" i="15" s="1"/>
  <c r="DN549" i="15"/>
  <c r="DN532" i="15"/>
  <c r="DQ532" i="15" s="1"/>
  <c r="DN515" i="15"/>
  <c r="DN498" i="15"/>
  <c r="DQ498" i="15" s="1"/>
  <c r="DN481" i="15"/>
  <c r="DQ481" i="15" s="1"/>
  <c r="DN465" i="15"/>
  <c r="DQ465" i="15" s="1"/>
  <c r="DN448" i="15"/>
  <c r="DQ448" i="15" s="1"/>
  <c r="DN432" i="15"/>
  <c r="DQ432" i="15" s="1"/>
  <c r="DN415" i="15"/>
  <c r="DQ415" i="15" s="1"/>
  <c r="DN398" i="15"/>
  <c r="DQ398" i="15" s="1"/>
  <c r="DN382" i="15"/>
  <c r="DQ382" i="15" s="1"/>
  <c r="DN365" i="15"/>
  <c r="DQ365" i="15" s="1"/>
  <c r="DN349" i="15"/>
  <c r="DQ349" i="15" s="1"/>
  <c r="DN333" i="15"/>
  <c r="DQ333" i="15" s="1"/>
  <c r="DN316" i="15"/>
  <c r="DQ316" i="15" s="1"/>
  <c r="DN295" i="15"/>
  <c r="DQ295" i="15" s="1"/>
  <c r="DN279" i="15"/>
  <c r="DQ279" i="15" s="1"/>
  <c r="DN259" i="15"/>
  <c r="DQ259" i="15" s="1"/>
  <c r="DN242" i="15"/>
  <c r="DQ242" i="15" s="1"/>
  <c r="DN223" i="15"/>
  <c r="DQ223" i="15" s="1"/>
  <c r="DN201" i="15"/>
  <c r="DQ201" i="15" s="1"/>
  <c r="DN169" i="15"/>
  <c r="DN119" i="15"/>
  <c r="DQ119" i="15" s="1"/>
  <c r="DN52" i="15"/>
  <c r="DQ52" i="15" s="1"/>
  <c r="DN729" i="15"/>
  <c r="DQ729" i="15" s="1"/>
  <c r="DN697" i="15"/>
  <c r="DQ697" i="15" s="1"/>
  <c r="DN680" i="15"/>
  <c r="DQ680" i="15" s="1"/>
  <c r="DN663" i="15"/>
  <c r="DQ663" i="15" s="1"/>
  <c r="DN647" i="15"/>
  <c r="DQ647" i="15" s="1"/>
  <c r="DN626" i="15"/>
  <c r="DQ626" i="15" s="1"/>
  <c r="DN608" i="15"/>
  <c r="DQ608" i="15" s="1"/>
  <c r="DN592" i="15"/>
  <c r="DQ592" i="15" s="1"/>
  <c r="DN560" i="15"/>
  <c r="DQ560" i="15" s="1"/>
  <c r="DN543" i="15"/>
  <c r="DQ543" i="15" s="1"/>
  <c r="DN526" i="15"/>
  <c r="DQ526" i="15" s="1"/>
  <c r="DN509" i="15"/>
  <c r="DQ509" i="15" s="1"/>
  <c r="DN493" i="15"/>
  <c r="DQ493" i="15" s="1"/>
  <c r="DN476" i="15"/>
  <c r="DQ476" i="15" s="1"/>
  <c r="DN460" i="15"/>
  <c r="DQ460" i="15" s="1"/>
  <c r="DN443" i="15"/>
  <c r="DQ443" i="15" s="1"/>
  <c r="DN426" i="15"/>
  <c r="DQ426" i="15" s="1"/>
  <c r="DN410" i="15"/>
  <c r="DQ410" i="15" s="1"/>
  <c r="DN393" i="15"/>
  <c r="DQ393" i="15" s="1"/>
  <c r="DN377" i="15"/>
  <c r="DQ377" i="15" s="1"/>
  <c r="DN360" i="15"/>
  <c r="DQ360" i="15" s="1"/>
  <c r="DN344" i="15"/>
  <c r="DQ344" i="15" s="1"/>
  <c r="DN328" i="15"/>
  <c r="DQ328" i="15" s="1"/>
  <c r="DN311" i="15"/>
  <c r="DQ311" i="15" s="1"/>
  <c r="DN294" i="15"/>
  <c r="DQ294" i="15" s="1"/>
  <c r="DN278" i="15"/>
  <c r="DQ278" i="15" s="1"/>
  <c r="DN258" i="15"/>
  <c r="DQ258" i="15" s="1"/>
  <c r="DN241" i="15"/>
  <c r="DQ241" i="15" s="1"/>
  <c r="DN222" i="15"/>
  <c r="DQ222" i="15" s="1"/>
  <c r="DN200" i="15"/>
  <c r="DQ200" i="15" s="1"/>
  <c r="DN115" i="15"/>
  <c r="DQ115" i="15" s="1"/>
  <c r="DN48" i="15"/>
  <c r="DQ48" i="15" s="1"/>
  <c r="DN147" i="15"/>
  <c r="DQ147" i="15" s="1"/>
  <c r="DN131" i="15"/>
  <c r="DQ131" i="15" s="1"/>
  <c r="DN114" i="15"/>
  <c r="DQ114" i="15" s="1"/>
  <c r="DN80" i="15"/>
  <c r="DQ80" i="15" s="1"/>
  <c r="DN63" i="15"/>
  <c r="DQ63" i="15" s="1"/>
  <c r="DN47" i="15"/>
  <c r="DQ47" i="15" s="1"/>
  <c r="DN29" i="15"/>
  <c r="DQ29" i="15" s="1"/>
  <c r="DN13" i="15"/>
  <c r="DQ13" i="15" s="1"/>
  <c r="DN187" i="15"/>
  <c r="DQ187" i="15" s="1"/>
  <c r="DN171" i="15"/>
  <c r="DQ171" i="15" s="1"/>
  <c r="DN154" i="15"/>
  <c r="DQ154" i="15" s="1"/>
  <c r="DN138" i="15"/>
  <c r="DQ138" i="15" s="1"/>
  <c r="DN121" i="15"/>
  <c r="DQ121" i="15" s="1"/>
  <c r="DN105" i="15"/>
  <c r="DQ105" i="15" s="1"/>
  <c r="DN88" i="15"/>
  <c r="DQ88" i="15" s="1"/>
  <c r="DN71" i="15"/>
  <c r="DQ71" i="15" s="1"/>
  <c r="DN54" i="15"/>
  <c r="DQ54" i="15" s="1"/>
  <c r="DN37" i="15"/>
  <c r="DQ37" i="15" s="1"/>
  <c r="DN20" i="15"/>
  <c r="DQ20" i="15" s="1"/>
  <c r="DN228" i="15"/>
  <c r="DQ228" i="15" s="1"/>
  <c r="DN211" i="15"/>
  <c r="DQ211" i="15" s="1"/>
  <c r="DN195" i="15"/>
  <c r="DQ195" i="15" s="1"/>
  <c r="DN178" i="15"/>
  <c r="DQ178" i="15" s="1"/>
  <c r="DN161" i="15"/>
  <c r="DQ161" i="15" s="1"/>
  <c r="DN129" i="15"/>
  <c r="DQ129" i="15" s="1"/>
  <c r="DN112" i="15"/>
  <c r="DQ112" i="15" s="1"/>
  <c r="DN95" i="15"/>
  <c r="DQ95" i="15" s="1"/>
  <c r="DN78" i="15"/>
  <c r="DQ78" i="15" s="1"/>
  <c r="DN61" i="15"/>
  <c r="DQ61" i="15" s="1"/>
  <c r="DN45" i="15"/>
  <c r="DQ45" i="15" s="1"/>
  <c r="DN27" i="15"/>
  <c r="DQ27" i="15" s="1"/>
  <c r="DN11" i="15"/>
  <c r="DQ11" i="15" s="1"/>
  <c r="DN758" i="15"/>
  <c r="DQ758" i="15" s="1"/>
  <c r="DN855" i="15"/>
  <c r="DQ855" i="15" s="1"/>
  <c r="DN789" i="15"/>
  <c r="DQ789" i="15" s="1"/>
  <c r="DN696" i="15"/>
  <c r="DQ696" i="15" s="1"/>
  <c r="DN77" i="15"/>
  <c r="DQ77" i="15" s="1"/>
  <c r="DN446" i="15"/>
  <c r="DQ446" i="15" s="1"/>
  <c r="DN818" i="15"/>
  <c r="DQ818" i="15" s="1"/>
  <c r="DN751" i="15"/>
  <c r="DQ751" i="15" s="1"/>
  <c r="DN546" i="15"/>
  <c r="DQ546" i="15" s="1"/>
  <c r="DN281" i="15"/>
  <c r="DQ281" i="15" s="1"/>
  <c r="DN793" i="15"/>
  <c r="DQ793" i="15" s="1"/>
  <c r="DN798" i="15"/>
  <c r="DQ798" i="15" s="1"/>
  <c r="DN728" i="15"/>
  <c r="DQ728" i="15" s="1"/>
  <c r="DN463" i="15"/>
  <c r="DQ463" i="15" s="1"/>
  <c r="DN181" i="15"/>
  <c r="DQ181" i="15" s="1"/>
  <c r="DN846" i="15"/>
  <c r="DQ846" i="15" s="1"/>
  <c r="DN830" i="15"/>
  <c r="DQ830" i="15" s="1"/>
  <c r="DN813" i="15"/>
  <c r="DQ813" i="15" s="1"/>
  <c r="DN797" i="15"/>
  <c r="DN780" i="15"/>
  <c r="DQ780" i="15" s="1"/>
  <c r="DN761" i="15"/>
  <c r="DQ761" i="15" s="1"/>
  <c r="DN746" i="15"/>
  <c r="DQ746" i="15" s="1"/>
  <c r="DN724" i="15"/>
  <c r="DQ724" i="15" s="1"/>
  <c r="DN658" i="15"/>
  <c r="DQ658" i="15" s="1"/>
  <c r="DN591" i="15"/>
  <c r="DQ591" i="15" s="1"/>
  <c r="DN525" i="15"/>
  <c r="DQ525" i="15" s="1"/>
  <c r="DN459" i="15"/>
  <c r="DQ459" i="15" s="1"/>
  <c r="DN392" i="15"/>
  <c r="DQ392" i="15" s="1"/>
  <c r="DN327" i="15"/>
  <c r="DQ327" i="15" s="1"/>
  <c r="DN261" i="15"/>
  <c r="DQ261" i="15" s="1"/>
  <c r="DN173" i="15"/>
  <c r="DQ173" i="15" s="1"/>
  <c r="DN857" i="15"/>
  <c r="DQ857" i="15" s="1"/>
  <c r="DN841" i="15"/>
  <c r="DQ841" i="15" s="1"/>
  <c r="DN824" i="15"/>
  <c r="DQ824" i="15" s="1"/>
  <c r="DN808" i="15"/>
  <c r="DQ808" i="15" s="1"/>
  <c r="DN791" i="15"/>
  <c r="DQ791" i="15" s="1"/>
  <c r="DN772" i="15"/>
  <c r="DQ772" i="15" s="1"/>
  <c r="DN773" i="15"/>
  <c r="DQ773" i="15" s="1"/>
  <c r="DN741" i="15"/>
  <c r="DQ741" i="15" s="1"/>
  <c r="DN704" i="15"/>
  <c r="DQ704" i="15" s="1"/>
  <c r="DN637" i="15"/>
  <c r="DQ637" i="15" s="1"/>
  <c r="DN571" i="15"/>
  <c r="DQ571" i="15" s="1"/>
  <c r="DN504" i="15"/>
  <c r="DQ504" i="15" s="1"/>
  <c r="DN438" i="15"/>
  <c r="DQ438" i="15" s="1"/>
  <c r="DN372" i="15"/>
  <c r="DN306" i="15"/>
  <c r="DQ306" i="15" s="1"/>
  <c r="DN240" i="15"/>
  <c r="DQ240" i="15" s="1"/>
  <c r="DN111" i="15"/>
  <c r="DQ111" i="15" s="1"/>
  <c r="DN852" i="15"/>
  <c r="DQ852" i="15" s="1"/>
  <c r="DN836" i="15"/>
  <c r="DQ836" i="15" s="1"/>
  <c r="DN819" i="15"/>
  <c r="DQ819" i="15" s="1"/>
  <c r="DN803" i="15"/>
  <c r="DQ803" i="15" s="1"/>
  <c r="DN786" i="15"/>
  <c r="DQ786" i="15" s="1"/>
  <c r="DN767" i="15"/>
  <c r="DQ767" i="15" s="1"/>
  <c r="DN752" i="15"/>
  <c r="DQ752" i="15" s="1"/>
  <c r="DN736" i="15"/>
  <c r="DQ736" i="15" s="1"/>
  <c r="DN683" i="15"/>
  <c r="DQ683" i="15" s="1"/>
  <c r="DN616" i="15"/>
  <c r="DQ616" i="15" s="1"/>
  <c r="DN551" i="15"/>
  <c r="DQ551" i="15" s="1"/>
  <c r="DN483" i="15"/>
  <c r="DQ483" i="15" s="1"/>
  <c r="DN417" i="15"/>
  <c r="DQ417" i="15" s="1"/>
  <c r="DN351" i="15"/>
  <c r="DQ351" i="15" s="1"/>
  <c r="DN285" i="15"/>
  <c r="DQ285" i="15" s="1"/>
  <c r="DN727" i="15"/>
  <c r="DQ727" i="15" s="1"/>
  <c r="DN711" i="15"/>
  <c r="DQ711" i="15" s="1"/>
  <c r="DN695" i="15"/>
  <c r="DQ695" i="15" s="1"/>
  <c r="DN678" i="15"/>
  <c r="DQ678" i="15" s="1"/>
  <c r="DN661" i="15"/>
  <c r="DQ661" i="15" s="1"/>
  <c r="DN645" i="15"/>
  <c r="DQ645" i="15" s="1"/>
  <c r="DN628" i="15"/>
  <c r="DQ628" i="15" s="1"/>
  <c r="DN594" i="15"/>
  <c r="DQ594" i="15" s="1"/>
  <c r="DN562" i="15"/>
  <c r="DQ562" i="15" s="1"/>
  <c r="DN545" i="15"/>
  <c r="DQ545" i="15" s="1"/>
  <c r="DN511" i="15"/>
  <c r="DQ511" i="15" s="1"/>
  <c r="DN495" i="15"/>
  <c r="DQ495" i="15" s="1"/>
  <c r="DN478" i="15"/>
  <c r="DQ478" i="15" s="1"/>
  <c r="DN462" i="15"/>
  <c r="DQ462" i="15" s="1"/>
  <c r="DN445" i="15"/>
  <c r="DQ445" i="15" s="1"/>
  <c r="DN428" i="15"/>
  <c r="DQ428" i="15" s="1"/>
  <c r="DN412" i="15"/>
  <c r="DQ412" i="15" s="1"/>
  <c r="DN395" i="15"/>
  <c r="DQ395" i="15" s="1"/>
  <c r="DN378" i="15"/>
  <c r="DQ378" i="15" s="1"/>
  <c r="DN362" i="15"/>
  <c r="DQ362" i="15" s="1"/>
  <c r="DN346" i="15"/>
  <c r="DQ346" i="15" s="1"/>
  <c r="DN330" i="15"/>
  <c r="DQ330" i="15" s="1"/>
  <c r="DN313" i="15"/>
  <c r="DQ313" i="15" s="1"/>
  <c r="DN296" i="15"/>
  <c r="DQ296" i="15" s="1"/>
  <c r="DN280" i="15"/>
  <c r="DQ280" i="15" s="1"/>
  <c r="DN264" i="15"/>
  <c r="DQ264" i="15" s="1"/>
  <c r="DN247" i="15"/>
  <c r="DQ247" i="15" s="1"/>
  <c r="DN230" i="15"/>
  <c r="DQ230" i="15" s="1"/>
  <c r="DN208" i="15"/>
  <c r="DQ208" i="15" s="1"/>
  <c r="DN180" i="15"/>
  <c r="DQ180" i="15" s="1"/>
  <c r="DN140" i="15"/>
  <c r="DQ140" i="15" s="1"/>
  <c r="DN73" i="15"/>
  <c r="DQ73" i="15" s="1"/>
  <c r="DN726" i="15"/>
  <c r="DQ726" i="15" s="1"/>
  <c r="DN710" i="15"/>
  <c r="DQ710" i="15" s="1"/>
  <c r="DN694" i="15"/>
  <c r="DQ694" i="15" s="1"/>
  <c r="DN677" i="15"/>
  <c r="DQ677" i="15" s="1"/>
  <c r="DN660" i="15"/>
  <c r="DQ660" i="15" s="1"/>
  <c r="DN644" i="15"/>
  <c r="DQ644" i="15" s="1"/>
  <c r="DN627" i="15"/>
  <c r="DQ627" i="15" s="1"/>
  <c r="DN609" i="15"/>
  <c r="DQ609" i="15" s="1"/>
  <c r="DN593" i="15"/>
  <c r="DQ593" i="15" s="1"/>
  <c r="DN561" i="15"/>
  <c r="DQ561" i="15" s="1"/>
  <c r="DN544" i="15"/>
  <c r="DQ544" i="15" s="1"/>
  <c r="DN527" i="15"/>
  <c r="DQ527" i="15" s="1"/>
  <c r="DN510" i="15"/>
  <c r="DQ510" i="15" s="1"/>
  <c r="DN494" i="15"/>
  <c r="DQ494" i="15" s="1"/>
  <c r="DN477" i="15"/>
  <c r="DQ477" i="15" s="1"/>
  <c r="DN461" i="15"/>
  <c r="DQ461" i="15" s="1"/>
  <c r="DN444" i="15"/>
  <c r="DQ444" i="15" s="1"/>
  <c r="DN427" i="15"/>
  <c r="DQ427" i="15" s="1"/>
  <c r="DN411" i="15"/>
  <c r="DQ411" i="15" s="1"/>
  <c r="DN394" i="15"/>
  <c r="DQ394" i="15" s="1"/>
  <c r="DN361" i="15"/>
  <c r="DQ361" i="15" s="1"/>
  <c r="DN345" i="15"/>
  <c r="DQ345" i="15" s="1"/>
  <c r="DN329" i="15"/>
  <c r="DQ329" i="15" s="1"/>
  <c r="DN312" i="15"/>
  <c r="DQ312" i="15" s="1"/>
  <c r="DN291" i="15"/>
  <c r="DQ291" i="15" s="1"/>
  <c r="DN274" i="15"/>
  <c r="DQ274" i="15" s="1"/>
  <c r="DN255" i="15"/>
  <c r="DQ255" i="15" s="1"/>
  <c r="DN238" i="15"/>
  <c r="DQ238" i="15" s="1"/>
  <c r="DN217" i="15"/>
  <c r="DQ217" i="15" s="1"/>
  <c r="DN194" i="15"/>
  <c r="DQ194" i="15" s="1"/>
  <c r="DN160" i="15"/>
  <c r="DQ160" i="15" s="1"/>
  <c r="DN103" i="15"/>
  <c r="DQ103" i="15" s="1"/>
  <c r="DN725" i="15"/>
  <c r="DQ725" i="15" s="1"/>
  <c r="DN709" i="15"/>
  <c r="DQ709" i="15" s="1"/>
  <c r="DN693" i="15"/>
  <c r="DQ693" i="15" s="1"/>
  <c r="DN676" i="15"/>
  <c r="DQ676" i="15" s="1"/>
  <c r="DN659" i="15"/>
  <c r="DQ659" i="15" s="1"/>
  <c r="DN643" i="15"/>
  <c r="DQ643" i="15" s="1"/>
  <c r="DN622" i="15"/>
  <c r="DN604" i="15"/>
  <c r="DQ604" i="15" s="1"/>
  <c r="DN588" i="15"/>
  <c r="DQ588" i="15" s="1"/>
  <c r="DN573" i="15"/>
  <c r="DQ573" i="15" s="1"/>
  <c r="DN556" i="15"/>
  <c r="DQ556" i="15" s="1"/>
  <c r="DN539" i="15"/>
  <c r="DQ539" i="15" s="1"/>
  <c r="DN522" i="15"/>
  <c r="DQ522" i="15" s="1"/>
  <c r="DN505" i="15"/>
  <c r="DQ505" i="15" s="1"/>
  <c r="DN488" i="15"/>
  <c r="DQ488" i="15" s="1"/>
  <c r="DN456" i="15"/>
  <c r="DN439" i="15"/>
  <c r="DQ439" i="15" s="1"/>
  <c r="DN422" i="15"/>
  <c r="DQ422" i="15" s="1"/>
  <c r="DN405" i="15"/>
  <c r="DQ405" i="15" s="1"/>
  <c r="DN389" i="15"/>
  <c r="DQ389" i="15" s="1"/>
  <c r="DN373" i="15"/>
  <c r="DQ373" i="15" s="1"/>
  <c r="DN356" i="15"/>
  <c r="DQ356" i="15" s="1"/>
  <c r="DN340" i="15"/>
  <c r="DQ340" i="15" s="1"/>
  <c r="DN323" i="15"/>
  <c r="DQ323" i="15" s="1"/>
  <c r="DN307" i="15"/>
  <c r="DQ307" i="15" s="1"/>
  <c r="DN290" i="15"/>
  <c r="DQ290" i="15" s="1"/>
  <c r="DN275" i="15"/>
  <c r="DQ275" i="15" s="1"/>
  <c r="DN254" i="15"/>
  <c r="DQ254" i="15" s="1"/>
  <c r="DN237" i="15"/>
  <c r="DQ237" i="15" s="1"/>
  <c r="DN216" i="15"/>
  <c r="DQ216" i="15" s="1"/>
  <c r="DN193" i="15"/>
  <c r="DQ193" i="15" s="1"/>
  <c r="DN159" i="15"/>
  <c r="DQ159" i="15" s="1"/>
  <c r="DN99" i="15"/>
  <c r="DN30" i="15"/>
  <c r="DQ30" i="15" s="1"/>
  <c r="DN127" i="15"/>
  <c r="DQ127" i="15" s="1"/>
  <c r="DN110" i="15"/>
  <c r="DQ110" i="15" s="1"/>
  <c r="DN92" i="15"/>
  <c r="DQ92" i="15" s="1"/>
  <c r="DN76" i="15"/>
  <c r="DQ76" i="15" s="1"/>
  <c r="DN59" i="15"/>
  <c r="DQ59" i="15" s="1"/>
  <c r="DN25" i="15"/>
  <c r="DQ25" i="15" s="1"/>
  <c r="DN183" i="15"/>
  <c r="DQ183" i="15" s="1"/>
  <c r="DN166" i="15"/>
  <c r="DQ166" i="15" s="1"/>
  <c r="DN150" i="15"/>
  <c r="DQ150" i="15" s="1"/>
  <c r="DN134" i="15"/>
  <c r="DQ134" i="15" s="1"/>
  <c r="DN117" i="15"/>
  <c r="DQ117" i="15" s="1"/>
  <c r="DN101" i="15"/>
  <c r="DQ101" i="15" s="1"/>
  <c r="DN84" i="15"/>
  <c r="DN67" i="15"/>
  <c r="DQ67" i="15" s="1"/>
  <c r="DN50" i="15"/>
  <c r="DQ50" i="15" s="1"/>
  <c r="DN32" i="15"/>
  <c r="DQ32" i="15" s="1"/>
  <c r="DN16" i="15"/>
  <c r="DQ16" i="15" s="1"/>
  <c r="DN224" i="15"/>
  <c r="DQ224" i="15" s="1"/>
  <c r="DN207" i="15"/>
  <c r="DQ207" i="15" s="1"/>
  <c r="DN191" i="15"/>
  <c r="DN174" i="15"/>
  <c r="DQ174" i="15" s="1"/>
  <c r="DN157" i="15"/>
  <c r="DQ157" i="15" s="1"/>
  <c r="DN141" i="15"/>
  <c r="DQ141" i="15" s="1"/>
  <c r="DN108" i="15"/>
  <c r="DQ108" i="15" s="1"/>
  <c r="DN91" i="15"/>
  <c r="DQ91" i="15" s="1"/>
  <c r="DN74" i="15"/>
  <c r="DQ74" i="15" s="1"/>
  <c r="DN57" i="15"/>
  <c r="DQ57" i="15" s="1"/>
  <c r="DN40" i="15"/>
  <c r="DQ40" i="15" s="1"/>
  <c r="DN23" i="15"/>
  <c r="DQ23" i="15" s="1"/>
  <c r="DN843" i="15"/>
  <c r="DQ843" i="15" s="1"/>
  <c r="DN512" i="15"/>
  <c r="DQ512" i="15" s="1"/>
  <c r="DN822" i="15"/>
  <c r="DQ822" i="15" s="1"/>
  <c r="DN756" i="15"/>
  <c r="DQ756" i="15" s="1"/>
  <c r="DN563" i="15"/>
  <c r="DQ563" i="15" s="1"/>
  <c r="DN297" i="15"/>
  <c r="DQ297" i="15" s="1"/>
  <c r="DN777" i="15"/>
  <c r="DN851" i="15"/>
  <c r="DQ851" i="15" s="1"/>
  <c r="DN785" i="15"/>
  <c r="DQ785" i="15" s="1"/>
  <c r="DN679" i="15"/>
  <c r="DQ679" i="15" s="1"/>
  <c r="DN413" i="15"/>
  <c r="DQ413" i="15" s="1"/>
  <c r="DN579" i="15"/>
  <c r="DN831" i="15"/>
  <c r="DQ831" i="15" s="1"/>
  <c r="DN762" i="15"/>
  <c r="DQ762" i="15" s="1"/>
  <c r="DN595" i="15"/>
  <c r="DQ595" i="15" s="1"/>
  <c r="DN331" i="15"/>
  <c r="DQ331" i="15" s="1"/>
  <c r="DN854" i="15"/>
  <c r="DQ854" i="15" s="1"/>
  <c r="DN838" i="15"/>
  <c r="DQ838" i="15" s="1"/>
  <c r="DN821" i="15"/>
  <c r="DQ821" i="15" s="1"/>
  <c r="DN805" i="15"/>
  <c r="DQ805" i="15" s="1"/>
  <c r="DN788" i="15"/>
  <c r="DQ788" i="15" s="1"/>
  <c r="DN769" i="15"/>
  <c r="DQ769" i="15" s="1"/>
  <c r="DN755" i="15"/>
  <c r="DN738" i="15"/>
  <c r="DQ738" i="15" s="1"/>
  <c r="DN692" i="15"/>
  <c r="DQ692" i="15" s="1"/>
  <c r="DN625" i="15"/>
  <c r="DQ625" i="15" s="1"/>
  <c r="DN559" i="15"/>
  <c r="DQ559" i="15" s="1"/>
  <c r="DN492" i="15"/>
  <c r="DN425" i="15"/>
  <c r="DQ425" i="15" s="1"/>
  <c r="DN359" i="15"/>
  <c r="DQ359" i="15" s="1"/>
  <c r="DN293" i="15"/>
  <c r="DQ293" i="15" s="1"/>
  <c r="DN226" i="15"/>
  <c r="DQ226" i="15" s="1"/>
  <c r="DN60" i="15"/>
  <c r="DQ60" i="15" s="1"/>
  <c r="DN849" i="15"/>
  <c r="DQ849" i="15" s="1"/>
  <c r="DN833" i="15"/>
  <c r="DQ833" i="15" s="1"/>
  <c r="DN816" i="15"/>
  <c r="DQ816" i="15" s="1"/>
  <c r="DN800" i="15"/>
  <c r="DQ800" i="15" s="1"/>
  <c r="DN783" i="15"/>
  <c r="DQ783" i="15" s="1"/>
  <c r="DN764" i="15"/>
  <c r="DQ764" i="15" s="1"/>
  <c r="DN749" i="15"/>
  <c r="DQ749" i="15" s="1"/>
  <c r="DN671" i="15"/>
  <c r="DQ671" i="15" s="1"/>
  <c r="DN603" i="15"/>
  <c r="DQ603" i="15" s="1"/>
  <c r="DN538" i="15"/>
  <c r="DQ538" i="15" s="1"/>
  <c r="DN404" i="15"/>
  <c r="DQ404" i="15" s="1"/>
  <c r="DN339" i="15"/>
  <c r="DQ339" i="15" s="1"/>
  <c r="DN273" i="15"/>
  <c r="DQ273" i="15" s="1"/>
  <c r="DN198" i="15"/>
  <c r="DQ198" i="15" s="1"/>
  <c r="DN860" i="15"/>
  <c r="DQ860" i="15" s="1"/>
  <c r="DN844" i="15"/>
  <c r="DQ844" i="15" s="1"/>
  <c r="DN811" i="15"/>
  <c r="DQ811" i="15" s="1"/>
  <c r="DN778" i="15"/>
  <c r="DQ778" i="15" s="1"/>
  <c r="DN744" i="15"/>
  <c r="DQ744" i="15" s="1"/>
  <c r="DN650" i="15"/>
  <c r="DQ650" i="15" s="1"/>
  <c r="DN583" i="15"/>
  <c r="DQ583" i="15" s="1"/>
  <c r="DN450" i="15"/>
  <c r="DQ450" i="15" s="1"/>
  <c r="DN318" i="15"/>
  <c r="DQ318" i="15" s="1"/>
  <c r="DN94" i="15"/>
  <c r="DQ94" i="15" s="1"/>
  <c r="DN703" i="15"/>
  <c r="DQ703" i="15" s="1"/>
  <c r="DN670" i="15"/>
  <c r="DQ670" i="15" s="1"/>
  <c r="DN636" i="15"/>
  <c r="DQ636" i="15" s="1"/>
  <c r="DN602" i="15"/>
  <c r="DQ602" i="15" s="1"/>
  <c r="DN570" i="15"/>
  <c r="DQ570" i="15" s="1"/>
  <c r="DN537" i="15"/>
  <c r="DQ537" i="15" s="1"/>
  <c r="DN503" i="15"/>
  <c r="DQ503" i="15" s="1"/>
  <c r="DN420" i="15"/>
  <c r="DQ420" i="15" s="1"/>
  <c r="DN387" i="15"/>
  <c r="DQ387" i="15" s="1"/>
  <c r="DN354" i="15"/>
  <c r="DQ354" i="15" s="1"/>
  <c r="DN321" i="15"/>
  <c r="DQ321" i="15" s="1"/>
  <c r="DN288" i="15"/>
  <c r="DQ288" i="15" s="1"/>
  <c r="DN256" i="15"/>
  <c r="DQ256" i="15" s="1"/>
  <c r="DN163" i="15"/>
  <c r="DQ163" i="15" s="1"/>
  <c r="DN39" i="15"/>
  <c r="DQ39" i="15" s="1"/>
  <c r="DN702" i="15"/>
  <c r="DQ702" i="15" s="1"/>
  <c r="DN669" i="15"/>
  <c r="DN635" i="15"/>
  <c r="DQ635" i="15" s="1"/>
  <c r="DN601" i="15"/>
  <c r="DQ601" i="15" s="1"/>
  <c r="DN569" i="15"/>
  <c r="DQ569" i="15" s="1"/>
  <c r="DN536" i="15"/>
  <c r="DQ536" i="15" s="1"/>
  <c r="DN519" i="15"/>
  <c r="DQ519" i="15" s="1"/>
  <c r="DN469" i="15"/>
  <c r="DQ469" i="15" s="1"/>
  <c r="DN436" i="15"/>
  <c r="DQ436" i="15" s="1"/>
  <c r="DN402" i="15"/>
  <c r="DQ402" i="15" s="1"/>
  <c r="DN369" i="15"/>
  <c r="DQ369" i="15" s="1"/>
  <c r="DN337" i="15"/>
  <c r="DQ337" i="15" s="1"/>
  <c r="DN304" i="15"/>
  <c r="DQ304" i="15" s="1"/>
  <c r="DN263" i="15"/>
  <c r="DQ263" i="15" s="1"/>
  <c r="DN229" i="15"/>
  <c r="DQ229" i="15" s="1"/>
  <c r="DN206" i="15"/>
  <c r="DQ206" i="15" s="1"/>
  <c r="DN136" i="15"/>
  <c r="DQ136" i="15" s="1"/>
  <c r="DN717" i="15"/>
  <c r="DQ717" i="15" s="1"/>
  <c r="DN684" i="15"/>
  <c r="DQ684" i="15" s="1"/>
  <c r="DN651" i="15"/>
  <c r="DQ651" i="15" s="1"/>
  <c r="DN613" i="15"/>
  <c r="DQ613" i="15" s="1"/>
  <c r="DN580" i="15"/>
  <c r="DQ580" i="15" s="1"/>
  <c r="DN480" i="15"/>
  <c r="DQ480" i="15" s="1"/>
  <c r="DN397" i="15"/>
  <c r="DQ397" i="15" s="1"/>
  <c r="DN31" i="15"/>
  <c r="DQ31" i="15" s="1"/>
  <c r="DN646" i="15"/>
  <c r="DQ646" i="15" s="1"/>
  <c r="DN839" i="15"/>
  <c r="DQ839" i="15" s="1"/>
  <c r="DN770" i="15"/>
  <c r="DQ770" i="15" s="1"/>
  <c r="DN630" i="15"/>
  <c r="DQ630" i="15" s="1"/>
  <c r="DN363" i="15"/>
  <c r="DQ363" i="15" s="1"/>
  <c r="DN826" i="15"/>
  <c r="DQ826" i="15" s="1"/>
  <c r="DN248" i="15"/>
  <c r="DQ248" i="15" s="1"/>
  <c r="DN802" i="15"/>
  <c r="DQ802" i="15" s="1"/>
  <c r="DN735" i="15"/>
  <c r="DQ735" i="15" s="1"/>
  <c r="DN479" i="15"/>
  <c r="DQ479" i="15" s="1"/>
  <c r="DN209" i="15"/>
  <c r="DQ209" i="15" s="1"/>
  <c r="DN743" i="15"/>
  <c r="DQ743" i="15" s="1"/>
  <c r="DN847" i="15"/>
  <c r="DQ847" i="15" s="1"/>
  <c r="DN781" i="15"/>
  <c r="DQ781" i="15" s="1"/>
  <c r="DN662" i="15"/>
  <c r="DQ662" i="15" s="1"/>
  <c r="DN396" i="15"/>
  <c r="DQ396" i="15" s="1"/>
  <c r="DN858" i="15"/>
  <c r="DQ858" i="15" s="1"/>
  <c r="DN842" i="15"/>
  <c r="DQ842" i="15" s="1"/>
  <c r="DN825" i="15"/>
  <c r="DQ825" i="15" s="1"/>
  <c r="DN809" i="15"/>
  <c r="DQ809" i="15" s="1"/>
  <c r="DN792" i="15"/>
  <c r="DQ792" i="15" s="1"/>
  <c r="DN774" i="15"/>
  <c r="DQ774" i="15" s="1"/>
  <c r="DN742" i="15"/>
  <c r="DQ742" i="15" s="1"/>
  <c r="DN708" i="15"/>
  <c r="DQ708" i="15" s="1"/>
  <c r="DN642" i="15"/>
  <c r="DN575" i="15"/>
  <c r="DQ575" i="15" s="1"/>
  <c r="DN508" i="15"/>
  <c r="DQ508" i="15" s="1"/>
  <c r="DN442" i="15"/>
  <c r="DQ442" i="15" s="1"/>
  <c r="DN376" i="15"/>
  <c r="DQ376" i="15" s="1"/>
  <c r="DN310" i="15"/>
  <c r="DQ310" i="15" s="1"/>
  <c r="DN244" i="15"/>
  <c r="DQ244" i="15" s="1"/>
  <c r="DN128" i="15"/>
  <c r="DQ128" i="15" s="1"/>
  <c r="DN853" i="15"/>
  <c r="DQ853" i="15" s="1"/>
  <c r="DN837" i="15"/>
  <c r="DQ837" i="15" s="1"/>
  <c r="DN820" i="15"/>
  <c r="DQ820" i="15" s="1"/>
  <c r="DN804" i="15"/>
  <c r="DQ804" i="15" s="1"/>
  <c r="DN787" i="15"/>
  <c r="DQ787" i="15" s="1"/>
  <c r="DN768" i="15"/>
  <c r="DQ768" i="15" s="1"/>
  <c r="DN737" i="15"/>
  <c r="DQ737" i="15" s="1"/>
  <c r="DN555" i="15"/>
  <c r="DQ555" i="15" s="1"/>
  <c r="DN487" i="15"/>
  <c r="DQ487" i="15" s="1"/>
  <c r="DN421" i="15"/>
  <c r="DQ421" i="15" s="1"/>
  <c r="DN355" i="15"/>
  <c r="DQ355" i="15" s="1"/>
  <c r="DN289" i="15"/>
  <c r="DQ289" i="15" s="1"/>
  <c r="DN221" i="15"/>
  <c r="DQ221" i="15" s="1"/>
  <c r="DN44" i="15"/>
  <c r="DQ44" i="15" s="1"/>
  <c r="DN848" i="15"/>
  <c r="DQ848" i="15" s="1"/>
  <c r="DN832" i="15"/>
  <c r="DQ832" i="15" s="1"/>
  <c r="DN815" i="15"/>
  <c r="DQ815" i="15" s="1"/>
  <c r="DN799" i="15"/>
  <c r="DQ799" i="15" s="1"/>
  <c r="DN782" i="15"/>
  <c r="DQ782" i="15" s="1"/>
  <c r="DN763" i="15"/>
  <c r="DQ763" i="15" s="1"/>
  <c r="DN748" i="15"/>
  <c r="DQ748" i="15" s="1"/>
  <c r="DN730" i="15"/>
  <c r="DQ730" i="15" s="1"/>
  <c r="DN666" i="15"/>
  <c r="DQ666" i="15" s="1"/>
  <c r="DN599" i="15"/>
  <c r="DQ599" i="15" s="1"/>
  <c r="DN534" i="15"/>
  <c r="DQ534" i="15" s="1"/>
  <c r="DN467" i="15"/>
  <c r="DQ467" i="15" s="1"/>
  <c r="DN400" i="15"/>
  <c r="DQ400" i="15" s="1"/>
  <c r="DN335" i="15"/>
  <c r="DQ335" i="15" s="1"/>
  <c r="DN253" i="15"/>
  <c r="DQ253" i="15" s="1"/>
  <c r="DN156" i="15"/>
  <c r="DQ156" i="15" s="1"/>
  <c r="DN723" i="15"/>
  <c r="DQ723" i="15" s="1"/>
  <c r="DN707" i="15"/>
  <c r="DQ707" i="15" s="1"/>
  <c r="DN691" i="15"/>
  <c r="DQ691" i="15" s="1"/>
  <c r="DN674" i="15"/>
  <c r="DQ674" i="15" s="1"/>
  <c r="DN657" i="15"/>
  <c r="DQ657" i="15" s="1"/>
  <c r="DN624" i="15"/>
  <c r="DQ624" i="15" s="1"/>
  <c r="DN606" i="15"/>
  <c r="DQ606" i="15" s="1"/>
  <c r="DN590" i="15"/>
  <c r="DQ590" i="15" s="1"/>
  <c r="DN572" i="15"/>
  <c r="DQ572" i="15" s="1"/>
  <c r="DN558" i="15"/>
  <c r="DQ558" i="15" s="1"/>
  <c r="DN541" i="15"/>
  <c r="DQ541" i="15" s="1"/>
  <c r="DN524" i="15"/>
  <c r="DQ524" i="15" s="1"/>
  <c r="DN507" i="15"/>
  <c r="DQ507" i="15" s="1"/>
  <c r="DN474" i="15"/>
  <c r="DQ474" i="15" s="1"/>
  <c r="DN458" i="15"/>
  <c r="DQ458" i="15" s="1"/>
  <c r="DN441" i="15"/>
  <c r="DQ441" i="15" s="1"/>
  <c r="DN424" i="15"/>
  <c r="DQ424" i="15" s="1"/>
  <c r="DN408" i="15"/>
  <c r="DN391" i="15"/>
  <c r="DQ391" i="15" s="1"/>
  <c r="DN375" i="15"/>
  <c r="DQ375" i="15" s="1"/>
  <c r="DN358" i="15"/>
  <c r="DQ358" i="15" s="1"/>
  <c r="DN342" i="15"/>
  <c r="DQ342" i="15" s="1"/>
  <c r="DN326" i="15"/>
  <c r="DN309" i="15"/>
  <c r="DQ309" i="15" s="1"/>
  <c r="DN292" i="15"/>
  <c r="DQ292" i="15" s="1"/>
  <c r="DN276" i="15"/>
  <c r="DQ276" i="15" s="1"/>
  <c r="DN260" i="15"/>
  <c r="DQ260" i="15" s="1"/>
  <c r="DN243" i="15"/>
  <c r="DQ243" i="15" s="1"/>
  <c r="DN225" i="15"/>
  <c r="DQ225" i="15" s="1"/>
  <c r="DN202" i="15"/>
  <c r="DQ202" i="15" s="1"/>
  <c r="DN172" i="15"/>
  <c r="DQ172" i="15" s="1"/>
  <c r="DN123" i="15"/>
  <c r="DQ123" i="15" s="1"/>
  <c r="DN56" i="15"/>
  <c r="DQ56" i="15" s="1"/>
  <c r="DN722" i="15"/>
  <c r="DQ722" i="15" s="1"/>
  <c r="DN706" i="15"/>
  <c r="DQ706" i="15" s="1"/>
  <c r="DN690" i="15"/>
  <c r="DQ690" i="15" s="1"/>
  <c r="DN673" i="15"/>
  <c r="DQ673" i="15" s="1"/>
  <c r="DN656" i="15"/>
  <c r="DQ656" i="15" s="1"/>
  <c r="DN639" i="15"/>
  <c r="DQ639" i="15" s="1"/>
  <c r="DN623" i="15"/>
  <c r="DQ623" i="15" s="1"/>
  <c r="DN605" i="15"/>
  <c r="DQ605" i="15" s="1"/>
  <c r="DN589" i="15"/>
  <c r="DQ589" i="15" s="1"/>
  <c r="DN574" i="15"/>
  <c r="DQ574" i="15" s="1"/>
  <c r="DN557" i="15"/>
  <c r="DQ557" i="15" s="1"/>
  <c r="DN540" i="15"/>
  <c r="DQ540" i="15" s="1"/>
  <c r="DN523" i="15"/>
  <c r="DQ523" i="15" s="1"/>
  <c r="DN506" i="15"/>
  <c r="DQ506" i="15" s="1"/>
  <c r="DN489" i="15"/>
  <c r="DQ489" i="15" s="1"/>
  <c r="DN473" i="15"/>
  <c r="DN457" i="15"/>
  <c r="DQ457" i="15" s="1"/>
  <c r="DN440" i="15"/>
  <c r="DQ440" i="15" s="1"/>
  <c r="DN423" i="15"/>
  <c r="DQ423" i="15" s="1"/>
  <c r="DN390" i="15"/>
  <c r="DQ390" i="15" s="1"/>
  <c r="DN374" i="15"/>
  <c r="DQ374" i="15" s="1"/>
  <c r="DN357" i="15"/>
  <c r="DQ357" i="15" s="1"/>
  <c r="DN341" i="15"/>
  <c r="DQ341" i="15" s="1"/>
  <c r="DN308" i="15"/>
  <c r="DQ308" i="15" s="1"/>
  <c r="DN287" i="15"/>
  <c r="DQ287" i="15" s="1"/>
  <c r="DN267" i="15"/>
  <c r="DQ267" i="15" s="1"/>
  <c r="DN234" i="15"/>
  <c r="DQ234" i="15" s="1"/>
  <c r="DN212" i="15"/>
  <c r="DQ212" i="15" s="1"/>
  <c r="DN185" i="15"/>
  <c r="DQ185" i="15" s="1"/>
  <c r="DN152" i="15"/>
  <c r="DQ152" i="15" s="1"/>
  <c r="DN86" i="15"/>
  <c r="DQ86" i="15" s="1"/>
  <c r="DN18" i="15"/>
  <c r="DQ18" i="15" s="1"/>
  <c r="DN721" i="15"/>
  <c r="DQ721" i="15" s="1"/>
  <c r="DN705" i="15"/>
  <c r="DQ705" i="15" s="1"/>
  <c r="DN689" i="15"/>
  <c r="DN672" i="15"/>
  <c r="DQ672" i="15" s="1"/>
  <c r="DN655" i="15"/>
  <c r="DQ655" i="15" s="1"/>
  <c r="DN638" i="15"/>
  <c r="DQ638" i="15" s="1"/>
  <c r="DN617" i="15"/>
  <c r="DQ617" i="15" s="1"/>
  <c r="DN600" i="15"/>
  <c r="DQ600" i="15" s="1"/>
  <c r="DN584" i="15"/>
  <c r="DQ584" i="15" s="1"/>
  <c r="DN568" i="15"/>
  <c r="DQ568" i="15" s="1"/>
  <c r="DN552" i="15"/>
  <c r="DQ552" i="15" s="1"/>
  <c r="DN535" i="15"/>
  <c r="DQ535" i="15" s="1"/>
  <c r="DN518" i="15"/>
  <c r="DQ518" i="15" s="1"/>
  <c r="DN501" i="15"/>
  <c r="DQ501" i="15" s="1"/>
  <c r="DN484" i="15"/>
  <c r="DQ484" i="15" s="1"/>
  <c r="DN468" i="15"/>
  <c r="DQ468" i="15" s="1"/>
  <c r="DN451" i="15"/>
  <c r="DQ451" i="15" s="1"/>
  <c r="DN435" i="15"/>
  <c r="DQ435" i="15" s="1"/>
  <c r="DN418" i="15"/>
  <c r="DQ418" i="15" s="1"/>
  <c r="DN401" i="15"/>
  <c r="DQ401" i="15" s="1"/>
  <c r="DN385" i="15"/>
  <c r="DQ385" i="15" s="1"/>
  <c r="DN368" i="15"/>
  <c r="DQ368" i="15" s="1"/>
  <c r="DN352" i="15"/>
  <c r="DQ352" i="15" s="1"/>
  <c r="DN336" i="15"/>
  <c r="DQ336" i="15" s="1"/>
  <c r="DN319" i="15"/>
  <c r="DQ319" i="15" s="1"/>
  <c r="DN303" i="15"/>
  <c r="DQ303" i="15" s="1"/>
  <c r="DN286" i="15"/>
  <c r="DQ286" i="15" s="1"/>
  <c r="DN266" i="15"/>
  <c r="DQ266" i="15" s="1"/>
  <c r="DN249" i="15"/>
  <c r="DQ249" i="15" s="1"/>
  <c r="DN233" i="15"/>
  <c r="DN210" i="15"/>
  <c r="DQ210" i="15" s="1"/>
  <c r="DN184" i="15"/>
  <c r="DQ184" i="15" s="1"/>
  <c r="DN148" i="15"/>
  <c r="DQ148" i="15" s="1"/>
  <c r="DN81" i="15"/>
  <c r="DQ81" i="15" s="1"/>
  <c r="DN14" i="15"/>
  <c r="DQ14" i="15" s="1"/>
  <c r="DN139" i="15"/>
  <c r="DQ139" i="15" s="1"/>
  <c r="DN122" i="15"/>
  <c r="DQ122" i="15" s="1"/>
  <c r="DN106" i="15"/>
  <c r="DQ106" i="15" s="1"/>
  <c r="DN89" i="15"/>
  <c r="DQ89" i="15" s="1"/>
  <c r="DN72" i="15"/>
  <c r="DQ72" i="15" s="1"/>
  <c r="DN55" i="15"/>
  <c r="DQ55" i="15" s="1"/>
  <c r="DN38" i="15"/>
  <c r="DQ38" i="15" s="1"/>
  <c r="DN21" i="15"/>
  <c r="DQ21" i="15" s="1"/>
  <c r="DN196" i="15"/>
  <c r="DQ196" i="15" s="1"/>
  <c r="DN179" i="15"/>
  <c r="DQ179" i="15" s="1"/>
  <c r="DN162" i="15"/>
  <c r="DQ162" i="15" s="1"/>
  <c r="DN146" i="15"/>
  <c r="DN130" i="15"/>
  <c r="DQ130" i="15" s="1"/>
  <c r="DN113" i="15"/>
  <c r="DQ113" i="15" s="1"/>
  <c r="DN96" i="15"/>
  <c r="DQ96" i="15" s="1"/>
  <c r="DN79" i="15"/>
  <c r="DQ79" i="15" s="1"/>
  <c r="DN62" i="15"/>
  <c r="DQ62" i="15" s="1"/>
  <c r="DN46" i="15"/>
  <c r="DQ46" i="15" s="1"/>
  <c r="DN28" i="15"/>
  <c r="DQ28" i="15" s="1"/>
  <c r="DN12" i="15"/>
  <c r="DQ12" i="15" s="1"/>
  <c r="DN220" i="15"/>
  <c r="DN203" i="15"/>
  <c r="DQ203" i="15" s="1"/>
  <c r="DN186" i="15"/>
  <c r="DQ186" i="15" s="1"/>
  <c r="DN170" i="15"/>
  <c r="DQ170" i="15" s="1"/>
  <c r="DN153" i="15"/>
  <c r="DQ153" i="15" s="1"/>
  <c r="DN137" i="15"/>
  <c r="DQ137" i="15" s="1"/>
  <c r="DN120" i="15"/>
  <c r="DQ120" i="15" s="1"/>
  <c r="DN104" i="15"/>
  <c r="DQ104" i="15" s="1"/>
  <c r="DN87" i="15"/>
  <c r="DQ87" i="15" s="1"/>
  <c r="DN70" i="15"/>
  <c r="DQ70" i="15" s="1"/>
  <c r="DN53" i="15"/>
  <c r="DQ53" i="15" s="1"/>
  <c r="DN36" i="15"/>
  <c r="DQ36" i="15" s="1"/>
  <c r="DN19" i="15"/>
  <c r="DQ19" i="15" s="1"/>
  <c r="DQ10" i="15"/>
  <c r="DQ301" i="15"/>
  <c r="M8" i="1"/>
  <c r="M10" i="1"/>
  <c r="M11" i="1"/>
  <c r="M12" i="1"/>
  <c r="M13" i="1"/>
  <c r="M14" i="1"/>
  <c r="M15" i="1"/>
  <c r="M16" i="1"/>
  <c r="M18" i="1"/>
  <c r="M19" i="1"/>
  <c r="M20" i="1"/>
  <c r="M21" i="1"/>
  <c r="M22" i="1"/>
  <c r="M23" i="1"/>
  <c r="M25"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6" i="1"/>
  <c r="M97" i="1"/>
  <c r="M98" i="1"/>
  <c r="M99" i="1"/>
  <c r="M100" i="1"/>
  <c r="M101" i="1"/>
  <c r="M102" i="1"/>
  <c r="M103" i="1"/>
  <c r="M104" i="1"/>
  <c r="M105" i="1"/>
  <c r="M106" i="1"/>
  <c r="M107" i="1"/>
  <c r="M108" i="1"/>
  <c r="M110"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74" i="1"/>
  <c r="M175" i="1"/>
  <c r="M176" i="1"/>
  <c r="M177" i="1"/>
  <c r="M180" i="1"/>
  <c r="M181" i="1"/>
  <c r="M182" i="1"/>
  <c r="M183" i="1"/>
  <c r="M184" i="1"/>
  <c r="M185" i="1"/>
  <c r="M186" i="1"/>
  <c r="M187" i="1"/>
  <c r="M188" i="1"/>
  <c r="M189"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N8" i="1"/>
  <c r="N10" i="1"/>
  <c r="N11" i="1"/>
  <c r="N12" i="1"/>
  <c r="N16" i="1"/>
  <c r="N18" i="1"/>
  <c r="N22" i="1"/>
  <c r="N31" i="1"/>
  <c r="N46" i="1"/>
  <c r="N56" i="1"/>
  <c r="N57" i="1"/>
  <c r="N61" i="1"/>
  <c r="N65" i="1"/>
  <c r="N68" i="1"/>
  <c r="N69" i="1"/>
  <c r="N73" i="1"/>
  <c r="N77" i="1"/>
  <c r="N80" i="1"/>
  <c r="N81" i="1"/>
  <c r="N85" i="1"/>
  <c r="N88" i="1"/>
  <c r="N89" i="1"/>
  <c r="N97" i="1"/>
  <c r="N98" i="1"/>
  <c r="N100" i="1"/>
  <c r="N102" i="1"/>
  <c r="N103" i="1"/>
  <c r="N105" i="1"/>
  <c r="N106" i="1"/>
  <c r="N107" i="1"/>
  <c r="N108" i="1"/>
  <c r="N110" i="1"/>
  <c r="N112" i="1"/>
  <c r="N113" i="1"/>
  <c r="N114" i="1"/>
  <c r="N115" i="1"/>
  <c r="N116" i="1"/>
  <c r="N117" i="1"/>
  <c r="N122" i="1"/>
  <c r="N124" i="1"/>
  <c r="N125" i="1"/>
  <c r="N130" i="1"/>
  <c r="N131" i="1"/>
  <c r="N134" i="1"/>
  <c r="N135" i="1"/>
  <c r="N137" i="1"/>
  <c r="N180" i="1"/>
  <c r="N183" i="1"/>
  <c r="N188" i="1"/>
  <c r="N189" i="1"/>
  <c r="N298" i="1"/>
  <c r="N303" i="1"/>
  <c r="N304" i="1"/>
  <c r="N305" i="1"/>
  <c r="N306" i="1"/>
  <c r="N307" i="1"/>
  <c r="N308" i="1"/>
  <c r="N309" i="1"/>
  <c r="N310" i="1"/>
  <c r="N311" i="1"/>
  <c r="N313" i="1"/>
  <c r="N314" i="1"/>
  <c r="N315" i="1"/>
  <c r="N316" i="1"/>
  <c r="N317" i="1"/>
  <c r="N319" i="1"/>
  <c r="N320" i="1"/>
  <c r="N324" i="1"/>
  <c r="N325" i="1"/>
  <c r="N326" i="1"/>
  <c r="N331" i="1"/>
  <c r="N332" i="1"/>
  <c r="N333" i="1"/>
  <c r="N334" i="1"/>
  <c r="N335" i="1"/>
  <c r="N336" i="1"/>
  <c r="N339" i="1"/>
  <c r="N340" i="1"/>
  <c r="N343" i="1"/>
  <c r="N344" i="1"/>
  <c r="N345" i="1"/>
  <c r="N346" i="1"/>
  <c r="N347" i="1"/>
  <c r="N348" i="1"/>
  <c r="N349" i="1"/>
  <c r="N350" i="1"/>
  <c r="N351" i="1"/>
  <c r="N352" i="1"/>
  <c r="N353" i="1"/>
  <c r="N354" i="1"/>
  <c r="N355" i="1"/>
  <c r="N356" i="1"/>
  <c r="N357" i="1"/>
  <c r="N358" i="1"/>
  <c r="N359" i="1"/>
  <c r="N360" i="1"/>
  <c r="N362" i="1"/>
  <c r="N366" i="1"/>
  <c r="N367" i="1"/>
  <c r="N368" i="1"/>
  <c r="N369" i="1"/>
  <c r="N370" i="1"/>
  <c r="N371" i="1"/>
  <c r="N372" i="1"/>
  <c r="N375" i="1"/>
  <c r="N376" i="1"/>
  <c r="N377" i="1"/>
  <c r="N378" i="1"/>
  <c r="N379" i="1"/>
  <c r="N380" i="1"/>
  <c r="N382" i="1"/>
  <c r="N384" i="1"/>
  <c r="N386" i="1"/>
  <c r="N387" i="1"/>
  <c r="N390" i="1"/>
  <c r="N395" i="1"/>
  <c r="N396" i="1"/>
  <c r="N397" i="1"/>
  <c r="N398" i="1"/>
  <c r="N399" i="1"/>
  <c r="N400" i="1"/>
  <c r="N404" i="1"/>
  <c r="N409" i="1"/>
  <c r="N410" i="1"/>
  <c r="N411" i="1"/>
  <c r="N412" i="1"/>
  <c r="N413" i="1"/>
  <c r="N414" i="1"/>
  <c r="N415" i="1"/>
  <c r="N417" i="1"/>
  <c r="N418" i="1"/>
  <c r="N420" i="1"/>
  <c r="N421" i="1"/>
  <c r="N424" i="1"/>
  <c r="N425" i="1"/>
  <c r="N426" i="1"/>
  <c r="N427" i="1"/>
  <c r="N429" i="1"/>
  <c r="N434" i="1"/>
  <c r="N435" i="1"/>
  <c r="N436" i="1"/>
  <c r="N437" i="1"/>
  <c r="N438" i="1"/>
  <c r="N439" i="1"/>
  <c r="N440" i="1"/>
  <c r="N442" i="1"/>
  <c r="N443" i="1"/>
  <c r="N444" i="1"/>
  <c r="N449" i="1"/>
  <c r="N450" i="1"/>
  <c r="N451" i="1"/>
  <c r="N452" i="1"/>
  <c r="N456" i="1"/>
  <c r="N457" i="1"/>
  <c r="N458" i="1"/>
  <c r="N459" i="1"/>
  <c r="N460" i="1"/>
  <c r="N461" i="1"/>
  <c r="N462" i="1"/>
  <c r="N463" i="1"/>
  <c r="N465" i="1"/>
  <c r="N466" i="1"/>
  <c r="N467" i="1"/>
  <c r="N470" i="1"/>
  <c r="N471" i="1"/>
  <c r="N472" i="1"/>
  <c r="N473" i="1"/>
  <c r="N474" i="1"/>
  <c r="N475" i="1"/>
  <c r="N476" i="1"/>
  <c r="N479" i="1"/>
  <c r="N480" i="1"/>
  <c r="N481"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8" i="1"/>
  <c r="N519" i="1"/>
  <c r="N521" i="1"/>
  <c r="N522" i="1"/>
  <c r="N523" i="1"/>
  <c r="N524" i="1"/>
  <c r="N525" i="1"/>
  <c r="N530" i="1"/>
  <c r="N531" i="1"/>
  <c r="N532" i="1"/>
  <c r="N533" i="1"/>
  <c r="N536" i="1"/>
  <c r="N537" i="1"/>
  <c r="N542" i="1"/>
  <c r="N543" i="1"/>
  <c r="N544" i="1"/>
  <c r="N545" i="1"/>
  <c r="N547" i="1"/>
  <c r="N548" i="1"/>
  <c r="N549" i="1"/>
  <c r="N550" i="1"/>
  <c r="N551" i="1"/>
  <c r="N552" i="1"/>
  <c r="N553" i="1"/>
  <c r="N554" i="1"/>
  <c r="N555" i="1"/>
  <c r="N556" i="1"/>
  <c r="N557" i="1"/>
  <c r="N558" i="1"/>
  <c r="N559" i="1"/>
  <c r="N560" i="1"/>
  <c r="N561" i="1"/>
  <c r="N562" i="1"/>
  <c r="N563" i="1"/>
  <c r="N564" i="1"/>
  <c r="N565" i="1"/>
  <c r="N566" i="1"/>
  <c r="N569" i="1"/>
  <c r="N570" i="1"/>
  <c r="N572" i="1"/>
  <c r="N573" i="1"/>
  <c r="N574" i="1"/>
  <c r="N577" i="1"/>
  <c r="N578" i="1"/>
  <c r="N580" i="1"/>
  <c r="N581" i="1"/>
  <c r="N582" i="1"/>
  <c r="N589" i="1"/>
  <c r="N590" i="1"/>
  <c r="N591" i="1"/>
  <c r="N592" i="1"/>
  <c r="N593" i="1"/>
  <c r="N594" i="1"/>
  <c r="N595" i="1"/>
  <c r="N596" i="1"/>
  <c r="N597" i="1"/>
  <c r="N599" i="1"/>
  <c r="N600" i="1"/>
  <c r="N601" i="1"/>
  <c r="N602" i="1"/>
  <c r="N603" i="1"/>
  <c r="N604" i="1"/>
  <c r="N605" i="1"/>
  <c r="N606" i="1"/>
  <c r="N607" i="1"/>
  <c r="N608" i="1"/>
  <c r="N609" i="1"/>
  <c r="N610" i="1"/>
  <c r="N611" i="1"/>
  <c r="N612" i="1"/>
  <c r="N613" i="1"/>
  <c r="N614" i="1"/>
  <c r="N383" i="1"/>
  <c r="N381" i="1"/>
  <c r="N422" i="1"/>
  <c r="N14"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AD402" i="1"/>
  <c r="AD421" i="1"/>
  <c r="AD521" i="1"/>
  <c r="AE438" i="1"/>
  <c r="AE495" i="1"/>
  <c r="AE501" i="1"/>
  <c r="AE521" i="1"/>
  <c r="AF421" i="1"/>
  <c r="AF438" i="1"/>
  <c r="AF459" i="1"/>
  <c r="AF501" i="1"/>
  <c r="AG410" i="1"/>
  <c r="AG421" i="1"/>
  <c r="AG438" i="1"/>
  <c r="AG459" i="1"/>
  <c r="AG495" i="1"/>
  <c r="AG501" i="1"/>
  <c r="AG521" i="1"/>
  <c r="AH410" i="1"/>
  <c r="AH421" i="1"/>
  <c r="AH438" i="1"/>
  <c r="AH459" i="1"/>
  <c r="AH495" i="1"/>
  <c r="AH501" i="1"/>
  <c r="AH521"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AD438" i="1"/>
  <c r="DQ191" i="15" l="1"/>
  <c r="DQ190" i="15" s="1"/>
  <c r="DN190" i="15"/>
  <c r="DQ169" i="15"/>
  <c r="DQ168" i="15" s="1"/>
  <c r="DN168" i="15"/>
  <c r="DQ220" i="15"/>
  <c r="DQ219" i="15" s="1"/>
  <c r="DN219" i="15"/>
  <c r="DQ233" i="15"/>
  <c r="DQ232" i="15" s="1"/>
  <c r="DN232" i="15"/>
  <c r="DQ252" i="15"/>
  <c r="DQ251" i="15" s="1"/>
  <c r="DN251" i="15"/>
  <c r="DQ408" i="15"/>
  <c r="DQ407" i="15" s="1"/>
  <c r="DN407" i="15"/>
  <c r="DQ456" i="15"/>
  <c r="DQ455" i="15" s="1"/>
  <c r="DN455" i="15"/>
  <c r="DQ431" i="15"/>
  <c r="DQ430" i="15" s="1"/>
  <c r="DN430" i="15"/>
  <c r="DQ473" i="15"/>
  <c r="DQ472" i="15" s="1"/>
  <c r="DN472" i="15"/>
  <c r="DQ492" i="15"/>
  <c r="DQ491" i="15" s="1"/>
  <c r="DN491" i="15"/>
  <c r="DQ515" i="15"/>
  <c r="DQ514" i="15" s="1"/>
  <c r="DN514" i="15"/>
  <c r="DQ530" i="15"/>
  <c r="DQ529" i="15" s="1"/>
  <c r="DN529" i="15"/>
  <c r="DQ549" i="15"/>
  <c r="DQ548" i="15" s="1"/>
  <c r="DN548" i="15"/>
  <c r="DQ612" i="15"/>
  <c r="DQ611" i="15" s="1"/>
  <c r="DN611" i="15"/>
  <c r="DQ579" i="15"/>
  <c r="DQ578" i="15" s="1"/>
  <c r="DN578" i="15"/>
  <c r="DQ622" i="15"/>
  <c r="DQ621" i="15" s="1"/>
  <c r="DN621" i="15"/>
  <c r="DQ642" i="15"/>
  <c r="DQ641" i="15" s="1"/>
  <c r="DN641" i="15"/>
  <c r="DQ669" i="15"/>
  <c r="DQ668" i="15" s="1"/>
  <c r="DN668" i="15"/>
  <c r="DQ689" i="15"/>
  <c r="DQ688" i="15" s="1"/>
  <c r="DN688" i="15"/>
  <c r="DQ733" i="15"/>
  <c r="DQ732" i="15" s="1"/>
  <c r="DN732" i="15"/>
  <c r="DQ715" i="15"/>
  <c r="DQ714" i="15" s="1"/>
  <c r="DN714" i="15"/>
  <c r="DQ755" i="15"/>
  <c r="DQ754" i="15" s="1"/>
  <c r="DN754" i="15"/>
  <c r="DQ777" i="15"/>
  <c r="DQ776" i="15" s="1"/>
  <c r="DN776" i="15"/>
  <c r="DQ797" i="15"/>
  <c r="DQ796" i="15" s="1"/>
  <c r="DN796" i="15"/>
  <c r="DQ372" i="15"/>
  <c r="DN371" i="15"/>
  <c r="DQ829" i="15"/>
  <c r="DN828" i="15"/>
  <c r="DQ326" i="15"/>
  <c r="DN325" i="15"/>
  <c r="DQ300" i="15"/>
  <c r="DN300" i="15"/>
  <c r="DQ272" i="15"/>
  <c r="DN271" i="15"/>
  <c r="DN34" i="15"/>
  <c r="DQ146" i="15"/>
  <c r="DN145" i="15"/>
  <c r="DQ34" i="15"/>
  <c r="DQ9" i="15"/>
  <c r="DN65" i="15"/>
  <c r="DQ99" i="15"/>
  <c r="DN98" i="15"/>
  <c r="DQ65" i="15"/>
  <c r="DQ84" i="15"/>
  <c r="DN83" i="15"/>
  <c r="DN42" i="15"/>
  <c r="DQ126" i="15"/>
  <c r="DN125" i="15"/>
  <c r="DQ42" i="15"/>
  <c r="N30" i="1"/>
  <c r="N54" i="1"/>
  <c r="N300" i="1"/>
  <c r="N535" i="1"/>
  <c r="N483" i="1"/>
  <c r="N455" i="1"/>
  <c r="N403" i="1"/>
  <c r="N299" i="1"/>
  <c r="N546" i="1"/>
  <c r="N534" i="1"/>
  <c r="N454" i="1"/>
  <c r="N402" i="1"/>
  <c r="N342" i="1"/>
  <c r="N338" i="1"/>
  <c r="N87" i="1"/>
  <c r="N401" i="1"/>
  <c r="N389" i="1"/>
  <c r="N301" i="1"/>
  <c r="N86" i="1"/>
  <c r="N38" i="1"/>
  <c r="N25" i="1"/>
  <c r="N20" i="1"/>
  <c r="AD495" i="1"/>
  <c r="AF410" i="1"/>
  <c r="AD459" i="1"/>
  <c r="AD410" i="1"/>
  <c r="AG402" i="1"/>
  <c r="AF402" i="1"/>
  <c r="AC410" i="1"/>
  <c r="AH402" i="1"/>
  <c r="AE410" i="1"/>
  <c r="AC438" i="1"/>
  <c r="AC521" i="1"/>
  <c r="AC495" i="1"/>
  <c r="AC459" i="1"/>
  <c r="AE402" i="1"/>
  <c r="AI438" i="1"/>
  <c r="AC421" i="1"/>
  <c r="AE421" i="1"/>
  <c r="AD501" i="1"/>
  <c r="AC501" i="1"/>
  <c r="AF403" i="1"/>
  <c r="AH403" i="1"/>
  <c r="AG403" i="1"/>
  <c r="AF521" i="1"/>
  <c r="AF495" i="1"/>
  <c r="AE459" i="1"/>
  <c r="AE403" i="1"/>
  <c r="DN270" i="15" l="1"/>
  <c r="DN144" i="15"/>
  <c r="DQ471" i="15"/>
  <c r="DN471" i="15"/>
  <c r="DN577" i="15"/>
  <c r="DQ577" i="15"/>
  <c r="DN713" i="15"/>
  <c r="DQ98" i="15"/>
  <c r="DQ271" i="15"/>
  <c r="DQ325" i="15"/>
  <c r="DQ828" i="15"/>
  <c r="DQ713" i="15" s="1"/>
  <c r="DQ125" i="15"/>
  <c r="DQ371" i="15"/>
  <c r="DQ83" i="15"/>
  <c r="DQ145" i="15"/>
  <c r="DQ8" i="15"/>
  <c r="AI421" i="1"/>
  <c r="AI521" i="1"/>
  <c r="AI501" i="1"/>
  <c r="AI495" i="1"/>
  <c r="AI459" i="1"/>
  <c r="AI410" i="1"/>
  <c r="AI402" i="1"/>
  <c r="AC402" i="1"/>
  <c r="AD403" i="1"/>
  <c r="AC403" i="1"/>
  <c r="DQ270" i="15" l="1"/>
  <c r="DQ144" i="15"/>
  <c r="AI403" i="1"/>
  <c r="D10" i="1"/>
  <c r="D11" i="1"/>
  <c r="D12" i="1"/>
  <c r="D13" i="1"/>
  <c r="D14" i="1"/>
  <c r="D15" i="1"/>
  <c r="D16" i="1"/>
  <c r="D18" i="1"/>
  <c r="D19" i="1"/>
  <c r="D20" i="1"/>
  <c r="D21" i="1"/>
  <c r="D22" i="1"/>
  <c r="D23" i="1"/>
  <c r="D25"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6" i="1"/>
  <c r="D97" i="1"/>
  <c r="D98" i="1"/>
  <c r="D99" i="1"/>
  <c r="D100" i="1"/>
  <c r="D101" i="1"/>
  <c r="D102" i="1"/>
  <c r="D103" i="1"/>
  <c r="D104" i="1"/>
  <c r="D105" i="1"/>
  <c r="D106" i="1"/>
  <c r="D107" i="1"/>
  <c r="D108" i="1"/>
  <c r="D110"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74" i="1"/>
  <c r="D175" i="1"/>
  <c r="D176" i="1"/>
  <c r="D177" i="1"/>
  <c r="D180" i="1"/>
  <c r="D181" i="1"/>
  <c r="D182" i="1"/>
  <c r="D183" i="1"/>
  <c r="D184" i="1"/>
  <c r="D185" i="1"/>
  <c r="D186" i="1"/>
  <c r="D187" i="1"/>
  <c r="D188" i="1"/>
  <c r="D189"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8" i="1"/>
  <c r="W329" i="1"/>
  <c r="D14" i="13"/>
  <c r="W13" i="13" s="1"/>
  <c r="D18" i="13"/>
  <c r="X130" i="1"/>
  <c r="Y130" i="1"/>
  <c r="Z130" i="1"/>
  <c r="AA130" i="1"/>
  <c r="AB130" i="1"/>
  <c r="D10" i="13"/>
  <c r="W9" i="13" s="1"/>
  <c r="D11" i="13"/>
  <c r="W10" i="13" s="1"/>
  <c r="D12" i="13"/>
  <c r="W11" i="13" s="1"/>
  <c r="D13" i="13"/>
  <c r="W12" i="13" s="1"/>
  <c r="D9" i="13"/>
  <c r="W8" i="13" s="1"/>
  <c r="X29" i="1"/>
  <c r="X30" i="1"/>
  <c r="X31" i="1"/>
  <c r="Y29" i="1"/>
  <c r="Y30" i="1"/>
  <c r="Y31" i="1"/>
  <c r="Z29" i="1"/>
  <c r="Z30" i="1"/>
  <c r="Z31" i="1"/>
  <c r="AA29" i="1"/>
  <c r="AA30" i="1"/>
  <c r="AA31" i="1"/>
  <c r="AB29" i="1"/>
  <c r="AB30" i="1"/>
  <c r="AB31" i="1"/>
  <c r="AB14" i="1"/>
  <c r="AB20" i="1"/>
  <c r="AB53" i="1"/>
  <c r="AB54" i="1"/>
  <c r="AB55" i="1"/>
  <c r="AB56" i="1"/>
  <c r="AB57" i="1"/>
  <c r="AB60" i="1"/>
  <c r="AB65" i="1"/>
  <c r="AB66" i="1"/>
  <c r="AB67" i="1"/>
  <c r="AB68" i="1"/>
  <c r="AB69" i="1"/>
  <c r="AB72" i="1"/>
  <c r="AB77" i="1"/>
  <c r="AB78" i="1"/>
  <c r="AB79" i="1"/>
  <c r="AB80" i="1"/>
  <c r="AB81" i="1"/>
  <c r="AB84" i="1"/>
  <c r="AB86" i="1"/>
  <c r="AB87" i="1"/>
  <c r="AB89" i="1"/>
  <c r="AB90" i="1"/>
  <c r="AB106" i="1"/>
  <c r="AB122" i="1"/>
  <c r="AB123" i="1"/>
  <c r="AB124" i="1"/>
  <c r="AB125" i="1"/>
  <c r="AB134" i="1"/>
  <c r="AB137" i="1"/>
  <c r="AB185" i="1"/>
  <c r="AB186" i="1"/>
  <c r="AB189" i="1"/>
  <c r="AA14" i="1"/>
  <c r="AA20" i="1"/>
  <c r="AA53" i="1"/>
  <c r="AA54" i="1"/>
  <c r="AA55" i="1"/>
  <c r="AA56" i="1"/>
  <c r="AA57" i="1"/>
  <c r="AA60" i="1"/>
  <c r="AA65" i="1"/>
  <c r="AA66" i="1"/>
  <c r="AA67" i="1"/>
  <c r="AA68" i="1"/>
  <c r="AA69" i="1"/>
  <c r="AA72" i="1"/>
  <c r="AA77" i="1"/>
  <c r="AA78" i="1"/>
  <c r="AA79" i="1"/>
  <c r="AA80" i="1"/>
  <c r="AA81" i="1"/>
  <c r="AA84" i="1"/>
  <c r="AA86" i="1"/>
  <c r="AA87" i="1"/>
  <c r="AA89" i="1"/>
  <c r="AA90" i="1"/>
  <c r="AA106" i="1"/>
  <c r="AA122" i="1"/>
  <c r="AA123" i="1"/>
  <c r="AA124" i="1"/>
  <c r="AA125" i="1"/>
  <c r="AA134" i="1"/>
  <c r="AA137" i="1"/>
  <c r="AA185" i="1"/>
  <c r="AA186" i="1"/>
  <c r="AA189" i="1"/>
  <c r="Z14" i="1"/>
  <c r="Z20" i="1"/>
  <c r="Z53" i="1"/>
  <c r="Z54" i="1"/>
  <c r="Z55" i="1"/>
  <c r="Z56" i="1"/>
  <c r="Z57" i="1"/>
  <c r="Z60" i="1"/>
  <c r="Z65" i="1"/>
  <c r="Z66" i="1"/>
  <c r="Z67" i="1"/>
  <c r="Z68" i="1"/>
  <c r="Z69" i="1"/>
  <c r="Z72" i="1"/>
  <c r="Z77" i="1"/>
  <c r="Z78" i="1"/>
  <c r="Z79" i="1"/>
  <c r="Z80" i="1"/>
  <c r="Z81" i="1"/>
  <c r="Z84" i="1"/>
  <c r="Z86" i="1"/>
  <c r="Z87" i="1"/>
  <c r="Z89" i="1"/>
  <c r="Z90" i="1"/>
  <c r="Z106" i="1"/>
  <c r="Z122" i="1"/>
  <c r="Z123" i="1"/>
  <c r="Z124" i="1"/>
  <c r="Z125" i="1"/>
  <c r="Z134" i="1"/>
  <c r="Z137" i="1"/>
  <c r="Z185" i="1"/>
  <c r="Z186" i="1"/>
  <c r="Z189" i="1"/>
  <c r="Y14" i="1"/>
  <c r="Y20" i="1"/>
  <c r="Y53" i="1"/>
  <c r="Y54" i="1"/>
  <c r="Y55" i="1"/>
  <c r="Y56" i="1"/>
  <c r="Y57" i="1"/>
  <c r="Y60" i="1"/>
  <c r="Y65" i="1"/>
  <c r="Y66" i="1"/>
  <c r="Y67" i="1"/>
  <c r="Y68" i="1"/>
  <c r="Y69" i="1"/>
  <c r="Y72" i="1"/>
  <c r="Y77" i="1"/>
  <c r="Y78" i="1"/>
  <c r="Y79" i="1"/>
  <c r="Y80" i="1"/>
  <c r="Y81" i="1"/>
  <c r="Y84" i="1"/>
  <c r="Y86" i="1"/>
  <c r="Y87" i="1"/>
  <c r="Y89" i="1"/>
  <c r="Y90" i="1"/>
  <c r="Y106" i="1"/>
  <c r="Y122" i="1"/>
  <c r="Y123" i="1"/>
  <c r="Y124" i="1"/>
  <c r="Y125" i="1"/>
  <c r="Y134" i="1"/>
  <c r="Y137" i="1"/>
  <c r="Y185" i="1"/>
  <c r="Y186" i="1"/>
  <c r="Y189" i="1"/>
  <c r="X14" i="1"/>
  <c r="X20" i="1"/>
  <c r="X53" i="1"/>
  <c r="X54" i="1"/>
  <c r="X55" i="1"/>
  <c r="X56" i="1"/>
  <c r="X57" i="1"/>
  <c r="X60" i="1"/>
  <c r="X65" i="1"/>
  <c r="X66" i="1"/>
  <c r="X67" i="1"/>
  <c r="X68" i="1"/>
  <c r="X69" i="1"/>
  <c r="X72" i="1"/>
  <c r="W75" i="1"/>
  <c r="X77" i="1"/>
  <c r="X78" i="1"/>
  <c r="X79" i="1"/>
  <c r="X80" i="1"/>
  <c r="X81" i="1"/>
  <c r="W83" i="1"/>
  <c r="X86" i="1"/>
  <c r="X87" i="1"/>
  <c r="X89" i="1"/>
  <c r="X90" i="1"/>
  <c r="W184" i="1"/>
  <c r="X185" i="1"/>
  <c r="X189" i="1"/>
  <c r="W8" i="1"/>
  <c r="W10" i="1"/>
  <c r="W11" i="1"/>
  <c r="W12" i="1"/>
  <c r="W13" i="1"/>
  <c r="W14" i="1"/>
  <c r="W16" i="1"/>
  <c r="W18" i="1"/>
  <c r="W19" i="1"/>
  <c r="W20" i="1"/>
  <c r="W21" i="1"/>
  <c r="W22" i="1"/>
  <c r="W23" i="1"/>
  <c r="W25" i="1"/>
  <c r="W27" i="1"/>
  <c r="W28" i="1"/>
  <c r="W33"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3" i="1"/>
  <c r="W85" i="1"/>
  <c r="W88" i="1"/>
  <c r="W96" i="1"/>
  <c r="W97" i="1"/>
  <c r="W98" i="1"/>
  <c r="W100" i="1"/>
  <c r="W102" i="1"/>
  <c r="W103" i="1"/>
  <c r="W105" i="1"/>
  <c r="W107" i="1"/>
  <c r="W108" i="1"/>
  <c r="W110" i="1"/>
  <c r="W112" i="1"/>
  <c r="W113" i="1"/>
  <c r="W114" i="1"/>
  <c r="W115" i="1"/>
  <c r="W116" i="1"/>
  <c r="W117" i="1"/>
  <c r="W126" i="1"/>
  <c r="W131" i="1"/>
  <c r="W135" i="1"/>
  <c r="W174" i="1"/>
  <c r="W175" i="1"/>
  <c r="W176" i="1"/>
  <c r="W177" i="1"/>
  <c r="W180" i="1"/>
  <c r="W183" i="1"/>
  <c r="W187" i="1"/>
  <c r="W188"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H5" i="1"/>
  <c r="G5" i="1"/>
  <c r="F5" i="1"/>
  <c r="E5" i="1"/>
  <c r="D5" i="1"/>
  <c r="E157" i="1" l="1"/>
  <c r="E158" i="1"/>
  <c r="E156" i="1"/>
  <c r="E224" i="1"/>
  <c r="E223" i="1"/>
  <c r="E225" i="1"/>
  <c r="E233" i="1"/>
  <c r="E232" i="1"/>
  <c r="E276" i="1"/>
  <c r="E277" i="1"/>
  <c r="E281" i="1"/>
  <c r="E282" i="1"/>
  <c r="E279" i="1"/>
  <c r="E280" i="1"/>
  <c r="E278" i="1"/>
  <c r="E274" i="1"/>
  <c r="E275" i="1"/>
  <c r="E272" i="1"/>
  <c r="E273" i="1"/>
  <c r="E271" i="1"/>
  <c r="E270" i="1"/>
  <c r="E267" i="1"/>
  <c r="E269" i="1"/>
  <c r="E266" i="1"/>
  <c r="E265" i="1"/>
  <c r="E268" i="1"/>
  <c r="E263" i="1"/>
  <c r="E264" i="1"/>
  <c r="E260" i="1"/>
  <c r="E261" i="1"/>
  <c r="E262" i="1"/>
  <c r="E254" i="1"/>
  <c r="E258" i="1"/>
  <c r="E257" i="1"/>
  <c r="E259" i="1"/>
  <c r="E255" i="1"/>
  <c r="E253" i="1"/>
  <c r="E252" i="1"/>
  <c r="E256" i="1"/>
  <c r="E251" i="1"/>
  <c r="E231" i="1"/>
  <c r="E200" i="1"/>
  <c r="E201" i="1"/>
  <c r="E26" i="1"/>
  <c r="E173" i="1"/>
  <c r="E172" i="1"/>
  <c r="E169" i="1"/>
  <c r="E170" i="1"/>
  <c r="E167" i="1"/>
  <c r="E165" i="1"/>
  <c r="E166" i="1"/>
  <c r="E171" i="1"/>
  <c r="E168" i="1"/>
  <c r="E159" i="1"/>
  <c r="E163" i="1"/>
  <c r="E162" i="1"/>
  <c r="E160" i="1"/>
  <c r="E161" i="1"/>
  <c r="E164" i="1"/>
  <c r="E152" i="1"/>
  <c r="E153" i="1"/>
  <c r="E154" i="1"/>
  <c r="E155" i="1"/>
  <c r="E287" i="1"/>
  <c r="E250" i="1"/>
  <c r="E240" i="1"/>
  <c r="E239" i="1"/>
  <c r="E234" i="1"/>
  <c r="E242" i="1"/>
  <c r="E235" i="1"/>
  <c r="E244" i="1"/>
  <c r="E243" i="1"/>
  <c r="E236" i="1"/>
  <c r="E230" i="1"/>
  <c r="E221" i="1"/>
  <c r="E216" i="1"/>
  <c r="E206" i="1"/>
  <c r="E202" i="1"/>
  <c r="E220" i="1"/>
  <c r="E209" i="1"/>
  <c r="E210" i="1"/>
  <c r="E222" i="1"/>
  <c r="E213" i="1"/>
  <c r="E208" i="1"/>
  <c r="E215" i="1"/>
  <c r="E217" i="1"/>
  <c r="E211" i="1"/>
  <c r="E205" i="1"/>
  <c r="E203" i="1"/>
  <c r="E218" i="1"/>
  <c r="E214" i="1"/>
  <c r="E212" i="1"/>
  <c r="E207" i="1"/>
  <c r="E204" i="1"/>
  <c r="E219" i="1"/>
  <c r="E196" i="1"/>
  <c r="E197" i="1"/>
  <c r="E198" i="1"/>
  <c r="E199" i="1"/>
  <c r="E194" i="1"/>
  <c r="E192" i="1"/>
  <c r="E191" i="1"/>
  <c r="E193" i="1"/>
  <c r="E195" i="1"/>
  <c r="E190" i="1"/>
  <c r="E178" i="1"/>
  <c r="E179" i="1"/>
  <c r="E149" i="1"/>
  <c r="E147" i="1"/>
  <c r="E148" i="1"/>
  <c r="E150" i="1"/>
  <c r="E151" i="1"/>
  <c r="E144" i="1"/>
  <c r="E145" i="1"/>
  <c r="E146" i="1"/>
  <c r="E142" i="1"/>
  <c r="E143" i="1"/>
  <c r="E140" i="1"/>
  <c r="E138" i="1"/>
  <c r="E139" i="1"/>
  <c r="E141" i="1"/>
  <c r="E109" i="1"/>
  <c r="E111" i="1"/>
  <c r="E94" i="1"/>
  <c r="E95" i="1"/>
  <c r="E93" i="1"/>
  <c r="E91" i="1"/>
  <c r="E92" i="1"/>
  <c r="E24" i="1"/>
  <c r="E17" i="1"/>
  <c r="E10" i="1"/>
  <c r="C10" i="1" s="1"/>
  <c r="E226" i="1"/>
  <c r="E283" i="1"/>
  <c r="F283" i="1" s="1"/>
  <c r="G283" i="1" s="1"/>
  <c r="H283" i="1" s="1"/>
  <c r="E246" i="1"/>
  <c r="E285" i="1"/>
  <c r="E288" i="1"/>
  <c r="E291" i="1"/>
  <c r="E247" i="1"/>
  <c r="E245" i="1"/>
  <c r="E241" i="1"/>
  <c r="E249" i="1"/>
  <c r="E297" i="1"/>
  <c r="E293" i="1"/>
  <c r="E292" i="1"/>
  <c r="E290" i="1"/>
  <c r="E294" i="1"/>
  <c r="E296" i="1"/>
  <c r="E295" i="1"/>
  <c r="E248" i="1"/>
  <c r="E237" i="1"/>
  <c r="E227" i="1"/>
  <c r="E238" i="1"/>
  <c r="E284" i="1"/>
  <c r="E229" i="1"/>
  <c r="E228" i="1"/>
  <c r="E289" i="1"/>
  <c r="E286" i="1"/>
  <c r="AB283" i="1"/>
  <c r="AH283" i="1" s="1"/>
  <c r="X283" i="1"/>
  <c r="Y226" i="1"/>
  <c r="AE226" i="1" s="1"/>
  <c r="X226" i="1"/>
  <c r="AA283" i="1"/>
  <c r="AG283" i="1" s="1"/>
  <c r="Y283" i="1"/>
  <c r="AE283" i="1" s="1"/>
  <c r="Z283" i="1"/>
  <c r="AF283" i="1" s="1"/>
  <c r="Z246" i="1"/>
  <c r="AF246" i="1" s="1"/>
  <c r="AB246" i="1"/>
  <c r="AH246" i="1" s="1"/>
  <c r="X246" i="1"/>
  <c r="Z226" i="1"/>
  <c r="AF226" i="1" s="1"/>
  <c r="AA226" i="1"/>
  <c r="AG226" i="1" s="1"/>
  <c r="Y246" i="1"/>
  <c r="AE246" i="1" s="1"/>
  <c r="AB226" i="1"/>
  <c r="AH226" i="1" s="1"/>
  <c r="AA246" i="1"/>
  <c r="AG246" i="1" s="1"/>
  <c r="W82" i="1"/>
  <c r="G45" i="13"/>
  <c r="G43" i="13"/>
  <c r="G46" i="13"/>
  <c r="G44" i="13"/>
  <c r="W77" i="1"/>
  <c r="W72" i="1"/>
  <c r="W137" i="1"/>
  <c r="X137" i="1"/>
  <c r="W128" i="1"/>
  <c r="W120" i="1"/>
  <c r="W189" i="1"/>
  <c r="W87" i="1"/>
  <c r="W136" i="1"/>
  <c r="W127" i="1"/>
  <c r="W119" i="1"/>
  <c r="W101" i="1"/>
  <c r="W134" i="1"/>
  <c r="X134" i="1"/>
  <c r="W125" i="1"/>
  <c r="X125" i="1"/>
  <c r="W118" i="1"/>
  <c r="W185" i="1"/>
  <c r="W133" i="1"/>
  <c r="W124" i="1"/>
  <c r="X124" i="1"/>
  <c r="W106" i="1"/>
  <c r="X106" i="1"/>
  <c r="W186" i="1"/>
  <c r="X186" i="1"/>
  <c r="W132" i="1"/>
  <c r="W123" i="1"/>
  <c r="X123" i="1"/>
  <c r="W79" i="1"/>
  <c r="W104" i="1"/>
  <c r="W81" i="1"/>
  <c r="W122" i="1"/>
  <c r="X122" i="1"/>
  <c r="W89" i="1"/>
  <c r="W129" i="1"/>
  <c r="W121" i="1"/>
  <c r="W90" i="1"/>
  <c r="W86" i="1"/>
  <c r="W71" i="1"/>
  <c r="W84" i="1"/>
  <c r="X84" i="1"/>
  <c r="W78" i="1"/>
  <c r="W181" i="1"/>
  <c r="W182" i="1"/>
  <c r="W99" i="1"/>
  <c r="W80" i="1"/>
  <c r="W76" i="1"/>
  <c r="W70" i="1"/>
  <c r="E8" i="1"/>
  <c r="F8" i="1" s="1"/>
  <c r="G8" i="1" s="1"/>
  <c r="H8" i="1" s="1"/>
  <c r="AG335" i="1"/>
  <c r="AE335" i="1"/>
  <c r="AH335" i="1"/>
  <c r="E330" i="1"/>
  <c r="E334" i="1"/>
  <c r="E338" i="1"/>
  <c r="E342" i="1"/>
  <c r="E346" i="1"/>
  <c r="E350" i="1"/>
  <c r="E354" i="1"/>
  <c r="E358" i="1"/>
  <c r="E362" i="1"/>
  <c r="E331" i="1"/>
  <c r="E335" i="1"/>
  <c r="E339" i="1"/>
  <c r="E332" i="1"/>
  <c r="E336" i="1"/>
  <c r="E340" i="1"/>
  <c r="E344" i="1"/>
  <c r="E348" i="1"/>
  <c r="E352" i="1"/>
  <c r="E356" i="1"/>
  <c r="E360" i="1"/>
  <c r="E364" i="1"/>
  <c r="E337" i="1"/>
  <c r="E347" i="1"/>
  <c r="E355" i="1"/>
  <c r="E363" i="1"/>
  <c r="E368" i="1"/>
  <c r="E372" i="1"/>
  <c r="E376" i="1"/>
  <c r="E380" i="1"/>
  <c r="E384" i="1"/>
  <c r="E388" i="1"/>
  <c r="E392" i="1"/>
  <c r="E396" i="1"/>
  <c r="E400" i="1"/>
  <c r="E404" i="1"/>
  <c r="E408" i="1"/>
  <c r="E412" i="1"/>
  <c r="E416" i="1"/>
  <c r="E420" i="1"/>
  <c r="E424" i="1"/>
  <c r="E428" i="1"/>
  <c r="E432" i="1"/>
  <c r="E436" i="1"/>
  <c r="E440" i="1"/>
  <c r="E444" i="1"/>
  <c r="E448" i="1"/>
  <c r="E452" i="1"/>
  <c r="E456" i="1"/>
  <c r="E460" i="1"/>
  <c r="E464" i="1"/>
  <c r="E468" i="1"/>
  <c r="E472" i="1"/>
  <c r="E476" i="1"/>
  <c r="E480" i="1"/>
  <c r="E484" i="1"/>
  <c r="E488" i="1"/>
  <c r="E492" i="1"/>
  <c r="E496" i="1"/>
  <c r="E500" i="1"/>
  <c r="E333" i="1"/>
  <c r="E353" i="1"/>
  <c r="E367" i="1"/>
  <c r="E375" i="1"/>
  <c r="E383" i="1"/>
  <c r="E391" i="1"/>
  <c r="E399" i="1"/>
  <c r="E407" i="1"/>
  <c r="E415" i="1"/>
  <c r="E423" i="1"/>
  <c r="E431" i="1"/>
  <c r="E439" i="1"/>
  <c r="E447" i="1"/>
  <c r="E455" i="1"/>
  <c r="E463" i="1"/>
  <c r="E471" i="1"/>
  <c r="E479" i="1"/>
  <c r="E487" i="1"/>
  <c r="E495" i="1"/>
  <c r="E503" i="1"/>
  <c r="E508" i="1"/>
  <c r="E514" i="1"/>
  <c r="E519" i="1"/>
  <c r="E524" i="1"/>
  <c r="E530" i="1"/>
  <c r="E535" i="1"/>
  <c r="E540" i="1"/>
  <c r="E546" i="1"/>
  <c r="E551" i="1"/>
  <c r="E556" i="1"/>
  <c r="E562" i="1"/>
  <c r="E567" i="1"/>
  <c r="E572" i="1"/>
  <c r="E578" i="1"/>
  <c r="E583" i="1"/>
  <c r="E588" i="1"/>
  <c r="E594" i="1"/>
  <c r="E599" i="1"/>
  <c r="E604" i="1"/>
  <c r="E610" i="1"/>
  <c r="E343" i="1"/>
  <c r="E359" i="1"/>
  <c r="E370" i="1"/>
  <c r="E378" i="1"/>
  <c r="E386" i="1"/>
  <c r="E394" i="1"/>
  <c r="E402" i="1"/>
  <c r="E410" i="1"/>
  <c r="E418" i="1"/>
  <c r="E426" i="1"/>
  <c r="E434" i="1"/>
  <c r="E442" i="1"/>
  <c r="E450" i="1"/>
  <c r="E458" i="1"/>
  <c r="E466" i="1"/>
  <c r="E474" i="1"/>
  <c r="E482" i="1"/>
  <c r="E490" i="1"/>
  <c r="E498" i="1"/>
  <c r="E504" i="1"/>
  <c r="E510" i="1"/>
  <c r="E515" i="1"/>
  <c r="E520" i="1"/>
  <c r="E526" i="1"/>
  <c r="E531" i="1"/>
  <c r="E536" i="1"/>
  <c r="E542" i="1"/>
  <c r="E547" i="1"/>
  <c r="E552" i="1"/>
  <c r="E558" i="1"/>
  <c r="E563" i="1"/>
  <c r="E568" i="1"/>
  <c r="E574" i="1"/>
  <c r="E579" i="1"/>
  <c r="E584" i="1"/>
  <c r="E590" i="1"/>
  <c r="E595" i="1"/>
  <c r="E600" i="1"/>
  <c r="E606" i="1"/>
  <c r="E611" i="1"/>
  <c r="E345" i="1"/>
  <c r="E361" i="1"/>
  <c r="E371" i="1"/>
  <c r="E379" i="1"/>
  <c r="E387" i="1"/>
  <c r="E395" i="1"/>
  <c r="E403" i="1"/>
  <c r="E411" i="1"/>
  <c r="E419" i="1"/>
  <c r="E427" i="1"/>
  <c r="E435" i="1"/>
  <c r="E443" i="1"/>
  <c r="E451" i="1"/>
  <c r="E459" i="1"/>
  <c r="E467" i="1"/>
  <c r="E475" i="1"/>
  <c r="E483" i="1"/>
  <c r="E491" i="1"/>
  <c r="E499" i="1"/>
  <c r="E506" i="1"/>
  <c r="E511" i="1"/>
  <c r="E516" i="1"/>
  <c r="E522" i="1"/>
  <c r="E527" i="1"/>
  <c r="E532" i="1"/>
  <c r="E538" i="1"/>
  <c r="E543" i="1"/>
  <c r="E548" i="1"/>
  <c r="E554" i="1"/>
  <c r="E559" i="1"/>
  <c r="E564" i="1"/>
  <c r="E570" i="1"/>
  <c r="E575" i="1"/>
  <c r="E580" i="1"/>
  <c r="E586" i="1"/>
  <c r="E591" i="1"/>
  <c r="E596" i="1"/>
  <c r="E602" i="1"/>
  <c r="E607" i="1"/>
  <c r="E612" i="1"/>
  <c r="E351" i="1"/>
  <c r="E390" i="1"/>
  <c r="E422" i="1"/>
  <c r="E454" i="1"/>
  <c r="E486" i="1"/>
  <c r="E512" i="1"/>
  <c r="E534" i="1"/>
  <c r="E555" i="1"/>
  <c r="E576" i="1"/>
  <c r="E598" i="1"/>
  <c r="E366" i="1"/>
  <c r="E398" i="1"/>
  <c r="E430" i="1"/>
  <c r="E462" i="1"/>
  <c r="E494" i="1"/>
  <c r="E518" i="1"/>
  <c r="E539" i="1"/>
  <c r="E560" i="1"/>
  <c r="E582" i="1"/>
  <c r="E603" i="1"/>
  <c r="E374" i="1"/>
  <c r="E406" i="1"/>
  <c r="E438" i="1"/>
  <c r="E470" i="1"/>
  <c r="E502" i="1"/>
  <c r="E523" i="1"/>
  <c r="E544" i="1"/>
  <c r="E566" i="1"/>
  <c r="E587" i="1"/>
  <c r="E608" i="1"/>
  <c r="E382" i="1"/>
  <c r="E414" i="1"/>
  <c r="E446" i="1"/>
  <c r="E478" i="1"/>
  <c r="E507" i="1"/>
  <c r="E528" i="1"/>
  <c r="E550" i="1"/>
  <c r="E571" i="1"/>
  <c r="E592" i="1"/>
  <c r="E614" i="1"/>
  <c r="E613" i="1"/>
  <c r="E597" i="1"/>
  <c r="E585" i="1"/>
  <c r="E581" i="1"/>
  <c r="E569" i="1"/>
  <c r="E565" i="1"/>
  <c r="E549" i="1"/>
  <c r="E533" i="1"/>
  <c r="E389" i="1"/>
  <c r="E381" i="1"/>
  <c r="E369" i="1"/>
  <c r="E341" i="1"/>
  <c r="E601" i="1"/>
  <c r="E553" i="1"/>
  <c r="E537" i="1"/>
  <c r="E521" i="1"/>
  <c r="E505" i="1"/>
  <c r="E457" i="1"/>
  <c r="E441" i="1"/>
  <c r="E413" i="1"/>
  <c r="E405" i="1"/>
  <c r="E397" i="1"/>
  <c r="E377" i="1"/>
  <c r="E365" i="1"/>
  <c r="E605" i="1"/>
  <c r="E589" i="1"/>
  <c r="E573" i="1"/>
  <c r="E557" i="1"/>
  <c r="E541" i="1"/>
  <c r="E525" i="1"/>
  <c r="E517" i="1"/>
  <c r="E513" i="1"/>
  <c r="E509" i="1"/>
  <c r="E501" i="1"/>
  <c r="E497" i="1"/>
  <c r="E493" i="1"/>
  <c r="E489" i="1"/>
  <c r="E485" i="1"/>
  <c r="E481" i="1"/>
  <c r="E477" i="1"/>
  <c r="E473" i="1"/>
  <c r="E469" i="1"/>
  <c r="E465" i="1"/>
  <c r="E461" i="1"/>
  <c r="E453" i="1"/>
  <c r="E449" i="1"/>
  <c r="E445" i="1"/>
  <c r="E437" i="1"/>
  <c r="E433" i="1"/>
  <c r="E429" i="1"/>
  <c r="E425" i="1"/>
  <c r="E421" i="1"/>
  <c r="E393" i="1"/>
  <c r="E385" i="1"/>
  <c r="E357" i="1"/>
  <c r="E609" i="1"/>
  <c r="E593" i="1"/>
  <c r="E577" i="1"/>
  <c r="E561" i="1"/>
  <c r="E545" i="1"/>
  <c r="E529" i="1"/>
  <c r="E417" i="1"/>
  <c r="E409" i="1"/>
  <c r="E401" i="1"/>
  <c r="E373" i="1"/>
  <c r="E349" i="1"/>
  <c r="AF335" i="1"/>
  <c r="E15" i="1"/>
  <c r="E36" i="1"/>
  <c r="E18" i="1"/>
  <c r="E14" i="1"/>
  <c r="E16" i="1"/>
  <c r="E52" i="1"/>
  <c r="E30" i="1"/>
  <c r="E23" i="1"/>
  <c r="E43" i="1"/>
  <c r="E31" i="1"/>
  <c r="E13" i="1"/>
  <c r="M14" i="13"/>
  <c r="O14" i="13"/>
  <c r="R14" i="13"/>
  <c r="E71" i="1"/>
  <c r="W37" i="1"/>
  <c r="E58" i="1"/>
  <c r="E27" i="1"/>
  <c r="W32" i="1"/>
  <c r="G14" i="13"/>
  <c r="J14" i="13"/>
  <c r="E67" i="1"/>
  <c r="E87" i="1"/>
  <c r="K14" i="13"/>
  <c r="P14" i="13"/>
  <c r="E323" i="1"/>
  <c r="N14" i="13"/>
  <c r="H14" i="13"/>
  <c r="E116" i="1"/>
  <c r="Q14" i="13"/>
  <c r="L14" i="13"/>
  <c r="E115" i="1"/>
  <c r="E53" i="1"/>
  <c r="I14" i="13"/>
  <c r="E120" i="1"/>
  <c r="W15" i="1"/>
  <c r="E320" i="1"/>
  <c r="E76" i="1"/>
  <c r="W74" i="1"/>
  <c r="E51" i="1"/>
  <c r="W31" i="1"/>
  <c r="E124" i="1"/>
  <c r="E318" i="1"/>
  <c r="E129" i="1"/>
  <c r="E97" i="1"/>
  <c r="W30" i="1"/>
  <c r="W36" i="1"/>
  <c r="W38" i="1"/>
  <c r="W35" i="1"/>
  <c r="W130" i="1"/>
  <c r="E180" i="1"/>
  <c r="W34" i="1"/>
  <c r="E306" i="1"/>
  <c r="E55" i="1"/>
  <c r="E326" i="1"/>
  <c r="E300" i="1"/>
  <c r="E90" i="1"/>
  <c r="E48" i="1"/>
  <c r="E327" i="1"/>
  <c r="E22" i="1"/>
  <c r="E108" i="1"/>
  <c r="E325" i="1"/>
  <c r="E64" i="1"/>
  <c r="W29" i="1"/>
  <c r="E329" i="1"/>
  <c r="E311" i="1"/>
  <c r="E302" i="1"/>
  <c r="E301" i="1"/>
  <c r="E305" i="1"/>
  <c r="E328" i="1"/>
  <c r="E324" i="1"/>
  <c r="E321" i="1"/>
  <c r="E304" i="1"/>
  <c r="E299" i="1"/>
  <c r="E319" i="1"/>
  <c r="E316" i="1"/>
  <c r="E307" i="1"/>
  <c r="E189" i="1"/>
  <c r="E185" i="1"/>
  <c r="E174" i="1"/>
  <c r="E125" i="1"/>
  <c r="E63" i="1"/>
  <c r="E49" i="1"/>
  <c r="E298" i="1"/>
  <c r="E184" i="1"/>
  <c r="E137" i="1"/>
  <c r="E110" i="1"/>
  <c r="E86" i="1"/>
  <c r="E62" i="1"/>
  <c r="E57" i="1"/>
  <c r="E136" i="1"/>
  <c r="E128" i="1"/>
  <c r="E119" i="1"/>
  <c r="E104" i="1"/>
  <c r="E85" i="1"/>
  <c r="E80" i="1"/>
  <c r="E61" i="1"/>
  <c r="E56" i="1"/>
  <c r="E32" i="1"/>
  <c r="E322" i="1"/>
  <c r="E177" i="1"/>
  <c r="E118" i="1"/>
  <c r="E103" i="1"/>
  <c r="E84" i="1"/>
  <c r="E60" i="1"/>
  <c r="E313" i="1"/>
  <c r="E308" i="1"/>
  <c r="E303" i="1"/>
  <c r="E182" i="1"/>
  <c r="E176" i="1"/>
  <c r="E127" i="1"/>
  <c r="E123" i="1"/>
  <c r="E117" i="1"/>
  <c r="E107" i="1"/>
  <c r="E89" i="1"/>
  <c r="E66" i="1"/>
  <c r="E315" i="1"/>
  <c r="E310" i="1"/>
  <c r="E134" i="1"/>
  <c r="E102" i="1"/>
  <c r="E98" i="1"/>
  <c r="E88" i="1"/>
  <c r="E78" i="1"/>
  <c r="E65" i="1"/>
  <c r="E59" i="1"/>
  <c r="E38" i="1"/>
  <c r="E181" i="1"/>
  <c r="E175" i="1"/>
  <c r="E130" i="1"/>
  <c r="E122" i="1"/>
  <c r="E106" i="1"/>
  <c r="E82" i="1"/>
  <c r="E74" i="1"/>
  <c r="E34" i="1"/>
  <c r="E20" i="1"/>
  <c r="E317" i="1"/>
  <c r="E314" i="1"/>
  <c r="E312" i="1"/>
  <c r="E309" i="1"/>
  <c r="E121" i="1"/>
  <c r="E112" i="1"/>
  <c r="E73" i="1"/>
  <c r="E25" i="1"/>
  <c r="E19" i="1"/>
  <c r="E188" i="1"/>
  <c r="E183" i="1"/>
  <c r="E135" i="1"/>
  <c r="E126" i="1"/>
  <c r="E105" i="1"/>
  <c r="E101" i="1"/>
  <c r="E83" i="1"/>
  <c r="E81" i="1"/>
  <c r="E79" i="1"/>
  <c r="E77" i="1"/>
  <c r="E75" i="1"/>
  <c r="E72" i="1"/>
  <c r="E68" i="1"/>
  <c r="E44" i="1"/>
  <c r="E42" i="1"/>
  <c r="E33" i="1"/>
  <c r="E29" i="1"/>
  <c r="E12" i="1"/>
  <c r="E186" i="1"/>
  <c r="E133" i="1"/>
  <c r="E131" i="1"/>
  <c r="E114" i="1"/>
  <c r="E99" i="1"/>
  <c r="E70" i="1"/>
  <c r="E50" i="1"/>
  <c r="E46" i="1"/>
  <c r="E40" i="1"/>
  <c r="E37" i="1"/>
  <c r="E21" i="1"/>
  <c r="E11" i="1"/>
  <c r="E187" i="1"/>
  <c r="E132" i="1"/>
  <c r="E113" i="1"/>
  <c r="E100" i="1"/>
  <c r="E96" i="1"/>
  <c r="E69" i="1"/>
  <c r="E54" i="1"/>
  <c r="E47" i="1"/>
  <c r="E45" i="1"/>
  <c r="E41" i="1"/>
  <c r="E39" i="1"/>
  <c r="E35" i="1"/>
  <c r="E28" i="1"/>
  <c r="F157" i="1" l="1"/>
  <c r="F156" i="1"/>
  <c r="F158" i="1"/>
  <c r="F225" i="1"/>
  <c r="F233" i="1"/>
  <c r="F223" i="1"/>
  <c r="C223" i="1" s="1"/>
  <c r="F224" i="1"/>
  <c r="F232" i="1"/>
  <c r="F277" i="1"/>
  <c r="F276" i="1"/>
  <c r="F282" i="1"/>
  <c r="F281" i="1"/>
  <c r="F278" i="1"/>
  <c r="F280" i="1"/>
  <c r="F279" i="1"/>
  <c r="F275" i="1"/>
  <c r="F274" i="1"/>
  <c r="F271" i="1"/>
  <c r="F270" i="1"/>
  <c r="F273" i="1"/>
  <c r="F231" i="1"/>
  <c r="F272" i="1"/>
  <c r="F265" i="1"/>
  <c r="F266" i="1"/>
  <c r="F269" i="1"/>
  <c r="F268" i="1"/>
  <c r="F267" i="1"/>
  <c r="F264" i="1"/>
  <c r="F263" i="1"/>
  <c r="F262" i="1"/>
  <c r="F261" i="1"/>
  <c r="F260" i="1"/>
  <c r="C260" i="1" s="1"/>
  <c r="F254" i="1"/>
  <c r="F259" i="1"/>
  <c r="F257" i="1"/>
  <c r="C257" i="1" s="1"/>
  <c r="F258" i="1"/>
  <c r="F256" i="1"/>
  <c r="F252" i="1"/>
  <c r="F253" i="1"/>
  <c r="F255" i="1"/>
  <c r="F251" i="1"/>
  <c r="C251" i="1" s="1"/>
  <c r="F201" i="1"/>
  <c r="F200" i="1"/>
  <c r="F26" i="1"/>
  <c r="F173" i="1"/>
  <c r="F172" i="1"/>
  <c r="F169" i="1"/>
  <c r="F287" i="1"/>
  <c r="Z165" i="1"/>
  <c r="AF165" i="1" s="1"/>
  <c r="X165" i="1"/>
  <c r="AD165" i="1" s="1"/>
  <c r="F166" i="1"/>
  <c r="C166" i="1" s="1"/>
  <c r="AB159" i="1"/>
  <c r="AH159" i="1" s="1"/>
  <c r="Y165" i="1"/>
  <c r="AE165" i="1" s="1"/>
  <c r="F165" i="1"/>
  <c r="G165" i="1" s="1"/>
  <c r="C165" i="1"/>
  <c r="Y159" i="1"/>
  <c r="AE159" i="1" s="1"/>
  <c r="F168" i="1"/>
  <c r="F167" i="1"/>
  <c r="G167" i="1" s="1"/>
  <c r="H167" i="1" s="1"/>
  <c r="AB165" i="1"/>
  <c r="AH165" i="1" s="1"/>
  <c r="AA165" i="1"/>
  <c r="AG165" i="1" s="1"/>
  <c r="F171" i="1"/>
  <c r="F170" i="1"/>
  <c r="F160" i="1"/>
  <c r="Z152" i="1"/>
  <c r="AF152" i="1" s="1"/>
  <c r="Z159" i="1"/>
  <c r="AF159" i="1" s="1"/>
  <c r="AA159" i="1"/>
  <c r="AG159" i="1" s="1"/>
  <c r="X159" i="1"/>
  <c r="AD159" i="1" s="1"/>
  <c r="F162" i="1"/>
  <c r="F164" i="1"/>
  <c r="F163" i="1"/>
  <c r="Y152" i="1"/>
  <c r="AE152" i="1" s="1"/>
  <c r="F161" i="1"/>
  <c r="G161" i="1" s="1"/>
  <c r="C159" i="1"/>
  <c r="F159" i="1"/>
  <c r="G159" i="1" s="1"/>
  <c r="X152" i="1"/>
  <c r="AD152" i="1" s="1"/>
  <c r="AB152" i="1"/>
  <c r="AH152" i="1" s="1"/>
  <c r="F154" i="1"/>
  <c r="G154" i="1" s="1"/>
  <c r="H154" i="1" s="1"/>
  <c r="AA152" i="1"/>
  <c r="AG152" i="1" s="1"/>
  <c r="F155" i="1"/>
  <c r="Y156" i="1" s="1"/>
  <c r="AE156" i="1" s="1"/>
  <c r="F153" i="1"/>
  <c r="C153" i="1" s="1"/>
  <c r="C152" i="1"/>
  <c r="F152" i="1"/>
  <c r="G152" i="1" s="1"/>
  <c r="H152" i="1" s="1"/>
  <c r="F250" i="1"/>
  <c r="F239" i="1"/>
  <c r="F240" i="1"/>
  <c r="F244" i="1"/>
  <c r="F235" i="1"/>
  <c r="F236" i="1"/>
  <c r="F242" i="1"/>
  <c r="F243" i="1"/>
  <c r="F234" i="1"/>
  <c r="C234" i="1" s="1"/>
  <c r="F230" i="1"/>
  <c r="F222" i="1"/>
  <c r="F207" i="1"/>
  <c r="F203" i="1"/>
  <c r="G203" i="1" s="1"/>
  <c r="H203" i="1" s="1"/>
  <c r="F215" i="1"/>
  <c r="F210" i="1"/>
  <c r="F206" i="1"/>
  <c r="F204" i="1"/>
  <c r="F218" i="1"/>
  <c r="F217" i="1"/>
  <c r="F202" i="1"/>
  <c r="C202" i="1"/>
  <c r="Z202" i="1"/>
  <c r="AF202" i="1" s="1"/>
  <c r="AB202" i="1"/>
  <c r="AH202" i="1" s="1"/>
  <c r="X202" i="1"/>
  <c r="Y202" i="1"/>
  <c r="AE202" i="1" s="1"/>
  <c r="AA202" i="1"/>
  <c r="AG202" i="1" s="1"/>
  <c r="F212" i="1"/>
  <c r="F205" i="1"/>
  <c r="F208" i="1"/>
  <c r="C208" i="1" s="1"/>
  <c r="F209" i="1"/>
  <c r="F216" i="1"/>
  <c r="F219" i="1"/>
  <c r="F214" i="1"/>
  <c r="F211" i="1"/>
  <c r="F213" i="1"/>
  <c r="F220" i="1"/>
  <c r="F221" i="1"/>
  <c r="F198" i="1"/>
  <c r="G198" i="1" s="1"/>
  <c r="F197" i="1"/>
  <c r="G197" i="1" s="1"/>
  <c r="F199" i="1"/>
  <c r="F196" i="1"/>
  <c r="G196" i="1" s="1"/>
  <c r="C196" i="1"/>
  <c r="X196" i="1"/>
  <c r="AB196" i="1"/>
  <c r="AH196" i="1" s="1"/>
  <c r="Z196" i="1"/>
  <c r="AF196" i="1" s="1"/>
  <c r="Y196" i="1"/>
  <c r="AE196" i="1" s="1"/>
  <c r="AA196" i="1"/>
  <c r="AG196" i="1" s="1"/>
  <c r="F191" i="1"/>
  <c r="G191" i="1" s="1"/>
  <c r="H191" i="1" s="1"/>
  <c r="F193" i="1"/>
  <c r="F190" i="1"/>
  <c r="G190" i="1" s="1"/>
  <c r="H190" i="1" s="1"/>
  <c r="C190" i="1"/>
  <c r="Z190" i="1"/>
  <c r="AF190" i="1" s="1"/>
  <c r="Y190" i="1"/>
  <c r="AE190" i="1" s="1"/>
  <c r="AB190" i="1"/>
  <c r="AH190" i="1" s="1"/>
  <c r="X190" i="1"/>
  <c r="AA190" i="1"/>
  <c r="AG190" i="1" s="1"/>
  <c r="F192" i="1"/>
  <c r="F195" i="1"/>
  <c r="F194" i="1"/>
  <c r="F179" i="1"/>
  <c r="F178" i="1"/>
  <c r="F150" i="1"/>
  <c r="F148" i="1"/>
  <c r="F147" i="1"/>
  <c r="C147" i="1" s="1"/>
  <c r="F151" i="1"/>
  <c r="F149" i="1"/>
  <c r="F146" i="1"/>
  <c r="F145" i="1"/>
  <c r="F144" i="1"/>
  <c r="C144" i="1" s="1"/>
  <c r="Z138" i="1"/>
  <c r="AF138" i="1" s="1"/>
  <c r="F143" i="1"/>
  <c r="F142" i="1"/>
  <c r="F141" i="1"/>
  <c r="F24" i="1"/>
  <c r="AA138" i="1"/>
  <c r="AG138" i="1" s="1"/>
  <c r="F139" i="1"/>
  <c r="C139" i="1" s="1"/>
  <c r="X138" i="1"/>
  <c r="Y138" i="1"/>
  <c r="AE138" i="1" s="1"/>
  <c r="F138" i="1"/>
  <c r="G138" i="1" s="1"/>
  <c r="H138" i="1" s="1"/>
  <c r="C138" i="1"/>
  <c r="AB138" i="1"/>
  <c r="AH138" i="1" s="1"/>
  <c r="F140" i="1"/>
  <c r="F111" i="1"/>
  <c r="F109" i="1"/>
  <c r="F93" i="1"/>
  <c r="C93" i="1" s="1"/>
  <c r="F95" i="1"/>
  <c r="F10" i="1"/>
  <c r="G10" i="1" s="1"/>
  <c r="F94" i="1"/>
  <c r="F92" i="1"/>
  <c r="F91" i="1"/>
  <c r="F17" i="1"/>
  <c r="F289" i="1"/>
  <c r="AA284" i="1"/>
  <c r="AG284" i="1" s="1"/>
  <c r="C284" i="1"/>
  <c r="F284" i="1"/>
  <c r="G284" i="1" s="1"/>
  <c r="H284" i="1" s="1"/>
  <c r="AB284" i="1"/>
  <c r="AH284" i="1" s="1"/>
  <c r="X284" i="1"/>
  <c r="Z284" i="1"/>
  <c r="AF284" i="1" s="1"/>
  <c r="Y284" i="1"/>
  <c r="AE284" i="1" s="1"/>
  <c r="F237" i="1"/>
  <c r="F296" i="1"/>
  <c r="F293" i="1"/>
  <c r="F245" i="1"/>
  <c r="F246" i="1"/>
  <c r="G246" i="1" s="1"/>
  <c r="AD226" i="1"/>
  <c r="AI226" i="1" s="1"/>
  <c r="AC226" i="1"/>
  <c r="F228" i="1"/>
  <c r="C228" i="1" s="1"/>
  <c r="F294" i="1"/>
  <c r="F291" i="1"/>
  <c r="F229" i="1"/>
  <c r="G229" i="1" s="1"/>
  <c r="C229" i="1" s="1"/>
  <c r="F238" i="1"/>
  <c r="F248" i="1"/>
  <c r="C248" i="1" s="1"/>
  <c r="F290" i="1"/>
  <c r="F297" i="1"/>
  <c r="F249" i="1"/>
  <c r="G249" i="1" s="1"/>
  <c r="F288" i="1"/>
  <c r="F226" i="1"/>
  <c r="G226" i="1" s="1"/>
  <c r="H226" i="1" s="1"/>
  <c r="AC246" i="1"/>
  <c r="AD246" i="1"/>
  <c r="AI246" i="1" s="1"/>
  <c r="AC283" i="1"/>
  <c r="AD283" i="1"/>
  <c r="AI283" i="1" s="1"/>
  <c r="F286" i="1"/>
  <c r="Z227" i="1"/>
  <c r="AF227" i="1" s="1"/>
  <c r="AB227" i="1"/>
  <c r="AH227" i="1" s="1"/>
  <c r="AA227" i="1"/>
  <c r="AG227" i="1" s="1"/>
  <c r="F227" i="1"/>
  <c r="G227" i="1" s="1"/>
  <c r="Y227" i="1"/>
  <c r="AE227" i="1" s="1"/>
  <c r="C227" i="1"/>
  <c r="F295" i="1"/>
  <c r="F292" i="1"/>
  <c r="X227" i="1"/>
  <c r="F241" i="1"/>
  <c r="AA247" i="1"/>
  <c r="AG247" i="1" s="1"/>
  <c r="AB247" i="1"/>
  <c r="AH247" i="1" s="1"/>
  <c r="C247" i="1"/>
  <c r="Z247" i="1"/>
  <c r="AF247" i="1" s="1"/>
  <c r="F247" i="1"/>
  <c r="G247" i="1" s="1"/>
  <c r="Y247" i="1"/>
  <c r="AE247" i="1" s="1"/>
  <c r="X247" i="1"/>
  <c r="F285" i="1"/>
  <c r="H46" i="13"/>
  <c r="H42" i="13"/>
  <c r="H44" i="13"/>
  <c r="H45" i="13"/>
  <c r="H43" i="13"/>
  <c r="AE594" i="1"/>
  <c r="AH594" i="1"/>
  <c r="AF594" i="1"/>
  <c r="AG594" i="1"/>
  <c r="F180" i="1"/>
  <c r="F124" i="1"/>
  <c r="F409" i="1"/>
  <c r="F561" i="1"/>
  <c r="F421" i="1"/>
  <c r="F437" i="1"/>
  <c r="F461" i="1"/>
  <c r="F477" i="1"/>
  <c r="F493" i="1"/>
  <c r="F513" i="1"/>
  <c r="F557" i="1"/>
  <c r="F405" i="1"/>
  <c r="F505" i="1"/>
  <c r="F601" i="1"/>
  <c r="F381" i="1"/>
  <c r="F565" i="1"/>
  <c r="F597" i="1"/>
  <c r="F614" i="1"/>
  <c r="F528" i="1"/>
  <c r="F414" i="1"/>
  <c r="F587" i="1"/>
  <c r="F502" i="1"/>
  <c r="F374" i="1"/>
  <c r="F560" i="1"/>
  <c r="F462" i="1"/>
  <c r="F534" i="1"/>
  <c r="F422" i="1"/>
  <c r="F602" i="1"/>
  <c r="F580" i="1"/>
  <c r="F559" i="1"/>
  <c r="F538" i="1"/>
  <c r="F516" i="1"/>
  <c r="F491" i="1"/>
  <c r="F459" i="1"/>
  <c r="F427" i="1"/>
  <c r="F395" i="1"/>
  <c r="F361" i="1"/>
  <c r="F600" i="1"/>
  <c r="F579" i="1"/>
  <c r="F558" i="1"/>
  <c r="F536" i="1"/>
  <c r="F515" i="1"/>
  <c r="F490" i="1"/>
  <c r="F458" i="1"/>
  <c r="F426" i="1"/>
  <c r="F394" i="1"/>
  <c r="F359" i="1"/>
  <c r="F599" i="1"/>
  <c r="F578" i="1"/>
  <c r="F556" i="1"/>
  <c r="F535" i="1"/>
  <c r="F514" i="1"/>
  <c r="F487" i="1"/>
  <c r="F455" i="1"/>
  <c r="F423" i="1"/>
  <c r="F391" i="1"/>
  <c r="F353" i="1"/>
  <c r="F492" i="1"/>
  <c r="F476" i="1"/>
  <c r="F460" i="1"/>
  <c r="F444" i="1"/>
  <c r="F428" i="1"/>
  <c r="F412" i="1"/>
  <c r="F396" i="1"/>
  <c r="F380" i="1"/>
  <c r="F363" i="1"/>
  <c r="F364" i="1"/>
  <c r="F348" i="1"/>
  <c r="F332" i="1"/>
  <c r="F362" i="1"/>
  <c r="F346" i="1"/>
  <c r="F330" i="1"/>
  <c r="F326" i="1"/>
  <c r="AD335" i="1"/>
  <c r="AC335" i="1"/>
  <c r="F349" i="1"/>
  <c r="F417" i="1"/>
  <c r="F577" i="1"/>
  <c r="F357" i="1"/>
  <c r="F425" i="1"/>
  <c r="F445" i="1"/>
  <c r="F465" i="1"/>
  <c r="F481" i="1"/>
  <c r="F497" i="1"/>
  <c r="F517" i="1"/>
  <c r="F573" i="1"/>
  <c r="F365" i="1"/>
  <c r="F413" i="1"/>
  <c r="F521" i="1"/>
  <c r="F389" i="1"/>
  <c r="F569" i="1"/>
  <c r="F613" i="1"/>
  <c r="F592" i="1"/>
  <c r="F507" i="1"/>
  <c r="F382" i="1"/>
  <c r="F566" i="1"/>
  <c r="F470" i="1"/>
  <c r="F539" i="1"/>
  <c r="F430" i="1"/>
  <c r="F598" i="1"/>
  <c r="F512" i="1"/>
  <c r="F390" i="1"/>
  <c r="F596" i="1"/>
  <c r="F575" i="1"/>
  <c r="F554" i="1"/>
  <c r="F532" i="1"/>
  <c r="F511" i="1"/>
  <c r="F483" i="1"/>
  <c r="F451" i="1"/>
  <c r="F419" i="1"/>
  <c r="F387" i="1"/>
  <c r="F345" i="1"/>
  <c r="F595" i="1"/>
  <c r="F574" i="1"/>
  <c r="F552" i="1"/>
  <c r="F531" i="1"/>
  <c r="F510" i="1"/>
  <c r="F482" i="1"/>
  <c r="F450" i="1"/>
  <c r="F418" i="1"/>
  <c r="F386" i="1"/>
  <c r="F343" i="1"/>
  <c r="F594" i="1"/>
  <c r="F572" i="1"/>
  <c r="F551" i="1"/>
  <c r="F530" i="1"/>
  <c r="F508" i="1"/>
  <c r="F479" i="1"/>
  <c r="F447" i="1"/>
  <c r="F415" i="1"/>
  <c r="F383" i="1"/>
  <c r="F333" i="1"/>
  <c r="F488" i="1"/>
  <c r="F472" i="1"/>
  <c r="F456" i="1"/>
  <c r="F440" i="1"/>
  <c r="F424" i="1"/>
  <c r="F408" i="1"/>
  <c r="F392" i="1"/>
  <c r="F376" i="1"/>
  <c r="F355" i="1"/>
  <c r="F360" i="1"/>
  <c r="F344" i="1"/>
  <c r="F339" i="1"/>
  <c r="F358" i="1"/>
  <c r="F342" i="1"/>
  <c r="F373" i="1"/>
  <c r="F529" i="1"/>
  <c r="F593" i="1"/>
  <c r="F385" i="1"/>
  <c r="F429" i="1"/>
  <c r="F449" i="1"/>
  <c r="F469" i="1"/>
  <c r="F485" i="1"/>
  <c r="F501" i="1"/>
  <c r="F525" i="1"/>
  <c r="F589" i="1"/>
  <c r="F377" i="1"/>
  <c r="F441" i="1"/>
  <c r="F537" i="1"/>
  <c r="F341" i="1"/>
  <c r="F533" i="1"/>
  <c r="F581" i="1"/>
  <c r="F571" i="1"/>
  <c r="F478" i="1"/>
  <c r="F544" i="1"/>
  <c r="F438" i="1"/>
  <c r="F603" i="1"/>
  <c r="F518" i="1"/>
  <c r="F398" i="1"/>
  <c r="F576" i="1"/>
  <c r="F486" i="1"/>
  <c r="F351" i="1"/>
  <c r="F612" i="1"/>
  <c r="F591" i="1"/>
  <c r="F570" i="1"/>
  <c r="F548" i="1"/>
  <c r="F527" i="1"/>
  <c r="F506" i="1"/>
  <c r="F475" i="1"/>
  <c r="F443" i="1"/>
  <c r="F411" i="1"/>
  <c r="F379" i="1"/>
  <c r="F611" i="1"/>
  <c r="F590" i="1"/>
  <c r="F568" i="1"/>
  <c r="F547" i="1"/>
  <c r="F526" i="1"/>
  <c r="F504" i="1"/>
  <c r="F474" i="1"/>
  <c r="F442" i="1"/>
  <c r="F410" i="1"/>
  <c r="F378" i="1"/>
  <c r="F610" i="1"/>
  <c r="F588" i="1"/>
  <c r="F567" i="1"/>
  <c r="F546" i="1"/>
  <c r="F524" i="1"/>
  <c r="F503" i="1"/>
  <c r="F471" i="1"/>
  <c r="F439" i="1"/>
  <c r="F407" i="1"/>
  <c r="F375" i="1"/>
  <c r="F500" i="1"/>
  <c r="F484" i="1"/>
  <c r="F468" i="1"/>
  <c r="F452" i="1"/>
  <c r="F436" i="1"/>
  <c r="F420" i="1"/>
  <c r="F404" i="1"/>
  <c r="F388" i="1"/>
  <c r="F372" i="1"/>
  <c r="F347" i="1"/>
  <c r="F356" i="1"/>
  <c r="F340" i="1"/>
  <c r="F335" i="1"/>
  <c r="F354" i="1"/>
  <c r="F338" i="1"/>
  <c r="F67" i="1"/>
  <c r="F401" i="1"/>
  <c r="F545" i="1"/>
  <c r="F609" i="1"/>
  <c r="F393" i="1"/>
  <c r="F433" i="1"/>
  <c r="F453" i="1"/>
  <c r="F473" i="1"/>
  <c r="F489" i="1"/>
  <c r="F509" i="1"/>
  <c r="F541" i="1"/>
  <c r="F605" i="1"/>
  <c r="F397" i="1"/>
  <c r="F457" i="1"/>
  <c r="F553" i="1"/>
  <c r="F369" i="1"/>
  <c r="F549" i="1"/>
  <c r="F585" i="1"/>
  <c r="F550" i="1"/>
  <c r="F446" i="1"/>
  <c r="F608" i="1"/>
  <c r="F523" i="1"/>
  <c r="F406" i="1"/>
  <c r="F582" i="1"/>
  <c r="F494" i="1"/>
  <c r="F366" i="1"/>
  <c r="F555" i="1"/>
  <c r="F454" i="1"/>
  <c r="F607" i="1"/>
  <c r="F586" i="1"/>
  <c r="F564" i="1"/>
  <c r="F543" i="1"/>
  <c r="F522" i="1"/>
  <c r="F499" i="1"/>
  <c r="F467" i="1"/>
  <c r="F435" i="1"/>
  <c r="F403" i="1"/>
  <c r="F371" i="1"/>
  <c r="F606" i="1"/>
  <c r="F584" i="1"/>
  <c r="F563" i="1"/>
  <c r="F542" i="1"/>
  <c r="F520" i="1"/>
  <c r="F498" i="1"/>
  <c r="F466" i="1"/>
  <c r="F434" i="1"/>
  <c r="F402" i="1"/>
  <c r="F370" i="1"/>
  <c r="F604" i="1"/>
  <c r="F583" i="1"/>
  <c r="F562" i="1"/>
  <c r="F540" i="1"/>
  <c r="F519" i="1"/>
  <c r="F495" i="1"/>
  <c r="F463" i="1"/>
  <c r="F431" i="1"/>
  <c r="F399" i="1"/>
  <c r="F367" i="1"/>
  <c r="F496" i="1"/>
  <c r="F480" i="1"/>
  <c r="F464" i="1"/>
  <c r="F448" i="1"/>
  <c r="F432" i="1"/>
  <c r="F416" i="1"/>
  <c r="F400" i="1"/>
  <c r="F384" i="1"/>
  <c r="F368" i="1"/>
  <c r="F337" i="1"/>
  <c r="F352" i="1"/>
  <c r="F336" i="1"/>
  <c r="F331" i="1"/>
  <c r="F350" i="1"/>
  <c r="F334" i="1"/>
  <c r="F328" i="1"/>
  <c r="F182" i="1"/>
  <c r="F13" i="1"/>
  <c r="F327" i="1"/>
  <c r="F108" i="1"/>
  <c r="F185" i="1"/>
  <c r="F302" i="1"/>
  <c r="F19" i="1"/>
  <c r="F30" i="1"/>
  <c r="F175" i="1"/>
  <c r="F74" i="1"/>
  <c r="F189" i="1"/>
  <c r="F301" i="1"/>
  <c r="F107" i="1"/>
  <c r="F49" i="1"/>
  <c r="F110" i="1"/>
  <c r="F84" i="1"/>
  <c r="F28" i="1"/>
  <c r="F96" i="1"/>
  <c r="F37" i="1"/>
  <c r="F114" i="1"/>
  <c r="F33" i="1"/>
  <c r="F81" i="1"/>
  <c r="F116" i="1"/>
  <c r="F34" i="1"/>
  <c r="F134" i="1"/>
  <c r="F102" i="1"/>
  <c r="F16" i="1"/>
  <c r="F36" i="1"/>
  <c r="F76" i="1"/>
  <c r="F104" i="1"/>
  <c r="F18" i="1"/>
  <c r="F137" i="1"/>
  <c r="F316" i="1"/>
  <c r="F315" i="1"/>
  <c r="F35" i="1"/>
  <c r="F100" i="1"/>
  <c r="F40" i="1"/>
  <c r="F42" i="1"/>
  <c r="F83" i="1"/>
  <c r="F73" i="1"/>
  <c r="F20" i="1"/>
  <c r="F38" i="1"/>
  <c r="F31" i="1"/>
  <c r="F89" i="1"/>
  <c r="F176" i="1"/>
  <c r="F177" i="1"/>
  <c r="F322" i="1"/>
  <c r="F52" i="1"/>
  <c r="F136" i="1"/>
  <c r="F87" i="1"/>
  <c r="F319" i="1"/>
  <c r="F323" i="1"/>
  <c r="F39" i="1"/>
  <c r="F113" i="1"/>
  <c r="F46" i="1"/>
  <c r="F44" i="1"/>
  <c r="F101" i="1"/>
  <c r="F97" i="1"/>
  <c r="F181" i="1"/>
  <c r="F80" i="1"/>
  <c r="F62" i="1"/>
  <c r="F329" i="1"/>
  <c r="F45" i="1"/>
  <c r="F72" i="1"/>
  <c r="F53" i="1"/>
  <c r="F60" i="1"/>
  <c r="F308" i="1"/>
  <c r="F85" i="1"/>
  <c r="F48" i="1"/>
  <c r="F58" i="1"/>
  <c r="F324" i="1"/>
  <c r="F305" i="1"/>
  <c r="F54" i="1"/>
  <c r="F21" i="1"/>
  <c r="F99" i="1"/>
  <c r="F186" i="1"/>
  <c r="F29" i="1"/>
  <c r="F77" i="1"/>
  <c r="F183" i="1"/>
  <c r="F25" i="1"/>
  <c r="F64" i="1"/>
  <c r="F106" i="1"/>
  <c r="F130" i="1"/>
  <c r="F314" i="1"/>
  <c r="F27" i="1"/>
  <c r="F300" i="1"/>
  <c r="F123" i="1"/>
  <c r="F118" i="1"/>
  <c r="F32" i="1"/>
  <c r="F61" i="1"/>
  <c r="F90" i="1"/>
  <c r="F128" i="1"/>
  <c r="F86" i="1"/>
  <c r="F129" i="1"/>
  <c r="F63" i="1"/>
  <c r="F174" i="1"/>
  <c r="F311" i="1"/>
  <c r="F69" i="1"/>
  <c r="F79" i="1"/>
  <c r="F188" i="1"/>
  <c r="F112" i="1"/>
  <c r="F320" i="1"/>
  <c r="F317" i="1"/>
  <c r="F78" i="1"/>
  <c r="F65" i="1"/>
  <c r="F310" i="1"/>
  <c r="F71" i="1"/>
  <c r="F306" i="1"/>
  <c r="F57" i="1"/>
  <c r="F23" i="1"/>
  <c r="F307" i="1"/>
  <c r="F325" i="1"/>
  <c r="F41" i="1"/>
  <c r="F132" i="1"/>
  <c r="F50" i="1"/>
  <c r="F68" i="1"/>
  <c r="F105" i="1"/>
  <c r="F82" i="1"/>
  <c r="F121" i="1"/>
  <c r="F299" i="1"/>
  <c r="F15" i="1"/>
  <c r="F88" i="1"/>
  <c r="F127" i="1"/>
  <c r="F51" i="1"/>
  <c r="F103" i="1"/>
  <c r="F303" i="1"/>
  <c r="F43" i="1"/>
  <c r="F56" i="1"/>
  <c r="F184" i="1"/>
  <c r="F304" i="1"/>
  <c r="F187" i="1"/>
  <c r="F131" i="1"/>
  <c r="F126" i="1"/>
  <c r="F309" i="1"/>
  <c r="F59" i="1"/>
  <c r="F119" i="1"/>
  <c r="F115" i="1"/>
  <c r="F298" i="1"/>
  <c r="F125" i="1"/>
  <c r="F318" i="1"/>
  <c r="F47" i="1"/>
  <c r="F11" i="1"/>
  <c r="F70" i="1"/>
  <c r="F133" i="1"/>
  <c r="F12" i="1"/>
  <c r="F22" i="1"/>
  <c r="F75" i="1"/>
  <c r="F135" i="1"/>
  <c r="F312" i="1"/>
  <c r="F122" i="1"/>
  <c r="F98" i="1"/>
  <c r="F66" i="1"/>
  <c r="F117" i="1"/>
  <c r="F313" i="1"/>
  <c r="F55" i="1"/>
  <c r="F120" i="1"/>
  <c r="F14" i="1"/>
  <c r="F321" i="1"/>
  <c r="G193" i="1" l="1"/>
  <c r="G156" i="1"/>
  <c r="H156" i="1" s="1"/>
  <c r="AA156" i="1"/>
  <c r="AG156" i="1" s="1"/>
  <c r="C156" i="1"/>
  <c r="X156" i="1"/>
  <c r="G157" i="1"/>
  <c r="Z157" i="1" s="1"/>
  <c r="AF157" i="1" s="1"/>
  <c r="AB156" i="1"/>
  <c r="AH156" i="1" s="1"/>
  <c r="Z156" i="1"/>
  <c r="AF156" i="1" s="1"/>
  <c r="G158" i="1"/>
  <c r="H158" i="1" s="1"/>
  <c r="C158" i="1" s="1"/>
  <c r="Z223" i="1"/>
  <c r="AF223" i="1" s="1"/>
  <c r="G223" i="1"/>
  <c r="H223" i="1" s="1"/>
  <c r="AA223" i="1"/>
  <c r="AG223" i="1" s="1"/>
  <c r="G224" i="1"/>
  <c r="G225" i="1"/>
  <c r="H225" i="1" s="1"/>
  <c r="C225" i="1" s="1"/>
  <c r="AB223" i="1"/>
  <c r="AH223" i="1" s="1"/>
  <c r="Y223" i="1"/>
  <c r="AE223" i="1" s="1"/>
  <c r="X223" i="1"/>
  <c r="G232" i="1"/>
  <c r="C232" i="1" s="1"/>
  <c r="G233" i="1"/>
  <c r="G277" i="1"/>
  <c r="G281" i="1"/>
  <c r="G276" i="1"/>
  <c r="G278" i="1"/>
  <c r="H278" i="1" s="1"/>
  <c r="AB278" i="1"/>
  <c r="AH278" i="1" s="1"/>
  <c r="G279" i="1"/>
  <c r="C279" i="1" s="1"/>
  <c r="G282" i="1"/>
  <c r="X278" i="1"/>
  <c r="G280" i="1"/>
  <c r="H280" i="1" s="1"/>
  <c r="C280" i="1" s="1"/>
  <c r="G274" i="1"/>
  <c r="C274" i="1" s="1"/>
  <c r="AA278" i="1"/>
  <c r="AG278" i="1" s="1"/>
  <c r="C278" i="1"/>
  <c r="G275" i="1"/>
  <c r="Y278" i="1"/>
  <c r="AE278" i="1" s="1"/>
  <c r="Z278" i="1"/>
  <c r="AF278" i="1" s="1"/>
  <c r="G271" i="1"/>
  <c r="X265" i="1"/>
  <c r="AD265" i="1" s="1"/>
  <c r="G272" i="1"/>
  <c r="G273" i="1"/>
  <c r="G270" i="1"/>
  <c r="G269" i="1"/>
  <c r="G264" i="1"/>
  <c r="AB265" i="1"/>
  <c r="AH265" i="1" s="1"/>
  <c r="Z265" i="1"/>
  <c r="AF265" i="1" s="1"/>
  <c r="AA265" i="1"/>
  <c r="AG265" i="1" s="1"/>
  <c r="G267" i="1"/>
  <c r="H267" i="1" s="1"/>
  <c r="C267" i="1" s="1"/>
  <c r="G268" i="1"/>
  <c r="G266" i="1"/>
  <c r="G265" i="1"/>
  <c r="H265" i="1" s="1"/>
  <c r="G263" i="1"/>
  <c r="C263" i="1" s="1"/>
  <c r="Y265" i="1"/>
  <c r="AE265" i="1" s="1"/>
  <c r="C265" i="1"/>
  <c r="G261" i="1"/>
  <c r="C261" i="1" s="1"/>
  <c r="AB260" i="1"/>
  <c r="FU6" i="15" s="1"/>
  <c r="G262" i="1"/>
  <c r="X260" i="1"/>
  <c r="Z260" i="1"/>
  <c r="AF260" i="1" s="1"/>
  <c r="AA260" i="1"/>
  <c r="AG260" i="1" s="1"/>
  <c r="G260" i="1"/>
  <c r="H260" i="1" s="1"/>
  <c r="Y260" i="1"/>
  <c r="AE260" i="1" s="1"/>
  <c r="AB254" i="1"/>
  <c r="FP578" i="15" s="1"/>
  <c r="FQ578" i="15" s="1"/>
  <c r="Y257" i="1"/>
  <c r="AE257" i="1" s="1"/>
  <c r="G254" i="1"/>
  <c r="H254" i="1" s="1"/>
  <c r="Z254" i="1"/>
  <c r="AF254" i="1" s="1"/>
  <c r="C254" i="1"/>
  <c r="X254" i="1"/>
  <c r="AA254" i="1"/>
  <c r="AG254" i="1" s="1"/>
  <c r="Y254" i="1"/>
  <c r="AE254" i="1" s="1"/>
  <c r="G258" i="1"/>
  <c r="G257" i="1"/>
  <c r="H257" i="1" s="1"/>
  <c r="G259" i="1"/>
  <c r="H259" i="1" s="1"/>
  <c r="C259" i="1" s="1"/>
  <c r="AB257" i="1"/>
  <c r="AH257" i="1" s="1"/>
  <c r="AA257" i="1"/>
  <c r="AG257" i="1" s="1"/>
  <c r="X257" i="1"/>
  <c r="Z257" i="1"/>
  <c r="AF257" i="1" s="1"/>
  <c r="G256" i="1"/>
  <c r="G255" i="1"/>
  <c r="G253" i="1"/>
  <c r="H253" i="1" s="1"/>
  <c r="G252" i="1"/>
  <c r="C252" i="1" s="1"/>
  <c r="G251" i="1"/>
  <c r="H251" i="1" s="1"/>
  <c r="Y251" i="1"/>
  <c r="AE251" i="1" s="1"/>
  <c r="AA251" i="1"/>
  <c r="AG251" i="1" s="1"/>
  <c r="AB251" i="1"/>
  <c r="AH251" i="1" s="1"/>
  <c r="X251" i="1"/>
  <c r="Z251" i="1"/>
  <c r="AF251" i="1" s="1"/>
  <c r="G231" i="1"/>
  <c r="G201" i="1"/>
  <c r="G200" i="1"/>
  <c r="C200" i="1" s="1"/>
  <c r="G26" i="1"/>
  <c r="G287" i="1"/>
  <c r="H287" i="1" s="1"/>
  <c r="C287" i="1" s="1"/>
  <c r="G173" i="1"/>
  <c r="G168" i="1"/>
  <c r="H168" i="1" s="1"/>
  <c r="G169" i="1"/>
  <c r="G172" i="1"/>
  <c r="Z160" i="1"/>
  <c r="AF160" i="1" s="1"/>
  <c r="G153" i="1"/>
  <c r="H153" i="1" s="1"/>
  <c r="G170" i="1"/>
  <c r="AA160" i="1"/>
  <c r="AG160" i="1" s="1"/>
  <c r="G166" i="1"/>
  <c r="H166" i="1" s="1"/>
  <c r="G155" i="1"/>
  <c r="AB160" i="1"/>
  <c r="AH160" i="1" s="1"/>
  <c r="AC165" i="1"/>
  <c r="Y160" i="1"/>
  <c r="AE160" i="1" s="1"/>
  <c r="G171" i="1"/>
  <c r="H159" i="1"/>
  <c r="G163" i="1"/>
  <c r="C163" i="1" s="1"/>
  <c r="G162" i="1"/>
  <c r="H162" i="1" s="1"/>
  <c r="C162" i="1" s="1"/>
  <c r="C167" i="1"/>
  <c r="H165" i="1"/>
  <c r="AB166" i="1"/>
  <c r="AH166" i="1" s="1"/>
  <c r="X166" i="1"/>
  <c r="Y166" i="1"/>
  <c r="AE166" i="1" s="1"/>
  <c r="AA166" i="1"/>
  <c r="AG166" i="1" s="1"/>
  <c r="Z166" i="1"/>
  <c r="AF166" i="1" s="1"/>
  <c r="AI165" i="1"/>
  <c r="AC159" i="1"/>
  <c r="AI159" i="1"/>
  <c r="H161" i="1"/>
  <c r="G164" i="1"/>
  <c r="C161" i="1"/>
  <c r="X160" i="1"/>
  <c r="G160" i="1"/>
  <c r="H160" i="1" s="1"/>
  <c r="C160" i="1"/>
  <c r="AC152" i="1"/>
  <c r="AI152" i="1"/>
  <c r="C154" i="1"/>
  <c r="AA153" i="1"/>
  <c r="AG153" i="1" s="1"/>
  <c r="X153" i="1"/>
  <c r="AB153" i="1"/>
  <c r="AH153" i="1" s="1"/>
  <c r="Y153" i="1"/>
  <c r="AE153" i="1" s="1"/>
  <c r="Z153" i="1"/>
  <c r="AF153" i="1" s="1"/>
  <c r="G205" i="1"/>
  <c r="H205" i="1" s="1"/>
  <c r="C205" i="1" s="1"/>
  <c r="G213" i="1"/>
  <c r="H213" i="1" s="1"/>
  <c r="G250" i="1"/>
  <c r="H250" i="1" s="1"/>
  <c r="C250" i="1" s="1"/>
  <c r="G240" i="1"/>
  <c r="G239" i="1"/>
  <c r="C239" i="1" s="1"/>
  <c r="G242" i="1"/>
  <c r="H242" i="1" s="1"/>
  <c r="G243" i="1"/>
  <c r="C243" i="1" s="1"/>
  <c r="G236" i="1"/>
  <c r="H236" i="1" s="1"/>
  <c r="C236" i="1" s="1"/>
  <c r="G235" i="1"/>
  <c r="C235" i="1" s="1"/>
  <c r="C242" i="1"/>
  <c r="Y242" i="1"/>
  <c r="AE242" i="1" s="1"/>
  <c r="G209" i="1"/>
  <c r="C209" i="1" s="1"/>
  <c r="G234" i="1"/>
  <c r="H234" i="1" s="1"/>
  <c r="G202" i="1"/>
  <c r="H202" i="1" s="1"/>
  <c r="G244" i="1"/>
  <c r="H244" i="1" s="1"/>
  <c r="C244" i="1" s="1"/>
  <c r="AB242" i="1"/>
  <c r="AH242" i="1" s="1"/>
  <c r="G220" i="1"/>
  <c r="H220" i="1" s="1"/>
  <c r="C220" i="1" s="1"/>
  <c r="C203" i="1"/>
  <c r="Z242" i="1"/>
  <c r="AF242" i="1" s="1"/>
  <c r="X242" i="1"/>
  <c r="AA242" i="1"/>
  <c r="AG242" i="1" s="1"/>
  <c r="AB234" i="1"/>
  <c r="AH234" i="1" s="1"/>
  <c r="Z234" i="1"/>
  <c r="AF234" i="1" s="1"/>
  <c r="Y234" i="1"/>
  <c r="AE234" i="1" s="1"/>
  <c r="X234" i="1"/>
  <c r="AA234" i="1"/>
  <c r="AG234" i="1" s="1"/>
  <c r="AB218" i="1"/>
  <c r="AH218" i="1" s="1"/>
  <c r="Y203" i="1"/>
  <c r="AE203" i="1" s="1"/>
  <c r="G222" i="1"/>
  <c r="C213" i="1"/>
  <c r="Y208" i="1"/>
  <c r="AE208" i="1" s="1"/>
  <c r="G218" i="1"/>
  <c r="H218" i="1" s="1"/>
  <c r="Y213" i="1"/>
  <c r="AE213" i="1" s="1"/>
  <c r="G208" i="1"/>
  <c r="H208" i="1" s="1"/>
  <c r="G210" i="1"/>
  <c r="G221" i="1"/>
  <c r="G204" i="1"/>
  <c r="H204" i="1" s="1"/>
  <c r="G230" i="1"/>
  <c r="G219" i="1"/>
  <c r="G215" i="1"/>
  <c r="H215" i="1" s="1"/>
  <c r="C215" i="1" s="1"/>
  <c r="AB213" i="1"/>
  <c r="AH213" i="1" s="1"/>
  <c r="G216" i="1"/>
  <c r="Z208" i="1"/>
  <c r="AF208" i="1" s="1"/>
  <c r="G212" i="1"/>
  <c r="AD202" i="1"/>
  <c r="AI202" i="1" s="1"/>
  <c r="AC202" i="1"/>
  <c r="Y218" i="1"/>
  <c r="AE218" i="1" s="1"/>
  <c r="C218" i="1"/>
  <c r="Z203" i="1"/>
  <c r="AF203" i="1" s="1"/>
  <c r="G214" i="1"/>
  <c r="AA213" i="1"/>
  <c r="AG213" i="1" s="1"/>
  <c r="G211" i="1"/>
  <c r="C211" i="1" s="1"/>
  <c r="G217" i="1"/>
  <c r="X208" i="1"/>
  <c r="X218" i="1"/>
  <c r="AA218" i="1"/>
  <c r="AG218" i="1" s="1"/>
  <c r="G206" i="1"/>
  <c r="X203" i="1"/>
  <c r="AA203" i="1"/>
  <c r="AG203" i="1" s="1"/>
  <c r="X213" i="1"/>
  <c r="Z213" i="1"/>
  <c r="AF213" i="1" s="1"/>
  <c r="AA208" i="1"/>
  <c r="AG208" i="1" s="1"/>
  <c r="AB208" i="1"/>
  <c r="AH208" i="1" s="1"/>
  <c r="Z218" i="1"/>
  <c r="AF218" i="1" s="1"/>
  <c r="AB203" i="1"/>
  <c r="AH203" i="1" s="1"/>
  <c r="G207" i="1"/>
  <c r="Y197" i="1"/>
  <c r="AE197" i="1" s="1"/>
  <c r="Z197" i="1"/>
  <c r="AF197" i="1" s="1"/>
  <c r="AD196" i="1"/>
  <c r="AI196" i="1" s="1"/>
  <c r="AC196" i="1"/>
  <c r="AB197" i="1"/>
  <c r="AH197" i="1" s="1"/>
  <c r="H197" i="1"/>
  <c r="C198" i="1"/>
  <c r="AA191" i="1"/>
  <c r="AG191" i="1" s="1"/>
  <c r="H196" i="1"/>
  <c r="G199" i="1"/>
  <c r="AA197" i="1"/>
  <c r="AG197" i="1" s="1"/>
  <c r="C197" i="1"/>
  <c r="H198" i="1"/>
  <c r="X197" i="1"/>
  <c r="Y191" i="1"/>
  <c r="AE191" i="1" s="1"/>
  <c r="G194" i="1"/>
  <c r="H194" i="1" s="1"/>
  <c r="X191" i="1"/>
  <c r="AD191" i="1" s="1"/>
  <c r="H193" i="1"/>
  <c r="C193" i="1" s="1"/>
  <c r="G192" i="1"/>
  <c r="AC190" i="1"/>
  <c r="AD190" i="1"/>
  <c r="AI190" i="1" s="1"/>
  <c r="Z191" i="1"/>
  <c r="AF191" i="1" s="1"/>
  <c r="C191" i="1"/>
  <c r="G142" i="1"/>
  <c r="C142" i="1" s="1"/>
  <c r="G195" i="1"/>
  <c r="AB191" i="1"/>
  <c r="AH191" i="1" s="1"/>
  <c r="H10" i="1"/>
  <c r="G178" i="1"/>
  <c r="H178" i="1" s="1"/>
  <c r="C178" i="1" s="1"/>
  <c r="G179" i="1"/>
  <c r="G149" i="1"/>
  <c r="H149" i="1" s="1"/>
  <c r="C149" i="1" s="1"/>
  <c r="G143" i="1"/>
  <c r="G146" i="1"/>
  <c r="G151" i="1"/>
  <c r="X147" i="1"/>
  <c r="Z147" i="1"/>
  <c r="AF147" i="1" s="1"/>
  <c r="Y147" i="1"/>
  <c r="AE147" i="1" s="1"/>
  <c r="AB147" i="1"/>
  <c r="AH147" i="1" s="1"/>
  <c r="AA147" i="1"/>
  <c r="AG147" i="1" s="1"/>
  <c r="G148" i="1"/>
  <c r="C148" i="1" s="1"/>
  <c r="G147" i="1"/>
  <c r="H147" i="1" s="1"/>
  <c r="G150" i="1"/>
  <c r="G145" i="1"/>
  <c r="Y144" i="1"/>
  <c r="AE144" i="1" s="1"/>
  <c r="AB144" i="1"/>
  <c r="AH144" i="1" s="1"/>
  <c r="Z144" i="1"/>
  <c r="AF144" i="1" s="1"/>
  <c r="X144" i="1"/>
  <c r="G139" i="1"/>
  <c r="H139" i="1" s="1"/>
  <c r="H146" i="1"/>
  <c r="C146" i="1" s="1"/>
  <c r="AA144" i="1"/>
  <c r="AG144" i="1" s="1"/>
  <c r="G144" i="1"/>
  <c r="H144" i="1" s="1"/>
  <c r="G141" i="1"/>
  <c r="AC138" i="1"/>
  <c r="AD138" i="1"/>
  <c r="AI138" i="1" s="1"/>
  <c r="Y139" i="1"/>
  <c r="AE139" i="1" s="1"/>
  <c r="AB139" i="1"/>
  <c r="AH139" i="1" s="1"/>
  <c r="X139" i="1"/>
  <c r="AA139" i="1"/>
  <c r="AG139" i="1" s="1"/>
  <c r="Z139" i="1"/>
  <c r="AF139" i="1" s="1"/>
  <c r="G140" i="1"/>
  <c r="C140" i="1" s="1"/>
  <c r="G111" i="1"/>
  <c r="G95" i="1"/>
  <c r="H95" i="1" s="1"/>
  <c r="C95" i="1" s="1"/>
  <c r="G94" i="1"/>
  <c r="H94" i="1" s="1"/>
  <c r="Y93" i="1"/>
  <c r="AE93" i="1" s="1"/>
  <c r="G109" i="1"/>
  <c r="H109" i="1" s="1"/>
  <c r="C109" i="1" s="1"/>
  <c r="G92" i="1"/>
  <c r="AA93" i="1"/>
  <c r="AG93" i="1" s="1"/>
  <c r="X93" i="1"/>
  <c r="AD93" i="1" s="1"/>
  <c r="G93" i="1"/>
  <c r="H93" i="1" s="1"/>
  <c r="AB93" i="1"/>
  <c r="AH93" i="1" s="1"/>
  <c r="Z93" i="1"/>
  <c r="AF93" i="1" s="1"/>
  <c r="H227" i="1"/>
  <c r="G91" i="1"/>
  <c r="G17" i="1"/>
  <c r="G24" i="1"/>
  <c r="H24" i="1" s="1"/>
  <c r="C24" i="1" s="1"/>
  <c r="G238" i="1"/>
  <c r="Y248" i="1"/>
  <c r="AE248" i="1" s="1"/>
  <c r="G237" i="1"/>
  <c r="AB248" i="1"/>
  <c r="AH248" i="1" s="1"/>
  <c r="C249" i="1"/>
  <c r="X248" i="1"/>
  <c r="AD248" i="1" s="1"/>
  <c r="G293" i="1"/>
  <c r="Y228" i="1"/>
  <c r="AE228" i="1" s="1"/>
  <c r="G296" i="1"/>
  <c r="C296" i="1" s="1"/>
  <c r="G290" i="1"/>
  <c r="H229" i="1"/>
  <c r="AA248" i="1"/>
  <c r="AG248" i="1" s="1"/>
  <c r="Y285" i="1"/>
  <c r="AE285" i="1" s="1"/>
  <c r="G289" i="1"/>
  <c r="AD227" i="1"/>
  <c r="AI227" i="1" s="1"/>
  <c r="AC227" i="1"/>
  <c r="G291" i="1"/>
  <c r="AB228" i="1"/>
  <c r="AH228" i="1" s="1"/>
  <c r="G245" i="1"/>
  <c r="AD284" i="1"/>
  <c r="AI284" i="1" s="1"/>
  <c r="AC284" i="1"/>
  <c r="GA6" i="15" s="1"/>
  <c r="X285" i="1"/>
  <c r="G285" i="1"/>
  <c r="H285" i="1" s="1"/>
  <c r="G295" i="1"/>
  <c r="AB285" i="1"/>
  <c r="AH285" i="1" s="1"/>
  <c r="C285" i="1"/>
  <c r="H247" i="1"/>
  <c r="G241" i="1"/>
  <c r="G286" i="1"/>
  <c r="G288" i="1"/>
  <c r="C288" i="1" s="1"/>
  <c r="Z248" i="1"/>
  <c r="AF248" i="1" s="1"/>
  <c r="H249" i="1"/>
  <c r="G248" i="1"/>
  <c r="H248" i="1" s="1"/>
  <c r="X228" i="1"/>
  <c r="Z228" i="1"/>
  <c r="AF228" i="1" s="1"/>
  <c r="AA285" i="1"/>
  <c r="AG285" i="1" s="1"/>
  <c r="G294" i="1"/>
  <c r="AA228" i="1"/>
  <c r="AG228" i="1" s="1"/>
  <c r="G228" i="1"/>
  <c r="H228" i="1" s="1"/>
  <c r="H246" i="1"/>
  <c r="AD247" i="1"/>
  <c r="AI247" i="1" s="1"/>
  <c r="AC247" i="1"/>
  <c r="G292" i="1"/>
  <c r="G297" i="1"/>
  <c r="Z285" i="1"/>
  <c r="AF285" i="1" s="1"/>
  <c r="AA107" i="1"/>
  <c r="Y107" i="1"/>
  <c r="X107" i="1"/>
  <c r="AB107" i="1"/>
  <c r="Z107" i="1"/>
  <c r="G604" i="1"/>
  <c r="G399" i="1"/>
  <c r="G350" i="1"/>
  <c r="G454" i="1"/>
  <c r="G528" i="1"/>
  <c r="G449" i="1"/>
  <c r="G496" i="1"/>
  <c r="AE509" i="1"/>
  <c r="AH509" i="1"/>
  <c r="AF509" i="1"/>
  <c r="AG509" i="1"/>
  <c r="G411" i="1"/>
  <c r="G385" i="1"/>
  <c r="G11" i="1"/>
  <c r="H11" i="1" s="1"/>
  <c r="G408" i="1"/>
  <c r="G594" i="1"/>
  <c r="C554" i="1"/>
  <c r="AI335" i="1"/>
  <c r="G336" i="1"/>
  <c r="G463" i="1"/>
  <c r="G522" i="1"/>
  <c r="G352" i="1"/>
  <c r="G448" i="1"/>
  <c r="G367" i="1"/>
  <c r="G397" i="1"/>
  <c r="G393" i="1"/>
  <c r="G503" i="1"/>
  <c r="G386" i="1"/>
  <c r="G554" i="1"/>
  <c r="G360" i="1"/>
  <c r="H360" i="1" s="1"/>
  <c r="G405" i="1"/>
  <c r="G335" i="1"/>
  <c r="C11" i="1"/>
  <c r="G337" i="1"/>
  <c r="G466" i="1"/>
  <c r="G555" i="1"/>
  <c r="G388" i="1"/>
  <c r="G339" i="1"/>
  <c r="G495" i="1"/>
  <c r="AH338" i="1"/>
  <c r="G410" i="1"/>
  <c r="H466" i="1"/>
  <c r="G446" i="1"/>
  <c r="G368" i="1"/>
  <c r="G403" i="1"/>
  <c r="AG471" i="1"/>
  <c r="G504" i="1"/>
  <c r="G603" i="1"/>
  <c r="H603" i="1" s="1"/>
  <c r="AG504" i="1"/>
  <c r="G331" i="1"/>
  <c r="G440" i="1"/>
  <c r="AH434" i="1"/>
  <c r="AE434" i="1"/>
  <c r="AG434" i="1"/>
  <c r="AF434" i="1"/>
  <c r="G606" i="1"/>
  <c r="AE606" i="1" s="1"/>
  <c r="AH543" i="1"/>
  <c r="AE543" i="1"/>
  <c r="AF543" i="1"/>
  <c r="AG543" i="1"/>
  <c r="AD543" i="1"/>
  <c r="C555" i="1"/>
  <c r="AH549" i="1"/>
  <c r="AG549" i="1"/>
  <c r="AD549" i="1"/>
  <c r="AE549" i="1"/>
  <c r="AF549" i="1"/>
  <c r="G369" i="1"/>
  <c r="C369" i="1" s="1"/>
  <c r="G356" i="1"/>
  <c r="H356" i="1" s="1"/>
  <c r="C356" i="1" s="1"/>
  <c r="G452" i="1"/>
  <c r="G518" i="1"/>
  <c r="C518" i="1" s="1"/>
  <c r="G447" i="1"/>
  <c r="G418" i="1"/>
  <c r="G531" i="1"/>
  <c r="G539" i="1"/>
  <c r="G445" i="1"/>
  <c r="H445" i="1" s="1"/>
  <c r="AE338" i="1"/>
  <c r="AD338" i="1"/>
  <c r="AF471" i="1"/>
  <c r="AE504" i="1"/>
  <c r="G67" i="1"/>
  <c r="G327" i="1"/>
  <c r="H604" i="1"/>
  <c r="G432" i="1"/>
  <c r="G540" i="1"/>
  <c r="G563" i="1"/>
  <c r="H563" i="1" s="1"/>
  <c r="G435" i="1"/>
  <c r="AE366" i="1"/>
  <c r="AD366" i="1"/>
  <c r="AH366" i="1"/>
  <c r="AG366" i="1"/>
  <c r="AF366" i="1"/>
  <c r="G553" i="1"/>
  <c r="AH553" i="1" s="1"/>
  <c r="G392" i="1"/>
  <c r="G596" i="1"/>
  <c r="AG422" i="1"/>
  <c r="AF422" i="1"/>
  <c r="AE422" i="1"/>
  <c r="AH422" i="1"/>
  <c r="AF338" i="1"/>
  <c r="AE471" i="1"/>
  <c r="AH504" i="1"/>
  <c r="AD367" i="1"/>
  <c r="AG367" i="1"/>
  <c r="AF367" i="1"/>
  <c r="AE367" i="1"/>
  <c r="G607" i="1"/>
  <c r="H607" i="1" s="1"/>
  <c r="AG604" i="1"/>
  <c r="AE604" i="1"/>
  <c r="AH604" i="1"/>
  <c r="AF604" i="1"/>
  <c r="G456" i="1"/>
  <c r="C456" i="1" s="1"/>
  <c r="G387" i="1"/>
  <c r="G361" i="1"/>
  <c r="H361" i="1" s="1"/>
  <c r="C361" i="1" s="1"/>
  <c r="AG338" i="1"/>
  <c r="AH471" i="1"/>
  <c r="AF504" i="1"/>
  <c r="AF603" i="1"/>
  <c r="AD563" i="1"/>
  <c r="AE523" i="1"/>
  <c r="AH523" i="1"/>
  <c r="AD523" i="1"/>
  <c r="AG523" i="1"/>
  <c r="AF523" i="1"/>
  <c r="G334" i="1"/>
  <c r="AF368" i="1"/>
  <c r="AH368" i="1"/>
  <c r="AE368" i="1"/>
  <c r="AG368" i="1"/>
  <c r="G416" i="1"/>
  <c r="G464" i="1"/>
  <c r="G583" i="1"/>
  <c r="H583" i="1" s="1"/>
  <c r="C583" i="1" s="1"/>
  <c r="C370" i="1"/>
  <c r="C563" i="1"/>
  <c r="G584" i="1"/>
  <c r="G371" i="1"/>
  <c r="AG607" i="1"/>
  <c r="AE607" i="1"/>
  <c r="AH607" i="1"/>
  <c r="AF607" i="1"/>
  <c r="AE555" i="1"/>
  <c r="AF555" i="1"/>
  <c r="AH555" i="1"/>
  <c r="AD555" i="1"/>
  <c r="AG555" i="1"/>
  <c r="G608" i="1"/>
  <c r="AE608" i="1" s="1"/>
  <c r="AH608" i="1"/>
  <c r="AG608" i="1"/>
  <c r="G407" i="1"/>
  <c r="G506" i="1"/>
  <c r="H506" i="1" s="1"/>
  <c r="G533" i="1"/>
  <c r="G415" i="1"/>
  <c r="C415" i="1" s="1"/>
  <c r="G530" i="1"/>
  <c r="AH530" i="1" s="1"/>
  <c r="G595" i="1"/>
  <c r="AH595" i="1"/>
  <c r="AF595" i="1"/>
  <c r="AE595" i="1"/>
  <c r="AG595" i="1"/>
  <c r="G419" i="1"/>
  <c r="G532" i="1"/>
  <c r="AE532" i="1" s="1"/>
  <c r="H554" i="1"/>
  <c r="AG554" i="1"/>
  <c r="AH554" i="1"/>
  <c r="AE554" i="1"/>
  <c r="AF554" i="1"/>
  <c r="AF533" i="1"/>
  <c r="G80" i="1"/>
  <c r="G104" i="1"/>
  <c r="G96" i="1"/>
  <c r="G125" i="1"/>
  <c r="AF300" i="1"/>
  <c r="C352" i="1"/>
  <c r="G480" i="1"/>
  <c r="C480" i="1" s="1"/>
  <c r="G381" i="1"/>
  <c r="G374" i="1"/>
  <c r="G383" i="1"/>
  <c r="G377" i="1"/>
  <c r="C377" i="1" s="1"/>
  <c r="G382" i="1"/>
  <c r="AH367" i="1"/>
  <c r="G431" i="1"/>
  <c r="G434" i="1"/>
  <c r="C466" i="1"/>
  <c r="G498" i="1"/>
  <c r="G520" i="1"/>
  <c r="G499" i="1"/>
  <c r="G543" i="1"/>
  <c r="G586" i="1"/>
  <c r="G406" i="1"/>
  <c r="G550" i="1"/>
  <c r="G473" i="1"/>
  <c r="G401" i="1"/>
  <c r="G342" i="1"/>
  <c r="G341" i="1"/>
  <c r="G345" i="1"/>
  <c r="G340" i="1"/>
  <c r="G420" i="1"/>
  <c r="G375" i="1"/>
  <c r="G588" i="1"/>
  <c r="G442" i="1"/>
  <c r="G474" i="1"/>
  <c r="H474" i="1" s="1"/>
  <c r="G611" i="1"/>
  <c r="C506" i="1"/>
  <c r="G527" i="1"/>
  <c r="G398" i="1"/>
  <c r="G478" i="1"/>
  <c r="G344" i="1"/>
  <c r="G59" i="1"/>
  <c r="G56" i="1"/>
  <c r="G54" i="1"/>
  <c r="G124" i="1"/>
  <c r="G576" i="1"/>
  <c r="G567" i="1"/>
  <c r="G562" i="1"/>
  <c r="G564" i="1"/>
  <c r="G610" i="1"/>
  <c r="H610" i="1" s="1"/>
  <c r="G370" i="1"/>
  <c r="H370" i="1" s="1"/>
  <c r="C371" i="1"/>
  <c r="G467" i="1"/>
  <c r="C607" i="1"/>
  <c r="G366" i="1"/>
  <c r="G582" i="1"/>
  <c r="G489" i="1"/>
  <c r="G609" i="1"/>
  <c r="G545" i="1"/>
  <c r="G347" i="1"/>
  <c r="G404" i="1"/>
  <c r="G488" i="1"/>
  <c r="G500" i="1"/>
  <c r="C500" i="1" s="1"/>
  <c r="G548" i="1"/>
  <c r="C548" i="1" s="1"/>
  <c r="G570" i="1"/>
  <c r="C570" i="1" s="1"/>
  <c r="G552" i="1"/>
  <c r="G358" i="1"/>
  <c r="G355" i="1"/>
  <c r="H355" i="1" s="1"/>
  <c r="G472" i="1"/>
  <c r="G572" i="1"/>
  <c r="G85" i="1"/>
  <c r="G519" i="1"/>
  <c r="G47" i="1"/>
  <c r="G309" i="1"/>
  <c r="G68" i="1"/>
  <c r="G314" i="1"/>
  <c r="G181" i="1"/>
  <c r="G332" i="1"/>
  <c r="G330" i="1"/>
  <c r="G384" i="1"/>
  <c r="G400" i="1"/>
  <c r="C604" i="1"/>
  <c r="G402" i="1"/>
  <c r="H606" i="1"/>
  <c r="C606" i="1"/>
  <c r="C522" i="1"/>
  <c r="G475" i="1"/>
  <c r="G457" i="1"/>
  <c r="G494" i="1"/>
  <c r="H495" i="1" s="1"/>
  <c r="C495" i="1" s="1"/>
  <c r="G509" i="1"/>
  <c r="G354" i="1"/>
  <c r="H354" i="1" s="1"/>
  <c r="G372" i="1"/>
  <c r="G378" i="1"/>
  <c r="H378" i="1" s="1"/>
  <c r="G526" i="1"/>
  <c r="H526" i="1" s="1"/>
  <c r="G547" i="1"/>
  <c r="G591" i="1"/>
  <c r="G612" i="1"/>
  <c r="G438" i="1"/>
  <c r="G376" i="1"/>
  <c r="C376" i="1" s="1"/>
  <c r="G424" i="1"/>
  <c r="G592" i="1"/>
  <c r="C592" i="1" s="1"/>
  <c r="G542" i="1"/>
  <c r="G523" i="1"/>
  <c r="C608" i="1"/>
  <c r="G585" i="1"/>
  <c r="G549" i="1"/>
  <c r="G544" i="1"/>
  <c r="G541" i="1"/>
  <c r="G453" i="1"/>
  <c r="AG449" i="1" s="1"/>
  <c r="G433" i="1"/>
  <c r="G338" i="1"/>
  <c r="G436" i="1"/>
  <c r="G468" i="1"/>
  <c r="G484" i="1"/>
  <c r="G439" i="1"/>
  <c r="G568" i="1"/>
  <c r="G590" i="1"/>
  <c r="G379" i="1"/>
  <c r="H379" i="1" s="1"/>
  <c r="G443" i="1"/>
  <c r="H475" i="1"/>
  <c r="G351" i="1"/>
  <c r="C351" i="1" s="1"/>
  <c r="G486" i="1"/>
  <c r="G551" i="1"/>
  <c r="G373" i="1"/>
  <c r="H373" i="1" s="1"/>
  <c r="C373" i="1" s="1"/>
  <c r="G333" i="1"/>
  <c r="G479" i="1"/>
  <c r="G430" i="1"/>
  <c r="G561" i="1"/>
  <c r="C561" i="1" s="1"/>
  <c r="G559" i="1"/>
  <c r="H559" i="1" s="1"/>
  <c r="G578" i="1"/>
  <c r="G557" i="1"/>
  <c r="C557" i="1" s="1"/>
  <c r="G560" i="1"/>
  <c r="G558" i="1"/>
  <c r="G471" i="1"/>
  <c r="G524" i="1"/>
  <c r="G546" i="1"/>
  <c r="C474" i="1"/>
  <c r="G469" i="1"/>
  <c r="G529" i="1"/>
  <c r="H529" i="1" s="1"/>
  <c r="G359" i="1"/>
  <c r="G444" i="1"/>
  <c r="G427" i="1"/>
  <c r="G414" i="1"/>
  <c r="G508" i="1"/>
  <c r="C508" i="1" s="1"/>
  <c r="H572" i="1"/>
  <c r="G613" i="1"/>
  <c r="H613" i="1" s="1"/>
  <c r="G413" i="1"/>
  <c r="G517" i="1"/>
  <c r="G465" i="1"/>
  <c r="G362" i="1"/>
  <c r="H555" i="1"/>
  <c r="G605" i="1"/>
  <c r="G516" i="1"/>
  <c r="G515" i="1"/>
  <c r="C515" i="1" s="1"/>
  <c r="G537" i="1"/>
  <c r="G589" i="1"/>
  <c r="G501" i="1"/>
  <c r="G485" i="1"/>
  <c r="G593" i="1"/>
  <c r="C355" i="1"/>
  <c r="G534" i="1"/>
  <c r="C572" i="1"/>
  <c r="AC594" i="1"/>
  <c r="AD594" i="1"/>
  <c r="G343" i="1"/>
  <c r="AG343" i="1" s="1"/>
  <c r="G510" i="1"/>
  <c r="G511" i="1"/>
  <c r="G575" i="1"/>
  <c r="G599" i="1"/>
  <c r="G597" i="1"/>
  <c r="G600" i="1"/>
  <c r="G602" i="1"/>
  <c r="G598" i="1"/>
  <c r="G573" i="1"/>
  <c r="G481" i="1"/>
  <c r="C481" i="1" s="1"/>
  <c r="G357" i="1"/>
  <c r="G417" i="1"/>
  <c r="G346" i="1"/>
  <c r="G363" i="1"/>
  <c r="G423" i="1"/>
  <c r="G395" i="1"/>
  <c r="G571" i="1"/>
  <c r="G441" i="1"/>
  <c r="G525" i="1"/>
  <c r="G429" i="1"/>
  <c r="C339" i="1"/>
  <c r="G497" i="1"/>
  <c r="G462" i="1"/>
  <c r="G491" i="1"/>
  <c r="G487" i="1"/>
  <c r="AG487" i="1" s="1"/>
  <c r="G458" i="1"/>
  <c r="G482" i="1"/>
  <c r="G574" i="1"/>
  <c r="G394" i="1"/>
  <c r="G483" i="1"/>
  <c r="G512" i="1"/>
  <c r="H512" i="1" s="1"/>
  <c r="C512" i="1"/>
  <c r="G569" i="1"/>
  <c r="C569" i="1" s="1"/>
  <c r="G521" i="1"/>
  <c r="G349" i="1"/>
  <c r="G326" i="1"/>
  <c r="G364" i="1"/>
  <c r="G396" i="1"/>
  <c r="G428" i="1"/>
  <c r="G460" i="1"/>
  <c r="G492" i="1"/>
  <c r="H492" i="1" s="1"/>
  <c r="G353" i="1"/>
  <c r="G391" i="1"/>
  <c r="G455" i="1"/>
  <c r="G535" i="1"/>
  <c r="G490" i="1"/>
  <c r="G579" i="1"/>
  <c r="G538" i="1"/>
  <c r="G581" i="1"/>
  <c r="G450" i="1"/>
  <c r="G451" i="1"/>
  <c r="G390" i="1"/>
  <c r="G470" i="1"/>
  <c r="G566" i="1"/>
  <c r="G507" i="1"/>
  <c r="G389" i="1"/>
  <c r="G365" i="1"/>
  <c r="C465" i="1"/>
  <c r="G577" i="1"/>
  <c r="G348" i="1"/>
  <c r="G412" i="1"/>
  <c r="G476" i="1"/>
  <c r="G556" i="1"/>
  <c r="G459" i="1"/>
  <c r="G425" i="1"/>
  <c r="G380" i="1"/>
  <c r="G514" i="1"/>
  <c r="G426" i="1"/>
  <c r="G536" i="1"/>
  <c r="C559" i="1"/>
  <c r="G580" i="1"/>
  <c r="G422" i="1"/>
  <c r="G502" i="1"/>
  <c r="G614" i="1"/>
  <c r="G565" i="1"/>
  <c r="H565" i="1" s="1"/>
  <c r="G505" i="1"/>
  <c r="G513" i="1"/>
  <c r="G477" i="1"/>
  <c r="G409" i="1"/>
  <c r="G587" i="1"/>
  <c r="C565" i="1"/>
  <c r="G461" i="1"/>
  <c r="G421" i="1"/>
  <c r="G180" i="1"/>
  <c r="C597" i="1"/>
  <c r="G601" i="1"/>
  <c r="G493" i="1"/>
  <c r="H493" i="1" s="1"/>
  <c r="G437" i="1"/>
  <c r="G25" i="1"/>
  <c r="G328" i="1"/>
  <c r="G329" i="1"/>
  <c r="AE298" i="1"/>
  <c r="AD298" i="1"/>
  <c r="AG298" i="1"/>
  <c r="AF298" i="1"/>
  <c r="AH298" i="1"/>
  <c r="G61" i="1"/>
  <c r="AE300" i="1"/>
  <c r="AH300" i="1"/>
  <c r="AD300" i="1"/>
  <c r="AG300" i="1"/>
  <c r="G49" i="1"/>
  <c r="G13" i="1"/>
  <c r="H13" i="1" s="1"/>
  <c r="G182" i="1"/>
  <c r="G86" i="1"/>
  <c r="G83" i="1"/>
  <c r="G175" i="1"/>
  <c r="G302" i="1"/>
  <c r="G75" i="1"/>
  <c r="G30" i="1"/>
  <c r="G110" i="1"/>
  <c r="G84" i="1"/>
  <c r="G107" i="1"/>
  <c r="G12" i="1"/>
  <c r="G133" i="1"/>
  <c r="G131" i="1"/>
  <c r="G45" i="1"/>
  <c r="G305" i="1"/>
  <c r="G176" i="1"/>
  <c r="G112" i="1"/>
  <c r="G322" i="1"/>
  <c r="G311" i="1"/>
  <c r="C311" i="1" s="1"/>
  <c r="G81" i="1"/>
  <c r="G177" i="1"/>
  <c r="G46" i="1"/>
  <c r="G183" i="1"/>
  <c r="G312" i="1"/>
  <c r="G50" i="1"/>
  <c r="G72" i="1"/>
  <c r="G304" i="1"/>
  <c r="AF304" i="1" s="1"/>
  <c r="G69" i="1"/>
  <c r="G89" i="1"/>
  <c r="G74" i="1"/>
  <c r="G70" i="1"/>
  <c r="G298" i="1"/>
  <c r="G317" i="1"/>
  <c r="G88" i="1"/>
  <c r="G63" i="1"/>
  <c r="G135" i="1"/>
  <c r="G174" i="1"/>
  <c r="G310" i="1"/>
  <c r="G77" i="1"/>
  <c r="G37" i="1"/>
  <c r="G29" i="1"/>
  <c r="G105" i="1"/>
  <c r="G99" i="1"/>
  <c r="G184" i="1"/>
  <c r="G187" i="1"/>
  <c r="G186" i="1"/>
  <c r="G188" i="1"/>
  <c r="G189" i="1"/>
  <c r="G121" i="1"/>
  <c r="G98" i="1"/>
  <c r="G102" i="1"/>
  <c r="G82" i="1"/>
  <c r="G119" i="1"/>
  <c r="G66" i="1"/>
  <c r="G303" i="1"/>
  <c r="G115" i="1"/>
  <c r="G117" i="1"/>
  <c r="G43" i="1"/>
  <c r="G321" i="1"/>
  <c r="G55" i="1"/>
  <c r="G22" i="1"/>
  <c r="G319" i="1"/>
  <c r="G123" i="1"/>
  <c r="G306" i="1"/>
  <c r="G130" i="1"/>
  <c r="G128" i="1"/>
  <c r="G300" i="1"/>
  <c r="G52" i="1"/>
  <c r="G101" i="1"/>
  <c r="G78" i="1"/>
  <c r="G71" i="1"/>
  <c r="G307" i="1"/>
  <c r="G137" i="1"/>
  <c r="G14" i="1"/>
  <c r="G19" i="1"/>
  <c r="G126" i="1"/>
  <c r="G103" i="1"/>
  <c r="G23" i="1"/>
  <c r="G320" i="1"/>
  <c r="G324" i="1"/>
  <c r="G60" i="1"/>
  <c r="G323" i="1"/>
  <c r="G120" i="1"/>
  <c r="G313" i="1"/>
  <c r="G122" i="1"/>
  <c r="G51" i="1"/>
  <c r="G127" i="1"/>
  <c r="G299" i="1"/>
  <c r="G79" i="1"/>
  <c r="G32" i="1"/>
  <c r="G118" i="1"/>
  <c r="G62" i="1"/>
  <c r="G318" i="1"/>
  <c r="G15" i="1"/>
  <c r="G132" i="1"/>
  <c r="G325" i="1"/>
  <c r="G134" i="1"/>
  <c r="G21" i="1"/>
  <c r="G316" i="1"/>
  <c r="G57" i="1"/>
  <c r="G65" i="1"/>
  <c r="G41" i="1"/>
  <c r="G27" i="1"/>
  <c r="G106" i="1"/>
  <c r="G58" i="1"/>
  <c r="G53" i="1"/>
  <c r="G73" i="1"/>
  <c r="G18" i="1"/>
  <c r="G76" i="1"/>
  <c r="G315" i="1"/>
  <c r="G116" i="1"/>
  <c r="G64" i="1"/>
  <c r="G308" i="1"/>
  <c r="G35" i="1"/>
  <c r="G38" i="1"/>
  <c r="G33" i="1"/>
  <c r="G36" i="1"/>
  <c r="G185" i="1"/>
  <c r="G97" i="1"/>
  <c r="G113" i="1"/>
  <c r="G39" i="1"/>
  <c r="G301" i="1"/>
  <c r="G136" i="1"/>
  <c r="G28" i="1"/>
  <c r="G40" i="1"/>
  <c r="G114" i="1"/>
  <c r="G44" i="1"/>
  <c r="G87" i="1"/>
  <c r="G42" i="1"/>
  <c r="G34" i="1"/>
  <c r="G31" i="1"/>
  <c r="G100" i="1"/>
  <c r="G16" i="1"/>
  <c r="G108" i="1"/>
  <c r="G129" i="1"/>
  <c r="G90" i="1"/>
  <c r="G48" i="1"/>
  <c r="G20" i="1"/>
  <c r="H222" i="1" l="1"/>
  <c r="C222" i="1" s="1"/>
  <c r="Y157" i="1"/>
  <c r="AE157" i="1" s="1"/>
  <c r="AD156" i="1"/>
  <c r="AI156" i="1" s="1"/>
  <c r="AC156" i="1"/>
  <c r="DJ160" i="15" s="1"/>
  <c r="AB157" i="1"/>
  <c r="AH157" i="1" s="1"/>
  <c r="X157" i="1"/>
  <c r="AD157" i="1" s="1"/>
  <c r="Z224" i="1"/>
  <c r="AF224" i="1" s="1"/>
  <c r="C157" i="1"/>
  <c r="AA157" i="1"/>
  <c r="AG157" i="1" s="1"/>
  <c r="H157" i="1"/>
  <c r="X224" i="1"/>
  <c r="AD224" i="1" s="1"/>
  <c r="H224" i="1"/>
  <c r="AA224" i="1"/>
  <c r="AG224" i="1" s="1"/>
  <c r="AB224" i="1"/>
  <c r="AH224" i="1" s="1"/>
  <c r="Y224" i="1"/>
  <c r="AE224" i="1" s="1"/>
  <c r="C224" i="1"/>
  <c r="AD223" i="1"/>
  <c r="AI223" i="1" s="1"/>
  <c r="AC223" i="1"/>
  <c r="FD6" i="15" s="1"/>
  <c r="H232" i="1"/>
  <c r="Z232" i="1"/>
  <c r="AF232" i="1" s="1"/>
  <c r="X232" i="1"/>
  <c r="AB232" i="1"/>
  <c r="AH232" i="1" s="1"/>
  <c r="Y232" i="1"/>
  <c r="AE232" i="1" s="1"/>
  <c r="AA232" i="1"/>
  <c r="AG232" i="1" s="1"/>
  <c r="H233" i="1"/>
  <c r="C233" i="1" s="1"/>
  <c r="H201" i="1"/>
  <c r="C201" i="1" s="1"/>
  <c r="H279" i="1"/>
  <c r="AH260" i="1"/>
  <c r="H277" i="1"/>
  <c r="C277" i="1" s="1"/>
  <c r="H276" i="1"/>
  <c r="C276" i="1" s="1"/>
  <c r="Y279" i="1"/>
  <c r="AE279" i="1" s="1"/>
  <c r="H282" i="1"/>
  <c r="C282" i="1" s="1"/>
  <c r="X279" i="1"/>
  <c r="AD279" i="1" s="1"/>
  <c r="AA279" i="1"/>
  <c r="AG279" i="1" s="1"/>
  <c r="H281" i="1"/>
  <c r="C281" i="1" s="1"/>
  <c r="AD278" i="1"/>
  <c r="AI278" i="1" s="1"/>
  <c r="AC278" i="1"/>
  <c r="AB268" i="1"/>
  <c r="AH268" i="1" s="1"/>
  <c r="AB272" i="1"/>
  <c r="AH272" i="1" s="1"/>
  <c r="AB279" i="1"/>
  <c r="AH279" i="1" s="1"/>
  <c r="X270" i="1"/>
  <c r="AD270" i="1" s="1"/>
  <c r="Z279" i="1"/>
  <c r="AF279" i="1" s="1"/>
  <c r="H271" i="1"/>
  <c r="C271" i="1" s="1"/>
  <c r="AA274" i="1"/>
  <c r="AG274" i="1" s="1"/>
  <c r="H275" i="1"/>
  <c r="C275" i="1" s="1"/>
  <c r="H273" i="1"/>
  <c r="C273" i="1" s="1"/>
  <c r="X274" i="1"/>
  <c r="H274" i="1"/>
  <c r="Z274" i="1"/>
  <c r="AF274" i="1" s="1"/>
  <c r="Y274" i="1"/>
  <c r="AE274" i="1" s="1"/>
  <c r="AB274" i="1"/>
  <c r="AH274" i="1" s="1"/>
  <c r="H261" i="1"/>
  <c r="H270" i="1"/>
  <c r="Y272" i="1"/>
  <c r="AE272" i="1" s="1"/>
  <c r="C272" i="1"/>
  <c r="X272" i="1"/>
  <c r="X268" i="1"/>
  <c r="AD268" i="1" s="1"/>
  <c r="Z272" i="1"/>
  <c r="AF272" i="1" s="1"/>
  <c r="C270" i="1"/>
  <c r="Y270" i="1"/>
  <c r="AE270" i="1" s="1"/>
  <c r="AA270" i="1"/>
  <c r="AG270" i="1" s="1"/>
  <c r="AB270" i="1"/>
  <c r="AH270" i="1" s="1"/>
  <c r="Z270" i="1"/>
  <c r="AF270" i="1" s="1"/>
  <c r="AA272" i="1"/>
  <c r="AG272" i="1" s="1"/>
  <c r="H272" i="1"/>
  <c r="Y263" i="1"/>
  <c r="AE263" i="1" s="1"/>
  <c r="X266" i="1"/>
  <c r="AB266" i="1"/>
  <c r="AH266" i="1" s="1"/>
  <c r="AA266" i="1"/>
  <c r="AG266" i="1" s="1"/>
  <c r="Y266" i="1"/>
  <c r="AE266" i="1" s="1"/>
  <c r="H266" i="1"/>
  <c r="AC265" i="1"/>
  <c r="Z268" i="1"/>
  <c r="AF268" i="1" s="1"/>
  <c r="AA268" i="1"/>
  <c r="AG268" i="1" s="1"/>
  <c r="Y268" i="1"/>
  <c r="AE268" i="1" s="1"/>
  <c r="Z266" i="1"/>
  <c r="AF266" i="1" s="1"/>
  <c r="AI265" i="1"/>
  <c r="H269" i="1"/>
  <c r="C269" i="1" s="1"/>
  <c r="C266" i="1"/>
  <c r="C268" i="1"/>
  <c r="H268" i="1"/>
  <c r="AA263" i="1"/>
  <c r="AG263" i="1" s="1"/>
  <c r="AB263" i="1"/>
  <c r="AH263" i="1" s="1"/>
  <c r="H264" i="1"/>
  <c r="C264" i="1" s="1"/>
  <c r="Z263" i="1"/>
  <c r="AF263" i="1" s="1"/>
  <c r="X263" i="1"/>
  <c r="H263" i="1"/>
  <c r="AB261" i="1"/>
  <c r="AH261" i="1" s="1"/>
  <c r="Y261" i="1"/>
  <c r="AE261" i="1" s="1"/>
  <c r="AA261" i="1"/>
  <c r="AG261" i="1" s="1"/>
  <c r="FP42" i="15"/>
  <c r="FQ42" i="15" s="1"/>
  <c r="AC260" i="1"/>
  <c r="AD260" i="1"/>
  <c r="X261" i="1"/>
  <c r="Z261" i="1"/>
  <c r="AF261" i="1" s="1"/>
  <c r="H262" i="1"/>
  <c r="C262" i="1" s="1"/>
  <c r="FP232" i="15"/>
  <c r="FQ232" i="15" s="1"/>
  <c r="FP34" i="15"/>
  <c r="FQ34" i="15" s="1"/>
  <c r="FP713" i="15"/>
  <c r="FQ713" i="15" s="1"/>
  <c r="FP688" i="15"/>
  <c r="FQ688" i="15" s="1"/>
  <c r="FP472" i="15"/>
  <c r="FQ472" i="15" s="1"/>
  <c r="FP125" i="15"/>
  <c r="FQ125" i="15" s="1"/>
  <c r="FP776" i="15"/>
  <c r="FQ776" i="15" s="1"/>
  <c r="FP548" i="15"/>
  <c r="FQ548" i="15" s="1"/>
  <c r="FP300" i="15"/>
  <c r="FQ300" i="15" s="1"/>
  <c r="FP98" i="15"/>
  <c r="FQ98" i="15" s="1"/>
  <c r="FP754" i="15"/>
  <c r="FQ754" i="15" s="1"/>
  <c r="FP371" i="15"/>
  <c r="FQ371" i="15" s="1"/>
  <c r="FP144" i="15"/>
  <c r="FQ144" i="15" s="1"/>
  <c r="FP796" i="15"/>
  <c r="FQ796" i="15" s="1"/>
  <c r="FP577" i="15"/>
  <c r="FQ577" i="15" s="1"/>
  <c r="FP325" i="15"/>
  <c r="FQ325" i="15" s="1"/>
  <c r="FP471" i="15"/>
  <c r="FQ471" i="15" s="1"/>
  <c r="FP219" i="15"/>
  <c r="FQ219" i="15" s="1"/>
  <c r="FP9" i="15"/>
  <c r="FQ9" i="15" s="1"/>
  <c r="FP668" i="15"/>
  <c r="FQ668" i="15" s="1"/>
  <c r="FP455" i="15"/>
  <c r="FQ455" i="15" s="1"/>
  <c r="FP190" i="15"/>
  <c r="FQ190" i="15" s="1"/>
  <c r="FP529" i="15"/>
  <c r="FQ529" i="15" s="1"/>
  <c r="FP8" i="15"/>
  <c r="FQ8" i="15" s="1"/>
  <c r="FP271" i="15"/>
  <c r="FQ271" i="15" s="1"/>
  <c r="FP641" i="15"/>
  <c r="FQ641" i="15" s="1"/>
  <c r="FP83" i="15"/>
  <c r="FQ83" i="15" s="1"/>
  <c r="FP430" i="15"/>
  <c r="FQ430" i="15" s="1"/>
  <c r="FP732" i="15"/>
  <c r="FQ732" i="15" s="1"/>
  <c r="FP168" i="15"/>
  <c r="FQ168" i="15" s="1"/>
  <c r="FP514" i="15"/>
  <c r="FQ514" i="15" s="1"/>
  <c r="AH254" i="1"/>
  <c r="FP6" i="15"/>
  <c r="FQ6" i="15" s="1"/>
  <c r="FP270" i="15"/>
  <c r="FQ270" i="15" s="1"/>
  <c r="FP621" i="15"/>
  <c r="FQ621" i="15" s="1"/>
  <c r="FP65" i="15"/>
  <c r="FQ65" i="15" s="1"/>
  <c r="FP407" i="15"/>
  <c r="FQ407" i="15" s="1"/>
  <c r="FP714" i="15"/>
  <c r="FQ714" i="15" s="1"/>
  <c r="FP145" i="15"/>
  <c r="FQ145" i="15" s="1"/>
  <c r="FP491" i="15"/>
  <c r="FQ491" i="15" s="1"/>
  <c r="FP828" i="15"/>
  <c r="FQ828" i="15" s="1"/>
  <c r="FP251" i="15"/>
  <c r="FQ251" i="15" s="1"/>
  <c r="FP611" i="15"/>
  <c r="FQ611" i="15" s="1"/>
  <c r="AB258" i="1"/>
  <c r="AH258" i="1" s="1"/>
  <c r="Y258" i="1"/>
  <c r="AE258" i="1" s="1"/>
  <c r="AA255" i="1"/>
  <c r="AG255" i="1" s="1"/>
  <c r="AD254" i="1"/>
  <c r="AC254" i="1"/>
  <c r="Y255" i="1"/>
  <c r="AE255" i="1" s="1"/>
  <c r="AA252" i="1"/>
  <c r="AG252" i="1" s="1"/>
  <c r="X252" i="1"/>
  <c r="AD252" i="1" s="1"/>
  <c r="H258" i="1"/>
  <c r="C258" i="1"/>
  <c r="AB255" i="1"/>
  <c r="AH255" i="1" s="1"/>
  <c r="X258" i="1"/>
  <c r="AD258" i="1" s="1"/>
  <c r="Z258" i="1"/>
  <c r="AF258" i="1" s="1"/>
  <c r="Z255" i="1"/>
  <c r="AF255" i="1" s="1"/>
  <c r="AA258" i="1"/>
  <c r="AG258" i="1" s="1"/>
  <c r="AC257" i="1"/>
  <c r="AD257" i="1"/>
  <c r="AI257" i="1" s="1"/>
  <c r="C255" i="1"/>
  <c r="H255" i="1"/>
  <c r="X255" i="1"/>
  <c r="AD255" i="1" s="1"/>
  <c r="Z252" i="1"/>
  <c r="AF252" i="1" s="1"/>
  <c r="Y252" i="1"/>
  <c r="AE252" i="1" s="1"/>
  <c r="AB252" i="1"/>
  <c r="AH252" i="1" s="1"/>
  <c r="H256" i="1"/>
  <c r="C256" i="1" s="1"/>
  <c r="H252" i="1"/>
  <c r="C253" i="1"/>
  <c r="C168" i="1"/>
  <c r="AD251" i="1"/>
  <c r="AI251" i="1" s="1"/>
  <c r="AC251" i="1"/>
  <c r="H170" i="1"/>
  <c r="H169" i="1"/>
  <c r="C169" i="1" s="1"/>
  <c r="C170" i="1"/>
  <c r="H231" i="1"/>
  <c r="C231" i="1" s="1"/>
  <c r="X200" i="1"/>
  <c r="AD200" i="1" s="1"/>
  <c r="Z200" i="1"/>
  <c r="AF200" i="1" s="1"/>
  <c r="AB200" i="1"/>
  <c r="AH200" i="1" s="1"/>
  <c r="H200" i="1"/>
  <c r="Y200" i="1"/>
  <c r="AE200" i="1" s="1"/>
  <c r="AA200" i="1"/>
  <c r="AG200" i="1" s="1"/>
  <c r="H289" i="1"/>
  <c r="C289" i="1" s="1"/>
  <c r="H26" i="1"/>
  <c r="C26" i="1" s="1"/>
  <c r="Z154" i="1"/>
  <c r="AF154" i="1" s="1"/>
  <c r="Y154" i="1"/>
  <c r="AE154" i="1" s="1"/>
  <c r="H155" i="1"/>
  <c r="C155" i="1" s="1"/>
  <c r="X154" i="1"/>
  <c r="AD154" i="1" s="1"/>
  <c r="AA154" i="1"/>
  <c r="AG154" i="1" s="1"/>
  <c r="Y170" i="1"/>
  <c r="AE170" i="1" s="1"/>
  <c r="AA170" i="1"/>
  <c r="AG170" i="1" s="1"/>
  <c r="Y167" i="1"/>
  <c r="AE167" i="1" s="1"/>
  <c r="H173" i="1"/>
  <c r="C173" i="1" s="1"/>
  <c r="H164" i="1"/>
  <c r="C164" i="1" s="1"/>
  <c r="H172" i="1"/>
  <c r="C172" i="1" s="1"/>
  <c r="Z163" i="1"/>
  <c r="AF163" i="1" s="1"/>
  <c r="AB163" i="1"/>
  <c r="AH163" i="1" s="1"/>
  <c r="X163" i="1"/>
  <c r="AD163" i="1" s="1"/>
  <c r="FF142" i="15"/>
  <c r="FH142" i="15" s="1"/>
  <c r="FF138" i="15"/>
  <c r="FH138" i="15" s="1"/>
  <c r="FF134" i="15"/>
  <c r="FH134" i="15" s="1"/>
  <c r="FF130" i="15"/>
  <c r="FH130" i="15" s="1"/>
  <c r="FF126" i="15"/>
  <c r="FH126" i="15" s="1"/>
  <c r="FF141" i="15"/>
  <c r="FH141" i="15" s="1"/>
  <c r="FF137" i="15"/>
  <c r="FH137" i="15" s="1"/>
  <c r="FF133" i="15"/>
  <c r="FH133" i="15" s="1"/>
  <c r="FF129" i="15"/>
  <c r="FH129" i="15" s="1"/>
  <c r="FF140" i="15"/>
  <c r="FH140" i="15" s="1"/>
  <c r="FF136" i="15"/>
  <c r="FH136" i="15" s="1"/>
  <c r="FF132" i="15"/>
  <c r="FH132" i="15" s="1"/>
  <c r="FF128" i="15"/>
  <c r="FH128" i="15" s="1"/>
  <c r="FF139" i="15"/>
  <c r="FH139" i="15" s="1"/>
  <c r="FF135" i="15"/>
  <c r="FH135" i="15" s="1"/>
  <c r="FF131" i="15"/>
  <c r="FH131" i="15" s="1"/>
  <c r="FF127" i="15"/>
  <c r="FH127" i="15" s="1"/>
  <c r="FF9" i="15"/>
  <c r="FF12" i="15"/>
  <c r="FF16" i="15"/>
  <c r="FF20" i="15"/>
  <c r="FF24" i="15"/>
  <c r="FF28" i="15"/>
  <c r="FF32" i="15"/>
  <c r="FF35" i="15"/>
  <c r="FF39" i="15"/>
  <c r="FF46" i="15"/>
  <c r="FF50" i="15"/>
  <c r="FF54" i="15"/>
  <c r="FF58" i="15"/>
  <c r="FF62" i="15"/>
  <c r="FF69" i="15"/>
  <c r="FF73" i="15"/>
  <c r="FF77" i="15"/>
  <c r="FF81" i="15"/>
  <c r="FF84" i="15"/>
  <c r="FF88" i="15"/>
  <c r="FF93" i="15"/>
  <c r="FF96" i="15"/>
  <c r="FF99" i="15"/>
  <c r="FF103" i="15"/>
  <c r="FF107" i="15"/>
  <c r="FF111" i="15"/>
  <c r="FF115" i="15"/>
  <c r="FF119" i="15"/>
  <c r="FF123" i="15"/>
  <c r="FF149" i="15"/>
  <c r="FF153" i="15"/>
  <c r="FF157" i="15"/>
  <c r="FF161" i="15"/>
  <c r="FF165" i="15"/>
  <c r="FF172" i="15"/>
  <c r="FF176" i="15"/>
  <c r="FF180" i="15"/>
  <c r="FF184" i="15"/>
  <c r="FF188" i="15"/>
  <c r="FF191" i="15"/>
  <c r="FF195" i="15"/>
  <c r="FF199" i="15"/>
  <c r="FF203" i="15"/>
  <c r="FF207" i="15"/>
  <c r="FF211" i="15"/>
  <c r="FF215" i="15"/>
  <c r="FF219" i="15"/>
  <c r="FF222" i="15"/>
  <c r="FF226" i="15"/>
  <c r="FF230" i="15"/>
  <c r="FF233" i="15"/>
  <c r="FF237" i="15"/>
  <c r="FF241" i="15"/>
  <c r="FF245" i="15"/>
  <c r="FF249" i="15"/>
  <c r="FF274" i="15"/>
  <c r="FF279" i="15"/>
  <c r="FF283" i="15"/>
  <c r="FF287" i="15"/>
  <c r="FF291" i="15"/>
  <c r="FF295" i="15"/>
  <c r="FF302" i="15"/>
  <c r="FF6" i="15"/>
  <c r="FF13" i="15"/>
  <c r="FF17" i="15"/>
  <c r="FF21" i="15"/>
  <c r="FF25" i="15"/>
  <c r="FF29" i="15"/>
  <c r="FF36" i="15"/>
  <c r="FF40" i="15"/>
  <c r="FF43" i="15"/>
  <c r="FF47" i="15"/>
  <c r="FF51" i="15"/>
  <c r="FF55" i="15"/>
  <c r="FF59" i="15"/>
  <c r="FF63" i="15"/>
  <c r="FF66" i="15"/>
  <c r="FF70" i="15"/>
  <c r="FF74" i="15"/>
  <c r="FF78" i="15"/>
  <c r="FF85" i="15"/>
  <c r="FF89" i="15"/>
  <c r="FF92" i="15"/>
  <c r="FF100" i="15"/>
  <c r="FF104" i="15"/>
  <c r="FF108" i="15"/>
  <c r="FF112" i="15"/>
  <c r="FF116" i="15"/>
  <c r="FF120" i="15"/>
  <c r="FF146" i="15"/>
  <c r="FF150" i="15"/>
  <c r="FF154" i="15"/>
  <c r="FF158" i="15"/>
  <c r="FF162" i="15"/>
  <c r="FF166" i="15"/>
  <c r="FF169" i="15"/>
  <c r="FF173" i="15"/>
  <c r="FF177" i="15"/>
  <c r="FF181" i="15"/>
  <c r="FF185" i="15"/>
  <c r="FF189" i="15"/>
  <c r="FF192" i="15"/>
  <c r="FF196" i="15"/>
  <c r="FF200" i="15"/>
  <c r="FF204" i="15"/>
  <c r="FF208" i="15"/>
  <c r="FF212" i="15"/>
  <c r="FF216" i="15"/>
  <c r="FF223" i="15"/>
  <c r="FF227" i="15"/>
  <c r="FF231" i="15"/>
  <c r="FF234" i="15"/>
  <c r="FF238" i="15"/>
  <c r="FF242" i="15"/>
  <c r="FF246" i="15"/>
  <c r="FF272" i="15"/>
  <c r="FF276" i="15"/>
  <c r="FF280" i="15"/>
  <c r="FF284" i="15"/>
  <c r="FF288" i="15"/>
  <c r="FF10" i="15"/>
  <c r="FF14" i="15"/>
  <c r="FF18" i="15"/>
  <c r="FF22" i="15"/>
  <c r="FF26" i="15"/>
  <c r="FF30" i="15"/>
  <c r="FF34" i="15"/>
  <c r="FF37" i="15"/>
  <c r="FF44" i="15"/>
  <c r="FF48" i="15"/>
  <c r="FF52" i="15"/>
  <c r="FF56" i="15"/>
  <c r="FF60" i="15"/>
  <c r="FF67" i="15"/>
  <c r="FF71" i="15"/>
  <c r="FF75" i="15"/>
  <c r="FF79" i="15"/>
  <c r="FF83" i="15"/>
  <c r="FF86" i="15"/>
  <c r="FF90" i="15"/>
  <c r="FF94" i="15"/>
  <c r="FF98" i="15"/>
  <c r="FF101" i="15"/>
  <c r="FF105" i="15"/>
  <c r="FF109" i="15"/>
  <c r="FF113" i="15"/>
  <c r="FF117" i="15"/>
  <c r="FF121" i="15"/>
  <c r="FF125" i="15"/>
  <c r="FF144" i="15"/>
  <c r="FH144" i="15" s="1"/>
  <c r="FF147" i="15"/>
  <c r="FF151" i="15"/>
  <c r="FF155" i="15"/>
  <c r="FF159" i="15"/>
  <c r="FF163" i="15"/>
  <c r="FF167" i="15"/>
  <c r="FF170" i="15"/>
  <c r="FF174" i="15"/>
  <c r="FF178" i="15"/>
  <c r="FF182" i="15"/>
  <c r="FF186" i="15"/>
  <c r="FF190" i="15"/>
  <c r="FF193" i="15"/>
  <c r="FF197" i="15"/>
  <c r="FF201" i="15"/>
  <c r="FF205" i="15"/>
  <c r="FF209" i="15"/>
  <c r="FF213" i="15"/>
  <c r="FF217" i="15"/>
  <c r="FF220" i="15"/>
  <c r="FF224" i="15"/>
  <c r="FF228" i="15"/>
  <c r="FF232" i="15"/>
  <c r="FF235" i="15"/>
  <c r="FF239" i="15"/>
  <c r="FF243" i="15"/>
  <c r="FF247" i="15"/>
  <c r="FF251" i="15"/>
  <c r="FF270" i="15"/>
  <c r="FF273" i="15"/>
  <c r="FF277" i="15"/>
  <c r="FF281" i="15"/>
  <c r="FF285" i="15"/>
  <c r="FF289" i="15"/>
  <c r="FF293" i="15"/>
  <c r="FF297" i="15"/>
  <c r="FF19" i="15"/>
  <c r="FF49" i="15"/>
  <c r="FF65" i="15"/>
  <c r="FF80" i="15"/>
  <c r="FF95" i="15"/>
  <c r="FF110" i="15"/>
  <c r="FF156" i="15"/>
  <c r="FF171" i="15"/>
  <c r="FF187" i="15"/>
  <c r="FF202" i="15"/>
  <c r="FF248" i="15"/>
  <c r="FF278" i="15"/>
  <c r="FF292" i="15"/>
  <c r="FF300" i="15"/>
  <c r="FF305" i="15"/>
  <c r="FF309" i="15"/>
  <c r="FF313" i="15"/>
  <c r="FF317" i="15"/>
  <c r="FF321" i="15"/>
  <c r="FF325" i="15"/>
  <c r="FF328" i="15"/>
  <c r="FF332" i="15"/>
  <c r="FF336" i="15"/>
  <c r="FF340" i="15"/>
  <c r="FF344" i="15"/>
  <c r="FF348" i="15"/>
  <c r="FF352" i="15"/>
  <c r="FF356" i="15"/>
  <c r="FF360" i="15"/>
  <c r="FF364" i="15"/>
  <c r="FF368" i="15"/>
  <c r="FF375" i="15"/>
  <c r="FF379" i="15"/>
  <c r="FF383" i="15"/>
  <c r="FF387" i="15"/>
  <c r="FF391" i="15"/>
  <c r="FF395" i="15"/>
  <c r="FF399" i="15"/>
  <c r="FF403" i="15"/>
  <c r="FF407" i="15"/>
  <c r="FF410" i="15"/>
  <c r="FF414" i="15"/>
  <c r="FF418" i="15"/>
  <c r="FF422" i="15"/>
  <c r="FF426" i="15"/>
  <c r="FF430" i="15"/>
  <c r="FF433" i="15"/>
  <c r="FF437" i="15"/>
  <c r="FF441" i="15"/>
  <c r="FF445" i="15"/>
  <c r="FF449" i="15"/>
  <c r="FF453" i="15"/>
  <c r="FF472" i="15"/>
  <c r="FF475" i="15"/>
  <c r="FF479" i="15"/>
  <c r="FF483" i="15"/>
  <c r="FF487" i="15"/>
  <c r="FF491" i="15"/>
  <c r="FF494" i="15"/>
  <c r="FF498" i="15"/>
  <c r="FF502" i="15"/>
  <c r="FF506" i="15"/>
  <c r="FF510" i="15"/>
  <c r="FF514" i="15"/>
  <c r="FF517" i="15"/>
  <c r="FF521" i="15"/>
  <c r="FF525" i="15"/>
  <c r="FF529" i="15"/>
  <c r="FF532" i="15"/>
  <c r="FF8" i="15"/>
  <c r="FF23" i="15"/>
  <c r="FF38" i="15"/>
  <c r="FF53" i="15"/>
  <c r="FF68" i="15"/>
  <c r="FF114" i="15"/>
  <c r="FF145" i="15"/>
  <c r="FF160" i="15"/>
  <c r="FF175" i="15"/>
  <c r="FF206" i="15"/>
  <c r="FF221" i="15"/>
  <c r="FF236" i="15"/>
  <c r="FF282" i="15"/>
  <c r="FF294" i="15"/>
  <c r="FF301" i="15"/>
  <c r="FF306" i="15"/>
  <c r="FF310" i="15"/>
  <c r="FF314" i="15"/>
  <c r="FF318" i="15"/>
  <c r="FF322" i="15"/>
  <c r="FF329" i="15"/>
  <c r="FF333" i="15"/>
  <c r="FF337" i="15"/>
  <c r="FF341" i="15"/>
  <c r="FF345" i="15"/>
  <c r="FF349" i="15"/>
  <c r="FF353" i="15"/>
  <c r="FF357" i="15"/>
  <c r="FF361" i="15"/>
  <c r="FF365" i="15"/>
  <c r="FF369" i="15"/>
  <c r="FF372" i="15"/>
  <c r="FF376" i="15"/>
  <c r="FF380" i="15"/>
  <c r="FF384" i="15"/>
  <c r="FF388" i="15"/>
  <c r="FF392" i="15"/>
  <c r="FF396" i="15"/>
  <c r="FF400" i="15"/>
  <c r="FF404" i="15"/>
  <c r="FF411" i="15"/>
  <c r="FF415" i="15"/>
  <c r="FF419" i="15"/>
  <c r="FF423" i="15"/>
  <c r="FF427" i="15"/>
  <c r="FF434" i="15"/>
  <c r="FF438" i="15"/>
  <c r="FF442" i="15"/>
  <c r="FF446" i="15"/>
  <c r="FF450" i="15"/>
  <c r="FF476" i="15"/>
  <c r="FF480" i="15"/>
  <c r="FF484" i="15"/>
  <c r="FF488" i="15"/>
  <c r="FF495" i="15"/>
  <c r="FF499" i="15"/>
  <c r="FF503" i="15"/>
  <c r="FF507" i="15"/>
  <c r="FF511" i="15"/>
  <c r="FF518" i="15"/>
  <c r="FF522" i="15"/>
  <c r="FF526" i="15"/>
  <c r="FF533" i="15"/>
  <c r="FF11" i="15"/>
  <c r="FF27" i="15"/>
  <c r="FF42" i="15"/>
  <c r="FF57" i="15"/>
  <c r="FF72" i="15"/>
  <c r="FF87" i="15"/>
  <c r="FF102" i="15"/>
  <c r="FF118" i="15"/>
  <c r="FF148" i="15"/>
  <c r="FF164" i="15"/>
  <c r="FF179" i="15"/>
  <c r="FF194" i="15"/>
  <c r="FF210" i="15"/>
  <c r="FF225" i="15"/>
  <c r="FF240" i="15"/>
  <c r="FF271" i="15"/>
  <c r="FF286" i="15"/>
  <c r="FF296" i="15"/>
  <c r="FF303" i="15"/>
  <c r="FF307" i="15"/>
  <c r="FF311" i="15"/>
  <c r="FF315" i="15"/>
  <c r="FF319" i="15"/>
  <c r="FF323" i="15"/>
  <c r="FF326" i="15"/>
  <c r="FF330" i="15"/>
  <c r="FF334" i="15"/>
  <c r="FF338" i="15"/>
  <c r="FF342" i="15"/>
  <c r="FF346" i="15"/>
  <c r="FF350" i="15"/>
  <c r="FF354" i="15"/>
  <c r="FF358" i="15"/>
  <c r="FF362" i="15"/>
  <c r="FF366" i="15"/>
  <c r="FF373" i="15"/>
  <c r="FF377" i="15"/>
  <c r="FF381" i="15"/>
  <c r="FF385" i="15"/>
  <c r="FF389" i="15"/>
  <c r="FF393" i="15"/>
  <c r="FF397" i="15"/>
  <c r="FF401" i="15"/>
  <c r="FF405" i="15"/>
  <c r="FF408" i="15"/>
  <c r="FF412" i="15"/>
  <c r="FF416" i="15"/>
  <c r="FF420" i="15"/>
  <c r="FF424" i="15"/>
  <c r="FF428" i="15"/>
  <c r="FF431" i="15"/>
  <c r="FF435" i="15"/>
  <c r="FF439" i="15"/>
  <c r="FF443" i="15"/>
  <c r="FF447" i="15"/>
  <c r="FF451" i="15"/>
  <c r="FF455" i="15"/>
  <c r="FF473" i="15"/>
  <c r="FF477" i="15"/>
  <c r="FF481" i="15"/>
  <c r="FF485" i="15"/>
  <c r="FF489" i="15"/>
  <c r="FF492" i="15"/>
  <c r="FF496" i="15"/>
  <c r="FF500" i="15"/>
  <c r="FF504" i="15"/>
  <c r="FF508" i="15"/>
  <c r="FF512" i="15"/>
  <c r="FF515" i="15"/>
  <c r="FF519" i="15"/>
  <c r="FF523" i="15"/>
  <c r="FF527" i="15"/>
  <c r="FF530" i="15"/>
  <c r="FF15" i="15"/>
  <c r="FF31" i="15"/>
  <c r="FF45" i="15"/>
  <c r="FF61" i="15"/>
  <c r="FF76" i="15"/>
  <c r="FF91" i="15"/>
  <c r="FF106" i="15"/>
  <c r="FF122" i="15"/>
  <c r="FF152" i="15"/>
  <c r="FF168" i="15"/>
  <c r="FF183" i="15"/>
  <c r="FF198" i="15"/>
  <c r="FF214" i="15"/>
  <c r="FF229" i="15"/>
  <c r="FF244" i="15"/>
  <c r="FF275" i="15"/>
  <c r="FF290" i="15"/>
  <c r="FF298" i="15"/>
  <c r="FF304" i="15"/>
  <c r="FF308" i="15"/>
  <c r="FF312" i="15"/>
  <c r="FF316" i="15"/>
  <c r="FF320" i="15"/>
  <c r="FF327" i="15"/>
  <c r="FF331" i="15"/>
  <c r="FF335" i="15"/>
  <c r="FF339" i="15"/>
  <c r="FF343" i="15"/>
  <c r="FF347" i="15"/>
  <c r="FF351" i="15"/>
  <c r="FF355" i="15"/>
  <c r="FF359" i="15"/>
  <c r="FF363" i="15"/>
  <c r="FF367" i="15"/>
  <c r="FF371" i="15"/>
  <c r="FF374" i="15"/>
  <c r="FF378" i="15"/>
  <c r="FF382" i="15"/>
  <c r="FF386" i="15"/>
  <c r="FF390" i="15"/>
  <c r="FF394" i="15"/>
  <c r="FF398" i="15"/>
  <c r="FF402" i="15"/>
  <c r="FF409" i="15"/>
  <c r="FF413" i="15"/>
  <c r="FF417" i="15"/>
  <c r="FF421" i="15"/>
  <c r="FF425" i="15"/>
  <c r="FF432" i="15"/>
  <c r="FF436" i="15"/>
  <c r="FF440" i="15"/>
  <c r="FF444" i="15"/>
  <c r="FF448" i="15"/>
  <c r="FF452" i="15"/>
  <c r="FF471" i="15"/>
  <c r="FF474" i="15"/>
  <c r="FF478" i="15"/>
  <c r="FF482" i="15"/>
  <c r="FF486" i="15"/>
  <c r="FF493" i="15"/>
  <c r="FF497" i="15"/>
  <c r="FF501" i="15"/>
  <c r="FF505" i="15"/>
  <c r="FF509" i="15"/>
  <c r="FF524" i="15"/>
  <c r="FF535" i="15"/>
  <c r="FF539" i="15"/>
  <c r="FF543" i="15"/>
  <c r="FF578" i="15"/>
  <c r="FF581" i="15"/>
  <c r="FF585" i="15"/>
  <c r="FF589" i="15"/>
  <c r="FF593" i="15"/>
  <c r="FF597" i="15"/>
  <c r="FF601" i="15"/>
  <c r="FF605" i="15"/>
  <c r="FF609" i="15"/>
  <c r="FF612" i="15"/>
  <c r="FF616" i="15"/>
  <c r="FF623" i="15"/>
  <c r="FF627" i="15"/>
  <c r="FF631" i="15"/>
  <c r="FF635" i="15"/>
  <c r="FF639" i="15"/>
  <c r="FF642" i="15"/>
  <c r="FF646" i="15"/>
  <c r="FF650" i="15"/>
  <c r="FF654" i="15"/>
  <c r="FF658" i="15"/>
  <c r="FF662" i="15"/>
  <c r="FF666" i="15"/>
  <c r="FF669" i="15"/>
  <c r="FF673" i="15"/>
  <c r="FF677" i="15"/>
  <c r="FF681" i="15"/>
  <c r="FF685" i="15"/>
  <c r="FF715" i="15"/>
  <c r="FF719" i="15"/>
  <c r="FF723" i="15"/>
  <c r="FF727" i="15"/>
  <c r="FF734" i="15"/>
  <c r="FF738" i="15"/>
  <c r="FF742" i="15"/>
  <c r="FF746" i="15"/>
  <c r="FF750" i="15"/>
  <c r="FF754" i="15"/>
  <c r="FF757" i="15"/>
  <c r="FF759" i="15"/>
  <c r="FF763" i="15"/>
  <c r="FF767" i="15"/>
  <c r="FF771" i="15"/>
  <c r="FF780" i="15"/>
  <c r="FF784" i="15"/>
  <c r="FF788" i="15"/>
  <c r="FF792" i="15"/>
  <c r="FF796" i="15"/>
  <c r="FF799" i="15"/>
  <c r="FF803" i="15"/>
  <c r="FF807" i="15"/>
  <c r="FF811" i="15"/>
  <c r="FF815" i="15"/>
  <c r="FF819" i="15"/>
  <c r="FF823" i="15"/>
  <c r="FF830" i="15"/>
  <c r="FH830" i="15" s="1"/>
  <c r="FF834" i="15"/>
  <c r="FH834" i="15" s="1"/>
  <c r="FF838" i="15"/>
  <c r="FH838" i="15" s="1"/>
  <c r="FF842" i="15"/>
  <c r="FH842" i="15" s="1"/>
  <c r="FF846" i="15"/>
  <c r="FH846" i="15" s="1"/>
  <c r="FF850" i="15"/>
  <c r="FH850" i="15" s="1"/>
  <c r="FF854" i="15"/>
  <c r="FH854" i="15" s="1"/>
  <c r="FF858" i="15"/>
  <c r="FH858" i="15" s="1"/>
  <c r="FF536" i="15"/>
  <c r="FF540" i="15"/>
  <c r="FF544" i="15"/>
  <c r="FF548" i="15"/>
  <c r="FF582" i="15"/>
  <c r="FF586" i="15"/>
  <c r="FF590" i="15"/>
  <c r="FF594" i="15"/>
  <c r="FF598" i="15"/>
  <c r="FF602" i="15"/>
  <c r="FF606" i="15"/>
  <c r="FF613" i="15"/>
  <c r="FF617" i="15"/>
  <c r="FF621" i="15"/>
  <c r="FF624" i="15"/>
  <c r="FF628" i="15"/>
  <c r="FF632" i="15"/>
  <c r="FF636" i="15"/>
  <c r="FF643" i="15"/>
  <c r="FF647" i="15"/>
  <c r="FF651" i="15"/>
  <c r="FF655" i="15"/>
  <c r="FF659" i="15"/>
  <c r="FF663" i="15"/>
  <c r="FF667" i="15"/>
  <c r="FF670" i="15"/>
  <c r="FF674" i="15"/>
  <c r="FF678" i="15"/>
  <c r="FF682" i="15"/>
  <c r="FF686" i="15"/>
  <c r="FF713" i="15"/>
  <c r="FF716" i="15"/>
  <c r="FF720" i="15"/>
  <c r="FF724" i="15"/>
  <c r="FF728" i="15"/>
  <c r="FF732" i="15"/>
  <c r="FF735" i="15"/>
  <c r="FF739" i="15"/>
  <c r="FF743" i="15"/>
  <c r="FF747" i="15"/>
  <c r="FF751" i="15"/>
  <c r="FF773" i="15"/>
  <c r="FF760" i="15"/>
  <c r="FF764" i="15"/>
  <c r="FF768" i="15"/>
  <c r="FF772" i="15"/>
  <c r="FF777" i="15"/>
  <c r="FF781" i="15"/>
  <c r="FF785" i="15"/>
  <c r="FF789" i="15"/>
  <c r="FF793" i="15"/>
  <c r="FF800" i="15"/>
  <c r="FF804" i="15"/>
  <c r="FF808" i="15"/>
  <c r="FF812" i="15"/>
  <c r="FF816" i="15"/>
  <c r="FF820" i="15"/>
  <c r="FF824" i="15"/>
  <c r="FF828" i="15"/>
  <c r="FH828" i="15" s="1"/>
  <c r="FF831" i="15"/>
  <c r="FH831" i="15" s="1"/>
  <c r="FF835" i="15"/>
  <c r="FH835" i="15" s="1"/>
  <c r="FF839" i="15"/>
  <c r="FH839" i="15" s="1"/>
  <c r="FF843" i="15"/>
  <c r="FH843" i="15" s="1"/>
  <c r="FF847" i="15"/>
  <c r="FH847" i="15" s="1"/>
  <c r="FF851" i="15"/>
  <c r="FH851" i="15" s="1"/>
  <c r="FF855" i="15"/>
  <c r="FH855" i="15" s="1"/>
  <c r="FF516" i="15"/>
  <c r="FF531" i="15"/>
  <c r="FF537" i="15"/>
  <c r="FF541" i="15"/>
  <c r="FF545" i="15"/>
  <c r="FF579" i="15"/>
  <c r="FF583" i="15"/>
  <c r="FF587" i="15"/>
  <c r="FF591" i="15"/>
  <c r="FF595" i="15"/>
  <c r="FF599" i="15"/>
  <c r="FF603" i="15"/>
  <c r="FF607" i="15"/>
  <c r="FF611" i="15"/>
  <c r="FF614" i="15"/>
  <c r="FF618" i="15"/>
  <c r="FF625" i="15"/>
  <c r="FF629" i="15"/>
  <c r="FF633" i="15"/>
  <c r="FF637" i="15"/>
  <c r="FF641" i="15"/>
  <c r="FF644" i="15"/>
  <c r="FF648" i="15"/>
  <c r="FF652" i="15"/>
  <c r="FF656" i="15"/>
  <c r="FF660" i="15"/>
  <c r="FF664" i="15"/>
  <c r="FF668" i="15"/>
  <c r="FF671" i="15"/>
  <c r="FF675" i="15"/>
  <c r="FF679" i="15"/>
  <c r="FF683" i="15"/>
  <c r="FF714" i="15"/>
  <c r="FF717" i="15"/>
  <c r="FF721" i="15"/>
  <c r="FF725" i="15"/>
  <c r="FF729" i="15"/>
  <c r="FF736" i="15"/>
  <c r="FF740" i="15"/>
  <c r="FF744" i="15"/>
  <c r="FF748" i="15"/>
  <c r="FF752" i="15"/>
  <c r="FF755" i="15"/>
  <c r="FF774" i="15"/>
  <c r="FF761" i="15"/>
  <c r="FF765" i="15"/>
  <c r="FF769" i="15"/>
  <c r="FF778" i="15"/>
  <c r="FF782" i="15"/>
  <c r="FF786" i="15"/>
  <c r="FF790" i="15"/>
  <c r="FF794" i="15"/>
  <c r="FF797" i="15"/>
  <c r="FF801" i="15"/>
  <c r="FF805" i="15"/>
  <c r="FF809" i="15"/>
  <c r="FF813" i="15"/>
  <c r="FF817" i="15"/>
  <c r="FF821" i="15"/>
  <c r="FF825" i="15"/>
  <c r="FF832" i="15"/>
  <c r="FH832" i="15" s="1"/>
  <c r="FF836" i="15"/>
  <c r="FH836" i="15" s="1"/>
  <c r="FF840" i="15"/>
  <c r="FH840" i="15" s="1"/>
  <c r="FF844" i="15"/>
  <c r="FH844" i="15" s="1"/>
  <c r="FF520" i="15"/>
  <c r="FF534" i="15"/>
  <c r="FF538" i="15"/>
  <c r="FF542" i="15"/>
  <c r="FF546" i="15"/>
  <c r="FF577" i="15"/>
  <c r="FF580" i="15"/>
  <c r="FF584" i="15"/>
  <c r="FF588" i="15"/>
  <c r="FF592" i="15"/>
  <c r="FF596" i="15"/>
  <c r="FF600" i="15"/>
  <c r="FF604" i="15"/>
  <c r="FF608" i="15"/>
  <c r="FF615" i="15"/>
  <c r="FF619" i="15"/>
  <c r="FF622" i="15"/>
  <c r="FF626" i="15"/>
  <c r="FF630" i="15"/>
  <c r="FF634" i="15"/>
  <c r="FF638" i="15"/>
  <c r="FF645" i="15"/>
  <c r="FF649" i="15"/>
  <c r="FF653" i="15"/>
  <c r="FF657" i="15"/>
  <c r="FF661" i="15"/>
  <c r="FF665" i="15"/>
  <c r="FF672" i="15"/>
  <c r="FF676" i="15"/>
  <c r="FF680" i="15"/>
  <c r="FF684" i="15"/>
  <c r="FF688" i="15"/>
  <c r="FF718" i="15"/>
  <c r="FF722" i="15"/>
  <c r="FF726" i="15"/>
  <c r="FF730" i="15"/>
  <c r="FF733" i="15"/>
  <c r="FF737" i="15"/>
  <c r="FF741" i="15"/>
  <c r="FF745" i="15"/>
  <c r="FF749" i="15"/>
  <c r="FF756" i="15"/>
  <c r="FF758" i="15"/>
  <c r="FF762" i="15"/>
  <c r="FF766" i="15"/>
  <c r="FF770" i="15"/>
  <c r="FF776" i="15"/>
  <c r="FF779" i="15"/>
  <c r="FF783" i="15"/>
  <c r="FF787" i="15"/>
  <c r="FF791" i="15"/>
  <c r="FF798" i="15"/>
  <c r="FF802" i="15"/>
  <c r="FF806" i="15"/>
  <c r="FF810" i="15"/>
  <c r="FF814" i="15"/>
  <c r="FF818" i="15"/>
  <c r="FF822" i="15"/>
  <c r="FF826" i="15"/>
  <c r="FF829" i="15"/>
  <c r="FH829" i="15" s="1"/>
  <c r="FF833" i="15"/>
  <c r="FH833" i="15" s="1"/>
  <c r="FF837" i="15"/>
  <c r="FH837" i="15" s="1"/>
  <c r="FF841" i="15"/>
  <c r="FH841" i="15" s="1"/>
  <c r="FF845" i="15"/>
  <c r="FH845" i="15" s="1"/>
  <c r="FF849" i="15"/>
  <c r="FH849" i="15" s="1"/>
  <c r="FF853" i="15"/>
  <c r="FH853" i="15" s="1"/>
  <c r="FF857" i="15"/>
  <c r="FH857" i="15" s="1"/>
  <c r="FF861" i="15"/>
  <c r="FH861" i="15" s="1"/>
  <c r="FF856" i="15"/>
  <c r="FH856" i="15" s="1"/>
  <c r="FF859" i="15"/>
  <c r="FH859" i="15" s="1"/>
  <c r="FF848" i="15"/>
  <c r="FH848" i="15" s="1"/>
  <c r="FF860" i="15"/>
  <c r="FH860" i="15" s="1"/>
  <c r="FF852" i="15"/>
  <c r="FH852" i="15" s="1"/>
  <c r="Z219" i="1"/>
  <c r="AF219" i="1" s="1"/>
  <c r="AB154" i="1"/>
  <c r="AH154" i="1" s="1"/>
  <c r="X170" i="1"/>
  <c r="AD170" i="1" s="1"/>
  <c r="AB170" i="1"/>
  <c r="AH170" i="1" s="1"/>
  <c r="H163" i="1"/>
  <c r="Z167" i="1"/>
  <c r="AF167" i="1" s="1"/>
  <c r="X167" i="1"/>
  <c r="Y163" i="1"/>
  <c r="AE163" i="1" s="1"/>
  <c r="AA163" i="1"/>
  <c r="AG163" i="1" s="1"/>
  <c r="Z170" i="1"/>
  <c r="AF170" i="1" s="1"/>
  <c r="AD166" i="1"/>
  <c r="AI166" i="1" s="1"/>
  <c r="AC166" i="1"/>
  <c r="AA167" i="1"/>
  <c r="AG167" i="1" s="1"/>
  <c r="AB167" i="1"/>
  <c r="AH167" i="1" s="1"/>
  <c r="H171" i="1"/>
  <c r="C171" i="1" s="1"/>
  <c r="AA161" i="1"/>
  <c r="AG161" i="1" s="1"/>
  <c r="AC160" i="1"/>
  <c r="AD160" i="1"/>
  <c r="AI160" i="1" s="1"/>
  <c r="Y161" i="1"/>
  <c r="AE161" i="1" s="1"/>
  <c r="AB161" i="1"/>
  <c r="AH161" i="1" s="1"/>
  <c r="Z161" i="1"/>
  <c r="AF161" i="1" s="1"/>
  <c r="X161" i="1"/>
  <c r="AC153" i="1"/>
  <c r="AD153" i="1"/>
  <c r="AI153" i="1" s="1"/>
  <c r="H235" i="1"/>
  <c r="H209" i="1"/>
  <c r="H243" i="1"/>
  <c r="H239" i="1"/>
  <c r="Y221" i="1"/>
  <c r="AE221" i="1" s="1"/>
  <c r="C221" i="1"/>
  <c r="Y209" i="1"/>
  <c r="AE209" i="1" s="1"/>
  <c r="X239" i="1"/>
  <c r="AD239" i="1" s="1"/>
  <c r="Y243" i="1"/>
  <c r="AE243" i="1" s="1"/>
  <c r="AA221" i="1"/>
  <c r="AG221" i="1" s="1"/>
  <c r="X221" i="1"/>
  <c r="AD221" i="1" s="1"/>
  <c r="AA219" i="1"/>
  <c r="AG219" i="1" s="1"/>
  <c r="AB211" i="1"/>
  <c r="AH211" i="1" s="1"/>
  <c r="H240" i="1"/>
  <c r="C240" i="1" s="1"/>
  <c r="H217" i="1"/>
  <c r="C217" i="1" s="1"/>
  <c r="H212" i="1"/>
  <c r="C212" i="1" s="1"/>
  <c r="AA239" i="1"/>
  <c r="AG239" i="1" s="1"/>
  <c r="Z239" i="1"/>
  <c r="AF239" i="1" s="1"/>
  <c r="Y239" i="1"/>
  <c r="AE239" i="1" s="1"/>
  <c r="AB239" i="1"/>
  <c r="AH239" i="1" s="1"/>
  <c r="AB209" i="1"/>
  <c r="AH209" i="1" s="1"/>
  <c r="Y235" i="1"/>
  <c r="AE235" i="1" s="1"/>
  <c r="H210" i="1"/>
  <c r="C210" i="1" s="1"/>
  <c r="Z243" i="1"/>
  <c r="AF243" i="1" s="1"/>
  <c r="X243" i="1"/>
  <c r="AA243" i="1"/>
  <c r="AG243" i="1" s="1"/>
  <c r="AB243" i="1"/>
  <c r="AH243" i="1" s="1"/>
  <c r="AC242" i="1"/>
  <c r="AD242" i="1"/>
  <c r="AI242" i="1" s="1"/>
  <c r="AA235" i="1"/>
  <c r="AG235" i="1" s="1"/>
  <c r="Z235" i="1"/>
  <c r="AF235" i="1" s="1"/>
  <c r="AC234" i="1"/>
  <c r="AD234" i="1"/>
  <c r="AI234" i="1" s="1"/>
  <c r="X235" i="1"/>
  <c r="AB235" i="1"/>
  <c r="AH235" i="1" s="1"/>
  <c r="Z211" i="1"/>
  <c r="AF211" i="1" s="1"/>
  <c r="X209" i="1"/>
  <c r="AA204" i="1"/>
  <c r="AG204" i="1" s="1"/>
  <c r="Z214" i="1"/>
  <c r="AF214" i="1" s="1"/>
  <c r="H221" i="1"/>
  <c r="AB221" i="1"/>
  <c r="AH221" i="1" s="1"/>
  <c r="H230" i="1"/>
  <c r="C230" i="1" s="1"/>
  <c r="C204" i="1"/>
  <c r="AB194" i="1"/>
  <c r="AH194" i="1" s="1"/>
  <c r="Z209" i="1"/>
  <c r="AF209" i="1" s="1"/>
  <c r="AA209" i="1"/>
  <c r="AG209" i="1" s="1"/>
  <c r="Y211" i="1"/>
  <c r="AE211" i="1" s="1"/>
  <c r="Z221" i="1"/>
  <c r="AF221" i="1" s="1"/>
  <c r="C194" i="1"/>
  <c r="AD213" i="1"/>
  <c r="AI213" i="1" s="1"/>
  <c r="AC213" i="1"/>
  <c r="C214" i="1"/>
  <c r="AA211" i="1"/>
  <c r="AG211" i="1" s="1"/>
  <c r="AC203" i="1"/>
  <c r="AD203" i="1"/>
  <c r="AI203" i="1" s="1"/>
  <c r="AB204" i="1"/>
  <c r="AH204" i="1" s="1"/>
  <c r="C219" i="1"/>
  <c r="X219" i="1"/>
  <c r="Y219" i="1"/>
  <c r="AE219" i="1" s="1"/>
  <c r="X206" i="1"/>
  <c r="AA214" i="1"/>
  <c r="AG214" i="1" s="1"/>
  <c r="H206" i="1"/>
  <c r="Z206" i="1"/>
  <c r="AF206" i="1" s="1"/>
  <c r="C206" i="1"/>
  <c r="AB206" i="1"/>
  <c r="AH206" i="1" s="1"/>
  <c r="AD218" i="1"/>
  <c r="AI218" i="1" s="1"/>
  <c r="AC218" i="1"/>
  <c r="C216" i="1"/>
  <c r="Z216" i="1"/>
  <c r="AF216" i="1" s="1"/>
  <c r="X216" i="1"/>
  <c r="Y216" i="1"/>
  <c r="AE216" i="1" s="1"/>
  <c r="AB216" i="1"/>
  <c r="AH216" i="1" s="1"/>
  <c r="AA216" i="1"/>
  <c r="AG216" i="1" s="1"/>
  <c r="H216" i="1"/>
  <c r="X211" i="1"/>
  <c r="Z204" i="1"/>
  <c r="AF204" i="1" s="1"/>
  <c r="AA206" i="1"/>
  <c r="AG206" i="1" s="1"/>
  <c r="H211" i="1"/>
  <c r="AD208" i="1"/>
  <c r="AI208" i="1" s="1"/>
  <c r="AC208" i="1"/>
  <c r="AB214" i="1"/>
  <c r="AH214" i="1" s="1"/>
  <c r="X214" i="1"/>
  <c r="Y214" i="1"/>
  <c r="AE214" i="1" s="1"/>
  <c r="X204" i="1"/>
  <c r="Y204" i="1"/>
  <c r="AE204" i="1" s="1"/>
  <c r="Y206" i="1"/>
  <c r="AE206" i="1" s="1"/>
  <c r="AB219" i="1"/>
  <c r="AH219" i="1" s="1"/>
  <c r="H207" i="1"/>
  <c r="C207" i="1" s="1"/>
  <c r="H214" i="1"/>
  <c r="H219" i="1"/>
  <c r="Y194" i="1"/>
  <c r="AE194" i="1" s="1"/>
  <c r="AC197" i="1"/>
  <c r="AD197" i="1"/>
  <c r="AI197" i="1" s="1"/>
  <c r="X198" i="1"/>
  <c r="Y198" i="1"/>
  <c r="AE198" i="1" s="1"/>
  <c r="Y145" i="1"/>
  <c r="AE145" i="1" s="1"/>
  <c r="H199" i="1"/>
  <c r="C199" i="1" s="1"/>
  <c r="Z198" i="1"/>
  <c r="AF198" i="1" s="1"/>
  <c r="AB198" i="1"/>
  <c r="AH198" i="1" s="1"/>
  <c r="AA198" i="1"/>
  <c r="AG198" i="1" s="1"/>
  <c r="AB192" i="1"/>
  <c r="AH192" i="1" s="1"/>
  <c r="Z194" i="1"/>
  <c r="AF194" i="1" s="1"/>
  <c r="H195" i="1"/>
  <c r="C195" i="1" s="1"/>
  <c r="AA194" i="1"/>
  <c r="AG194" i="1" s="1"/>
  <c r="AI191" i="1"/>
  <c r="AC191" i="1"/>
  <c r="X194" i="1"/>
  <c r="C192" i="1"/>
  <c r="Y192" i="1"/>
  <c r="AE192" i="1" s="1"/>
  <c r="H192" i="1"/>
  <c r="X192" i="1"/>
  <c r="Z192" i="1"/>
  <c r="AF192" i="1" s="1"/>
  <c r="AA192" i="1"/>
  <c r="AG192" i="1" s="1"/>
  <c r="AB145" i="1"/>
  <c r="AH145" i="1" s="1"/>
  <c r="H151" i="1"/>
  <c r="C151" i="1" s="1"/>
  <c r="AA145" i="1"/>
  <c r="AG145" i="1" s="1"/>
  <c r="X145" i="1"/>
  <c r="AD145" i="1" s="1"/>
  <c r="C145" i="1"/>
  <c r="H145" i="1"/>
  <c r="Z145" i="1"/>
  <c r="AF145" i="1" s="1"/>
  <c r="Z148" i="1"/>
  <c r="AF148" i="1" s="1"/>
  <c r="AA94" i="1"/>
  <c r="AG94" i="1" s="1"/>
  <c r="H179" i="1"/>
  <c r="C179" i="1" s="1"/>
  <c r="C150" i="1"/>
  <c r="X150" i="1"/>
  <c r="Y150" i="1"/>
  <c r="AE150" i="1" s="1"/>
  <c r="AB150" i="1"/>
  <c r="AH150" i="1" s="1"/>
  <c r="AA150" i="1"/>
  <c r="AG150" i="1" s="1"/>
  <c r="AB108" i="1"/>
  <c r="AH108" i="1" s="1"/>
  <c r="Y114" i="1"/>
  <c r="AE114" i="1" s="1"/>
  <c r="X148" i="1"/>
  <c r="AA148" i="1"/>
  <c r="AG148" i="1" s="1"/>
  <c r="AD147" i="1"/>
  <c r="AI147" i="1" s="1"/>
  <c r="AC147" i="1"/>
  <c r="H150" i="1"/>
  <c r="Z112" i="1"/>
  <c r="H143" i="1"/>
  <c r="C143" i="1" s="1"/>
  <c r="AB148" i="1"/>
  <c r="AH148" i="1" s="1"/>
  <c r="Z113" i="1"/>
  <c r="Y110" i="1"/>
  <c r="Y148" i="1"/>
  <c r="AE148" i="1" s="1"/>
  <c r="Z150" i="1"/>
  <c r="AF150" i="1" s="1"/>
  <c r="H148" i="1"/>
  <c r="Z140" i="1"/>
  <c r="AF140" i="1" s="1"/>
  <c r="C94" i="1"/>
  <c r="AC144" i="1"/>
  <c r="AD144" i="1"/>
  <c r="AI144" i="1" s="1"/>
  <c r="Y142" i="1"/>
  <c r="AE142" i="1" s="1"/>
  <c r="AB140" i="1"/>
  <c r="AH140" i="1" s="1"/>
  <c r="Z142" i="1"/>
  <c r="AF142" i="1" s="1"/>
  <c r="X142" i="1"/>
  <c r="AB142" i="1"/>
  <c r="AH142" i="1" s="1"/>
  <c r="AA142" i="1"/>
  <c r="AG142" i="1" s="1"/>
  <c r="AA140" i="1"/>
  <c r="AG140" i="1" s="1"/>
  <c r="H141" i="1"/>
  <c r="C141" i="1" s="1"/>
  <c r="H142" i="1"/>
  <c r="Y140" i="1"/>
  <c r="AE140" i="1" s="1"/>
  <c r="Z94" i="1"/>
  <c r="AF94" i="1" s="1"/>
  <c r="X140" i="1"/>
  <c r="AD139" i="1"/>
  <c r="AI139" i="1" s="1"/>
  <c r="AC139" i="1"/>
  <c r="H140" i="1"/>
  <c r="H111" i="1"/>
  <c r="C111" i="1" s="1"/>
  <c r="Y94" i="1"/>
  <c r="AE94" i="1" s="1"/>
  <c r="X94" i="1"/>
  <c r="AD94" i="1" s="1"/>
  <c r="AI93" i="1"/>
  <c r="AB94" i="1"/>
  <c r="AH94" i="1" s="1"/>
  <c r="AC93" i="1"/>
  <c r="X91" i="1"/>
  <c r="AD91" i="1" s="1"/>
  <c r="H92" i="1"/>
  <c r="C92" i="1" s="1"/>
  <c r="Y229" i="1"/>
  <c r="AE229" i="1" s="1"/>
  <c r="AB91" i="1"/>
  <c r="AH91" i="1" s="1"/>
  <c r="C91" i="1"/>
  <c r="Y91" i="1"/>
  <c r="AE91" i="1" s="1"/>
  <c r="H91" i="1"/>
  <c r="Z91" i="1"/>
  <c r="AF91" i="1" s="1"/>
  <c r="AA91" i="1"/>
  <c r="AG91" i="1" s="1"/>
  <c r="H237" i="1"/>
  <c r="H292" i="1"/>
  <c r="C292" i="1" s="1"/>
  <c r="C237" i="1"/>
  <c r="Y237" i="1"/>
  <c r="AE237" i="1" s="1"/>
  <c r="H17" i="1"/>
  <c r="C17" i="1" s="1"/>
  <c r="H238" i="1"/>
  <c r="C238" i="1" s="1"/>
  <c r="AB229" i="1"/>
  <c r="AH229" i="1" s="1"/>
  <c r="Z286" i="1"/>
  <c r="AF286" i="1" s="1"/>
  <c r="H297" i="1"/>
  <c r="C297" i="1" s="1"/>
  <c r="H294" i="1"/>
  <c r="C294" i="1" s="1"/>
  <c r="H286" i="1"/>
  <c r="Z296" i="1"/>
  <c r="AF296" i="1" s="1"/>
  <c r="Y288" i="1"/>
  <c r="AE288" i="1" s="1"/>
  <c r="AA237" i="1"/>
  <c r="AG237" i="1" s="1"/>
  <c r="X296" i="1"/>
  <c r="AD296" i="1" s="1"/>
  <c r="H290" i="1"/>
  <c r="C290" i="1" s="1"/>
  <c r="H296" i="1"/>
  <c r="X286" i="1"/>
  <c r="AD286" i="1" s="1"/>
  <c r="Z237" i="1"/>
  <c r="AF237" i="1" s="1"/>
  <c r="C286" i="1"/>
  <c r="AC248" i="1"/>
  <c r="FM6" i="15" s="1"/>
  <c r="AA249" i="1"/>
  <c r="AG249" i="1" s="1"/>
  <c r="Y249" i="1"/>
  <c r="AE249" i="1" s="1"/>
  <c r="Z249" i="1"/>
  <c r="AF249" i="1" s="1"/>
  <c r="AD228" i="1"/>
  <c r="AI228" i="1" s="1"/>
  <c r="AC228" i="1"/>
  <c r="FI6" i="15" s="1"/>
  <c r="AB288" i="1"/>
  <c r="AH288" i="1" s="1"/>
  <c r="AB249" i="1"/>
  <c r="AH249" i="1" s="1"/>
  <c r="AA288" i="1"/>
  <c r="AG288" i="1" s="1"/>
  <c r="AA296" i="1"/>
  <c r="AG296" i="1" s="1"/>
  <c r="Z288" i="1"/>
  <c r="AF288" i="1" s="1"/>
  <c r="C295" i="1"/>
  <c r="AB295" i="1"/>
  <c r="AH295" i="1" s="1"/>
  <c r="X295" i="1"/>
  <c r="H295" i="1"/>
  <c r="Z229" i="1"/>
  <c r="AF229" i="1" s="1"/>
  <c r="Z295" i="1"/>
  <c r="AF295" i="1" s="1"/>
  <c r="AB296" i="1"/>
  <c r="AH296" i="1" s="1"/>
  <c r="AI248" i="1"/>
  <c r="AA286" i="1"/>
  <c r="AG286" i="1" s="1"/>
  <c r="X288" i="1"/>
  <c r="H241" i="1"/>
  <c r="C241" i="1" s="1"/>
  <c r="Y286" i="1"/>
  <c r="AE286" i="1" s="1"/>
  <c r="AA229" i="1"/>
  <c r="AG229" i="1" s="1"/>
  <c r="X249" i="1"/>
  <c r="Y296" i="1"/>
  <c r="AE296" i="1" s="1"/>
  <c r="AA295" i="1"/>
  <c r="AG295" i="1" s="1"/>
  <c r="H293" i="1"/>
  <c r="C293" i="1" s="1"/>
  <c r="X229" i="1"/>
  <c r="AB286" i="1"/>
  <c r="AH286" i="1" s="1"/>
  <c r="AD285" i="1"/>
  <c r="AI285" i="1" s="1"/>
  <c r="AC285" i="1"/>
  <c r="H245" i="1"/>
  <c r="C245" i="1" s="1"/>
  <c r="AB291" i="1"/>
  <c r="AH291" i="1" s="1"/>
  <c r="H291" i="1"/>
  <c r="AA291" i="1"/>
  <c r="AG291" i="1" s="1"/>
  <c r="Z291" i="1"/>
  <c r="AF291" i="1" s="1"/>
  <c r="Y291" i="1"/>
  <c r="AE291" i="1" s="1"/>
  <c r="C291" i="1"/>
  <c r="X291" i="1"/>
  <c r="H288" i="1"/>
  <c r="X237" i="1"/>
  <c r="AB237" i="1"/>
  <c r="AH237" i="1" s="1"/>
  <c r="Y295" i="1"/>
  <c r="AE295" i="1" s="1"/>
  <c r="AI594" i="1"/>
  <c r="AA16" i="1"/>
  <c r="AG16" i="1" s="1"/>
  <c r="AB187" i="1"/>
  <c r="Y187" i="1"/>
  <c r="AB25" i="1"/>
  <c r="AB114" i="1"/>
  <c r="AH114" i="1" s="1"/>
  <c r="AA113" i="1"/>
  <c r="Z23" i="1"/>
  <c r="X105" i="1"/>
  <c r="AA108" i="1"/>
  <c r="AB188" i="1"/>
  <c r="Z85" i="1"/>
  <c r="AA114" i="1"/>
  <c r="AG114" i="1" s="1"/>
  <c r="Y102" i="1"/>
  <c r="AE102" i="1" s="1"/>
  <c r="Z88" i="1"/>
  <c r="X188" i="1"/>
  <c r="AB85" i="1"/>
  <c r="X116" i="1"/>
  <c r="AD116" i="1" s="1"/>
  <c r="Z116" i="1"/>
  <c r="AF116" i="1" s="1"/>
  <c r="Y85" i="1"/>
  <c r="AA85" i="1"/>
  <c r="AA88" i="1"/>
  <c r="X187" i="1"/>
  <c r="AA188" i="1"/>
  <c r="Z177" i="1"/>
  <c r="X177" i="1"/>
  <c r="Y177" i="1"/>
  <c r="AB112" i="1"/>
  <c r="AA25" i="1"/>
  <c r="AA177" i="1"/>
  <c r="Z105" i="1"/>
  <c r="AF105" i="1" s="1"/>
  <c r="Z114" i="1"/>
  <c r="AF114" i="1" s="1"/>
  <c r="Y23" i="1"/>
  <c r="Z25" i="1"/>
  <c r="Z110" i="1"/>
  <c r="Z187" i="1"/>
  <c r="Z188" i="1"/>
  <c r="X110" i="1"/>
  <c r="AA105" i="1"/>
  <c r="AG105" i="1" s="1"/>
  <c r="X88" i="1"/>
  <c r="Z108" i="1"/>
  <c r="AF108" i="1" s="1"/>
  <c r="X23" i="1"/>
  <c r="AA112" i="1"/>
  <c r="X25" i="1"/>
  <c r="AA187" i="1"/>
  <c r="X108" i="1"/>
  <c r="AD108" i="1" s="1"/>
  <c r="AB110" i="1"/>
  <c r="Y25" i="1"/>
  <c r="X85" i="1"/>
  <c r="Y108" i="1"/>
  <c r="AE108" i="1" s="1"/>
  <c r="X114" i="1"/>
  <c r="AD114" i="1" s="1"/>
  <c r="AB88" i="1"/>
  <c r="X113" i="1"/>
  <c r="AB113" i="1"/>
  <c r="AB116" i="1"/>
  <c r="AH116" i="1" s="1"/>
  <c r="AA116" i="1"/>
  <c r="AG116" i="1" s="1"/>
  <c r="X16" i="1"/>
  <c r="AD16" i="1" s="1"/>
  <c r="Y113" i="1"/>
  <c r="Y112" i="1"/>
  <c r="Y88" i="1"/>
  <c r="AB16" i="1"/>
  <c r="AH16" i="1" s="1"/>
  <c r="Y188" i="1"/>
  <c r="Y16" i="1"/>
  <c r="AE16" i="1" s="1"/>
  <c r="Z102" i="1"/>
  <c r="AF102" i="1" s="1"/>
  <c r="X102" i="1"/>
  <c r="AD102" i="1" s="1"/>
  <c r="AA110" i="1"/>
  <c r="X112" i="1"/>
  <c r="Z16" i="1"/>
  <c r="AF16" i="1" s="1"/>
  <c r="AA102" i="1"/>
  <c r="AG102" i="1" s="1"/>
  <c r="Y116" i="1"/>
  <c r="AE116" i="1" s="1"/>
  <c r="AB177" i="1"/>
  <c r="AB102" i="1"/>
  <c r="AH102" i="1" s="1"/>
  <c r="AB23" i="1"/>
  <c r="AA23" i="1"/>
  <c r="Y105" i="1"/>
  <c r="AB105" i="1"/>
  <c r="AH105" i="1" s="1"/>
  <c r="H130" i="1"/>
  <c r="C130" i="1" s="1"/>
  <c r="H137" i="1"/>
  <c r="C137" i="1" s="1"/>
  <c r="H174" i="1"/>
  <c r="H104" i="1"/>
  <c r="C104" i="1" s="1"/>
  <c r="H515" i="1"/>
  <c r="AG563" i="1"/>
  <c r="H521" i="1"/>
  <c r="C521" i="1" s="1"/>
  <c r="H21" i="1"/>
  <c r="C21" i="1" s="1"/>
  <c r="AE371" i="1"/>
  <c r="AF563" i="1"/>
  <c r="AH563" i="1"/>
  <c r="H181" i="1"/>
  <c r="C181" i="1" s="1"/>
  <c r="H362" i="1"/>
  <c r="H584" i="1"/>
  <c r="C584" i="1" s="1"/>
  <c r="H376" i="1"/>
  <c r="H459" i="1"/>
  <c r="AE560" i="1"/>
  <c r="AF371" i="1"/>
  <c r="AE613" i="1"/>
  <c r="H363" i="1"/>
  <c r="AH466" i="1"/>
  <c r="AH603" i="1"/>
  <c r="H410" i="1"/>
  <c r="C410" i="1" s="1"/>
  <c r="H496" i="1"/>
  <c r="C496" i="1" s="1"/>
  <c r="H547" i="1"/>
  <c r="H452" i="1"/>
  <c r="C452" i="1" s="1"/>
  <c r="AC543" i="1"/>
  <c r="AG466" i="1"/>
  <c r="C354" i="1"/>
  <c r="AC549" i="1"/>
  <c r="AG479" i="1"/>
  <c r="AF339" i="1"/>
  <c r="H364" i="1"/>
  <c r="AD414" i="1"/>
  <c r="H540" i="1"/>
  <c r="C540" i="1" s="1"/>
  <c r="H518" i="1"/>
  <c r="H486" i="1"/>
  <c r="H576" i="1"/>
  <c r="AG473" i="1"/>
  <c r="AH324" i="1"/>
  <c r="H321" i="1"/>
  <c r="H600" i="1"/>
  <c r="C600" i="1" s="1"/>
  <c r="H579" i="1"/>
  <c r="C363" i="1"/>
  <c r="H374" i="1"/>
  <c r="C374" i="1" s="1"/>
  <c r="H473" i="1"/>
  <c r="C473" i="1" s="1"/>
  <c r="H435" i="1"/>
  <c r="C435" i="1" s="1"/>
  <c r="H608" i="1"/>
  <c r="AG309" i="1"/>
  <c r="H387" i="1"/>
  <c r="C387" i="1" s="1"/>
  <c r="C560" i="1"/>
  <c r="H533" i="1"/>
  <c r="H549" i="1"/>
  <c r="H366" i="1"/>
  <c r="C529" i="1"/>
  <c r="H411" i="1"/>
  <c r="C411" i="1" s="1"/>
  <c r="AE414" i="1"/>
  <c r="AG414" i="1"/>
  <c r="H337" i="1"/>
  <c r="C337" i="1" s="1"/>
  <c r="AG610" i="1"/>
  <c r="C503" i="1"/>
  <c r="AD324" i="1"/>
  <c r="H594" i="1"/>
  <c r="AE479" i="1"/>
  <c r="AH473" i="1"/>
  <c r="C603" i="1"/>
  <c r="AH309" i="1"/>
  <c r="AF309" i="1"/>
  <c r="AE339" i="1"/>
  <c r="H322" i="1"/>
  <c r="H12" i="1"/>
  <c r="H587" i="1"/>
  <c r="C587" i="1" s="1"/>
  <c r="C579" i="1"/>
  <c r="C578" i="1"/>
  <c r="H428" i="1"/>
  <c r="C364" i="1"/>
  <c r="H330" i="1"/>
  <c r="H415" i="1"/>
  <c r="H447" i="1"/>
  <c r="C447" i="1" s="1"/>
  <c r="H344" i="1"/>
  <c r="C344" i="1" s="1"/>
  <c r="H371" i="1"/>
  <c r="H367" i="1"/>
  <c r="C367" i="1" s="1"/>
  <c r="H368" i="1"/>
  <c r="C368" i="1" s="1"/>
  <c r="H596" i="1"/>
  <c r="H530" i="1"/>
  <c r="H377" i="1"/>
  <c r="H335" i="1"/>
  <c r="C335" i="1" s="1"/>
  <c r="C366" i="1"/>
  <c r="H464" i="1"/>
  <c r="C464" i="1" s="1"/>
  <c r="H449" i="1"/>
  <c r="C449" i="1" s="1"/>
  <c r="H340" i="1"/>
  <c r="H434" i="1"/>
  <c r="C434" i="1" s="1"/>
  <c r="H528" i="1"/>
  <c r="C528" i="1" s="1"/>
  <c r="AF560" i="1"/>
  <c r="H595" i="1"/>
  <c r="C595" i="1" s="1"/>
  <c r="H385" i="1"/>
  <c r="C385" i="1" s="1"/>
  <c r="AH371" i="1"/>
  <c r="AE610" i="1"/>
  <c r="AD596" i="1"/>
  <c r="AD613" i="1"/>
  <c r="AH369" i="1"/>
  <c r="AG603" i="1"/>
  <c r="AH414" i="1"/>
  <c r="AF466" i="1"/>
  <c r="C493" i="1"/>
  <c r="C360" i="1"/>
  <c r="AG324" i="1"/>
  <c r="H408" i="1"/>
  <c r="C408" i="1" s="1"/>
  <c r="AF479" i="1"/>
  <c r="AF473" i="1"/>
  <c r="AE309" i="1"/>
  <c r="H182" i="1"/>
  <c r="C182" i="1" s="1"/>
  <c r="H532" i="1"/>
  <c r="C532" i="1" s="1"/>
  <c r="H407" i="1"/>
  <c r="C407" i="1" s="1"/>
  <c r="H406" i="1"/>
  <c r="H305" i="1"/>
  <c r="C573" i="1"/>
  <c r="H365" i="1"/>
  <c r="C365" i="1" s="1"/>
  <c r="H48" i="1"/>
  <c r="C48" i="1" s="1"/>
  <c r="H39" i="1"/>
  <c r="C39" i="1" s="1"/>
  <c r="H99" i="1"/>
  <c r="C99" i="1" s="1"/>
  <c r="C305" i="1"/>
  <c r="C322" i="1"/>
  <c r="C174" i="1"/>
  <c r="C12" i="1"/>
  <c r="H592" i="1"/>
  <c r="H338" i="1"/>
  <c r="C547" i="1"/>
  <c r="H503" i="1"/>
  <c r="H345" i="1"/>
  <c r="C345" i="1" s="1"/>
  <c r="H539" i="1"/>
  <c r="C539" i="1" s="1"/>
  <c r="C613" i="1"/>
  <c r="AD371" i="1"/>
  <c r="AH339" i="1"/>
  <c r="AF414" i="1"/>
  <c r="H339" i="1"/>
  <c r="H388" i="1"/>
  <c r="C388" i="1" s="1"/>
  <c r="AE466" i="1"/>
  <c r="AD309" i="1"/>
  <c r="H405" i="1"/>
  <c r="C405" i="1" s="1"/>
  <c r="H386" i="1"/>
  <c r="C386" i="1" s="1"/>
  <c r="H448" i="1"/>
  <c r="C448" i="1" s="1"/>
  <c r="AD509" i="1"/>
  <c r="AC509" i="1"/>
  <c r="AE473" i="1"/>
  <c r="H471" i="1"/>
  <c r="C471" i="1" s="1"/>
  <c r="H489" i="1"/>
  <c r="H331" i="1"/>
  <c r="C331" i="1" s="1"/>
  <c r="H327" i="1"/>
  <c r="C327" i="1" s="1"/>
  <c r="H422" i="1"/>
  <c r="C422" i="1" s="1"/>
  <c r="C362" i="1"/>
  <c r="H570" i="1"/>
  <c r="H394" i="1"/>
  <c r="C394" i="1" s="1"/>
  <c r="H599" i="1"/>
  <c r="H469" i="1"/>
  <c r="H560" i="1"/>
  <c r="H457" i="1"/>
  <c r="H588" i="1"/>
  <c r="H375" i="1"/>
  <c r="C610" i="1"/>
  <c r="C549" i="1"/>
  <c r="H553" i="1"/>
  <c r="AE553" i="1"/>
  <c r="C553" i="1"/>
  <c r="AG553" i="1"/>
  <c r="AF553" i="1"/>
  <c r="AF613" i="1"/>
  <c r="C576" i="1"/>
  <c r="H324" i="1"/>
  <c r="H189" i="1"/>
  <c r="C189" i="1" s="1"/>
  <c r="H88" i="1"/>
  <c r="C88" i="1" s="1"/>
  <c r="C321" i="1"/>
  <c r="H329" i="1"/>
  <c r="H578" i="1"/>
  <c r="H396" i="1"/>
  <c r="H429" i="1"/>
  <c r="H481" i="1"/>
  <c r="C379" i="1"/>
  <c r="H456" i="1"/>
  <c r="C338" i="1"/>
  <c r="H369" i="1"/>
  <c r="H523" i="1"/>
  <c r="C523" i="1" s="1"/>
  <c r="C330" i="1"/>
  <c r="C596" i="1"/>
  <c r="C530" i="1"/>
  <c r="H336" i="1"/>
  <c r="C336" i="1" s="1"/>
  <c r="H531" i="1"/>
  <c r="C531" i="1" s="1"/>
  <c r="H543" i="1"/>
  <c r="C543" i="1" s="1"/>
  <c r="AG560" i="1"/>
  <c r="AH560" i="1"/>
  <c r="AG371" i="1"/>
  <c r="AE563" i="1"/>
  <c r="AG339" i="1"/>
  <c r="AE603" i="1"/>
  <c r="AH610" i="1"/>
  <c r="AF610" i="1"/>
  <c r="AH613" i="1"/>
  <c r="AG613" i="1"/>
  <c r="AF369" i="1"/>
  <c r="H504" i="1"/>
  <c r="C504" i="1" s="1"/>
  <c r="H446" i="1"/>
  <c r="C446" i="1" s="1"/>
  <c r="C445" i="1"/>
  <c r="C406" i="1"/>
  <c r="C599" i="1"/>
  <c r="C594" i="1"/>
  <c r="AE324" i="1"/>
  <c r="AF324" i="1"/>
  <c r="AH479" i="1"/>
  <c r="C489" i="1"/>
  <c r="AF530" i="1"/>
  <c r="AF608" i="1"/>
  <c r="AG369" i="1"/>
  <c r="AE369" i="1"/>
  <c r="C490" i="1"/>
  <c r="AE596" i="1"/>
  <c r="AG606" i="1"/>
  <c r="H348" i="1"/>
  <c r="AE530" i="1"/>
  <c r="AH596" i="1"/>
  <c r="AH606" i="1"/>
  <c r="AI549" i="1"/>
  <c r="H611" i="1"/>
  <c r="AF532" i="1"/>
  <c r="H23" i="1"/>
  <c r="C329" i="1"/>
  <c r="H556" i="1"/>
  <c r="C131" i="1"/>
  <c r="AE518" i="1"/>
  <c r="AG596" i="1"/>
  <c r="AH531" i="1"/>
  <c r="AH409" i="1"/>
  <c r="C556" i="1"/>
  <c r="AF353" i="1"/>
  <c r="H519" i="1"/>
  <c r="AF470" i="1"/>
  <c r="AG530" i="1"/>
  <c r="AF596" i="1"/>
  <c r="H134" i="1"/>
  <c r="C134" i="1" s="1"/>
  <c r="AH134" i="1"/>
  <c r="AF134" i="1"/>
  <c r="AE134" i="1"/>
  <c r="AG134" i="1"/>
  <c r="AD134" i="1"/>
  <c r="H303" i="1"/>
  <c r="C303" i="1" s="1"/>
  <c r="AF303" i="1"/>
  <c r="H113" i="1"/>
  <c r="H318" i="1"/>
  <c r="C318" i="1" s="1"/>
  <c r="H60" i="1"/>
  <c r="C60" i="1" s="1"/>
  <c r="H102" i="1"/>
  <c r="H89" i="1"/>
  <c r="C89" i="1" s="1"/>
  <c r="AE89" i="1"/>
  <c r="AF89" i="1"/>
  <c r="AH89" i="1"/>
  <c r="AD89" i="1"/>
  <c r="C319" i="1"/>
  <c r="AH614" i="1"/>
  <c r="AF614" i="1"/>
  <c r="AG614" i="1"/>
  <c r="AE536" i="1"/>
  <c r="AH536" i="1"/>
  <c r="AG536" i="1"/>
  <c r="AF536" i="1"/>
  <c r="AG514" i="1"/>
  <c r="AE514" i="1"/>
  <c r="AF514" i="1"/>
  <c r="AF412" i="1"/>
  <c r="AE412" i="1"/>
  <c r="AG412" i="1"/>
  <c r="AH507" i="1"/>
  <c r="AE507" i="1"/>
  <c r="AF507" i="1"/>
  <c r="AE569" i="1"/>
  <c r="AG569" i="1"/>
  <c r="AF569" i="1"/>
  <c r="H510" i="1"/>
  <c r="AD593" i="1"/>
  <c r="AF593" i="1"/>
  <c r="AG593" i="1"/>
  <c r="AH593" i="1"/>
  <c r="AH557" i="1"/>
  <c r="AF557" i="1"/>
  <c r="AE557" i="1"/>
  <c r="AD557" i="1"/>
  <c r="AF331" i="1"/>
  <c r="AE331" i="1"/>
  <c r="AH331" i="1"/>
  <c r="AG331" i="1"/>
  <c r="AF439" i="1"/>
  <c r="AH439" i="1"/>
  <c r="AF436" i="1"/>
  <c r="AG436" i="1"/>
  <c r="AG440" i="1"/>
  <c r="AG435" i="1"/>
  <c r="AE440" i="1"/>
  <c r="AF435" i="1"/>
  <c r="AE435" i="1"/>
  <c r="AF440" i="1"/>
  <c r="AH440" i="1"/>
  <c r="AH456" i="1"/>
  <c r="AE456" i="1"/>
  <c r="AF456" i="1"/>
  <c r="AG456" i="1"/>
  <c r="H548" i="1"/>
  <c r="C611" i="1"/>
  <c r="AF375" i="1"/>
  <c r="AE375" i="1"/>
  <c r="AG375" i="1"/>
  <c r="AH375" i="1"/>
  <c r="AF342" i="1"/>
  <c r="AG499" i="1"/>
  <c r="AE499" i="1"/>
  <c r="AH499" i="1"/>
  <c r="AF499" i="1"/>
  <c r="AH383" i="1"/>
  <c r="AF382" i="1"/>
  <c r="AG382" i="1"/>
  <c r="AE383" i="1"/>
  <c r="AG480" i="1"/>
  <c r="AH480" i="1"/>
  <c r="AE480" i="1"/>
  <c r="AF480" i="1"/>
  <c r="H96" i="1"/>
  <c r="C96" i="1" s="1"/>
  <c r="AE380" i="1"/>
  <c r="AE602" i="1"/>
  <c r="AG558" i="1"/>
  <c r="AE458" i="1"/>
  <c r="AE487" i="1"/>
  <c r="AG532" i="1"/>
  <c r="AD532" i="1"/>
  <c r="AH510" i="1"/>
  <c r="C533" i="1"/>
  <c r="AG533" i="1"/>
  <c r="AH533" i="1"/>
  <c r="AE533" i="1"/>
  <c r="H14" i="1"/>
  <c r="C14" i="1" s="1"/>
  <c r="H316" i="1"/>
  <c r="H186" i="1"/>
  <c r="C186" i="1" s="1"/>
  <c r="H63" i="1"/>
  <c r="C63" i="1" s="1"/>
  <c r="H110" i="1"/>
  <c r="C110" i="1" s="1"/>
  <c r="H97" i="1"/>
  <c r="C97" i="1" s="1"/>
  <c r="AE106" i="1"/>
  <c r="AD106" i="1"/>
  <c r="H313" i="1"/>
  <c r="H55" i="1"/>
  <c r="C55" i="1" s="1"/>
  <c r="H105" i="1"/>
  <c r="H47" i="1"/>
  <c r="C47" i="1" s="1"/>
  <c r="H45" i="1"/>
  <c r="C45" i="1" s="1"/>
  <c r="AH500" i="1"/>
  <c r="AE502" i="1"/>
  <c r="AG500" i="1"/>
  <c r="AF502" i="1"/>
  <c r="C476" i="1"/>
  <c r="C566" i="1"/>
  <c r="AG451" i="1"/>
  <c r="AE451" i="1"/>
  <c r="AF451" i="1"/>
  <c r="AH451" i="1"/>
  <c r="AE535" i="1"/>
  <c r="AG535" i="1"/>
  <c r="AH535" i="1"/>
  <c r="AF535" i="1"/>
  <c r="AH455" i="1"/>
  <c r="AD455" i="1"/>
  <c r="AE455" i="1"/>
  <c r="AG455" i="1"/>
  <c r="AF455" i="1"/>
  <c r="AF460" i="1"/>
  <c r="AE460" i="1"/>
  <c r="AH460" i="1"/>
  <c r="AG460" i="1"/>
  <c r="H483" i="1"/>
  <c r="AG483" i="1"/>
  <c r="AE483" i="1"/>
  <c r="AF483" i="1"/>
  <c r="AH483" i="1"/>
  <c r="AD490" i="1"/>
  <c r="AH490" i="1"/>
  <c r="AF491" i="1"/>
  <c r="AG490" i="1"/>
  <c r="AE491" i="1"/>
  <c r="AH573" i="1"/>
  <c r="AF573" i="1"/>
  <c r="AG573" i="1"/>
  <c r="AE573" i="1"/>
  <c r="AD573" i="1"/>
  <c r="AH511" i="1"/>
  <c r="AF511" i="1"/>
  <c r="AE511" i="1"/>
  <c r="AE589" i="1"/>
  <c r="AH589" i="1"/>
  <c r="AF589" i="1"/>
  <c r="AG589" i="1"/>
  <c r="AF605" i="1"/>
  <c r="AE605" i="1"/>
  <c r="AG605" i="1"/>
  <c r="AH605" i="1"/>
  <c r="AG413" i="1"/>
  <c r="AF413" i="1"/>
  <c r="AH413" i="1"/>
  <c r="AE413" i="1"/>
  <c r="AG508" i="1"/>
  <c r="AH508" i="1"/>
  <c r="AE508" i="1"/>
  <c r="AF508" i="1"/>
  <c r="AH411" i="1"/>
  <c r="AF411" i="1"/>
  <c r="AG411" i="1"/>
  <c r="AE411" i="1"/>
  <c r="AF486" i="1"/>
  <c r="AE486" i="1"/>
  <c r="AG486" i="1"/>
  <c r="AH486" i="1"/>
  <c r="AH484" i="1"/>
  <c r="AG484" i="1"/>
  <c r="AF484" i="1"/>
  <c r="AE484" i="1"/>
  <c r="AH612" i="1"/>
  <c r="AG612" i="1"/>
  <c r="AE612" i="1"/>
  <c r="AF612" i="1"/>
  <c r="AH609" i="1"/>
  <c r="AF609" i="1"/>
  <c r="AE609" i="1"/>
  <c r="AF489" i="1"/>
  <c r="AG489" i="1"/>
  <c r="AD489" i="1"/>
  <c r="AE489" i="1"/>
  <c r="AH489" i="1"/>
  <c r="AH442" i="1"/>
  <c r="AE442" i="1"/>
  <c r="AF442" i="1"/>
  <c r="AG498" i="1"/>
  <c r="AF498" i="1"/>
  <c r="AE498" i="1"/>
  <c r="AH498" i="1"/>
  <c r="AG381" i="1"/>
  <c r="AF458" i="1"/>
  <c r="AH487" i="1"/>
  <c r="AF497" i="1"/>
  <c r="AE343" i="1"/>
  <c r="H64" i="1"/>
  <c r="C64" i="1" s="1"/>
  <c r="H18" i="1"/>
  <c r="H42" i="1"/>
  <c r="C42" i="1" s="1"/>
  <c r="AF325" i="1"/>
  <c r="AE325" i="1"/>
  <c r="AH325" i="1"/>
  <c r="AG325" i="1"/>
  <c r="AD325" i="1"/>
  <c r="H310" i="1"/>
  <c r="AF426" i="1"/>
  <c r="AG426" i="1"/>
  <c r="AH426" i="1"/>
  <c r="AE426" i="1"/>
  <c r="AG425" i="1"/>
  <c r="AF425" i="1"/>
  <c r="AH425" i="1"/>
  <c r="AE425" i="1"/>
  <c r="H40" i="1"/>
  <c r="C40" i="1" s="1"/>
  <c r="H132" i="1"/>
  <c r="C132" i="1" s="1"/>
  <c r="H46" i="1"/>
  <c r="H131" i="1"/>
  <c r="AD107" i="1"/>
  <c r="AG107" i="1"/>
  <c r="AH107" i="1"/>
  <c r="AE107" i="1"/>
  <c r="AF107" i="1"/>
  <c r="AF601" i="1"/>
  <c r="AH601" i="1"/>
  <c r="AG601" i="1"/>
  <c r="AE601" i="1"/>
  <c r="C459" i="1"/>
  <c r="H538" i="1"/>
  <c r="C538" i="1" s="1"/>
  <c r="H421" i="1"/>
  <c r="H381" i="1"/>
  <c r="C381" i="1" s="1"/>
  <c r="AE556" i="1"/>
  <c r="AG556" i="1"/>
  <c r="AD556" i="1"/>
  <c r="AF556" i="1"/>
  <c r="AH556" i="1"/>
  <c r="H460" i="1"/>
  <c r="C577" i="1"/>
  <c r="AE577" i="1"/>
  <c r="AG577" i="1"/>
  <c r="AH577" i="1"/>
  <c r="AF577" i="1"/>
  <c r="AD577" i="1"/>
  <c r="AG450" i="1"/>
  <c r="AE450" i="1"/>
  <c r="AF450" i="1"/>
  <c r="AH450" i="1"/>
  <c r="H391" i="1"/>
  <c r="C391" i="1" s="1"/>
  <c r="AE462" i="1"/>
  <c r="AH461" i="1"/>
  <c r="AG461" i="1"/>
  <c r="AF461" i="1"/>
  <c r="AF485" i="1"/>
  <c r="AG485" i="1"/>
  <c r="AH485" i="1"/>
  <c r="AE485" i="1"/>
  <c r="C486" i="1"/>
  <c r="AH558" i="1"/>
  <c r="AF558" i="1"/>
  <c r="AF559" i="1"/>
  <c r="AE559" i="1"/>
  <c r="AG559" i="1"/>
  <c r="AD379" i="1"/>
  <c r="AH379" i="1"/>
  <c r="AF379" i="1"/>
  <c r="AE379" i="1"/>
  <c r="AG379" i="1"/>
  <c r="AH544" i="1"/>
  <c r="AF544" i="1"/>
  <c r="AG544" i="1"/>
  <c r="AE544" i="1"/>
  <c r="AF591" i="1"/>
  <c r="AG591" i="1"/>
  <c r="AH591" i="1"/>
  <c r="AE591" i="1"/>
  <c r="H609" i="1"/>
  <c r="C609" i="1"/>
  <c r="H509" i="1"/>
  <c r="H522" i="1"/>
  <c r="AH522" i="1"/>
  <c r="AE522" i="1"/>
  <c r="AD518" i="1"/>
  <c r="AG522" i="1"/>
  <c r="AF522" i="1"/>
  <c r="AH518" i="1"/>
  <c r="AF518" i="1"/>
  <c r="AF500" i="1"/>
  <c r="AE382" i="1"/>
  <c r="AH382" i="1"/>
  <c r="AG518" i="1"/>
  <c r="AE409" i="1"/>
  <c r="AH380" i="1"/>
  <c r="AF602" i="1"/>
  <c r="AH532" i="1"/>
  <c r="AG510" i="1"/>
  <c r="AH506" i="1"/>
  <c r="H108" i="1"/>
  <c r="H319" i="1"/>
  <c r="H176" i="1"/>
  <c r="C176" i="1" s="1"/>
  <c r="H328" i="1"/>
  <c r="C328" i="1" s="1"/>
  <c r="AH503" i="1"/>
  <c r="AF503" i="1"/>
  <c r="AE503" i="1"/>
  <c r="AG505" i="1"/>
  <c r="AG580" i="1"/>
  <c r="AE580" i="1"/>
  <c r="AH580" i="1"/>
  <c r="AF580" i="1"/>
  <c r="H425" i="1"/>
  <c r="AF490" i="1"/>
  <c r="H455" i="1"/>
  <c r="C455" i="1" s="1"/>
  <c r="AE353" i="1"/>
  <c r="AG353" i="1"/>
  <c r="H403" i="1"/>
  <c r="C403" i="1" s="1"/>
  <c r="AF397" i="1"/>
  <c r="AE397" i="1"/>
  <c r="AH397" i="1"/>
  <c r="AH350" i="1"/>
  <c r="AF352" i="1"/>
  <c r="AH352" i="1"/>
  <c r="AE352" i="1"/>
  <c r="AG352" i="1"/>
  <c r="AG600" i="1"/>
  <c r="AF600" i="1"/>
  <c r="AH600" i="1"/>
  <c r="AE600" i="1"/>
  <c r="C574" i="1"/>
  <c r="H343" i="1"/>
  <c r="AF343" i="1"/>
  <c r="AH343" i="1"/>
  <c r="AF534" i="1"/>
  <c r="AE534" i="1"/>
  <c r="AH534" i="1"/>
  <c r="AG534" i="1"/>
  <c r="H501" i="1"/>
  <c r="C501" i="1" s="1"/>
  <c r="AE496" i="1"/>
  <c r="AH496" i="1"/>
  <c r="AF496" i="1"/>
  <c r="AG496" i="1"/>
  <c r="AF546" i="1"/>
  <c r="AE546" i="1"/>
  <c r="AG546" i="1"/>
  <c r="AH546" i="1"/>
  <c r="AG561" i="1"/>
  <c r="AD561" i="1"/>
  <c r="AF561" i="1"/>
  <c r="AE561" i="1"/>
  <c r="AH561" i="1"/>
  <c r="AG551" i="1"/>
  <c r="AH551" i="1"/>
  <c r="AF551" i="1"/>
  <c r="AE551" i="1"/>
  <c r="AE351" i="1"/>
  <c r="AH351" i="1"/>
  <c r="AG351" i="1"/>
  <c r="AF351" i="1"/>
  <c r="AF590" i="1"/>
  <c r="AG590" i="1"/>
  <c r="AH590" i="1"/>
  <c r="AE590" i="1"/>
  <c r="AE452" i="1"/>
  <c r="AG454" i="1"/>
  <c r="AD452" i="1"/>
  <c r="AH449" i="1"/>
  <c r="AH454" i="1"/>
  <c r="AF454" i="1"/>
  <c r="AD449" i="1"/>
  <c r="AF452" i="1"/>
  <c r="AE449" i="1"/>
  <c r="AF449" i="1"/>
  <c r="AE454" i="1"/>
  <c r="AF542" i="1"/>
  <c r="AH542" i="1"/>
  <c r="AG542" i="1"/>
  <c r="AE542" i="1"/>
  <c r="AD592" i="1"/>
  <c r="AG592" i="1"/>
  <c r="AE592" i="1"/>
  <c r="AF592" i="1"/>
  <c r="AH592" i="1"/>
  <c r="AE376" i="1"/>
  <c r="AF376" i="1"/>
  <c r="AH376" i="1"/>
  <c r="AG376" i="1"/>
  <c r="AH547" i="1"/>
  <c r="AE547" i="1"/>
  <c r="AF547" i="1"/>
  <c r="AG547" i="1"/>
  <c r="AF494" i="1"/>
  <c r="AE494" i="1"/>
  <c r="AF400" i="1"/>
  <c r="AH400" i="1"/>
  <c r="AG400" i="1"/>
  <c r="AE400" i="1"/>
  <c r="AH472" i="1"/>
  <c r="AE470" i="1"/>
  <c r="AG470" i="1"/>
  <c r="AH552" i="1"/>
  <c r="AE552" i="1"/>
  <c r="AF552" i="1"/>
  <c r="AG552" i="1"/>
  <c r="AG488" i="1"/>
  <c r="AH488" i="1"/>
  <c r="AF488" i="1"/>
  <c r="AE488" i="1"/>
  <c r="AD545" i="1"/>
  <c r="AF545" i="1"/>
  <c r="AE545" i="1"/>
  <c r="AH545" i="1"/>
  <c r="AG545" i="1"/>
  <c r="AH562" i="1"/>
  <c r="AG562" i="1"/>
  <c r="AF562" i="1"/>
  <c r="AE562" i="1"/>
  <c r="AH611" i="1"/>
  <c r="AF611" i="1"/>
  <c r="AE611" i="1"/>
  <c r="AD611" i="1"/>
  <c r="AG611" i="1"/>
  <c r="AF420" i="1"/>
  <c r="AE420" i="1"/>
  <c r="AH420" i="1"/>
  <c r="AG420" i="1"/>
  <c r="AF401" i="1"/>
  <c r="AG401" i="1"/>
  <c r="AE401" i="1"/>
  <c r="AH401" i="1"/>
  <c r="AE548" i="1"/>
  <c r="AG548" i="1"/>
  <c r="AH550" i="1"/>
  <c r="AF548" i="1"/>
  <c r="AD548" i="1"/>
  <c r="AF377" i="1"/>
  <c r="AH377" i="1"/>
  <c r="AG377" i="1"/>
  <c r="AE377" i="1"/>
  <c r="AH452" i="1"/>
  <c r="AF409" i="1"/>
  <c r="AG409" i="1"/>
  <c r="AF380" i="1"/>
  <c r="AH602" i="1"/>
  <c r="AH458" i="1"/>
  <c r="AF487" i="1"/>
  <c r="AH353" i="1"/>
  <c r="AH497" i="1"/>
  <c r="AF510" i="1"/>
  <c r="AE342" i="1"/>
  <c r="AG609" i="1"/>
  <c r="AG452" i="1"/>
  <c r="AE506" i="1"/>
  <c r="AF506" i="1"/>
  <c r="AG506" i="1"/>
  <c r="AD506" i="1"/>
  <c r="AE531" i="1"/>
  <c r="AF606" i="1"/>
  <c r="AD530" i="1"/>
  <c r="AG531" i="1"/>
  <c r="AD606" i="1"/>
  <c r="AF531" i="1"/>
  <c r="AD536" i="1"/>
  <c r="C437" i="1"/>
  <c r="H103" i="1"/>
  <c r="C103" i="1" s="1"/>
  <c r="H128" i="1"/>
  <c r="C128" i="1" s="1"/>
  <c r="H315" i="1"/>
  <c r="H126" i="1"/>
  <c r="C126" i="1" s="1"/>
  <c r="H81" i="1"/>
  <c r="C81" i="1" s="1"/>
  <c r="C316" i="1"/>
  <c r="C324" i="1"/>
  <c r="H513" i="1"/>
  <c r="C513" i="1"/>
  <c r="AE614" i="1"/>
  <c r="H614" i="1"/>
  <c r="C614" i="1"/>
  <c r="H426" i="1"/>
  <c r="C426" i="1" s="1"/>
  <c r="C514" i="1"/>
  <c r="H514" i="1"/>
  <c r="H437" i="1"/>
  <c r="H535" i="1"/>
  <c r="C535" i="1" s="1"/>
  <c r="AC595" i="1"/>
  <c r="AD595" i="1"/>
  <c r="H458" i="1"/>
  <c r="AG458" i="1"/>
  <c r="C458" i="1"/>
  <c r="H497" i="1"/>
  <c r="C497" i="1" s="1"/>
  <c r="AG497" i="1"/>
  <c r="C417" i="1"/>
  <c r="H597" i="1"/>
  <c r="H589" i="1"/>
  <c r="C589" i="1" s="1"/>
  <c r="H537" i="1"/>
  <c r="H398" i="1"/>
  <c r="C398" i="1" s="1"/>
  <c r="H511" i="1"/>
  <c r="H427" i="1"/>
  <c r="C427" i="1"/>
  <c r="C525" i="1"/>
  <c r="C537" i="1"/>
  <c r="C581" i="1"/>
  <c r="H561" i="1"/>
  <c r="H568" i="1"/>
  <c r="C568" i="1" s="1"/>
  <c r="H484" i="1"/>
  <c r="C484" i="1" s="1"/>
  <c r="H574" i="1"/>
  <c r="H424" i="1"/>
  <c r="C424" i="1" s="1"/>
  <c r="C591" i="1"/>
  <c r="H591" i="1"/>
  <c r="H585" i="1"/>
  <c r="C585" i="1" s="1"/>
  <c r="H399" i="1"/>
  <c r="C399" i="1" s="1"/>
  <c r="H332" i="1"/>
  <c r="C332" i="1" s="1"/>
  <c r="H68" i="1"/>
  <c r="C68" i="1" s="1"/>
  <c r="H309" i="1"/>
  <c r="C309" i="1" s="1"/>
  <c r="H488" i="1"/>
  <c r="C488" i="1" s="1"/>
  <c r="H453" i="1"/>
  <c r="C453" i="1" s="1"/>
  <c r="AH435" i="1"/>
  <c r="H59" i="1"/>
  <c r="C59" i="1" s="1"/>
  <c r="AC367" i="1"/>
  <c r="H341" i="1"/>
  <c r="C341" i="1" s="1"/>
  <c r="AI366" i="1"/>
  <c r="H498" i="1"/>
  <c r="C498" i="1" s="1"/>
  <c r="AI523" i="1"/>
  <c r="H122" i="1"/>
  <c r="C122" i="1" s="1"/>
  <c r="H29" i="1"/>
  <c r="C29" i="1" s="1"/>
  <c r="H78" i="1"/>
  <c r="C78" i="1" s="1"/>
  <c r="H117" i="1"/>
  <c r="C117" i="1" s="1"/>
  <c r="H118" i="1"/>
  <c r="C118" i="1" s="1"/>
  <c r="H120" i="1"/>
  <c r="C120" i="1" s="1"/>
  <c r="H320" i="1"/>
  <c r="C320" i="1" s="1"/>
  <c r="H312" i="1"/>
  <c r="C312" i="1" s="1"/>
  <c r="C310" i="1"/>
  <c r="H44" i="1"/>
  <c r="C44" i="1" s="1"/>
  <c r="H76" i="1"/>
  <c r="C76" i="1" s="1"/>
  <c r="H57" i="1"/>
  <c r="C57" i="1" s="1"/>
  <c r="H71" i="1"/>
  <c r="C71" i="1" s="1"/>
  <c r="H43" i="1"/>
  <c r="C43" i="1" s="1"/>
  <c r="H82" i="1"/>
  <c r="C82" i="1" s="1"/>
  <c r="H311" i="1"/>
  <c r="C315" i="1"/>
  <c r="C46" i="1"/>
  <c r="C18" i="1"/>
  <c r="C23" i="1"/>
  <c r="AG89" i="1"/>
  <c r="AH514" i="1"/>
  <c r="H180" i="1"/>
  <c r="C180" i="1" s="1"/>
  <c r="H490" i="1"/>
  <c r="H409" i="1"/>
  <c r="C409" i="1" s="1"/>
  <c r="C421" i="1"/>
  <c r="C380" i="1"/>
  <c r="H380" i="1"/>
  <c r="AG507" i="1"/>
  <c r="H326" i="1"/>
  <c r="C326" i="1" s="1"/>
  <c r="AH569" i="1"/>
  <c r="H569" i="1"/>
  <c r="H507" i="1"/>
  <c r="H487" i="1"/>
  <c r="C487" i="1" s="1"/>
  <c r="C571" i="1"/>
  <c r="H571" i="1"/>
  <c r="H477" i="1"/>
  <c r="C477" i="1" s="1"/>
  <c r="H395" i="1"/>
  <c r="C395" i="1" s="1"/>
  <c r="H423" i="1"/>
  <c r="C423" i="1" s="1"/>
  <c r="H598" i="1"/>
  <c r="C598" i="1" s="1"/>
  <c r="H534" i="1"/>
  <c r="C534" i="1" s="1"/>
  <c r="H479" i="1"/>
  <c r="C479" i="1" s="1"/>
  <c r="H593" i="1"/>
  <c r="AD533" i="1"/>
  <c r="H516" i="1"/>
  <c r="C516" i="1" s="1"/>
  <c r="C492" i="1"/>
  <c r="C428" i="1"/>
  <c r="H465" i="1"/>
  <c r="C413" i="1"/>
  <c r="H413" i="1"/>
  <c r="H430" i="1"/>
  <c r="C430" i="1" s="1"/>
  <c r="AG511" i="1"/>
  <c r="C510" i="1"/>
  <c r="C444" i="1"/>
  <c r="H444" i="1"/>
  <c r="H359" i="1"/>
  <c r="C359" i="1" s="1"/>
  <c r="AG557" i="1"/>
  <c r="H557" i="1"/>
  <c r="H351" i="1"/>
  <c r="H443" i="1"/>
  <c r="C443" i="1"/>
  <c r="AC471" i="1"/>
  <c r="AD471" i="1"/>
  <c r="H468" i="1"/>
  <c r="C468" i="1" s="1"/>
  <c r="H436" i="1"/>
  <c r="C436" i="1" s="1"/>
  <c r="AH436" i="1"/>
  <c r="AE436" i="1"/>
  <c r="H401" i="1"/>
  <c r="C401" i="1" s="1"/>
  <c r="H544" i="1"/>
  <c r="C544" i="1" s="1"/>
  <c r="AD369" i="1"/>
  <c r="AC608" i="1"/>
  <c r="AD608" i="1"/>
  <c r="AI543" i="1"/>
  <c r="C396" i="1"/>
  <c r="H482" i="1"/>
  <c r="C482" i="1" s="1"/>
  <c r="C378" i="1"/>
  <c r="C372" i="1"/>
  <c r="C509" i="1"/>
  <c r="H358" i="1"/>
  <c r="C358" i="1" s="1"/>
  <c r="H552" i="1"/>
  <c r="C552" i="1"/>
  <c r="H500" i="1"/>
  <c r="H347" i="1"/>
  <c r="C347" i="1" s="1"/>
  <c r="C582" i="1"/>
  <c r="H582" i="1"/>
  <c r="AC607" i="1"/>
  <c r="AD607" i="1"/>
  <c r="AC434" i="1"/>
  <c r="AD434" i="1"/>
  <c r="AI367" i="1"/>
  <c r="H384" i="1"/>
  <c r="H418" i="1"/>
  <c r="C418" i="1" s="1"/>
  <c r="AG442" i="1"/>
  <c r="H420" i="1"/>
  <c r="C420" i="1" s="1"/>
  <c r="H342" i="1"/>
  <c r="C342" i="1" s="1"/>
  <c r="AG342" i="1"/>
  <c r="AH342" i="1"/>
  <c r="H550" i="1"/>
  <c r="C550" i="1" s="1"/>
  <c r="AC366" i="1"/>
  <c r="H463" i="1"/>
  <c r="C463" i="1" s="1"/>
  <c r="H383" i="1"/>
  <c r="C383" i="1" s="1"/>
  <c r="AI338" i="1"/>
  <c r="AC523" i="1"/>
  <c r="H334" i="1"/>
  <c r="C334" i="1" s="1"/>
  <c r="H372" i="1"/>
  <c r="H300" i="1"/>
  <c r="C300" i="1" s="1"/>
  <c r="H22" i="1"/>
  <c r="C22" i="1" s="1"/>
  <c r="H66" i="1"/>
  <c r="C66" i="1" s="1"/>
  <c r="H298" i="1"/>
  <c r="C298" i="1" s="1"/>
  <c r="H75" i="1"/>
  <c r="C75" i="1" s="1"/>
  <c r="H580" i="1"/>
  <c r="C580" i="1" s="1"/>
  <c r="H536" i="1"/>
  <c r="C536" i="1" s="1"/>
  <c r="AH412" i="1"/>
  <c r="H412" i="1"/>
  <c r="C412" i="1" s="1"/>
  <c r="H390" i="1"/>
  <c r="C390" i="1"/>
  <c r="H451" i="1"/>
  <c r="C451" i="1" s="1"/>
  <c r="H450" i="1"/>
  <c r="C450" i="1" s="1"/>
  <c r="H462" i="1"/>
  <c r="C462" i="1" s="1"/>
  <c r="H349" i="1"/>
  <c r="C349" i="1" s="1"/>
  <c r="H491" i="1"/>
  <c r="C491" i="1" s="1"/>
  <c r="H602" i="1"/>
  <c r="AG602" i="1"/>
  <c r="C602" i="1"/>
  <c r="C483" i="1"/>
  <c r="H605" i="1"/>
  <c r="C605" i="1"/>
  <c r="AE497" i="1"/>
  <c r="H470" i="1"/>
  <c r="C470" i="1" s="1"/>
  <c r="H575" i="1"/>
  <c r="C575" i="1" s="1"/>
  <c r="AC554" i="1"/>
  <c r="AD554" i="1"/>
  <c r="AD339" i="1"/>
  <c r="C593" i="1"/>
  <c r="H433" i="1"/>
  <c r="C433" i="1" s="1"/>
  <c r="H419" i="1"/>
  <c r="C419" i="1" s="1"/>
  <c r="H333" i="1"/>
  <c r="C333" i="1" s="1"/>
  <c r="H417" i="1"/>
  <c r="H438" i="1"/>
  <c r="C438" i="1" s="1"/>
  <c r="AE439" i="1"/>
  <c r="H494" i="1"/>
  <c r="C494" i="1" s="1"/>
  <c r="C475" i="1"/>
  <c r="C348" i="1"/>
  <c r="H404" i="1"/>
  <c r="AC604" i="1"/>
  <c r="AD604" i="1"/>
  <c r="H564" i="1"/>
  <c r="C564" i="1"/>
  <c r="C562" i="1"/>
  <c r="H562" i="1"/>
  <c r="H56" i="1"/>
  <c r="C56" i="1" s="1"/>
  <c r="C384" i="1"/>
  <c r="H357" i="1"/>
  <c r="C357" i="1" s="1"/>
  <c r="AD531" i="1"/>
  <c r="H508" i="1"/>
  <c r="H441" i="1"/>
  <c r="C441" i="1" s="1"/>
  <c r="H527" i="1"/>
  <c r="C527" i="1" s="1"/>
  <c r="H442" i="1"/>
  <c r="AG439" i="1"/>
  <c r="H541" i="1"/>
  <c r="C541" i="1" s="1"/>
  <c r="AI555" i="1"/>
  <c r="H586" i="1"/>
  <c r="C586" i="1" s="1"/>
  <c r="H499" i="1"/>
  <c r="C499" i="1" s="1"/>
  <c r="H480" i="1"/>
  <c r="H352" i="1"/>
  <c r="H125" i="1"/>
  <c r="C125" i="1" s="1"/>
  <c r="H80" i="1"/>
  <c r="C80" i="1" s="1"/>
  <c r="AC338" i="1"/>
  <c r="H542" i="1"/>
  <c r="C542" i="1" s="1"/>
  <c r="H77" i="1"/>
  <c r="C77" i="1" s="1"/>
  <c r="H86" i="1"/>
  <c r="C86" i="1" s="1"/>
  <c r="H62" i="1"/>
  <c r="C62" i="1" s="1"/>
  <c r="H119" i="1"/>
  <c r="C119" i="1" s="1"/>
  <c r="H70" i="1"/>
  <c r="C70" i="1" s="1"/>
  <c r="H69" i="1"/>
  <c r="C69" i="1" s="1"/>
  <c r="H25" i="1"/>
  <c r="C25" i="1" s="1"/>
  <c r="H85" i="1"/>
  <c r="C85" i="1" s="1"/>
  <c r="C102" i="1"/>
  <c r="C113" i="1"/>
  <c r="C105" i="1"/>
  <c r="C108" i="1"/>
  <c r="H505" i="1"/>
  <c r="C505" i="1" s="1"/>
  <c r="H601" i="1"/>
  <c r="C601" i="1" s="1"/>
  <c r="H502" i="1"/>
  <c r="C502" i="1" s="1"/>
  <c r="C425" i="1"/>
  <c r="H461" i="1"/>
  <c r="C461" i="1" s="1"/>
  <c r="AC422" i="1"/>
  <c r="AD422" i="1"/>
  <c r="H476" i="1"/>
  <c r="H577" i="1"/>
  <c r="H393" i="1"/>
  <c r="C393" i="1" s="1"/>
  <c r="H566" i="1"/>
  <c r="H353" i="1"/>
  <c r="C353" i="1"/>
  <c r="AG397" i="1"/>
  <c r="C429" i="1"/>
  <c r="H350" i="1"/>
  <c r="C350" i="1" s="1"/>
  <c r="H573" i="1"/>
  <c r="AE510" i="1"/>
  <c r="H485" i="1"/>
  <c r="C485" i="1" s="1"/>
  <c r="H525" i="1"/>
  <c r="H581" i="1"/>
  <c r="C460" i="1"/>
  <c r="H517" i="1"/>
  <c r="C517" i="1" s="1"/>
  <c r="C507" i="1"/>
  <c r="C511" i="1"/>
  <c r="C343" i="1"/>
  <c r="H414" i="1"/>
  <c r="C414" i="1" s="1"/>
  <c r="H416" i="1"/>
  <c r="C416" i="1" s="1"/>
  <c r="AE593" i="1"/>
  <c r="C469" i="1"/>
  <c r="H546" i="1"/>
  <c r="C546" i="1" s="1"/>
  <c r="C524" i="1"/>
  <c r="H558" i="1"/>
  <c r="C558" i="1"/>
  <c r="AE558" i="1"/>
  <c r="AH559" i="1"/>
  <c r="H392" i="1"/>
  <c r="C392" i="1" s="1"/>
  <c r="C551" i="1"/>
  <c r="H551" i="1"/>
  <c r="H590" i="1"/>
  <c r="C590" i="1" s="1"/>
  <c r="H454" i="1"/>
  <c r="C454" i="1" s="1"/>
  <c r="H389" i="1"/>
  <c r="C389" i="1" s="1"/>
  <c r="H612" i="1"/>
  <c r="C612" i="1"/>
  <c r="C526" i="1"/>
  <c r="AC504" i="1"/>
  <c r="AD504" i="1"/>
  <c r="H524" i="1"/>
  <c r="C457" i="1"/>
  <c r="H440" i="1"/>
  <c r="C440" i="1" s="1"/>
  <c r="H314" i="1"/>
  <c r="C314" i="1" s="1"/>
  <c r="C519" i="1"/>
  <c r="H346" i="1"/>
  <c r="C346" i="1" s="1"/>
  <c r="H472" i="1"/>
  <c r="C472" i="1" s="1"/>
  <c r="C404" i="1"/>
  <c r="H545" i="1"/>
  <c r="C545" i="1" s="1"/>
  <c r="C467" i="1"/>
  <c r="H467" i="1"/>
  <c r="H124" i="1"/>
  <c r="C124" i="1" s="1"/>
  <c r="H54" i="1"/>
  <c r="C54" i="1" s="1"/>
  <c r="AD368" i="1"/>
  <c r="AC368" i="1"/>
  <c r="H478" i="1"/>
  <c r="C478" i="1" s="1"/>
  <c r="C442" i="1"/>
  <c r="C588" i="1"/>
  <c r="H567" i="1"/>
  <c r="C567" i="1" s="1"/>
  <c r="H439" i="1"/>
  <c r="C439" i="1" s="1"/>
  <c r="C375" i="1"/>
  <c r="C340" i="1"/>
  <c r="AC555" i="1"/>
  <c r="H520" i="1"/>
  <c r="C520" i="1" s="1"/>
  <c r="H431" i="1"/>
  <c r="C431" i="1" s="1"/>
  <c r="H382" i="1"/>
  <c r="C382" i="1"/>
  <c r="AE381" i="1"/>
  <c r="H67" i="1"/>
  <c r="C67" i="1" s="1"/>
  <c r="H402" i="1"/>
  <c r="C402" i="1" s="1"/>
  <c r="H432" i="1"/>
  <c r="C432" i="1" s="1"/>
  <c r="H397" i="1"/>
  <c r="C397" i="1" s="1"/>
  <c r="H400" i="1"/>
  <c r="C400" i="1" s="1"/>
  <c r="H175" i="1"/>
  <c r="C175" i="1" s="1"/>
  <c r="H49" i="1"/>
  <c r="C49" i="1" s="1"/>
  <c r="H317" i="1"/>
  <c r="H83" i="1"/>
  <c r="C83" i="1" s="1"/>
  <c r="H61" i="1"/>
  <c r="C61" i="1" s="1"/>
  <c r="C13" i="1"/>
  <c r="AE304" i="1"/>
  <c r="AF299" i="1"/>
  <c r="AD299" i="1"/>
  <c r="AE299" i="1"/>
  <c r="AD304" i="1"/>
  <c r="AG299" i="1"/>
  <c r="AG304" i="1"/>
  <c r="AH304" i="1"/>
  <c r="AG106" i="1"/>
  <c r="AH299" i="1"/>
  <c r="H133" i="1"/>
  <c r="C133" i="1" s="1"/>
  <c r="H183" i="1"/>
  <c r="C183" i="1" s="1"/>
  <c r="C98" i="1"/>
  <c r="C313" i="1"/>
  <c r="C306" i="1"/>
  <c r="C107" i="1"/>
  <c r="H304" i="1"/>
  <c r="C304" i="1" s="1"/>
  <c r="C317" i="1"/>
  <c r="H30" i="1"/>
  <c r="C30" i="1" s="1"/>
  <c r="C16" i="1"/>
  <c r="C135" i="1"/>
  <c r="H72" i="1"/>
  <c r="C72" i="1" s="1"/>
  <c r="H135" i="1"/>
  <c r="H302" i="1"/>
  <c r="C302" i="1" s="1"/>
  <c r="H112" i="1"/>
  <c r="C112" i="1" s="1"/>
  <c r="H107" i="1"/>
  <c r="H84" i="1"/>
  <c r="C84" i="1" s="1"/>
  <c r="H307" i="1"/>
  <c r="C307" i="1" s="1"/>
  <c r="H114" i="1"/>
  <c r="C114" i="1" s="1"/>
  <c r="H34" i="1"/>
  <c r="C34" i="1" s="1"/>
  <c r="H325" i="1"/>
  <c r="C325" i="1" s="1"/>
  <c r="H299" i="1"/>
  <c r="C299" i="1" s="1"/>
  <c r="H177" i="1"/>
  <c r="C177" i="1" s="1"/>
  <c r="H87" i="1"/>
  <c r="C87" i="1" s="1"/>
  <c r="H116" i="1"/>
  <c r="C116" i="1" s="1"/>
  <c r="H101" i="1"/>
  <c r="C101" i="1" s="1"/>
  <c r="H32" i="1"/>
  <c r="C32" i="1" s="1"/>
  <c r="H127" i="1"/>
  <c r="C127" i="1" s="1"/>
  <c r="H306" i="1"/>
  <c r="H123" i="1"/>
  <c r="C123" i="1" s="1"/>
  <c r="H74" i="1"/>
  <c r="C74" i="1" s="1"/>
  <c r="H37" i="1"/>
  <c r="C37" i="1" s="1"/>
  <c r="H90" i="1"/>
  <c r="C90" i="1" s="1"/>
  <c r="H31" i="1"/>
  <c r="C31" i="1" s="1"/>
  <c r="H38" i="1"/>
  <c r="C38" i="1" s="1"/>
  <c r="H50" i="1"/>
  <c r="C50" i="1" s="1"/>
  <c r="H185" i="1"/>
  <c r="C185" i="1" s="1"/>
  <c r="H323" i="1"/>
  <c r="C323" i="1" s="1"/>
  <c r="H52" i="1"/>
  <c r="C52" i="1" s="1"/>
  <c r="H16" i="1"/>
  <c r="H15" i="1"/>
  <c r="C15" i="1" s="1"/>
  <c r="H51" i="1"/>
  <c r="C51" i="1" s="1"/>
  <c r="H121" i="1"/>
  <c r="C121" i="1" s="1"/>
  <c r="H184" i="1"/>
  <c r="C184" i="1" s="1"/>
  <c r="H36" i="1"/>
  <c r="C36" i="1" s="1"/>
  <c r="H28" i="1"/>
  <c r="C28" i="1" s="1"/>
  <c r="H53" i="1"/>
  <c r="C53" i="1" s="1"/>
  <c r="H58" i="1"/>
  <c r="C58" i="1" s="1"/>
  <c r="H106" i="1"/>
  <c r="C106" i="1" s="1"/>
  <c r="H79" i="1"/>
  <c r="C79" i="1" s="1"/>
  <c r="H100" i="1"/>
  <c r="C100" i="1" s="1"/>
  <c r="H308" i="1"/>
  <c r="C308" i="1" s="1"/>
  <c r="H19" i="1"/>
  <c r="C19" i="1" s="1"/>
  <c r="H115" i="1"/>
  <c r="C115" i="1" s="1"/>
  <c r="H187" i="1"/>
  <c r="C187" i="1" s="1"/>
  <c r="H98" i="1"/>
  <c r="H301" i="1"/>
  <c r="C301" i="1" s="1"/>
  <c r="H35" i="1"/>
  <c r="C35" i="1" s="1"/>
  <c r="H136" i="1"/>
  <c r="C136" i="1" s="1"/>
  <c r="H27" i="1"/>
  <c r="C27" i="1" s="1"/>
  <c r="H65" i="1"/>
  <c r="C65" i="1" s="1"/>
  <c r="H20" i="1"/>
  <c r="C20" i="1" s="1"/>
  <c r="H73" i="1"/>
  <c r="C73" i="1" s="1"/>
  <c r="H41" i="1"/>
  <c r="C41" i="1" s="1"/>
  <c r="H129" i="1"/>
  <c r="C129" i="1" s="1"/>
  <c r="H33" i="1"/>
  <c r="C33" i="1" s="1"/>
  <c r="H188" i="1"/>
  <c r="C188" i="1" s="1"/>
  <c r="DJ475" i="15" l="1"/>
  <c r="DJ801" i="15"/>
  <c r="DJ641" i="15"/>
  <c r="DK641" i="15" s="1"/>
  <c r="DJ604" i="15"/>
  <c r="DJ642" i="15"/>
  <c r="DJ417" i="15"/>
  <c r="DJ428" i="15"/>
  <c r="DJ672" i="15"/>
  <c r="DJ311" i="15"/>
  <c r="DJ284" i="15"/>
  <c r="DJ771" i="15"/>
  <c r="DJ414" i="15"/>
  <c r="DJ614" i="15"/>
  <c r="DJ243" i="15"/>
  <c r="DJ384" i="15"/>
  <c r="DJ675" i="15"/>
  <c r="DJ104" i="15"/>
  <c r="DJ804" i="15"/>
  <c r="DJ814" i="15"/>
  <c r="DJ73" i="15"/>
  <c r="DJ733" i="15"/>
  <c r="DJ686" i="15"/>
  <c r="DJ513" i="15"/>
  <c r="DJ543" i="15"/>
  <c r="DJ546" i="15"/>
  <c r="DJ443" i="15"/>
  <c r="DJ135" i="15"/>
  <c r="DJ694" i="15"/>
  <c r="DJ436" i="15"/>
  <c r="DJ773" i="15"/>
  <c r="DJ644" i="15"/>
  <c r="DJ515" i="15"/>
  <c r="DJ386" i="15"/>
  <c r="DJ759" i="15"/>
  <c r="DJ509" i="15"/>
  <c r="DJ811" i="15"/>
  <c r="DJ682" i="15"/>
  <c r="DJ553" i="15"/>
  <c r="DJ424" i="15"/>
  <c r="DJ42" i="15"/>
  <c r="DK42" i="15" s="1"/>
  <c r="DJ713" i="15"/>
  <c r="DK713" i="15" s="1"/>
  <c r="DJ584" i="15"/>
  <c r="DJ454" i="15"/>
  <c r="DJ163" i="15"/>
  <c r="DJ720" i="15"/>
  <c r="DJ591" i="15"/>
  <c r="DJ461" i="15"/>
  <c r="DJ175" i="15"/>
  <c r="DJ701" i="15"/>
  <c r="DJ524" i="15"/>
  <c r="DJ38" i="15"/>
  <c r="DJ162" i="15"/>
  <c r="DJ217" i="15"/>
  <c r="DJ248" i="15"/>
  <c r="DJ823" i="15"/>
  <c r="DJ573" i="15"/>
  <c r="DJ90" i="15"/>
  <c r="DJ708" i="15"/>
  <c r="DJ580" i="15"/>
  <c r="DJ450" i="15"/>
  <c r="DJ147" i="15"/>
  <c r="DJ638" i="15"/>
  <c r="DJ380" i="15"/>
  <c r="DJ747" i="15"/>
  <c r="DJ618" i="15"/>
  <c r="DJ489" i="15"/>
  <c r="DJ300" i="15"/>
  <c r="DK300" i="15" s="1"/>
  <c r="DJ777" i="15"/>
  <c r="DJ648" i="15"/>
  <c r="DJ519" i="15"/>
  <c r="DJ390" i="15"/>
  <c r="DJ784" i="15"/>
  <c r="DJ655" i="15"/>
  <c r="DJ526" i="15"/>
  <c r="DJ397" i="15"/>
  <c r="DJ786" i="15"/>
  <c r="DJ613" i="15"/>
  <c r="DJ411" i="15"/>
  <c r="DJ275" i="15"/>
  <c r="DJ17" i="15"/>
  <c r="DJ44" i="15"/>
  <c r="DJ75" i="15"/>
  <c r="DJ743" i="15"/>
  <c r="DJ485" i="15"/>
  <c r="DJ797" i="15"/>
  <c r="DJ668" i="15"/>
  <c r="DK668" i="15" s="1"/>
  <c r="DJ539" i="15"/>
  <c r="DJ410" i="15"/>
  <c r="DJ815" i="15"/>
  <c r="DJ557" i="15"/>
  <c r="DJ58" i="15"/>
  <c r="DJ706" i="15"/>
  <c r="DJ578" i="15"/>
  <c r="DK578" i="15" s="1"/>
  <c r="DJ448" i="15"/>
  <c r="DJ138" i="15"/>
  <c r="DJ737" i="15"/>
  <c r="DJ608" i="15"/>
  <c r="DJ479" i="15"/>
  <c r="DJ259" i="15"/>
  <c r="DJ740" i="15"/>
  <c r="DJ611" i="15"/>
  <c r="DK611" i="15" s="1"/>
  <c r="DJ482" i="15"/>
  <c r="DJ272" i="15"/>
  <c r="DJ726" i="15"/>
  <c r="DJ556" i="15"/>
  <c r="DJ183" i="15"/>
  <c r="DJ194" i="15"/>
  <c r="DJ278" i="15"/>
  <c r="DJ305" i="15"/>
  <c r="DJ807" i="15"/>
  <c r="DJ678" i="15"/>
  <c r="DJ549" i="15"/>
  <c r="DJ420" i="15"/>
  <c r="DJ26" i="15"/>
  <c r="DJ765" i="15"/>
  <c r="DJ700" i="15"/>
  <c r="DJ636" i="15"/>
  <c r="DJ571" i="15"/>
  <c r="DJ507" i="15"/>
  <c r="DJ442" i="15"/>
  <c r="DJ372" i="15"/>
  <c r="DJ114" i="15"/>
  <c r="DJ751" i="15"/>
  <c r="DJ622" i="15"/>
  <c r="DJ493" i="15"/>
  <c r="DJ316" i="15"/>
  <c r="DJ803" i="15"/>
  <c r="DJ739" i="15"/>
  <c r="DJ674" i="15"/>
  <c r="DJ610" i="15"/>
  <c r="DJ545" i="15"/>
  <c r="DJ481" i="15"/>
  <c r="DJ416" i="15"/>
  <c r="DJ267" i="15"/>
  <c r="DJ10" i="15"/>
  <c r="DJ769" i="15"/>
  <c r="DJ704" i="15"/>
  <c r="DJ640" i="15"/>
  <c r="DJ575" i="15"/>
  <c r="DJ511" i="15"/>
  <c r="DJ446" i="15"/>
  <c r="DJ382" i="15"/>
  <c r="DJ66" i="15"/>
  <c r="DJ772" i="15"/>
  <c r="DJ707" i="15"/>
  <c r="DJ643" i="15"/>
  <c r="DJ579" i="15"/>
  <c r="DJ514" i="15"/>
  <c r="DK514" i="15" s="1"/>
  <c r="DJ449" i="15"/>
  <c r="DJ385" i="15"/>
  <c r="DJ110" i="15"/>
  <c r="DJ770" i="15"/>
  <c r="DJ685" i="15"/>
  <c r="DJ597" i="15"/>
  <c r="DJ504" i="15"/>
  <c r="DJ391" i="15"/>
  <c r="DJ363" i="15"/>
  <c r="DJ250" i="15"/>
  <c r="DJ137" i="15"/>
  <c r="DJ362" i="15"/>
  <c r="DJ189" i="15"/>
  <c r="DJ20" i="15"/>
  <c r="DJ220" i="15"/>
  <c r="DJ47" i="15"/>
  <c r="DJ767" i="15"/>
  <c r="DJ630" i="15"/>
  <c r="DJ501" i="15"/>
  <c r="DJ348" i="15"/>
  <c r="DJ805" i="15"/>
  <c r="DJ741" i="15"/>
  <c r="DJ676" i="15"/>
  <c r="DJ612" i="15"/>
  <c r="DJ547" i="15"/>
  <c r="DJ483" i="15"/>
  <c r="DJ418" i="15"/>
  <c r="DJ276" i="15"/>
  <c r="DJ18" i="15"/>
  <c r="DJ702" i="15"/>
  <c r="DJ565" i="15"/>
  <c r="DJ444" i="15"/>
  <c r="DJ122" i="15"/>
  <c r="DJ779" i="15"/>
  <c r="DJ715" i="15"/>
  <c r="DJ650" i="15"/>
  <c r="DJ586" i="15"/>
  <c r="DJ521" i="15"/>
  <c r="DJ456" i="15"/>
  <c r="DJ392" i="15"/>
  <c r="DJ171" i="15"/>
  <c r="DJ809" i="15"/>
  <c r="DJ745" i="15"/>
  <c r="DJ680" i="15"/>
  <c r="DJ616" i="15"/>
  <c r="DJ551" i="15"/>
  <c r="DJ487" i="15"/>
  <c r="DJ422" i="15"/>
  <c r="DJ292" i="15"/>
  <c r="DJ816" i="15"/>
  <c r="DJ752" i="15"/>
  <c r="DJ687" i="15"/>
  <c r="DJ623" i="15"/>
  <c r="DJ558" i="15"/>
  <c r="DJ494" i="15"/>
  <c r="DJ429" i="15"/>
  <c r="DJ320" i="15"/>
  <c r="DJ14" i="15"/>
  <c r="DJ742" i="15"/>
  <c r="DJ657" i="15"/>
  <c r="DJ572" i="15"/>
  <c r="DJ463" i="15"/>
  <c r="DJ263" i="15"/>
  <c r="DJ331" i="15"/>
  <c r="DJ214" i="15"/>
  <c r="DJ101" i="15"/>
  <c r="DJ302" i="15"/>
  <c r="DJ132" i="15"/>
  <c r="DJ333" i="15"/>
  <c r="DJ6" i="15"/>
  <c r="DK6" i="15" s="1"/>
  <c r="DJ35" i="15"/>
  <c r="DJ59" i="15"/>
  <c r="DJ79" i="15"/>
  <c r="DJ103" i="15"/>
  <c r="DJ123" i="15"/>
  <c r="DJ144" i="15"/>
  <c r="DK144" i="15" s="1"/>
  <c r="DJ168" i="15"/>
  <c r="DK168" i="15" s="1"/>
  <c r="DJ188" i="15"/>
  <c r="DJ208" i="15"/>
  <c r="DJ232" i="15"/>
  <c r="DK232" i="15" s="1"/>
  <c r="DJ252" i="15"/>
  <c r="DJ273" i="15"/>
  <c r="DJ297" i="15"/>
  <c r="DJ317" i="15"/>
  <c r="DJ337" i="15"/>
  <c r="DJ361" i="15"/>
  <c r="DJ8" i="15"/>
  <c r="DK8" i="15" s="1"/>
  <c r="DJ28" i="15"/>
  <c r="DJ52" i="15"/>
  <c r="DJ72" i="15"/>
  <c r="DJ92" i="15"/>
  <c r="DJ116" i="15"/>
  <c r="DJ136" i="15"/>
  <c r="DJ157" i="15"/>
  <c r="DJ181" i="15"/>
  <c r="DJ201" i="15"/>
  <c r="DJ221" i="15"/>
  <c r="DJ245" i="15"/>
  <c r="DJ265" i="15"/>
  <c r="DJ286" i="15"/>
  <c r="DJ310" i="15"/>
  <c r="DJ330" i="15"/>
  <c r="DJ350" i="15"/>
  <c r="DJ374" i="15"/>
  <c r="DJ21" i="15"/>
  <c r="DJ41" i="15"/>
  <c r="DJ65" i="15"/>
  <c r="DK65" i="15" s="1"/>
  <c r="DJ85" i="15"/>
  <c r="DJ15" i="15"/>
  <c r="DJ43" i="15"/>
  <c r="DJ63" i="15"/>
  <c r="DJ87" i="15"/>
  <c r="DJ107" i="15"/>
  <c r="DJ127" i="15"/>
  <c r="DJ152" i="15"/>
  <c r="DJ172" i="15"/>
  <c r="DJ192" i="15"/>
  <c r="DJ216" i="15"/>
  <c r="DJ236" i="15"/>
  <c r="DJ256" i="15"/>
  <c r="DJ281" i="15"/>
  <c r="DJ301" i="15"/>
  <c r="DJ321" i="15"/>
  <c r="DJ345" i="15"/>
  <c r="DJ365" i="15"/>
  <c r="DJ12" i="15"/>
  <c r="DJ36" i="15"/>
  <c r="DJ56" i="15"/>
  <c r="DJ76" i="15"/>
  <c r="DJ100" i="15"/>
  <c r="DJ120" i="15"/>
  <c r="DJ140" i="15"/>
  <c r="DJ165" i="15"/>
  <c r="DJ185" i="15"/>
  <c r="DJ205" i="15"/>
  <c r="DJ229" i="15"/>
  <c r="DJ249" i="15"/>
  <c r="DJ270" i="15"/>
  <c r="DK270" i="15" s="1"/>
  <c r="DJ294" i="15"/>
  <c r="DJ314" i="15"/>
  <c r="DJ334" i="15"/>
  <c r="DJ358" i="15"/>
  <c r="DJ378" i="15"/>
  <c r="DJ25" i="15"/>
  <c r="DJ49" i="15"/>
  <c r="DJ69" i="15"/>
  <c r="DJ89" i="15"/>
  <c r="DJ113" i="15"/>
  <c r="DJ133" i="15"/>
  <c r="DJ154" i="15"/>
  <c r="DJ178" i="15"/>
  <c r="DJ198" i="15"/>
  <c r="DJ218" i="15"/>
  <c r="DJ242" i="15"/>
  <c r="DJ262" i="15"/>
  <c r="DJ283" i="15"/>
  <c r="DJ307" i="15"/>
  <c r="DJ327" i="15"/>
  <c r="DJ347" i="15"/>
  <c r="DJ371" i="15"/>
  <c r="DK371" i="15" s="1"/>
  <c r="DJ54" i="15"/>
  <c r="DJ134" i="15"/>
  <c r="DJ231" i="15"/>
  <c r="DJ312" i="15"/>
  <c r="DJ383" i="15"/>
  <c r="DJ407" i="15"/>
  <c r="DK407" i="15" s="1"/>
  <c r="DJ427" i="15"/>
  <c r="DJ447" i="15"/>
  <c r="DJ472" i="15"/>
  <c r="DK472" i="15" s="1"/>
  <c r="DJ492" i="15"/>
  <c r="DJ512" i="15"/>
  <c r="DJ536" i="15"/>
  <c r="DJ552" i="15"/>
  <c r="DJ568" i="15"/>
  <c r="DJ585" i="15"/>
  <c r="DJ601" i="15"/>
  <c r="DJ617" i="15"/>
  <c r="DJ633" i="15"/>
  <c r="DJ649" i="15"/>
  <c r="DJ665" i="15"/>
  <c r="DJ681" i="15"/>
  <c r="DJ697" i="15"/>
  <c r="DJ714" i="15"/>
  <c r="DK714" i="15" s="1"/>
  <c r="DJ730" i="15"/>
  <c r="DJ746" i="15"/>
  <c r="DJ762" i="15"/>
  <c r="DJ778" i="15"/>
  <c r="DJ794" i="15"/>
  <c r="DJ810" i="15"/>
  <c r="DJ826" i="15"/>
  <c r="DJ62" i="15"/>
  <c r="DJ126" i="15"/>
  <c r="DJ191" i="15"/>
  <c r="DJ55" i="15"/>
  <c r="DJ95" i="15"/>
  <c r="DJ139" i="15"/>
  <c r="DJ184" i="15"/>
  <c r="DJ224" i="15"/>
  <c r="DJ268" i="15"/>
  <c r="DJ313" i="15"/>
  <c r="DJ353" i="15"/>
  <c r="DJ24" i="15"/>
  <c r="DJ68" i="15"/>
  <c r="DJ108" i="15"/>
  <c r="DJ153" i="15"/>
  <c r="DJ197" i="15"/>
  <c r="DJ237" i="15"/>
  <c r="DJ282" i="15"/>
  <c r="DJ326" i="15"/>
  <c r="DJ366" i="15"/>
  <c r="DJ37" i="15"/>
  <c r="DJ81" i="15"/>
  <c r="DJ117" i="15"/>
  <c r="DJ146" i="15"/>
  <c r="DJ170" i="15"/>
  <c r="DJ202" i="15"/>
  <c r="DJ230" i="15"/>
  <c r="DJ258" i="15"/>
  <c r="DJ291" i="15"/>
  <c r="DJ315" i="15"/>
  <c r="DJ343" i="15"/>
  <c r="DJ375" i="15"/>
  <c r="DJ102" i="15"/>
  <c r="DJ199" i="15"/>
  <c r="DJ328" i="15"/>
  <c r="DJ395" i="15"/>
  <c r="DJ423" i="15"/>
  <c r="DJ455" i="15"/>
  <c r="DK455" i="15" s="1"/>
  <c r="DJ480" i="15"/>
  <c r="DJ508" i="15"/>
  <c r="DJ540" i="15"/>
  <c r="DJ560" i="15"/>
  <c r="DJ581" i="15"/>
  <c r="DJ605" i="15"/>
  <c r="DJ625" i="15"/>
  <c r="DJ645" i="15"/>
  <c r="DJ669" i="15"/>
  <c r="DJ689" i="15"/>
  <c r="DJ709" i="15"/>
  <c r="DJ734" i="15"/>
  <c r="DJ754" i="15"/>
  <c r="DK754" i="15" s="1"/>
  <c r="DJ774" i="15"/>
  <c r="DJ798" i="15"/>
  <c r="DJ818" i="15"/>
  <c r="DJ46" i="15"/>
  <c r="DJ142" i="15"/>
  <c r="DJ223" i="15"/>
  <c r="DJ288" i="15"/>
  <c r="DJ352" i="15"/>
  <c r="DJ389" i="15"/>
  <c r="DJ405" i="15"/>
  <c r="DJ421" i="15"/>
  <c r="DJ437" i="15"/>
  <c r="DJ453" i="15"/>
  <c r="DJ469" i="15"/>
  <c r="DJ486" i="15"/>
  <c r="DJ502" i="15"/>
  <c r="DJ518" i="15"/>
  <c r="DJ534" i="15"/>
  <c r="DJ550" i="15"/>
  <c r="DJ566" i="15"/>
  <c r="DJ583" i="15"/>
  <c r="DJ599" i="15"/>
  <c r="DJ615" i="15"/>
  <c r="DJ631" i="15"/>
  <c r="DJ647" i="15"/>
  <c r="DJ663" i="15"/>
  <c r="DJ679" i="15"/>
  <c r="DJ695" i="15"/>
  <c r="DJ711" i="15"/>
  <c r="DJ728" i="15"/>
  <c r="DJ744" i="15"/>
  <c r="DJ760" i="15"/>
  <c r="DJ776" i="15"/>
  <c r="DK776" i="15" s="1"/>
  <c r="DJ792" i="15"/>
  <c r="DJ808" i="15"/>
  <c r="DJ824" i="15"/>
  <c r="DJ98" i="15"/>
  <c r="DK98" i="15" s="1"/>
  <c r="DJ19" i="15"/>
  <c r="DJ71" i="15"/>
  <c r="DJ111" i="15"/>
  <c r="DJ156" i="15"/>
  <c r="DJ200" i="15"/>
  <c r="DJ240" i="15"/>
  <c r="DJ285" i="15"/>
  <c r="DJ329" i="15"/>
  <c r="DJ369" i="15"/>
  <c r="DJ40" i="15"/>
  <c r="DJ84" i="15"/>
  <c r="DJ124" i="15"/>
  <c r="DJ169" i="15"/>
  <c r="DJ213" i="15"/>
  <c r="DJ253" i="15"/>
  <c r="DJ298" i="15"/>
  <c r="DJ342" i="15"/>
  <c r="DJ9" i="15"/>
  <c r="DK9" i="15" s="1"/>
  <c r="DJ53" i="15"/>
  <c r="DJ97" i="15"/>
  <c r="DJ121" i="15"/>
  <c r="DJ150" i="15"/>
  <c r="DJ182" i="15"/>
  <c r="DJ210" i="15"/>
  <c r="DJ234" i="15"/>
  <c r="DJ266" i="15"/>
  <c r="DJ295" i="15"/>
  <c r="DJ323" i="15"/>
  <c r="DJ355" i="15"/>
  <c r="DJ379" i="15"/>
  <c r="DJ118" i="15"/>
  <c r="DJ247" i="15"/>
  <c r="DJ360" i="15"/>
  <c r="DJ399" i="15"/>
  <c r="DJ431" i="15"/>
  <c r="DJ459" i="15"/>
  <c r="DJ488" i="15"/>
  <c r="DJ520" i="15"/>
  <c r="DJ544" i="15"/>
  <c r="DJ564" i="15"/>
  <c r="DJ589" i="15"/>
  <c r="DJ609" i="15"/>
  <c r="DJ629" i="15"/>
  <c r="DJ653" i="15"/>
  <c r="DJ673" i="15"/>
  <c r="DJ693" i="15"/>
  <c r="DJ718" i="15"/>
  <c r="DJ738" i="15"/>
  <c r="DJ758" i="15"/>
  <c r="DJ782" i="15"/>
  <c r="DJ802" i="15"/>
  <c r="DJ822" i="15"/>
  <c r="DJ78" i="15"/>
  <c r="DJ159" i="15"/>
  <c r="DJ239" i="15"/>
  <c r="DJ304" i="15"/>
  <c r="DJ368" i="15"/>
  <c r="DJ393" i="15"/>
  <c r="DJ409" i="15"/>
  <c r="DJ425" i="15"/>
  <c r="DJ441" i="15"/>
  <c r="DJ457" i="15"/>
  <c r="DJ474" i="15"/>
  <c r="DJ490" i="15"/>
  <c r="DJ506" i="15"/>
  <c r="DJ522" i="15"/>
  <c r="DJ538" i="15"/>
  <c r="DJ554" i="15"/>
  <c r="DJ570" i="15"/>
  <c r="DJ587" i="15"/>
  <c r="DJ603" i="15"/>
  <c r="DJ619" i="15"/>
  <c r="DJ635" i="15"/>
  <c r="DJ651" i="15"/>
  <c r="DJ667" i="15"/>
  <c r="DJ683" i="15"/>
  <c r="DJ699" i="15"/>
  <c r="DJ716" i="15"/>
  <c r="DJ732" i="15"/>
  <c r="DK732" i="15" s="1"/>
  <c r="DJ748" i="15"/>
  <c r="DJ764" i="15"/>
  <c r="DJ780" i="15"/>
  <c r="DJ796" i="15"/>
  <c r="DK796" i="15" s="1"/>
  <c r="DJ812" i="15"/>
  <c r="DJ828" i="15"/>
  <c r="DK828" i="15" s="1"/>
  <c r="DJ130" i="15"/>
  <c r="DJ791" i="15"/>
  <c r="DJ727" i="15"/>
  <c r="DJ662" i="15"/>
  <c r="DJ598" i="15"/>
  <c r="DJ533" i="15"/>
  <c r="DJ468" i="15"/>
  <c r="DJ404" i="15"/>
  <c r="DJ219" i="15"/>
  <c r="DK219" i="15" s="1"/>
  <c r="DJ821" i="15"/>
  <c r="DJ789" i="15"/>
  <c r="DJ757" i="15"/>
  <c r="DJ725" i="15"/>
  <c r="DJ692" i="15"/>
  <c r="DJ660" i="15"/>
  <c r="DJ628" i="15"/>
  <c r="DJ596" i="15"/>
  <c r="DJ563" i="15"/>
  <c r="DJ531" i="15"/>
  <c r="DJ499" i="15"/>
  <c r="DJ466" i="15"/>
  <c r="DJ434" i="15"/>
  <c r="DJ402" i="15"/>
  <c r="DJ340" i="15"/>
  <c r="DJ211" i="15"/>
  <c r="DJ82" i="15"/>
  <c r="DJ799" i="15"/>
  <c r="DJ735" i="15"/>
  <c r="DJ670" i="15"/>
  <c r="DJ606" i="15"/>
  <c r="DJ541" i="15"/>
  <c r="DJ477" i="15"/>
  <c r="DJ412" i="15"/>
  <c r="DJ251" i="15"/>
  <c r="DK251" i="15" s="1"/>
  <c r="DJ827" i="15"/>
  <c r="DJ795" i="15"/>
  <c r="DJ763" i="15"/>
  <c r="DJ731" i="15"/>
  <c r="DJ698" i="15"/>
  <c r="DJ666" i="15"/>
  <c r="DJ634" i="15"/>
  <c r="DJ602" i="15"/>
  <c r="DJ569" i="15"/>
  <c r="DJ537" i="15"/>
  <c r="DJ505" i="15"/>
  <c r="DJ473" i="15"/>
  <c r="DJ440" i="15"/>
  <c r="DJ408" i="15"/>
  <c r="DJ364" i="15"/>
  <c r="DJ235" i="15"/>
  <c r="DJ106" i="15"/>
  <c r="DJ825" i="15"/>
  <c r="DJ793" i="15"/>
  <c r="DJ761" i="15"/>
  <c r="DJ729" i="15"/>
  <c r="DJ696" i="15"/>
  <c r="DJ664" i="15"/>
  <c r="DJ632" i="15"/>
  <c r="DJ600" i="15"/>
  <c r="DJ567" i="15"/>
  <c r="DJ535" i="15"/>
  <c r="DJ503" i="15"/>
  <c r="DJ471" i="15"/>
  <c r="DK471" i="15" s="1"/>
  <c r="DJ438" i="15"/>
  <c r="DJ406" i="15"/>
  <c r="DJ356" i="15"/>
  <c r="DJ227" i="15"/>
  <c r="DJ34" i="15"/>
  <c r="DK34" i="15" s="1"/>
  <c r="DJ800" i="15"/>
  <c r="DJ768" i="15"/>
  <c r="DJ736" i="15"/>
  <c r="DJ703" i="15"/>
  <c r="DJ671" i="15"/>
  <c r="DJ639" i="15"/>
  <c r="DJ607" i="15"/>
  <c r="DJ574" i="15"/>
  <c r="DJ542" i="15"/>
  <c r="DJ510" i="15"/>
  <c r="DJ478" i="15"/>
  <c r="DJ445" i="15"/>
  <c r="DJ413" i="15"/>
  <c r="DJ381" i="15"/>
  <c r="DJ255" i="15"/>
  <c r="DJ94" i="15"/>
  <c r="DJ806" i="15"/>
  <c r="DJ766" i="15"/>
  <c r="DJ722" i="15"/>
  <c r="DJ677" i="15"/>
  <c r="DJ637" i="15"/>
  <c r="DJ593" i="15"/>
  <c r="DJ548" i="15"/>
  <c r="DK548" i="15" s="1"/>
  <c r="DJ496" i="15"/>
  <c r="DJ439" i="15"/>
  <c r="DJ376" i="15"/>
  <c r="DJ167" i="15"/>
  <c r="DJ359" i="15"/>
  <c r="DJ299" i="15"/>
  <c r="DJ246" i="15"/>
  <c r="DJ186" i="15"/>
  <c r="DJ129" i="15"/>
  <c r="DJ57" i="15"/>
  <c r="DJ346" i="15"/>
  <c r="DJ261" i="15"/>
  <c r="DJ173" i="15"/>
  <c r="DJ88" i="15"/>
  <c r="DJ377" i="15"/>
  <c r="DJ289" i="15"/>
  <c r="DJ204" i="15"/>
  <c r="DJ119" i="15"/>
  <c r="DJ27" i="15"/>
  <c r="DJ775" i="15"/>
  <c r="DJ710" i="15"/>
  <c r="DJ646" i="15"/>
  <c r="DJ590" i="15"/>
  <c r="DJ517" i="15"/>
  <c r="DJ452" i="15"/>
  <c r="DJ388" i="15"/>
  <c r="DJ155" i="15"/>
  <c r="DJ813" i="15"/>
  <c r="DJ781" i="15"/>
  <c r="DJ749" i="15"/>
  <c r="DJ717" i="15"/>
  <c r="DJ684" i="15"/>
  <c r="DJ652" i="15"/>
  <c r="DJ620" i="15"/>
  <c r="DJ588" i="15"/>
  <c r="DJ555" i="15"/>
  <c r="DJ523" i="15"/>
  <c r="DJ491" i="15"/>
  <c r="DK491" i="15" s="1"/>
  <c r="DJ458" i="15"/>
  <c r="DJ426" i="15"/>
  <c r="DJ394" i="15"/>
  <c r="DJ308" i="15"/>
  <c r="DJ179" i="15"/>
  <c r="DJ50" i="15"/>
  <c r="DJ783" i="15"/>
  <c r="DJ719" i="15"/>
  <c r="DJ654" i="15"/>
  <c r="DJ582" i="15"/>
  <c r="DJ525" i="15"/>
  <c r="DJ460" i="15"/>
  <c r="DJ396" i="15"/>
  <c r="DJ187" i="15"/>
  <c r="DJ819" i="15"/>
  <c r="DJ787" i="15"/>
  <c r="DJ755" i="15"/>
  <c r="DJ723" i="15"/>
  <c r="DJ690" i="15"/>
  <c r="DJ658" i="15"/>
  <c r="DJ626" i="15"/>
  <c r="DJ594" i="15"/>
  <c r="DJ561" i="15"/>
  <c r="DJ529" i="15"/>
  <c r="DK529" i="15" s="1"/>
  <c r="DJ497" i="15"/>
  <c r="DJ464" i="15"/>
  <c r="DJ432" i="15"/>
  <c r="DJ400" i="15"/>
  <c r="DJ332" i="15"/>
  <c r="DJ203" i="15"/>
  <c r="DJ74" i="15"/>
  <c r="DJ817" i="15"/>
  <c r="DJ785" i="15"/>
  <c r="DJ753" i="15"/>
  <c r="DJ721" i="15"/>
  <c r="DJ688" i="15"/>
  <c r="DK688" i="15" s="1"/>
  <c r="DJ656" i="15"/>
  <c r="DJ624" i="15"/>
  <c r="DJ592" i="15"/>
  <c r="DJ559" i="15"/>
  <c r="DJ527" i="15"/>
  <c r="DJ495" i="15"/>
  <c r="DJ462" i="15"/>
  <c r="DJ430" i="15"/>
  <c r="DK430" i="15" s="1"/>
  <c r="DJ398" i="15"/>
  <c r="DJ324" i="15"/>
  <c r="DJ195" i="15"/>
  <c r="DJ820" i="15"/>
  <c r="DJ788" i="15"/>
  <c r="DJ756" i="15"/>
  <c r="DJ724" i="15"/>
  <c r="DJ691" i="15"/>
  <c r="DJ659" i="15"/>
  <c r="DJ627" i="15"/>
  <c r="DJ595" i="15"/>
  <c r="DJ562" i="15"/>
  <c r="DJ530" i="15"/>
  <c r="DJ498" i="15"/>
  <c r="DJ465" i="15"/>
  <c r="DJ433" i="15"/>
  <c r="DJ401" i="15"/>
  <c r="DJ336" i="15"/>
  <c r="DJ207" i="15"/>
  <c r="DJ30" i="15"/>
  <c r="DJ790" i="15"/>
  <c r="DJ750" i="15"/>
  <c r="DJ705" i="15"/>
  <c r="DJ661" i="15"/>
  <c r="DJ621" i="15"/>
  <c r="DK621" i="15" s="1"/>
  <c r="DJ577" i="15"/>
  <c r="DK577" i="15" s="1"/>
  <c r="DJ528" i="15"/>
  <c r="DJ476" i="15"/>
  <c r="DJ415" i="15"/>
  <c r="DJ296" i="15"/>
  <c r="DJ70" i="15"/>
  <c r="DJ339" i="15"/>
  <c r="DJ279" i="15"/>
  <c r="DJ226" i="15"/>
  <c r="DJ166" i="15"/>
  <c r="DJ105" i="15"/>
  <c r="DJ33" i="15"/>
  <c r="DJ318" i="15"/>
  <c r="DJ233" i="15"/>
  <c r="DJ149" i="15"/>
  <c r="DJ60" i="15"/>
  <c r="DJ349" i="15"/>
  <c r="DJ264" i="15"/>
  <c r="DJ176" i="15"/>
  <c r="DJ91" i="15"/>
  <c r="DJ532" i="15"/>
  <c r="DJ516" i="15"/>
  <c r="DJ500" i="15"/>
  <c r="DJ484" i="15"/>
  <c r="DJ467" i="15"/>
  <c r="DJ451" i="15"/>
  <c r="DJ435" i="15"/>
  <c r="DJ419" i="15"/>
  <c r="DJ403" i="15"/>
  <c r="DJ387" i="15"/>
  <c r="DJ344" i="15"/>
  <c r="DJ280" i="15"/>
  <c r="DJ215" i="15"/>
  <c r="DJ151" i="15"/>
  <c r="DJ86" i="15"/>
  <c r="DJ22" i="15"/>
  <c r="DJ367" i="15"/>
  <c r="DJ351" i="15"/>
  <c r="DJ335" i="15"/>
  <c r="DJ319" i="15"/>
  <c r="DJ303" i="15"/>
  <c r="DJ287" i="15"/>
  <c r="DJ271" i="15"/>
  <c r="DK271" i="15" s="1"/>
  <c r="DJ254" i="15"/>
  <c r="DJ238" i="15"/>
  <c r="DJ222" i="15"/>
  <c r="DJ206" i="15"/>
  <c r="DJ190" i="15"/>
  <c r="DK190" i="15" s="1"/>
  <c r="DJ174" i="15"/>
  <c r="DJ158" i="15"/>
  <c r="DJ141" i="15"/>
  <c r="DJ125" i="15"/>
  <c r="DK125" i="15" s="1"/>
  <c r="DJ109" i="15"/>
  <c r="DJ93" i="15"/>
  <c r="DJ77" i="15"/>
  <c r="DJ61" i="15"/>
  <c r="DJ45" i="15"/>
  <c r="DJ29" i="15"/>
  <c r="DJ13" i="15"/>
  <c r="DJ370" i="15"/>
  <c r="DJ354" i="15"/>
  <c r="DJ338" i="15"/>
  <c r="DJ322" i="15"/>
  <c r="DJ306" i="15"/>
  <c r="DJ290" i="15"/>
  <c r="DJ274" i="15"/>
  <c r="DJ257" i="15"/>
  <c r="DJ241" i="15"/>
  <c r="DJ225" i="15"/>
  <c r="DJ209" i="15"/>
  <c r="DJ193" i="15"/>
  <c r="DJ177" i="15"/>
  <c r="DJ161" i="15"/>
  <c r="DJ145" i="15"/>
  <c r="DK145" i="15" s="1"/>
  <c r="DJ128" i="15"/>
  <c r="DJ112" i="15"/>
  <c r="DJ96" i="15"/>
  <c r="DJ80" i="15"/>
  <c r="DJ64" i="15"/>
  <c r="DJ48" i="15"/>
  <c r="DJ32" i="15"/>
  <c r="DJ16" i="15"/>
  <c r="DJ373" i="15"/>
  <c r="DJ357" i="15"/>
  <c r="DJ341" i="15"/>
  <c r="DJ325" i="15"/>
  <c r="DK325" i="15" s="1"/>
  <c r="DJ309" i="15"/>
  <c r="DJ293" i="15"/>
  <c r="DJ277" i="15"/>
  <c r="DJ260" i="15"/>
  <c r="DJ244" i="15"/>
  <c r="DJ228" i="15"/>
  <c r="DJ212" i="15"/>
  <c r="DJ196" i="15"/>
  <c r="DJ180" i="15"/>
  <c r="DJ164" i="15"/>
  <c r="DJ148" i="15"/>
  <c r="DJ131" i="15"/>
  <c r="DJ115" i="15"/>
  <c r="DJ99" i="15"/>
  <c r="DJ83" i="15"/>
  <c r="DK83" i="15" s="1"/>
  <c r="DJ67" i="15"/>
  <c r="DJ51" i="15"/>
  <c r="DJ31" i="15"/>
  <c r="AI157" i="1"/>
  <c r="DJ11" i="15"/>
  <c r="DJ39" i="15"/>
  <c r="DJ23" i="15"/>
  <c r="AC157" i="1"/>
  <c r="DH8" i="15"/>
  <c r="DI8" i="15" s="1"/>
  <c r="DL8" i="15" s="1"/>
  <c r="DH12" i="15"/>
  <c r="DH16" i="15"/>
  <c r="DH20" i="15"/>
  <c r="DH24" i="15"/>
  <c r="DH28" i="15"/>
  <c r="DH32" i="15"/>
  <c r="DH36" i="15"/>
  <c r="DH40" i="15"/>
  <c r="DH44" i="15"/>
  <c r="DH48" i="15"/>
  <c r="DH52" i="15"/>
  <c r="DH56" i="15"/>
  <c r="DH60" i="15"/>
  <c r="DH64" i="15"/>
  <c r="DH68" i="15"/>
  <c r="DH72" i="15"/>
  <c r="DH76" i="15"/>
  <c r="DH80" i="15"/>
  <c r="DH84" i="15"/>
  <c r="DH88" i="15"/>
  <c r="DH92" i="15"/>
  <c r="DH96" i="15"/>
  <c r="DH100" i="15"/>
  <c r="DH104" i="15"/>
  <c r="DH108" i="15"/>
  <c r="DH112" i="15"/>
  <c r="DH116" i="15"/>
  <c r="DH120" i="15"/>
  <c r="DH124" i="15"/>
  <c r="DH128" i="15"/>
  <c r="DH132" i="15"/>
  <c r="DH136" i="15"/>
  <c r="DH140" i="15"/>
  <c r="DH145" i="15"/>
  <c r="DI145" i="15" s="1"/>
  <c r="DH149" i="15"/>
  <c r="DH153" i="15"/>
  <c r="DH157" i="15"/>
  <c r="DH161" i="15"/>
  <c r="DH165" i="15"/>
  <c r="DH169" i="15"/>
  <c r="DH173" i="15"/>
  <c r="DH177" i="15"/>
  <c r="DH181" i="15"/>
  <c r="DH185" i="15"/>
  <c r="DH189" i="15"/>
  <c r="DH193" i="15"/>
  <c r="DH197" i="15"/>
  <c r="DH201" i="15"/>
  <c r="DH205" i="15"/>
  <c r="DH209" i="15"/>
  <c r="DH213" i="15"/>
  <c r="DH217" i="15"/>
  <c r="DH221" i="15"/>
  <c r="DH225" i="15"/>
  <c r="DH229" i="15"/>
  <c r="DH233" i="15"/>
  <c r="DH237" i="15"/>
  <c r="DH241" i="15"/>
  <c r="DH245" i="15"/>
  <c r="DH249" i="15"/>
  <c r="DH253" i="15"/>
  <c r="DH257" i="15"/>
  <c r="DH261" i="15"/>
  <c r="DH265" i="15"/>
  <c r="DH270" i="15"/>
  <c r="DI270" i="15" s="1"/>
  <c r="DH274" i="15"/>
  <c r="DH278" i="15"/>
  <c r="DH282" i="15"/>
  <c r="DH286" i="15"/>
  <c r="DH290" i="15"/>
  <c r="DH294" i="15"/>
  <c r="DH298" i="15"/>
  <c r="DH302" i="15"/>
  <c r="DH306" i="15"/>
  <c r="DH310" i="15"/>
  <c r="DH314" i="15"/>
  <c r="DH318" i="15"/>
  <c r="DH322" i="15"/>
  <c r="DH326" i="15"/>
  <c r="DH330" i="15"/>
  <c r="DH334" i="15"/>
  <c r="DH338" i="15"/>
  <c r="DH342" i="15"/>
  <c r="DH346" i="15"/>
  <c r="DH350" i="15"/>
  <c r="DH354" i="15"/>
  <c r="DH358" i="15"/>
  <c r="DH362" i="15"/>
  <c r="DH366" i="15"/>
  <c r="DH370" i="15"/>
  <c r="DH374" i="15"/>
  <c r="DH378" i="15"/>
  <c r="DH382" i="15"/>
  <c r="DH386" i="15"/>
  <c r="DH390" i="15"/>
  <c r="DH394" i="15"/>
  <c r="DH398" i="15"/>
  <c r="DH402" i="15"/>
  <c r="DH406" i="15"/>
  <c r="DH410" i="15"/>
  <c r="DH414" i="15"/>
  <c r="DH418" i="15"/>
  <c r="DH422" i="15"/>
  <c r="DH426" i="15"/>
  <c r="DH430" i="15"/>
  <c r="DI430" i="15" s="1"/>
  <c r="DL430" i="15" s="1"/>
  <c r="DH434" i="15"/>
  <c r="DH438" i="15"/>
  <c r="DH442" i="15"/>
  <c r="DH446" i="15"/>
  <c r="DH450" i="15"/>
  <c r="DH454" i="15"/>
  <c r="DH458" i="15"/>
  <c r="DH462" i="15"/>
  <c r="DH466" i="15"/>
  <c r="DH471" i="15"/>
  <c r="DI471" i="15" s="1"/>
  <c r="DL471" i="15" s="1"/>
  <c r="DH475" i="15"/>
  <c r="DH479" i="15"/>
  <c r="DH483" i="15"/>
  <c r="DH487" i="15"/>
  <c r="DH491" i="15"/>
  <c r="DI491" i="15" s="1"/>
  <c r="DH495" i="15"/>
  <c r="DH499" i="15"/>
  <c r="DH503" i="15"/>
  <c r="DH507" i="15"/>
  <c r="DH511" i="15"/>
  <c r="DH515" i="15"/>
  <c r="DH519" i="15"/>
  <c r="DH523" i="15"/>
  <c r="DH527" i="15"/>
  <c r="DH531" i="15"/>
  <c r="DH535" i="15"/>
  <c r="DH539" i="15"/>
  <c r="DH543" i="15"/>
  <c r="DH547" i="15"/>
  <c r="DH551" i="15"/>
  <c r="DH555" i="15"/>
  <c r="DH559" i="15"/>
  <c r="DH563" i="15"/>
  <c r="DH567" i="15"/>
  <c r="DH571" i="15"/>
  <c r="DH575" i="15"/>
  <c r="DH580" i="15"/>
  <c r="DH584" i="15"/>
  <c r="DH588" i="15"/>
  <c r="DH592" i="15"/>
  <c r="DH596" i="15"/>
  <c r="DH600" i="15"/>
  <c r="DH604" i="15"/>
  <c r="DH608" i="15"/>
  <c r="DH612" i="15"/>
  <c r="DH616" i="15"/>
  <c r="DH620" i="15"/>
  <c r="DH624" i="15"/>
  <c r="DH628" i="15"/>
  <c r="DH632" i="15"/>
  <c r="DH636" i="15"/>
  <c r="DH640" i="15"/>
  <c r="DH644" i="15"/>
  <c r="DH648" i="15"/>
  <c r="DH652" i="15"/>
  <c r="DH656" i="15"/>
  <c r="DH660" i="15"/>
  <c r="DH664" i="15"/>
  <c r="DH668" i="15"/>
  <c r="DI668" i="15" s="1"/>
  <c r="DH672" i="15"/>
  <c r="DH676" i="15"/>
  <c r="DH680" i="15"/>
  <c r="DH684" i="15"/>
  <c r="DH688" i="15"/>
  <c r="DI688" i="15" s="1"/>
  <c r="DH692" i="15"/>
  <c r="DH696" i="15"/>
  <c r="DH700" i="15"/>
  <c r="DH704" i="15"/>
  <c r="DH708" i="15"/>
  <c r="DH713" i="15"/>
  <c r="DI713" i="15" s="1"/>
  <c r="DH717" i="15"/>
  <c r="DH721" i="15"/>
  <c r="DH725" i="15"/>
  <c r="DH729" i="15"/>
  <c r="DH733" i="15"/>
  <c r="DH737" i="15"/>
  <c r="DH741" i="15"/>
  <c r="DH745" i="15"/>
  <c r="DH749" i="15"/>
  <c r="DH753" i="15"/>
  <c r="DH757" i="15"/>
  <c r="DH10" i="15"/>
  <c r="DH14" i="15"/>
  <c r="DH18" i="15"/>
  <c r="DH22" i="15"/>
  <c r="DH26" i="15"/>
  <c r="DH30" i="15"/>
  <c r="DH34" i="15"/>
  <c r="DI34" i="15" s="1"/>
  <c r="DH38" i="15"/>
  <c r="DH42" i="15"/>
  <c r="DI42" i="15" s="1"/>
  <c r="DH46" i="15"/>
  <c r="DH50" i="15"/>
  <c r="DH54" i="15"/>
  <c r="DH58" i="15"/>
  <c r="DH62" i="15"/>
  <c r="DH66" i="15"/>
  <c r="DH70" i="15"/>
  <c r="DH74" i="15"/>
  <c r="DH78" i="15"/>
  <c r="DH82" i="15"/>
  <c r="DH86" i="15"/>
  <c r="DH90" i="15"/>
  <c r="DH94" i="15"/>
  <c r="DH98" i="15"/>
  <c r="DI98" i="15" s="1"/>
  <c r="DH102" i="15"/>
  <c r="DH106" i="15"/>
  <c r="DH110" i="15"/>
  <c r="DH114" i="15"/>
  <c r="DH118" i="15"/>
  <c r="DH122" i="15"/>
  <c r="DH126" i="15"/>
  <c r="DH130" i="15"/>
  <c r="DH134" i="15"/>
  <c r="DH138" i="15"/>
  <c r="DH142" i="15"/>
  <c r="DH147" i="15"/>
  <c r="DH151" i="15"/>
  <c r="DH155" i="15"/>
  <c r="DH159" i="15"/>
  <c r="DH163" i="15"/>
  <c r="DH167" i="15"/>
  <c r="DH171" i="15"/>
  <c r="DH175" i="15"/>
  <c r="DH179" i="15"/>
  <c r="DH183" i="15"/>
  <c r="DH187" i="15"/>
  <c r="DH191" i="15"/>
  <c r="DH195" i="15"/>
  <c r="DH199" i="15"/>
  <c r="DH203" i="15"/>
  <c r="DH207" i="15"/>
  <c r="DH211" i="15"/>
  <c r="DH215" i="15"/>
  <c r="DH219" i="15"/>
  <c r="DI219" i="15" s="1"/>
  <c r="DH223" i="15"/>
  <c r="DH227" i="15"/>
  <c r="DH231" i="15"/>
  <c r="DH235" i="15"/>
  <c r="DH239" i="15"/>
  <c r="DH243" i="15"/>
  <c r="DH247" i="15"/>
  <c r="DH251" i="15"/>
  <c r="DI251" i="15" s="1"/>
  <c r="DH255" i="15"/>
  <c r="DH259" i="15"/>
  <c r="DH263" i="15"/>
  <c r="DH267" i="15"/>
  <c r="DH272" i="15"/>
  <c r="DH276" i="15"/>
  <c r="DH280" i="15"/>
  <c r="DH284" i="15"/>
  <c r="DH288" i="15"/>
  <c r="DH292" i="15"/>
  <c r="DH296" i="15"/>
  <c r="DH300" i="15"/>
  <c r="DI300" i="15" s="1"/>
  <c r="DH304" i="15"/>
  <c r="DH308" i="15"/>
  <c r="DH312" i="15"/>
  <c r="DH316" i="15"/>
  <c r="DH320" i="15"/>
  <c r="DH324" i="15"/>
  <c r="DH328" i="15"/>
  <c r="DH332" i="15"/>
  <c r="DH336" i="15"/>
  <c r="DH340" i="15"/>
  <c r="DH344" i="15"/>
  <c r="DH348" i="15"/>
  <c r="DH352" i="15"/>
  <c r="DH356" i="15"/>
  <c r="DH360" i="15"/>
  <c r="DH364" i="15"/>
  <c r="DH368" i="15"/>
  <c r="DH372" i="15"/>
  <c r="DH376" i="15"/>
  <c r="DH380" i="15"/>
  <c r="DH384" i="15"/>
  <c r="DH388" i="15"/>
  <c r="DH392" i="15"/>
  <c r="DH396" i="15"/>
  <c r="DH400" i="15"/>
  <c r="DH404" i="15"/>
  <c r="DH408" i="15"/>
  <c r="DH412" i="15"/>
  <c r="DH416" i="15"/>
  <c r="DH420" i="15"/>
  <c r="DH424" i="15"/>
  <c r="DH428" i="15"/>
  <c r="DH432" i="15"/>
  <c r="DH436" i="15"/>
  <c r="DH440" i="15"/>
  <c r="DH444" i="15"/>
  <c r="DH448" i="15"/>
  <c r="DH452" i="15"/>
  <c r="DH456" i="15"/>
  <c r="DH460" i="15"/>
  <c r="DH464" i="15"/>
  <c r="DH468" i="15"/>
  <c r="DH473" i="15"/>
  <c r="DH477" i="15"/>
  <c r="DH481" i="15"/>
  <c r="DH485" i="15"/>
  <c r="DH489" i="15"/>
  <c r="DH493" i="15"/>
  <c r="DH497" i="15"/>
  <c r="DH501" i="15"/>
  <c r="DH505" i="15"/>
  <c r="DH509" i="15"/>
  <c r="DH513" i="15"/>
  <c r="DH517" i="15"/>
  <c r="DH521" i="15"/>
  <c r="DH525" i="15"/>
  <c r="DH529" i="15"/>
  <c r="DI529" i="15" s="1"/>
  <c r="DH533" i="15"/>
  <c r="DH537" i="15"/>
  <c r="DH541" i="15"/>
  <c r="DH545" i="15"/>
  <c r="DH549" i="15"/>
  <c r="DH553" i="15"/>
  <c r="DH557" i="15"/>
  <c r="DH561" i="15"/>
  <c r="DH565" i="15"/>
  <c r="DH569" i="15"/>
  <c r="DH573" i="15"/>
  <c r="DH578" i="15"/>
  <c r="DI578" i="15" s="1"/>
  <c r="DH582" i="15"/>
  <c r="DH586" i="15"/>
  <c r="DH590" i="15"/>
  <c r="DH594" i="15"/>
  <c r="DH598" i="15"/>
  <c r="DH602" i="15"/>
  <c r="DH606" i="15"/>
  <c r="DH610" i="15"/>
  <c r="DH614" i="15"/>
  <c r="DH618" i="15"/>
  <c r="DH622" i="15"/>
  <c r="DH626" i="15"/>
  <c r="DH630" i="15"/>
  <c r="DH634" i="15"/>
  <c r="DH638" i="15"/>
  <c r="DH642" i="15"/>
  <c r="DH646" i="15"/>
  <c r="DH650" i="15"/>
  <c r="DH654" i="15"/>
  <c r="DH658" i="15"/>
  <c r="DH662" i="15"/>
  <c r="DH666" i="15"/>
  <c r="DH670" i="15"/>
  <c r="DH674" i="15"/>
  <c r="DH678" i="15"/>
  <c r="DH682" i="15"/>
  <c r="DH11" i="15"/>
  <c r="DH19" i="15"/>
  <c r="DH27" i="15"/>
  <c r="DH35" i="15"/>
  <c r="DH43" i="15"/>
  <c r="DH51" i="15"/>
  <c r="DH59" i="15"/>
  <c r="DH67" i="15"/>
  <c r="DH75" i="15"/>
  <c r="DH83" i="15"/>
  <c r="DI83" i="15" s="1"/>
  <c r="DH91" i="15"/>
  <c r="DH99" i="15"/>
  <c r="DH107" i="15"/>
  <c r="DH115" i="15"/>
  <c r="DH123" i="15"/>
  <c r="DH131" i="15"/>
  <c r="DH139" i="15"/>
  <c r="DH148" i="15"/>
  <c r="DH156" i="15"/>
  <c r="DH164" i="15"/>
  <c r="DH172" i="15"/>
  <c r="DH180" i="15"/>
  <c r="DH188" i="15"/>
  <c r="DH196" i="15"/>
  <c r="DH204" i="15"/>
  <c r="DH212" i="15"/>
  <c r="DH220" i="15"/>
  <c r="DH228" i="15"/>
  <c r="DH236" i="15"/>
  <c r="DH244" i="15"/>
  <c r="DH252" i="15"/>
  <c r="DH260" i="15"/>
  <c r="DH268" i="15"/>
  <c r="DH277" i="15"/>
  <c r="DH285" i="15"/>
  <c r="DH293" i="15"/>
  <c r="DH301" i="15"/>
  <c r="DH309" i="15"/>
  <c r="DH317" i="15"/>
  <c r="DH325" i="15"/>
  <c r="DI325" i="15" s="1"/>
  <c r="DH333" i="15"/>
  <c r="DH341" i="15"/>
  <c r="DH349" i="15"/>
  <c r="DH357" i="15"/>
  <c r="DH365" i="15"/>
  <c r="DH373" i="15"/>
  <c r="DH381" i="15"/>
  <c r="DH389" i="15"/>
  <c r="DH397" i="15"/>
  <c r="DH405" i="15"/>
  <c r="DH413" i="15"/>
  <c r="DH421" i="15"/>
  <c r="DH429" i="15"/>
  <c r="DH437" i="15"/>
  <c r="DH445" i="15"/>
  <c r="DH453" i="15"/>
  <c r="DH461" i="15"/>
  <c r="DH469" i="15"/>
  <c r="DH478" i="15"/>
  <c r="DH486" i="15"/>
  <c r="DH494" i="15"/>
  <c r="DH502" i="15"/>
  <c r="DH510" i="15"/>
  <c r="DH518" i="15"/>
  <c r="DH526" i="15"/>
  <c r="DH534" i="15"/>
  <c r="DH542" i="15"/>
  <c r="DH550" i="15"/>
  <c r="DH558" i="15"/>
  <c r="DH566" i="15"/>
  <c r="DH574" i="15"/>
  <c r="DH583" i="15"/>
  <c r="DH591" i="15"/>
  <c r="DH599" i="15"/>
  <c r="DH607" i="15"/>
  <c r="DH615" i="15"/>
  <c r="DH623" i="15"/>
  <c r="DH631" i="15"/>
  <c r="DH639" i="15"/>
  <c r="DH647" i="15"/>
  <c r="DH655" i="15"/>
  <c r="DH663" i="15"/>
  <c r="DH671" i="15"/>
  <c r="DH679" i="15"/>
  <c r="DH686" i="15"/>
  <c r="DH691" i="15"/>
  <c r="DH697" i="15"/>
  <c r="DH702" i="15"/>
  <c r="DH707" i="15"/>
  <c r="DH714" i="15"/>
  <c r="DI714" i="15" s="1"/>
  <c r="DL714" i="15" s="1"/>
  <c r="DH719" i="15"/>
  <c r="DH724" i="15"/>
  <c r="DH730" i="15"/>
  <c r="DH735" i="15"/>
  <c r="DH740" i="15"/>
  <c r="DH746" i="15"/>
  <c r="DH751" i="15"/>
  <c r="DH756" i="15"/>
  <c r="DH761" i="15"/>
  <c r="DH765" i="15"/>
  <c r="DH769" i="15"/>
  <c r="DH773" i="15"/>
  <c r="DH777" i="15"/>
  <c r="DH781" i="15"/>
  <c r="DH785" i="15"/>
  <c r="DH789" i="15"/>
  <c r="DH793" i="15"/>
  <c r="DH797" i="15"/>
  <c r="DH801" i="15"/>
  <c r="DH805" i="15"/>
  <c r="DH809" i="15"/>
  <c r="DH813" i="15"/>
  <c r="DH817" i="15"/>
  <c r="DH821" i="15"/>
  <c r="DH825" i="15"/>
  <c r="DH13" i="15"/>
  <c r="DH21" i="15"/>
  <c r="DH29" i="15"/>
  <c r="DH37" i="15"/>
  <c r="DH45" i="15"/>
  <c r="DH53" i="15"/>
  <c r="DH61" i="15"/>
  <c r="DH69" i="15"/>
  <c r="DH77" i="15"/>
  <c r="DH85" i="15"/>
  <c r="DH93" i="15"/>
  <c r="DH101" i="15"/>
  <c r="DH109" i="15"/>
  <c r="DH117" i="15"/>
  <c r="DH125" i="15"/>
  <c r="DI125" i="15" s="1"/>
  <c r="DH133" i="15"/>
  <c r="DH141" i="15"/>
  <c r="DH150" i="15"/>
  <c r="DH158" i="15"/>
  <c r="DH166" i="15"/>
  <c r="DH174" i="15"/>
  <c r="DH182" i="15"/>
  <c r="DH190" i="15"/>
  <c r="DI190" i="15" s="1"/>
  <c r="DH198" i="15"/>
  <c r="DH206" i="15"/>
  <c r="DH214" i="15"/>
  <c r="DH222" i="15"/>
  <c r="DH230" i="15"/>
  <c r="DH238" i="15"/>
  <c r="DH246" i="15"/>
  <c r="DH254" i="15"/>
  <c r="DH262" i="15"/>
  <c r="DH271" i="15"/>
  <c r="DI271" i="15" s="1"/>
  <c r="DH279" i="15"/>
  <c r="DH287" i="15"/>
  <c r="DH295" i="15"/>
  <c r="DH303" i="15"/>
  <c r="DH311" i="15"/>
  <c r="DH319" i="15"/>
  <c r="DH327" i="15"/>
  <c r="DH335" i="15"/>
  <c r="DH343" i="15"/>
  <c r="DH351" i="15"/>
  <c r="DH359" i="15"/>
  <c r="DH367" i="15"/>
  <c r="DH375" i="15"/>
  <c r="DH383" i="15"/>
  <c r="DH391" i="15"/>
  <c r="DH399" i="15"/>
  <c r="DH407" i="15"/>
  <c r="DI407" i="15" s="1"/>
  <c r="DL407" i="15" s="1"/>
  <c r="DH415" i="15"/>
  <c r="DH423" i="15"/>
  <c r="DH431" i="15"/>
  <c r="DH439" i="15"/>
  <c r="DH447" i="15"/>
  <c r="DH455" i="15"/>
  <c r="DI455" i="15" s="1"/>
  <c r="DL455" i="15" s="1"/>
  <c r="DH463" i="15"/>
  <c r="DH472" i="15"/>
  <c r="DI472" i="15" s="1"/>
  <c r="DH480" i="15"/>
  <c r="DH488" i="15"/>
  <c r="DH496" i="15"/>
  <c r="DH504" i="15"/>
  <c r="DH512" i="15"/>
  <c r="DH520" i="15"/>
  <c r="DH528" i="15"/>
  <c r="DH536" i="15"/>
  <c r="DH544" i="15"/>
  <c r="DH552" i="15"/>
  <c r="DH560" i="15"/>
  <c r="DH568" i="15"/>
  <c r="DH577" i="15"/>
  <c r="DI577" i="15" s="1"/>
  <c r="DH585" i="15"/>
  <c r="DH593" i="15"/>
  <c r="DH601" i="15"/>
  <c r="DH609" i="15"/>
  <c r="DH617" i="15"/>
  <c r="DH625" i="15"/>
  <c r="DH633" i="15"/>
  <c r="DH641" i="15"/>
  <c r="DI641" i="15" s="1"/>
  <c r="DL641" i="15" s="1"/>
  <c r="DH649" i="15"/>
  <c r="DH657" i="15"/>
  <c r="DH665" i="15"/>
  <c r="DH673" i="15"/>
  <c r="DH681" i="15"/>
  <c r="DH687" i="15"/>
  <c r="DH693" i="15"/>
  <c r="DH698" i="15"/>
  <c r="DH703" i="15"/>
  <c r="DH709" i="15"/>
  <c r="DH715" i="15"/>
  <c r="DH720" i="15"/>
  <c r="DH726" i="15"/>
  <c r="DH731" i="15"/>
  <c r="DH736" i="15"/>
  <c r="DH742" i="15"/>
  <c r="DH747" i="15"/>
  <c r="DH752" i="15"/>
  <c r="DH758" i="15"/>
  <c r="DH762" i="15"/>
  <c r="DH766" i="15"/>
  <c r="DH770" i="15"/>
  <c r="DH774" i="15"/>
  <c r="DH778" i="15"/>
  <c r="DH782" i="15"/>
  <c r="DH786" i="15"/>
  <c r="DH790" i="15"/>
  <c r="DH794" i="15"/>
  <c r="DH798" i="15"/>
  <c r="DH802" i="15"/>
  <c r="DH806" i="15"/>
  <c r="DH810" i="15"/>
  <c r="DH814" i="15"/>
  <c r="DH818" i="15"/>
  <c r="DH822" i="15"/>
  <c r="DH826" i="15"/>
  <c r="DH9" i="15"/>
  <c r="DI9" i="15" s="1"/>
  <c r="DL9" i="15" s="1"/>
  <c r="DH25" i="15"/>
  <c r="DH41" i="15"/>
  <c r="DH57" i="15"/>
  <c r="DH65" i="15"/>
  <c r="DI65" i="15" s="1"/>
  <c r="DH81" i="15"/>
  <c r="DH97" i="15"/>
  <c r="DH113" i="15"/>
  <c r="DH129" i="15"/>
  <c r="DH146" i="15"/>
  <c r="DH162" i="15"/>
  <c r="DH178" i="15"/>
  <c r="DH194" i="15"/>
  <c r="DH210" i="15"/>
  <c r="DH226" i="15"/>
  <c r="DH242" i="15"/>
  <c r="DH258" i="15"/>
  <c r="DH275" i="15"/>
  <c r="DH291" i="15"/>
  <c r="DH307" i="15"/>
  <c r="DH323" i="15"/>
  <c r="DH339" i="15"/>
  <c r="DH355" i="15"/>
  <c r="DH371" i="15"/>
  <c r="DI371" i="15" s="1"/>
  <c r="DH387" i="15"/>
  <c r="DH403" i="15"/>
  <c r="DH419" i="15"/>
  <c r="DH435" i="15"/>
  <c r="DH451" i="15"/>
  <c r="DH467" i="15"/>
  <c r="DH484" i="15"/>
  <c r="DH500" i="15"/>
  <c r="DH516" i="15"/>
  <c r="DH532" i="15"/>
  <c r="DH548" i="15"/>
  <c r="DI548" i="15" s="1"/>
  <c r="DL548" i="15" s="1"/>
  <c r="DH564" i="15"/>
  <c r="DH581" i="15"/>
  <c r="DH597" i="15"/>
  <c r="DH613" i="15"/>
  <c r="DH629" i="15"/>
  <c r="DH645" i="15"/>
  <c r="DH661" i="15"/>
  <c r="DH677" i="15"/>
  <c r="DH690" i="15"/>
  <c r="DH701" i="15"/>
  <c r="DH711" i="15"/>
  <c r="DH723" i="15"/>
  <c r="DH734" i="15"/>
  <c r="DH744" i="15"/>
  <c r="DH755" i="15"/>
  <c r="DH760" i="15"/>
  <c r="DH768" i="15"/>
  <c r="DH776" i="15"/>
  <c r="DI776" i="15" s="1"/>
  <c r="DH784" i="15"/>
  <c r="DH792" i="15"/>
  <c r="DH800" i="15"/>
  <c r="DH808" i="15"/>
  <c r="DH816" i="15"/>
  <c r="DH824" i="15"/>
  <c r="DH6" i="15"/>
  <c r="DI6" i="15" s="1"/>
  <c r="DH15" i="15"/>
  <c r="DH23" i="15"/>
  <c r="DH31" i="15"/>
  <c r="DH39" i="15"/>
  <c r="DH47" i="15"/>
  <c r="DH55" i="15"/>
  <c r="DH63" i="15"/>
  <c r="DH71" i="15"/>
  <c r="DH79" i="15"/>
  <c r="DH87" i="15"/>
  <c r="DH95" i="15"/>
  <c r="DH103" i="15"/>
  <c r="DH111" i="15"/>
  <c r="DH119" i="15"/>
  <c r="DH127" i="15"/>
  <c r="DH135" i="15"/>
  <c r="DH144" i="15"/>
  <c r="DI144" i="15" s="1"/>
  <c r="DL144" i="15" s="1"/>
  <c r="DH152" i="15"/>
  <c r="DH160" i="15"/>
  <c r="DH168" i="15"/>
  <c r="DI168" i="15" s="1"/>
  <c r="DH176" i="15"/>
  <c r="DH184" i="15"/>
  <c r="DH192" i="15"/>
  <c r="DH200" i="15"/>
  <c r="DH208" i="15"/>
  <c r="DH216" i="15"/>
  <c r="DH224" i="15"/>
  <c r="DH232" i="15"/>
  <c r="DI232" i="15" s="1"/>
  <c r="DH240" i="15"/>
  <c r="DH248" i="15"/>
  <c r="DH256" i="15"/>
  <c r="DH264" i="15"/>
  <c r="DH273" i="15"/>
  <c r="DH281" i="15"/>
  <c r="DH289" i="15"/>
  <c r="DH297" i="15"/>
  <c r="DH305" i="15"/>
  <c r="DH313" i="15"/>
  <c r="DH321" i="15"/>
  <c r="DH329" i="15"/>
  <c r="DH337" i="15"/>
  <c r="DH345" i="15"/>
  <c r="DH353" i="15"/>
  <c r="DH361" i="15"/>
  <c r="DH369" i="15"/>
  <c r="DH377" i="15"/>
  <c r="DH385" i="15"/>
  <c r="DH393" i="15"/>
  <c r="DH401" i="15"/>
  <c r="DH409" i="15"/>
  <c r="DH417" i="15"/>
  <c r="DH425" i="15"/>
  <c r="DH433" i="15"/>
  <c r="DH441" i="15"/>
  <c r="DH449" i="15"/>
  <c r="DH457" i="15"/>
  <c r="DH465" i="15"/>
  <c r="DH474" i="15"/>
  <c r="DH482" i="15"/>
  <c r="DH490" i="15"/>
  <c r="DH498" i="15"/>
  <c r="DH506" i="15"/>
  <c r="DH514" i="15"/>
  <c r="DI514" i="15" s="1"/>
  <c r="DH522" i="15"/>
  <c r="DH530" i="15"/>
  <c r="DH538" i="15"/>
  <c r="DH546" i="15"/>
  <c r="DH554" i="15"/>
  <c r="DH562" i="15"/>
  <c r="DH570" i="15"/>
  <c r="DH579" i="15"/>
  <c r="DH587" i="15"/>
  <c r="DH595" i="15"/>
  <c r="DH603" i="15"/>
  <c r="DH611" i="15"/>
  <c r="DI611" i="15" s="1"/>
  <c r="DH619" i="15"/>
  <c r="DH627" i="15"/>
  <c r="DH635" i="15"/>
  <c r="DH643" i="15"/>
  <c r="DH651" i="15"/>
  <c r="DH659" i="15"/>
  <c r="DH667" i="15"/>
  <c r="DH675" i="15"/>
  <c r="DH683" i="15"/>
  <c r="DH689" i="15"/>
  <c r="DH694" i="15"/>
  <c r="DH699" i="15"/>
  <c r="DH705" i="15"/>
  <c r="DH710" i="15"/>
  <c r="DH716" i="15"/>
  <c r="DH722" i="15"/>
  <c r="DH727" i="15"/>
  <c r="DH732" i="15"/>
  <c r="DI732" i="15" s="1"/>
  <c r="DH738" i="15"/>
  <c r="DH743" i="15"/>
  <c r="DH748" i="15"/>
  <c r="DH754" i="15"/>
  <c r="DI754" i="15" s="1"/>
  <c r="DH759" i="15"/>
  <c r="DH763" i="15"/>
  <c r="DH767" i="15"/>
  <c r="DH771" i="15"/>
  <c r="DH775" i="15"/>
  <c r="DH779" i="15"/>
  <c r="DH783" i="15"/>
  <c r="DH787" i="15"/>
  <c r="DH791" i="15"/>
  <c r="DH795" i="15"/>
  <c r="DH799" i="15"/>
  <c r="DH803" i="15"/>
  <c r="DH807" i="15"/>
  <c r="DH811" i="15"/>
  <c r="DH815" i="15"/>
  <c r="DH819" i="15"/>
  <c r="DH823" i="15"/>
  <c r="DH827" i="15"/>
  <c r="DH17" i="15"/>
  <c r="DH33" i="15"/>
  <c r="DH49" i="15"/>
  <c r="DH73" i="15"/>
  <c r="DH89" i="15"/>
  <c r="DH105" i="15"/>
  <c r="DH121" i="15"/>
  <c r="DH137" i="15"/>
  <c r="DH154" i="15"/>
  <c r="DH170" i="15"/>
  <c r="DH186" i="15"/>
  <c r="DH202" i="15"/>
  <c r="DH218" i="15"/>
  <c r="DH234" i="15"/>
  <c r="DH250" i="15"/>
  <c r="DH266" i="15"/>
  <c r="DH283" i="15"/>
  <c r="DH299" i="15"/>
  <c r="DH315" i="15"/>
  <c r="DH331" i="15"/>
  <c r="DH347" i="15"/>
  <c r="DH363" i="15"/>
  <c r="DH379" i="15"/>
  <c r="DH395" i="15"/>
  <c r="DH411" i="15"/>
  <c r="DH427" i="15"/>
  <c r="DH443" i="15"/>
  <c r="DH459" i="15"/>
  <c r="DH476" i="15"/>
  <c r="DH492" i="15"/>
  <c r="DH508" i="15"/>
  <c r="DH524" i="15"/>
  <c r="DH540" i="15"/>
  <c r="DH556" i="15"/>
  <c r="DH572" i="15"/>
  <c r="DH589" i="15"/>
  <c r="DH605" i="15"/>
  <c r="DH621" i="15"/>
  <c r="DI621" i="15" s="1"/>
  <c r="DH637" i="15"/>
  <c r="DH653" i="15"/>
  <c r="DH669" i="15"/>
  <c r="DH685" i="15"/>
  <c r="DH695" i="15"/>
  <c r="DH706" i="15"/>
  <c r="DH718" i="15"/>
  <c r="DH728" i="15"/>
  <c r="DH739" i="15"/>
  <c r="DH750" i="15"/>
  <c r="DH764" i="15"/>
  <c r="DH772" i="15"/>
  <c r="DH780" i="15"/>
  <c r="DH788" i="15"/>
  <c r="DH796" i="15"/>
  <c r="DI796" i="15" s="1"/>
  <c r="DH804" i="15"/>
  <c r="DH812" i="15"/>
  <c r="DH820" i="15"/>
  <c r="DH828" i="15"/>
  <c r="DI828" i="15" s="1"/>
  <c r="AI224" i="1"/>
  <c r="AC224" i="1"/>
  <c r="AC232" i="1"/>
  <c r="AD232" i="1"/>
  <c r="AI232" i="1" s="1"/>
  <c r="AI260" i="1"/>
  <c r="DF10" i="15"/>
  <c r="DG10" i="15" s="1"/>
  <c r="DF14" i="15"/>
  <c r="DG14" i="15" s="1"/>
  <c r="DF18" i="15"/>
  <c r="DG18" i="15" s="1"/>
  <c r="DF22" i="15"/>
  <c r="DG22" i="15" s="1"/>
  <c r="DF26" i="15"/>
  <c r="DG26" i="15" s="1"/>
  <c r="DF30" i="15"/>
  <c r="DG30" i="15" s="1"/>
  <c r="DF34" i="15"/>
  <c r="DG34" i="15" s="1"/>
  <c r="DF38" i="15"/>
  <c r="DG38" i="15" s="1"/>
  <c r="DF42" i="15"/>
  <c r="DG42" i="15" s="1"/>
  <c r="DF46" i="15"/>
  <c r="DG46" i="15" s="1"/>
  <c r="DF50" i="15"/>
  <c r="DG50" i="15" s="1"/>
  <c r="DF54" i="15"/>
  <c r="DG54" i="15" s="1"/>
  <c r="DF58" i="15"/>
  <c r="DG58" i="15" s="1"/>
  <c r="DF62" i="15"/>
  <c r="DG62" i="15" s="1"/>
  <c r="DF66" i="15"/>
  <c r="DG66" i="15" s="1"/>
  <c r="DF70" i="15"/>
  <c r="DG70" i="15" s="1"/>
  <c r="DF74" i="15"/>
  <c r="DG74" i="15" s="1"/>
  <c r="DF78" i="15"/>
  <c r="DG78" i="15" s="1"/>
  <c r="DF82" i="15"/>
  <c r="DG82" i="15" s="1"/>
  <c r="GB82" i="15" s="1"/>
  <c r="GD82" i="15" s="1"/>
  <c r="DF86" i="15"/>
  <c r="DG86" i="15" s="1"/>
  <c r="DF90" i="15"/>
  <c r="DG90" i="15" s="1"/>
  <c r="DF94" i="15"/>
  <c r="DG94" i="15" s="1"/>
  <c r="DF98" i="15"/>
  <c r="DG98" i="15" s="1"/>
  <c r="DF102" i="15"/>
  <c r="DG102" i="15" s="1"/>
  <c r="DF106" i="15"/>
  <c r="DG106" i="15" s="1"/>
  <c r="DF110" i="15"/>
  <c r="DG110" i="15" s="1"/>
  <c r="DF114" i="15"/>
  <c r="DG114" i="15" s="1"/>
  <c r="DF118" i="15"/>
  <c r="DG118" i="15" s="1"/>
  <c r="DF122" i="15"/>
  <c r="DG122" i="15" s="1"/>
  <c r="DF126" i="15"/>
  <c r="DG126" i="15" s="1"/>
  <c r="DF130" i="15"/>
  <c r="DG130" i="15" s="1"/>
  <c r="DF134" i="15"/>
  <c r="DG134" i="15" s="1"/>
  <c r="DF138" i="15"/>
  <c r="DG138" i="15" s="1"/>
  <c r="DF142" i="15"/>
  <c r="DG142" i="15" s="1"/>
  <c r="DF146" i="15"/>
  <c r="DG146" i="15" s="1"/>
  <c r="DF150" i="15"/>
  <c r="DG150" i="15" s="1"/>
  <c r="DF154" i="15"/>
  <c r="DG154" i="15" s="1"/>
  <c r="DF158" i="15"/>
  <c r="DG158" i="15" s="1"/>
  <c r="DF162" i="15"/>
  <c r="DG162" i="15" s="1"/>
  <c r="DF166" i="15"/>
  <c r="DG166" i="15" s="1"/>
  <c r="DF170" i="15"/>
  <c r="DG170" i="15" s="1"/>
  <c r="DF174" i="15"/>
  <c r="DG174" i="15" s="1"/>
  <c r="DF178" i="15"/>
  <c r="DG178" i="15" s="1"/>
  <c r="DF182" i="15"/>
  <c r="DG182" i="15" s="1"/>
  <c r="DF186" i="15"/>
  <c r="DG186" i="15" s="1"/>
  <c r="DF190" i="15"/>
  <c r="DG190" i="15" s="1"/>
  <c r="DF194" i="15"/>
  <c r="DG194" i="15" s="1"/>
  <c r="DF198" i="15"/>
  <c r="DG198" i="15" s="1"/>
  <c r="DF202" i="15"/>
  <c r="DG202" i="15" s="1"/>
  <c r="DF206" i="15"/>
  <c r="DG206" i="15" s="1"/>
  <c r="DF210" i="15"/>
  <c r="DG210" i="15" s="1"/>
  <c r="DF214" i="15"/>
  <c r="DG214" i="15" s="1"/>
  <c r="DF218" i="15"/>
  <c r="DG218" i="15" s="1"/>
  <c r="DF222" i="15"/>
  <c r="DG222" i="15" s="1"/>
  <c r="DF226" i="15"/>
  <c r="DG226" i="15" s="1"/>
  <c r="DF230" i="15"/>
  <c r="DG230" i="15" s="1"/>
  <c r="DF234" i="15"/>
  <c r="DG234" i="15" s="1"/>
  <c r="DF238" i="15"/>
  <c r="DG238" i="15" s="1"/>
  <c r="DF242" i="15"/>
  <c r="DG242" i="15" s="1"/>
  <c r="DF246" i="15"/>
  <c r="DG246" i="15" s="1"/>
  <c r="DF6" i="15"/>
  <c r="DG6" i="15" s="1"/>
  <c r="DF11" i="15"/>
  <c r="DG11" i="15" s="1"/>
  <c r="DF15" i="15"/>
  <c r="DG15" i="15" s="1"/>
  <c r="DF19" i="15"/>
  <c r="DG19" i="15" s="1"/>
  <c r="DF23" i="15"/>
  <c r="DG23" i="15" s="1"/>
  <c r="DF27" i="15"/>
  <c r="DG27" i="15" s="1"/>
  <c r="DF31" i="15"/>
  <c r="DG31" i="15" s="1"/>
  <c r="DF35" i="15"/>
  <c r="DG35" i="15" s="1"/>
  <c r="DF39" i="15"/>
  <c r="DG39" i="15" s="1"/>
  <c r="DF43" i="15"/>
  <c r="DG43" i="15" s="1"/>
  <c r="DF47" i="15"/>
  <c r="DG47" i="15" s="1"/>
  <c r="DF51" i="15"/>
  <c r="DG51" i="15" s="1"/>
  <c r="DF55" i="15"/>
  <c r="DG55" i="15" s="1"/>
  <c r="DF59" i="15"/>
  <c r="DG59" i="15" s="1"/>
  <c r="DF63" i="15"/>
  <c r="DG63" i="15" s="1"/>
  <c r="DF67" i="15"/>
  <c r="DG67" i="15" s="1"/>
  <c r="DF71" i="15"/>
  <c r="DG71" i="15" s="1"/>
  <c r="DF75" i="15"/>
  <c r="DG75" i="15" s="1"/>
  <c r="DF79" i="15"/>
  <c r="DG79" i="15" s="1"/>
  <c r="DF83" i="15"/>
  <c r="DG83" i="15" s="1"/>
  <c r="DF87" i="15"/>
  <c r="DG87" i="15" s="1"/>
  <c r="DF91" i="15"/>
  <c r="DG91" i="15" s="1"/>
  <c r="DF95" i="15"/>
  <c r="DG95" i="15" s="1"/>
  <c r="DF99" i="15"/>
  <c r="DG99" i="15" s="1"/>
  <c r="DF103" i="15"/>
  <c r="DG103" i="15" s="1"/>
  <c r="DF107" i="15"/>
  <c r="DG107" i="15" s="1"/>
  <c r="DF111" i="15"/>
  <c r="DG111" i="15" s="1"/>
  <c r="DF115" i="15"/>
  <c r="DG115" i="15" s="1"/>
  <c r="DF119" i="15"/>
  <c r="DG119" i="15" s="1"/>
  <c r="DF123" i="15"/>
  <c r="DG123" i="15" s="1"/>
  <c r="DF127" i="15"/>
  <c r="DG127" i="15" s="1"/>
  <c r="DF131" i="15"/>
  <c r="DG131" i="15" s="1"/>
  <c r="DF135" i="15"/>
  <c r="DG135" i="15" s="1"/>
  <c r="DF139" i="15"/>
  <c r="DG139" i="15" s="1"/>
  <c r="DF143" i="15"/>
  <c r="DF147" i="15"/>
  <c r="DG147" i="15" s="1"/>
  <c r="DF151" i="15"/>
  <c r="DG151" i="15" s="1"/>
  <c r="DF155" i="15"/>
  <c r="DG155" i="15" s="1"/>
  <c r="DF159" i="15"/>
  <c r="DG159" i="15" s="1"/>
  <c r="DF163" i="15"/>
  <c r="DG163" i="15" s="1"/>
  <c r="DF167" i="15"/>
  <c r="DG167" i="15" s="1"/>
  <c r="DF171" i="15"/>
  <c r="DG171" i="15" s="1"/>
  <c r="DF175" i="15"/>
  <c r="DG175" i="15" s="1"/>
  <c r="DF179" i="15"/>
  <c r="DG179" i="15" s="1"/>
  <c r="DF183" i="15"/>
  <c r="DG183" i="15" s="1"/>
  <c r="DF187" i="15"/>
  <c r="DG187" i="15" s="1"/>
  <c r="DF191" i="15"/>
  <c r="DG191" i="15" s="1"/>
  <c r="DF195" i="15"/>
  <c r="DG195" i="15" s="1"/>
  <c r="DF199" i="15"/>
  <c r="DG199" i="15" s="1"/>
  <c r="DF203" i="15"/>
  <c r="DG203" i="15" s="1"/>
  <c r="DF207" i="15"/>
  <c r="DG207" i="15" s="1"/>
  <c r="DF211" i="15"/>
  <c r="DG211" i="15" s="1"/>
  <c r="DF215" i="15"/>
  <c r="DG215" i="15" s="1"/>
  <c r="DF219" i="15"/>
  <c r="DG219" i="15" s="1"/>
  <c r="DF223" i="15"/>
  <c r="DG223" i="15" s="1"/>
  <c r="DF227" i="15"/>
  <c r="DG227" i="15" s="1"/>
  <c r="DF231" i="15"/>
  <c r="DG231" i="15" s="1"/>
  <c r="DF235" i="15"/>
  <c r="DG235" i="15" s="1"/>
  <c r="DF239" i="15"/>
  <c r="DG239" i="15" s="1"/>
  <c r="DF243" i="15"/>
  <c r="DG243" i="15" s="1"/>
  <c r="DF247" i="15"/>
  <c r="DG247" i="15" s="1"/>
  <c r="DF251" i="15"/>
  <c r="DG251" i="15" s="1"/>
  <c r="DF255" i="15"/>
  <c r="DG255" i="15" s="1"/>
  <c r="DF259" i="15"/>
  <c r="DG259" i="15" s="1"/>
  <c r="DF8" i="15"/>
  <c r="DG8" i="15" s="1"/>
  <c r="DF12" i="15"/>
  <c r="DG12" i="15" s="1"/>
  <c r="DF16" i="15"/>
  <c r="DG16" i="15" s="1"/>
  <c r="DF20" i="15"/>
  <c r="DG20" i="15" s="1"/>
  <c r="DF24" i="15"/>
  <c r="DG24" i="15" s="1"/>
  <c r="DF28" i="15"/>
  <c r="DG28" i="15" s="1"/>
  <c r="DF32" i="15"/>
  <c r="DG32" i="15" s="1"/>
  <c r="DF36" i="15"/>
  <c r="DG36" i="15" s="1"/>
  <c r="DF40" i="15"/>
  <c r="DG40" i="15" s="1"/>
  <c r="DF44" i="15"/>
  <c r="DG44" i="15" s="1"/>
  <c r="DF48" i="15"/>
  <c r="DG48" i="15" s="1"/>
  <c r="DF52" i="15"/>
  <c r="DG52" i="15" s="1"/>
  <c r="DF56" i="15"/>
  <c r="DG56" i="15" s="1"/>
  <c r="DF60" i="15"/>
  <c r="DG60" i="15" s="1"/>
  <c r="DF64" i="15"/>
  <c r="DG64" i="15" s="1"/>
  <c r="GB64" i="15" s="1"/>
  <c r="GD64" i="15" s="1"/>
  <c r="DF68" i="15"/>
  <c r="DG68" i="15" s="1"/>
  <c r="DF72" i="15"/>
  <c r="DG72" i="15" s="1"/>
  <c r="DF76" i="15"/>
  <c r="DG76" i="15" s="1"/>
  <c r="DF80" i="15"/>
  <c r="DG80" i="15" s="1"/>
  <c r="DF84" i="15"/>
  <c r="DG84" i="15" s="1"/>
  <c r="DF88" i="15"/>
  <c r="DG88" i="15" s="1"/>
  <c r="DF93" i="15"/>
  <c r="DG93" i="15" s="1"/>
  <c r="DF96" i="15"/>
  <c r="DG96" i="15" s="1"/>
  <c r="DF100" i="15"/>
  <c r="DG100" i="15" s="1"/>
  <c r="DF104" i="15"/>
  <c r="DG104" i="15" s="1"/>
  <c r="DF108" i="15"/>
  <c r="DG108" i="15" s="1"/>
  <c r="DF112" i="15"/>
  <c r="DG112" i="15" s="1"/>
  <c r="DF116" i="15"/>
  <c r="DG116" i="15" s="1"/>
  <c r="DF120" i="15"/>
  <c r="DG120" i="15" s="1"/>
  <c r="DF124" i="15"/>
  <c r="DG124" i="15" s="1"/>
  <c r="GB124" i="15" s="1"/>
  <c r="GD124" i="15" s="1"/>
  <c r="DF128" i="15"/>
  <c r="DG128" i="15" s="1"/>
  <c r="DF132" i="15"/>
  <c r="DG132" i="15" s="1"/>
  <c r="DF136" i="15"/>
  <c r="DG136" i="15" s="1"/>
  <c r="DF140" i="15"/>
  <c r="DG140" i="15" s="1"/>
  <c r="DF144" i="15"/>
  <c r="DG144" i="15" s="1"/>
  <c r="DF148" i="15"/>
  <c r="DG148" i="15" s="1"/>
  <c r="DF152" i="15"/>
  <c r="DG152" i="15" s="1"/>
  <c r="DF156" i="15"/>
  <c r="DG156" i="15" s="1"/>
  <c r="DF160" i="15"/>
  <c r="DG160" i="15" s="1"/>
  <c r="DF164" i="15"/>
  <c r="DG164" i="15" s="1"/>
  <c r="DF168" i="15"/>
  <c r="DG168" i="15" s="1"/>
  <c r="DF172" i="15"/>
  <c r="DG172" i="15" s="1"/>
  <c r="DF176" i="15"/>
  <c r="DG176" i="15" s="1"/>
  <c r="DF180" i="15"/>
  <c r="DG180" i="15" s="1"/>
  <c r="DF184" i="15"/>
  <c r="DG184" i="15" s="1"/>
  <c r="DF188" i="15"/>
  <c r="DG188" i="15" s="1"/>
  <c r="DF192" i="15"/>
  <c r="DG192" i="15" s="1"/>
  <c r="DF196" i="15"/>
  <c r="DG196" i="15" s="1"/>
  <c r="DF200" i="15"/>
  <c r="DG200" i="15" s="1"/>
  <c r="DF204" i="15"/>
  <c r="DG204" i="15" s="1"/>
  <c r="DF208" i="15"/>
  <c r="DG208" i="15" s="1"/>
  <c r="DF212" i="15"/>
  <c r="DG212" i="15" s="1"/>
  <c r="DF216" i="15"/>
  <c r="DG216" i="15" s="1"/>
  <c r="DF220" i="15"/>
  <c r="DG220" i="15" s="1"/>
  <c r="DF224" i="15"/>
  <c r="DG224" i="15" s="1"/>
  <c r="DF228" i="15"/>
  <c r="DG228" i="15" s="1"/>
  <c r="DF232" i="15"/>
  <c r="DG232" i="15" s="1"/>
  <c r="DF236" i="15"/>
  <c r="DG236" i="15" s="1"/>
  <c r="DF240" i="15"/>
  <c r="DG240" i="15" s="1"/>
  <c r="DF244" i="15"/>
  <c r="DG244" i="15" s="1"/>
  <c r="DF248" i="15"/>
  <c r="DG248" i="15" s="1"/>
  <c r="DF9" i="15"/>
  <c r="DG9" i="15" s="1"/>
  <c r="DF13" i="15"/>
  <c r="DG13" i="15" s="1"/>
  <c r="DF17" i="15"/>
  <c r="DG17" i="15" s="1"/>
  <c r="DF21" i="15"/>
  <c r="DG21" i="15" s="1"/>
  <c r="DF25" i="15"/>
  <c r="DG25" i="15" s="1"/>
  <c r="DF29" i="15"/>
  <c r="DG29" i="15" s="1"/>
  <c r="DF33" i="15"/>
  <c r="DG33" i="15" s="1"/>
  <c r="GB33" i="15" s="1"/>
  <c r="GD33" i="15" s="1"/>
  <c r="DF37" i="15"/>
  <c r="DG37" i="15" s="1"/>
  <c r="DF41" i="15"/>
  <c r="DG41" i="15" s="1"/>
  <c r="GB41" i="15" s="1"/>
  <c r="GD41" i="15" s="1"/>
  <c r="DF45" i="15"/>
  <c r="DG45" i="15" s="1"/>
  <c r="DF49" i="15"/>
  <c r="DG49" i="15" s="1"/>
  <c r="DF53" i="15"/>
  <c r="DG53" i="15" s="1"/>
  <c r="DF57" i="15"/>
  <c r="DG57" i="15" s="1"/>
  <c r="DF61" i="15"/>
  <c r="DG61" i="15" s="1"/>
  <c r="DF65" i="15"/>
  <c r="DG65" i="15" s="1"/>
  <c r="DF69" i="15"/>
  <c r="DG69" i="15" s="1"/>
  <c r="DF73" i="15"/>
  <c r="DG73" i="15" s="1"/>
  <c r="DF77" i="15"/>
  <c r="DG77" i="15" s="1"/>
  <c r="DF81" i="15"/>
  <c r="DG81" i="15" s="1"/>
  <c r="DF85" i="15"/>
  <c r="DG85" i="15" s="1"/>
  <c r="DF89" i="15"/>
  <c r="DG89" i="15" s="1"/>
  <c r="DF92" i="15"/>
  <c r="DG92" i="15" s="1"/>
  <c r="DF97" i="15"/>
  <c r="DG97" i="15" s="1"/>
  <c r="GB97" i="15" s="1"/>
  <c r="GD97" i="15" s="1"/>
  <c r="DF101" i="15"/>
  <c r="DG101" i="15" s="1"/>
  <c r="DF105" i="15"/>
  <c r="DG105" i="15" s="1"/>
  <c r="DF109" i="15"/>
  <c r="DG109" i="15" s="1"/>
  <c r="DF113" i="15"/>
  <c r="DG113" i="15" s="1"/>
  <c r="DF117" i="15"/>
  <c r="DG117" i="15" s="1"/>
  <c r="DF121" i="15"/>
  <c r="DG121" i="15" s="1"/>
  <c r="DF125" i="15"/>
  <c r="DG125" i="15" s="1"/>
  <c r="DF129" i="15"/>
  <c r="DG129" i="15" s="1"/>
  <c r="DF133" i="15"/>
  <c r="DG133" i="15" s="1"/>
  <c r="DF137" i="15"/>
  <c r="DG137" i="15" s="1"/>
  <c r="DF141" i="15"/>
  <c r="DG141" i="15" s="1"/>
  <c r="DF145" i="15"/>
  <c r="DG145" i="15" s="1"/>
  <c r="DF149" i="15"/>
  <c r="DG149" i="15" s="1"/>
  <c r="DF153" i="15"/>
  <c r="DG153" i="15" s="1"/>
  <c r="DF157" i="15"/>
  <c r="DG157" i="15" s="1"/>
  <c r="DF161" i="15"/>
  <c r="DG161" i="15" s="1"/>
  <c r="DF165" i="15"/>
  <c r="DG165" i="15" s="1"/>
  <c r="DF169" i="15"/>
  <c r="DG169" i="15" s="1"/>
  <c r="DF173" i="15"/>
  <c r="DG173" i="15" s="1"/>
  <c r="DF177" i="15"/>
  <c r="DG177" i="15" s="1"/>
  <c r="DF181" i="15"/>
  <c r="DG181" i="15" s="1"/>
  <c r="DF185" i="15"/>
  <c r="DG185" i="15" s="1"/>
  <c r="DF189" i="15"/>
  <c r="DG189" i="15" s="1"/>
  <c r="DF193" i="15"/>
  <c r="DG193" i="15" s="1"/>
  <c r="DF197" i="15"/>
  <c r="DG197" i="15" s="1"/>
  <c r="DF201" i="15"/>
  <c r="DG201" i="15" s="1"/>
  <c r="DF205" i="15"/>
  <c r="DG205" i="15" s="1"/>
  <c r="DF209" i="15"/>
  <c r="DG209" i="15" s="1"/>
  <c r="DF213" i="15"/>
  <c r="DG213" i="15" s="1"/>
  <c r="DF229" i="15"/>
  <c r="DG229" i="15" s="1"/>
  <c r="DF245" i="15"/>
  <c r="DG245" i="15" s="1"/>
  <c r="DF254" i="15"/>
  <c r="DG254" i="15" s="1"/>
  <c r="DF260" i="15"/>
  <c r="DG260" i="15" s="1"/>
  <c r="DF264" i="15"/>
  <c r="DG264" i="15" s="1"/>
  <c r="DF268" i="15"/>
  <c r="DG268" i="15" s="1"/>
  <c r="DF272" i="15"/>
  <c r="DG272" i="15" s="1"/>
  <c r="DF276" i="15"/>
  <c r="DG276" i="15" s="1"/>
  <c r="DF280" i="15"/>
  <c r="DG280" i="15" s="1"/>
  <c r="DF284" i="15"/>
  <c r="DG284" i="15" s="1"/>
  <c r="DF288" i="15"/>
  <c r="DG288" i="15" s="1"/>
  <c r="DF292" i="15"/>
  <c r="DG292" i="15" s="1"/>
  <c r="DF296" i="15"/>
  <c r="DG296" i="15" s="1"/>
  <c r="DF300" i="15"/>
  <c r="DG300" i="15" s="1"/>
  <c r="DF304" i="15"/>
  <c r="DG304" i="15" s="1"/>
  <c r="DF308" i="15"/>
  <c r="DG308" i="15" s="1"/>
  <c r="DF312" i="15"/>
  <c r="DG312" i="15" s="1"/>
  <c r="DF316" i="15"/>
  <c r="DG316" i="15" s="1"/>
  <c r="DF320" i="15"/>
  <c r="DG320" i="15" s="1"/>
  <c r="DF324" i="15"/>
  <c r="DG324" i="15" s="1"/>
  <c r="GB324" i="15" s="1"/>
  <c r="GD324" i="15" s="1"/>
  <c r="DF328" i="15"/>
  <c r="DG328" i="15" s="1"/>
  <c r="DF332" i="15"/>
  <c r="DG332" i="15" s="1"/>
  <c r="DF336" i="15"/>
  <c r="DG336" i="15" s="1"/>
  <c r="DF340" i="15"/>
  <c r="DG340" i="15" s="1"/>
  <c r="DF344" i="15"/>
  <c r="DG344" i="15" s="1"/>
  <c r="DF348" i="15"/>
  <c r="DG348" i="15" s="1"/>
  <c r="DF352" i="15"/>
  <c r="DG352" i="15" s="1"/>
  <c r="DF356" i="15"/>
  <c r="DG356" i="15" s="1"/>
  <c r="DF360" i="15"/>
  <c r="DG360" i="15" s="1"/>
  <c r="DF364" i="15"/>
  <c r="DG364" i="15" s="1"/>
  <c r="DF368" i="15"/>
  <c r="DG368" i="15" s="1"/>
  <c r="DF372" i="15"/>
  <c r="DG372" i="15" s="1"/>
  <c r="DF376" i="15"/>
  <c r="DG376" i="15" s="1"/>
  <c r="DF380" i="15"/>
  <c r="DG380" i="15" s="1"/>
  <c r="DF384" i="15"/>
  <c r="DG384" i="15" s="1"/>
  <c r="DF388" i="15"/>
  <c r="DG388" i="15" s="1"/>
  <c r="DF392" i="15"/>
  <c r="DG392" i="15" s="1"/>
  <c r="DF396" i="15"/>
  <c r="DG396" i="15" s="1"/>
  <c r="DF400" i="15"/>
  <c r="DG400" i="15" s="1"/>
  <c r="DF404" i="15"/>
  <c r="DG404" i="15" s="1"/>
  <c r="DF408" i="15"/>
  <c r="DG408" i="15" s="1"/>
  <c r="DF412" i="15"/>
  <c r="DG412" i="15" s="1"/>
  <c r="DF416" i="15"/>
  <c r="DG416" i="15" s="1"/>
  <c r="DF420" i="15"/>
  <c r="DG420" i="15" s="1"/>
  <c r="DF424" i="15"/>
  <c r="DG424" i="15" s="1"/>
  <c r="DF428" i="15"/>
  <c r="DG428" i="15" s="1"/>
  <c r="DF432" i="15"/>
  <c r="DG432" i="15" s="1"/>
  <c r="DF436" i="15"/>
  <c r="DG436" i="15" s="1"/>
  <c r="DF440" i="15"/>
  <c r="DG440" i="15" s="1"/>
  <c r="DF444" i="15"/>
  <c r="DG444" i="15" s="1"/>
  <c r="DF448" i="15"/>
  <c r="DG448" i="15" s="1"/>
  <c r="DF452" i="15"/>
  <c r="DG452" i="15" s="1"/>
  <c r="DF456" i="15"/>
  <c r="DG456" i="15" s="1"/>
  <c r="DF460" i="15"/>
  <c r="DG460" i="15" s="1"/>
  <c r="DF464" i="15"/>
  <c r="DG464" i="15" s="1"/>
  <c r="DF468" i="15"/>
  <c r="DG468" i="15" s="1"/>
  <c r="DF472" i="15"/>
  <c r="DG472" i="15" s="1"/>
  <c r="DF476" i="15"/>
  <c r="DG476" i="15" s="1"/>
  <c r="DF480" i="15"/>
  <c r="DG480" i="15" s="1"/>
  <c r="DF484" i="15"/>
  <c r="DG484" i="15" s="1"/>
  <c r="DF488" i="15"/>
  <c r="DG488" i="15" s="1"/>
  <c r="DF492" i="15"/>
  <c r="DG492" i="15" s="1"/>
  <c r="DF496" i="15"/>
  <c r="DG496" i="15" s="1"/>
  <c r="DF500" i="15"/>
  <c r="DG500" i="15" s="1"/>
  <c r="DF504" i="15"/>
  <c r="DG504" i="15" s="1"/>
  <c r="DF508" i="15"/>
  <c r="DG508" i="15" s="1"/>
  <c r="DF512" i="15"/>
  <c r="DG512" i="15" s="1"/>
  <c r="DF516" i="15"/>
  <c r="DG516" i="15" s="1"/>
  <c r="DF520" i="15"/>
  <c r="DG520" i="15" s="1"/>
  <c r="DF524" i="15"/>
  <c r="DG524" i="15" s="1"/>
  <c r="DF528" i="15"/>
  <c r="DG528" i="15" s="1"/>
  <c r="GB528" i="15" s="1"/>
  <c r="GD528" i="15" s="1"/>
  <c r="DF532" i="15"/>
  <c r="DG532" i="15" s="1"/>
  <c r="DF536" i="15"/>
  <c r="DG536" i="15" s="1"/>
  <c r="DF540" i="15"/>
  <c r="DG540" i="15" s="1"/>
  <c r="DF544" i="15"/>
  <c r="DG544" i="15" s="1"/>
  <c r="DF548" i="15"/>
  <c r="DG548" i="15" s="1"/>
  <c r="DF552" i="15"/>
  <c r="DG552" i="15" s="1"/>
  <c r="DF556" i="15"/>
  <c r="DG556" i="15" s="1"/>
  <c r="DF560" i="15"/>
  <c r="DG560" i="15" s="1"/>
  <c r="DF564" i="15"/>
  <c r="DG564" i="15" s="1"/>
  <c r="DF568" i="15"/>
  <c r="DG568" i="15" s="1"/>
  <c r="DF573" i="15"/>
  <c r="DG573" i="15" s="1"/>
  <c r="DF576" i="15"/>
  <c r="DF580" i="15"/>
  <c r="DG580" i="15" s="1"/>
  <c r="DF584" i="15"/>
  <c r="DG584" i="15" s="1"/>
  <c r="DF588" i="15"/>
  <c r="DG588" i="15" s="1"/>
  <c r="DF592" i="15"/>
  <c r="DG592" i="15" s="1"/>
  <c r="DF596" i="15"/>
  <c r="DG596" i="15" s="1"/>
  <c r="DF600" i="15"/>
  <c r="DG600" i="15" s="1"/>
  <c r="DF604" i="15"/>
  <c r="DG604" i="15" s="1"/>
  <c r="DF608" i="15"/>
  <c r="DG608" i="15" s="1"/>
  <c r="DF612" i="15"/>
  <c r="DG612" i="15" s="1"/>
  <c r="DF616" i="15"/>
  <c r="DG616" i="15" s="1"/>
  <c r="DF620" i="15"/>
  <c r="DG620" i="15" s="1"/>
  <c r="DF624" i="15"/>
  <c r="DG624" i="15" s="1"/>
  <c r="DF628" i="15"/>
  <c r="DG628" i="15" s="1"/>
  <c r="DF632" i="15"/>
  <c r="DG632" i="15" s="1"/>
  <c r="DF636" i="15"/>
  <c r="DG636" i="15" s="1"/>
  <c r="DF640" i="15"/>
  <c r="DG640" i="15" s="1"/>
  <c r="GB640" i="15" s="1"/>
  <c r="GD640" i="15" s="1"/>
  <c r="DF644" i="15"/>
  <c r="DG644" i="15" s="1"/>
  <c r="DF648" i="15"/>
  <c r="DG648" i="15" s="1"/>
  <c r="DF652" i="15"/>
  <c r="DG652" i="15" s="1"/>
  <c r="DF656" i="15"/>
  <c r="DG656" i="15" s="1"/>
  <c r="DF660" i="15"/>
  <c r="DG660" i="15" s="1"/>
  <c r="DF664" i="15"/>
  <c r="DG664" i="15" s="1"/>
  <c r="DF668" i="15"/>
  <c r="DG668" i="15" s="1"/>
  <c r="DF672" i="15"/>
  <c r="DG672" i="15" s="1"/>
  <c r="DF676" i="15"/>
  <c r="DG676" i="15" s="1"/>
  <c r="DF680" i="15"/>
  <c r="DG680" i="15" s="1"/>
  <c r="DF684" i="15"/>
  <c r="DG684" i="15" s="1"/>
  <c r="DF688" i="15"/>
  <c r="DG688" i="15" s="1"/>
  <c r="DF692" i="15"/>
  <c r="DG692" i="15" s="1"/>
  <c r="DF696" i="15"/>
  <c r="DG696" i="15" s="1"/>
  <c r="DF700" i="15"/>
  <c r="DG700" i="15" s="1"/>
  <c r="DF704" i="15"/>
  <c r="DG704" i="15" s="1"/>
  <c r="DF708" i="15"/>
  <c r="DG708" i="15" s="1"/>
  <c r="DF712" i="15"/>
  <c r="DF716" i="15"/>
  <c r="DG716" i="15" s="1"/>
  <c r="DF720" i="15"/>
  <c r="DG720" i="15" s="1"/>
  <c r="DF724" i="15"/>
  <c r="DG724" i="15" s="1"/>
  <c r="DF728" i="15"/>
  <c r="DG728" i="15" s="1"/>
  <c r="DF732" i="15"/>
  <c r="DG732" i="15" s="1"/>
  <c r="DF736" i="15"/>
  <c r="DG736" i="15" s="1"/>
  <c r="DF740" i="15"/>
  <c r="DG740" i="15" s="1"/>
  <c r="DF744" i="15"/>
  <c r="DG744" i="15" s="1"/>
  <c r="DF748" i="15"/>
  <c r="DG748" i="15" s="1"/>
  <c r="DF752" i="15"/>
  <c r="DG752" i="15" s="1"/>
  <c r="DF756" i="15"/>
  <c r="DG756" i="15" s="1"/>
  <c r="DF758" i="15"/>
  <c r="DG758" i="15" s="1"/>
  <c r="DF762" i="15"/>
  <c r="DG762" i="15" s="1"/>
  <c r="DF766" i="15"/>
  <c r="DG766" i="15" s="1"/>
  <c r="DF770" i="15"/>
  <c r="DG770" i="15" s="1"/>
  <c r="DF776" i="15"/>
  <c r="DG776" i="15" s="1"/>
  <c r="DF780" i="15"/>
  <c r="DG780" i="15" s="1"/>
  <c r="DF784" i="15"/>
  <c r="DG784" i="15" s="1"/>
  <c r="DF788" i="15"/>
  <c r="DG788" i="15" s="1"/>
  <c r="DF792" i="15"/>
  <c r="DG792" i="15" s="1"/>
  <c r="DF796" i="15"/>
  <c r="DG796" i="15" s="1"/>
  <c r="DF800" i="15"/>
  <c r="DG800" i="15" s="1"/>
  <c r="DF804" i="15"/>
  <c r="DG804" i="15" s="1"/>
  <c r="DF808" i="15"/>
  <c r="DG808" i="15" s="1"/>
  <c r="DF812" i="15"/>
  <c r="DG812" i="15" s="1"/>
  <c r="DF816" i="15"/>
  <c r="DG816" i="15" s="1"/>
  <c r="DF820" i="15"/>
  <c r="DG820" i="15" s="1"/>
  <c r="DF824" i="15"/>
  <c r="DG824" i="15" s="1"/>
  <c r="DF828" i="15"/>
  <c r="DG828" i="15" s="1"/>
  <c r="DF832" i="15"/>
  <c r="DG832" i="15" s="1"/>
  <c r="DF836" i="15"/>
  <c r="DG836" i="15" s="1"/>
  <c r="DF840" i="15"/>
  <c r="DG840" i="15" s="1"/>
  <c r="DF844" i="15"/>
  <c r="DG844" i="15" s="1"/>
  <c r="DF848" i="15"/>
  <c r="DG848" i="15" s="1"/>
  <c r="DF852" i="15"/>
  <c r="DG852" i="15" s="1"/>
  <c r="DF856" i="15"/>
  <c r="DG856" i="15" s="1"/>
  <c r="DF860" i="15"/>
  <c r="DG860" i="15" s="1"/>
  <c r="DF855" i="15"/>
  <c r="DG855" i="15" s="1"/>
  <c r="DF217" i="15"/>
  <c r="DG217" i="15" s="1"/>
  <c r="DF233" i="15"/>
  <c r="DG233" i="15" s="1"/>
  <c r="DF249" i="15"/>
  <c r="DG249" i="15" s="1"/>
  <c r="DF256" i="15"/>
  <c r="DG256" i="15" s="1"/>
  <c r="DF261" i="15"/>
  <c r="DG261" i="15" s="1"/>
  <c r="DF265" i="15"/>
  <c r="DG265" i="15" s="1"/>
  <c r="DF269" i="15"/>
  <c r="DF273" i="15"/>
  <c r="DG273" i="15" s="1"/>
  <c r="DF277" i="15"/>
  <c r="DG277" i="15" s="1"/>
  <c r="DF281" i="15"/>
  <c r="DG281" i="15" s="1"/>
  <c r="DF285" i="15"/>
  <c r="DG285" i="15" s="1"/>
  <c r="DF289" i="15"/>
  <c r="DG289" i="15" s="1"/>
  <c r="DF293" i="15"/>
  <c r="DG293" i="15" s="1"/>
  <c r="DF297" i="15"/>
  <c r="DG297" i="15" s="1"/>
  <c r="DF301" i="15"/>
  <c r="DG301" i="15" s="1"/>
  <c r="DF305" i="15"/>
  <c r="DG305" i="15" s="1"/>
  <c r="DF309" i="15"/>
  <c r="DG309" i="15" s="1"/>
  <c r="DF313" i="15"/>
  <c r="DG313" i="15" s="1"/>
  <c r="DF317" i="15"/>
  <c r="DG317" i="15" s="1"/>
  <c r="DF321" i="15"/>
  <c r="DG321" i="15" s="1"/>
  <c r="DF325" i="15"/>
  <c r="DG325" i="15" s="1"/>
  <c r="DF329" i="15"/>
  <c r="DG329" i="15" s="1"/>
  <c r="DF333" i="15"/>
  <c r="DG333" i="15" s="1"/>
  <c r="DF337" i="15"/>
  <c r="DG337" i="15" s="1"/>
  <c r="DF341" i="15"/>
  <c r="DG341" i="15" s="1"/>
  <c r="DF345" i="15"/>
  <c r="DG345" i="15" s="1"/>
  <c r="DF349" i="15"/>
  <c r="DG349" i="15" s="1"/>
  <c r="DF353" i="15"/>
  <c r="DG353" i="15" s="1"/>
  <c r="DF357" i="15"/>
  <c r="DG357" i="15" s="1"/>
  <c r="DF361" i="15"/>
  <c r="DG361" i="15" s="1"/>
  <c r="DF365" i="15"/>
  <c r="DG365" i="15" s="1"/>
  <c r="DF369" i="15"/>
  <c r="DG369" i="15" s="1"/>
  <c r="DF373" i="15"/>
  <c r="DG373" i="15" s="1"/>
  <c r="DF377" i="15"/>
  <c r="DG377" i="15" s="1"/>
  <c r="DF381" i="15"/>
  <c r="DG381" i="15" s="1"/>
  <c r="DF385" i="15"/>
  <c r="DG385" i="15" s="1"/>
  <c r="DF389" i="15"/>
  <c r="DG389" i="15" s="1"/>
  <c r="DF393" i="15"/>
  <c r="DG393" i="15" s="1"/>
  <c r="DF397" i="15"/>
  <c r="DG397" i="15" s="1"/>
  <c r="DF401" i="15"/>
  <c r="DG401" i="15" s="1"/>
  <c r="DF405" i="15"/>
  <c r="DG405" i="15" s="1"/>
  <c r="DF409" i="15"/>
  <c r="DG409" i="15" s="1"/>
  <c r="DF413" i="15"/>
  <c r="DG413" i="15" s="1"/>
  <c r="DF417" i="15"/>
  <c r="DG417" i="15" s="1"/>
  <c r="DF421" i="15"/>
  <c r="DG421" i="15" s="1"/>
  <c r="DF425" i="15"/>
  <c r="DG425" i="15" s="1"/>
  <c r="DF429" i="15"/>
  <c r="DG429" i="15" s="1"/>
  <c r="GB429" i="15" s="1"/>
  <c r="GD429" i="15" s="1"/>
  <c r="DF433" i="15"/>
  <c r="DG433" i="15" s="1"/>
  <c r="DF437" i="15"/>
  <c r="DG437" i="15" s="1"/>
  <c r="DF441" i="15"/>
  <c r="DG441" i="15" s="1"/>
  <c r="DF445" i="15"/>
  <c r="DG445" i="15" s="1"/>
  <c r="DF449" i="15"/>
  <c r="DG449" i="15" s="1"/>
  <c r="DF453" i="15"/>
  <c r="DG453" i="15" s="1"/>
  <c r="DF457" i="15"/>
  <c r="DG457" i="15" s="1"/>
  <c r="DF461" i="15"/>
  <c r="DG461" i="15" s="1"/>
  <c r="DF465" i="15"/>
  <c r="DG465" i="15" s="1"/>
  <c r="DF469" i="15"/>
  <c r="DG469" i="15" s="1"/>
  <c r="DF473" i="15"/>
  <c r="DG473" i="15" s="1"/>
  <c r="DF477" i="15"/>
  <c r="DG477" i="15" s="1"/>
  <c r="DF481" i="15"/>
  <c r="DG481" i="15" s="1"/>
  <c r="DF485" i="15"/>
  <c r="DG485" i="15" s="1"/>
  <c r="DF489" i="15"/>
  <c r="DG489" i="15" s="1"/>
  <c r="DF493" i="15"/>
  <c r="DG493" i="15" s="1"/>
  <c r="DF497" i="15"/>
  <c r="DG497" i="15" s="1"/>
  <c r="DF501" i="15"/>
  <c r="DG501" i="15" s="1"/>
  <c r="DF505" i="15"/>
  <c r="DG505" i="15" s="1"/>
  <c r="DF509" i="15"/>
  <c r="DG509" i="15" s="1"/>
  <c r="DF513" i="15"/>
  <c r="DG513" i="15" s="1"/>
  <c r="DF517" i="15"/>
  <c r="DG517" i="15" s="1"/>
  <c r="DF521" i="15"/>
  <c r="DG521" i="15" s="1"/>
  <c r="DF525" i="15"/>
  <c r="DG525" i="15" s="1"/>
  <c r="DF529" i="15"/>
  <c r="DG529" i="15" s="1"/>
  <c r="DF533" i="15"/>
  <c r="DG533" i="15" s="1"/>
  <c r="DF537" i="15"/>
  <c r="DG537" i="15" s="1"/>
  <c r="DF541" i="15"/>
  <c r="DG541" i="15" s="1"/>
  <c r="DF545" i="15"/>
  <c r="DG545" i="15" s="1"/>
  <c r="DF549" i="15"/>
  <c r="DG549" i="15" s="1"/>
  <c r="DF553" i="15"/>
  <c r="DG553" i="15" s="1"/>
  <c r="DF557" i="15"/>
  <c r="DG557" i="15" s="1"/>
  <c r="DF561" i="15"/>
  <c r="DG561" i="15" s="1"/>
  <c r="DF565" i="15"/>
  <c r="DG565" i="15" s="1"/>
  <c r="DF569" i="15"/>
  <c r="DG569" i="15" s="1"/>
  <c r="DF574" i="15"/>
  <c r="DG574" i="15" s="1"/>
  <c r="DF577" i="15"/>
  <c r="DG577" i="15" s="1"/>
  <c r="DF581" i="15"/>
  <c r="DG581" i="15" s="1"/>
  <c r="DF585" i="15"/>
  <c r="DG585" i="15" s="1"/>
  <c r="DF589" i="15"/>
  <c r="DG589" i="15" s="1"/>
  <c r="DF593" i="15"/>
  <c r="DG593" i="15" s="1"/>
  <c r="DF597" i="15"/>
  <c r="DG597" i="15" s="1"/>
  <c r="DF601" i="15"/>
  <c r="DG601" i="15" s="1"/>
  <c r="DF605" i="15"/>
  <c r="DG605" i="15" s="1"/>
  <c r="DF609" i="15"/>
  <c r="DG609" i="15" s="1"/>
  <c r="DF613" i="15"/>
  <c r="DG613" i="15" s="1"/>
  <c r="DF617" i="15"/>
  <c r="DG617" i="15" s="1"/>
  <c r="DF621" i="15"/>
  <c r="DG621" i="15" s="1"/>
  <c r="DF625" i="15"/>
  <c r="DG625" i="15" s="1"/>
  <c r="DF629" i="15"/>
  <c r="DG629" i="15" s="1"/>
  <c r="DF633" i="15"/>
  <c r="DG633" i="15" s="1"/>
  <c r="DF637" i="15"/>
  <c r="DG637" i="15" s="1"/>
  <c r="DF641" i="15"/>
  <c r="DG641" i="15" s="1"/>
  <c r="DF645" i="15"/>
  <c r="DG645" i="15" s="1"/>
  <c r="DF649" i="15"/>
  <c r="DG649" i="15" s="1"/>
  <c r="DF653" i="15"/>
  <c r="DG653" i="15" s="1"/>
  <c r="DF657" i="15"/>
  <c r="DG657" i="15" s="1"/>
  <c r="DF661" i="15"/>
  <c r="DG661" i="15" s="1"/>
  <c r="DF665" i="15"/>
  <c r="DG665" i="15" s="1"/>
  <c r="DF669" i="15"/>
  <c r="DG669" i="15" s="1"/>
  <c r="DF673" i="15"/>
  <c r="DG673" i="15" s="1"/>
  <c r="DF677" i="15"/>
  <c r="DG677" i="15" s="1"/>
  <c r="DF681" i="15"/>
  <c r="DG681" i="15" s="1"/>
  <c r="DF685" i="15"/>
  <c r="DG685" i="15" s="1"/>
  <c r="DF689" i="15"/>
  <c r="DG689" i="15" s="1"/>
  <c r="DF693" i="15"/>
  <c r="DG693" i="15" s="1"/>
  <c r="DF697" i="15"/>
  <c r="DG697" i="15" s="1"/>
  <c r="DF701" i="15"/>
  <c r="DG701" i="15" s="1"/>
  <c r="DF705" i="15"/>
  <c r="DG705" i="15" s="1"/>
  <c r="DF709" i="15"/>
  <c r="DG709" i="15" s="1"/>
  <c r="DF713" i="15"/>
  <c r="DG713" i="15" s="1"/>
  <c r="DF717" i="15"/>
  <c r="DG717" i="15" s="1"/>
  <c r="DF721" i="15"/>
  <c r="DG721" i="15" s="1"/>
  <c r="DF725" i="15"/>
  <c r="DG725" i="15" s="1"/>
  <c r="DF729" i="15"/>
  <c r="DG729" i="15" s="1"/>
  <c r="DF733" i="15"/>
  <c r="DG733" i="15" s="1"/>
  <c r="DF737" i="15"/>
  <c r="DG737" i="15" s="1"/>
  <c r="DF741" i="15"/>
  <c r="DG741" i="15" s="1"/>
  <c r="DF745" i="15"/>
  <c r="DG745" i="15" s="1"/>
  <c r="DF749" i="15"/>
  <c r="DG749" i="15" s="1"/>
  <c r="DF753" i="15"/>
  <c r="DG753" i="15" s="1"/>
  <c r="GB753" i="15" s="1"/>
  <c r="GD753" i="15" s="1"/>
  <c r="DF757" i="15"/>
  <c r="DG757" i="15" s="1"/>
  <c r="DF759" i="15"/>
  <c r="DG759" i="15" s="1"/>
  <c r="DF763" i="15"/>
  <c r="DG763" i="15" s="1"/>
  <c r="DF767" i="15"/>
  <c r="DG767" i="15" s="1"/>
  <c r="DF771" i="15"/>
  <c r="DG771" i="15" s="1"/>
  <c r="DF777" i="15"/>
  <c r="DG777" i="15" s="1"/>
  <c r="DF781" i="15"/>
  <c r="DG781" i="15" s="1"/>
  <c r="DF785" i="15"/>
  <c r="DG785" i="15" s="1"/>
  <c r="DF789" i="15"/>
  <c r="DG789" i="15" s="1"/>
  <c r="DF793" i="15"/>
  <c r="DG793" i="15" s="1"/>
  <c r="DF797" i="15"/>
  <c r="DG797" i="15" s="1"/>
  <c r="DF801" i="15"/>
  <c r="DG801" i="15" s="1"/>
  <c r="DF805" i="15"/>
  <c r="DG805" i="15" s="1"/>
  <c r="DF809" i="15"/>
  <c r="DG809" i="15" s="1"/>
  <c r="DF813" i="15"/>
  <c r="DG813" i="15" s="1"/>
  <c r="DF817" i="15"/>
  <c r="DG817" i="15" s="1"/>
  <c r="DF821" i="15"/>
  <c r="DG821" i="15" s="1"/>
  <c r="DF825" i="15"/>
  <c r="DG825" i="15" s="1"/>
  <c r="DF829" i="15"/>
  <c r="DG829" i="15" s="1"/>
  <c r="DF833" i="15"/>
  <c r="DG833" i="15" s="1"/>
  <c r="DF837" i="15"/>
  <c r="DG837" i="15" s="1"/>
  <c r="DF841" i="15"/>
  <c r="DG841" i="15" s="1"/>
  <c r="DF845" i="15"/>
  <c r="DG845" i="15" s="1"/>
  <c r="DF849" i="15"/>
  <c r="DG849" i="15" s="1"/>
  <c r="DF853" i="15"/>
  <c r="DG853" i="15" s="1"/>
  <c r="DF857" i="15"/>
  <c r="DG857" i="15" s="1"/>
  <c r="DF861" i="15"/>
  <c r="DG861" i="15" s="1"/>
  <c r="DF851" i="15"/>
  <c r="DG851" i="15" s="1"/>
  <c r="DF859" i="15"/>
  <c r="DG859" i="15" s="1"/>
  <c r="DF221" i="15"/>
  <c r="DG221" i="15" s="1"/>
  <c r="DF237" i="15"/>
  <c r="DG237" i="15" s="1"/>
  <c r="DF252" i="15"/>
  <c r="DG252" i="15" s="1"/>
  <c r="DF257" i="15"/>
  <c r="DG257" i="15" s="1"/>
  <c r="DF262" i="15"/>
  <c r="DG262" i="15" s="1"/>
  <c r="DF266" i="15"/>
  <c r="DG266" i="15" s="1"/>
  <c r="DF270" i="15"/>
  <c r="DG270" i="15" s="1"/>
  <c r="DF275" i="15"/>
  <c r="DG275" i="15" s="1"/>
  <c r="DF278" i="15"/>
  <c r="DG278" i="15" s="1"/>
  <c r="DF282" i="15"/>
  <c r="DG282" i="15" s="1"/>
  <c r="DF286" i="15"/>
  <c r="DG286" i="15" s="1"/>
  <c r="DF290" i="15"/>
  <c r="DG290" i="15" s="1"/>
  <c r="DF294" i="15"/>
  <c r="DG294" i="15" s="1"/>
  <c r="DF298" i="15"/>
  <c r="DG298" i="15" s="1"/>
  <c r="DF302" i="15"/>
  <c r="DG302" i="15" s="1"/>
  <c r="DF306" i="15"/>
  <c r="DG306" i="15" s="1"/>
  <c r="DF310" i="15"/>
  <c r="DG310" i="15" s="1"/>
  <c r="DF314" i="15"/>
  <c r="DG314" i="15" s="1"/>
  <c r="DF318" i="15"/>
  <c r="DG318" i="15" s="1"/>
  <c r="DF322" i="15"/>
  <c r="DG322" i="15" s="1"/>
  <c r="DF326" i="15"/>
  <c r="DG326" i="15" s="1"/>
  <c r="DF330" i="15"/>
  <c r="DG330" i="15" s="1"/>
  <c r="DF334" i="15"/>
  <c r="DG334" i="15" s="1"/>
  <c r="DF338" i="15"/>
  <c r="DG338" i="15" s="1"/>
  <c r="DF342" i="15"/>
  <c r="DG342" i="15" s="1"/>
  <c r="DF346" i="15"/>
  <c r="DG346" i="15" s="1"/>
  <c r="DF350" i="15"/>
  <c r="DG350" i="15" s="1"/>
  <c r="DF354" i="15"/>
  <c r="DG354" i="15" s="1"/>
  <c r="DF358" i="15"/>
  <c r="DG358" i="15" s="1"/>
  <c r="DF362" i="15"/>
  <c r="DG362" i="15" s="1"/>
  <c r="DF366" i="15"/>
  <c r="DG366" i="15" s="1"/>
  <c r="DF370" i="15"/>
  <c r="DG370" i="15" s="1"/>
  <c r="DF374" i="15"/>
  <c r="DG374" i="15" s="1"/>
  <c r="DF378" i="15"/>
  <c r="DG378" i="15" s="1"/>
  <c r="DF382" i="15"/>
  <c r="DG382" i="15" s="1"/>
  <c r="DF386" i="15"/>
  <c r="DG386" i="15" s="1"/>
  <c r="DF390" i="15"/>
  <c r="DG390" i="15" s="1"/>
  <c r="DF394" i="15"/>
  <c r="DG394" i="15" s="1"/>
  <c r="DF398" i="15"/>
  <c r="DG398" i="15" s="1"/>
  <c r="DF402" i="15"/>
  <c r="DG402" i="15" s="1"/>
  <c r="DF406" i="15"/>
  <c r="DG406" i="15" s="1"/>
  <c r="GB406" i="15" s="1"/>
  <c r="GD406" i="15" s="1"/>
  <c r="DF410" i="15"/>
  <c r="DG410" i="15" s="1"/>
  <c r="DF414" i="15"/>
  <c r="DG414" i="15" s="1"/>
  <c r="DF418" i="15"/>
  <c r="DG418" i="15" s="1"/>
  <c r="DF422" i="15"/>
  <c r="DG422" i="15" s="1"/>
  <c r="DF426" i="15"/>
  <c r="DG426" i="15" s="1"/>
  <c r="DF430" i="15"/>
  <c r="DG430" i="15" s="1"/>
  <c r="DF434" i="15"/>
  <c r="DG434" i="15" s="1"/>
  <c r="DF438" i="15"/>
  <c r="DG438" i="15" s="1"/>
  <c r="DF442" i="15"/>
  <c r="DG442" i="15" s="1"/>
  <c r="DF446" i="15"/>
  <c r="DG446" i="15" s="1"/>
  <c r="DF450" i="15"/>
  <c r="DG450" i="15" s="1"/>
  <c r="DF454" i="15"/>
  <c r="DG454" i="15" s="1"/>
  <c r="DF458" i="15"/>
  <c r="DG458" i="15" s="1"/>
  <c r="DF462" i="15"/>
  <c r="DG462" i="15" s="1"/>
  <c r="DF466" i="15"/>
  <c r="DG466" i="15" s="1"/>
  <c r="DF470" i="15"/>
  <c r="DF474" i="15"/>
  <c r="DG474" i="15" s="1"/>
  <c r="DF478" i="15"/>
  <c r="DG478" i="15" s="1"/>
  <c r="DF482" i="15"/>
  <c r="DG482" i="15" s="1"/>
  <c r="DF486" i="15"/>
  <c r="DG486" i="15" s="1"/>
  <c r="DF490" i="15"/>
  <c r="DG490" i="15" s="1"/>
  <c r="GB490" i="15" s="1"/>
  <c r="GD490" i="15" s="1"/>
  <c r="DF494" i="15"/>
  <c r="DG494" i="15" s="1"/>
  <c r="DF498" i="15"/>
  <c r="DG498" i="15" s="1"/>
  <c r="DF502" i="15"/>
  <c r="DG502" i="15" s="1"/>
  <c r="DF506" i="15"/>
  <c r="DG506" i="15" s="1"/>
  <c r="DF510" i="15"/>
  <c r="DG510" i="15" s="1"/>
  <c r="DF514" i="15"/>
  <c r="DG514" i="15" s="1"/>
  <c r="DF518" i="15"/>
  <c r="DG518" i="15" s="1"/>
  <c r="DF522" i="15"/>
  <c r="DG522" i="15" s="1"/>
  <c r="DF526" i="15"/>
  <c r="DG526" i="15" s="1"/>
  <c r="DF530" i="15"/>
  <c r="DG530" i="15" s="1"/>
  <c r="DF534" i="15"/>
  <c r="DG534" i="15" s="1"/>
  <c r="DF538" i="15"/>
  <c r="DG538" i="15" s="1"/>
  <c r="DF542" i="15"/>
  <c r="DG542" i="15" s="1"/>
  <c r="DF546" i="15"/>
  <c r="DG546" i="15" s="1"/>
  <c r="DF550" i="15"/>
  <c r="DG550" i="15" s="1"/>
  <c r="DF554" i="15"/>
  <c r="DG554" i="15" s="1"/>
  <c r="DF558" i="15"/>
  <c r="DG558" i="15" s="1"/>
  <c r="DF562" i="15"/>
  <c r="DG562" i="15" s="1"/>
  <c r="DF566" i="15"/>
  <c r="DG566" i="15" s="1"/>
  <c r="DF570" i="15"/>
  <c r="DG570" i="15" s="1"/>
  <c r="DF572" i="15"/>
  <c r="DG572" i="15" s="1"/>
  <c r="DF578" i="15"/>
  <c r="DG578" i="15" s="1"/>
  <c r="DF582" i="15"/>
  <c r="DG582" i="15" s="1"/>
  <c r="DF586" i="15"/>
  <c r="DG586" i="15" s="1"/>
  <c r="DF590" i="15"/>
  <c r="DG590" i="15" s="1"/>
  <c r="DF594" i="15"/>
  <c r="DG594" i="15" s="1"/>
  <c r="DF598" i="15"/>
  <c r="DG598" i="15" s="1"/>
  <c r="DF602" i="15"/>
  <c r="DG602" i="15" s="1"/>
  <c r="DF606" i="15"/>
  <c r="DG606" i="15" s="1"/>
  <c r="DF610" i="15"/>
  <c r="DG610" i="15" s="1"/>
  <c r="DF614" i="15"/>
  <c r="DG614" i="15" s="1"/>
  <c r="DF618" i="15"/>
  <c r="DG618" i="15" s="1"/>
  <c r="DF622" i="15"/>
  <c r="DG622" i="15" s="1"/>
  <c r="DF626" i="15"/>
  <c r="DG626" i="15" s="1"/>
  <c r="DF630" i="15"/>
  <c r="DG630" i="15" s="1"/>
  <c r="DF634" i="15"/>
  <c r="DG634" i="15" s="1"/>
  <c r="DF638" i="15"/>
  <c r="DG638" i="15" s="1"/>
  <c r="DF642" i="15"/>
  <c r="DG642" i="15" s="1"/>
  <c r="DF646" i="15"/>
  <c r="DG646" i="15" s="1"/>
  <c r="DF650" i="15"/>
  <c r="DG650" i="15" s="1"/>
  <c r="DF654" i="15"/>
  <c r="DG654" i="15" s="1"/>
  <c r="DF658" i="15"/>
  <c r="DG658" i="15" s="1"/>
  <c r="DF662" i="15"/>
  <c r="DG662" i="15" s="1"/>
  <c r="DF666" i="15"/>
  <c r="DG666" i="15" s="1"/>
  <c r="DF670" i="15"/>
  <c r="DG670" i="15" s="1"/>
  <c r="DF674" i="15"/>
  <c r="DG674" i="15" s="1"/>
  <c r="DF678" i="15"/>
  <c r="DG678" i="15" s="1"/>
  <c r="DF682" i="15"/>
  <c r="DG682" i="15" s="1"/>
  <c r="DF686" i="15"/>
  <c r="DG686" i="15" s="1"/>
  <c r="DF690" i="15"/>
  <c r="DG690" i="15" s="1"/>
  <c r="DF694" i="15"/>
  <c r="DG694" i="15" s="1"/>
  <c r="DF698" i="15"/>
  <c r="DG698" i="15" s="1"/>
  <c r="DF702" i="15"/>
  <c r="DG702" i="15" s="1"/>
  <c r="DF706" i="15"/>
  <c r="DG706" i="15" s="1"/>
  <c r="DF710" i="15"/>
  <c r="DG710" i="15" s="1"/>
  <c r="DF714" i="15"/>
  <c r="DG714" i="15" s="1"/>
  <c r="DF718" i="15"/>
  <c r="DG718" i="15" s="1"/>
  <c r="DF722" i="15"/>
  <c r="DG722" i="15" s="1"/>
  <c r="DF726" i="15"/>
  <c r="DG726" i="15" s="1"/>
  <c r="DF730" i="15"/>
  <c r="DG730" i="15" s="1"/>
  <c r="DF734" i="15"/>
  <c r="DG734" i="15" s="1"/>
  <c r="DF738" i="15"/>
  <c r="DG738" i="15" s="1"/>
  <c r="DF742" i="15"/>
  <c r="DG742" i="15" s="1"/>
  <c r="DF746" i="15"/>
  <c r="DG746" i="15" s="1"/>
  <c r="DF750" i="15"/>
  <c r="DG750" i="15" s="1"/>
  <c r="DF754" i="15"/>
  <c r="DG754" i="15" s="1"/>
  <c r="DF773" i="15"/>
  <c r="DG773" i="15" s="1"/>
  <c r="DF760" i="15"/>
  <c r="DG760" i="15" s="1"/>
  <c r="DF764" i="15"/>
  <c r="DG764" i="15" s="1"/>
  <c r="DF768" i="15"/>
  <c r="DG768" i="15" s="1"/>
  <c r="DF772" i="15"/>
  <c r="DG772" i="15" s="1"/>
  <c r="DF778" i="15"/>
  <c r="DG778" i="15" s="1"/>
  <c r="DF782" i="15"/>
  <c r="DG782" i="15" s="1"/>
  <c r="DF786" i="15"/>
  <c r="DG786" i="15" s="1"/>
  <c r="DF790" i="15"/>
  <c r="DG790" i="15" s="1"/>
  <c r="DF794" i="15"/>
  <c r="DG794" i="15" s="1"/>
  <c r="DF798" i="15"/>
  <c r="DG798" i="15" s="1"/>
  <c r="DF802" i="15"/>
  <c r="DG802" i="15" s="1"/>
  <c r="DF806" i="15"/>
  <c r="DG806" i="15" s="1"/>
  <c r="DF810" i="15"/>
  <c r="DG810" i="15" s="1"/>
  <c r="DF814" i="15"/>
  <c r="DG814" i="15" s="1"/>
  <c r="DF818" i="15"/>
  <c r="DG818" i="15" s="1"/>
  <c r="DF822" i="15"/>
  <c r="DG822" i="15" s="1"/>
  <c r="DF826" i="15"/>
  <c r="DG826" i="15" s="1"/>
  <c r="DF830" i="15"/>
  <c r="DG830" i="15" s="1"/>
  <c r="DF834" i="15"/>
  <c r="DG834" i="15" s="1"/>
  <c r="DF838" i="15"/>
  <c r="DG838" i="15" s="1"/>
  <c r="DF842" i="15"/>
  <c r="DG842" i="15" s="1"/>
  <c r="DF846" i="15"/>
  <c r="DG846" i="15" s="1"/>
  <c r="DF850" i="15"/>
  <c r="DG850" i="15" s="1"/>
  <c r="DF854" i="15"/>
  <c r="DG854" i="15" s="1"/>
  <c r="DF858" i="15"/>
  <c r="DG858" i="15" s="1"/>
  <c r="DF847" i="15"/>
  <c r="DG847" i="15" s="1"/>
  <c r="DF225" i="15"/>
  <c r="DG225" i="15" s="1"/>
  <c r="DF241" i="15"/>
  <c r="DG241" i="15" s="1"/>
  <c r="DF253" i="15"/>
  <c r="DG253" i="15" s="1"/>
  <c r="DF258" i="15"/>
  <c r="DG258" i="15" s="1"/>
  <c r="DF263" i="15"/>
  <c r="DG263" i="15" s="1"/>
  <c r="DF267" i="15"/>
  <c r="DG267" i="15" s="1"/>
  <c r="DF271" i="15"/>
  <c r="DG271" i="15" s="1"/>
  <c r="DF274" i="15"/>
  <c r="DG274" i="15" s="1"/>
  <c r="DF279" i="15"/>
  <c r="DG279" i="15" s="1"/>
  <c r="DF283" i="15"/>
  <c r="DG283" i="15" s="1"/>
  <c r="DF287" i="15"/>
  <c r="DG287" i="15" s="1"/>
  <c r="DF291" i="15"/>
  <c r="DG291" i="15" s="1"/>
  <c r="DF295" i="15"/>
  <c r="DG295" i="15" s="1"/>
  <c r="DF299" i="15"/>
  <c r="DG299" i="15" s="1"/>
  <c r="DF303" i="15"/>
  <c r="DG303" i="15" s="1"/>
  <c r="DF307" i="15"/>
  <c r="DG307" i="15" s="1"/>
  <c r="DF311" i="15"/>
  <c r="DG311" i="15" s="1"/>
  <c r="DF315" i="15"/>
  <c r="DG315" i="15" s="1"/>
  <c r="DF319" i="15"/>
  <c r="DG319" i="15" s="1"/>
  <c r="DF323" i="15"/>
  <c r="DG323" i="15" s="1"/>
  <c r="DF327" i="15"/>
  <c r="DG327" i="15" s="1"/>
  <c r="DF331" i="15"/>
  <c r="DG331" i="15" s="1"/>
  <c r="DF335" i="15"/>
  <c r="DG335" i="15" s="1"/>
  <c r="DF339" i="15"/>
  <c r="DG339" i="15" s="1"/>
  <c r="DF343" i="15"/>
  <c r="DG343" i="15" s="1"/>
  <c r="DF347" i="15"/>
  <c r="DG347" i="15" s="1"/>
  <c r="DF351" i="15"/>
  <c r="DG351" i="15" s="1"/>
  <c r="DF355" i="15"/>
  <c r="DG355" i="15" s="1"/>
  <c r="DF359" i="15"/>
  <c r="DG359" i="15" s="1"/>
  <c r="DF363" i="15"/>
  <c r="DG363" i="15" s="1"/>
  <c r="DF367" i="15"/>
  <c r="DG367" i="15" s="1"/>
  <c r="DF371" i="15"/>
  <c r="DG371" i="15" s="1"/>
  <c r="DF375" i="15"/>
  <c r="DG375" i="15" s="1"/>
  <c r="DF379" i="15"/>
  <c r="DG379" i="15" s="1"/>
  <c r="DF383" i="15"/>
  <c r="DG383" i="15" s="1"/>
  <c r="DF387" i="15"/>
  <c r="DG387" i="15" s="1"/>
  <c r="DF391" i="15"/>
  <c r="DG391" i="15" s="1"/>
  <c r="DF395" i="15"/>
  <c r="DG395" i="15" s="1"/>
  <c r="DF399" i="15"/>
  <c r="DG399" i="15" s="1"/>
  <c r="DF403" i="15"/>
  <c r="DG403" i="15" s="1"/>
  <c r="DF407" i="15"/>
  <c r="DG407" i="15" s="1"/>
  <c r="DF411" i="15"/>
  <c r="DG411" i="15" s="1"/>
  <c r="DF415" i="15"/>
  <c r="DG415" i="15" s="1"/>
  <c r="DF419" i="15"/>
  <c r="DG419" i="15" s="1"/>
  <c r="DF423" i="15"/>
  <c r="DG423" i="15" s="1"/>
  <c r="DF427" i="15"/>
  <c r="DG427" i="15" s="1"/>
  <c r="DF431" i="15"/>
  <c r="DG431" i="15" s="1"/>
  <c r="DF435" i="15"/>
  <c r="DG435" i="15" s="1"/>
  <c r="DF439" i="15"/>
  <c r="DG439" i="15" s="1"/>
  <c r="DF443" i="15"/>
  <c r="DG443" i="15" s="1"/>
  <c r="DF447" i="15"/>
  <c r="DG447" i="15" s="1"/>
  <c r="DF451" i="15"/>
  <c r="DG451" i="15" s="1"/>
  <c r="DF455" i="15"/>
  <c r="DG455" i="15" s="1"/>
  <c r="DF459" i="15"/>
  <c r="DG459" i="15" s="1"/>
  <c r="DF463" i="15"/>
  <c r="DG463" i="15" s="1"/>
  <c r="DF467" i="15"/>
  <c r="DG467" i="15" s="1"/>
  <c r="DF471" i="15"/>
  <c r="DG471" i="15" s="1"/>
  <c r="DF475" i="15"/>
  <c r="DG475" i="15" s="1"/>
  <c r="DF479" i="15"/>
  <c r="DG479" i="15" s="1"/>
  <c r="DF483" i="15"/>
  <c r="DG483" i="15" s="1"/>
  <c r="DF487" i="15"/>
  <c r="DG487" i="15" s="1"/>
  <c r="DF491" i="15"/>
  <c r="DG491" i="15" s="1"/>
  <c r="DF495" i="15"/>
  <c r="DG495" i="15" s="1"/>
  <c r="DF499" i="15"/>
  <c r="DG499" i="15" s="1"/>
  <c r="DF503" i="15"/>
  <c r="DG503" i="15" s="1"/>
  <c r="DF507" i="15"/>
  <c r="DG507" i="15" s="1"/>
  <c r="DF511" i="15"/>
  <c r="DG511" i="15" s="1"/>
  <c r="DF515" i="15"/>
  <c r="DG515" i="15" s="1"/>
  <c r="DF519" i="15"/>
  <c r="DG519" i="15" s="1"/>
  <c r="DF523" i="15"/>
  <c r="DG523" i="15" s="1"/>
  <c r="DF527" i="15"/>
  <c r="DG527" i="15" s="1"/>
  <c r="DF531" i="15"/>
  <c r="DG531" i="15" s="1"/>
  <c r="DF535" i="15"/>
  <c r="DG535" i="15" s="1"/>
  <c r="DF539" i="15"/>
  <c r="DG539" i="15" s="1"/>
  <c r="DF543" i="15"/>
  <c r="DG543" i="15" s="1"/>
  <c r="DF547" i="15"/>
  <c r="DG547" i="15" s="1"/>
  <c r="DF551" i="15"/>
  <c r="DG551" i="15" s="1"/>
  <c r="DF555" i="15"/>
  <c r="DG555" i="15" s="1"/>
  <c r="DF559" i="15"/>
  <c r="DG559" i="15" s="1"/>
  <c r="DF563" i="15"/>
  <c r="DG563" i="15" s="1"/>
  <c r="DF567" i="15"/>
  <c r="DG567" i="15" s="1"/>
  <c r="DF571" i="15"/>
  <c r="DG571" i="15" s="1"/>
  <c r="DF575" i="15"/>
  <c r="DG575" i="15" s="1"/>
  <c r="DF579" i="15"/>
  <c r="DG579" i="15" s="1"/>
  <c r="DF583" i="15"/>
  <c r="DG583" i="15" s="1"/>
  <c r="DF587" i="15"/>
  <c r="DG587" i="15" s="1"/>
  <c r="DF591" i="15"/>
  <c r="DG591" i="15" s="1"/>
  <c r="DF595" i="15"/>
  <c r="DG595" i="15" s="1"/>
  <c r="DF599" i="15"/>
  <c r="DG599" i="15" s="1"/>
  <c r="DF603" i="15"/>
  <c r="DG603" i="15" s="1"/>
  <c r="DF607" i="15"/>
  <c r="DG607" i="15" s="1"/>
  <c r="DF611" i="15"/>
  <c r="DG611" i="15" s="1"/>
  <c r="DF615" i="15"/>
  <c r="DG615" i="15" s="1"/>
  <c r="DF619" i="15"/>
  <c r="DG619" i="15" s="1"/>
  <c r="DF623" i="15"/>
  <c r="DG623" i="15" s="1"/>
  <c r="DF627" i="15"/>
  <c r="DG627" i="15" s="1"/>
  <c r="DF631" i="15"/>
  <c r="DG631" i="15" s="1"/>
  <c r="DF635" i="15"/>
  <c r="DG635" i="15" s="1"/>
  <c r="DF639" i="15"/>
  <c r="DG639" i="15" s="1"/>
  <c r="DF643" i="15"/>
  <c r="DG643" i="15" s="1"/>
  <c r="DF647" i="15"/>
  <c r="DG647" i="15" s="1"/>
  <c r="DF651" i="15"/>
  <c r="DG651" i="15" s="1"/>
  <c r="DF655" i="15"/>
  <c r="DG655" i="15" s="1"/>
  <c r="DF659" i="15"/>
  <c r="DG659" i="15" s="1"/>
  <c r="DF663" i="15"/>
  <c r="DG663" i="15" s="1"/>
  <c r="DF667" i="15"/>
  <c r="DG667" i="15" s="1"/>
  <c r="DF671" i="15"/>
  <c r="DG671" i="15" s="1"/>
  <c r="DF675" i="15"/>
  <c r="DG675" i="15" s="1"/>
  <c r="DF679" i="15"/>
  <c r="DG679" i="15" s="1"/>
  <c r="DF683" i="15"/>
  <c r="DG683" i="15" s="1"/>
  <c r="DF687" i="15"/>
  <c r="DG687" i="15" s="1"/>
  <c r="GB687" i="15" s="1"/>
  <c r="GD687" i="15" s="1"/>
  <c r="DF691" i="15"/>
  <c r="DG691" i="15" s="1"/>
  <c r="DF695" i="15"/>
  <c r="DG695" i="15" s="1"/>
  <c r="DF699" i="15"/>
  <c r="DG699" i="15" s="1"/>
  <c r="DF703" i="15"/>
  <c r="DG703" i="15" s="1"/>
  <c r="DF707" i="15"/>
  <c r="DG707" i="15" s="1"/>
  <c r="DF711" i="15"/>
  <c r="DG711" i="15" s="1"/>
  <c r="DF715" i="15"/>
  <c r="DG715" i="15" s="1"/>
  <c r="DF719" i="15"/>
  <c r="DG719" i="15" s="1"/>
  <c r="DF723" i="15"/>
  <c r="DG723" i="15" s="1"/>
  <c r="DF727" i="15"/>
  <c r="DG727" i="15" s="1"/>
  <c r="DF731" i="15"/>
  <c r="DG731" i="15" s="1"/>
  <c r="GB731" i="15" s="1"/>
  <c r="GD731" i="15" s="1"/>
  <c r="DF735" i="15"/>
  <c r="DG735" i="15" s="1"/>
  <c r="DF739" i="15"/>
  <c r="DG739" i="15" s="1"/>
  <c r="DF743" i="15"/>
  <c r="DG743" i="15" s="1"/>
  <c r="DF747" i="15"/>
  <c r="DG747" i="15" s="1"/>
  <c r="DF751" i="15"/>
  <c r="DG751" i="15" s="1"/>
  <c r="DF755" i="15"/>
  <c r="DG755" i="15" s="1"/>
  <c r="DF774" i="15"/>
  <c r="DG774" i="15" s="1"/>
  <c r="DF761" i="15"/>
  <c r="DG761" i="15" s="1"/>
  <c r="DF765" i="15"/>
  <c r="DG765" i="15" s="1"/>
  <c r="DF769" i="15"/>
  <c r="DG769" i="15" s="1"/>
  <c r="DF775" i="15"/>
  <c r="DG775" i="15" s="1"/>
  <c r="GB775" i="15" s="1"/>
  <c r="GD775" i="15" s="1"/>
  <c r="DF779" i="15"/>
  <c r="DG779" i="15" s="1"/>
  <c r="DF783" i="15"/>
  <c r="DG783" i="15" s="1"/>
  <c r="DF787" i="15"/>
  <c r="DG787" i="15" s="1"/>
  <c r="DF791" i="15"/>
  <c r="DG791" i="15" s="1"/>
  <c r="DF795" i="15"/>
  <c r="DG795" i="15" s="1"/>
  <c r="GB795" i="15" s="1"/>
  <c r="GD795" i="15" s="1"/>
  <c r="DF799" i="15"/>
  <c r="DG799" i="15" s="1"/>
  <c r="DF803" i="15"/>
  <c r="DG803" i="15" s="1"/>
  <c r="DF807" i="15"/>
  <c r="DG807" i="15" s="1"/>
  <c r="DF811" i="15"/>
  <c r="DG811" i="15" s="1"/>
  <c r="DF815" i="15"/>
  <c r="DG815" i="15" s="1"/>
  <c r="DF819" i="15"/>
  <c r="DG819" i="15" s="1"/>
  <c r="DF823" i="15"/>
  <c r="DG823" i="15" s="1"/>
  <c r="DF827" i="15"/>
  <c r="DG827" i="15" s="1"/>
  <c r="GB827" i="15" s="1"/>
  <c r="GD827" i="15" s="1"/>
  <c r="DF831" i="15"/>
  <c r="DG831" i="15" s="1"/>
  <c r="DF835" i="15"/>
  <c r="DG835" i="15" s="1"/>
  <c r="DF839" i="15"/>
  <c r="DG839" i="15" s="1"/>
  <c r="DF843" i="15"/>
  <c r="DG843" i="15" s="1"/>
  <c r="FV754" i="15"/>
  <c r="FW754" i="15" s="1"/>
  <c r="FV688" i="15"/>
  <c r="FW688" i="15" s="1"/>
  <c r="FV611" i="15"/>
  <c r="FW611" i="15" s="1"/>
  <c r="FV529" i="15"/>
  <c r="FW529" i="15" s="1"/>
  <c r="FV472" i="15"/>
  <c r="FW472" i="15" s="1"/>
  <c r="FV407" i="15"/>
  <c r="FW407" i="15" s="1"/>
  <c r="FV271" i="15"/>
  <c r="FW271" i="15" s="1"/>
  <c r="FV219" i="15"/>
  <c r="FW219" i="15" s="1"/>
  <c r="FV144" i="15"/>
  <c r="FW144" i="15" s="1"/>
  <c r="FV65" i="15"/>
  <c r="FW65" i="15" s="1"/>
  <c r="FV828" i="15"/>
  <c r="FW828" i="15" s="1"/>
  <c r="FV732" i="15"/>
  <c r="FW732" i="15" s="1"/>
  <c r="FV668" i="15"/>
  <c r="FW668" i="15" s="1"/>
  <c r="FV578" i="15"/>
  <c r="FW578" i="15" s="1"/>
  <c r="FV514" i="15"/>
  <c r="FW514" i="15" s="1"/>
  <c r="FV471" i="15"/>
  <c r="FW471" i="15" s="1"/>
  <c r="FV371" i="15"/>
  <c r="FW371" i="15" s="1"/>
  <c r="FV270" i="15"/>
  <c r="FW270" i="15" s="1"/>
  <c r="FV190" i="15"/>
  <c r="FW190" i="15" s="1"/>
  <c r="FV125" i="15"/>
  <c r="FW125" i="15" s="1"/>
  <c r="FV42" i="15"/>
  <c r="FW42" i="15" s="1"/>
  <c r="FV796" i="15"/>
  <c r="FW796" i="15" s="1"/>
  <c r="FV714" i="15"/>
  <c r="FW714" i="15" s="1"/>
  <c r="FV641" i="15"/>
  <c r="FW641" i="15" s="1"/>
  <c r="FV577" i="15"/>
  <c r="FW577" i="15" s="1"/>
  <c r="FV491" i="15"/>
  <c r="FW491" i="15" s="1"/>
  <c r="FV455" i="15"/>
  <c r="FW455" i="15" s="1"/>
  <c r="FV325" i="15"/>
  <c r="FW325" i="15" s="1"/>
  <c r="FV251" i="15"/>
  <c r="FW251" i="15" s="1"/>
  <c r="FV168" i="15"/>
  <c r="FW168" i="15" s="1"/>
  <c r="FV98" i="15"/>
  <c r="FW98" i="15" s="1"/>
  <c r="FV34" i="15"/>
  <c r="FW34" i="15" s="1"/>
  <c r="FV776" i="15"/>
  <c r="FW776" i="15" s="1"/>
  <c r="FV145" i="15"/>
  <c r="FW145" i="15" s="1"/>
  <c r="FV713" i="15"/>
  <c r="FW713" i="15" s="1"/>
  <c r="FV430" i="15"/>
  <c r="FW430" i="15" s="1"/>
  <c r="FV83" i="15"/>
  <c r="FW83" i="15" s="1"/>
  <c r="FV621" i="15"/>
  <c r="FW621" i="15" s="1"/>
  <c r="FV300" i="15"/>
  <c r="FW300" i="15" s="1"/>
  <c r="FV548" i="15"/>
  <c r="FW548" i="15" s="1"/>
  <c r="FV232" i="15"/>
  <c r="FW232" i="15" s="1"/>
  <c r="FX8" i="15"/>
  <c r="FY8" i="15" s="1"/>
  <c r="FX12" i="15"/>
  <c r="FY12" i="15" s="1"/>
  <c r="FZ12" i="15" s="1"/>
  <c r="FX16" i="15"/>
  <c r="FY16" i="15" s="1"/>
  <c r="FZ16" i="15" s="1"/>
  <c r="FX20" i="15"/>
  <c r="FY20" i="15" s="1"/>
  <c r="FZ20" i="15" s="1"/>
  <c r="FX24" i="15"/>
  <c r="FY24" i="15" s="1"/>
  <c r="FZ24" i="15" s="1"/>
  <c r="FX28" i="15"/>
  <c r="FY28" i="15" s="1"/>
  <c r="FZ28" i="15" s="1"/>
  <c r="FX32" i="15"/>
  <c r="FY32" i="15" s="1"/>
  <c r="FZ32" i="15" s="1"/>
  <c r="FX36" i="15"/>
  <c r="FY36" i="15" s="1"/>
  <c r="FZ36" i="15" s="1"/>
  <c r="FX40" i="15"/>
  <c r="FY40" i="15" s="1"/>
  <c r="FZ40" i="15" s="1"/>
  <c r="FX44" i="15"/>
  <c r="FY44" i="15" s="1"/>
  <c r="FZ44" i="15" s="1"/>
  <c r="FX48" i="15"/>
  <c r="FY48" i="15" s="1"/>
  <c r="FZ48" i="15" s="1"/>
  <c r="FX52" i="15"/>
  <c r="FY52" i="15" s="1"/>
  <c r="FZ52" i="15" s="1"/>
  <c r="FX56" i="15"/>
  <c r="FY56" i="15" s="1"/>
  <c r="FZ56" i="15" s="1"/>
  <c r="FX60" i="15"/>
  <c r="FY60" i="15" s="1"/>
  <c r="FZ60" i="15" s="1"/>
  <c r="FX64" i="15"/>
  <c r="FX68" i="15"/>
  <c r="FY68" i="15" s="1"/>
  <c r="FZ68" i="15" s="1"/>
  <c r="FX72" i="15"/>
  <c r="FY72" i="15" s="1"/>
  <c r="FZ72" i="15" s="1"/>
  <c r="FX76" i="15"/>
  <c r="FY76" i="15" s="1"/>
  <c r="FZ76" i="15" s="1"/>
  <c r="FX80" i="15"/>
  <c r="FY80" i="15" s="1"/>
  <c r="FZ80" i="15" s="1"/>
  <c r="FX84" i="15"/>
  <c r="FY84" i="15" s="1"/>
  <c r="FZ84" i="15" s="1"/>
  <c r="FX88" i="15"/>
  <c r="FY88" i="15" s="1"/>
  <c r="FZ88" i="15" s="1"/>
  <c r="FX93" i="15"/>
  <c r="FY93" i="15" s="1"/>
  <c r="FZ93" i="15" s="1"/>
  <c r="FX96" i="15"/>
  <c r="FY96" i="15" s="1"/>
  <c r="FZ96" i="15" s="1"/>
  <c r="FX100" i="15"/>
  <c r="FY100" i="15" s="1"/>
  <c r="FZ100" i="15" s="1"/>
  <c r="FX104" i="15"/>
  <c r="FY104" i="15" s="1"/>
  <c r="FZ104" i="15" s="1"/>
  <c r="FX108" i="15"/>
  <c r="FY108" i="15" s="1"/>
  <c r="FZ108" i="15" s="1"/>
  <c r="FX112" i="15"/>
  <c r="FY112" i="15" s="1"/>
  <c r="FZ112" i="15" s="1"/>
  <c r="FX116" i="15"/>
  <c r="FY116" i="15" s="1"/>
  <c r="FZ116" i="15" s="1"/>
  <c r="FX120" i="15"/>
  <c r="FY120" i="15" s="1"/>
  <c r="FZ120" i="15" s="1"/>
  <c r="FX124" i="15"/>
  <c r="FX128" i="15"/>
  <c r="FY128" i="15" s="1"/>
  <c r="FZ128" i="15" s="1"/>
  <c r="FX132" i="15"/>
  <c r="FY132" i="15" s="1"/>
  <c r="FZ132" i="15" s="1"/>
  <c r="FX136" i="15"/>
  <c r="FY136" i="15" s="1"/>
  <c r="FZ136" i="15" s="1"/>
  <c r="FX140" i="15"/>
  <c r="FY140" i="15" s="1"/>
  <c r="FZ140" i="15" s="1"/>
  <c r="FX144" i="15"/>
  <c r="FY144" i="15" s="1"/>
  <c r="FX148" i="15"/>
  <c r="FY148" i="15" s="1"/>
  <c r="FZ148" i="15" s="1"/>
  <c r="FX152" i="15"/>
  <c r="FY152" i="15" s="1"/>
  <c r="FZ152" i="15" s="1"/>
  <c r="FX156" i="15"/>
  <c r="FY156" i="15" s="1"/>
  <c r="FZ156" i="15" s="1"/>
  <c r="FX160" i="15"/>
  <c r="FY160" i="15" s="1"/>
  <c r="FZ160" i="15" s="1"/>
  <c r="FX164" i="15"/>
  <c r="FY164" i="15" s="1"/>
  <c r="FZ164" i="15" s="1"/>
  <c r="FX168" i="15"/>
  <c r="FY168" i="15" s="1"/>
  <c r="FX172" i="15"/>
  <c r="FY172" i="15" s="1"/>
  <c r="FZ172" i="15" s="1"/>
  <c r="FX176" i="15"/>
  <c r="FY176" i="15" s="1"/>
  <c r="FZ176" i="15" s="1"/>
  <c r="FX180" i="15"/>
  <c r="FY180" i="15" s="1"/>
  <c r="FZ180" i="15" s="1"/>
  <c r="FX9" i="15"/>
  <c r="FY9" i="15" s="1"/>
  <c r="FX13" i="15"/>
  <c r="FY13" i="15" s="1"/>
  <c r="FZ13" i="15" s="1"/>
  <c r="FX17" i="15"/>
  <c r="FY17" i="15" s="1"/>
  <c r="FZ17" i="15" s="1"/>
  <c r="FX21" i="15"/>
  <c r="FY21" i="15" s="1"/>
  <c r="FZ21" i="15" s="1"/>
  <c r="FX25" i="15"/>
  <c r="FY25" i="15" s="1"/>
  <c r="FZ25" i="15" s="1"/>
  <c r="FX29" i="15"/>
  <c r="FY29" i="15" s="1"/>
  <c r="FZ29" i="15" s="1"/>
  <c r="FX37" i="15"/>
  <c r="FY37" i="15" s="1"/>
  <c r="FZ37" i="15" s="1"/>
  <c r="FX41" i="15"/>
  <c r="FX45" i="15"/>
  <c r="FY45" i="15" s="1"/>
  <c r="FZ45" i="15" s="1"/>
  <c r="FX49" i="15"/>
  <c r="FY49" i="15" s="1"/>
  <c r="FZ49" i="15" s="1"/>
  <c r="FX53" i="15"/>
  <c r="FY53" i="15" s="1"/>
  <c r="FZ53" i="15" s="1"/>
  <c r="FX57" i="15"/>
  <c r="FY57" i="15" s="1"/>
  <c r="FZ57" i="15" s="1"/>
  <c r="FX61" i="15"/>
  <c r="FY61" i="15" s="1"/>
  <c r="FZ61" i="15" s="1"/>
  <c r="FX65" i="15"/>
  <c r="FY65" i="15" s="1"/>
  <c r="FX69" i="15"/>
  <c r="FY69" i="15" s="1"/>
  <c r="FZ69" i="15" s="1"/>
  <c r="FX73" i="15"/>
  <c r="FY73" i="15" s="1"/>
  <c r="FZ73" i="15" s="1"/>
  <c r="FX77" i="15"/>
  <c r="FY77" i="15" s="1"/>
  <c r="FZ77" i="15" s="1"/>
  <c r="FX81" i="15"/>
  <c r="FY81" i="15" s="1"/>
  <c r="FZ81" i="15" s="1"/>
  <c r="FX85" i="15"/>
  <c r="FY85" i="15" s="1"/>
  <c r="FZ85" i="15" s="1"/>
  <c r="FX89" i="15"/>
  <c r="FY89" i="15" s="1"/>
  <c r="FZ89" i="15" s="1"/>
  <c r="FX92" i="15"/>
  <c r="FY92" i="15" s="1"/>
  <c r="FZ92" i="15" s="1"/>
  <c r="FX97" i="15"/>
  <c r="FX101" i="15"/>
  <c r="FY101" i="15" s="1"/>
  <c r="FZ101" i="15" s="1"/>
  <c r="FX105" i="15"/>
  <c r="FY105" i="15" s="1"/>
  <c r="FZ105" i="15" s="1"/>
  <c r="FX109" i="15"/>
  <c r="FY109" i="15" s="1"/>
  <c r="FZ109" i="15" s="1"/>
  <c r="FX113" i="15"/>
  <c r="FY113" i="15" s="1"/>
  <c r="FZ113" i="15" s="1"/>
  <c r="FX117" i="15"/>
  <c r="FY117" i="15" s="1"/>
  <c r="FZ117" i="15" s="1"/>
  <c r="FX121" i="15"/>
  <c r="FY121" i="15" s="1"/>
  <c r="FZ121" i="15" s="1"/>
  <c r="FX125" i="15"/>
  <c r="FY125" i="15" s="1"/>
  <c r="FX129" i="15"/>
  <c r="FY129" i="15" s="1"/>
  <c r="FZ129" i="15" s="1"/>
  <c r="FX133" i="15"/>
  <c r="FY133" i="15" s="1"/>
  <c r="FZ133" i="15" s="1"/>
  <c r="FX137" i="15"/>
  <c r="FY137" i="15" s="1"/>
  <c r="FZ137" i="15" s="1"/>
  <c r="FX141" i="15"/>
  <c r="FY141" i="15" s="1"/>
  <c r="FZ141" i="15" s="1"/>
  <c r="FX145" i="15"/>
  <c r="FY145" i="15" s="1"/>
  <c r="FX149" i="15"/>
  <c r="FY149" i="15" s="1"/>
  <c r="FZ149" i="15" s="1"/>
  <c r="FX153" i="15"/>
  <c r="FY153" i="15" s="1"/>
  <c r="FZ153" i="15" s="1"/>
  <c r="FX157" i="15"/>
  <c r="FY157" i="15" s="1"/>
  <c r="FZ157" i="15" s="1"/>
  <c r="FX161" i="15"/>
  <c r="FY161" i="15" s="1"/>
  <c r="FZ161" i="15" s="1"/>
  <c r="FX165" i="15"/>
  <c r="FY165" i="15" s="1"/>
  <c r="FZ165" i="15" s="1"/>
  <c r="FX169" i="15"/>
  <c r="FY169" i="15" s="1"/>
  <c r="FZ169" i="15" s="1"/>
  <c r="FX173" i="15"/>
  <c r="FY173" i="15" s="1"/>
  <c r="FZ173" i="15" s="1"/>
  <c r="FX177" i="15"/>
  <c r="FY177" i="15" s="1"/>
  <c r="FZ177" i="15" s="1"/>
  <c r="FX181" i="15"/>
  <c r="FY181" i="15" s="1"/>
  <c r="FZ181" i="15" s="1"/>
  <c r="FX6" i="15"/>
  <c r="FY6" i="15" s="1"/>
  <c r="FX14" i="15"/>
  <c r="FY14" i="15" s="1"/>
  <c r="FZ14" i="15" s="1"/>
  <c r="FX22" i="15"/>
  <c r="FY22" i="15" s="1"/>
  <c r="FZ22" i="15" s="1"/>
  <c r="FX30" i="15"/>
  <c r="FY30" i="15" s="1"/>
  <c r="FZ30" i="15" s="1"/>
  <c r="FX38" i="15"/>
  <c r="FY38" i="15" s="1"/>
  <c r="FZ38" i="15" s="1"/>
  <c r="FX46" i="15"/>
  <c r="FY46" i="15" s="1"/>
  <c r="FZ46" i="15" s="1"/>
  <c r="FX54" i="15"/>
  <c r="FY54" i="15" s="1"/>
  <c r="FZ54" i="15" s="1"/>
  <c r="FX62" i="15"/>
  <c r="FY62" i="15" s="1"/>
  <c r="FZ62" i="15" s="1"/>
  <c r="FX70" i="15"/>
  <c r="FY70" i="15" s="1"/>
  <c r="FZ70" i="15" s="1"/>
  <c r="FX78" i="15"/>
  <c r="FY78" i="15" s="1"/>
  <c r="FZ78" i="15" s="1"/>
  <c r="FX86" i="15"/>
  <c r="FY86" i="15" s="1"/>
  <c r="FZ86" i="15" s="1"/>
  <c r="FX94" i="15"/>
  <c r="FY94" i="15" s="1"/>
  <c r="FZ94" i="15" s="1"/>
  <c r="FX102" i="15"/>
  <c r="FY102" i="15" s="1"/>
  <c r="FZ102" i="15" s="1"/>
  <c r="FX110" i="15"/>
  <c r="FY110" i="15" s="1"/>
  <c r="FZ110" i="15" s="1"/>
  <c r="FX118" i="15"/>
  <c r="FY118" i="15" s="1"/>
  <c r="FZ118" i="15" s="1"/>
  <c r="FX126" i="15"/>
  <c r="FY126" i="15" s="1"/>
  <c r="FZ126" i="15" s="1"/>
  <c r="FX134" i="15"/>
  <c r="FY134" i="15" s="1"/>
  <c r="FZ134" i="15" s="1"/>
  <c r="FX142" i="15"/>
  <c r="FY142" i="15" s="1"/>
  <c r="FZ142" i="15" s="1"/>
  <c r="FX150" i="15"/>
  <c r="FY150" i="15" s="1"/>
  <c r="FZ150" i="15" s="1"/>
  <c r="FX158" i="15"/>
  <c r="FY158" i="15" s="1"/>
  <c r="FZ158" i="15" s="1"/>
  <c r="FX166" i="15"/>
  <c r="FY166" i="15" s="1"/>
  <c r="FZ166" i="15" s="1"/>
  <c r="FX174" i="15"/>
  <c r="FY174" i="15" s="1"/>
  <c r="FZ174" i="15" s="1"/>
  <c r="FX182" i="15"/>
  <c r="FY182" i="15" s="1"/>
  <c r="FZ182" i="15" s="1"/>
  <c r="FX186" i="15"/>
  <c r="FY186" i="15" s="1"/>
  <c r="FZ186" i="15" s="1"/>
  <c r="FX190" i="15"/>
  <c r="FY190" i="15" s="1"/>
  <c r="FX194" i="15"/>
  <c r="FY194" i="15" s="1"/>
  <c r="FZ194" i="15" s="1"/>
  <c r="FX198" i="15"/>
  <c r="FY198" i="15" s="1"/>
  <c r="FZ198" i="15" s="1"/>
  <c r="FX202" i="15"/>
  <c r="FY202" i="15" s="1"/>
  <c r="FZ202" i="15" s="1"/>
  <c r="FX206" i="15"/>
  <c r="FY206" i="15" s="1"/>
  <c r="FZ206" i="15" s="1"/>
  <c r="FX210" i="15"/>
  <c r="FY210" i="15" s="1"/>
  <c r="FZ210" i="15" s="1"/>
  <c r="FX214" i="15"/>
  <c r="FY214" i="15" s="1"/>
  <c r="FZ214" i="15" s="1"/>
  <c r="FX218" i="15"/>
  <c r="FX222" i="15"/>
  <c r="FY222" i="15" s="1"/>
  <c r="FZ222" i="15" s="1"/>
  <c r="FX226" i="15"/>
  <c r="FY226" i="15" s="1"/>
  <c r="FZ226" i="15" s="1"/>
  <c r="FX230" i="15"/>
  <c r="FY230" i="15" s="1"/>
  <c r="FZ230" i="15" s="1"/>
  <c r="FX234" i="15"/>
  <c r="FY234" i="15" s="1"/>
  <c r="FZ234" i="15" s="1"/>
  <c r="FX238" i="15"/>
  <c r="FY238" i="15" s="1"/>
  <c r="FZ238" i="15" s="1"/>
  <c r="FX242" i="15"/>
  <c r="FY242" i="15" s="1"/>
  <c r="FZ242" i="15" s="1"/>
  <c r="FX246" i="15"/>
  <c r="FY246" i="15" s="1"/>
  <c r="FZ246" i="15" s="1"/>
  <c r="FX254" i="15"/>
  <c r="FY254" i="15" s="1"/>
  <c r="FZ254" i="15" s="1"/>
  <c r="FX258" i="15"/>
  <c r="FY258" i="15" s="1"/>
  <c r="FZ258" i="15" s="1"/>
  <c r="FX262" i="15"/>
  <c r="FY262" i="15" s="1"/>
  <c r="FZ262" i="15" s="1"/>
  <c r="FX266" i="15"/>
  <c r="FY266" i="15" s="1"/>
  <c r="FZ266" i="15" s="1"/>
  <c r="FX270" i="15"/>
  <c r="FY270" i="15" s="1"/>
  <c r="FX275" i="15"/>
  <c r="FY275" i="15" s="1"/>
  <c r="FZ275" i="15" s="1"/>
  <c r="FX278" i="15"/>
  <c r="FY278" i="15" s="1"/>
  <c r="FZ278" i="15" s="1"/>
  <c r="FX282" i="15"/>
  <c r="FY282" i="15" s="1"/>
  <c r="FZ282" i="15" s="1"/>
  <c r="FX286" i="15"/>
  <c r="FY286" i="15" s="1"/>
  <c r="FZ286" i="15" s="1"/>
  <c r="FX290" i="15"/>
  <c r="FY290" i="15" s="1"/>
  <c r="FZ290" i="15" s="1"/>
  <c r="FX294" i="15"/>
  <c r="FY294" i="15" s="1"/>
  <c r="FZ294" i="15" s="1"/>
  <c r="FX298" i="15"/>
  <c r="FY298" i="15" s="1"/>
  <c r="FZ298" i="15" s="1"/>
  <c r="FX302" i="15"/>
  <c r="FY302" i="15" s="1"/>
  <c r="FZ302" i="15" s="1"/>
  <c r="FX306" i="15"/>
  <c r="FY306" i="15" s="1"/>
  <c r="FZ306" i="15" s="1"/>
  <c r="FX310" i="15"/>
  <c r="FY310" i="15" s="1"/>
  <c r="FZ310" i="15" s="1"/>
  <c r="FX314" i="15"/>
  <c r="FY314" i="15" s="1"/>
  <c r="FZ314" i="15" s="1"/>
  <c r="FX318" i="15"/>
  <c r="FY318" i="15" s="1"/>
  <c r="FZ318" i="15" s="1"/>
  <c r="FX322" i="15"/>
  <c r="FY322" i="15" s="1"/>
  <c r="FZ322" i="15" s="1"/>
  <c r="FX326" i="15"/>
  <c r="FY326" i="15" s="1"/>
  <c r="FZ326" i="15" s="1"/>
  <c r="FX330" i="15"/>
  <c r="FY330" i="15" s="1"/>
  <c r="FZ330" i="15" s="1"/>
  <c r="FX334" i="15"/>
  <c r="FY334" i="15" s="1"/>
  <c r="FZ334" i="15" s="1"/>
  <c r="FX338" i="15"/>
  <c r="FY338" i="15" s="1"/>
  <c r="FZ338" i="15" s="1"/>
  <c r="FX342" i="15"/>
  <c r="FY342" i="15" s="1"/>
  <c r="FZ342" i="15" s="1"/>
  <c r="FX346" i="15"/>
  <c r="FY346" i="15" s="1"/>
  <c r="FZ346" i="15" s="1"/>
  <c r="FX350" i="15"/>
  <c r="FY350" i="15" s="1"/>
  <c r="FZ350" i="15" s="1"/>
  <c r="FX354" i="15"/>
  <c r="FY354" i="15" s="1"/>
  <c r="FZ354" i="15" s="1"/>
  <c r="FX358" i="15"/>
  <c r="FY358" i="15" s="1"/>
  <c r="FZ358" i="15" s="1"/>
  <c r="FX362" i="15"/>
  <c r="FY362" i="15" s="1"/>
  <c r="FZ362" i="15" s="1"/>
  <c r="FX366" i="15"/>
  <c r="FY366" i="15" s="1"/>
  <c r="FZ366" i="15" s="1"/>
  <c r="FX370" i="15"/>
  <c r="FX374" i="15"/>
  <c r="FY374" i="15" s="1"/>
  <c r="FZ374" i="15" s="1"/>
  <c r="FX378" i="15"/>
  <c r="FY378" i="15" s="1"/>
  <c r="FZ378" i="15" s="1"/>
  <c r="FX382" i="15"/>
  <c r="FY382" i="15" s="1"/>
  <c r="FZ382" i="15" s="1"/>
  <c r="FX386" i="15"/>
  <c r="FY386" i="15" s="1"/>
  <c r="FZ386" i="15" s="1"/>
  <c r="FX390" i="15"/>
  <c r="FY390" i="15" s="1"/>
  <c r="FZ390" i="15" s="1"/>
  <c r="FX394" i="15"/>
  <c r="FY394" i="15" s="1"/>
  <c r="FZ394" i="15" s="1"/>
  <c r="FX398" i="15"/>
  <c r="FY398" i="15" s="1"/>
  <c r="FZ398" i="15" s="1"/>
  <c r="FX402" i="15"/>
  <c r="FY402" i="15" s="1"/>
  <c r="FZ402" i="15" s="1"/>
  <c r="FX406" i="15"/>
  <c r="FX410" i="15"/>
  <c r="FY410" i="15" s="1"/>
  <c r="FZ410" i="15" s="1"/>
  <c r="FX414" i="15"/>
  <c r="FY414" i="15" s="1"/>
  <c r="FZ414" i="15" s="1"/>
  <c r="FX418" i="15"/>
  <c r="FY418" i="15" s="1"/>
  <c r="FZ418" i="15" s="1"/>
  <c r="FX422" i="15"/>
  <c r="FY422" i="15" s="1"/>
  <c r="FZ422" i="15" s="1"/>
  <c r="FX426" i="15"/>
  <c r="FY426" i="15" s="1"/>
  <c r="FZ426" i="15" s="1"/>
  <c r="FX430" i="15"/>
  <c r="FY430" i="15" s="1"/>
  <c r="FX434" i="15"/>
  <c r="FY434" i="15" s="1"/>
  <c r="FZ434" i="15" s="1"/>
  <c r="FX438" i="15"/>
  <c r="FY438" i="15" s="1"/>
  <c r="FZ438" i="15" s="1"/>
  <c r="FX442" i="15"/>
  <c r="FY442" i="15" s="1"/>
  <c r="FZ442" i="15" s="1"/>
  <c r="FX446" i="15"/>
  <c r="FY446" i="15" s="1"/>
  <c r="FZ446" i="15" s="1"/>
  <c r="FX450" i="15"/>
  <c r="FY450" i="15" s="1"/>
  <c r="FZ450" i="15" s="1"/>
  <c r="FX454" i="15"/>
  <c r="FX458" i="15"/>
  <c r="FY458" i="15" s="1"/>
  <c r="FZ458" i="15" s="1"/>
  <c r="FX462" i="15"/>
  <c r="FY462" i="15" s="1"/>
  <c r="FZ462" i="15" s="1"/>
  <c r="FX466" i="15"/>
  <c r="FY466" i="15" s="1"/>
  <c r="FZ466" i="15" s="1"/>
  <c r="FX470" i="15"/>
  <c r="FX474" i="15"/>
  <c r="FY474" i="15" s="1"/>
  <c r="FZ474" i="15" s="1"/>
  <c r="FX478" i="15"/>
  <c r="FY478" i="15" s="1"/>
  <c r="FZ478" i="15" s="1"/>
  <c r="FX482" i="15"/>
  <c r="FY482" i="15" s="1"/>
  <c r="FZ482" i="15" s="1"/>
  <c r="FX486" i="15"/>
  <c r="FY486" i="15" s="1"/>
  <c r="FZ486" i="15" s="1"/>
  <c r="FX490" i="15"/>
  <c r="FX494" i="15"/>
  <c r="FY494" i="15" s="1"/>
  <c r="FZ494" i="15" s="1"/>
  <c r="FX498" i="15"/>
  <c r="FY498" i="15" s="1"/>
  <c r="FZ498" i="15" s="1"/>
  <c r="FX502" i="15"/>
  <c r="FY502" i="15" s="1"/>
  <c r="FZ502" i="15" s="1"/>
  <c r="FX506" i="15"/>
  <c r="FY506" i="15" s="1"/>
  <c r="FZ506" i="15" s="1"/>
  <c r="FX510" i="15"/>
  <c r="FY510" i="15" s="1"/>
  <c r="FZ510" i="15" s="1"/>
  <c r="FX514" i="15"/>
  <c r="FY514" i="15" s="1"/>
  <c r="FX518" i="15"/>
  <c r="FY518" i="15" s="1"/>
  <c r="FZ518" i="15" s="1"/>
  <c r="FX522" i="15"/>
  <c r="FY522" i="15" s="1"/>
  <c r="FZ522" i="15" s="1"/>
  <c r="FX526" i="15"/>
  <c r="FY526" i="15" s="1"/>
  <c r="FZ526" i="15" s="1"/>
  <c r="FX530" i="15"/>
  <c r="FY530" i="15" s="1"/>
  <c r="FZ530" i="15" s="1"/>
  <c r="FX534" i="15"/>
  <c r="FY534" i="15" s="1"/>
  <c r="FZ534" i="15" s="1"/>
  <c r="FX538" i="15"/>
  <c r="FY538" i="15" s="1"/>
  <c r="FZ538" i="15" s="1"/>
  <c r="FX542" i="15"/>
  <c r="FY542" i="15" s="1"/>
  <c r="FZ542" i="15" s="1"/>
  <c r="FX546" i="15"/>
  <c r="FY546" i="15" s="1"/>
  <c r="FZ546" i="15" s="1"/>
  <c r="FX550" i="15"/>
  <c r="FY550" i="15" s="1"/>
  <c r="FZ550" i="15" s="1"/>
  <c r="FX554" i="15"/>
  <c r="FY554" i="15" s="1"/>
  <c r="FZ554" i="15" s="1"/>
  <c r="FX558" i="15"/>
  <c r="FY558" i="15" s="1"/>
  <c r="FZ558" i="15" s="1"/>
  <c r="FX562" i="15"/>
  <c r="FY562" i="15" s="1"/>
  <c r="FZ562" i="15" s="1"/>
  <c r="FX566" i="15"/>
  <c r="FY566" i="15" s="1"/>
  <c r="FZ566" i="15" s="1"/>
  <c r="FX570" i="15"/>
  <c r="FY570" i="15" s="1"/>
  <c r="FZ570" i="15" s="1"/>
  <c r="FX572" i="15"/>
  <c r="FY572" i="15" s="1"/>
  <c r="FZ572" i="15" s="1"/>
  <c r="FX578" i="15"/>
  <c r="FY578" i="15" s="1"/>
  <c r="FX582" i="15"/>
  <c r="FY582" i="15" s="1"/>
  <c r="FZ582" i="15" s="1"/>
  <c r="FX586" i="15"/>
  <c r="FY586" i="15" s="1"/>
  <c r="FZ586" i="15" s="1"/>
  <c r="FX590" i="15"/>
  <c r="FY590" i="15" s="1"/>
  <c r="FZ590" i="15" s="1"/>
  <c r="FX594" i="15"/>
  <c r="FY594" i="15" s="1"/>
  <c r="FZ594" i="15" s="1"/>
  <c r="FX598" i="15"/>
  <c r="FY598" i="15" s="1"/>
  <c r="FZ598" i="15" s="1"/>
  <c r="FX602" i="15"/>
  <c r="FY602" i="15" s="1"/>
  <c r="FZ602" i="15" s="1"/>
  <c r="FX606" i="15"/>
  <c r="FY606" i="15" s="1"/>
  <c r="FZ606" i="15" s="1"/>
  <c r="FX614" i="15"/>
  <c r="FY614" i="15" s="1"/>
  <c r="FZ614" i="15" s="1"/>
  <c r="FX618" i="15"/>
  <c r="FY618" i="15" s="1"/>
  <c r="FZ618" i="15" s="1"/>
  <c r="FX622" i="15"/>
  <c r="FY622" i="15" s="1"/>
  <c r="FZ622" i="15" s="1"/>
  <c r="FX626" i="15"/>
  <c r="FY626" i="15" s="1"/>
  <c r="FZ626" i="15" s="1"/>
  <c r="FX630" i="15"/>
  <c r="FY630" i="15" s="1"/>
  <c r="FZ630" i="15" s="1"/>
  <c r="FX634" i="15"/>
  <c r="FY634" i="15" s="1"/>
  <c r="FZ634" i="15" s="1"/>
  <c r="FX7" i="15"/>
  <c r="FX15" i="15"/>
  <c r="FY15" i="15" s="1"/>
  <c r="FZ15" i="15" s="1"/>
  <c r="FX23" i="15"/>
  <c r="FY23" i="15" s="1"/>
  <c r="FZ23" i="15" s="1"/>
  <c r="FX31" i="15"/>
  <c r="FY31" i="15" s="1"/>
  <c r="FZ31" i="15" s="1"/>
  <c r="FX39" i="15"/>
  <c r="FY39" i="15" s="1"/>
  <c r="FZ39" i="15" s="1"/>
  <c r="FX47" i="15"/>
  <c r="FY47" i="15" s="1"/>
  <c r="FZ47" i="15" s="1"/>
  <c r="FX55" i="15"/>
  <c r="FY55" i="15" s="1"/>
  <c r="FZ55" i="15" s="1"/>
  <c r="FX63" i="15"/>
  <c r="FY63" i="15" s="1"/>
  <c r="FZ63" i="15" s="1"/>
  <c r="FX71" i="15"/>
  <c r="FY71" i="15" s="1"/>
  <c r="FZ71" i="15" s="1"/>
  <c r="FX79" i="15"/>
  <c r="FY79" i="15" s="1"/>
  <c r="FZ79" i="15" s="1"/>
  <c r="FX87" i="15"/>
  <c r="FY87" i="15" s="1"/>
  <c r="FZ87" i="15" s="1"/>
  <c r="FX95" i="15"/>
  <c r="FY95" i="15" s="1"/>
  <c r="FZ95" i="15" s="1"/>
  <c r="FX103" i="15"/>
  <c r="FY103" i="15" s="1"/>
  <c r="FZ103" i="15" s="1"/>
  <c r="FX111" i="15"/>
  <c r="FY111" i="15" s="1"/>
  <c r="FZ111" i="15" s="1"/>
  <c r="FX119" i="15"/>
  <c r="FY119" i="15" s="1"/>
  <c r="FZ119" i="15" s="1"/>
  <c r="FX127" i="15"/>
  <c r="FY127" i="15" s="1"/>
  <c r="FZ127" i="15" s="1"/>
  <c r="FX135" i="15"/>
  <c r="FY135" i="15" s="1"/>
  <c r="FZ135" i="15" s="1"/>
  <c r="FX143" i="15"/>
  <c r="FX151" i="15"/>
  <c r="FY151" i="15" s="1"/>
  <c r="FZ151" i="15" s="1"/>
  <c r="FX159" i="15"/>
  <c r="FY159" i="15" s="1"/>
  <c r="FZ159" i="15" s="1"/>
  <c r="FX167" i="15"/>
  <c r="FX175" i="15"/>
  <c r="FY175" i="15" s="1"/>
  <c r="FZ175" i="15" s="1"/>
  <c r="FX183" i="15"/>
  <c r="FY183" i="15" s="1"/>
  <c r="FZ183" i="15" s="1"/>
  <c r="FX187" i="15"/>
  <c r="FY187" i="15" s="1"/>
  <c r="FZ187" i="15" s="1"/>
  <c r="FX191" i="15"/>
  <c r="FY191" i="15" s="1"/>
  <c r="FZ191" i="15" s="1"/>
  <c r="FX195" i="15"/>
  <c r="FY195" i="15" s="1"/>
  <c r="FZ195" i="15" s="1"/>
  <c r="FX199" i="15"/>
  <c r="FY199" i="15" s="1"/>
  <c r="FZ199" i="15" s="1"/>
  <c r="FX203" i="15"/>
  <c r="FY203" i="15" s="1"/>
  <c r="FZ203" i="15" s="1"/>
  <c r="FX207" i="15"/>
  <c r="FY207" i="15" s="1"/>
  <c r="FZ207" i="15" s="1"/>
  <c r="FX211" i="15"/>
  <c r="FY211" i="15" s="1"/>
  <c r="FZ211" i="15" s="1"/>
  <c r="FX215" i="15"/>
  <c r="FY215" i="15" s="1"/>
  <c r="FZ215" i="15" s="1"/>
  <c r="FX219" i="15"/>
  <c r="FY219" i="15" s="1"/>
  <c r="FX223" i="15"/>
  <c r="FY223" i="15" s="1"/>
  <c r="FZ223" i="15" s="1"/>
  <c r="FX227" i="15"/>
  <c r="FY227" i="15" s="1"/>
  <c r="FZ227" i="15" s="1"/>
  <c r="FX231" i="15"/>
  <c r="FX235" i="15"/>
  <c r="FY235" i="15" s="1"/>
  <c r="FZ235" i="15" s="1"/>
  <c r="FX239" i="15"/>
  <c r="FY239" i="15" s="1"/>
  <c r="FZ239" i="15" s="1"/>
  <c r="FX243" i="15"/>
  <c r="FY243" i="15" s="1"/>
  <c r="FZ243" i="15" s="1"/>
  <c r="FX247" i="15"/>
  <c r="FY247" i="15" s="1"/>
  <c r="FZ247" i="15" s="1"/>
  <c r="FX251" i="15"/>
  <c r="FY251" i="15" s="1"/>
  <c r="FX255" i="15"/>
  <c r="FY255" i="15" s="1"/>
  <c r="FZ255" i="15" s="1"/>
  <c r="FX259" i="15"/>
  <c r="FY259" i="15" s="1"/>
  <c r="FZ259" i="15" s="1"/>
  <c r="FX263" i="15"/>
  <c r="FY263" i="15" s="1"/>
  <c r="FZ263" i="15" s="1"/>
  <c r="FX267" i="15"/>
  <c r="FY267" i="15" s="1"/>
  <c r="FZ267" i="15" s="1"/>
  <c r="FX271" i="15"/>
  <c r="FY271" i="15" s="1"/>
  <c r="FX274" i="15"/>
  <c r="FY274" i="15" s="1"/>
  <c r="FZ274" i="15" s="1"/>
  <c r="FX279" i="15"/>
  <c r="FY279" i="15" s="1"/>
  <c r="FZ279" i="15" s="1"/>
  <c r="FX283" i="15"/>
  <c r="FY283" i="15" s="1"/>
  <c r="FZ283" i="15" s="1"/>
  <c r="FX287" i="15"/>
  <c r="FY287" i="15" s="1"/>
  <c r="FZ287" i="15" s="1"/>
  <c r="FX291" i="15"/>
  <c r="FY291" i="15" s="1"/>
  <c r="FZ291" i="15" s="1"/>
  <c r="FX295" i="15"/>
  <c r="FY295" i="15" s="1"/>
  <c r="FZ295" i="15" s="1"/>
  <c r="FX299" i="15"/>
  <c r="FX303" i="15"/>
  <c r="FY303" i="15" s="1"/>
  <c r="FZ303" i="15" s="1"/>
  <c r="FX307" i="15"/>
  <c r="FY307" i="15" s="1"/>
  <c r="FZ307" i="15" s="1"/>
  <c r="FX311" i="15"/>
  <c r="FY311" i="15" s="1"/>
  <c r="FZ311" i="15" s="1"/>
  <c r="FX315" i="15"/>
  <c r="FY315" i="15" s="1"/>
  <c r="FZ315" i="15" s="1"/>
  <c r="FX319" i="15"/>
  <c r="FY319" i="15" s="1"/>
  <c r="FZ319" i="15" s="1"/>
  <c r="FX323" i="15"/>
  <c r="FY323" i="15" s="1"/>
  <c r="FZ323" i="15" s="1"/>
  <c r="FX327" i="15"/>
  <c r="FY327" i="15" s="1"/>
  <c r="FZ327" i="15" s="1"/>
  <c r="FX331" i="15"/>
  <c r="FY331" i="15" s="1"/>
  <c r="FZ331" i="15" s="1"/>
  <c r="FX335" i="15"/>
  <c r="FY335" i="15" s="1"/>
  <c r="FZ335" i="15" s="1"/>
  <c r="FX339" i="15"/>
  <c r="FY339" i="15" s="1"/>
  <c r="FZ339" i="15" s="1"/>
  <c r="FX343" i="15"/>
  <c r="FY343" i="15" s="1"/>
  <c r="FZ343" i="15" s="1"/>
  <c r="FX347" i="15"/>
  <c r="FY347" i="15" s="1"/>
  <c r="FZ347" i="15" s="1"/>
  <c r="FX351" i="15"/>
  <c r="FY351" i="15" s="1"/>
  <c r="FZ351" i="15" s="1"/>
  <c r="FX355" i="15"/>
  <c r="FY355" i="15" s="1"/>
  <c r="FZ355" i="15" s="1"/>
  <c r="FX359" i="15"/>
  <c r="FY359" i="15" s="1"/>
  <c r="FZ359" i="15" s="1"/>
  <c r="FX363" i="15"/>
  <c r="FY363" i="15" s="1"/>
  <c r="FZ363" i="15" s="1"/>
  <c r="FX367" i="15"/>
  <c r="FY367" i="15" s="1"/>
  <c r="FZ367" i="15" s="1"/>
  <c r="FX371" i="15"/>
  <c r="FY371" i="15" s="1"/>
  <c r="FX375" i="15"/>
  <c r="FY375" i="15" s="1"/>
  <c r="FZ375" i="15" s="1"/>
  <c r="FX379" i="15"/>
  <c r="FY379" i="15" s="1"/>
  <c r="FZ379" i="15" s="1"/>
  <c r="FX383" i="15"/>
  <c r="FY383" i="15" s="1"/>
  <c r="FZ383" i="15" s="1"/>
  <c r="FX387" i="15"/>
  <c r="FY387" i="15" s="1"/>
  <c r="FZ387" i="15" s="1"/>
  <c r="FX391" i="15"/>
  <c r="FY391" i="15" s="1"/>
  <c r="FZ391" i="15" s="1"/>
  <c r="FX395" i="15"/>
  <c r="FY395" i="15" s="1"/>
  <c r="FZ395" i="15" s="1"/>
  <c r="FX399" i="15"/>
  <c r="FY399" i="15" s="1"/>
  <c r="FZ399" i="15" s="1"/>
  <c r="FX403" i="15"/>
  <c r="FY403" i="15" s="1"/>
  <c r="FZ403" i="15" s="1"/>
  <c r="FX407" i="15"/>
  <c r="FY407" i="15" s="1"/>
  <c r="FX411" i="15"/>
  <c r="FY411" i="15" s="1"/>
  <c r="FZ411" i="15" s="1"/>
  <c r="FX415" i="15"/>
  <c r="FY415" i="15" s="1"/>
  <c r="FZ415" i="15" s="1"/>
  <c r="FX419" i="15"/>
  <c r="FY419" i="15" s="1"/>
  <c r="FZ419" i="15" s="1"/>
  <c r="FX423" i="15"/>
  <c r="FY423" i="15" s="1"/>
  <c r="FZ423" i="15" s="1"/>
  <c r="FX427" i="15"/>
  <c r="FY427" i="15" s="1"/>
  <c r="FZ427" i="15" s="1"/>
  <c r="FX431" i="15"/>
  <c r="FY431" i="15" s="1"/>
  <c r="FZ431" i="15" s="1"/>
  <c r="FX435" i="15"/>
  <c r="FY435" i="15" s="1"/>
  <c r="FZ435" i="15" s="1"/>
  <c r="FX439" i="15"/>
  <c r="FY439" i="15" s="1"/>
  <c r="FZ439" i="15" s="1"/>
  <c r="FX443" i="15"/>
  <c r="FY443" i="15" s="1"/>
  <c r="FZ443" i="15" s="1"/>
  <c r="FX447" i="15"/>
  <c r="FY447" i="15" s="1"/>
  <c r="FZ447" i="15" s="1"/>
  <c r="FX451" i="15"/>
  <c r="FY451" i="15" s="1"/>
  <c r="FZ451" i="15" s="1"/>
  <c r="FX455" i="15"/>
  <c r="FY455" i="15" s="1"/>
  <c r="FX459" i="15"/>
  <c r="FY459" i="15" s="1"/>
  <c r="FZ459" i="15" s="1"/>
  <c r="FX463" i="15"/>
  <c r="FY463" i="15" s="1"/>
  <c r="FZ463" i="15" s="1"/>
  <c r="FX467" i="15"/>
  <c r="FY467" i="15" s="1"/>
  <c r="FZ467" i="15" s="1"/>
  <c r="FX471" i="15"/>
  <c r="FY471" i="15" s="1"/>
  <c r="FX475" i="15"/>
  <c r="FY475" i="15" s="1"/>
  <c r="FZ475" i="15" s="1"/>
  <c r="FX479" i="15"/>
  <c r="FY479" i="15" s="1"/>
  <c r="FZ479" i="15" s="1"/>
  <c r="FX483" i="15"/>
  <c r="FY483" i="15" s="1"/>
  <c r="FZ483" i="15" s="1"/>
  <c r="FX487" i="15"/>
  <c r="FY487" i="15" s="1"/>
  <c r="FZ487" i="15" s="1"/>
  <c r="FX491" i="15"/>
  <c r="FY491" i="15" s="1"/>
  <c r="FX495" i="15"/>
  <c r="FY495" i="15" s="1"/>
  <c r="FZ495" i="15" s="1"/>
  <c r="FX499" i="15"/>
  <c r="FY499" i="15" s="1"/>
  <c r="FZ499" i="15" s="1"/>
  <c r="FX503" i="15"/>
  <c r="FY503" i="15" s="1"/>
  <c r="FZ503" i="15" s="1"/>
  <c r="FX507" i="15"/>
  <c r="FY507" i="15" s="1"/>
  <c r="FZ507" i="15" s="1"/>
  <c r="FX511" i="15"/>
  <c r="FY511" i="15" s="1"/>
  <c r="FZ511" i="15" s="1"/>
  <c r="FX515" i="15"/>
  <c r="FY515" i="15" s="1"/>
  <c r="FZ515" i="15" s="1"/>
  <c r="FX519" i="15"/>
  <c r="FY519" i="15" s="1"/>
  <c r="FZ519" i="15" s="1"/>
  <c r="FX523" i="15"/>
  <c r="FY523" i="15" s="1"/>
  <c r="FZ523" i="15" s="1"/>
  <c r="FX527" i="15"/>
  <c r="FY527" i="15" s="1"/>
  <c r="FZ527" i="15" s="1"/>
  <c r="FX531" i="15"/>
  <c r="FY531" i="15" s="1"/>
  <c r="FZ531" i="15" s="1"/>
  <c r="FX535" i="15"/>
  <c r="FY535" i="15" s="1"/>
  <c r="FZ535" i="15" s="1"/>
  <c r="FX539" i="15"/>
  <c r="FY539" i="15" s="1"/>
  <c r="FZ539" i="15" s="1"/>
  <c r="FX543" i="15"/>
  <c r="FY543" i="15" s="1"/>
  <c r="FZ543" i="15" s="1"/>
  <c r="FX547" i="15"/>
  <c r="FX551" i="15"/>
  <c r="FY551" i="15" s="1"/>
  <c r="FZ551" i="15" s="1"/>
  <c r="FX555" i="15"/>
  <c r="FY555" i="15" s="1"/>
  <c r="FZ555" i="15" s="1"/>
  <c r="FX559" i="15"/>
  <c r="FY559" i="15" s="1"/>
  <c r="FZ559" i="15" s="1"/>
  <c r="FX563" i="15"/>
  <c r="FY563" i="15" s="1"/>
  <c r="FZ563" i="15" s="1"/>
  <c r="FX567" i="15"/>
  <c r="FY567" i="15" s="1"/>
  <c r="FZ567" i="15" s="1"/>
  <c r="FX571" i="15"/>
  <c r="FY571" i="15" s="1"/>
  <c r="FZ571" i="15" s="1"/>
  <c r="FX575" i="15"/>
  <c r="FY575" i="15" s="1"/>
  <c r="FZ575" i="15" s="1"/>
  <c r="FX579" i="15"/>
  <c r="FY579" i="15" s="1"/>
  <c r="FZ579" i="15" s="1"/>
  <c r="FX583" i="15"/>
  <c r="FY583" i="15" s="1"/>
  <c r="FZ583" i="15" s="1"/>
  <c r="FX587" i="15"/>
  <c r="FY587" i="15" s="1"/>
  <c r="FZ587" i="15" s="1"/>
  <c r="FX591" i="15"/>
  <c r="FY591" i="15" s="1"/>
  <c r="FZ591" i="15" s="1"/>
  <c r="FX595" i="15"/>
  <c r="FY595" i="15" s="1"/>
  <c r="FZ595" i="15" s="1"/>
  <c r="FX599" i="15"/>
  <c r="FY599" i="15" s="1"/>
  <c r="FZ599" i="15" s="1"/>
  <c r="FX603" i="15"/>
  <c r="FY603" i="15" s="1"/>
  <c r="FZ603" i="15" s="1"/>
  <c r="FX607" i="15"/>
  <c r="FY607" i="15" s="1"/>
  <c r="FZ607" i="15" s="1"/>
  <c r="FX611" i="15"/>
  <c r="FY611" i="15" s="1"/>
  <c r="FX615" i="15"/>
  <c r="FY615" i="15" s="1"/>
  <c r="FZ615" i="15" s="1"/>
  <c r="FX619" i="15"/>
  <c r="FY619" i="15" s="1"/>
  <c r="FZ619" i="15" s="1"/>
  <c r="FX623" i="15"/>
  <c r="FY623" i="15" s="1"/>
  <c r="FZ623" i="15" s="1"/>
  <c r="FX627" i="15"/>
  <c r="FY627" i="15" s="1"/>
  <c r="FZ627" i="15" s="1"/>
  <c r="FX631" i="15"/>
  <c r="FY631" i="15" s="1"/>
  <c r="FZ631" i="15" s="1"/>
  <c r="FX635" i="15"/>
  <c r="FY635" i="15" s="1"/>
  <c r="FZ635" i="15" s="1"/>
  <c r="FX10" i="15"/>
  <c r="FY10" i="15" s="1"/>
  <c r="FZ10" i="15" s="1"/>
  <c r="FX18" i="15"/>
  <c r="FY18" i="15" s="1"/>
  <c r="FZ18" i="15" s="1"/>
  <c r="FX26" i="15"/>
  <c r="FY26" i="15" s="1"/>
  <c r="FZ26" i="15" s="1"/>
  <c r="FX34" i="15"/>
  <c r="FY34" i="15" s="1"/>
  <c r="FX42" i="15"/>
  <c r="FY42" i="15" s="1"/>
  <c r="FX50" i="15"/>
  <c r="FY50" i="15" s="1"/>
  <c r="FZ50" i="15" s="1"/>
  <c r="FX58" i="15"/>
  <c r="FY58" i="15" s="1"/>
  <c r="FZ58" i="15" s="1"/>
  <c r="FX66" i="15"/>
  <c r="FY66" i="15" s="1"/>
  <c r="FZ66" i="15" s="1"/>
  <c r="FX74" i="15"/>
  <c r="FY74" i="15" s="1"/>
  <c r="FZ74" i="15" s="1"/>
  <c r="FX82" i="15"/>
  <c r="FX90" i="15"/>
  <c r="FY90" i="15" s="1"/>
  <c r="FZ90" i="15" s="1"/>
  <c r="FX98" i="15"/>
  <c r="FY98" i="15" s="1"/>
  <c r="FX106" i="15"/>
  <c r="FY106" i="15" s="1"/>
  <c r="FZ106" i="15" s="1"/>
  <c r="FX114" i="15"/>
  <c r="FY114" i="15" s="1"/>
  <c r="FZ114" i="15" s="1"/>
  <c r="FX122" i="15"/>
  <c r="FY122" i="15" s="1"/>
  <c r="FZ122" i="15" s="1"/>
  <c r="FX130" i="15"/>
  <c r="FY130" i="15" s="1"/>
  <c r="FZ130" i="15" s="1"/>
  <c r="FX138" i="15"/>
  <c r="FY138" i="15" s="1"/>
  <c r="FZ138" i="15" s="1"/>
  <c r="FX146" i="15"/>
  <c r="FY146" i="15" s="1"/>
  <c r="FZ146" i="15" s="1"/>
  <c r="FX154" i="15"/>
  <c r="FY154" i="15" s="1"/>
  <c r="FZ154" i="15" s="1"/>
  <c r="FX162" i="15"/>
  <c r="FY162" i="15" s="1"/>
  <c r="FZ162" i="15" s="1"/>
  <c r="FX170" i="15"/>
  <c r="FY170" i="15" s="1"/>
  <c r="FZ170" i="15" s="1"/>
  <c r="FX178" i="15"/>
  <c r="FY178" i="15" s="1"/>
  <c r="FZ178" i="15" s="1"/>
  <c r="FX184" i="15"/>
  <c r="FY184" i="15" s="1"/>
  <c r="FZ184" i="15" s="1"/>
  <c r="FX188" i="15"/>
  <c r="FY188" i="15" s="1"/>
  <c r="FZ188" i="15" s="1"/>
  <c r="FX192" i="15"/>
  <c r="FY192" i="15" s="1"/>
  <c r="FZ192" i="15" s="1"/>
  <c r="FX196" i="15"/>
  <c r="FY196" i="15" s="1"/>
  <c r="FZ196" i="15" s="1"/>
  <c r="FX200" i="15"/>
  <c r="FY200" i="15" s="1"/>
  <c r="FZ200" i="15" s="1"/>
  <c r="FX204" i="15"/>
  <c r="FY204" i="15" s="1"/>
  <c r="FZ204" i="15" s="1"/>
  <c r="FX208" i="15"/>
  <c r="FY208" i="15" s="1"/>
  <c r="FZ208" i="15" s="1"/>
  <c r="FX212" i="15"/>
  <c r="FY212" i="15" s="1"/>
  <c r="FZ212" i="15" s="1"/>
  <c r="FX216" i="15"/>
  <c r="FY216" i="15" s="1"/>
  <c r="FZ216" i="15" s="1"/>
  <c r="FX220" i="15"/>
  <c r="FY220" i="15" s="1"/>
  <c r="FZ220" i="15" s="1"/>
  <c r="FX224" i="15"/>
  <c r="FY224" i="15" s="1"/>
  <c r="FZ224" i="15" s="1"/>
  <c r="FX228" i="15"/>
  <c r="FY228" i="15" s="1"/>
  <c r="FZ228" i="15" s="1"/>
  <c r="FX232" i="15"/>
  <c r="FY232" i="15" s="1"/>
  <c r="FX236" i="15"/>
  <c r="FY236" i="15" s="1"/>
  <c r="FZ236" i="15" s="1"/>
  <c r="FX240" i="15"/>
  <c r="FY240" i="15" s="1"/>
  <c r="FZ240" i="15" s="1"/>
  <c r="FX244" i="15"/>
  <c r="FY244" i="15" s="1"/>
  <c r="FZ244" i="15" s="1"/>
  <c r="FX248" i="15"/>
  <c r="FY248" i="15" s="1"/>
  <c r="FZ248" i="15" s="1"/>
  <c r="FX252" i="15"/>
  <c r="FY252" i="15" s="1"/>
  <c r="FZ252" i="15" s="1"/>
  <c r="FX256" i="15"/>
  <c r="FY256" i="15" s="1"/>
  <c r="FZ256" i="15" s="1"/>
  <c r="FX260" i="15"/>
  <c r="FY260" i="15" s="1"/>
  <c r="FZ260" i="15" s="1"/>
  <c r="FX264" i="15"/>
  <c r="FY264" i="15" s="1"/>
  <c r="FZ264" i="15" s="1"/>
  <c r="FX268" i="15"/>
  <c r="FY268" i="15" s="1"/>
  <c r="FZ268" i="15" s="1"/>
  <c r="FX272" i="15"/>
  <c r="FY272" i="15" s="1"/>
  <c r="FZ272" i="15" s="1"/>
  <c r="FX276" i="15"/>
  <c r="FY276" i="15" s="1"/>
  <c r="FZ276" i="15" s="1"/>
  <c r="FX280" i="15"/>
  <c r="FY280" i="15" s="1"/>
  <c r="FZ280" i="15" s="1"/>
  <c r="FX284" i="15"/>
  <c r="FY284" i="15" s="1"/>
  <c r="FZ284" i="15" s="1"/>
  <c r="FX288" i="15"/>
  <c r="FY288" i="15" s="1"/>
  <c r="FZ288" i="15" s="1"/>
  <c r="FX292" i="15"/>
  <c r="FY292" i="15" s="1"/>
  <c r="FZ292" i="15" s="1"/>
  <c r="FX296" i="15"/>
  <c r="FY296" i="15" s="1"/>
  <c r="FZ296" i="15" s="1"/>
  <c r="FX300" i="15"/>
  <c r="FY300" i="15" s="1"/>
  <c r="FX304" i="15"/>
  <c r="FY304" i="15" s="1"/>
  <c r="FZ304" i="15" s="1"/>
  <c r="FX308" i="15"/>
  <c r="FY308" i="15" s="1"/>
  <c r="FZ308" i="15" s="1"/>
  <c r="FX312" i="15"/>
  <c r="FY312" i="15" s="1"/>
  <c r="FZ312" i="15" s="1"/>
  <c r="FX316" i="15"/>
  <c r="FY316" i="15" s="1"/>
  <c r="FZ316" i="15" s="1"/>
  <c r="FX320" i="15"/>
  <c r="FY320" i="15" s="1"/>
  <c r="FZ320" i="15" s="1"/>
  <c r="FX324" i="15"/>
  <c r="FX328" i="15"/>
  <c r="FY328" i="15" s="1"/>
  <c r="FZ328" i="15" s="1"/>
  <c r="FX332" i="15"/>
  <c r="FY332" i="15" s="1"/>
  <c r="FZ332" i="15" s="1"/>
  <c r="FX336" i="15"/>
  <c r="FY336" i="15" s="1"/>
  <c r="FZ336" i="15" s="1"/>
  <c r="FX340" i="15"/>
  <c r="FY340" i="15" s="1"/>
  <c r="FZ340" i="15" s="1"/>
  <c r="FX344" i="15"/>
  <c r="FY344" i="15" s="1"/>
  <c r="FZ344" i="15" s="1"/>
  <c r="FX348" i="15"/>
  <c r="FY348" i="15" s="1"/>
  <c r="FZ348" i="15" s="1"/>
  <c r="FX352" i="15"/>
  <c r="FY352" i="15" s="1"/>
  <c r="FZ352" i="15" s="1"/>
  <c r="FX356" i="15"/>
  <c r="FY356" i="15" s="1"/>
  <c r="FZ356" i="15" s="1"/>
  <c r="FX360" i="15"/>
  <c r="FY360" i="15" s="1"/>
  <c r="FZ360" i="15" s="1"/>
  <c r="FX364" i="15"/>
  <c r="FY364" i="15" s="1"/>
  <c r="FZ364" i="15" s="1"/>
  <c r="FX368" i="15"/>
  <c r="FY368" i="15" s="1"/>
  <c r="FZ368" i="15" s="1"/>
  <c r="FX372" i="15"/>
  <c r="FY372" i="15" s="1"/>
  <c r="FZ372" i="15" s="1"/>
  <c r="FX376" i="15"/>
  <c r="FY376" i="15" s="1"/>
  <c r="FZ376" i="15" s="1"/>
  <c r="FX380" i="15"/>
  <c r="FY380" i="15" s="1"/>
  <c r="FZ380" i="15" s="1"/>
  <c r="FX384" i="15"/>
  <c r="FY384" i="15" s="1"/>
  <c r="FZ384" i="15" s="1"/>
  <c r="FX388" i="15"/>
  <c r="FY388" i="15" s="1"/>
  <c r="FZ388" i="15" s="1"/>
  <c r="FX392" i="15"/>
  <c r="FY392" i="15" s="1"/>
  <c r="FZ392" i="15" s="1"/>
  <c r="FX396" i="15"/>
  <c r="FY396" i="15" s="1"/>
  <c r="FZ396" i="15" s="1"/>
  <c r="FX400" i="15"/>
  <c r="FY400" i="15" s="1"/>
  <c r="FZ400" i="15" s="1"/>
  <c r="FX404" i="15"/>
  <c r="FY404" i="15" s="1"/>
  <c r="FZ404" i="15" s="1"/>
  <c r="FX408" i="15"/>
  <c r="FY408" i="15" s="1"/>
  <c r="FZ408" i="15" s="1"/>
  <c r="FX412" i="15"/>
  <c r="FY412" i="15" s="1"/>
  <c r="FZ412" i="15" s="1"/>
  <c r="FX416" i="15"/>
  <c r="FY416" i="15" s="1"/>
  <c r="FZ416" i="15" s="1"/>
  <c r="FX420" i="15"/>
  <c r="FY420" i="15" s="1"/>
  <c r="FZ420" i="15" s="1"/>
  <c r="FX424" i="15"/>
  <c r="FY424" i="15" s="1"/>
  <c r="FZ424" i="15" s="1"/>
  <c r="FX428" i="15"/>
  <c r="FY428" i="15" s="1"/>
  <c r="FZ428" i="15" s="1"/>
  <c r="FX432" i="15"/>
  <c r="FY432" i="15" s="1"/>
  <c r="FZ432" i="15" s="1"/>
  <c r="FX436" i="15"/>
  <c r="FY436" i="15" s="1"/>
  <c r="FZ436" i="15" s="1"/>
  <c r="FX440" i="15"/>
  <c r="FY440" i="15" s="1"/>
  <c r="FZ440" i="15" s="1"/>
  <c r="FX444" i="15"/>
  <c r="FY444" i="15" s="1"/>
  <c r="FZ444" i="15" s="1"/>
  <c r="FX448" i="15"/>
  <c r="FY448" i="15" s="1"/>
  <c r="FZ448" i="15" s="1"/>
  <c r="FX452" i="15"/>
  <c r="FY452" i="15" s="1"/>
  <c r="FZ452" i="15" s="1"/>
  <c r="FX456" i="15"/>
  <c r="FY456" i="15" s="1"/>
  <c r="FZ456" i="15" s="1"/>
  <c r="FX460" i="15"/>
  <c r="FY460" i="15" s="1"/>
  <c r="FZ460" i="15" s="1"/>
  <c r="FX464" i="15"/>
  <c r="FY464" i="15" s="1"/>
  <c r="FZ464" i="15" s="1"/>
  <c r="FX468" i="15"/>
  <c r="FY468" i="15" s="1"/>
  <c r="FZ468" i="15" s="1"/>
  <c r="FX472" i="15"/>
  <c r="FY472" i="15" s="1"/>
  <c r="FX476" i="15"/>
  <c r="FY476" i="15" s="1"/>
  <c r="FZ476" i="15" s="1"/>
  <c r="FX480" i="15"/>
  <c r="FY480" i="15" s="1"/>
  <c r="FZ480" i="15" s="1"/>
  <c r="FX484" i="15"/>
  <c r="FY484" i="15" s="1"/>
  <c r="FZ484" i="15" s="1"/>
  <c r="FX488" i="15"/>
  <c r="FY488" i="15" s="1"/>
  <c r="FZ488" i="15" s="1"/>
  <c r="FX492" i="15"/>
  <c r="FY492" i="15" s="1"/>
  <c r="FZ492" i="15" s="1"/>
  <c r="FX496" i="15"/>
  <c r="FY496" i="15" s="1"/>
  <c r="FZ496" i="15" s="1"/>
  <c r="FX500" i="15"/>
  <c r="FY500" i="15" s="1"/>
  <c r="FZ500" i="15" s="1"/>
  <c r="FX504" i="15"/>
  <c r="FY504" i="15" s="1"/>
  <c r="FZ504" i="15" s="1"/>
  <c r="FX508" i="15"/>
  <c r="FY508" i="15" s="1"/>
  <c r="FZ508" i="15" s="1"/>
  <c r="FX512" i="15"/>
  <c r="FY512" i="15" s="1"/>
  <c r="FZ512" i="15" s="1"/>
  <c r="FX516" i="15"/>
  <c r="FY516" i="15" s="1"/>
  <c r="FZ516" i="15" s="1"/>
  <c r="FX520" i="15"/>
  <c r="FY520" i="15" s="1"/>
  <c r="FZ520" i="15" s="1"/>
  <c r="FX524" i="15"/>
  <c r="FY524" i="15" s="1"/>
  <c r="FZ524" i="15" s="1"/>
  <c r="FX528" i="15"/>
  <c r="FX532" i="15"/>
  <c r="FY532" i="15" s="1"/>
  <c r="FZ532" i="15" s="1"/>
  <c r="FX536" i="15"/>
  <c r="FY536" i="15" s="1"/>
  <c r="FZ536" i="15" s="1"/>
  <c r="FX540" i="15"/>
  <c r="FY540" i="15" s="1"/>
  <c r="FZ540" i="15" s="1"/>
  <c r="FX544" i="15"/>
  <c r="FY544" i="15" s="1"/>
  <c r="FZ544" i="15" s="1"/>
  <c r="FX548" i="15"/>
  <c r="FY548" i="15" s="1"/>
  <c r="FX552" i="15"/>
  <c r="FY552" i="15" s="1"/>
  <c r="FZ552" i="15" s="1"/>
  <c r="FX556" i="15"/>
  <c r="FY556" i="15" s="1"/>
  <c r="FZ556" i="15" s="1"/>
  <c r="FX560" i="15"/>
  <c r="FY560" i="15" s="1"/>
  <c r="FZ560" i="15" s="1"/>
  <c r="FX564" i="15"/>
  <c r="FY564" i="15" s="1"/>
  <c r="FZ564" i="15" s="1"/>
  <c r="FX568" i="15"/>
  <c r="FY568" i="15" s="1"/>
  <c r="FZ568" i="15" s="1"/>
  <c r="FX573" i="15"/>
  <c r="FY573" i="15" s="1"/>
  <c r="FZ573" i="15" s="1"/>
  <c r="FX576" i="15"/>
  <c r="FX580" i="15"/>
  <c r="FY580" i="15" s="1"/>
  <c r="FZ580" i="15" s="1"/>
  <c r="FX584" i="15"/>
  <c r="FY584" i="15" s="1"/>
  <c r="FZ584" i="15" s="1"/>
  <c r="FX588" i="15"/>
  <c r="FY588" i="15" s="1"/>
  <c r="FZ588" i="15" s="1"/>
  <c r="FX592" i="15"/>
  <c r="FY592" i="15" s="1"/>
  <c r="FZ592" i="15" s="1"/>
  <c r="FX596" i="15"/>
  <c r="FY596" i="15" s="1"/>
  <c r="FZ596" i="15" s="1"/>
  <c r="FX600" i="15"/>
  <c r="FY600" i="15" s="1"/>
  <c r="FZ600" i="15" s="1"/>
  <c r="FX604" i="15"/>
  <c r="FY604" i="15" s="1"/>
  <c r="FZ604" i="15" s="1"/>
  <c r="FX608" i="15"/>
  <c r="FY608" i="15" s="1"/>
  <c r="FZ608" i="15" s="1"/>
  <c r="FX612" i="15"/>
  <c r="FY612" i="15" s="1"/>
  <c r="FZ612" i="15" s="1"/>
  <c r="FX616" i="15"/>
  <c r="FY616" i="15" s="1"/>
  <c r="FZ616" i="15" s="1"/>
  <c r="FX620" i="15"/>
  <c r="FX624" i="15"/>
  <c r="FY624" i="15" s="1"/>
  <c r="FZ624" i="15" s="1"/>
  <c r="FX628" i="15"/>
  <c r="FY628" i="15" s="1"/>
  <c r="FZ628" i="15" s="1"/>
  <c r="FX632" i="15"/>
  <c r="FY632" i="15" s="1"/>
  <c r="FZ632" i="15" s="1"/>
  <c r="FX636" i="15"/>
  <c r="FY636" i="15" s="1"/>
  <c r="FZ636" i="15" s="1"/>
  <c r="FX640" i="15"/>
  <c r="FX644" i="15"/>
  <c r="FY644" i="15" s="1"/>
  <c r="FZ644" i="15" s="1"/>
  <c r="FX648" i="15"/>
  <c r="FY648" i="15" s="1"/>
  <c r="FZ648" i="15" s="1"/>
  <c r="FX652" i="15"/>
  <c r="FY652" i="15" s="1"/>
  <c r="FZ652" i="15" s="1"/>
  <c r="FX656" i="15"/>
  <c r="FY656" i="15" s="1"/>
  <c r="FZ656" i="15" s="1"/>
  <c r="FX660" i="15"/>
  <c r="FY660" i="15" s="1"/>
  <c r="FZ660" i="15" s="1"/>
  <c r="FX664" i="15"/>
  <c r="FY664" i="15" s="1"/>
  <c r="FZ664" i="15" s="1"/>
  <c r="FX668" i="15"/>
  <c r="FY668" i="15" s="1"/>
  <c r="FX672" i="15"/>
  <c r="FY672" i="15" s="1"/>
  <c r="FZ672" i="15" s="1"/>
  <c r="FX676" i="15"/>
  <c r="FY676" i="15" s="1"/>
  <c r="FZ676" i="15" s="1"/>
  <c r="FX680" i="15"/>
  <c r="FY680" i="15" s="1"/>
  <c r="FZ680" i="15" s="1"/>
  <c r="FX684" i="15"/>
  <c r="FY684" i="15" s="1"/>
  <c r="FZ684" i="15" s="1"/>
  <c r="FX688" i="15"/>
  <c r="FY688" i="15" s="1"/>
  <c r="FX692" i="15"/>
  <c r="FY692" i="15" s="1"/>
  <c r="FZ692" i="15" s="1"/>
  <c r="FX696" i="15"/>
  <c r="FY696" i="15" s="1"/>
  <c r="FZ696" i="15" s="1"/>
  <c r="FX700" i="15"/>
  <c r="FY700" i="15" s="1"/>
  <c r="FZ700" i="15" s="1"/>
  <c r="FX704" i="15"/>
  <c r="FY704" i="15" s="1"/>
  <c r="FZ704" i="15" s="1"/>
  <c r="FX708" i="15"/>
  <c r="FY708" i="15" s="1"/>
  <c r="FZ708" i="15" s="1"/>
  <c r="FX712" i="15"/>
  <c r="FX716" i="15"/>
  <c r="FY716" i="15" s="1"/>
  <c r="FZ716" i="15" s="1"/>
  <c r="FX720" i="15"/>
  <c r="FY720" i="15" s="1"/>
  <c r="FZ720" i="15" s="1"/>
  <c r="FX724" i="15"/>
  <c r="FY724" i="15" s="1"/>
  <c r="FZ724" i="15" s="1"/>
  <c r="FX728" i="15"/>
  <c r="FY728" i="15" s="1"/>
  <c r="FZ728" i="15" s="1"/>
  <c r="FX732" i="15"/>
  <c r="FY732" i="15" s="1"/>
  <c r="FX736" i="15"/>
  <c r="FY736" i="15" s="1"/>
  <c r="FZ736" i="15" s="1"/>
  <c r="FX740" i="15"/>
  <c r="FY740" i="15" s="1"/>
  <c r="FZ740" i="15" s="1"/>
  <c r="FX11" i="15"/>
  <c r="FY11" i="15" s="1"/>
  <c r="FZ11" i="15" s="1"/>
  <c r="FX19" i="15"/>
  <c r="FY19" i="15" s="1"/>
  <c r="FZ19" i="15" s="1"/>
  <c r="FX27" i="15"/>
  <c r="FY27" i="15" s="1"/>
  <c r="FZ27" i="15" s="1"/>
  <c r="FX35" i="15"/>
  <c r="FY35" i="15" s="1"/>
  <c r="FZ35" i="15" s="1"/>
  <c r="FX43" i="15"/>
  <c r="FY43" i="15" s="1"/>
  <c r="FZ43" i="15" s="1"/>
  <c r="FX51" i="15"/>
  <c r="FY51" i="15" s="1"/>
  <c r="FZ51" i="15" s="1"/>
  <c r="FX59" i="15"/>
  <c r="FY59" i="15" s="1"/>
  <c r="FZ59" i="15" s="1"/>
  <c r="FX67" i="15"/>
  <c r="FY67" i="15" s="1"/>
  <c r="FZ67" i="15" s="1"/>
  <c r="FX75" i="15"/>
  <c r="FY75" i="15" s="1"/>
  <c r="FZ75" i="15" s="1"/>
  <c r="FX83" i="15"/>
  <c r="FY83" i="15" s="1"/>
  <c r="FX91" i="15"/>
  <c r="FY91" i="15" s="1"/>
  <c r="FZ91" i="15" s="1"/>
  <c r="FX99" i="15"/>
  <c r="FY99" i="15" s="1"/>
  <c r="FZ99" i="15" s="1"/>
  <c r="FX107" i="15"/>
  <c r="FY107" i="15" s="1"/>
  <c r="FZ107" i="15" s="1"/>
  <c r="FX115" i="15"/>
  <c r="FY115" i="15" s="1"/>
  <c r="FZ115" i="15" s="1"/>
  <c r="FX123" i="15"/>
  <c r="FY123" i="15" s="1"/>
  <c r="FZ123" i="15" s="1"/>
  <c r="FX131" i="15"/>
  <c r="FY131" i="15" s="1"/>
  <c r="FZ131" i="15" s="1"/>
  <c r="FX139" i="15"/>
  <c r="FY139" i="15" s="1"/>
  <c r="FZ139" i="15" s="1"/>
  <c r="FX147" i="15"/>
  <c r="FY147" i="15" s="1"/>
  <c r="FZ147" i="15" s="1"/>
  <c r="FX155" i="15"/>
  <c r="FY155" i="15" s="1"/>
  <c r="FZ155" i="15" s="1"/>
  <c r="FX163" i="15"/>
  <c r="FY163" i="15" s="1"/>
  <c r="FZ163" i="15" s="1"/>
  <c r="FX171" i="15"/>
  <c r="FY171" i="15" s="1"/>
  <c r="FZ171" i="15" s="1"/>
  <c r="FX179" i="15"/>
  <c r="FY179" i="15" s="1"/>
  <c r="FZ179" i="15" s="1"/>
  <c r="FX185" i="15"/>
  <c r="FY185" i="15" s="1"/>
  <c r="FZ185" i="15" s="1"/>
  <c r="FX189" i="15"/>
  <c r="FX193" i="15"/>
  <c r="FY193" i="15" s="1"/>
  <c r="FZ193" i="15" s="1"/>
  <c r="FX197" i="15"/>
  <c r="FY197" i="15" s="1"/>
  <c r="FZ197" i="15" s="1"/>
  <c r="FX201" i="15"/>
  <c r="FY201" i="15" s="1"/>
  <c r="FZ201" i="15" s="1"/>
  <c r="FX205" i="15"/>
  <c r="FY205" i="15" s="1"/>
  <c r="FZ205" i="15" s="1"/>
  <c r="FX209" i="15"/>
  <c r="FY209" i="15" s="1"/>
  <c r="FZ209" i="15" s="1"/>
  <c r="FX213" i="15"/>
  <c r="FY213" i="15" s="1"/>
  <c r="FZ213" i="15" s="1"/>
  <c r="FX217" i="15"/>
  <c r="FY217" i="15" s="1"/>
  <c r="FZ217" i="15" s="1"/>
  <c r="FX221" i="15"/>
  <c r="FY221" i="15" s="1"/>
  <c r="FZ221" i="15" s="1"/>
  <c r="FX225" i="15"/>
  <c r="FY225" i="15" s="1"/>
  <c r="FZ225" i="15" s="1"/>
  <c r="FX229" i="15"/>
  <c r="FY229" i="15" s="1"/>
  <c r="FZ229" i="15" s="1"/>
  <c r="FX233" i="15"/>
  <c r="FY233" i="15" s="1"/>
  <c r="FZ233" i="15" s="1"/>
  <c r="FX237" i="15"/>
  <c r="FY237" i="15" s="1"/>
  <c r="FZ237" i="15" s="1"/>
  <c r="FX241" i="15"/>
  <c r="FY241" i="15" s="1"/>
  <c r="FZ241" i="15" s="1"/>
  <c r="FX245" i="15"/>
  <c r="FY245" i="15" s="1"/>
  <c r="FZ245" i="15" s="1"/>
  <c r="FX249" i="15"/>
  <c r="FX253" i="15"/>
  <c r="FY253" i="15" s="1"/>
  <c r="FZ253" i="15" s="1"/>
  <c r="FX257" i="15"/>
  <c r="FY257" i="15" s="1"/>
  <c r="FZ257" i="15" s="1"/>
  <c r="FX261" i="15"/>
  <c r="FY261" i="15" s="1"/>
  <c r="FZ261" i="15" s="1"/>
  <c r="FX265" i="15"/>
  <c r="FY265" i="15" s="1"/>
  <c r="FZ265" i="15" s="1"/>
  <c r="FX269" i="15"/>
  <c r="FX273" i="15"/>
  <c r="FY273" i="15" s="1"/>
  <c r="FZ273" i="15" s="1"/>
  <c r="FX277" i="15"/>
  <c r="FY277" i="15" s="1"/>
  <c r="FZ277" i="15" s="1"/>
  <c r="FX281" i="15"/>
  <c r="FY281" i="15" s="1"/>
  <c r="FZ281" i="15" s="1"/>
  <c r="FX285" i="15"/>
  <c r="FY285" i="15" s="1"/>
  <c r="FZ285" i="15" s="1"/>
  <c r="FX289" i="15"/>
  <c r="FY289" i="15" s="1"/>
  <c r="FZ289" i="15" s="1"/>
  <c r="FX293" i="15"/>
  <c r="FY293" i="15" s="1"/>
  <c r="FZ293" i="15" s="1"/>
  <c r="FX297" i="15"/>
  <c r="FY297" i="15" s="1"/>
  <c r="FZ297" i="15" s="1"/>
  <c r="FX301" i="15"/>
  <c r="FY301" i="15" s="1"/>
  <c r="FZ301" i="15" s="1"/>
  <c r="FX305" i="15"/>
  <c r="FY305" i="15" s="1"/>
  <c r="FZ305" i="15" s="1"/>
  <c r="FX309" i="15"/>
  <c r="FY309" i="15" s="1"/>
  <c r="FZ309" i="15" s="1"/>
  <c r="FX313" i="15"/>
  <c r="FY313" i="15" s="1"/>
  <c r="FZ313" i="15" s="1"/>
  <c r="FX317" i="15"/>
  <c r="FY317" i="15" s="1"/>
  <c r="FZ317" i="15" s="1"/>
  <c r="FX321" i="15"/>
  <c r="FY321" i="15" s="1"/>
  <c r="FZ321" i="15" s="1"/>
  <c r="FX325" i="15"/>
  <c r="FY325" i="15" s="1"/>
  <c r="FX329" i="15"/>
  <c r="FY329" i="15" s="1"/>
  <c r="FZ329" i="15" s="1"/>
  <c r="FX333" i="15"/>
  <c r="FY333" i="15" s="1"/>
  <c r="FZ333" i="15" s="1"/>
  <c r="FX337" i="15"/>
  <c r="FY337" i="15" s="1"/>
  <c r="FZ337" i="15" s="1"/>
  <c r="FX341" i="15"/>
  <c r="FY341" i="15" s="1"/>
  <c r="FZ341" i="15" s="1"/>
  <c r="FX345" i="15"/>
  <c r="FY345" i="15" s="1"/>
  <c r="FZ345" i="15" s="1"/>
  <c r="FX349" i="15"/>
  <c r="FY349" i="15" s="1"/>
  <c r="FZ349" i="15" s="1"/>
  <c r="FX353" i="15"/>
  <c r="FY353" i="15" s="1"/>
  <c r="FZ353" i="15" s="1"/>
  <c r="FX357" i="15"/>
  <c r="FY357" i="15" s="1"/>
  <c r="FZ357" i="15" s="1"/>
  <c r="FX361" i="15"/>
  <c r="FY361" i="15" s="1"/>
  <c r="FZ361" i="15" s="1"/>
  <c r="FX365" i="15"/>
  <c r="FY365" i="15" s="1"/>
  <c r="FZ365" i="15" s="1"/>
  <c r="FX369" i="15"/>
  <c r="FY369" i="15" s="1"/>
  <c r="FZ369" i="15" s="1"/>
  <c r="FX373" i="15"/>
  <c r="FY373" i="15" s="1"/>
  <c r="FZ373" i="15" s="1"/>
  <c r="FX377" i="15"/>
  <c r="FY377" i="15" s="1"/>
  <c r="FZ377" i="15" s="1"/>
  <c r="FX381" i="15"/>
  <c r="FY381" i="15" s="1"/>
  <c r="FZ381" i="15" s="1"/>
  <c r="FX385" i="15"/>
  <c r="FY385" i="15" s="1"/>
  <c r="FZ385" i="15" s="1"/>
  <c r="FX389" i="15"/>
  <c r="FY389" i="15" s="1"/>
  <c r="FZ389" i="15" s="1"/>
  <c r="FX393" i="15"/>
  <c r="FY393" i="15" s="1"/>
  <c r="FZ393" i="15" s="1"/>
  <c r="FX397" i="15"/>
  <c r="FY397" i="15" s="1"/>
  <c r="FZ397" i="15" s="1"/>
  <c r="FX401" i="15"/>
  <c r="FY401" i="15" s="1"/>
  <c r="FZ401" i="15" s="1"/>
  <c r="FX405" i="15"/>
  <c r="FY405" i="15" s="1"/>
  <c r="FZ405" i="15" s="1"/>
  <c r="FX409" i="15"/>
  <c r="FY409" i="15" s="1"/>
  <c r="FZ409" i="15" s="1"/>
  <c r="FX413" i="15"/>
  <c r="FY413" i="15" s="1"/>
  <c r="FZ413" i="15" s="1"/>
  <c r="FX417" i="15"/>
  <c r="FY417" i="15" s="1"/>
  <c r="FZ417" i="15" s="1"/>
  <c r="FX421" i="15"/>
  <c r="FY421" i="15" s="1"/>
  <c r="FZ421" i="15" s="1"/>
  <c r="FX425" i="15"/>
  <c r="FY425" i="15" s="1"/>
  <c r="FZ425" i="15" s="1"/>
  <c r="FX429" i="15"/>
  <c r="FX433" i="15"/>
  <c r="FY433" i="15" s="1"/>
  <c r="FZ433" i="15" s="1"/>
  <c r="FX437" i="15"/>
  <c r="FY437" i="15" s="1"/>
  <c r="FZ437" i="15" s="1"/>
  <c r="FX441" i="15"/>
  <c r="FY441" i="15" s="1"/>
  <c r="FZ441" i="15" s="1"/>
  <c r="FX445" i="15"/>
  <c r="FY445" i="15" s="1"/>
  <c r="FZ445" i="15" s="1"/>
  <c r="FX449" i="15"/>
  <c r="FY449" i="15" s="1"/>
  <c r="FZ449" i="15" s="1"/>
  <c r="FX453" i="15"/>
  <c r="FY453" i="15" s="1"/>
  <c r="FZ453" i="15" s="1"/>
  <c r="FX457" i="15"/>
  <c r="FY457" i="15" s="1"/>
  <c r="FZ457" i="15" s="1"/>
  <c r="FX461" i="15"/>
  <c r="FY461" i="15" s="1"/>
  <c r="FZ461" i="15" s="1"/>
  <c r="FX465" i="15"/>
  <c r="FY465" i="15" s="1"/>
  <c r="FZ465" i="15" s="1"/>
  <c r="FX469" i="15"/>
  <c r="FY469" i="15" s="1"/>
  <c r="FZ469" i="15" s="1"/>
  <c r="FX473" i="15"/>
  <c r="FY473" i="15" s="1"/>
  <c r="FZ473" i="15" s="1"/>
  <c r="FX477" i="15"/>
  <c r="FY477" i="15" s="1"/>
  <c r="FZ477" i="15" s="1"/>
  <c r="FX481" i="15"/>
  <c r="FY481" i="15" s="1"/>
  <c r="FZ481" i="15" s="1"/>
  <c r="FX485" i="15"/>
  <c r="FY485" i="15" s="1"/>
  <c r="FZ485" i="15" s="1"/>
  <c r="FX489" i="15"/>
  <c r="FY489" i="15" s="1"/>
  <c r="FZ489" i="15" s="1"/>
  <c r="FX493" i="15"/>
  <c r="FY493" i="15" s="1"/>
  <c r="FZ493" i="15" s="1"/>
  <c r="FX497" i="15"/>
  <c r="FY497" i="15" s="1"/>
  <c r="FZ497" i="15" s="1"/>
  <c r="FX501" i="15"/>
  <c r="FY501" i="15" s="1"/>
  <c r="FZ501" i="15" s="1"/>
  <c r="FX505" i="15"/>
  <c r="FY505" i="15" s="1"/>
  <c r="FZ505" i="15" s="1"/>
  <c r="FX509" i="15"/>
  <c r="FY509" i="15" s="1"/>
  <c r="FZ509" i="15" s="1"/>
  <c r="FX513" i="15"/>
  <c r="FX517" i="15"/>
  <c r="FY517" i="15" s="1"/>
  <c r="FZ517" i="15" s="1"/>
  <c r="FX521" i="15"/>
  <c r="FY521" i="15" s="1"/>
  <c r="FZ521" i="15" s="1"/>
  <c r="FX525" i="15"/>
  <c r="FY525" i="15" s="1"/>
  <c r="FZ525" i="15" s="1"/>
  <c r="FX529" i="15"/>
  <c r="FY529" i="15" s="1"/>
  <c r="FX533" i="15"/>
  <c r="FY533" i="15" s="1"/>
  <c r="FZ533" i="15" s="1"/>
  <c r="FX537" i="15"/>
  <c r="FY537" i="15" s="1"/>
  <c r="FZ537" i="15" s="1"/>
  <c r="FX541" i="15"/>
  <c r="FY541" i="15" s="1"/>
  <c r="FZ541" i="15" s="1"/>
  <c r="FX545" i="15"/>
  <c r="FY545" i="15" s="1"/>
  <c r="FZ545" i="15" s="1"/>
  <c r="FX549" i="15"/>
  <c r="FY549" i="15" s="1"/>
  <c r="FZ549" i="15" s="1"/>
  <c r="FX553" i="15"/>
  <c r="FY553" i="15" s="1"/>
  <c r="FZ553" i="15" s="1"/>
  <c r="FX557" i="15"/>
  <c r="FY557" i="15" s="1"/>
  <c r="FZ557" i="15" s="1"/>
  <c r="FX561" i="15"/>
  <c r="FY561" i="15" s="1"/>
  <c r="FZ561" i="15" s="1"/>
  <c r="FX565" i="15"/>
  <c r="FY565" i="15" s="1"/>
  <c r="FZ565" i="15" s="1"/>
  <c r="FX569" i="15"/>
  <c r="FY569" i="15" s="1"/>
  <c r="FZ569" i="15" s="1"/>
  <c r="FX574" i="15"/>
  <c r="FY574" i="15" s="1"/>
  <c r="FZ574" i="15" s="1"/>
  <c r="FX577" i="15"/>
  <c r="FY577" i="15" s="1"/>
  <c r="FX581" i="15"/>
  <c r="FY581" i="15" s="1"/>
  <c r="FZ581" i="15" s="1"/>
  <c r="FX585" i="15"/>
  <c r="FY585" i="15" s="1"/>
  <c r="FZ585" i="15" s="1"/>
  <c r="FX589" i="15"/>
  <c r="FY589" i="15" s="1"/>
  <c r="FZ589" i="15" s="1"/>
  <c r="FX593" i="15"/>
  <c r="FY593" i="15" s="1"/>
  <c r="FZ593" i="15" s="1"/>
  <c r="FX597" i="15"/>
  <c r="FY597" i="15" s="1"/>
  <c r="FZ597" i="15" s="1"/>
  <c r="FX601" i="15"/>
  <c r="FY601" i="15" s="1"/>
  <c r="FZ601" i="15" s="1"/>
  <c r="FX605" i="15"/>
  <c r="FY605" i="15" s="1"/>
  <c r="FZ605" i="15" s="1"/>
  <c r="FX609" i="15"/>
  <c r="FY609" i="15" s="1"/>
  <c r="FZ609" i="15" s="1"/>
  <c r="FX613" i="15"/>
  <c r="FY613" i="15" s="1"/>
  <c r="FZ613" i="15" s="1"/>
  <c r="FX617" i="15"/>
  <c r="FY617" i="15" s="1"/>
  <c r="FZ617" i="15" s="1"/>
  <c r="FX621" i="15"/>
  <c r="FY621" i="15" s="1"/>
  <c r="FX625" i="15"/>
  <c r="FY625" i="15" s="1"/>
  <c r="FZ625" i="15" s="1"/>
  <c r="FX629" i="15"/>
  <c r="FY629" i="15" s="1"/>
  <c r="FZ629" i="15" s="1"/>
  <c r="FX633" i="15"/>
  <c r="FY633" i="15" s="1"/>
  <c r="FZ633" i="15" s="1"/>
  <c r="FX637" i="15"/>
  <c r="FY637" i="15" s="1"/>
  <c r="FZ637" i="15" s="1"/>
  <c r="FX641" i="15"/>
  <c r="FY641" i="15" s="1"/>
  <c r="FX645" i="15"/>
  <c r="FY645" i="15" s="1"/>
  <c r="FZ645" i="15" s="1"/>
  <c r="FX649" i="15"/>
  <c r="FY649" i="15" s="1"/>
  <c r="FZ649" i="15" s="1"/>
  <c r="FX653" i="15"/>
  <c r="FY653" i="15" s="1"/>
  <c r="FZ653" i="15" s="1"/>
  <c r="FX657" i="15"/>
  <c r="FY657" i="15" s="1"/>
  <c r="FZ657" i="15" s="1"/>
  <c r="FX661" i="15"/>
  <c r="FY661" i="15" s="1"/>
  <c r="FZ661" i="15" s="1"/>
  <c r="FX665" i="15"/>
  <c r="FY665" i="15" s="1"/>
  <c r="FZ665" i="15" s="1"/>
  <c r="FX669" i="15"/>
  <c r="FY669" i="15" s="1"/>
  <c r="FZ669" i="15" s="1"/>
  <c r="FX673" i="15"/>
  <c r="FY673" i="15" s="1"/>
  <c r="FZ673" i="15" s="1"/>
  <c r="FX677" i="15"/>
  <c r="FY677" i="15" s="1"/>
  <c r="FZ677" i="15" s="1"/>
  <c r="FX681" i="15"/>
  <c r="FY681" i="15" s="1"/>
  <c r="FZ681" i="15" s="1"/>
  <c r="FX685" i="15"/>
  <c r="FY685" i="15" s="1"/>
  <c r="FZ685" i="15" s="1"/>
  <c r="FX689" i="15"/>
  <c r="FY689" i="15" s="1"/>
  <c r="FZ689" i="15" s="1"/>
  <c r="FX693" i="15"/>
  <c r="FY693" i="15" s="1"/>
  <c r="FZ693" i="15" s="1"/>
  <c r="FX697" i="15"/>
  <c r="FY697" i="15" s="1"/>
  <c r="FZ697" i="15" s="1"/>
  <c r="FX701" i="15"/>
  <c r="FY701" i="15" s="1"/>
  <c r="FZ701" i="15" s="1"/>
  <c r="FX705" i="15"/>
  <c r="FY705" i="15" s="1"/>
  <c r="FZ705" i="15" s="1"/>
  <c r="FX709" i="15"/>
  <c r="FY709" i="15" s="1"/>
  <c r="FZ709" i="15" s="1"/>
  <c r="FX713" i="15"/>
  <c r="FY713" i="15" s="1"/>
  <c r="FX717" i="15"/>
  <c r="FY717" i="15" s="1"/>
  <c r="FZ717" i="15" s="1"/>
  <c r="FX721" i="15"/>
  <c r="FY721" i="15" s="1"/>
  <c r="FZ721" i="15" s="1"/>
  <c r="FX725" i="15"/>
  <c r="FY725" i="15" s="1"/>
  <c r="FZ725" i="15" s="1"/>
  <c r="FX729" i="15"/>
  <c r="FY729" i="15" s="1"/>
  <c r="FZ729" i="15" s="1"/>
  <c r="FX733" i="15"/>
  <c r="FY733" i="15" s="1"/>
  <c r="FZ733" i="15" s="1"/>
  <c r="FX737" i="15"/>
  <c r="FY737" i="15" s="1"/>
  <c r="FZ737" i="15" s="1"/>
  <c r="FX741" i="15"/>
  <c r="FY741" i="15" s="1"/>
  <c r="FZ741" i="15" s="1"/>
  <c r="FX638" i="15"/>
  <c r="FY638" i="15" s="1"/>
  <c r="FZ638" i="15" s="1"/>
  <c r="FX646" i="15"/>
  <c r="FY646" i="15" s="1"/>
  <c r="FZ646" i="15" s="1"/>
  <c r="FX654" i="15"/>
  <c r="FY654" i="15" s="1"/>
  <c r="FZ654" i="15" s="1"/>
  <c r="FX662" i="15"/>
  <c r="FY662" i="15" s="1"/>
  <c r="FZ662" i="15" s="1"/>
  <c r="FX670" i="15"/>
  <c r="FY670" i="15" s="1"/>
  <c r="FZ670" i="15" s="1"/>
  <c r="FX678" i="15"/>
  <c r="FY678" i="15" s="1"/>
  <c r="FZ678" i="15" s="1"/>
  <c r="FX686" i="15"/>
  <c r="FY686" i="15" s="1"/>
  <c r="FZ686" i="15" s="1"/>
  <c r="FX694" i="15"/>
  <c r="FY694" i="15" s="1"/>
  <c r="FZ694" i="15" s="1"/>
  <c r="FX702" i="15"/>
  <c r="FY702" i="15" s="1"/>
  <c r="FZ702" i="15" s="1"/>
  <c r="FX710" i="15"/>
  <c r="FY710" i="15" s="1"/>
  <c r="FZ710" i="15" s="1"/>
  <c r="FX718" i="15"/>
  <c r="FY718" i="15" s="1"/>
  <c r="FZ718" i="15" s="1"/>
  <c r="FX726" i="15"/>
  <c r="FY726" i="15" s="1"/>
  <c r="FZ726" i="15" s="1"/>
  <c r="FX734" i="15"/>
  <c r="FY734" i="15" s="1"/>
  <c r="FZ734" i="15" s="1"/>
  <c r="FX742" i="15"/>
  <c r="FY742" i="15" s="1"/>
  <c r="FZ742" i="15" s="1"/>
  <c r="FX746" i="15"/>
  <c r="FY746" i="15" s="1"/>
  <c r="FZ746" i="15" s="1"/>
  <c r="FX750" i="15"/>
  <c r="FY750" i="15" s="1"/>
  <c r="FZ750" i="15" s="1"/>
  <c r="FX754" i="15"/>
  <c r="FY754" i="15" s="1"/>
  <c r="FX773" i="15"/>
  <c r="FY773" i="15" s="1"/>
  <c r="FZ773" i="15" s="1"/>
  <c r="FX760" i="15"/>
  <c r="FY760" i="15" s="1"/>
  <c r="FZ760" i="15" s="1"/>
  <c r="FX764" i="15"/>
  <c r="FY764" i="15" s="1"/>
  <c r="FZ764" i="15" s="1"/>
  <c r="FX768" i="15"/>
  <c r="FY768" i="15" s="1"/>
  <c r="FZ768" i="15" s="1"/>
  <c r="FX772" i="15"/>
  <c r="FY772" i="15" s="1"/>
  <c r="FZ772" i="15" s="1"/>
  <c r="FX778" i="15"/>
  <c r="FY778" i="15" s="1"/>
  <c r="FZ778" i="15" s="1"/>
  <c r="FX782" i="15"/>
  <c r="FY782" i="15" s="1"/>
  <c r="FZ782" i="15" s="1"/>
  <c r="FX786" i="15"/>
  <c r="FY786" i="15" s="1"/>
  <c r="FZ786" i="15" s="1"/>
  <c r="FX790" i="15"/>
  <c r="FY790" i="15" s="1"/>
  <c r="FZ790" i="15" s="1"/>
  <c r="FX794" i="15"/>
  <c r="FY794" i="15" s="1"/>
  <c r="FZ794" i="15" s="1"/>
  <c r="FX798" i="15"/>
  <c r="FY798" i="15" s="1"/>
  <c r="FZ798" i="15" s="1"/>
  <c r="FX802" i="15"/>
  <c r="FY802" i="15" s="1"/>
  <c r="FZ802" i="15" s="1"/>
  <c r="FX806" i="15"/>
  <c r="FY806" i="15" s="1"/>
  <c r="FZ806" i="15" s="1"/>
  <c r="FX810" i="15"/>
  <c r="FY810" i="15" s="1"/>
  <c r="FZ810" i="15" s="1"/>
  <c r="FX814" i="15"/>
  <c r="FY814" i="15" s="1"/>
  <c r="FZ814" i="15" s="1"/>
  <c r="FX818" i="15"/>
  <c r="FY818" i="15" s="1"/>
  <c r="FZ818" i="15" s="1"/>
  <c r="FX822" i="15"/>
  <c r="FY822" i="15" s="1"/>
  <c r="FZ822" i="15" s="1"/>
  <c r="FX826" i="15"/>
  <c r="FY826" i="15" s="1"/>
  <c r="FZ826" i="15" s="1"/>
  <c r="FX830" i="15"/>
  <c r="FY830" i="15" s="1"/>
  <c r="FZ830" i="15" s="1"/>
  <c r="FX834" i="15"/>
  <c r="FY834" i="15" s="1"/>
  <c r="FZ834" i="15" s="1"/>
  <c r="FX838" i="15"/>
  <c r="FY838" i="15" s="1"/>
  <c r="FZ838" i="15" s="1"/>
  <c r="FX842" i="15"/>
  <c r="FY842" i="15" s="1"/>
  <c r="FZ842" i="15" s="1"/>
  <c r="FX846" i="15"/>
  <c r="FY846" i="15" s="1"/>
  <c r="FZ846" i="15" s="1"/>
  <c r="FX850" i="15"/>
  <c r="FY850" i="15" s="1"/>
  <c r="FZ850" i="15" s="1"/>
  <c r="FX854" i="15"/>
  <c r="FY854" i="15" s="1"/>
  <c r="FZ854" i="15" s="1"/>
  <c r="FX858" i="15"/>
  <c r="FY858" i="15" s="1"/>
  <c r="FZ858" i="15" s="1"/>
  <c r="FX639" i="15"/>
  <c r="FY639" i="15" s="1"/>
  <c r="FZ639" i="15" s="1"/>
  <c r="FX647" i="15"/>
  <c r="FY647" i="15" s="1"/>
  <c r="FZ647" i="15" s="1"/>
  <c r="FX655" i="15"/>
  <c r="FY655" i="15" s="1"/>
  <c r="FZ655" i="15" s="1"/>
  <c r="FX663" i="15"/>
  <c r="FY663" i="15" s="1"/>
  <c r="FZ663" i="15" s="1"/>
  <c r="FX671" i="15"/>
  <c r="FY671" i="15" s="1"/>
  <c r="FZ671" i="15" s="1"/>
  <c r="FX679" i="15"/>
  <c r="FY679" i="15" s="1"/>
  <c r="FZ679" i="15" s="1"/>
  <c r="FX687" i="15"/>
  <c r="FX695" i="15"/>
  <c r="FY695" i="15" s="1"/>
  <c r="FZ695" i="15" s="1"/>
  <c r="FX703" i="15"/>
  <c r="FY703" i="15" s="1"/>
  <c r="FZ703" i="15" s="1"/>
  <c r="FX711" i="15"/>
  <c r="FY711" i="15" s="1"/>
  <c r="FZ711" i="15" s="1"/>
  <c r="FX719" i="15"/>
  <c r="FY719" i="15" s="1"/>
  <c r="FZ719" i="15" s="1"/>
  <c r="FX727" i="15"/>
  <c r="FY727" i="15" s="1"/>
  <c r="FZ727" i="15" s="1"/>
  <c r="FX735" i="15"/>
  <c r="FY735" i="15" s="1"/>
  <c r="FZ735" i="15" s="1"/>
  <c r="FX743" i="15"/>
  <c r="FY743" i="15" s="1"/>
  <c r="FZ743" i="15" s="1"/>
  <c r="FX747" i="15"/>
  <c r="FY747" i="15" s="1"/>
  <c r="FZ747" i="15" s="1"/>
  <c r="FX751" i="15"/>
  <c r="FY751" i="15" s="1"/>
  <c r="FZ751" i="15" s="1"/>
  <c r="FX755" i="15"/>
  <c r="FY755" i="15" s="1"/>
  <c r="FZ755" i="15" s="1"/>
  <c r="FX774" i="15"/>
  <c r="FY774" i="15" s="1"/>
  <c r="FZ774" i="15" s="1"/>
  <c r="FX761" i="15"/>
  <c r="FY761" i="15" s="1"/>
  <c r="FZ761" i="15" s="1"/>
  <c r="FX765" i="15"/>
  <c r="FY765" i="15" s="1"/>
  <c r="FZ765" i="15" s="1"/>
  <c r="FX769" i="15"/>
  <c r="FY769" i="15" s="1"/>
  <c r="FZ769" i="15" s="1"/>
  <c r="FX775" i="15"/>
  <c r="FX779" i="15"/>
  <c r="FY779" i="15" s="1"/>
  <c r="FZ779" i="15" s="1"/>
  <c r="FX783" i="15"/>
  <c r="FY783" i="15" s="1"/>
  <c r="FZ783" i="15" s="1"/>
  <c r="FX787" i="15"/>
  <c r="FY787" i="15" s="1"/>
  <c r="FZ787" i="15" s="1"/>
  <c r="FX791" i="15"/>
  <c r="FY791" i="15" s="1"/>
  <c r="FZ791" i="15" s="1"/>
  <c r="FX795" i="15"/>
  <c r="FX799" i="15"/>
  <c r="FY799" i="15" s="1"/>
  <c r="FZ799" i="15" s="1"/>
  <c r="FX803" i="15"/>
  <c r="FY803" i="15" s="1"/>
  <c r="FZ803" i="15" s="1"/>
  <c r="FX807" i="15"/>
  <c r="FY807" i="15" s="1"/>
  <c r="FZ807" i="15" s="1"/>
  <c r="FX811" i="15"/>
  <c r="FY811" i="15" s="1"/>
  <c r="FZ811" i="15" s="1"/>
  <c r="FX815" i="15"/>
  <c r="FY815" i="15" s="1"/>
  <c r="FZ815" i="15" s="1"/>
  <c r="FX819" i="15"/>
  <c r="FY819" i="15" s="1"/>
  <c r="FZ819" i="15" s="1"/>
  <c r="FX823" i="15"/>
  <c r="FY823" i="15" s="1"/>
  <c r="FZ823" i="15" s="1"/>
  <c r="FX827" i="15"/>
  <c r="FX831" i="15"/>
  <c r="FY831" i="15" s="1"/>
  <c r="FZ831" i="15" s="1"/>
  <c r="FX835" i="15"/>
  <c r="FY835" i="15" s="1"/>
  <c r="FZ835" i="15" s="1"/>
  <c r="FX839" i="15"/>
  <c r="FY839" i="15" s="1"/>
  <c r="FZ839" i="15" s="1"/>
  <c r="FX843" i="15"/>
  <c r="FY843" i="15" s="1"/>
  <c r="FZ843" i="15" s="1"/>
  <c r="FX847" i="15"/>
  <c r="FY847" i="15" s="1"/>
  <c r="FZ847" i="15" s="1"/>
  <c r="FX851" i="15"/>
  <c r="FY851" i="15" s="1"/>
  <c r="FZ851" i="15" s="1"/>
  <c r="FX855" i="15"/>
  <c r="FY855" i="15" s="1"/>
  <c r="FZ855" i="15" s="1"/>
  <c r="FX859" i="15"/>
  <c r="FY859" i="15" s="1"/>
  <c r="FZ859" i="15" s="1"/>
  <c r="FX642" i="15"/>
  <c r="FY642" i="15" s="1"/>
  <c r="FZ642" i="15" s="1"/>
  <c r="FX650" i="15"/>
  <c r="FY650" i="15" s="1"/>
  <c r="FZ650" i="15" s="1"/>
  <c r="FX658" i="15"/>
  <c r="FY658" i="15" s="1"/>
  <c r="FZ658" i="15" s="1"/>
  <c r="FX666" i="15"/>
  <c r="FY666" i="15" s="1"/>
  <c r="FZ666" i="15" s="1"/>
  <c r="FX674" i="15"/>
  <c r="FY674" i="15" s="1"/>
  <c r="FZ674" i="15" s="1"/>
  <c r="FX682" i="15"/>
  <c r="FY682" i="15" s="1"/>
  <c r="FZ682" i="15" s="1"/>
  <c r="FX690" i="15"/>
  <c r="FY690" i="15" s="1"/>
  <c r="FZ690" i="15" s="1"/>
  <c r="FX698" i="15"/>
  <c r="FY698" i="15" s="1"/>
  <c r="FZ698" i="15" s="1"/>
  <c r="FX706" i="15"/>
  <c r="FY706" i="15" s="1"/>
  <c r="FZ706" i="15" s="1"/>
  <c r="FX714" i="15"/>
  <c r="FY714" i="15" s="1"/>
  <c r="FX722" i="15"/>
  <c r="FY722" i="15" s="1"/>
  <c r="FZ722" i="15" s="1"/>
  <c r="FX730" i="15"/>
  <c r="FY730" i="15" s="1"/>
  <c r="FZ730" i="15" s="1"/>
  <c r="FX738" i="15"/>
  <c r="FY738" i="15" s="1"/>
  <c r="FZ738" i="15" s="1"/>
  <c r="FX744" i="15"/>
  <c r="FY744" i="15" s="1"/>
  <c r="FZ744" i="15" s="1"/>
  <c r="FX748" i="15"/>
  <c r="FY748" i="15" s="1"/>
  <c r="FZ748" i="15" s="1"/>
  <c r="FX752" i="15"/>
  <c r="FY752" i="15" s="1"/>
  <c r="FZ752" i="15" s="1"/>
  <c r="FX756" i="15"/>
  <c r="FY756" i="15" s="1"/>
  <c r="FZ756" i="15" s="1"/>
  <c r="FX758" i="15"/>
  <c r="FY758" i="15" s="1"/>
  <c r="FZ758" i="15" s="1"/>
  <c r="FX762" i="15"/>
  <c r="FY762" i="15" s="1"/>
  <c r="FZ762" i="15" s="1"/>
  <c r="FX766" i="15"/>
  <c r="FY766" i="15" s="1"/>
  <c r="FZ766" i="15" s="1"/>
  <c r="FX770" i="15"/>
  <c r="FY770" i="15" s="1"/>
  <c r="FZ770" i="15" s="1"/>
  <c r="FX776" i="15"/>
  <c r="FY776" i="15" s="1"/>
  <c r="FX780" i="15"/>
  <c r="FY780" i="15" s="1"/>
  <c r="FZ780" i="15" s="1"/>
  <c r="FX784" i="15"/>
  <c r="FY784" i="15" s="1"/>
  <c r="FZ784" i="15" s="1"/>
  <c r="FX788" i="15"/>
  <c r="FY788" i="15" s="1"/>
  <c r="FZ788" i="15" s="1"/>
  <c r="FX792" i="15"/>
  <c r="FY792" i="15" s="1"/>
  <c r="FZ792" i="15" s="1"/>
  <c r="FX796" i="15"/>
  <c r="FY796" i="15" s="1"/>
  <c r="FX800" i="15"/>
  <c r="FY800" i="15" s="1"/>
  <c r="FZ800" i="15" s="1"/>
  <c r="FX804" i="15"/>
  <c r="FY804" i="15" s="1"/>
  <c r="FZ804" i="15" s="1"/>
  <c r="FX808" i="15"/>
  <c r="FY808" i="15" s="1"/>
  <c r="FZ808" i="15" s="1"/>
  <c r="FX812" i="15"/>
  <c r="FY812" i="15" s="1"/>
  <c r="FZ812" i="15" s="1"/>
  <c r="FX816" i="15"/>
  <c r="FY816" i="15" s="1"/>
  <c r="FZ816" i="15" s="1"/>
  <c r="FX820" i="15"/>
  <c r="FY820" i="15" s="1"/>
  <c r="FZ820" i="15" s="1"/>
  <c r="FX824" i="15"/>
  <c r="FY824" i="15" s="1"/>
  <c r="FZ824" i="15" s="1"/>
  <c r="FX828" i="15"/>
  <c r="FY828" i="15" s="1"/>
  <c r="FX832" i="15"/>
  <c r="FY832" i="15" s="1"/>
  <c r="FZ832" i="15" s="1"/>
  <c r="FX836" i="15"/>
  <c r="FY836" i="15" s="1"/>
  <c r="FZ836" i="15" s="1"/>
  <c r="FX840" i="15"/>
  <c r="FY840" i="15" s="1"/>
  <c r="FZ840" i="15" s="1"/>
  <c r="FX844" i="15"/>
  <c r="FY844" i="15" s="1"/>
  <c r="FZ844" i="15" s="1"/>
  <c r="FX848" i="15"/>
  <c r="FY848" i="15" s="1"/>
  <c r="FZ848" i="15" s="1"/>
  <c r="FX852" i="15"/>
  <c r="FY852" i="15" s="1"/>
  <c r="FZ852" i="15" s="1"/>
  <c r="FX856" i="15"/>
  <c r="FY856" i="15" s="1"/>
  <c r="FZ856" i="15" s="1"/>
  <c r="FX860" i="15"/>
  <c r="FY860" i="15" s="1"/>
  <c r="FZ860" i="15" s="1"/>
  <c r="FX643" i="15"/>
  <c r="FY643" i="15" s="1"/>
  <c r="FZ643" i="15" s="1"/>
  <c r="FX651" i="15"/>
  <c r="FY651" i="15" s="1"/>
  <c r="FZ651" i="15" s="1"/>
  <c r="FX659" i="15"/>
  <c r="FY659" i="15" s="1"/>
  <c r="FZ659" i="15" s="1"/>
  <c r="FX667" i="15"/>
  <c r="FX675" i="15"/>
  <c r="FY675" i="15" s="1"/>
  <c r="FZ675" i="15" s="1"/>
  <c r="FX683" i="15"/>
  <c r="FY683" i="15" s="1"/>
  <c r="FZ683" i="15" s="1"/>
  <c r="FX691" i="15"/>
  <c r="FY691" i="15" s="1"/>
  <c r="FZ691" i="15" s="1"/>
  <c r="FX699" i="15"/>
  <c r="FY699" i="15" s="1"/>
  <c r="FZ699" i="15" s="1"/>
  <c r="FX707" i="15"/>
  <c r="FY707" i="15" s="1"/>
  <c r="FZ707" i="15" s="1"/>
  <c r="FX715" i="15"/>
  <c r="FY715" i="15" s="1"/>
  <c r="FZ715" i="15" s="1"/>
  <c r="FX723" i="15"/>
  <c r="FY723" i="15" s="1"/>
  <c r="FZ723" i="15" s="1"/>
  <c r="FX731" i="15"/>
  <c r="FX739" i="15"/>
  <c r="FY739" i="15" s="1"/>
  <c r="FZ739" i="15" s="1"/>
  <c r="FX745" i="15"/>
  <c r="FY745" i="15" s="1"/>
  <c r="FZ745" i="15" s="1"/>
  <c r="FX749" i="15"/>
  <c r="FY749" i="15" s="1"/>
  <c r="FZ749" i="15" s="1"/>
  <c r="FX753" i="15"/>
  <c r="FX757" i="15"/>
  <c r="FY757" i="15" s="1"/>
  <c r="FZ757" i="15" s="1"/>
  <c r="FX759" i="15"/>
  <c r="FY759" i="15" s="1"/>
  <c r="FZ759" i="15" s="1"/>
  <c r="FX763" i="15"/>
  <c r="FY763" i="15" s="1"/>
  <c r="FZ763" i="15" s="1"/>
  <c r="FX767" i="15"/>
  <c r="FY767" i="15" s="1"/>
  <c r="FZ767" i="15" s="1"/>
  <c r="FX771" i="15"/>
  <c r="FY771" i="15" s="1"/>
  <c r="FZ771" i="15" s="1"/>
  <c r="FX777" i="15"/>
  <c r="FY777" i="15" s="1"/>
  <c r="FZ777" i="15" s="1"/>
  <c r="FX781" i="15"/>
  <c r="FY781" i="15" s="1"/>
  <c r="FZ781" i="15" s="1"/>
  <c r="FX785" i="15"/>
  <c r="FY785" i="15" s="1"/>
  <c r="FZ785" i="15" s="1"/>
  <c r="FX789" i="15"/>
  <c r="FY789" i="15" s="1"/>
  <c r="FZ789" i="15" s="1"/>
  <c r="FX793" i="15"/>
  <c r="FY793" i="15" s="1"/>
  <c r="FZ793" i="15" s="1"/>
  <c r="FX797" i="15"/>
  <c r="FY797" i="15" s="1"/>
  <c r="FZ797" i="15" s="1"/>
  <c r="FX801" i="15"/>
  <c r="FY801" i="15" s="1"/>
  <c r="FZ801" i="15" s="1"/>
  <c r="FX805" i="15"/>
  <c r="FY805" i="15" s="1"/>
  <c r="FZ805" i="15" s="1"/>
  <c r="FX809" i="15"/>
  <c r="FY809" i="15" s="1"/>
  <c r="FZ809" i="15" s="1"/>
  <c r="FX813" i="15"/>
  <c r="FY813" i="15" s="1"/>
  <c r="FZ813" i="15" s="1"/>
  <c r="FX817" i="15"/>
  <c r="FY817" i="15" s="1"/>
  <c r="FZ817" i="15" s="1"/>
  <c r="FX821" i="15"/>
  <c r="FY821" i="15" s="1"/>
  <c r="FZ821" i="15" s="1"/>
  <c r="FX825" i="15"/>
  <c r="FY825" i="15" s="1"/>
  <c r="FZ825" i="15" s="1"/>
  <c r="FX829" i="15"/>
  <c r="FY829" i="15" s="1"/>
  <c r="FZ829" i="15" s="1"/>
  <c r="FX833" i="15"/>
  <c r="FY833" i="15" s="1"/>
  <c r="FZ833" i="15" s="1"/>
  <c r="FX837" i="15"/>
  <c r="FY837" i="15" s="1"/>
  <c r="FZ837" i="15" s="1"/>
  <c r="FX841" i="15"/>
  <c r="FY841" i="15" s="1"/>
  <c r="FZ841" i="15" s="1"/>
  <c r="FX845" i="15"/>
  <c r="FY845" i="15" s="1"/>
  <c r="FZ845" i="15" s="1"/>
  <c r="FX849" i="15"/>
  <c r="FY849" i="15" s="1"/>
  <c r="FZ849" i="15" s="1"/>
  <c r="FX853" i="15"/>
  <c r="FY853" i="15" s="1"/>
  <c r="FZ853" i="15" s="1"/>
  <c r="FX857" i="15"/>
  <c r="FY857" i="15" s="1"/>
  <c r="FZ857" i="15" s="1"/>
  <c r="FX861" i="15"/>
  <c r="FY861" i="15" s="1"/>
  <c r="FZ861" i="15" s="1"/>
  <c r="FV6" i="15"/>
  <c r="FW6" i="15" s="1"/>
  <c r="FV8" i="15"/>
  <c r="FW8" i="15" s="1"/>
  <c r="FV9" i="15"/>
  <c r="FW9" i="15" s="1"/>
  <c r="AC279" i="1"/>
  <c r="AI279" i="1"/>
  <c r="AC274" i="1"/>
  <c r="AD274" i="1"/>
  <c r="AI274" i="1" s="1"/>
  <c r="AC272" i="1"/>
  <c r="AD272" i="1"/>
  <c r="AI272" i="1" s="1"/>
  <c r="AC270" i="1"/>
  <c r="AI270" i="1"/>
  <c r="AC268" i="1"/>
  <c r="AC266" i="1"/>
  <c r="AD266" i="1"/>
  <c r="AI266" i="1" s="1"/>
  <c r="AI268" i="1"/>
  <c r="AD263" i="1"/>
  <c r="AI263" i="1" s="1"/>
  <c r="AC263" i="1"/>
  <c r="AI254" i="1"/>
  <c r="AD261" i="1"/>
  <c r="AI261" i="1" s="1"/>
  <c r="AC261" i="1"/>
  <c r="FN714" i="15"/>
  <c r="FO714" i="15" s="1"/>
  <c r="FN578" i="15"/>
  <c r="FO578" i="15" s="1"/>
  <c r="FR6" i="15"/>
  <c r="FS6" i="15" s="1"/>
  <c r="FR13" i="15"/>
  <c r="FR17" i="15"/>
  <c r="FR21" i="15"/>
  <c r="FR25" i="15"/>
  <c r="FR29" i="15"/>
  <c r="FR36" i="15"/>
  <c r="FR40" i="15"/>
  <c r="FR43" i="15"/>
  <c r="FR47" i="15"/>
  <c r="FR51" i="15"/>
  <c r="FR55" i="15"/>
  <c r="FR59" i="15"/>
  <c r="FR63" i="15"/>
  <c r="FR66" i="15"/>
  <c r="FR70" i="15"/>
  <c r="FR74" i="15"/>
  <c r="FR78" i="15"/>
  <c r="FR85" i="15"/>
  <c r="FR89" i="15"/>
  <c r="FR92" i="15"/>
  <c r="FR100" i="15"/>
  <c r="FR104" i="15"/>
  <c r="FR108" i="15"/>
  <c r="FR112" i="15"/>
  <c r="FR116" i="15"/>
  <c r="FR120" i="15"/>
  <c r="FR127" i="15"/>
  <c r="FR131" i="15"/>
  <c r="FR135" i="15"/>
  <c r="FR139" i="15"/>
  <c r="FR146" i="15"/>
  <c r="FR150" i="15"/>
  <c r="FR154" i="15"/>
  <c r="FR158" i="15"/>
  <c r="FR162" i="15"/>
  <c r="FR166" i="15"/>
  <c r="FR169" i="15"/>
  <c r="FR173" i="15"/>
  <c r="FR177" i="15"/>
  <c r="FR181" i="15"/>
  <c r="FR185" i="15"/>
  <c r="FR192" i="15"/>
  <c r="FR196" i="15"/>
  <c r="FR200" i="15"/>
  <c r="FR204" i="15"/>
  <c r="FR208" i="15"/>
  <c r="FR212" i="15"/>
  <c r="FR216" i="15"/>
  <c r="FR223" i="15"/>
  <c r="FR227" i="15"/>
  <c r="FR234" i="15"/>
  <c r="FR238" i="15"/>
  <c r="FR242" i="15"/>
  <c r="FR246" i="15"/>
  <c r="FR253" i="15"/>
  <c r="FR257" i="15"/>
  <c r="FR261" i="15"/>
  <c r="FR265" i="15"/>
  <c r="FR272" i="15"/>
  <c r="FR276" i="15"/>
  <c r="FR280" i="15"/>
  <c r="FR284" i="15"/>
  <c r="FR288" i="15"/>
  <c r="FR292" i="15"/>
  <c r="FR296" i="15"/>
  <c r="FR300" i="15"/>
  <c r="FS300" i="15" s="1"/>
  <c r="FR303" i="15"/>
  <c r="FR307" i="15"/>
  <c r="FR311" i="15"/>
  <c r="FR315" i="15"/>
  <c r="FR319" i="15"/>
  <c r="FR323" i="15"/>
  <c r="FR326" i="15"/>
  <c r="FR10" i="15"/>
  <c r="FR14" i="15"/>
  <c r="FR18" i="15"/>
  <c r="FR22" i="15"/>
  <c r="FR26" i="15"/>
  <c r="FR30" i="15"/>
  <c r="FR34" i="15"/>
  <c r="FS34" i="15" s="1"/>
  <c r="FR37" i="15"/>
  <c r="FR44" i="15"/>
  <c r="FR48" i="15"/>
  <c r="FR52" i="15"/>
  <c r="FR56" i="15"/>
  <c r="FR60" i="15"/>
  <c r="FR67" i="15"/>
  <c r="FR71" i="15"/>
  <c r="FR75" i="15"/>
  <c r="FR79" i="15"/>
  <c r="FR83" i="15"/>
  <c r="FS83" i="15" s="1"/>
  <c r="FR86" i="15"/>
  <c r="FR90" i="15"/>
  <c r="FR94" i="15"/>
  <c r="FR98" i="15"/>
  <c r="FS98" i="15" s="1"/>
  <c r="FR101" i="15"/>
  <c r="FR105" i="15"/>
  <c r="FR109" i="15"/>
  <c r="FR113" i="15"/>
  <c r="FR117" i="15"/>
  <c r="FR121" i="15"/>
  <c r="FR125" i="15"/>
  <c r="FS125" i="15" s="1"/>
  <c r="FR128" i="15"/>
  <c r="FR132" i="15"/>
  <c r="FR136" i="15"/>
  <c r="FR140" i="15"/>
  <c r="FR144" i="15"/>
  <c r="FS144" i="15" s="1"/>
  <c r="FR147" i="15"/>
  <c r="FR151" i="15"/>
  <c r="FR155" i="15"/>
  <c r="FR159" i="15"/>
  <c r="FR163" i="15"/>
  <c r="FR170" i="15"/>
  <c r="FR174" i="15"/>
  <c r="FR178" i="15"/>
  <c r="FR182" i="15"/>
  <c r="FR186" i="15"/>
  <c r="FR190" i="15"/>
  <c r="FS190" i="15" s="1"/>
  <c r="FR193" i="15"/>
  <c r="FR197" i="15"/>
  <c r="FR201" i="15"/>
  <c r="FR205" i="15"/>
  <c r="FR209" i="15"/>
  <c r="FR213" i="15"/>
  <c r="FR217" i="15"/>
  <c r="FR220" i="15"/>
  <c r="FR224" i="15"/>
  <c r="FR228" i="15"/>
  <c r="FR232" i="15"/>
  <c r="FS232" i="15" s="1"/>
  <c r="FR235" i="15"/>
  <c r="FR239" i="15"/>
  <c r="FR243" i="15"/>
  <c r="FR247" i="15"/>
  <c r="FR251" i="15"/>
  <c r="FS251" i="15" s="1"/>
  <c r="FR254" i="15"/>
  <c r="FR258" i="15"/>
  <c r="FR262" i="15"/>
  <c r="FR266" i="15"/>
  <c r="FR270" i="15"/>
  <c r="FS270" i="15" s="1"/>
  <c r="FR273" i="15"/>
  <c r="FR277" i="15"/>
  <c r="FR281" i="15"/>
  <c r="FR285" i="15"/>
  <c r="FR289" i="15"/>
  <c r="FR293" i="15"/>
  <c r="FR297" i="15"/>
  <c r="FR304" i="15"/>
  <c r="FR308" i="15"/>
  <c r="FR312" i="15"/>
  <c r="FR316" i="15"/>
  <c r="FR320" i="15"/>
  <c r="FR327" i="15"/>
  <c r="FR8" i="15"/>
  <c r="FS8" i="15" s="1"/>
  <c r="FR15" i="15"/>
  <c r="FR23" i="15"/>
  <c r="FR31" i="15"/>
  <c r="FR38" i="15"/>
  <c r="FR45" i="15"/>
  <c r="FR53" i="15"/>
  <c r="FR61" i="15"/>
  <c r="FR68" i="15"/>
  <c r="FR76" i="15"/>
  <c r="FR91" i="15"/>
  <c r="FR106" i="15"/>
  <c r="FR114" i="15"/>
  <c r="FR122" i="15"/>
  <c r="FR129" i="15"/>
  <c r="FR137" i="15"/>
  <c r="FR145" i="15"/>
  <c r="FS145" i="15" s="1"/>
  <c r="FR152" i="15"/>
  <c r="FR160" i="15"/>
  <c r="FR168" i="15"/>
  <c r="FS168" i="15" s="1"/>
  <c r="FR175" i="15"/>
  <c r="FR183" i="15"/>
  <c r="FR198" i="15"/>
  <c r="FR206" i="15"/>
  <c r="FR214" i="15"/>
  <c r="FR221" i="15"/>
  <c r="FR229" i="15"/>
  <c r="FR236" i="15"/>
  <c r="FR244" i="15"/>
  <c r="FR259" i="15"/>
  <c r="FR267" i="15"/>
  <c r="FR275" i="15"/>
  <c r="FR282" i="15"/>
  <c r="FR290" i="15"/>
  <c r="FR298" i="15"/>
  <c r="FR305" i="15"/>
  <c r="FR313" i="15"/>
  <c r="FR321" i="15"/>
  <c r="FR328" i="15"/>
  <c r="FR332" i="15"/>
  <c r="FR336" i="15"/>
  <c r="FR340" i="15"/>
  <c r="FR344" i="15"/>
  <c r="FR348" i="15"/>
  <c r="FR352" i="15"/>
  <c r="FR356" i="15"/>
  <c r="FR360" i="15"/>
  <c r="FR364" i="15"/>
  <c r="FR368" i="15"/>
  <c r="FR375" i="15"/>
  <c r="FR379" i="15"/>
  <c r="FR383" i="15"/>
  <c r="FR387" i="15"/>
  <c r="FR391" i="15"/>
  <c r="FR395" i="15"/>
  <c r="FR399" i="15"/>
  <c r="FR403" i="15"/>
  <c r="FR407" i="15"/>
  <c r="FS407" i="15" s="1"/>
  <c r="FR410" i="15"/>
  <c r="FR414" i="15"/>
  <c r="FR418" i="15"/>
  <c r="FR422" i="15"/>
  <c r="FR426" i="15"/>
  <c r="FR430" i="15"/>
  <c r="FS430" i="15" s="1"/>
  <c r="FR433" i="15"/>
  <c r="FR437" i="15"/>
  <c r="FR441" i="15"/>
  <c r="FR445" i="15"/>
  <c r="FR449" i="15"/>
  <c r="FR453" i="15"/>
  <c r="FR456" i="15"/>
  <c r="FR460" i="15"/>
  <c r="FR464" i="15"/>
  <c r="FR468" i="15"/>
  <c r="FR472" i="15"/>
  <c r="FS472" i="15" s="1"/>
  <c r="FR475" i="15"/>
  <c r="FR479" i="15"/>
  <c r="FR483" i="15"/>
  <c r="FR487" i="15"/>
  <c r="FR491" i="15"/>
  <c r="FS491" i="15" s="1"/>
  <c r="FR494" i="15"/>
  <c r="FR498" i="15"/>
  <c r="FR502" i="15"/>
  <c r="FR506" i="15"/>
  <c r="FR510" i="15"/>
  <c r="FR514" i="15"/>
  <c r="FS514" i="15" s="1"/>
  <c r="FR517" i="15"/>
  <c r="FR521" i="15"/>
  <c r="FR525" i="15"/>
  <c r="FR529" i="15"/>
  <c r="FS529" i="15" s="1"/>
  <c r="FR532" i="15"/>
  <c r="FR536" i="15"/>
  <c r="FR540" i="15"/>
  <c r="FR544" i="15"/>
  <c r="FR548" i="15"/>
  <c r="FS548" i="15" s="1"/>
  <c r="FR551" i="15"/>
  <c r="FR555" i="15"/>
  <c r="FR559" i="15"/>
  <c r="FR563" i="15"/>
  <c r="FR567" i="15"/>
  <c r="FR571" i="15"/>
  <c r="FR575" i="15"/>
  <c r="FR582" i="15"/>
  <c r="FR586" i="15"/>
  <c r="FR590" i="15"/>
  <c r="FR594" i="15"/>
  <c r="FR598" i="15"/>
  <c r="FR602" i="15"/>
  <c r="FR606" i="15"/>
  <c r="FR613" i="15"/>
  <c r="FR617" i="15"/>
  <c r="FR621" i="15"/>
  <c r="FS621" i="15" s="1"/>
  <c r="FR624" i="15"/>
  <c r="FR628" i="15"/>
  <c r="FR632" i="15"/>
  <c r="FR636" i="15"/>
  <c r="FR643" i="15"/>
  <c r="FR647" i="15"/>
  <c r="FR651" i="15"/>
  <c r="FR655" i="15"/>
  <c r="FR659" i="15"/>
  <c r="FR663" i="15"/>
  <c r="FR670" i="15"/>
  <c r="FR674" i="15"/>
  <c r="FR678" i="15"/>
  <c r="FR682" i="15"/>
  <c r="FR686" i="15"/>
  <c r="FR689" i="15"/>
  <c r="FR693" i="15"/>
  <c r="FR697" i="15"/>
  <c r="FR701" i="15"/>
  <c r="FR705" i="15"/>
  <c r="FR709" i="15"/>
  <c r="FR713" i="15"/>
  <c r="FS713" i="15" s="1"/>
  <c r="FR716" i="15"/>
  <c r="FR720" i="15"/>
  <c r="FR724" i="15"/>
  <c r="FR728" i="15"/>
  <c r="FR732" i="15"/>
  <c r="FS732" i="15" s="1"/>
  <c r="FR735" i="15"/>
  <c r="FR739" i="15"/>
  <c r="FR743" i="15"/>
  <c r="FR747" i="15"/>
  <c r="FR751" i="15"/>
  <c r="FR773" i="15"/>
  <c r="FR760" i="15"/>
  <c r="FR764" i="15"/>
  <c r="FR768" i="15"/>
  <c r="FR772" i="15"/>
  <c r="FR777" i="15"/>
  <c r="FR781" i="15"/>
  <c r="FR785" i="15"/>
  <c r="FR789" i="15"/>
  <c r="FR793" i="15"/>
  <c r="FR800" i="15"/>
  <c r="FR804" i="15"/>
  <c r="FR808" i="15"/>
  <c r="FR812" i="15"/>
  <c r="FR816" i="15"/>
  <c r="FR9" i="15"/>
  <c r="FS9" i="15" s="1"/>
  <c r="FR19" i="15"/>
  <c r="FR28" i="15"/>
  <c r="FR39" i="15"/>
  <c r="FR49" i="15"/>
  <c r="FR58" i="15"/>
  <c r="FR69" i="15"/>
  <c r="FR80" i="15"/>
  <c r="FR88" i="15"/>
  <c r="FR99" i="15"/>
  <c r="FR110" i="15"/>
  <c r="FR119" i="15"/>
  <c r="FR130" i="15"/>
  <c r="FR141" i="15"/>
  <c r="FR149" i="15"/>
  <c r="FR161" i="15"/>
  <c r="FR171" i="15"/>
  <c r="FR180" i="15"/>
  <c r="FR191" i="15"/>
  <c r="FR202" i="15"/>
  <c r="FR211" i="15"/>
  <c r="FR222" i="15"/>
  <c r="FR241" i="15"/>
  <c r="FR252" i="15"/>
  <c r="FR263" i="15"/>
  <c r="FR283" i="15"/>
  <c r="FR294" i="15"/>
  <c r="FR302" i="15"/>
  <c r="FR314" i="15"/>
  <c r="FR325" i="15"/>
  <c r="FS325" i="15" s="1"/>
  <c r="FR331" i="15"/>
  <c r="FR337" i="15"/>
  <c r="FR342" i="15"/>
  <c r="FR347" i="15"/>
  <c r="FR353" i="15"/>
  <c r="FR358" i="15"/>
  <c r="FR363" i="15"/>
  <c r="FR369" i="15"/>
  <c r="FR373" i="15"/>
  <c r="FR378" i="15"/>
  <c r="FR384" i="15"/>
  <c r="FR389" i="15"/>
  <c r="FR394" i="15"/>
  <c r="FR400" i="15"/>
  <c r="FR405" i="15"/>
  <c r="FR409" i="15"/>
  <c r="FR415" i="15"/>
  <c r="FR420" i="15"/>
  <c r="FR425" i="15"/>
  <c r="FR435" i="15"/>
  <c r="FR440" i="15"/>
  <c r="FR446" i="15"/>
  <c r="FR451" i="15"/>
  <c r="FR461" i="15"/>
  <c r="FR466" i="15"/>
  <c r="FR471" i="15"/>
  <c r="FS471" i="15" s="1"/>
  <c r="FR476" i="15"/>
  <c r="FR481" i="15"/>
  <c r="FR486" i="15"/>
  <c r="FR496" i="15"/>
  <c r="FR501" i="15"/>
  <c r="FR507" i="15"/>
  <c r="FR512" i="15"/>
  <c r="FR516" i="15"/>
  <c r="FR522" i="15"/>
  <c r="FR527" i="15"/>
  <c r="FR531" i="15"/>
  <c r="FR537" i="15"/>
  <c r="FR542" i="15"/>
  <c r="FR552" i="15"/>
  <c r="FR557" i="15"/>
  <c r="FR562" i="15"/>
  <c r="FR568" i="15"/>
  <c r="FR574" i="15"/>
  <c r="FR578" i="15"/>
  <c r="FS578" i="15" s="1"/>
  <c r="FR583" i="15"/>
  <c r="FR588" i="15"/>
  <c r="FR593" i="15"/>
  <c r="FR599" i="15"/>
  <c r="FR604" i="15"/>
  <c r="FR609" i="15"/>
  <c r="FR614" i="15"/>
  <c r="FR619" i="15"/>
  <c r="FR623" i="15"/>
  <c r="FR629" i="15"/>
  <c r="FR634" i="15"/>
  <c r="FR639" i="15"/>
  <c r="FR644" i="15"/>
  <c r="FR649" i="15"/>
  <c r="FR654" i="15"/>
  <c r="FR660" i="15"/>
  <c r="FR665" i="15"/>
  <c r="FR669" i="15"/>
  <c r="FR675" i="15"/>
  <c r="FR680" i="15"/>
  <c r="FR685" i="15"/>
  <c r="FR690" i="15"/>
  <c r="FR695" i="15"/>
  <c r="FR700" i="15"/>
  <c r="FR706" i="15"/>
  <c r="FR711" i="15"/>
  <c r="FR715" i="15"/>
  <c r="FR721" i="15"/>
  <c r="FR726" i="15"/>
  <c r="FR736" i="15"/>
  <c r="FR741" i="15"/>
  <c r="FR746" i="15"/>
  <c r="FR752" i="15"/>
  <c r="FR756" i="15"/>
  <c r="FR759" i="15"/>
  <c r="FR765" i="15"/>
  <c r="FR770" i="15"/>
  <c r="FR782" i="15"/>
  <c r="FR787" i="15"/>
  <c r="FR792" i="15"/>
  <c r="FR797" i="15"/>
  <c r="FR802" i="15"/>
  <c r="FR807" i="15"/>
  <c r="FR813" i="15"/>
  <c r="FR818" i="15"/>
  <c r="FR822" i="15"/>
  <c r="FR826" i="15"/>
  <c r="FR829" i="15"/>
  <c r="FR833" i="15"/>
  <c r="FR837" i="15"/>
  <c r="FR841" i="15"/>
  <c r="FR845" i="15"/>
  <c r="FR849" i="15"/>
  <c r="FR853" i="15"/>
  <c r="FR857" i="15"/>
  <c r="FR861" i="15"/>
  <c r="FR11" i="15"/>
  <c r="FR20" i="15"/>
  <c r="FR32" i="15"/>
  <c r="FR42" i="15"/>
  <c r="FS42" i="15" s="1"/>
  <c r="FR50" i="15"/>
  <c r="FR62" i="15"/>
  <c r="FR72" i="15"/>
  <c r="FR81" i="15"/>
  <c r="FR93" i="15"/>
  <c r="FR102" i="15"/>
  <c r="FR111" i="15"/>
  <c r="FR123" i="15"/>
  <c r="FR133" i="15"/>
  <c r="FR142" i="15"/>
  <c r="FR153" i="15"/>
  <c r="FR164" i="15"/>
  <c r="FR172" i="15"/>
  <c r="FR184" i="15"/>
  <c r="FR194" i="15"/>
  <c r="FR203" i="15"/>
  <c r="FR215" i="15"/>
  <c r="FR225" i="15"/>
  <c r="FR233" i="15"/>
  <c r="FR245" i="15"/>
  <c r="FR255" i="15"/>
  <c r="FR264" i="15"/>
  <c r="FR274" i="15"/>
  <c r="FR286" i="15"/>
  <c r="FR295" i="15"/>
  <c r="FR306" i="15"/>
  <c r="FR317" i="15"/>
  <c r="FR333" i="15"/>
  <c r="FR338" i="15"/>
  <c r="FR343" i="15"/>
  <c r="FR349" i="15"/>
  <c r="FR354" i="15"/>
  <c r="FR359" i="15"/>
  <c r="FR365" i="15"/>
  <c r="FR374" i="15"/>
  <c r="FR380" i="15"/>
  <c r="FR385" i="15"/>
  <c r="FR390" i="15"/>
  <c r="FR396" i="15"/>
  <c r="FR401" i="15"/>
  <c r="FR411" i="15"/>
  <c r="FR416" i="15"/>
  <c r="FR421" i="15"/>
  <c r="FR427" i="15"/>
  <c r="FR431" i="15"/>
  <c r="FR436" i="15"/>
  <c r="FR442" i="15"/>
  <c r="FR447" i="15"/>
  <c r="FR452" i="15"/>
  <c r="FR457" i="15"/>
  <c r="FR462" i="15"/>
  <c r="FR467" i="15"/>
  <c r="FR477" i="15"/>
  <c r="FR482" i="15"/>
  <c r="FR488" i="15"/>
  <c r="FR492" i="15"/>
  <c r="FR497" i="15"/>
  <c r="FR503" i="15"/>
  <c r="FR508" i="15"/>
  <c r="FR518" i="15"/>
  <c r="FR523" i="15"/>
  <c r="FR533" i="15"/>
  <c r="FR538" i="15"/>
  <c r="FR543" i="15"/>
  <c r="FR553" i="15"/>
  <c r="FR558" i="15"/>
  <c r="FR564" i="15"/>
  <c r="FR569" i="15"/>
  <c r="FR572" i="15"/>
  <c r="FR579" i="15"/>
  <c r="FR584" i="15"/>
  <c r="FR589" i="15"/>
  <c r="FR595" i="15"/>
  <c r="FR600" i="15"/>
  <c r="FR605" i="15"/>
  <c r="FR611" i="15"/>
  <c r="FS611" i="15" s="1"/>
  <c r="FR615" i="15"/>
  <c r="FR625" i="15"/>
  <c r="FR630" i="15"/>
  <c r="FR635" i="15"/>
  <c r="FR641" i="15"/>
  <c r="FS641" i="15" s="1"/>
  <c r="FR645" i="15"/>
  <c r="FR650" i="15"/>
  <c r="FR656" i="15"/>
  <c r="FR661" i="15"/>
  <c r="FR666" i="15"/>
  <c r="FR671" i="15"/>
  <c r="FR676" i="15"/>
  <c r="FR681" i="15"/>
  <c r="FR691" i="15"/>
  <c r="FR696" i="15"/>
  <c r="FR702" i="15"/>
  <c r="FR707" i="15"/>
  <c r="FR717" i="15"/>
  <c r="FR722" i="15"/>
  <c r="FR727" i="15"/>
  <c r="FR737" i="15"/>
  <c r="FR742" i="15"/>
  <c r="FR748" i="15"/>
  <c r="FR757" i="15"/>
  <c r="FR761" i="15"/>
  <c r="FR766" i="15"/>
  <c r="FR771" i="15"/>
  <c r="FR778" i="15"/>
  <c r="FR783" i="15"/>
  <c r="FR788" i="15"/>
  <c r="FR794" i="15"/>
  <c r="FR798" i="15"/>
  <c r="FR803" i="15"/>
  <c r="FR809" i="15"/>
  <c r="FR814" i="15"/>
  <c r="FR819" i="15"/>
  <c r="FR823" i="15"/>
  <c r="FR830" i="15"/>
  <c r="FR834" i="15"/>
  <c r="FR838" i="15"/>
  <c r="FR842" i="15"/>
  <c r="FR846" i="15"/>
  <c r="FR850" i="15"/>
  <c r="FR854" i="15"/>
  <c r="FR858" i="15"/>
  <c r="FR12" i="15"/>
  <c r="FR24" i="15"/>
  <c r="FR54" i="15"/>
  <c r="FR65" i="15"/>
  <c r="FS65" i="15" s="1"/>
  <c r="FR73" i="15"/>
  <c r="FR84" i="15"/>
  <c r="FR95" i="15"/>
  <c r="FR103" i="15"/>
  <c r="FR115" i="15"/>
  <c r="FR134" i="15"/>
  <c r="FR156" i="15"/>
  <c r="FR165" i="15"/>
  <c r="FR176" i="15"/>
  <c r="FR187" i="15"/>
  <c r="FR195" i="15"/>
  <c r="FR207" i="15"/>
  <c r="FR226" i="15"/>
  <c r="FR237" i="15"/>
  <c r="FR248" i="15"/>
  <c r="FR256" i="15"/>
  <c r="FR268" i="15"/>
  <c r="FR278" i="15"/>
  <c r="FR287" i="15"/>
  <c r="FR309" i="15"/>
  <c r="FR318" i="15"/>
  <c r="FR329" i="15"/>
  <c r="FR334" i="15"/>
  <c r="FR339" i="15"/>
  <c r="FR345" i="15"/>
  <c r="FR350" i="15"/>
  <c r="FR355" i="15"/>
  <c r="FR361" i="15"/>
  <c r="FR366" i="15"/>
  <c r="FR371" i="15"/>
  <c r="FS371" i="15" s="1"/>
  <c r="FR376" i="15"/>
  <c r="FR381" i="15"/>
  <c r="FR386" i="15"/>
  <c r="FR392" i="15"/>
  <c r="FR397" i="15"/>
  <c r="FR402" i="15"/>
  <c r="FR412" i="15"/>
  <c r="FR417" i="15"/>
  <c r="FR423" i="15"/>
  <c r="FR428" i="15"/>
  <c r="FR432" i="15"/>
  <c r="FR438" i="15"/>
  <c r="FR443" i="15"/>
  <c r="FR448" i="15"/>
  <c r="FR458" i="15"/>
  <c r="FR463" i="15"/>
  <c r="FR469" i="15"/>
  <c r="FR473" i="15"/>
  <c r="FR478" i="15"/>
  <c r="FR484" i="15"/>
  <c r="FR489" i="15"/>
  <c r="FR493" i="15"/>
  <c r="FR16" i="15"/>
  <c r="FR57" i="15"/>
  <c r="FR96" i="15"/>
  <c r="FR138" i="15"/>
  <c r="FR179" i="15"/>
  <c r="FR219" i="15"/>
  <c r="FS219" i="15" s="1"/>
  <c r="FR260" i="15"/>
  <c r="FR301" i="15"/>
  <c r="FR335" i="15"/>
  <c r="FR357" i="15"/>
  <c r="FR377" i="15"/>
  <c r="FR398" i="15"/>
  <c r="FR419" i="15"/>
  <c r="FR439" i="15"/>
  <c r="FR459" i="15"/>
  <c r="FR480" i="15"/>
  <c r="FR499" i="15"/>
  <c r="FR509" i="15"/>
  <c r="FR519" i="15"/>
  <c r="FR539" i="15"/>
  <c r="FR549" i="15"/>
  <c r="FR560" i="15"/>
  <c r="FR570" i="15"/>
  <c r="FR580" i="15"/>
  <c r="FR591" i="15"/>
  <c r="FR601" i="15"/>
  <c r="FR631" i="15"/>
  <c r="FR652" i="15"/>
  <c r="FR662" i="15"/>
  <c r="FR672" i="15"/>
  <c r="FR683" i="15"/>
  <c r="FR692" i="15"/>
  <c r="FR703" i="15"/>
  <c r="FR714" i="15"/>
  <c r="FS714" i="15" s="1"/>
  <c r="FR723" i="15"/>
  <c r="FR733" i="15"/>
  <c r="FR744" i="15"/>
  <c r="FR754" i="15"/>
  <c r="FS754" i="15" s="1"/>
  <c r="FR762" i="15"/>
  <c r="FR784" i="15"/>
  <c r="FR805" i="15"/>
  <c r="FR815" i="15"/>
  <c r="FR824" i="15"/>
  <c r="FR831" i="15"/>
  <c r="FR839" i="15"/>
  <c r="FR847" i="15"/>
  <c r="FR855" i="15"/>
  <c r="FR27" i="15"/>
  <c r="FR107" i="15"/>
  <c r="FR148" i="15"/>
  <c r="FR188" i="15"/>
  <c r="FR230" i="15"/>
  <c r="FR271" i="15"/>
  <c r="FS271" i="15" s="1"/>
  <c r="FR310" i="15"/>
  <c r="FR341" i="15"/>
  <c r="FR362" i="15"/>
  <c r="FR382" i="15"/>
  <c r="FR404" i="15"/>
  <c r="FR424" i="15"/>
  <c r="FR444" i="15"/>
  <c r="FR465" i="15"/>
  <c r="FR485" i="15"/>
  <c r="FR500" i="15"/>
  <c r="FR511" i="15"/>
  <c r="FR520" i="15"/>
  <c r="FR530" i="15"/>
  <c r="FR541" i="15"/>
  <c r="FR550" i="15"/>
  <c r="FR561" i="15"/>
  <c r="FR573" i="15"/>
  <c r="FR581" i="15"/>
  <c r="FR592" i="15"/>
  <c r="FR603" i="15"/>
  <c r="FR612" i="15"/>
  <c r="FR622" i="15"/>
  <c r="FR633" i="15"/>
  <c r="FR642" i="15"/>
  <c r="FR653" i="15"/>
  <c r="FR664" i="15"/>
  <c r="FR673" i="15"/>
  <c r="FR684" i="15"/>
  <c r="FR694" i="15"/>
  <c r="FR704" i="15"/>
  <c r="FR725" i="15"/>
  <c r="FR734" i="15"/>
  <c r="FR745" i="15"/>
  <c r="FR755" i="15"/>
  <c r="FR763" i="15"/>
  <c r="FR776" i="15"/>
  <c r="FS776" i="15" s="1"/>
  <c r="FR786" i="15"/>
  <c r="FR796" i="15"/>
  <c r="FS796" i="15" s="1"/>
  <c r="FR806" i="15"/>
  <c r="FR817" i="15"/>
  <c r="FR825" i="15"/>
  <c r="FR832" i="15"/>
  <c r="FR840" i="15"/>
  <c r="FR848" i="15"/>
  <c r="FR856" i="15"/>
  <c r="FR35" i="15"/>
  <c r="FR77" i="15"/>
  <c r="FR118" i="15"/>
  <c r="FR157" i="15"/>
  <c r="FR199" i="15"/>
  <c r="FR240" i="15"/>
  <c r="FR279" i="15"/>
  <c r="FR322" i="15"/>
  <c r="FR346" i="15"/>
  <c r="FR367" i="15"/>
  <c r="FR388" i="15"/>
  <c r="FR408" i="15"/>
  <c r="FR450" i="15"/>
  <c r="FR504" i="15"/>
  <c r="FR524" i="15"/>
  <c r="FR534" i="15"/>
  <c r="FR545" i="15"/>
  <c r="FR554" i="15"/>
  <c r="FR565" i="15"/>
  <c r="FR585" i="15"/>
  <c r="FR596" i="15"/>
  <c r="FR607" i="15"/>
  <c r="FR616" i="15"/>
  <c r="FR626" i="15"/>
  <c r="FR637" i="15"/>
  <c r="FR646" i="15"/>
  <c r="FR657" i="15"/>
  <c r="FR668" i="15"/>
  <c r="FS668" i="15" s="1"/>
  <c r="FR677" i="15"/>
  <c r="FR688" i="15"/>
  <c r="FS688" i="15" s="1"/>
  <c r="FR698" i="15"/>
  <c r="FR708" i="15"/>
  <c r="FR718" i="15"/>
  <c r="FR729" i="15"/>
  <c r="FR738" i="15"/>
  <c r="FR749" i="15"/>
  <c r="FR774" i="15"/>
  <c r="FR767" i="15"/>
  <c r="FR779" i="15"/>
  <c r="FR790" i="15"/>
  <c r="FR799" i="15"/>
  <c r="FR810" i="15"/>
  <c r="FR820" i="15"/>
  <c r="FR828" i="15"/>
  <c r="FS828" i="15" s="1"/>
  <c r="FR835" i="15"/>
  <c r="FR843" i="15"/>
  <c r="FR851" i="15"/>
  <c r="FR859" i="15"/>
  <c r="FR46" i="15"/>
  <c r="FR87" i="15"/>
  <c r="FR126" i="15"/>
  <c r="FR210" i="15"/>
  <c r="FR291" i="15"/>
  <c r="FR330" i="15"/>
  <c r="FR351" i="15"/>
  <c r="FR372" i="15"/>
  <c r="FR393" i="15"/>
  <c r="FR413" i="15"/>
  <c r="FR434" i="15"/>
  <c r="FR455" i="15"/>
  <c r="FS455" i="15" s="1"/>
  <c r="FR474" i="15"/>
  <c r="FR495" i="15"/>
  <c r="FR505" i="15"/>
  <c r="FR515" i="15"/>
  <c r="FR526" i="15"/>
  <c r="FR535" i="15"/>
  <c r="FR546" i="15"/>
  <c r="FR556" i="15"/>
  <c r="FR566" i="15"/>
  <c r="FR577" i="15"/>
  <c r="FS577" i="15" s="1"/>
  <c r="FR587" i="15"/>
  <c r="FR597" i="15"/>
  <c r="FR608" i="15"/>
  <c r="FR618" i="15"/>
  <c r="FR627" i="15"/>
  <c r="FR638" i="15"/>
  <c r="FR648" i="15"/>
  <c r="FR658" i="15"/>
  <c r="FR679" i="15"/>
  <c r="FR699" i="15"/>
  <c r="FR710" i="15"/>
  <c r="FR719" i="15"/>
  <c r="FR730" i="15"/>
  <c r="FR740" i="15"/>
  <c r="FR750" i="15"/>
  <c r="FR758" i="15"/>
  <c r="FR769" i="15"/>
  <c r="FR780" i="15"/>
  <c r="FR791" i="15"/>
  <c r="FR801" i="15"/>
  <c r="FR811" i="15"/>
  <c r="FR821" i="15"/>
  <c r="FR836" i="15"/>
  <c r="FR844" i="15"/>
  <c r="FR852" i="15"/>
  <c r="FR860" i="15"/>
  <c r="FN828" i="15"/>
  <c r="FO828" i="15" s="1"/>
  <c r="FN732" i="15"/>
  <c r="FO732" i="15" s="1"/>
  <c r="FT732" i="15" s="1"/>
  <c r="FN641" i="15"/>
  <c r="FO641" i="15" s="1"/>
  <c r="FN548" i="15"/>
  <c r="FO548" i="15" s="1"/>
  <c r="FN472" i="15"/>
  <c r="FO472" i="15" s="1"/>
  <c r="FN407" i="15"/>
  <c r="FO407" i="15" s="1"/>
  <c r="FN271" i="15"/>
  <c r="FO271" i="15" s="1"/>
  <c r="FN219" i="15"/>
  <c r="FO219" i="15" s="1"/>
  <c r="FN144" i="15"/>
  <c r="FO144" i="15" s="1"/>
  <c r="FN668" i="15"/>
  <c r="FO668" i="15" s="1"/>
  <c r="FN577" i="15"/>
  <c r="FO577" i="15" s="1"/>
  <c r="FN491" i="15"/>
  <c r="FO491" i="15" s="1"/>
  <c r="FN430" i="15"/>
  <c r="FO430" i="15" s="1"/>
  <c r="FN300" i="15"/>
  <c r="FO300" i="15" s="1"/>
  <c r="FN232" i="15"/>
  <c r="FO232" i="15" s="1"/>
  <c r="FN145" i="15"/>
  <c r="FO145" i="15" s="1"/>
  <c r="FN83" i="15"/>
  <c r="FO83" i="15" s="1"/>
  <c r="FN796" i="15"/>
  <c r="FO796" i="15" s="1"/>
  <c r="FN713" i="15"/>
  <c r="FO713" i="15" s="1"/>
  <c r="FN621" i="15"/>
  <c r="FO621" i="15" s="1"/>
  <c r="FN529" i="15"/>
  <c r="FO529" i="15" s="1"/>
  <c r="FT529" i="15" s="1"/>
  <c r="FN471" i="15"/>
  <c r="FO471" i="15" s="1"/>
  <c r="FN371" i="15"/>
  <c r="FO371" i="15" s="1"/>
  <c r="FN270" i="15"/>
  <c r="FO270" i="15" s="1"/>
  <c r="FN190" i="15"/>
  <c r="FO190" i="15" s="1"/>
  <c r="FN125" i="15"/>
  <c r="FO125" i="15" s="1"/>
  <c r="FN776" i="15"/>
  <c r="FO776" i="15" s="1"/>
  <c r="FN688" i="15"/>
  <c r="FO688" i="15" s="1"/>
  <c r="FN611" i="15"/>
  <c r="FO611" i="15" s="1"/>
  <c r="FT611" i="15" s="1"/>
  <c r="FN514" i="15"/>
  <c r="FO514" i="15" s="1"/>
  <c r="FN455" i="15"/>
  <c r="FO455" i="15" s="1"/>
  <c r="FN325" i="15"/>
  <c r="FO325" i="15" s="1"/>
  <c r="FT325" i="15" s="1"/>
  <c r="FN251" i="15"/>
  <c r="FO251" i="15" s="1"/>
  <c r="FT251" i="15" s="1"/>
  <c r="FN168" i="15"/>
  <c r="FO168" i="15" s="1"/>
  <c r="FN98" i="15"/>
  <c r="FO98" i="15" s="1"/>
  <c r="FN754" i="15"/>
  <c r="FO754" i="15" s="1"/>
  <c r="FN9" i="15"/>
  <c r="FO9" i="15" s="1"/>
  <c r="FN8" i="15"/>
  <c r="FO8" i="15" s="1"/>
  <c r="FN65" i="15"/>
  <c r="FO65" i="15" s="1"/>
  <c r="FN34" i="15"/>
  <c r="FO34" i="15" s="1"/>
  <c r="FN42" i="15"/>
  <c r="FO42" i="15" s="1"/>
  <c r="FN6" i="15"/>
  <c r="FO6" i="15" s="1"/>
  <c r="AI255" i="1"/>
  <c r="AC258" i="1"/>
  <c r="AI258" i="1"/>
  <c r="AC255" i="1"/>
  <c r="AC252" i="1"/>
  <c r="AI252" i="1"/>
  <c r="AI200" i="1"/>
  <c r="AC200" i="1"/>
  <c r="AD209" i="1"/>
  <c r="AI209" i="1" s="1"/>
  <c r="AC209" i="1"/>
  <c r="AD194" i="1"/>
  <c r="AI194" i="1" s="1"/>
  <c r="AC194" i="1"/>
  <c r="FH6" i="15"/>
  <c r="FH11" i="15"/>
  <c r="FH15" i="15"/>
  <c r="FH19" i="15"/>
  <c r="FH23" i="15"/>
  <c r="FH27" i="15"/>
  <c r="FH31" i="15"/>
  <c r="FH35" i="15"/>
  <c r="FH39" i="15"/>
  <c r="FH43" i="15"/>
  <c r="FH47" i="15"/>
  <c r="FH51" i="15"/>
  <c r="FH55" i="15"/>
  <c r="FH59" i="15"/>
  <c r="FH63" i="15"/>
  <c r="FH67" i="15"/>
  <c r="FH71" i="15"/>
  <c r="FH75" i="15"/>
  <c r="FH79" i="15"/>
  <c r="FH83" i="15"/>
  <c r="FH87" i="15"/>
  <c r="FH91" i="15"/>
  <c r="FH95" i="15"/>
  <c r="FH99" i="15"/>
  <c r="FH103" i="15"/>
  <c r="FH107" i="15"/>
  <c r="FH111" i="15"/>
  <c r="FH115" i="15"/>
  <c r="FH119" i="15"/>
  <c r="FH123" i="15"/>
  <c r="FH145" i="15"/>
  <c r="FH149" i="15"/>
  <c r="FH153" i="15"/>
  <c r="FH157" i="15"/>
  <c r="FH161" i="15"/>
  <c r="FH165" i="15"/>
  <c r="FH169" i="15"/>
  <c r="FH173" i="15"/>
  <c r="FH177" i="15"/>
  <c r="FH181" i="15"/>
  <c r="FH185" i="15"/>
  <c r="FH193" i="15"/>
  <c r="FH197" i="15"/>
  <c r="FH201" i="15"/>
  <c r="FH205" i="15"/>
  <c r="FH209" i="15"/>
  <c r="FH213" i="15"/>
  <c r="FH217" i="15"/>
  <c r="FH221" i="15"/>
  <c r="FH225" i="15"/>
  <c r="FH229" i="15"/>
  <c r="FH233" i="15"/>
  <c r="FH237" i="15"/>
  <c r="FH9" i="15"/>
  <c r="FH13" i="15"/>
  <c r="FH17" i="15"/>
  <c r="FH21" i="15"/>
  <c r="FH25" i="15"/>
  <c r="FH29" i="15"/>
  <c r="FH37" i="15"/>
  <c r="FH45" i="15"/>
  <c r="FH49" i="15"/>
  <c r="FH53" i="15"/>
  <c r="FH57" i="15"/>
  <c r="FH61" i="15"/>
  <c r="FH65" i="15"/>
  <c r="FH69" i="15"/>
  <c r="FH73" i="15"/>
  <c r="FH77" i="15"/>
  <c r="FH81" i="15"/>
  <c r="FH85" i="15"/>
  <c r="FH89" i="15"/>
  <c r="FH92" i="15"/>
  <c r="FH101" i="15"/>
  <c r="FH105" i="15"/>
  <c r="FH109" i="15"/>
  <c r="FH113" i="15"/>
  <c r="FH117" i="15"/>
  <c r="FH121" i="15"/>
  <c r="FH125" i="15"/>
  <c r="FH147" i="15"/>
  <c r="FH151" i="15"/>
  <c r="FH155" i="15"/>
  <c r="FH159" i="15"/>
  <c r="FH163" i="15"/>
  <c r="FH171" i="15"/>
  <c r="FH175" i="15"/>
  <c r="FH179" i="15"/>
  <c r="FH183" i="15"/>
  <c r="FH187" i="15"/>
  <c r="FH191" i="15"/>
  <c r="FH195" i="15"/>
  <c r="FH199" i="15"/>
  <c r="FH203" i="15"/>
  <c r="FH207" i="15"/>
  <c r="FH211" i="15"/>
  <c r="FH215" i="15"/>
  <c r="FH219" i="15"/>
  <c r="FH223" i="15"/>
  <c r="FH227" i="15"/>
  <c r="FH231" i="15"/>
  <c r="FH235" i="15"/>
  <c r="FH239" i="15"/>
  <c r="FH14" i="15"/>
  <c r="FH22" i="15"/>
  <c r="FH30" i="15"/>
  <c r="FH38" i="15"/>
  <c r="FH46" i="15"/>
  <c r="FH54" i="15"/>
  <c r="FH62" i="15"/>
  <c r="FH70" i="15"/>
  <c r="FH78" i="15"/>
  <c r="FH86" i="15"/>
  <c r="FH94" i="15"/>
  <c r="FH102" i="15"/>
  <c r="FH110" i="15"/>
  <c r="FH118" i="15"/>
  <c r="FH152" i="15"/>
  <c r="FH160" i="15"/>
  <c r="FH168" i="15"/>
  <c r="FH176" i="15"/>
  <c r="FH184" i="15"/>
  <c r="FH192" i="15"/>
  <c r="FH200" i="15"/>
  <c r="FH208" i="15"/>
  <c r="FH216" i="15"/>
  <c r="FH224" i="15"/>
  <c r="FH232" i="15"/>
  <c r="FH240" i="15"/>
  <c r="FH244" i="15"/>
  <c r="FH248" i="15"/>
  <c r="FH270" i="15"/>
  <c r="FH275" i="15"/>
  <c r="FH278" i="15"/>
  <c r="FH282" i="15"/>
  <c r="FH286" i="15"/>
  <c r="FH290" i="15"/>
  <c r="FH294" i="15"/>
  <c r="FH298" i="15"/>
  <c r="FH302" i="15"/>
  <c r="FH306" i="15"/>
  <c r="FH310" i="15"/>
  <c r="FH314" i="15"/>
  <c r="FH318" i="15"/>
  <c r="FH322" i="15"/>
  <c r="FH326" i="15"/>
  <c r="FH330" i="15"/>
  <c r="FH334" i="15"/>
  <c r="FH338" i="15"/>
  <c r="FH342" i="15"/>
  <c r="FH346" i="15"/>
  <c r="FH350" i="15"/>
  <c r="FH354" i="15"/>
  <c r="FH358" i="15"/>
  <c r="FH362" i="15"/>
  <c r="FH366" i="15"/>
  <c r="FH374" i="15"/>
  <c r="FH378" i="15"/>
  <c r="FH382" i="15"/>
  <c r="FH386" i="15"/>
  <c r="FH390" i="15"/>
  <c r="FH394" i="15"/>
  <c r="FH398" i="15"/>
  <c r="FH402" i="15"/>
  <c r="FH410" i="15"/>
  <c r="FH414" i="15"/>
  <c r="FH418" i="15"/>
  <c r="FH422" i="15"/>
  <c r="FH426" i="15"/>
  <c r="FH430" i="15"/>
  <c r="FH434" i="15"/>
  <c r="FH438" i="15"/>
  <c r="FH442" i="15"/>
  <c r="FH446" i="15"/>
  <c r="FH450" i="15"/>
  <c r="FH458" i="15"/>
  <c r="FH462" i="15"/>
  <c r="FH466" i="15"/>
  <c r="FH471" i="15"/>
  <c r="FH475" i="15"/>
  <c r="FH479" i="15"/>
  <c r="FH483" i="15"/>
  <c r="FH487" i="15"/>
  <c r="FH491" i="15"/>
  <c r="FH495" i="15"/>
  <c r="FH499" i="15"/>
  <c r="FH503" i="15"/>
  <c r="FH507" i="15"/>
  <c r="FH511" i="15"/>
  <c r="FH515" i="15"/>
  <c r="FH519" i="15"/>
  <c r="FH523" i="15"/>
  <c r="FH527" i="15"/>
  <c r="FH531" i="15"/>
  <c r="FH535" i="15"/>
  <c r="FH539" i="15"/>
  <c r="FH543" i="15"/>
  <c r="FH579" i="15"/>
  <c r="FH583" i="15"/>
  <c r="FH587" i="15"/>
  <c r="FH591" i="15"/>
  <c r="FH595" i="15"/>
  <c r="FH599" i="15"/>
  <c r="FH603" i="15"/>
  <c r="FH607" i="15"/>
  <c r="FH611" i="15"/>
  <c r="FH615" i="15"/>
  <c r="FH619" i="15"/>
  <c r="FH623" i="15"/>
  <c r="FH8" i="15"/>
  <c r="FH16" i="15"/>
  <c r="FH24" i="15"/>
  <c r="FH32" i="15"/>
  <c r="FH40" i="15"/>
  <c r="FH48" i="15"/>
  <c r="FH56" i="15"/>
  <c r="FH72" i="15"/>
  <c r="FH80" i="15"/>
  <c r="FH88" i="15"/>
  <c r="FH96" i="15"/>
  <c r="FH104" i="15"/>
  <c r="FH112" i="15"/>
  <c r="FH120" i="15"/>
  <c r="FH146" i="15"/>
  <c r="FH154" i="15"/>
  <c r="FH162" i="15"/>
  <c r="FH170" i="15"/>
  <c r="FH178" i="15"/>
  <c r="FH186" i="15"/>
  <c r="FH194" i="15"/>
  <c r="FH202" i="15"/>
  <c r="FH210" i="15"/>
  <c r="FH226" i="15"/>
  <c r="FH234" i="15"/>
  <c r="FH241" i="15"/>
  <c r="FH245" i="15"/>
  <c r="FH271" i="15"/>
  <c r="FH274" i="15"/>
  <c r="FH279" i="15"/>
  <c r="FH283" i="15"/>
  <c r="FH287" i="15"/>
  <c r="FH291" i="15"/>
  <c r="FH295" i="15"/>
  <c r="FH303" i="15"/>
  <c r="FH307" i="15"/>
  <c r="FH311" i="15"/>
  <c r="FH315" i="15"/>
  <c r="FH319" i="15"/>
  <c r="FH323" i="15"/>
  <c r="FH327" i="15"/>
  <c r="FH331" i="15"/>
  <c r="FH335" i="15"/>
  <c r="FH339" i="15"/>
  <c r="FH343" i="15"/>
  <c r="FH347" i="15"/>
  <c r="FH351" i="15"/>
  <c r="FH355" i="15"/>
  <c r="FH359" i="15"/>
  <c r="FH363" i="15"/>
  <c r="FH367" i="15"/>
  <c r="FH371" i="15"/>
  <c r="FH375" i="15"/>
  <c r="FH379" i="15"/>
  <c r="FH383" i="15"/>
  <c r="FH387" i="15"/>
  <c r="FH391" i="15"/>
  <c r="FH395" i="15"/>
  <c r="FH399" i="15"/>
  <c r="FH403" i="15"/>
  <c r="FH407" i="15"/>
  <c r="FH411" i="15"/>
  <c r="FH415" i="15"/>
  <c r="FH419" i="15"/>
  <c r="FH423" i="15"/>
  <c r="FH427" i="15"/>
  <c r="FH431" i="15"/>
  <c r="FH435" i="15"/>
  <c r="FH439" i="15"/>
  <c r="FH443" i="15"/>
  <c r="FH447" i="15"/>
  <c r="FH451" i="15"/>
  <c r="FH455" i="15"/>
  <c r="FH459" i="15"/>
  <c r="FH463" i="15"/>
  <c r="FH467" i="15"/>
  <c r="FH472" i="15"/>
  <c r="FH476" i="15"/>
  <c r="FH480" i="15"/>
  <c r="FH484" i="15"/>
  <c r="FH488" i="15"/>
  <c r="FH492" i="15"/>
  <c r="FH496" i="15"/>
  <c r="FH500" i="15"/>
  <c r="FH504" i="15"/>
  <c r="FH508" i="15"/>
  <c r="FH512" i="15"/>
  <c r="FH516" i="15"/>
  <c r="FH520" i="15"/>
  <c r="FH524" i="15"/>
  <c r="FH532" i="15"/>
  <c r="FH536" i="15"/>
  <c r="FH540" i="15"/>
  <c r="FH544" i="15"/>
  <c r="FH548" i="15"/>
  <c r="FH580" i="15"/>
  <c r="FH584" i="15"/>
  <c r="FH588" i="15"/>
  <c r="FH592" i="15"/>
  <c r="FH596" i="15"/>
  <c r="FH600" i="15"/>
  <c r="FH604" i="15"/>
  <c r="FH608" i="15"/>
  <c r="FH612" i="15"/>
  <c r="FH616" i="15"/>
  <c r="FH12" i="15"/>
  <c r="FH20" i="15"/>
  <c r="FH28" i="15"/>
  <c r="FH36" i="15"/>
  <c r="FH44" i="15"/>
  <c r="FH52" i="15"/>
  <c r="FH60" i="15"/>
  <c r="FH68" i="15"/>
  <c r="FH76" i="15"/>
  <c r="FH84" i="15"/>
  <c r="FH93" i="15"/>
  <c r="FH100" i="15"/>
  <c r="FH108" i="15"/>
  <c r="FH116" i="15"/>
  <c r="FH150" i="15"/>
  <c r="FH158" i="15"/>
  <c r="FH166" i="15"/>
  <c r="FH174" i="15"/>
  <c r="FH182" i="15"/>
  <c r="FH190" i="15"/>
  <c r="FH198" i="15"/>
  <c r="FH206" i="15"/>
  <c r="FH214" i="15"/>
  <c r="FH222" i="15"/>
  <c r="FH230" i="15"/>
  <c r="FH238" i="15"/>
  <c r="FH243" i="15"/>
  <c r="FH247" i="15"/>
  <c r="FH251" i="15"/>
  <c r="FH273" i="15"/>
  <c r="FH277" i="15"/>
  <c r="FH281" i="15"/>
  <c r="FH285" i="15"/>
  <c r="FH289" i="15"/>
  <c r="FH293" i="15"/>
  <c r="FH297" i="15"/>
  <c r="FH301" i="15"/>
  <c r="FH305" i="15"/>
  <c r="FH309" i="15"/>
  <c r="FH313" i="15"/>
  <c r="FH317" i="15"/>
  <c r="FH321" i="15"/>
  <c r="FH325" i="15"/>
  <c r="FH329" i="15"/>
  <c r="FH333" i="15"/>
  <c r="FH337" i="15"/>
  <c r="FH341" i="15"/>
  <c r="FH345" i="15"/>
  <c r="FH349" i="15"/>
  <c r="FH353" i="15"/>
  <c r="FH357" i="15"/>
  <c r="FH361" i="15"/>
  <c r="FH365" i="15"/>
  <c r="FH369" i="15"/>
  <c r="FH373" i="15"/>
  <c r="FH377" i="15"/>
  <c r="FH381" i="15"/>
  <c r="FH385" i="15"/>
  <c r="FH389" i="15"/>
  <c r="FH393" i="15"/>
  <c r="FH397" i="15"/>
  <c r="FH401" i="15"/>
  <c r="FH405" i="15"/>
  <c r="FH409" i="15"/>
  <c r="FH413" i="15"/>
  <c r="FH417" i="15"/>
  <c r="FH421" i="15"/>
  <c r="FH425" i="15"/>
  <c r="FH433" i="15"/>
  <c r="FH437" i="15"/>
  <c r="FH441" i="15"/>
  <c r="FH445" i="15"/>
  <c r="FH449" i="15"/>
  <c r="FH453" i="15"/>
  <c r="FH457" i="15"/>
  <c r="FH461" i="15"/>
  <c r="FH465" i="15"/>
  <c r="FH469" i="15"/>
  <c r="FH474" i="15"/>
  <c r="FH478" i="15"/>
  <c r="FH482" i="15"/>
  <c r="FH486" i="15"/>
  <c r="FH494" i="15"/>
  <c r="FH498" i="15"/>
  <c r="FH502" i="15"/>
  <c r="FH506" i="15"/>
  <c r="FH510" i="15"/>
  <c r="FH514" i="15"/>
  <c r="FH518" i="15"/>
  <c r="FH522" i="15"/>
  <c r="FH526" i="15"/>
  <c r="FH530" i="15"/>
  <c r="FH534" i="15"/>
  <c r="FH538" i="15"/>
  <c r="FH542" i="15"/>
  <c r="FH546" i="15"/>
  <c r="FH578" i="15"/>
  <c r="FH582" i="15"/>
  <c r="FH586" i="15"/>
  <c r="FH590" i="15"/>
  <c r="FH594" i="15"/>
  <c r="FH598" i="15"/>
  <c r="FH602" i="15"/>
  <c r="FH606" i="15"/>
  <c r="FH614" i="15"/>
  <c r="FH618" i="15"/>
  <c r="FH622" i="15"/>
  <c r="FH626" i="15"/>
  <c r="FH630" i="15"/>
  <c r="FH634" i="15"/>
  <c r="FH638" i="15"/>
  <c r="FH642" i="15"/>
  <c r="FH646" i="15"/>
  <c r="FH650" i="15"/>
  <c r="FH654" i="15"/>
  <c r="FH658" i="15"/>
  <c r="FH662" i="15"/>
  <c r="FH666" i="15"/>
  <c r="FH670" i="15"/>
  <c r="FH674" i="15"/>
  <c r="FH678" i="15"/>
  <c r="FH682" i="15"/>
  <c r="FH686" i="15"/>
  <c r="FH714" i="15"/>
  <c r="FH718" i="15"/>
  <c r="FH722" i="15"/>
  <c r="FH726" i="15"/>
  <c r="FH730" i="15"/>
  <c r="FH734" i="15"/>
  <c r="FH738" i="15"/>
  <c r="FH742" i="15"/>
  <c r="FH746" i="15"/>
  <c r="FH750" i="15"/>
  <c r="FH754" i="15"/>
  <c r="FH773" i="15"/>
  <c r="FH760" i="15"/>
  <c r="FH764" i="15"/>
  <c r="FH768" i="15"/>
  <c r="FH772" i="15"/>
  <c r="FH778" i="15"/>
  <c r="FH26" i="15"/>
  <c r="FH58" i="15"/>
  <c r="FH90" i="15"/>
  <c r="FH122" i="15"/>
  <c r="FH172" i="15"/>
  <c r="FH204" i="15"/>
  <c r="FH236" i="15"/>
  <c r="FH272" i="15"/>
  <c r="FH288" i="15"/>
  <c r="FH304" i="15"/>
  <c r="FH320" i="15"/>
  <c r="FH336" i="15"/>
  <c r="FH352" i="15"/>
  <c r="FH368" i="15"/>
  <c r="FH384" i="15"/>
  <c r="FH400" i="15"/>
  <c r="FH416" i="15"/>
  <c r="FH432" i="15"/>
  <c r="FH448" i="15"/>
  <c r="FH464" i="15"/>
  <c r="FH481" i="15"/>
  <c r="FH497" i="15"/>
  <c r="FH529" i="15"/>
  <c r="FH545" i="15"/>
  <c r="FH589" i="15"/>
  <c r="FH605" i="15"/>
  <c r="FH621" i="15"/>
  <c r="FH628" i="15"/>
  <c r="FH633" i="15"/>
  <c r="FH639" i="15"/>
  <c r="FH644" i="15"/>
  <c r="FH649" i="15"/>
  <c r="FH655" i="15"/>
  <c r="FH660" i="15"/>
  <c r="FH665" i="15"/>
  <c r="FH671" i="15"/>
  <c r="FH676" i="15"/>
  <c r="FH681" i="15"/>
  <c r="FH716" i="15"/>
  <c r="FH721" i="15"/>
  <c r="FH727" i="15"/>
  <c r="FH732" i="15"/>
  <c r="FH737" i="15"/>
  <c r="FH743" i="15"/>
  <c r="FH748" i="15"/>
  <c r="FH774" i="15"/>
  <c r="FH762" i="15"/>
  <c r="FH767" i="15"/>
  <c r="FH780" i="15"/>
  <c r="FH784" i="15"/>
  <c r="FH788" i="15"/>
  <c r="FH792" i="15"/>
  <c r="FH796" i="15"/>
  <c r="FH800" i="15"/>
  <c r="FH804" i="15"/>
  <c r="FH808" i="15"/>
  <c r="FH812" i="15"/>
  <c r="FH816" i="15"/>
  <c r="FH820" i="15"/>
  <c r="FH824" i="15"/>
  <c r="FH34" i="15"/>
  <c r="FH66" i="15"/>
  <c r="FH98" i="15"/>
  <c r="FH148" i="15"/>
  <c r="FH180" i="15"/>
  <c r="FH212" i="15"/>
  <c r="FH242" i="15"/>
  <c r="FH276" i="15"/>
  <c r="FH292" i="15"/>
  <c r="FH308" i="15"/>
  <c r="FH340" i="15"/>
  <c r="FH356" i="15"/>
  <c r="FH372" i="15"/>
  <c r="FH388" i="15"/>
  <c r="FH404" i="15"/>
  <c r="FH420" i="15"/>
  <c r="FH436" i="15"/>
  <c r="FH452" i="15"/>
  <c r="FH468" i="15"/>
  <c r="FH485" i="15"/>
  <c r="FH501" i="15"/>
  <c r="FH517" i="15"/>
  <c r="FH533" i="15"/>
  <c r="FH577" i="15"/>
  <c r="FH593" i="15"/>
  <c r="FH609" i="15"/>
  <c r="FH624" i="15"/>
  <c r="FH629" i="15"/>
  <c r="FH635" i="15"/>
  <c r="FH645" i="15"/>
  <c r="FH651" i="15"/>
  <c r="FH656" i="15"/>
  <c r="FH661" i="15"/>
  <c r="FH667" i="15"/>
  <c r="FH672" i="15"/>
  <c r="FH677" i="15"/>
  <c r="FH683" i="15"/>
  <c r="FH688" i="15"/>
  <c r="FH717" i="15"/>
  <c r="FH723" i="15"/>
  <c r="FH728" i="15"/>
  <c r="FH733" i="15"/>
  <c r="FH739" i="15"/>
  <c r="FH744" i="15"/>
  <c r="FH749" i="15"/>
  <c r="FH755" i="15"/>
  <c r="FH758" i="15"/>
  <c r="FH763" i="15"/>
  <c r="FH769" i="15"/>
  <c r="FH776" i="15"/>
  <c r="FH781" i="15"/>
  <c r="FH785" i="15"/>
  <c r="FH789" i="15"/>
  <c r="FH793" i="15"/>
  <c r="FH797" i="15"/>
  <c r="FH801" i="15"/>
  <c r="FH805" i="15"/>
  <c r="FH809" i="15"/>
  <c r="FH813" i="15"/>
  <c r="FH817" i="15"/>
  <c r="FH821" i="15"/>
  <c r="FH825" i="15"/>
  <c r="FH18" i="15"/>
  <c r="FH50" i="15"/>
  <c r="FH114" i="15"/>
  <c r="FH164" i="15"/>
  <c r="FH196" i="15"/>
  <c r="FH228" i="15"/>
  <c r="FH284" i="15"/>
  <c r="FH300" i="15"/>
  <c r="FH316" i="15"/>
  <c r="FH332" i="15"/>
  <c r="FH348" i="15"/>
  <c r="FH364" i="15"/>
  <c r="FH380" i="15"/>
  <c r="FH396" i="15"/>
  <c r="FH412" i="15"/>
  <c r="FH428" i="15"/>
  <c r="FH444" i="15"/>
  <c r="FH460" i="15"/>
  <c r="FH477" i="15"/>
  <c r="FH493" i="15"/>
  <c r="FH509" i="15"/>
  <c r="FH525" i="15"/>
  <c r="FH541" i="15"/>
  <c r="FH585" i="15"/>
  <c r="FH601" i="15"/>
  <c r="FH617" i="15"/>
  <c r="FH627" i="15"/>
  <c r="FH632" i="15"/>
  <c r="FH637" i="15"/>
  <c r="FH643" i="15"/>
  <c r="FH648" i="15"/>
  <c r="FH653" i="15"/>
  <c r="FH659" i="15"/>
  <c r="FH664" i="15"/>
  <c r="FH669" i="15"/>
  <c r="FH675" i="15"/>
  <c r="FH680" i="15"/>
  <c r="FH685" i="15"/>
  <c r="FH715" i="15"/>
  <c r="FH720" i="15"/>
  <c r="FH725" i="15"/>
  <c r="FH736" i="15"/>
  <c r="FH741" i="15"/>
  <c r="FH747" i="15"/>
  <c r="FH752" i="15"/>
  <c r="FH757" i="15"/>
  <c r="FH761" i="15"/>
  <c r="FH766" i="15"/>
  <c r="FH771" i="15"/>
  <c r="FH779" i="15"/>
  <c r="FH783" i="15"/>
  <c r="FH787" i="15"/>
  <c r="FH791" i="15"/>
  <c r="FH799" i="15"/>
  <c r="FH803" i="15"/>
  <c r="FH807" i="15"/>
  <c r="FH811" i="15"/>
  <c r="FH815" i="15"/>
  <c r="FH819" i="15"/>
  <c r="FH823" i="15"/>
  <c r="FH74" i="15"/>
  <c r="FH220" i="15"/>
  <c r="FH312" i="15"/>
  <c r="FH376" i="15"/>
  <c r="FH440" i="15"/>
  <c r="FH505" i="15"/>
  <c r="FH597" i="15"/>
  <c r="FH636" i="15"/>
  <c r="FH657" i="15"/>
  <c r="FH679" i="15"/>
  <c r="FH724" i="15"/>
  <c r="FH745" i="15"/>
  <c r="FH765" i="15"/>
  <c r="FH786" i="15"/>
  <c r="FH802" i="15"/>
  <c r="FH818" i="15"/>
  <c r="FH106" i="15"/>
  <c r="FH246" i="15"/>
  <c r="FH328" i="15"/>
  <c r="FH392" i="15"/>
  <c r="FH456" i="15"/>
  <c r="FH521" i="15"/>
  <c r="FH613" i="15"/>
  <c r="FH641" i="15"/>
  <c r="FH663" i="15"/>
  <c r="FH684" i="15"/>
  <c r="FH729" i="15"/>
  <c r="FH751" i="15"/>
  <c r="FH770" i="15"/>
  <c r="FH790" i="15"/>
  <c r="FH806" i="15"/>
  <c r="FH822" i="15"/>
  <c r="FH10" i="15"/>
  <c r="FH156" i="15"/>
  <c r="FH280" i="15"/>
  <c r="FH344" i="15"/>
  <c r="FH408" i="15"/>
  <c r="FH473" i="15"/>
  <c r="FH537" i="15"/>
  <c r="FH625" i="15"/>
  <c r="FH647" i="15"/>
  <c r="FH668" i="15"/>
  <c r="FH713" i="15"/>
  <c r="FH735" i="15"/>
  <c r="FH756" i="15"/>
  <c r="FH777" i="15"/>
  <c r="FH794" i="15"/>
  <c r="FH810" i="15"/>
  <c r="FH826" i="15"/>
  <c r="FH42" i="15"/>
  <c r="FH188" i="15"/>
  <c r="FH296" i="15"/>
  <c r="FH360" i="15"/>
  <c r="FH424" i="15"/>
  <c r="FH489" i="15"/>
  <c r="FH581" i="15"/>
  <c r="FH631" i="15"/>
  <c r="FH652" i="15"/>
  <c r="FH673" i="15"/>
  <c r="FH719" i="15"/>
  <c r="FH740" i="15"/>
  <c r="FH759" i="15"/>
  <c r="FH782" i="15"/>
  <c r="FH798" i="15"/>
  <c r="FH814" i="15"/>
  <c r="AC154" i="1"/>
  <c r="AI154" i="1"/>
  <c r="AC163" i="1"/>
  <c r="AI163" i="1"/>
  <c r="AI170" i="1"/>
  <c r="AC167" i="1"/>
  <c r="AD167" i="1"/>
  <c r="AI167" i="1" s="1"/>
  <c r="AC170" i="1"/>
  <c r="AD161" i="1"/>
  <c r="AI161" i="1" s="1"/>
  <c r="AC161" i="1"/>
  <c r="AC221" i="1"/>
  <c r="AI239" i="1"/>
  <c r="AC239" i="1"/>
  <c r="AI221" i="1"/>
  <c r="AD243" i="1"/>
  <c r="AI243" i="1" s="1"/>
  <c r="AC243" i="1"/>
  <c r="AD235" i="1"/>
  <c r="AI235" i="1" s="1"/>
  <c r="AC235" i="1"/>
  <c r="AD211" i="1"/>
  <c r="AI211" i="1" s="1"/>
  <c r="AC211" i="1"/>
  <c r="AD214" i="1"/>
  <c r="AI214" i="1" s="1"/>
  <c r="AC214" i="1"/>
  <c r="AD216" i="1"/>
  <c r="AI216" i="1" s="1"/>
  <c r="AC216" i="1"/>
  <c r="AD219" i="1"/>
  <c r="AI219" i="1" s="1"/>
  <c r="AC219" i="1"/>
  <c r="AC206" i="1"/>
  <c r="AD206" i="1"/>
  <c r="AI206" i="1" s="1"/>
  <c r="AD204" i="1"/>
  <c r="AI204" i="1" s="1"/>
  <c r="AC204" i="1"/>
  <c r="AC198" i="1"/>
  <c r="AD198" i="1"/>
  <c r="AI198" i="1" s="1"/>
  <c r="AD192" i="1"/>
  <c r="AI192" i="1" s="1"/>
  <c r="AC192" i="1"/>
  <c r="AI145" i="1"/>
  <c r="AC145" i="1"/>
  <c r="AD148" i="1"/>
  <c r="AI148" i="1" s="1"/>
  <c r="AC148" i="1"/>
  <c r="AC150" i="1"/>
  <c r="AD150" i="1"/>
  <c r="AI150" i="1" s="1"/>
  <c r="AC142" i="1"/>
  <c r="AD142" i="1"/>
  <c r="AI142" i="1" s="1"/>
  <c r="AD140" i="1"/>
  <c r="AI140" i="1" s="1"/>
  <c r="AC140" i="1"/>
  <c r="AI94" i="1"/>
  <c r="AC94" i="1"/>
  <c r="AI91" i="1"/>
  <c r="AC91" i="1"/>
  <c r="AC237" i="1"/>
  <c r="AD237" i="1"/>
  <c r="AI237" i="1" s="1"/>
  <c r="AD249" i="1"/>
  <c r="AI249" i="1" s="1"/>
  <c r="AC249" i="1"/>
  <c r="AC295" i="1"/>
  <c r="AD295" i="1"/>
  <c r="AI295" i="1" s="1"/>
  <c r="AC288" i="1"/>
  <c r="AD288" i="1"/>
  <c r="AI288" i="1" s="1"/>
  <c r="AI296" i="1"/>
  <c r="AC291" i="1"/>
  <c r="AD291" i="1"/>
  <c r="AI291" i="1" s="1"/>
  <c r="AI286" i="1"/>
  <c r="AC296" i="1"/>
  <c r="AC229" i="1"/>
  <c r="AD229" i="1"/>
  <c r="AI229" i="1" s="1"/>
  <c r="AC286" i="1"/>
  <c r="F45" i="13"/>
  <c r="F46" i="13"/>
  <c r="F43" i="13"/>
  <c r="F42" i="13"/>
  <c r="F44" i="13"/>
  <c r="AI422" i="1"/>
  <c r="AI607" i="1"/>
  <c r="AI504" i="1"/>
  <c r="AI604" i="1"/>
  <c r="AI554" i="1"/>
  <c r="AI434" i="1"/>
  <c r="AI471" i="1"/>
  <c r="AI509" i="1"/>
  <c r="F9" i="13"/>
  <c r="AI608" i="1"/>
  <c r="AH502" i="1"/>
  <c r="AI371" i="1"/>
  <c r="AE350" i="1"/>
  <c r="AF106" i="1"/>
  <c r="AC371" i="1"/>
  <c r="AC309" i="1"/>
  <c r="AF457" i="1"/>
  <c r="AI563" i="1"/>
  <c r="AI339" i="1"/>
  <c r="AI309" i="1"/>
  <c r="AF472" i="1"/>
  <c r="AC339" i="1"/>
  <c r="AI613" i="1"/>
  <c r="AH106" i="1"/>
  <c r="AC613" i="1"/>
  <c r="AC563" i="1"/>
  <c r="AE457" i="1"/>
  <c r="AI369" i="1"/>
  <c r="AH491" i="1"/>
  <c r="AE105" i="1"/>
  <c r="AG462" i="1"/>
  <c r="AD105" i="1"/>
  <c r="AE505" i="1"/>
  <c r="AG383" i="1"/>
  <c r="AG457" i="1"/>
  <c r="AD550" i="1"/>
  <c r="AH381" i="1"/>
  <c r="AG502" i="1"/>
  <c r="AF505" i="1"/>
  <c r="AG472" i="1"/>
  <c r="AE490" i="1"/>
  <c r="AH457" i="1"/>
  <c r="AE550" i="1"/>
  <c r="AC369" i="1"/>
  <c r="AI596" i="1"/>
  <c r="AH462" i="1"/>
  <c r="AF350" i="1"/>
  <c r="AG492" i="1"/>
  <c r="AE472" i="1"/>
  <c r="AF462" i="1"/>
  <c r="AC592" i="1"/>
  <c r="AG491" i="1"/>
  <c r="AF383" i="1"/>
  <c r="AC596" i="1"/>
  <c r="AE599" i="1"/>
  <c r="AF381" i="1"/>
  <c r="AH493" i="1"/>
  <c r="AF599" i="1"/>
  <c r="AE500" i="1"/>
  <c r="AH505" i="1"/>
  <c r="AC533" i="1"/>
  <c r="AD599" i="1"/>
  <c r="AD492" i="1"/>
  <c r="AC487" i="1"/>
  <c r="AG350" i="1"/>
  <c r="AC530" i="1"/>
  <c r="AG108" i="1"/>
  <c r="AH599" i="1"/>
  <c r="AH424" i="1"/>
  <c r="AC550" i="1"/>
  <c r="AD487" i="1"/>
  <c r="AH494" i="1"/>
  <c r="AC556" i="1"/>
  <c r="AE493" i="1"/>
  <c r="AF424" i="1"/>
  <c r="AG494" i="1"/>
  <c r="AF550" i="1"/>
  <c r="AC532" i="1"/>
  <c r="AI592" i="1"/>
  <c r="AC606" i="1"/>
  <c r="AF492" i="1"/>
  <c r="AE424" i="1"/>
  <c r="AD503" i="1"/>
  <c r="AC456" i="1"/>
  <c r="AD456" i="1"/>
  <c r="AD470" i="1"/>
  <c r="AI530" i="1"/>
  <c r="AD461" i="1"/>
  <c r="AD424" i="1"/>
  <c r="AD380" i="1"/>
  <c r="AC561" i="1"/>
  <c r="AH492" i="1"/>
  <c r="AE492" i="1"/>
  <c r="AD479" i="1"/>
  <c r="AC479" i="1"/>
  <c r="AG424" i="1"/>
  <c r="AI414" i="1"/>
  <c r="AD603" i="1"/>
  <c r="AC603" i="1"/>
  <c r="AE461" i="1"/>
  <c r="AI531" i="1"/>
  <c r="AI368" i="1"/>
  <c r="AI606" i="1"/>
  <c r="AG550" i="1"/>
  <c r="AC611" i="1"/>
  <c r="AI561" i="1"/>
  <c r="AI595" i="1"/>
  <c r="AF493" i="1"/>
  <c r="AD473" i="1"/>
  <c r="AC473" i="1"/>
  <c r="AC610" i="1"/>
  <c r="AD610" i="1"/>
  <c r="AG380" i="1"/>
  <c r="AC560" i="1"/>
  <c r="AD560" i="1"/>
  <c r="AG503" i="1"/>
  <c r="AI532" i="1"/>
  <c r="AH548" i="1"/>
  <c r="AG493" i="1"/>
  <c r="AD466" i="1"/>
  <c r="AC466" i="1"/>
  <c r="AG599" i="1"/>
  <c r="AD553" i="1"/>
  <c r="AC553" i="1"/>
  <c r="AC414" i="1"/>
  <c r="AH470" i="1"/>
  <c r="AC531" i="1"/>
  <c r="AI611" i="1"/>
  <c r="AI556" i="1"/>
  <c r="AI533" i="1"/>
  <c r="AD303" i="1"/>
  <c r="AI545" i="1"/>
  <c r="AI593" i="1"/>
  <c r="AI557" i="1"/>
  <c r="AC379" i="1"/>
  <c r="AC455" i="1"/>
  <c r="AC518" i="1"/>
  <c r="AC545" i="1"/>
  <c r="AC593" i="1"/>
  <c r="AI577" i="1"/>
  <c r="AI452" i="1"/>
  <c r="AC557" i="1"/>
  <c r="AI449" i="1"/>
  <c r="AI573" i="1"/>
  <c r="AI379" i="1"/>
  <c r="AI536" i="1"/>
  <c r="AI506" i="1"/>
  <c r="AI489" i="1"/>
  <c r="AC577" i="1"/>
  <c r="AC452" i="1"/>
  <c r="AE303" i="1"/>
  <c r="AC449" i="1"/>
  <c r="AC573" i="1"/>
  <c r="AC536" i="1"/>
  <c r="AC506" i="1"/>
  <c r="AC489" i="1"/>
  <c r="AG303" i="1"/>
  <c r="AH303" i="1"/>
  <c r="AI455" i="1"/>
  <c r="AI518" i="1"/>
  <c r="AC435" i="1"/>
  <c r="AD435" i="1"/>
  <c r="AC381" i="1"/>
  <c r="AD381" i="1"/>
  <c r="AC382" i="1"/>
  <c r="AD382" i="1"/>
  <c r="AC439" i="1"/>
  <c r="AD439" i="1"/>
  <c r="AC542" i="1"/>
  <c r="AD542" i="1"/>
  <c r="AC609" i="1"/>
  <c r="AD609" i="1"/>
  <c r="AC484" i="1"/>
  <c r="AD484" i="1"/>
  <c r="AC472" i="1"/>
  <c r="AD472" i="1"/>
  <c r="AC440" i="1"/>
  <c r="AD440" i="1"/>
  <c r="AC547" i="1"/>
  <c r="AD547" i="1"/>
  <c r="AC612" i="1"/>
  <c r="AD612" i="1"/>
  <c r="AC590" i="1"/>
  <c r="AD590" i="1"/>
  <c r="AC551" i="1"/>
  <c r="AD551" i="1"/>
  <c r="AC510" i="1"/>
  <c r="AD510" i="1"/>
  <c r="AC559" i="1"/>
  <c r="AD559" i="1"/>
  <c r="AC558" i="1"/>
  <c r="AD558" i="1"/>
  <c r="AC546" i="1"/>
  <c r="AD546" i="1"/>
  <c r="AC580" i="1"/>
  <c r="AD580" i="1"/>
  <c r="AC600" i="1"/>
  <c r="AD600" i="1"/>
  <c r="AC502" i="1"/>
  <c r="AD502" i="1"/>
  <c r="AC462" i="1"/>
  <c r="AD462" i="1"/>
  <c r="AC353" i="1"/>
  <c r="AD353" i="1"/>
  <c r="AC425" i="1"/>
  <c r="AD425" i="1"/>
  <c r="AC505" i="1"/>
  <c r="AD505" i="1"/>
  <c r="AD401" i="1"/>
  <c r="AC401" i="1"/>
  <c r="AD331" i="1"/>
  <c r="AC331" i="1"/>
  <c r="AC499" i="1"/>
  <c r="AD499" i="1"/>
  <c r="AD375" i="1"/>
  <c r="AC375" i="1"/>
  <c r="AC442" i="1"/>
  <c r="AD442" i="1"/>
  <c r="AC562" i="1"/>
  <c r="AD562" i="1"/>
  <c r="AC498" i="1"/>
  <c r="AD498" i="1"/>
  <c r="AC507" i="1"/>
  <c r="AD507" i="1"/>
  <c r="AD400" i="1"/>
  <c r="AC400" i="1"/>
  <c r="AC480" i="1"/>
  <c r="AD480" i="1"/>
  <c r="AC494" i="1"/>
  <c r="AD494" i="1"/>
  <c r="AC486" i="1"/>
  <c r="AD486" i="1"/>
  <c r="AC411" i="1"/>
  <c r="AD411" i="1"/>
  <c r="AC426" i="1"/>
  <c r="AD426" i="1"/>
  <c r="AC605" i="1"/>
  <c r="AD605" i="1"/>
  <c r="AC602" i="1"/>
  <c r="AD602" i="1"/>
  <c r="AC491" i="1"/>
  <c r="AD491" i="1"/>
  <c r="AC450" i="1"/>
  <c r="AD450" i="1"/>
  <c r="AC451" i="1"/>
  <c r="AD451" i="1"/>
  <c r="AC412" i="1"/>
  <c r="AD412" i="1"/>
  <c r="AC460" i="1"/>
  <c r="AD460" i="1"/>
  <c r="AC350" i="1"/>
  <c r="AD350" i="1"/>
  <c r="AD383" i="1"/>
  <c r="AC383" i="1"/>
  <c r="AC342" i="1"/>
  <c r="AD342" i="1"/>
  <c r="AC420" i="1"/>
  <c r="AD420" i="1"/>
  <c r="AC496" i="1"/>
  <c r="AD496" i="1"/>
  <c r="AC522" i="1"/>
  <c r="AD522" i="1"/>
  <c r="AD500" i="1"/>
  <c r="AC552" i="1"/>
  <c r="AD552" i="1"/>
  <c r="AC352" i="1"/>
  <c r="AD352" i="1"/>
  <c r="AC376" i="1"/>
  <c r="AD376" i="1"/>
  <c r="AC511" i="1"/>
  <c r="AD511" i="1"/>
  <c r="AC544" i="1"/>
  <c r="AD544" i="1"/>
  <c r="AC436" i="1"/>
  <c r="AD436" i="1"/>
  <c r="AC351" i="1"/>
  <c r="AD351" i="1"/>
  <c r="AC508" i="1"/>
  <c r="AD508" i="1"/>
  <c r="AD343" i="1"/>
  <c r="AC343" i="1"/>
  <c r="AC614" i="1"/>
  <c r="AD614" i="1"/>
  <c r="AC377" i="1"/>
  <c r="AD377" i="1"/>
  <c r="AC534" i="1"/>
  <c r="AD534" i="1"/>
  <c r="AC413" i="1"/>
  <c r="AD413" i="1"/>
  <c r="AC569" i="1"/>
  <c r="AD569" i="1"/>
  <c r="AC514" i="1"/>
  <c r="AD514" i="1"/>
  <c r="AC409" i="1"/>
  <c r="AD409" i="1"/>
  <c r="AC457" i="1"/>
  <c r="AD457" i="1"/>
  <c r="AC488" i="1"/>
  <c r="AD488" i="1"/>
  <c r="AC454" i="1"/>
  <c r="AD454" i="1"/>
  <c r="AC397" i="1"/>
  <c r="AD397" i="1"/>
  <c r="AC591" i="1"/>
  <c r="AD591" i="1"/>
  <c r="AC485" i="1"/>
  <c r="AD485" i="1"/>
  <c r="AC483" i="1"/>
  <c r="AD483" i="1"/>
  <c r="AC589" i="1"/>
  <c r="AD589" i="1"/>
  <c r="AC497" i="1"/>
  <c r="AD497" i="1"/>
  <c r="AC458" i="1"/>
  <c r="AD458" i="1"/>
  <c r="AC535" i="1"/>
  <c r="AD535" i="1"/>
  <c r="AC601" i="1"/>
  <c r="AD601" i="1"/>
  <c r="AC89" i="1"/>
  <c r="AI102" i="1"/>
  <c r="AC102" i="1"/>
  <c r="AC304" i="1"/>
  <c r="AI89" i="1"/>
  <c r="AI298" i="1"/>
  <c r="AC134" i="1"/>
  <c r="AI300" i="1"/>
  <c r="F14" i="13"/>
  <c r="AC298" i="1"/>
  <c r="F10" i="13"/>
  <c r="AC107" i="1"/>
  <c r="F11" i="13"/>
  <c r="AI304" i="1"/>
  <c r="AI107" i="1"/>
  <c r="AC105" i="1"/>
  <c r="AI134" i="1"/>
  <c r="F12" i="13"/>
  <c r="AC303" i="1"/>
  <c r="F13" i="13"/>
  <c r="AC300" i="1"/>
  <c r="FT42" i="15" l="1"/>
  <c r="FT754" i="15"/>
  <c r="FT471" i="15"/>
  <c r="FT219" i="15"/>
  <c r="FT776" i="15"/>
  <c r="DL688" i="15"/>
  <c r="FT190" i="15"/>
  <c r="FT145" i="15"/>
  <c r="DL828" i="15"/>
  <c r="DL776" i="15"/>
  <c r="DL6" i="15"/>
  <c r="DL98" i="15"/>
  <c r="DL270" i="15"/>
  <c r="DL577" i="15"/>
  <c r="DL83" i="15"/>
  <c r="DL668" i="15"/>
  <c r="DL300" i="15"/>
  <c r="DL232" i="15"/>
  <c r="DL371" i="15"/>
  <c r="DL514" i="15"/>
  <c r="DL42" i="15"/>
  <c r="DL578" i="15"/>
  <c r="DL611" i="15"/>
  <c r="DL713" i="15"/>
  <c r="DL621" i="15"/>
  <c r="DL754" i="15"/>
  <c r="DL732" i="15"/>
  <c r="DL796" i="15"/>
  <c r="DL168" i="15"/>
  <c r="DL190" i="15"/>
  <c r="DL125" i="15"/>
  <c r="DL529" i="15"/>
  <c r="DL271" i="15"/>
  <c r="DL491" i="15"/>
  <c r="DL219" i="15"/>
  <c r="DL325" i="15"/>
  <c r="DL145" i="15"/>
  <c r="DL65" i="15"/>
  <c r="DL34" i="15"/>
  <c r="DL472" i="15"/>
  <c r="DL251" i="15"/>
  <c r="FT270" i="15"/>
  <c r="FT65" i="15"/>
  <c r="FT98" i="15"/>
  <c r="FT641" i="15"/>
  <c r="FT548" i="15"/>
  <c r="FT577" i="15"/>
  <c r="FT83" i="15"/>
  <c r="FT144" i="15"/>
  <c r="FT472" i="15"/>
  <c r="FT271" i="15"/>
  <c r="FT713" i="15"/>
  <c r="FT514" i="15"/>
  <c r="FT125" i="15"/>
  <c r="FT300" i="15"/>
  <c r="FT407" i="15"/>
  <c r="FT6" i="15"/>
  <c r="FT34" i="15"/>
  <c r="FT688" i="15"/>
  <c r="FT796" i="15"/>
  <c r="FT168" i="15"/>
  <c r="FT9" i="15"/>
  <c r="FT430" i="15"/>
  <c r="FT621" i="15"/>
  <c r="FT491" i="15"/>
  <c r="FT455" i="15"/>
  <c r="FT371" i="15"/>
  <c r="FT232" i="15"/>
  <c r="FT8" i="15"/>
  <c r="FT668" i="15"/>
  <c r="FT578" i="15"/>
  <c r="FT828" i="15"/>
  <c r="FT714" i="15"/>
  <c r="FZ9" i="15"/>
  <c r="FZ8" i="15"/>
  <c r="FZ6" i="15"/>
  <c r="FZ828" i="15"/>
  <c r="FZ548" i="15"/>
  <c r="FZ430" i="15"/>
  <c r="FZ34" i="15"/>
  <c r="FZ325" i="15"/>
  <c r="FZ641" i="15"/>
  <c r="FZ125" i="15"/>
  <c r="FZ471" i="15"/>
  <c r="FZ732" i="15"/>
  <c r="FZ219" i="15"/>
  <c r="FZ529" i="15"/>
  <c r="FZ300" i="15"/>
  <c r="FZ713" i="15"/>
  <c r="FZ98" i="15"/>
  <c r="FZ455" i="15"/>
  <c r="FZ714" i="15"/>
  <c r="FZ190" i="15"/>
  <c r="FZ514" i="15"/>
  <c r="FZ271" i="15"/>
  <c r="FZ611" i="15"/>
  <c r="FZ621" i="15"/>
  <c r="FZ145" i="15"/>
  <c r="FZ168" i="15"/>
  <c r="FZ491" i="15"/>
  <c r="FZ796" i="15"/>
  <c r="FZ270" i="15"/>
  <c r="FZ578" i="15"/>
  <c r="FZ65" i="15"/>
  <c r="FZ407" i="15"/>
  <c r="FZ688" i="15"/>
  <c r="FZ232" i="15"/>
  <c r="FZ83" i="15"/>
  <c r="FZ776" i="15"/>
  <c r="FZ251" i="15"/>
  <c r="FZ577" i="15"/>
  <c r="FZ42" i="15"/>
  <c r="FZ371" i="15"/>
  <c r="FZ668" i="15"/>
  <c r="FZ144" i="15"/>
  <c r="FZ472" i="15"/>
  <c r="FZ754" i="15"/>
  <c r="FS852" i="15"/>
  <c r="FT852" i="15" s="1"/>
  <c r="FS811" i="15"/>
  <c r="FT811" i="15" s="1"/>
  <c r="FS769" i="15"/>
  <c r="FT769" i="15" s="1"/>
  <c r="FS730" i="15"/>
  <c r="FT730" i="15" s="1"/>
  <c r="FS679" i="15"/>
  <c r="FT679" i="15" s="1"/>
  <c r="FS627" i="15"/>
  <c r="FT627" i="15" s="1"/>
  <c r="FS587" i="15"/>
  <c r="FT587" i="15" s="1"/>
  <c r="FS546" i="15"/>
  <c r="FT546" i="15" s="1"/>
  <c r="FS505" i="15"/>
  <c r="FT505" i="15" s="1"/>
  <c r="FS434" i="15"/>
  <c r="FT434" i="15" s="1"/>
  <c r="FS351" i="15"/>
  <c r="FT351" i="15" s="1"/>
  <c r="FS126" i="15"/>
  <c r="FT126" i="15" s="1"/>
  <c r="FS851" i="15"/>
  <c r="FT851" i="15" s="1"/>
  <c r="FS820" i="15"/>
  <c r="FT820" i="15" s="1"/>
  <c r="FS779" i="15"/>
  <c r="FT779" i="15" s="1"/>
  <c r="FS738" i="15"/>
  <c r="FT738" i="15" s="1"/>
  <c r="FS698" i="15"/>
  <c r="FT698" i="15" s="1"/>
  <c r="FS657" i="15"/>
  <c r="FT657" i="15" s="1"/>
  <c r="FS616" i="15"/>
  <c r="FT616" i="15" s="1"/>
  <c r="FS565" i="15"/>
  <c r="FT565" i="15" s="1"/>
  <c r="FS524" i="15"/>
  <c r="FT524" i="15" s="1"/>
  <c r="FS388" i="15"/>
  <c r="FT388" i="15" s="1"/>
  <c r="FS279" i="15"/>
  <c r="FT279" i="15" s="1"/>
  <c r="FS118" i="15"/>
  <c r="FT118" i="15" s="1"/>
  <c r="FS848" i="15"/>
  <c r="FT848" i="15" s="1"/>
  <c r="FS817" i="15"/>
  <c r="FT817" i="15" s="1"/>
  <c r="FS734" i="15"/>
  <c r="FT734" i="15" s="1"/>
  <c r="FS684" i="15"/>
  <c r="FT684" i="15" s="1"/>
  <c r="FS642" i="15"/>
  <c r="FT642" i="15" s="1"/>
  <c r="FS603" i="15"/>
  <c r="FT603" i="15" s="1"/>
  <c r="FS561" i="15"/>
  <c r="FT561" i="15" s="1"/>
  <c r="FS520" i="15"/>
  <c r="FT520" i="15" s="1"/>
  <c r="FS465" i="15"/>
  <c r="FT465" i="15" s="1"/>
  <c r="FS382" i="15"/>
  <c r="FT382" i="15" s="1"/>
  <c r="FS107" i="15"/>
  <c r="FT107" i="15" s="1"/>
  <c r="FS839" i="15"/>
  <c r="FT839" i="15" s="1"/>
  <c r="FS805" i="15"/>
  <c r="FT805" i="15" s="1"/>
  <c r="FS744" i="15"/>
  <c r="FT744" i="15" s="1"/>
  <c r="FS703" i="15"/>
  <c r="FT703" i="15" s="1"/>
  <c r="FS662" i="15"/>
  <c r="FT662" i="15" s="1"/>
  <c r="FS591" i="15"/>
  <c r="FT591" i="15" s="1"/>
  <c r="FS549" i="15"/>
  <c r="FT549" i="15" s="1"/>
  <c r="FS499" i="15"/>
  <c r="FT499" i="15" s="1"/>
  <c r="FS419" i="15"/>
  <c r="FT419" i="15" s="1"/>
  <c r="FS335" i="15"/>
  <c r="FT335" i="15" s="1"/>
  <c r="FS179" i="15"/>
  <c r="FT179" i="15" s="1"/>
  <c r="FS16" i="15"/>
  <c r="FT16" i="15" s="1"/>
  <c r="FS478" i="15"/>
  <c r="FT478" i="15" s="1"/>
  <c r="FS458" i="15"/>
  <c r="FT458" i="15" s="1"/>
  <c r="FS432" i="15"/>
  <c r="FT432" i="15" s="1"/>
  <c r="FS412" i="15"/>
  <c r="FT412" i="15" s="1"/>
  <c r="FS386" i="15"/>
  <c r="FT386" i="15" s="1"/>
  <c r="FS366" i="15"/>
  <c r="FT366" i="15" s="1"/>
  <c r="FS345" i="15"/>
  <c r="FT345" i="15" s="1"/>
  <c r="FS318" i="15"/>
  <c r="FT318" i="15" s="1"/>
  <c r="FS268" i="15"/>
  <c r="FT268" i="15" s="1"/>
  <c r="FS226" i="15"/>
  <c r="FT226" i="15" s="1"/>
  <c r="FS176" i="15"/>
  <c r="FT176" i="15" s="1"/>
  <c r="FS115" i="15"/>
  <c r="FT115" i="15" s="1"/>
  <c r="FS73" i="15"/>
  <c r="FT73" i="15" s="1"/>
  <c r="FS12" i="15"/>
  <c r="FT12" i="15" s="1"/>
  <c r="FS846" i="15"/>
  <c r="FT846" i="15" s="1"/>
  <c r="FS830" i="15"/>
  <c r="FT830" i="15" s="1"/>
  <c r="FS809" i="15"/>
  <c r="FT809" i="15" s="1"/>
  <c r="FS788" i="15"/>
  <c r="FT788" i="15" s="1"/>
  <c r="FS766" i="15"/>
  <c r="FT766" i="15" s="1"/>
  <c r="FS742" i="15"/>
  <c r="FT742" i="15" s="1"/>
  <c r="FS717" i="15"/>
  <c r="FT717" i="15" s="1"/>
  <c r="FS691" i="15"/>
  <c r="FT691" i="15" s="1"/>
  <c r="FS666" i="15"/>
  <c r="FT666" i="15" s="1"/>
  <c r="FS645" i="15"/>
  <c r="FT645" i="15" s="1"/>
  <c r="FS625" i="15"/>
  <c r="FT625" i="15" s="1"/>
  <c r="FS600" i="15"/>
  <c r="FT600" i="15" s="1"/>
  <c r="FS579" i="15"/>
  <c r="FT579" i="15" s="1"/>
  <c r="FS558" i="15"/>
  <c r="FT558" i="15" s="1"/>
  <c r="FS533" i="15"/>
  <c r="FT533" i="15" s="1"/>
  <c r="FS503" i="15"/>
  <c r="FT503" i="15" s="1"/>
  <c r="FS482" i="15"/>
  <c r="FT482" i="15" s="1"/>
  <c r="FS457" i="15"/>
  <c r="FT457" i="15" s="1"/>
  <c r="FS436" i="15"/>
  <c r="FT436" i="15" s="1"/>
  <c r="FS416" i="15"/>
  <c r="FT416" i="15" s="1"/>
  <c r="FS390" i="15"/>
  <c r="FT390" i="15" s="1"/>
  <c r="FS365" i="15"/>
  <c r="FT365" i="15" s="1"/>
  <c r="FS343" i="15"/>
  <c r="FT343" i="15" s="1"/>
  <c r="FS306" i="15"/>
  <c r="FT306" i="15" s="1"/>
  <c r="FS264" i="15"/>
  <c r="FT264" i="15" s="1"/>
  <c r="FS225" i="15"/>
  <c r="FT225" i="15" s="1"/>
  <c r="FS184" i="15"/>
  <c r="FT184" i="15" s="1"/>
  <c r="FS142" i="15"/>
  <c r="FT142" i="15" s="1"/>
  <c r="FS102" i="15"/>
  <c r="FT102" i="15" s="1"/>
  <c r="FS62" i="15"/>
  <c r="FT62" i="15" s="1"/>
  <c r="FS20" i="15"/>
  <c r="FT20" i="15" s="1"/>
  <c r="FS853" i="15"/>
  <c r="FT853" i="15" s="1"/>
  <c r="FS837" i="15"/>
  <c r="FT837" i="15" s="1"/>
  <c r="FS822" i="15"/>
  <c r="FT822" i="15" s="1"/>
  <c r="FS802" i="15"/>
  <c r="FT802" i="15" s="1"/>
  <c r="FS782" i="15"/>
  <c r="FT782" i="15" s="1"/>
  <c r="FS756" i="15"/>
  <c r="FT756" i="15" s="1"/>
  <c r="FS736" i="15"/>
  <c r="FT736" i="15" s="1"/>
  <c r="FS711" i="15"/>
  <c r="FT711" i="15" s="1"/>
  <c r="FS690" i="15"/>
  <c r="FT690" i="15" s="1"/>
  <c r="FS669" i="15"/>
  <c r="FT669" i="15" s="1"/>
  <c r="FS649" i="15"/>
  <c r="FT649" i="15" s="1"/>
  <c r="FS629" i="15"/>
  <c r="FT629" i="15" s="1"/>
  <c r="FS609" i="15"/>
  <c r="FT609" i="15" s="1"/>
  <c r="FS588" i="15"/>
  <c r="FT588" i="15" s="1"/>
  <c r="FS568" i="15"/>
  <c r="FT568" i="15" s="1"/>
  <c r="FS542" i="15"/>
  <c r="FT542" i="15" s="1"/>
  <c r="FS522" i="15"/>
  <c r="FT522" i="15" s="1"/>
  <c r="FS501" i="15"/>
  <c r="FT501" i="15" s="1"/>
  <c r="FS476" i="15"/>
  <c r="FT476" i="15" s="1"/>
  <c r="FS451" i="15"/>
  <c r="FT451" i="15" s="1"/>
  <c r="FS425" i="15"/>
  <c r="FT425" i="15" s="1"/>
  <c r="FS405" i="15"/>
  <c r="FT405" i="15" s="1"/>
  <c r="FS384" i="15"/>
  <c r="FT384" i="15" s="1"/>
  <c r="FS363" i="15"/>
  <c r="FT363" i="15" s="1"/>
  <c r="FS342" i="15"/>
  <c r="FT342" i="15" s="1"/>
  <c r="FS314" i="15"/>
  <c r="FT314" i="15" s="1"/>
  <c r="FS263" i="15"/>
  <c r="FT263" i="15" s="1"/>
  <c r="FS211" i="15"/>
  <c r="FT211" i="15" s="1"/>
  <c r="FS171" i="15"/>
  <c r="FT171" i="15" s="1"/>
  <c r="FS130" i="15"/>
  <c r="FT130" i="15" s="1"/>
  <c r="FS88" i="15"/>
  <c r="FT88" i="15" s="1"/>
  <c r="FS49" i="15"/>
  <c r="FT49" i="15" s="1"/>
  <c r="FS804" i="15"/>
  <c r="FT804" i="15" s="1"/>
  <c r="FS785" i="15"/>
  <c r="FT785" i="15" s="1"/>
  <c r="FS768" i="15"/>
  <c r="FT768" i="15" s="1"/>
  <c r="FS751" i="15"/>
  <c r="FT751" i="15" s="1"/>
  <c r="FS735" i="15"/>
  <c r="FT735" i="15" s="1"/>
  <c r="FS720" i="15"/>
  <c r="FT720" i="15" s="1"/>
  <c r="FS705" i="15"/>
  <c r="FT705" i="15" s="1"/>
  <c r="FS689" i="15"/>
  <c r="FT689" i="15" s="1"/>
  <c r="FS674" i="15"/>
  <c r="FT674" i="15" s="1"/>
  <c r="FS655" i="15"/>
  <c r="FT655" i="15" s="1"/>
  <c r="FS636" i="15"/>
  <c r="FT636" i="15" s="1"/>
  <c r="FS602" i="15"/>
  <c r="FT602" i="15" s="1"/>
  <c r="FS586" i="15"/>
  <c r="FT586" i="15" s="1"/>
  <c r="FS567" i="15"/>
  <c r="FT567" i="15" s="1"/>
  <c r="FS551" i="15"/>
  <c r="FT551" i="15" s="1"/>
  <c r="FS536" i="15"/>
  <c r="FT536" i="15" s="1"/>
  <c r="FS521" i="15"/>
  <c r="FT521" i="15" s="1"/>
  <c r="FS506" i="15"/>
  <c r="FT506" i="15" s="1"/>
  <c r="FS475" i="15"/>
  <c r="FT475" i="15" s="1"/>
  <c r="FS460" i="15"/>
  <c r="FT460" i="15" s="1"/>
  <c r="FS445" i="15"/>
  <c r="FT445" i="15" s="1"/>
  <c r="FS414" i="15"/>
  <c r="FT414" i="15" s="1"/>
  <c r="FS399" i="15"/>
  <c r="FT399" i="15" s="1"/>
  <c r="FS383" i="15"/>
  <c r="FT383" i="15" s="1"/>
  <c r="FS364" i="15"/>
  <c r="FT364" i="15" s="1"/>
  <c r="FS348" i="15"/>
  <c r="FT348" i="15" s="1"/>
  <c r="FS332" i="15"/>
  <c r="FT332" i="15" s="1"/>
  <c r="FS305" i="15"/>
  <c r="FT305" i="15" s="1"/>
  <c r="FS275" i="15"/>
  <c r="FT275" i="15" s="1"/>
  <c r="FS236" i="15"/>
  <c r="FT236" i="15" s="1"/>
  <c r="FS206" i="15"/>
  <c r="FT206" i="15" s="1"/>
  <c r="FS137" i="15"/>
  <c r="FT137" i="15" s="1"/>
  <c r="FS106" i="15"/>
  <c r="FT106" i="15" s="1"/>
  <c r="FS61" i="15"/>
  <c r="FT61" i="15" s="1"/>
  <c r="FS31" i="15"/>
  <c r="FT31" i="15" s="1"/>
  <c r="FS327" i="15"/>
  <c r="FT327" i="15" s="1"/>
  <c r="FS308" i="15"/>
  <c r="FT308" i="15" s="1"/>
  <c r="FS289" i="15"/>
  <c r="FT289" i="15" s="1"/>
  <c r="FS273" i="15"/>
  <c r="FT273" i="15" s="1"/>
  <c r="FS258" i="15"/>
  <c r="FT258" i="15" s="1"/>
  <c r="FS243" i="15"/>
  <c r="FT243" i="15" s="1"/>
  <c r="FS228" i="15"/>
  <c r="FT228" i="15" s="1"/>
  <c r="FS213" i="15"/>
  <c r="FT213" i="15" s="1"/>
  <c r="FS197" i="15"/>
  <c r="FT197" i="15" s="1"/>
  <c r="FS182" i="15"/>
  <c r="FT182" i="15" s="1"/>
  <c r="FS163" i="15"/>
  <c r="FT163" i="15" s="1"/>
  <c r="FS147" i="15"/>
  <c r="FT147" i="15" s="1"/>
  <c r="FS132" i="15"/>
  <c r="FT132" i="15" s="1"/>
  <c r="FS117" i="15"/>
  <c r="FT117" i="15" s="1"/>
  <c r="FS101" i="15"/>
  <c r="FT101" i="15" s="1"/>
  <c r="FS86" i="15"/>
  <c r="FT86" i="15" s="1"/>
  <c r="FS71" i="15"/>
  <c r="FT71" i="15" s="1"/>
  <c r="FS52" i="15"/>
  <c r="FT52" i="15" s="1"/>
  <c r="FS18" i="15"/>
  <c r="FT18" i="15" s="1"/>
  <c r="FS323" i="15"/>
  <c r="FT323" i="15" s="1"/>
  <c r="FS307" i="15"/>
  <c r="FT307" i="15" s="1"/>
  <c r="FS292" i="15"/>
  <c r="FT292" i="15" s="1"/>
  <c r="FS276" i="15"/>
  <c r="FT276" i="15" s="1"/>
  <c r="FS257" i="15"/>
  <c r="FT257" i="15" s="1"/>
  <c r="FS238" i="15"/>
  <c r="FT238" i="15" s="1"/>
  <c r="FS216" i="15"/>
  <c r="FT216" i="15" s="1"/>
  <c r="FS200" i="15"/>
  <c r="FT200" i="15" s="1"/>
  <c r="FS181" i="15"/>
  <c r="FT181" i="15" s="1"/>
  <c r="FS166" i="15"/>
  <c r="FT166" i="15" s="1"/>
  <c r="FS150" i="15"/>
  <c r="FT150" i="15" s="1"/>
  <c r="FS131" i="15"/>
  <c r="FT131" i="15" s="1"/>
  <c r="FS112" i="15"/>
  <c r="FT112" i="15" s="1"/>
  <c r="FS92" i="15"/>
  <c r="FT92" i="15" s="1"/>
  <c r="FS74" i="15"/>
  <c r="FT74" i="15" s="1"/>
  <c r="FS59" i="15"/>
  <c r="FT59" i="15" s="1"/>
  <c r="FS43" i="15"/>
  <c r="FT43" i="15" s="1"/>
  <c r="FS25" i="15"/>
  <c r="FT25" i="15" s="1"/>
  <c r="FS844" i="15"/>
  <c r="FT844" i="15" s="1"/>
  <c r="FS801" i="15"/>
  <c r="FT801" i="15" s="1"/>
  <c r="FS758" i="15"/>
  <c r="FT758" i="15" s="1"/>
  <c r="FS719" i="15"/>
  <c r="FT719" i="15" s="1"/>
  <c r="FS658" i="15"/>
  <c r="FT658" i="15" s="1"/>
  <c r="FS618" i="15"/>
  <c r="FT618" i="15" s="1"/>
  <c r="FS535" i="15"/>
  <c r="FT535" i="15" s="1"/>
  <c r="FS495" i="15"/>
  <c r="FT495" i="15" s="1"/>
  <c r="FS413" i="15"/>
  <c r="FT413" i="15" s="1"/>
  <c r="FS330" i="15"/>
  <c r="FT330" i="15" s="1"/>
  <c r="FS87" i="15"/>
  <c r="FT87" i="15" s="1"/>
  <c r="FS843" i="15"/>
  <c r="FT843" i="15" s="1"/>
  <c r="FS810" i="15"/>
  <c r="FT810" i="15" s="1"/>
  <c r="FS767" i="15"/>
  <c r="FT767" i="15" s="1"/>
  <c r="FS729" i="15"/>
  <c r="FT729" i="15" s="1"/>
  <c r="FS646" i="15"/>
  <c r="FT646" i="15" s="1"/>
  <c r="FS607" i="15"/>
  <c r="FT607" i="15" s="1"/>
  <c r="FS554" i="15"/>
  <c r="FT554" i="15" s="1"/>
  <c r="FS504" i="15"/>
  <c r="FT504" i="15" s="1"/>
  <c r="FS367" i="15"/>
  <c r="FT367" i="15" s="1"/>
  <c r="FS240" i="15"/>
  <c r="FT240" i="15" s="1"/>
  <c r="FS77" i="15"/>
  <c r="FT77" i="15" s="1"/>
  <c r="FS840" i="15"/>
  <c r="FT840" i="15" s="1"/>
  <c r="FS806" i="15"/>
  <c r="FT806" i="15" s="1"/>
  <c r="FS763" i="15"/>
  <c r="FT763" i="15" s="1"/>
  <c r="FS725" i="15"/>
  <c r="FT725" i="15" s="1"/>
  <c r="FS673" i="15"/>
  <c r="FT673" i="15" s="1"/>
  <c r="FS633" i="15"/>
  <c r="FT633" i="15" s="1"/>
  <c r="FS592" i="15"/>
  <c r="FT592" i="15" s="1"/>
  <c r="FS550" i="15"/>
  <c r="FT550" i="15" s="1"/>
  <c r="FS511" i="15"/>
  <c r="FT511" i="15" s="1"/>
  <c r="FS444" i="15"/>
  <c r="FT444" i="15" s="1"/>
  <c r="FS362" i="15"/>
  <c r="FT362" i="15" s="1"/>
  <c r="FS230" i="15"/>
  <c r="FT230" i="15" s="1"/>
  <c r="FS27" i="15"/>
  <c r="FT27" i="15" s="1"/>
  <c r="FS831" i="15"/>
  <c r="FT831" i="15" s="1"/>
  <c r="FS784" i="15"/>
  <c r="FT784" i="15" s="1"/>
  <c r="FS733" i="15"/>
  <c r="FT733" i="15" s="1"/>
  <c r="FS692" i="15"/>
  <c r="FT692" i="15" s="1"/>
  <c r="FS652" i="15"/>
  <c r="FT652" i="15" s="1"/>
  <c r="FS580" i="15"/>
  <c r="FT580" i="15" s="1"/>
  <c r="FS539" i="15"/>
  <c r="FT539" i="15" s="1"/>
  <c r="FS480" i="15"/>
  <c r="FT480" i="15" s="1"/>
  <c r="FS398" i="15"/>
  <c r="FT398" i="15" s="1"/>
  <c r="FS301" i="15"/>
  <c r="FT301" i="15" s="1"/>
  <c r="FS138" i="15"/>
  <c r="FT138" i="15" s="1"/>
  <c r="FS493" i="15"/>
  <c r="FT493" i="15" s="1"/>
  <c r="FS473" i="15"/>
  <c r="FT473" i="15" s="1"/>
  <c r="FS448" i="15"/>
  <c r="FT448" i="15" s="1"/>
  <c r="FS428" i="15"/>
  <c r="FT428" i="15" s="1"/>
  <c r="FS402" i="15"/>
  <c r="FT402" i="15" s="1"/>
  <c r="FS381" i="15"/>
  <c r="FT381" i="15" s="1"/>
  <c r="FS361" i="15"/>
  <c r="FT361" i="15" s="1"/>
  <c r="FS339" i="15"/>
  <c r="FT339" i="15" s="1"/>
  <c r="FS309" i="15"/>
  <c r="FT309" i="15" s="1"/>
  <c r="FS256" i="15"/>
  <c r="FT256" i="15" s="1"/>
  <c r="FS207" i="15"/>
  <c r="FT207" i="15" s="1"/>
  <c r="FS165" i="15"/>
  <c r="FT165" i="15" s="1"/>
  <c r="FS103" i="15"/>
  <c r="FT103" i="15" s="1"/>
  <c r="FS858" i="15"/>
  <c r="FT858" i="15" s="1"/>
  <c r="FS842" i="15"/>
  <c r="FT842" i="15" s="1"/>
  <c r="FS823" i="15"/>
  <c r="FT823" i="15" s="1"/>
  <c r="FS803" i="15"/>
  <c r="FT803" i="15" s="1"/>
  <c r="FS783" i="15"/>
  <c r="FT783" i="15" s="1"/>
  <c r="FS761" i="15"/>
  <c r="FT761" i="15" s="1"/>
  <c r="FS737" i="15"/>
  <c r="FT737" i="15" s="1"/>
  <c r="FS707" i="15"/>
  <c r="FT707" i="15" s="1"/>
  <c r="FS681" i="15"/>
  <c r="FT681" i="15" s="1"/>
  <c r="FS661" i="15"/>
  <c r="FT661" i="15" s="1"/>
  <c r="FS615" i="15"/>
  <c r="FT615" i="15" s="1"/>
  <c r="FS595" i="15"/>
  <c r="FT595" i="15" s="1"/>
  <c r="FS572" i="15"/>
  <c r="FT572" i="15" s="1"/>
  <c r="FS553" i="15"/>
  <c r="FT553" i="15" s="1"/>
  <c r="FS523" i="15"/>
  <c r="FT523" i="15" s="1"/>
  <c r="FS497" i="15"/>
  <c r="FT497" i="15" s="1"/>
  <c r="FS477" i="15"/>
  <c r="FT477" i="15" s="1"/>
  <c r="FS452" i="15"/>
  <c r="FT452" i="15" s="1"/>
  <c r="FS431" i="15"/>
  <c r="FT431" i="15" s="1"/>
  <c r="FS411" i="15"/>
  <c r="FT411" i="15" s="1"/>
  <c r="FS385" i="15"/>
  <c r="FT385" i="15" s="1"/>
  <c r="FS359" i="15"/>
  <c r="FT359" i="15" s="1"/>
  <c r="FS338" i="15"/>
  <c r="FT338" i="15" s="1"/>
  <c r="FS295" i="15"/>
  <c r="FT295" i="15" s="1"/>
  <c r="FS255" i="15"/>
  <c r="FT255" i="15" s="1"/>
  <c r="FS215" i="15"/>
  <c r="FT215" i="15" s="1"/>
  <c r="FS172" i="15"/>
  <c r="FT172" i="15" s="1"/>
  <c r="FS133" i="15"/>
  <c r="FT133" i="15" s="1"/>
  <c r="FS93" i="15"/>
  <c r="FT93" i="15" s="1"/>
  <c r="FS50" i="15"/>
  <c r="FT50" i="15" s="1"/>
  <c r="FS11" i="15"/>
  <c r="FT11" i="15" s="1"/>
  <c r="FS849" i="15"/>
  <c r="FT849" i="15" s="1"/>
  <c r="FS833" i="15"/>
  <c r="FT833" i="15" s="1"/>
  <c r="FS818" i="15"/>
  <c r="FT818" i="15" s="1"/>
  <c r="FS797" i="15"/>
  <c r="FT797" i="15" s="1"/>
  <c r="FS770" i="15"/>
  <c r="FT770" i="15" s="1"/>
  <c r="FS752" i="15"/>
  <c r="FT752" i="15" s="1"/>
  <c r="FS726" i="15"/>
  <c r="FT726" i="15" s="1"/>
  <c r="FS706" i="15"/>
  <c r="FT706" i="15" s="1"/>
  <c r="FS685" i="15"/>
  <c r="FT685" i="15" s="1"/>
  <c r="FS665" i="15"/>
  <c r="FT665" i="15" s="1"/>
  <c r="FS644" i="15"/>
  <c r="FT644" i="15" s="1"/>
  <c r="FS623" i="15"/>
  <c r="FT623" i="15" s="1"/>
  <c r="FS604" i="15"/>
  <c r="FT604" i="15" s="1"/>
  <c r="FS583" i="15"/>
  <c r="FT583" i="15" s="1"/>
  <c r="FS562" i="15"/>
  <c r="FT562" i="15" s="1"/>
  <c r="FS537" i="15"/>
  <c r="FT537" i="15" s="1"/>
  <c r="FS516" i="15"/>
  <c r="FT516" i="15" s="1"/>
  <c r="FS496" i="15"/>
  <c r="FT496" i="15" s="1"/>
  <c r="FS446" i="15"/>
  <c r="FT446" i="15" s="1"/>
  <c r="FS420" i="15"/>
  <c r="FT420" i="15" s="1"/>
  <c r="FS400" i="15"/>
  <c r="FT400" i="15" s="1"/>
  <c r="FS378" i="15"/>
  <c r="FT378" i="15" s="1"/>
  <c r="FS358" i="15"/>
  <c r="FT358" i="15" s="1"/>
  <c r="FS337" i="15"/>
  <c r="FT337" i="15" s="1"/>
  <c r="FS302" i="15"/>
  <c r="FT302" i="15" s="1"/>
  <c r="FS252" i="15"/>
  <c r="FT252" i="15" s="1"/>
  <c r="FS202" i="15"/>
  <c r="FT202" i="15" s="1"/>
  <c r="FS161" i="15"/>
  <c r="FT161" i="15" s="1"/>
  <c r="FS119" i="15"/>
  <c r="FT119" i="15" s="1"/>
  <c r="FS80" i="15"/>
  <c r="FT80" i="15" s="1"/>
  <c r="FS39" i="15"/>
  <c r="FT39" i="15" s="1"/>
  <c r="FS816" i="15"/>
  <c r="FT816" i="15" s="1"/>
  <c r="FS800" i="15"/>
  <c r="FT800" i="15" s="1"/>
  <c r="FS781" i="15"/>
  <c r="FT781" i="15" s="1"/>
  <c r="FS764" i="15"/>
  <c r="FT764" i="15" s="1"/>
  <c r="FS747" i="15"/>
  <c r="FT747" i="15" s="1"/>
  <c r="FS716" i="15"/>
  <c r="FT716" i="15" s="1"/>
  <c r="FS701" i="15"/>
  <c r="FT701" i="15" s="1"/>
  <c r="FS686" i="15"/>
  <c r="FT686" i="15" s="1"/>
  <c r="FS670" i="15"/>
  <c r="FT670" i="15" s="1"/>
  <c r="FS651" i="15"/>
  <c r="FT651" i="15" s="1"/>
  <c r="FS632" i="15"/>
  <c r="FT632" i="15" s="1"/>
  <c r="FS617" i="15"/>
  <c r="FT617" i="15" s="1"/>
  <c r="FS598" i="15"/>
  <c r="FT598" i="15" s="1"/>
  <c r="FS582" i="15"/>
  <c r="FT582" i="15" s="1"/>
  <c r="FS563" i="15"/>
  <c r="FT563" i="15" s="1"/>
  <c r="FS532" i="15"/>
  <c r="FT532" i="15" s="1"/>
  <c r="FS517" i="15"/>
  <c r="FT517" i="15" s="1"/>
  <c r="FS502" i="15"/>
  <c r="FT502" i="15" s="1"/>
  <c r="FS487" i="15"/>
  <c r="FT487" i="15" s="1"/>
  <c r="FS456" i="15"/>
  <c r="FT456" i="15" s="1"/>
  <c r="FS441" i="15"/>
  <c r="FT441" i="15" s="1"/>
  <c r="FS426" i="15"/>
  <c r="FT426" i="15" s="1"/>
  <c r="FS410" i="15"/>
  <c r="FT410" i="15" s="1"/>
  <c r="FS395" i="15"/>
  <c r="FT395" i="15" s="1"/>
  <c r="FS379" i="15"/>
  <c r="FT379" i="15" s="1"/>
  <c r="FS360" i="15"/>
  <c r="FT360" i="15" s="1"/>
  <c r="FS344" i="15"/>
  <c r="FT344" i="15" s="1"/>
  <c r="FS328" i="15"/>
  <c r="FT328" i="15" s="1"/>
  <c r="FS298" i="15"/>
  <c r="FT298" i="15" s="1"/>
  <c r="FS267" i="15"/>
  <c r="FT267" i="15" s="1"/>
  <c r="FS229" i="15"/>
  <c r="FT229" i="15" s="1"/>
  <c r="FS198" i="15"/>
  <c r="FT198" i="15" s="1"/>
  <c r="FS160" i="15"/>
  <c r="FT160" i="15" s="1"/>
  <c r="FS129" i="15"/>
  <c r="FT129" i="15" s="1"/>
  <c r="FS91" i="15"/>
  <c r="FT91" i="15" s="1"/>
  <c r="FS53" i="15"/>
  <c r="FT53" i="15" s="1"/>
  <c r="FS23" i="15"/>
  <c r="FT23" i="15" s="1"/>
  <c r="FS320" i="15"/>
  <c r="FT320" i="15" s="1"/>
  <c r="FS304" i="15"/>
  <c r="FT304" i="15" s="1"/>
  <c r="FS285" i="15"/>
  <c r="FT285" i="15" s="1"/>
  <c r="FS254" i="15"/>
  <c r="FT254" i="15" s="1"/>
  <c r="FS239" i="15"/>
  <c r="FT239" i="15" s="1"/>
  <c r="FS224" i="15"/>
  <c r="FT224" i="15" s="1"/>
  <c r="FS209" i="15"/>
  <c r="FT209" i="15" s="1"/>
  <c r="FS193" i="15"/>
  <c r="FT193" i="15" s="1"/>
  <c r="FS178" i="15"/>
  <c r="FT178" i="15" s="1"/>
  <c r="FS159" i="15"/>
  <c r="FT159" i="15" s="1"/>
  <c r="FS128" i="15"/>
  <c r="FT128" i="15" s="1"/>
  <c r="FS113" i="15"/>
  <c r="FT113" i="15" s="1"/>
  <c r="FS67" i="15"/>
  <c r="FT67" i="15" s="1"/>
  <c r="FS48" i="15"/>
  <c r="FT48" i="15" s="1"/>
  <c r="FS30" i="15"/>
  <c r="FT30" i="15" s="1"/>
  <c r="FS14" i="15"/>
  <c r="FT14" i="15" s="1"/>
  <c r="FS319" i="15"/>
  <c r="FT319" i="15" s="1"/>
  <c r="FS303" i="15"/>
  <c r="FT303" i="15" s="1"/>
  <c r="FS288" i="15"/>
  <c r="FT288" i="15" s="1"/>
  <c r="FS272" i="15"/>
  <c r="FT272" i="15" s="1"/>
  <c r="FS253" i="15"/>
  <c r="FT253" i="15" s="1"/>
  <c r="FS234" i="15"/>
  <c r="FT234" i="15" s="1"/>
  <c r="FS212" i="15"/>
  <c r="FT212" i="15" s="1"/>
  <c r="FS196" i="15"/>
  <c r="FT196" i="15" s="1"/>
  <c r="FS177" i="15"/>
  <c r="FT177" i="15" s="1"/>
  <c r="FS162" i="15"/>
  <c r="FT162" i="15" s="1"/>
  <c r="FS146" i="15"/>
  <c r="FT146" i="15" s="1"/>
  <c r="FS127" i="15"/>
  <c r="FT127" i="15" s="1"/>
  <c r="FS108" i="15"/>
  <c r="FT108" i="15" s="1"/>
  <c r="FS89" i="15"/>
  <c r="FT89" i="15" s="1"/>
  <c r="FS70" i="15"/>
  <c r="FT70" i="15" s="1"/>
  <c r="FS55" i="15"/>
  <c r="FT55" i="15" s="1"/>
  <c r="FS40" i="15"/>
  <c r="FT40" i="15" s="1"/>
  <c r="FS21" i="15"/>
  <c r="FT21" i="15" s="1"/>
  <c r="FS836" i="15"/>
  <c r="FT836" i="15" s="1"/>
  <c r="FS791" i="15"/>
  <c r="FT791" i="15" s="1"/>
  <c r="FS750" i="15"/>
  <c r="FT750" i="15" s="1"/>
  <c r="FS710" i="15"/>
  <c r="FT710" i="15" s="1"/>
  <c r="FS648" i="15"/>
  <c r="FT648" i="15" s="1"/>
  <c r="FS608" i="15"/>
  <c r="FT608" i="15" s="1"/>
  <c r="FS566" i="15"/>
  <c r="FT566" i="15" s="1"/>
  <c r="FS526" i="15"/>
  <c r="FT526" i="15" s="1"/>
  <c r="FS474" i="15"/>
  <c r="FT474" i="15" s="1"/>
  <c r="FS393" i="15"/>
  <c r="FT393" i="15" s="1"/>
  <c r="FS291" i="15"/>
  <c r="FT291" i="15" s="1"/>
  <c r="FS46" i="15"/>
  <c r="FT46" i="15" s="1"/>
  <c r="FS835" i="15"/>
  <c r="FT835" i="15" s="1"/>
  <c r="FS799" i="15"/>
  <c r="FT799" i="15" s="1"/>
  <c r="FS774" i="15"/>
  <c r="FT774" i="15" s="1"/>
  <c r="FS718" i="15"/>
  <c r="FT718" i="15" s="1"/>
  <c r="FS677" i="15"/>
  <c r="FT677" i="15" s="1"/>
  <c r="FS637" i="15"/>
  <c r="FT637" i="15" s="1"/>
  <c r="FS596" i="15"/>
  <c r="FT596" i="15" s="1"/>
  <c r="FS545" i="15"/>
  <c r="FT545" i="15" s="1"/>
  <c r="FS450" i="15"/>
  <c r="FT450" i="15" s="1"/>
  <c r="FS346" i="15"/>
  <c r="FT346" i="15" s="1"/>
  <c r="FS199" i="15"/>
  <c r="FT199" i="15" s="1"/>
  <c r="FS35" i="15"/>
  <c r="FT35" i="15" s="1"/>
  <c r="FS832" i="15"/>
  <c r="FT832" i="15" s="1"/>
  <c r="FS755" i="15"/>
  <c r="FT755" i="15" s="1"/>
  <c r="FS704" i="15"/>
  <c r="FT704" i="15" s="1"/>
  <c r="FS664" i="15"/>
  <c r="FT664" i="15" s="1"/>
  <c r="FS622" i="15"/>
  <c r="FT622" i="15" s="1"/>
  <c r="FS581" i="15"/>
  <c r="FT581" i="15" s="1"/>
  <c r="FS541" i="15"/>
  <c r="FT541" i="15" s="1"/>
  <c r="FS500" i="15"/>
  <c r="FT500" i="15" s="1"/>
  <c r="FS424" i="15"/>
  <c r="FT424" i="15" s="1"/>
  <c r="FS341" i="15"/>
  <c r="FT341" i="15" s="1"/>
  <c r="FS188" i="15"/>
  <c r="FT188" i="15" s="1"/>
  <c r="FS855" i="15"/>
  <c r="FT855" i="15" s="1"/>
  <c r="FS824" i="15"/>
  <c r="FT824" i="15" s="1"/>
  <c r="FS762" i="15"/>
  <c r="FT762" i="15" s="1"/>
  <c r="FS723" i="15"/>
  <c r="FT723" i="15" s="1"/>
  <c r="FS683" i="15"/>
  <c r="FT683" i="15" s="1"/>
  <c r="FS631" i="15"/>
  <c r="FT631" i="15" s="1"/>
  <c r="FS570" i="15"/>
  <c r="FT570" i="15" s="1"/>
  <c r="FS519" i="15"/>
  <c r="FT519" i="15" s="1"/>
  <c r="FS459" i="15"/>
  <c r="FT459" i="15" s="1"/>
  <c r="FS377" i="15"/>
  <c r="FT377" i="15" s="1"/>
  <c r="FS260" i="15"/>
  <c r="FT260" i="15" s="1"/>
  <c r="FS96" i="15"/>
  <c r="FT96" i="15" s="1"/>
  <c r="FS489" i="15"/>
  <c r="FT489" i="15" s="1"/>
  <c r="FS469" i="15"/>
  <c r="FT469" i="15" s="1"/>
  <c r="FS443" i="15"/>
  <c r="FT443" i="15" s="1"/>
  <c r="FS423" i="15"/>
  <c r="FT423" i="15" s="1"/>
  <c r="FS397" i="15"/>
  <c r="FT397" i="15" s="1"/>
  <c r="FS376" i="15"/>
  <c r="FT376" i="15" s="1"/>
  <c r="FS355" i="15"/>
  <c r="FT355" i="15" s="1"/>
  <c r="FS334" i="15"/>
  <c r="FT334" i="15" s="1"/>
  <c r="FS287" i="15"/>
  <c r="FT287" i="15" s="1"/>
  <c r="FS248" i="15"/>
  <c r="FT248" i="15" s="1"/>
  <c r="FS195" i="15"/>
  <c r="FT195" i="15" s="1"/>
  <c r="FS156" i="15"/>
  <c r="FT156" i="15" s="1"/>
  <c r="FS95" i="15"/>
  <c r="FT95" i="15" s="1"/>
  <c r="FS54" i="15"/>
  <c r="FT54" i="15" s="1"/>
  <c r="FS854" i="15"/>
  <c r="FT854" i="15" s="1"/>
  <c r="FS838" i="15"/>
  <c r="FT838" i="15" s="1"/>
  <c r="FS819" i="15"/>
  <c r="FT819" i="15" s="1"/>
  <c r="FS798" i="15"/>
  <c r="FT798" i="15" s="1"/>
  <c r="FS778" i="15"/>
  <c r="FT778" i="15" s="1"/>
  <c r="FS757" i="15"/>
  <c r="FT757" i="15" s="1"/>
  <c r="FS727" i="15"/>
  <c r="FT727" i="15" s="1"/>
  <c r="FS702" i="15"/>
  <c r="FT702" i="15" s="1"/>
  <c r="FS676" i="15"/>
  <c r="FT676" i="15" s="1"/>
  <c r="FS656" i="15"/>
  <c r="FT656" i="15" s="1"/>
  <c r="FS635" i="15"/>
  <c r="FT635" i="15" s="1"/>
  <c r="FS589" i="15"/>
  <c r="FT589" i="15" s="1"/>
  <c r="FS569" i="15"/>
  <c r="FT569" i="15" s="1"/>
  <c r="FS543" i="15"/>
  <c r="FT543" i="15" s="1"/>
  <c r="FS518" i="15"/>
  <c r="FT518" i="15" s="1"/>
  <c r="FS492" i="15"/>
  <c r="FT492" i="15" s="1"/>
  <c r="FS467" i="15"/>
  <c r="FT467" i="15" s="1"/>
  <c r="FS447" i="15"/>
  <c r="FT447" i="15" s="1"/>
  <c r="FS427" i="15"/>
  <c r="FT427" i="15" s="1"/>
  <c r="FS401" i="15"/>
  <c r="FT401" i="15" s="1"/>
  <c r="FS380" i="15"/>
  <c r="FT380" i="15" s="1"/>
  <c r="FS354" i="15"/>
  <c r="FT354" i="15" s="1"/>
  <c r="FS333" i="15"/>
  <c r="FT333" i="15" s="1"/>
  <c r="FS286" i="15"/>
  <c r="FT286" i="15" s="1"/>
  <c r="FS245" i="15"/>
  <c r="FT245" i="15" s="1"/>
  <c r="FS203" i="15"/>
  <c r="FT203" i="15" s="1"/>
  <c r="FS164" i="15"/>
  <c r="FT164" i="15" s="1"/>
  <c r="FS123" i="15"/>
  <c r="FT123" i="15" s="1"/>
  <c r="FS81" i="15"/>
  <c r="FT81" i="15" s="1"/>
  <c r="FS861" i="15"/>
  <c r="FT861" i="15" s="1"/>
  <c r="FS845" i="15"/>
  <c r="FT845" i="15" s="1"/>
  <c r="FS829" i="15"/>
  <c r="FT829" i="15" s="1"/>
  <c r="FS813" i="15"/>
  <c r="FT813" i="15" s="1"/>
  <c r="FS792" i="15"/>
  <c r="FT792" i="15" s="1"/>
  <c r="FS765" i="15"/>
  <c r="FT765" i="15" s="1"/>
  <c r="FS746" i="15"/>
  <c r="FT746" i="15" s="1"/>
  <c r="FS721" i="15"/>
  <c r="FT721" i="15" s="1"/>
  <c r="FS700" i="15"/>
  <c r="FT700" i="15" s="1"/>
  <c r="FS680" i="15"/>
  <c r="FT680" i="15" s="1"/>
  <c r="FS660" i="15"/>
  <c r="FT660" i="15" s="1"/>
  <c r="FS639" i="15"/>
  <c r="FT639" i="15" s="1"/>
  <c r="FS619" i="15"/>
  <c r="FT619" i="15" s="1"/>
  <c r="FS599" i="15"/>
  <c r="FT599" i="15" s="1"/>
  <c r="FS557" i="15"/>
  <c r="FT557" i="15" s="1"/>
  <c r="FS531" i="15"/>
  <c r="FT531" i="15" s="1"/>
  <c r="FS512" i="15"/>
  <c r="FT512" i="15" s="1"/>
  <c r="FS486" i="15"/>
  <c r="FT486" i="15" s="1"/>
  <c r="FS466" i="15"/>
  <c r="FT466" i="15" s="1"/>
  <c r="FS440" i="15"/>
  <c r="FT440" i="15" s="1"/>
  <c r="FS415" i="15"/>
  <c r="FT415" i="15" s="1"/>
  <c r="FS394" i="15"/>
  <c r="FT394" i="15" s="1"/>
  <c r="FS373" i="15"/>
  <c r="FT373" i="15" s="1"/>
  <c r="FS353" i="15"/>
  <c r="FT353" i="15" s="1"/>
  <c r="FS331" i="15"/>
  <c r="FT331" i="15" s="1"/>
  <c r="FS294" i="15"/>
  <c r="FT294" i="15" s="1"/>
  <c r="FS241" i="15"/>
  <c r="FT241" i="15" s="1"/>
  <c r="FS191" i="15"/>
  <c r="FT191" i="15" s="1"/>
  <c r="FS149" i="15"/>
  <c r="FT149" i="15" s="1"/>
  <c r="FS110" i="15"/>
  <c r="FT110" i="15" s="1"/>
  <c r="FS69" i="15"/>
  <c r="FT69" i="15" s="1"/>
  <c r="FS28" i="15"/>
  <c r="FT28" i="15" s="1"/>
  <c r="FS812" i="15"/>
  <c r="FT812" i="15" s="1"/>
  <c r="FS793" i="15"/>
  <c r="FT793" i="15" s="1"/>
  <c r="FS777" i="15"/>
  <c r="FT777" i="15" s="1"/>
  <c r="FS760" i="15"/>
  <c r="FT760" i="15" s="1"/>
  <c r="FS743" i="15"/>
  <c r="FT743" i="15" s="1"/>
  <c r="FS728" i="15"/>
  <c r="FT728" i="15" s="1"/>
  <c r="FS697" i="15"/>
  <c r="FT697" i="15" s="1"/>
  <c r="FS682" i="15"/>
  <c r="FT682" i="15" s="1"/>
  <c r="FS663" i="15"/>
  <c r="FT663" i="15" s="1"/>
  <c r="FS647" i="15"/>
  <c r="FT647" i="15" s="1"/>
  <c r="FS628" i="15"/>
  <c r="FT628" i="15" s="1"/>
  <c r="FS613" i="15"/>
  <c r="FT613" i="15" s="1"/>
  <c r="FS594" i="15"/>
  <c r="FT594" i="15" s="1"/>
  <c r="FS575" i="15"/>
  <c r="FT575" i="15" s="1"/>
  <c r="FS559" i="15"/>
  <c r="FT559" i="15" s="1"/>
  <c r="FS544" i="15"/>
  <c r="FT544" i="15" s="1"/>
  <c r="FS498" i="15"/>
  <c r="FT498" i="15" s="1"/>
  <c r="FS483" i="15"/>
  <c r="FT483" i="15" s="1"/>
  <c r="FS468" i="15"/>
  <c r="FT468" i="15" s="1"/>
  <c r="FS453" i="15"/>
  <c r="FT453" i="15" s="1"/>
  <c r="FS437" i="15"/>
  <c r="FT437" i="15" s="1"/>
  <c r="FS422" i="15"/>
  <c r="FT422" i="15" s="1"/>
  <c r="FS391" i="15"/>
  <c r="FT391" i="15" s="1"/>
  <c r="FS375" i="15"/>
  <c r="FT375" i="15" s="1"/>
  <c r="FS356" i="15"/>
  <c r="FT356" i="15" s="1"/>
  <c r="FS340" i="15"/>
  <c r="FT340" i="15" s="1"/>
  <c r="FS321" i="15"/>
  <c r="FT321" i="15" s="1"/>
  <c r="FS290" i="15"/>
  <c r="FT290" i="15" s="1"/>
  <c r="FS259" i="15"/>
  <c r="FT259" i="15" s="1"/>
  <c r="FS221" i="15"/>
  <c r="FT221" i="15" s="1"/>
  <c r="FS183" i="15"/>
  <c r="FT183" i="15" s="1"/>
  <c r="FS152" i="15"/>
  <c r="FT152" i="15" s="1"/>
  <c r="FS122" i="15"/>
  <c r="FT122" i="15" s="1"/>
  <c r="FS76" i="15"/>
  <c r="FT76" i="15" s="1"/>
  <c r="FS45" i="15"/>
  <c r="FT45" i="15" s="1"/>
  <c r="FS15" i="15"/>
  <c r="FT15" i="15" s="1"/>
  <c r="FS316" i="15"/>
  <c r="FT316" i="15" s="1"/>
  <c r="FS297" i="15"/>
  <c r="FT297" i="15" s="1"/>
  <c r="FS281" i="15"/>
  <c r="FT281" i="15" s="1"/>
  <c r="FS266" i="15"/>
  <c r="FT266" i="15" s="1"/>
  <c r="FS235" i="15"/>
  <c r="FT235" i="15" s="1"/>
  <c r="FS220" i="15"/>
  <c r="FT220" i="15" s="1"/>
  <c r="FS205" i="15"/>
  <c r="FT205" i="15" s="1"/>
  <c r="FS174" i="15"/>
  <c r="FT174" i="15" s="1"/>
  <c r="FS155" i="15"/>
  <c r="FT155" i="15" s="1"/>
  <c r="FS140" i="15"/>
  <c r="FT140" i="15" s="1"/>
  <c r="FS109" i="15"/>
  <c r="FT109" i="15" s="1"/>
  <c r="FS94" i="15"/>
  <c r="FT94" i="15" s="1"/>
  <c r="FS79" i="15"/>
  <c r="FT79" i="15" s="1"/>
  <c r="FS60" i="15"/>
  <c r="FT60" i="15" s="1"/>
  <c r="FS44" i="15"/>
  <c r="FT44" i="15" s="1"/>
  <c r="FS26" i="15"/>
  <c r="FT26" i="15" s="1"/>
  <c r="FS10" i="15"/>
  <c r="FT10" i="15" s="1"/>
  <c r="FS315" i="15"/>
  <c r="FT315" i="15" s="1"/>
  <c r="FS284" i="15"/>
  <c r="FT284" i="15" s="1"/>
  <c r="FS265" i="15"/>
  <c r="FT265" i="15" s="1"/>
  <c r="FS246" i="15"/>
  <c r="FT246" i="15" s="1"/>
  <c r="FS227" i="15"/>
  <c r="FT227" i="15" s="1"/>
  <c r="FS208" i="15"/>
  <c r="FT208" i="15" s="1"/>
  <c r="FS192" i="15"/>
  <c r="FT192" i="15" s="1"/>
  <c r="FS173" i="15"/>
  <c r="FT173" i="15" s="1"/>
  <c r="FS158" i="15"/>
  <c r="FT158" i="15" s="1"/>
  <c r="FS139" i="15"/>
  <c r="FT139" i="15" s="1"/>
  <c r="FS120" i="15"/>
  <c r="FT120" i="15" s="1"/>
  <c r="FS104" i="15"/>
  <c r="FT104" i="15" s="1"/>
  <c r="FS85" i="15"/>
  <c r="FT85" i="15" s="1"/>
  <c r="FS66" i="15"/>
  <c r="FT66" i="15" s="1"/>
  <c r="FS51" i="15"/>
  <c r="FT51" i="15" s="1"/>
  <c r="FS36" i="15"/>
  <c r="FT36" i="15" s="1"/>
  <c r="FS17" i="15"/>
  <c r="FT17" i="15" s="1"/>
  <c r="FS860" i="15"/>
  <c r="FT860" i="15" s="1"/>
  <c r="FS821" i="15"/>
  <c r="FT821" i="15" s="1"/>
  <c r="FS780" i="15"/>
  <c r="FT780" i="15" s="1"/>
  <c r="FS740" i="15"/>
  <c r="FT740" i="15" s="1"/>
  <c r="FS699" i="15"/>
  <c r="FT699" i="15" s="1"/>
  <c r="FS638" i="15"/>
  <c r="FT638" i="15" s="1"/>
  <c r="FS597" i="15"/>
  <c r="FT597" i="15" s="1"/>
  <c r="FS556" i="15"/>
  <c r="FT556" i="15" s="1"/>
  <c r="FS515" i="15"/>
  <c r="FT515" i="15" s="1"/>
  <c r="FS372" i="15"/>
  <c r="FT372" i="15" s="1"/>
  <c r="FS210" i="15"/>
  <c r="FT210" i="15" s="1"/>
  <c r="FS859" i="15"/>
  <c r="FT859" i="15" s="1"/>
  <c r="FS790" i="15"/>
  <c r="FT790" i="15" s="1"/>
  <c r="FS749" i="15"/>
  <c r="FT749" i="15" s="1"/>
  <c r="FS708" i="15"/>
  <c r="FT708" i="15" s="1"/>
  <c r="FS626" i="15"/>
  <c r="FT626" i="15" s="1"/>
  <c r="FS585" i="15"/>
  <c r="FT585" i="15" s="1"/>
  <c r="FS534" i="15"/>
  <c r="FT534" i="15" s="1"/>
  <c r="FS408" i="15"/>
  <c r="FT408" i="15" s="1"/>
  <c r="FS322" i="15"/>
  <c r="FT322" i="15" s="1"/>
  <c r="FS157" i="15"/>
  <c r="FT157" i="15" s="1"/>
  <c r="FS856" i="15"/>
  <c r="FT856" i="15" s="1"/>
  <c r="FS825" i="15"/>
  <c r="FT825" i="15" s="1"/>
  <c r="FS786" i="15"/>
  <c r="FT786" i="15" s="1"/>
  <c r="FS745" i="15"/>
  <c r="FT745" i="15" s="1"/>
  <c r="FS694" i="15"/>
  <c r="FT694" i="15" s="1"/>
  <c r="FS653" i="15"/>
  <c r="FT653" i="15" s="1"/>
  <c r="FS612" i="15"/>
  <c r="FT612" i="15" s="1"/>
  <c r="FS573" i="15"/>
  <c r="FT573" i="15" s="1"/>
  <c r="FS530" i="15"/>
  <c r="FT530" i="15" s="1"/>
  <c r="FS485" i="15"/>
  <c r="FT485" i="15" s="1"/>
  <c r="FS404" i="15"/>
  <c r="FT404" i="15" s="1"/>
  <c r="FS310" i="15"/>
  <c r="FT310" i="15" s="1"/>
  <c r="FS148" i="15"/>
  <c r="FT148" i="15" s="1"/>
  <c r="FS847" i="15"/>
  <c r="FT847" i="15" s="1"/>
  <c r="FS815" i="15"/>
  <c r="FT815" i="15" s="1"/>
  <c r="FS672" i="15"/>
  <c r="FT672" i="15" s="1"/>
  <c r="FS601" i="15"/>
  <c r="FT601" i="15" s="1"/>
  <c r="FS560" i="15"/>
  <c r="FT560" i="15" s="1"/>
  <c r="FS509" i="15"/>
  <c r="FT509" i="15" s="1"/>
  <c r="FS439" i="15"/>
  <c r="FT439" i="15" s="1"/>
  <c r="FS357" i="15"/>
  <c r="FT357" i="15" s="1"/>
  <c r="FS57" i="15"/>
  <c r="FT57" i="15" s="1"/>
  <c r="FS484" i="15"/>
  <c r="FT484" i="15" s="1"/>
  <c r="FS463" i="15"/>
  <c r="FT463" i="15" s="1"/>
  <c r="FS438" i="15"/>
  <c r="FT438" i="15" s="1"/>
  <c r="FS417" i="15"/>
  <c r="FT417" i="15" s="1"/>
  <c r="FS392" i="15"/>
  <c r="FT392" i="15" s="1"/>
  <c r="FS350" i="15"/>
  <c r="FT350" i="15" s="1"/>
  <c r="FS329" i="15"/>
  <c r="FT329" i="15" s="1"/>
  <c r="FS278" i="15"/>
  <c r="FT278" i="15" s="1"/>
  <c r="FS237" i="15"/>
  <c r="FT237" i="15" s="1"/>
  <c r="FS187" i="15"/>
  <c r="FT187" i="15" s="1"/>
  <c r="FS134" i="15"/>
  <c r="FT134" i="15" s="1"/>
  <c r="FS84" i="15"/>
  <c r="FT84" i="15" s="1"/>
  <c r="FS24" i="15"/>
  <c r="FT24" i="15" s="1"/>
  <c r="FS850" i="15"/>
  <c r="FT850" i="15" s="1"/>
  <c r="FS834" i="15"/>
  <c r="FT834" i="15" s="1"/>
  <c r="FS814" i="15"/>
  <c r="FT814" i="15" s="1"/>
  <c r="FS794" i="15"/>
  <c r="FT794" i="15" s="1"/>
  <c r="FS771" i="15"/>
  <c r="FT771" i="15" s="1"/>
  <c r="FS748" i="15"/>
  <c r="FT748" i="15" s="1"/>
  <c r="FS722" i="15"/>
  <c r="FT722" i="15" s="1"/>
  <c r="FS696" i="15"/>
  <c r="FT696" i="15" s="1"/>
  <c r="FS671" i="15"/>
  <c r="FT671" i="15" s="1"/>
  <c r="FS650" i="15"/>
  <c r="FT650" i="15" s="1"/>
  <c r="FS630" i="15"/>
  <c r="FT630" i="15" s="1"/>
  <c r="FS605" i="15"/>
  <c r="FT605" i="15" s="1"/>
  <c r="FS584" i="15"/>
  <c r="FT584" i="15" s="1"/>
  <c r="FS564" i="15"/>
  <c r="FT564" i="15" s="1"/>
  <c r="FS538" i="15"/>
  <c r="FT538" i="15" s="1"/>
  <c r="FS508" i="15"/>
  <c r="FT508" i="15" s="1"/>
  <c r="FS488" i="15"/>
  <c r="FT488" i="15" s="1"/>
  <c r="FS462" i="15"/>
  <c r="FT462" i="15" s="1"/>
  <c r="FS442" i="15"/>
  <c r="FT442" i="15" s="1"/>
  <c r="FS421" i="15"/>
  <c r="FT421" i="15" s="1"/>
  <c r="FS396" i="15"/>
  <c r="FT396" i="15" s="1"/>
  <c r="FS374" i="15"/>
  <c r="FT374" i="15" s="1"/>
  <c r="FS349" i="15"/>
  <c r="FT349" i="15" s="1"/>
  <c r="FS317" i="15"/>
  <c r="FT317" i="15" s="1"/>
  <c r="FS274" i="15"/>
  <c r="FT274" i="15" s="1"/>
  <c r="FS233" i="15"/>
  <c r="FT233" i="15" s="1"/>
  <c r="FS194" i="15"/>
  <c r="FT194" i="15" s="1"/>
  <c r="FS153" i="15"/>
  <c r="FT153" i="15" s="1"/>
  <c r="FS111" i="15"/>
  <c r="FT111" i="15" s="1"/>
  <c r="FS72" i="15"/>
  <c r="FT72" i="15" s="1"/>
  <c r="FS32" i="15"/>
  <c r="FT32" i="15" s="1"/>
  <c r="FS857" i="15"/>
  <c r="FT857" i="15" s="1"/>
  <c r="FS841" i="15"/>
  <c r="FT841" i="15" s="1"/>
  <c r="FS826" i="15"/>
  <c r="FT826" i="15" s="1"/>
  <c r="FS807" i="15"/>
  <c r="FT807" i="15" s="1"/>
  <c r="FS787" i="15"/>
  <c r="FT787" i="15" s="1"/>
  <c r="FS759" i="15"/>
  <c r="FT759" i="15" s="1"/>
  <c r="FS741" i="15"/>
  <c r="FT741" i="15" s="1"/>
  <c r="FS715" i="15"/>
  <c r="FT715" i="15" s="1"/>
  <c r="FS695" i="15"/>
  <c r="FT695" i="15" s="1"/>
  <c r="FS675" i="15"/>
  <c r="FT675" i="15" s="1"/>
  <c r="FS654" i="15"/>
  <c r="FT654" i="15" s="1"/>
  <c r="FS634" i="15"/>
  <c r="FT634" i="15" s="1"/>
  <c r="FS614" i="15"/>
  <c r="FT614" i="15" s="1"/>
  <c r="FS593" i="15"/>
  <c r="FT593" i="15" s="1"/>
  <c r="FS574" i="15"/>
  <c r="FT574" i="15" s="1"/>
  <c r="FS552" i="15"/>
  <c r="FT552" i="15" s="1"/>
  <c r="FS527" i="15"/>
  <c r="FT527" i="15" s="1"/>
  <c r="FS507" i="15"/>
  <c r="FT507" i="15" s="1"/>
  <c r="FS481" i="15"/>
  <c r="FT481" i="15" s="1"/>
  <c r="FS461" i="15"/>
  <c r="FT461" i="15" s="1"/>
  <c r="FS435" i="15"/>
  <c r="FT435" i="15" s="1"/>
  <c r="FS409" i="15"/>
  <c r="FT409" i="15" s="1"/>
  <c r="FS389" i="15"/>
  <c r="FT389" i="15" s="1"/>
  <c r="FS369" i="15"/>
  <c r="FT369" i="15" s="1"/>
  <c r="FS347" i="15"/>
  <c r="FT347" i="15" s="1"/>
  <c r="FS283" i="15"/>
  <c r="FT283" i="15" s="1"/>
  <c r="FS222" i="15"/>
  <c r="FT222" i="15" s="1"/>
  <c r="FS180" i="15"/>
  <c r="FT180" i="15" s="1"/>
  <c r="FS141" i="15"/>
  <c r="FT141" i="15" s="1"/>
  <c r="FS99" i="15"/>
  <c r="FT99" i="15" s="1"/>
  <c r="FS58" i="15"/>
  <c r="FT58" i="15" s="1"/>
  <c r="FS19" i="15"/>
  <c r="FT19" i="15" s="1"/>
  <c r="FS808" i="15"/>
  <c r="FT808" i="15" s="1"/>
  <c r="FS789" i="15"/>
  <c r="FT789" i="15" s="1"/>
  <c r="FS772" i="15"/>
  <c r="FT772" i="15" s="1"/>
  <c r="FS773" i="15"/>
  <c r="FT773" i="15" s="1"/>
  <c r="FS739" i="15"/>
  <c r="FT739" i="15" s="1"/>
  <c r="FS724" i="15"/>
  <c r="FT724" i="15" s="1"/>
  <c r="FS709" i="15"/>
  <c r="FT709" i="15" s="1"/>
  <c r="FS693" i="15"/>
  <c r="FT693" i="15" s="1"/>
  <c r="FS678" i="15"/>
  <c r="FT678" i="15" s="1"/>
  <c r="FS659" i="15"/>
  <c r="FT659" i="15" s="1"/>
  <c r="FS643" i="15"/>
  <c r="FT643" i="15" s="1"/>
  <c r="FS624" i="15"/>
  <c r="FT624" i="15" s="1"/>
  <c r="FS606" i="15"/>
  <c r="FT606" i="15" s="1"/>
  <c r="FS590" i="15"/>
  <c r="FT590" i="15" s="1"/>
  <c r="FS571" i="15"/>
  <c r="FT571" i="15" s="1"/>
  <c r="FS555" i="15"/>
  <c r="FT555" i="15" s="1"/>
  <c r="FS540" i="15"/>
  <c r="FT540" i="15" s="1"/>
  <c r="FS525" i="15"/>
  <c r="FT525" i="15" s="1"/>
  <c r="FS510" i="15"/>
  <c r="FT510" i="15" s="1"/>
  <c r="FS494" i="15"/>
  <c r="FT494" i="15" s="1"/>
  <c r="FS479" i="15"/>
  <c r="FT479" i="15" s="1"/>
  <c r="FS464" i="15"/>
  <c r="FT464" i="15" s="1"/>
  <c r="FS449" i="15"/>
  <c r="FT449" i="15" s="1"/>
  <c r="FS433" i="15"/>
  <c r="FT433" i="15" s="1"/>
  <c r="FS418" i="15"/>
  <c r="FT418" i="15" s="1"/>
  <c r="FS403" i="15"/>
  <c r="FT403" i="15" s="1"/>
  <c r="FS387" i="15"/>
  <c r="FT387" i="15" s="1"/>
  <c r="FS368" i="15"/>
  <c r="FT368" i="15" s="1"/>
  <c r="FS352" i="15"/>
  <c r="FT352" i="15" s="1"/>
  <c r="FS336" i="15"/>
  <c r="FT336" i="15" s="1"/>
  <c r="FS313" i="15"/>
  <c r="FT313" i="15" s="1"/>
  <c r="FS282" i="15"/>
  <c r="FT282" i="15" s="1"/>
  <c r="FS244" i="15"/>
  <c r="FT244" i="15" s="1"/>
  <c r="FS214" i="15"/>
  <c r="FT214" i="15" s="1"/>
  <c r="FS175" i="15"/>
  <c r="FT175" i="15" s="1"/>
  <c r="FS114" i="15"/>
  <c r="FT114" i="15" s="1"/>
  <c r="FS68" i="15"/>
  <c r="FT68" i="15" s="1"/>
  <c r="FS38" i="15"/>
  <c r="FT38" i="15" s="1"/>
  <c r="FS312" i="15"/>
  <c r="FT312" i="15" s="1"/>
  <c r="FS293" i="15"/>
  <c r="FT293" i="15" s="1"/>
  <c r="FS277" i="15"/>
  <c r="FT277" i="15" s="1"/>
  <c r="FS262" i="15"/>
  <c r="FT262" i="15" s="1"/>
  <c r="FS247" i="15"/>
  <c r="FT247" i="15" s="1"/>
  <c r="FS217" i="15"/>
  <c r="FT217" i="15" s="1"/>
  <c r="FS201" i="15"/>
  <c r="FT201" i="15" s="1"/>
  <c r="FS186" i="15"/>
  <c r="FT186" i="15" s="1"/>
  <c r="FS170" i="15"/>
  <c r="FT170" i="15" s="1"/>
  <c r="FS151" i="15"/>
  <c r="FT151" i="15" s="1"/>
  <c r="FS136" i="15"/>
  <c r="FT136" i="15" s="1"/>
  <c r="FS121" i="15"/>
  <c r="FT121" i="15" s="1"/>
  <c r="FS105" i="15"/>
  <c r="FT105" i="15" s="1"/>
  <c r="FS90" i="15"/>
  <c r="FT90" i="15" s="1"/>
  <c r="FS75" i="15"/>
  <c r="FT75" i="15" s="1"/>
  <c r="FS56" i="15"/>
  <c r="FT56" i="15" s="1"/>
  <c r="FS37" i="15"/>
  <c r="FT37" i="15" s="1"/>
  <c r="FS22" i="15"/>
  <c r="FT22" i="15" s="1"/>
  <c r="FS326" i="15"/>
  <c r="FT326" i="15" s="1"/>
  <c r="FS311" i="15"/>
  <c r="FT311" i="15" s="1"/>
  <c r="FS296" i="15"/>
  <c r="FT296" i="15" s="1"/>
  <c r="FS280" i="15"/>
  <c r="FT280" i="15" s="1"/>
  <c r="FS261" i="15"/>
  <c r="FT261" i="15" s="1"/>
  <c r="FS242" i="15"/>
  <c r="FT242" i="15" s="1"/>
  <c r="FS223" i="15"/>
  <c r="FT223" i="15" s="1"/>
  <c r="FS204" i="15"/>
  <c r="FT204" i="15" s="1"/>
  <c r="FS185" i="15"/>
  <c r="FT185" i="15" s="1"/>
  <c r="FS169" i="15"/>
  <c r="FT169" i="15" s="1"/>
  <c r="FS154" i="15"/>
  <c r="FT154" i="15" s="1"/>
  <c r="FS135" i="15"/>
  <c r="FT135" i="15" s="1"/>
  <c r="FS116" i="15"/>
  <c r="FT116" i="15" s="1"/>
  <c r="FS100" i="15"/>
  <c r="FT100" i="15" s="1"/>
  <c r="FS78" i="15"/>
  <c r="FT78" i="15" s="1"/>
  <c r="FS63" i="15"/>
  <c r="FT63" i="15" s="1"/>
  <c r="FS47" i="15"/>
  <c r="FT47" i="15" s="1"/>
  <c r="FS29" i="15"/>
  <c r="FT29" i="15" s="1"/>
  <c r="FS13" i="15"/>
  <c r="FT13" i="15" s="1"/>
  <c r="FJ6" i="15"/>
  <c r="FK6" i="15" s="1"/>
  <c r="FL6" i="15" s="1"/>
  <c r="FJ13" i="15"/>
  <c r="FJ17" i="15"/>
  <c r="FJ21" i="15"/>
  <c r="FJ25" i="15"/>
  <c r="FJ29" i="15"/>
  <c r="FJ33" i="15"/>
  <c r="FJ36" i="15"/>
  <c r="FJ40" i="15"/>
  <c r="FJ43" i="15"/>
  <c r="FK43" i="15" s="1"/>
  <c r="FL43" i="15" s="1"/>
  <c r="FJ47" i="15"/>
  <c r="FK47" i="15" s="1"/>
  <c r="FL47" i="15" s="1"/>
  <c r="FJ51" i="15"/>
  <c r="FK51" i="15" s="1"/>
  <c r="FL51" i="15" s="1"/>
  <c r="FJ55" i="15"/>
  <c r="FK55" i="15" s="1"/>
  <c r="FL55" i="15" s="1"/>
  <c r="FJ59" i="15"/>
  <c r="FK59" i="15" s="1"/>
  <c r="FL59" i="15" s="1"/>
  <c r="FJ63" i="15"/>
  <c r="FK63" i="15" s="1"/>
  <c r="FL63" i="15" s="1"/>
  <c r="FJ66" i="15"/>
  <c r="FK66" i="15" s="1"/>
  <c r="FL66" i="15" s="1"/>
  <c r="FJ70" i="15"/>
  <c r="FK70" i="15" s="1"/>
  <c r="FL70" i="15" s="1"/>
  <c r="FJ74" i="15"/>
  <c r="FK74" i="15" s="1"/>
  <c r="FL74" i="15" s="1"/>
  <c r="FJ78" i="15"/>
  <c r="FK78" i="15" s="1"/>
  <c r="FL78" i="15" s="1"/>
  <c r="FJ82" i="15"/>
  <c r="FJ85" i="15"/>
  <c r="FK85" i="15" s="1"/>
  <c r="FL85" i="15" s="1"/>
  <c r="FJ89" i="15"/>
  <c r="FK89" i="15" s="1"/>
  <c r="FL89" i="15" s="1"/>
  <c r="FJ92" i="15"/>
  <c r="FK92" i="15" s="1"/>
  <c r="FL92" i="15" s="1"/>
  <c r="FJ97" i="15"/>
  <c r="FJ100" i="15"/>
  <c r="FK100" i="15" s="1"/>
  <c r="FL100" i="15" s="1"/>
  <c r="FJ104" i="15"/>
  <c r="FK104" i="15" s="1"/>
  <c r="FL104" i="15" s="1"/>
  <c r="FJ108" i="15"/>
  <c r="FK108" i="15" s="1"/>
  <c r="FL108" i="15" s="1"/>
  <c r="FJ112" i="15"/>
  <c r="FK112" i="15" s="1"/>
  <c r="FL112" i="15" s="1"/>
  <c r="FJ116" i="15"/>
  <c r="FK116" i="15" s="1"/>
  <c r="FL116" i="15" s="1"/>
  <c r="FJ120" i="15"/>
  <c r="FK120" i="15" s="1"/>
  <c r="FL120" i="15" s="1"/>
  <c r="FJ124" i="15"/>
  <c r="FJ127" i="15"/>
  <c r="FK127" i="15" s="1"/>
  <c r="FL127" i="15" s="1"/>
  <c r="FJ131" i="15"/>
  <c r="FK131" i="15" s="1"/>
  <c r="FL131" i="15" s="1"/>
  <c r="FJ135" i="15"/>
  <c r="FK135" i="15" s="1"/>
  <c r="FL135" i="15" s="1"/>
  <c r="FJ139" i="15"/>
  <c r="FK139" i="15" s="1"/>
  <c r="FL139" i="15" s="1"/>
  <c r="FJ146" i="15"/>
  <c r="FK146" i="15" s="1"/>
  <c r="FL146" i="15" s="1"/>
  <c r="FJ150" i="15"/>
  <c r="FK150" i="15" s="1"/>
  <c r="FL150" i="15" s="1"/>
  <c r="FJ154" i="15"/>
  <c r="FK154" i="15" s="1"/>
  <c r="FL154" i="15" s="1"/>
  <c r="FJ158" i="15"/>
  <c r="FK158" i="15" s="1"/>
  <c r="FL158" i="15" s="1"/>
  <c r="FJ162" i="15"/>
  <c r="FK162" i="15" s="1"/>
  <c r="FL162" i="15" s="1"/>
  <c r="FJ166" i="15"/>
  <c r="FK166" i="15" s="1"/>
  <c r="FL166" i="15" s="1"/>
  <c r="FJ169" i="15"/>
  <c r="FK169" i="15" s="1"/>
  <c r="FL169" i="15" s="1"/>
  <c r="FJ173" i="15"/>
  <c r="FK173" i="15" s="1"/>
  <c r="FL173" i="15" s="1"/>
  <c r="FJ177" i="15"/>
  <c r="FK177" i="15" s="1"/>
  <c r="FL177" i="15" s="1"/>
  <c r="FJ181" i="15"/>
  <c r="FK181" i="15" s="1"/>
  <c r="FL181" i="15" s="1"/>
  <c r="FJ185" i="15"/>
  <c r="FK185" i="15" s="1"/>
  <c r="FL185" i="15" s="1"/>
  <c r="FJ192" i="15"/>
  <c r="FK192" i="15" s="1"/>
  <c r="FL192" i="15" s="1"/>
  <c r="FJ196" i="15"/>
  <c r="FK196" i="15" s="1"/>
  <c r="FL196" i="15" s="1"/>
  <c r="FJ200" i="15"/>
  <c r="FK200" i="15" s="1"/>
  <c r="FL200" i="15" s="1"/>
  <c r="FJ204" i="15"/>
  <c r="FK204" i="15" s="1"/>
  <c r="FL204" i="15" s="1"/>
  <c r="FJ208" i="15"/>
  <c r="FK208" i="15" s="1"/>
  <c r="FL208" i="15" s="1"/>
  <c r="FJ212" i="15"/>
  <c r="FK212" i="15" s="1"/>
  <c r="FL212" i="15" s="1"/>
  <c r="FJ216" i="15"/>
  <c r="FK216" i="15" s="1"/>
  <c r="FL216" i="15" s="1"/>
  <c r="FJ223" i="15"/>
  <c r="FK223" i="15" s="1"/>
  <c r="FL223" i="15" s="1"/>
  <c r="FJ227" i="15"/>
  <c r="FK227" i="15" s="1"/>
  <c r="FL227" i="15" s="1"/>
  <c r="FJ231" i="15"/>
  <c r="FJ234" i="15"/>
  <c r="FK234" i="15" s="1"/>
  <c r="FL234" i="15" s="1"/>
  <c r="FJ238" i="15"/>
  <c r="FK238" i="15" s="1"/>
  <c r="FL238" i="15" s="1"/>
  <c r="FJ242" i="15"/>
  <c r="FK242" i="15" s="1"/>
  <c r="FL242" i="15" s="1"/>
  <c r="FJ246" i="15"/>
  <c r="FK246" i="15" s="1"/>
  <c r="FL246" i="15" s="1"/>
  <c r="FJ272" i="15"/>
  <c r="FK272" i="15" s="1"/>
  <c r="FL272" i="15" s="1"/>
  <c r="FJ276" i="15"/>
  <c r="FK276" i="15" s="1"/>
  <c r="FL276" i="15" s="1"/>
  <c r="FJ280" i="15"/>
  <c r="FK280" i="15" s="1"/>
  <c r="FL280" i="15" s="1"/>
  <c r="FJ284" i="15"/>
  <c r="FK284" i="15" s="1"/>
  <c r="FL284" i="15" s="1"/>
  <c r="FJ288" i="15"/>
  <c r="FK288" i="15" s="1"/>
  <c r="FL288" i="15" s="1"/>
  <c r="FJ292" i="15"/>
  <c r="FK292" i="15" s="1"/>
  <c r="FL292" i="15" s="1"/>
  <c r="FJ296" i="15"/>
  <c r="FK296" i="15" s="1"/>
  <c r="FL296" i="15" s="1"/>
  <c r="FJ300" i="15"/>
  <c r="FK300" i="15" s="1"/>
  <c r="FL300" i="15" s="1"/>
  <c r="FJ303" i="15"/>
  <c r="FK303" i="15" s="1"/>
  <c r="FL303" i="15" s="1"/>
  <c r="FJ10" i="15"/>
  <c r="FJ14" i="15"/>
  <c r="FJ18" i="15"/>
  <c r="FJ22" i="15"/>
  <c r="FJ26" i="15"/>
  <c r="FJ30" i="15"/>
  <c r="FJ34" i="15"/>
  <c r="FK34" i="15" s="1"/>
  <c r="FL34" i="15" s="1"/>
  <c r="FJ37" i="15"/>
  <c r="FJ41" i="15"/>
  <c r="FJ44" i="15"/>
  <c r="FK44" i="15" s="1"/>
  <c r="FL44" i="15" s="1"/>
  <c r="FJ48" i="15"/>
  <c r="FK48" i="15" s="1"/>
  <c r="FL48" i="15" s="1"/>
  <c r="FJ52" i="15"/>
  <c r="FK52" i="15" s="1"/>
  <c r="FL52" i="15" s="1"/>
  <c r="FJ56" i="15"/>
  <c r="FK56" i="15" s="1"/>
  <c r="FL56" i="15" s="1"/>
  <c r="FJ60" i="15"/>
  <c r="FK60" i="15" s="1"/>
  <c r="FL60" i="15" s="1"/>
  <c r="FJ64" i="15"/>
  <c r="FJ67" i="15"/>
  <c r="FK67" i="15" s="1"/>
  <c r="FL67" i="15" s="1"/>
  <c r="FJ71" i="15"/>
  <c r="FK71" i="15" s="1"/>
  <c r="FL71" i="15" s="1"/>
  <c r="FJ75" i="15"/>
  <c r="FK75" i="15" s="1"/>
  <c r="FL75" i="15" s="1"/>
  <c r="FJ79" i="15"/>
  <c r="FK79" i="15" s="1"/>
  <c r="FL79" i="15" s="1"/>
  <c r="FJ83" i="15"/>
  <c r="FK83" i="15" s="1"/>
  <c r="FL83" i="15" s="1"/>
  <c r="FJ86" i="15"/>
  <c r="FK86" i="15" s="1"/>
  <c r="FL86" i="15" s="1"/>
  <c r="FJ90" i="15"/>
  <c r="FK90" i="15" s="1"/>
  <c r="FL90" i="15" s="1"/>
  <c r="FJ94" i="15"/>
  <c r="FK94" i="15" s="1"/>
  <c r="FL94" i="15" s="1"/>
  <c r="FJ98" i="15"/>
  <c r="FK98" i="15" s="1"/>
  <c r="FL98" i="15" s="1"/>
  <c r="FJ101" i="15"/>
  <c r="FK101" i="15" s="1"/>
  <c r="FL101" i="15" s="1"/>
  <c r="FJ105" i="15"/>
  <c r="FK105" i="15" s="1"/>
  <c r="FL105" i="15" s="1"/>
  <c r="FJ109" i="15"/>
  <c r="FK109" i="15" s="1"/>
  <c r="FL109" i="15" s="1"/>
  <c r="FJ113" i="15"/>
  <c r="FK113" i="15" s="1"/>
  <c r="FL113" i="15" s="1"/>
  <c r="FJ117" i="15"/>
  <c r="FK117" i="15" s="1"/>
  <c r="FL117" i="15" s="1"/>
  <c r="FJ121" i="15"/>
  <c r="FK121" i="15" s="1"/>
  <c r="FL121" i="15" s="1"/>
  <c r="FJ125" i="15"/>
  <c r="FK125" i="15" s="1"/>
  <c r="FL125" i="15" s="1"/>
  <c r="FJ128" i="15"/>
  <c r="FK128" i="15" s="1"/>
  <c r="FL128" i="15" s="1"/>
  <c r="FJ132" i="15"/>
  <c r="FK132" i="15" s="1"/>
  <c r="FL132" i="15" s="1"/>
  <c r="FJ136" i="15"/>
  <c r="FK136" i="15" s="1"/>
  <c r="FL136" i="15" s="1"/>
  <c r="FJ140" i="15"/>
  <c r="FK140" i="15" s="1"/>
  <c r="FL140" i="15" s="1"/>
  <c r="FJ144" i="15"/>
  <c r="FK144" i="15" s="1"/>
  <c r="FL144" i="15" s="1"/>
  <c r="FJ147" i="15"/>
  <c r="FK147" i="15" s="1"/>
  <c r="FL147" i="15" s="1"/>
  <c r="FJ151" i="15"/>
  <c r="FK151" i="15" s="1"/>
  <c r="FL151" i="15" s="1"/>
  <c r="FJ155" i="15"/>
  <c r="FK155" i="15" s="1"/>
  <c r="FL155" i="15" s="1"/>
  <c r="FJ159" i="15"/>
  <c r="FK159" i="15" s="1"/>
  <c r="FL159" i="15" s="1"/>
  <c r="FJ163" i="15"/>
  <c r="FK163" i="15" s="1"/>
  <c r="FL163" i="15" s="1"/>
  <c r="FJ170" i="15"/>
  <c r="FK170" i="15" s="1"/>
  <c r="FL170" i="15" s="1"/>
  <c r="FJ174" i="15"/>
  <c r="FK174" i="15" s="1"/>
  <c r="FL174" i="15" s="1"/>
  <c r="FJ178" i="15"/>
  <c r="FK178" i="15" s="1"/>
  <c r="FL178" i="15" s="1"/>
  <c r="FJ182" i="15"/>
  <c r="FK182" i="15" s="1"/>
  <c r="FL182" i="15" s="1"/>
  <c r="FJ186" i="15"/>
  <c r="FK186" i="15" s="1"/>
  <c r="FL186" i="15" s="1"/>
  <c r="FJ190" i="15"/>
  <c r="FK190" i="15" s="1"/>
  <c r="FL190" i="15" s="1"/>
  <c r="FJ193" i="15"/>
  <c r="FK193" i="15" s="1"/>
  <c r="FL193" i="15" s="1"/>
  <c r="FJ197" i="15"/>
  <c r="FK197" i="15" s="1"/>
  <c r="FL197" i="15" s="1"/>
  <c r="FJ201" i="15"/>
  <c r="FK201" i="15" s="1"/>
  <c r="FL201" i="15" s="1"/>
  <c r="FJ205" i="15"/>
  <c r="FK205" i="15" s="1"/>
  <c r="FL205" i="15" s="1"/>
  <c r="FJ209" i="15"/>
  <c r="FK209" i="15" s="1"/>
  <c r="FL209" i="15" s="1"/>
  <c r="FJ213" i="15"/>
  <c r="FK213" i="15" s="1"/>
  <c r="FL213" i="15" s="1"/>
  <c r="FJ217" i="15"/>
  <c r="FK217" i="15" s="1"/>
  <c r="FL217" i="15" s="1"/>
  <c r="FJ220" i="15"/>
  <c r="FK220" i="15" s="1"/>
  <c r="FL220" i="15" s="1"/>
  <c r="FJ224" i="15"/>
  <c r="FK224" i="15" s="1"/>
  <c r="FL224" i="15" s="1"/>
  <c r="FJ228" i="15"/>
  <c r="FK228" i="15" s="1"/>
  <c r="FL228" i="15" s="1"/>
  <c r="FJ232" i="15"/>
  <c r="FK232" i="15" s="1"/>
  <c r="FL232" i="15" s="1"/>
  <c r="FJ235" i="15"/>
  <c r="FK235" i="15" s="1"/>
  <c r="FL235" i="15" s="1"/>
  <c r="FJ239" i="15"/>
  <c r="FK239" i="15" s="1"/>
  <c r="FL239" i="15" s="1"/>
  <c r="FJ243" i="15"/>
  <c r="FK243" i="15" s="1"/>
  <c r="FL243" i="15" s="1"/>
  <c r="FJ247" i="15"/>
  <c r="FK247" i="15" s="1"/>
  <c r="FL247" i="15" s="1"/>
  <c r="FJ251" i="15"/>
  <c r="FK251" i="15" s="1"/>
  <c r="FL251" i="15" s="1"/>
  <c r="FJ270" i="15"/>
  <c r="FK270" i="15" s="1"/>
  <c r="FL270" i="15" s="1"/>
  <c r="FJ273" i="15"/>
  <c r="FK273" i="15" s="1"/>
  <c r="FL273" i="15" s="1"/>
  <c r="FJ277" i="15"/>
  <c r="FK277" i="15" s="1"/>
  <c r="FL277" i="15" s="1"/>
  <c r="FJ281" i="15"/>
  <c r="FK281" i="15" s="1"/>
  <c r="FL281" i="15" s="1"/>
  <c r="FJ285" i="15"/>
  <c r="FK285" i="15" s="1"/>
  <c r="FL285" i="15" s="1"/>
  <c r="FJ289" i="15"/>
  <c r="FK289" i="15" s="1"/>
  <c r="FL289" i="15" s="1"/>
  <c r="FJ293" i="15"/>
  <c r="FK293" i="15" s="1"/>
  <c r="FL293" i="15" s="1"/>
  <c r="FJ297" i="15"/>
  <c r="FK297" i="15" s="1"/>
  <c r="FL297" i="15" s="1"/>
  <c r="FJ304" i="15"/>
  <c r="FK304" i="15" s="1"/>
  <c r="FL304" i="15" s="1"/>
  <c r="FJ308" i="15"/>
  <c r="FK308" i="15" s="1"/>
  <c r="FL308" i="15" s="1"/>
  <c r="FJ312" i="15"/>
  <c r="FK312" i="15" s="1"/>
  <c r="FL312" i="15" s="1"/>
  <c r="FJ316" i="15"/>
  <c r="FK316" i="15" s="1"/>
  <c r="FL316" i="15" s="1"/>
  <c r="FJ320" i="15"/>
  <c r="FK320" i="15" s="1"/>
  <c r="FL320" i="15" s="1"/>
  <c r="FJ327" i="15"/>
  <c r="FK327" i="15" s="1"/>
  <c r="FL327" i="15" s="1"/>
  <c r="FJ8" i="15"/>
  <c r="FK8" i="15" s="1"/>
  <c r="FL8" i="15" s="1"/>
  <c r="FJ11" i="15"/>
  <c r="FJ15" i="15"/>
  <c r="FJ19" i="15"/>
  <c r="FJ23" i="15"/>
  <c r="FJ27" i="15"/>
  <c r="FJ31" i="15"/>
  <c r="FJ38" i="15"/>
  <c r="FJ42" i="15"/>
  <c r="FK42" i="15" s="1"/>
  <c r="FL42" i="15" s="1"/>
  <c r="FJ45" i="15"/>
  <c r="FK45" i="15" s="1"/>
  <c r="FL45" i="15" s="1"/>
  <c r="FJ49" i="15"/>
  <c r="FK49" i="15" s="1"/>
  <c r="FL49" i="15" s="1"/>
  <c r="FJ53" i="15"/>
  <c r="FK53" i="15" s="1"/>
  <c r="FL53" i="15" s="1"/>
  <c r="FJ57" i="15"/>
  <c r="FK57" i="15" s="1"/>
  <c r="FL57" i="15" s="1"/>
  <c r="FJ61" i="15"/>
  <c r="FK61" i="15" s="1"/>
  <c r="FL61" i="15" s="1"/>
  <c r="FJ65" i="15"/>
  <c r="FK65" i="15" s="1"/>
  <c r="FL65" i="15" s="1"/>
  <c r="FJ68" i="15"/>
  <c r="FK68" i="15" s="1"/>
  <c r="FL68" i="15" s="1"/>
  <c r="FJ72" i="15"/>
  <c r="FK72" i="15" s="1"/>
  <c r="FL72" i="15" s="1"/>
  <c r="FJ76" i="15"/>
  <c r="FK76" i="15" s="1"/>
  <c r="FL76" i="15" s="1"/>
  <c r="FJ80" i="15"/>
  <c r="FK80" i="15" s="1"/>
  <c r="FL80" i="15" s="1"/>
  <c r="FJ87" i="15"/>
  <c r="FK87" i="15" s="1"/>
  <c r="FL87" i="15" s="1"/>
  <c r="FJ91" i="15"/>
  <c r="FK91" i="15" s="1"/>
  <c r="FL91" i="15" s="1"/>
  <c r="FJ95" i="15"/>
  <c r="FK95" i="15" s="1"/>
  <c r="FL95" i="15" s="1"/>
  <c r="FJ102" i="15"/>
  <c r="FK102" i="15" s="1"/>
  <c r="FL102" i="15" s="1"/>
  <c r="FJ106" i="15"/>
  <c r="FK106" i="15" s="1"/>
  <c r="FL106" i="15" s="1"/>
  <c r="FJ110" i="15"/>
  <c r="FK110" i="15" s="1"/>
  <c r="FL110" i="15" s="1"/>
  <c r="FJ114" i="15"/>
  <c r="FK114" i="15" s="1"/>
  <c r="FL114" i="15" s="1"/>
  <c r="FJ118" i="15"/>
  <c r="FK118" i="15" s="1"/>
  <c r="FL118" i="15" s="1"/>
  <c r="FJ122" i="15"/>
  <c r="FK122" i="15" s="1"/>
  <c r="FL122" i="15" s="1"/>
  <c r="FJ129" i="15"/>
  <c r="FK129" i="15" s="1"/>
  <c r="FL129" i="15" s="1"/>
  <c r="FJ133" i="15"/>
  <c r="FK133" i="15" s="1"/>
  <c r="FL133" i="15" s="1"/>
  <c r="FJ137" i="15"/>
  <c r="FK137" i="15" s="1"/>
  <c r="FL137" i="15" s="1"/>
  <c r="FJ141" i="15"/>
  <c r="FK141" i="15" s="1"/>
  <c r="FL141" i="15" s="1"/>
  <c r="FJ145" i="15"/>
  <c r="FK145" i="15" s="1"/>
  <c r="FL145" i="15" s="1"/>
  <c r="FJ148" i="15"/>
  <c r="FK148" i="15" s="1"/>
  <c r="FL148" i="15" s="1"/>
  <c r="FJ152" i="15"/>
  <c r="FK152" i="15" s="1"/>
  <c r="FL152" i="15" s="1"/>
  <c r="FJ156" i="15"/>
  <c r="FK156" i="15" s="1"/>
  <c r="FL156" i="15" s="1"/>
  <c r="FJ160" i="15"/>
  <c r="FK160" i="15" s="1"/>
  <c r="FL160" i="15" s="1"/>
  <c r="FJ164" i="15"/>
  <c r="FK164" i="15" s="1"/>
  <c r="FL164" i="15" s="1"/>
  <c r="FJ168" i="15"/>
  <c r="FK168" i="15" s="1"/>
  <c r="FL168" i="15" s="1"/>
  <c r="FJ171" i="15"/>
  <c r="FK171" i="15" s="1"/>
  <c r="FL171" i="15" s="1"/>
  <c r="FJ175" i="15"/>
  <c r="FK175" i="15" s="1"/>
  <c r="FL175" i="15" s="1"/>
  <c r="FJ179" i="15"/>
  <c r="FK179" i="15" s="1"/>
  <c r="FL179" i="15" s="1"/>
  <c r="FJ183" i="15"/>
  <c r="FK183" i="15" s="1"/>
  <c r="FL183" i="15" s="1"/>
  <c r="FJ187" i="15"/>
  <c r="FK187" i="15" s="1"/>
  <c r="FL187" i="15" s="1"/>
  <c r="FJ194" i="15"/>
  <c r="FK194" i="15" s="1"/>
  <c r="FL194" i="15" s="1"/>
  <c r="FJ198" i="15"/>
  <c r="FK198" i="15" s="1"/>
  <c r="FL198" i="15" s="1"/>
  <c r="FJ202" i="15"/>
  <c r="FK202" i="15" s="1"/>
  <c r="FL202" i="15" s="1"/>
  <c r="FJ206" i="15"/>
  <c r="FK206" i="15" s="1"/>
  <c r="FL206" i="15" s="1"/>
  <c r="FJ210" i="15"/>
  <c r="FK210" i="15" s="1"/>
  <c r="FL210" i="15" s="1"/>
  <c r="FJ214" i="15"/>
  <c r="FK214" i="15" s="1"/>
  <c r="FL214" i="15" s="1"/>
  <c r="FJ221" i="15"/>
  <c r="FK221" i="15" s="1"/>
  <c r="FL221" i="15" s="1"/>
  <c r="FJ225" i="15"/>
  <c r="FK225" i="15" s="1"/>
  <c r="FL225" i="15" s="1"/>
  <c r="FJ229" i="15"/>
  <c r="FK229" i="15" s="1"/>
  <c r="FL229" i="15" s="1"/>
  <c r="FJ236" i="15"/>
  <c r="FK236" i="15" s="1"/>
  <c r="FL236" i="15" s="1"/>
  <c r="FJ240" i="15"/>
  <c r="FK240" i="15" s="1"/>
  <c r="FL240" i="15" s="1"/>
  <c r="FJ244" i="15"/>
  <c r="FK244" i="15" s="1"/>
  <c r="FL244" i="15" s="1"/>
  <c r="FJ248" i="15"/>
  <c r="FK248" i="15" s="1"/>
  <c r="FL248" i="15" s="1"/>
  <c r="FJ271" i="15"/>
  <c r="FK271" i="15" s="1"/>
  <c r="FL271" i="15" s="1"/>
  <c r="FJ275" i="15"/>
  <c r="FK275" i="15" s="1"/>
  <c r="FL275" i="15" s="1"/>
  <c r="FJ278" i="15"/>
  <c r="FK278" i="15" s="1"/>
  <c r="FL278" i="15" s="1"/>
  <c r="FJ282" i="15"/>
  <c r="FK282" i="15" s="1"/>
  <c r="FL282" i="15" s="1"/>
  <c r="FJ286" i="15"/>
  <c r="FK286" i="15" s="1"/>
  <c r="FL286" i="15" s="1"/>
  <c r="FJ290" i="15"/>
  <c r="FK290" i="15" s="1"/>
  <c r="FL290" i="15" s="1"/>
  <c r="FJ294" i="15"/>
  <c r="FK294" i="15" s="1"/>
  <c r="FL294" i="15" s="1"/>
  <c r="FJ298" i="15"/>
  <c r="FK298" i="15" s="1"/>
  <c r="FL298" i="15" s="1"/>
  <c r="FJ301" i="15"/>
  <c r="FK301" i="15" s="1"/>
  <c r="FL301" i="15" s="1"/>
  <c r="FJ305" i="15"/>
  <c r="FK305" i="15" s="1"/>
  <c r="FL305" i="15" s="1"/>
  <c r="FJ309" i="15"/>
  <c r="FK309" i="15" s="1"/>
  <c r="FL309" i="15" s="1"/>
  <c r="FJ313" i="15"/>
  <c r="FK313" i="15" s="1"/>
  <c r="FL313" i="15" s="1"/>
  <c r="FJ317" i="15"/>
  <c r="FK317" i="15" s="1"/>
  <c r="FL317" i="15" s="1"/>
  <c r="FJ321" i="15"/>
  <c r="FK321" i="15" s="1"/>
  <c r="FL321" i="15" s="1"/>
  <c r="FJ325" i="15"/>
  <c r="FK325" i="15" s="1"/>
  <c r="FL325" i="15" s="1"/>
  <c r="FJ328" i="15"/>
  <c r="FK328" i="15" s="1"/>
  <c r="FL328" i="15" s="1"/>
  <c r="FJ9" i="15"/>
  <c r="FK9" i="15" s="1"/>
  <c r="FL9" i="15" s="1"/>
  <c r="FJ24" i="15"/>
  <c r="FJ39" i="15"/>
  <c r="FJ54" i="15"/>
  <c r="FK54" i="15" s="1"/>
  <c r="FL54" i="15" s="1"/>
  <c r="FJ69" i="15"/>
  <c r="FK69" i="15" s="1"/>
  <c r="FL69" i="15" s="1"/>
  <c r="FJ84" i="15"/>
  <c r="FK84" i="15" s="1"/>
  <c r="FL84" i="15" s="1"/>
  <c r="FJ99" i="15"/>
  <c r="FK99" i="15" s="1"/>
  <c r="FL99" i="15" s="1"/>
  <c r="FJ115" i="15"/>
  <c r="FK115" i="15" s="1"/>
  <c r="FL115" i="15" s="1"/>
  <c r="FJ130" i="15"/>
  <c r="FK130" i="15" s="1"/>
  <c r="FL130" i="15" s="1"/>
  <c r="FJ161" i="15"/>
  <c r="FK161" i="15" s="1"/>
  <c r="FL161" i="15" s="1"/>
  <c r="FJ176" i="15"/>
  <c r="FK176" i="15" s="1"/>
  <c r="FL176" i="15" s="1"/>
  <c r="FJ191" i="15"/>
  <c r="FK191" i="15" s="1"/>
  <c r="FL191" i="15" s="1"/>
  <c r="FJ207" i="15"/>
  <c r="FK207" i="15" s="1"/>
  <c r="FL207" i="15" s="1"/>
  <c r="FJ222" i="15"/>
  <c r="FK222" i="15" s="1"/>
  <c r="FL222" i="15" s="1"/>
  <c r="FJ237" i="15"/>
  <c r="FK237" i="15" s="1"/>
  <c r="FL237" i="15" s="1"/>
  <c r="FJ283" i="15"/>
  <c r="FK283" i="15" s="1"/>
  <c r="FL283" i="15" s="1"/>
  <c r="FJ310" i="15"/>
  <c r="FK310" i="15" s="1"/>
  <c r="FL310" i="15" s="1"/>
  <c r="FJ318" i="15"/>
  <c r="FK318" i="15" s="1"/>
  <c r="FL318" i="15" s="1"/>
  <c r="FJ331" i="15"/>
  <c r="FK331" i="15" s="1"/>
  <c r="FL331" i="15" s="1"/>
  <c r="FJ335" i="15"/>
  <c r="FK335" i="15" s="1"/>
  <c r="FL335" i="15" s="1"/>
  <c r="FJ339" i="15"/>
  <c r="FK339" i="15" s="1"/>
  <c r="FL339" i="15" s="1"/>
  <c r="FJ343" i="15"/>
  <c r="FK343" i="15" s="1"/>
  <c r="FL343" i="15" s="1"/>
  <c r="FJ347" i="15"/>
  <c r="FK347" i="15" s="1"/>
  <c r="FL347" i="15" s="1"/>
  <c r="FJ351" i="15"/>
  <c r="FK351" i="15" s="1"/>
  <c r="FL351" i="15" s="1"/>
  <c r="FJ355" i="15"/>
  <c r="FK355" i="15" s="1"/>
  <c r="FL355" i="15" s="1"/>
  <c r="FJ359" i="15"/>
  <c r="FK359" i="15" s="1"/>
  <c r="FL359" i="15" s="1"/>
  <c r="FJ363" i="15"/>
  <c r="FK363" i="15" s="1"/>
  <c r="FL363" i="15" s="1"/>
  <c r="FJ367" i="15"/>
  <c r="FK367" i="15" s="1"/>
  <c r="FL367" i="15" s="1"/>
  <c r="FJ371" i="15"/>
  <c r="FK371" i="15" s="1"/>
  <c r="FL371" i="15" s="1"/>
  <c r="FJ374" i="15"/>
  <c r="FK374" i="15" s="1"/>
  <c r="FL374" i="15" s="1"/>
  <c r="FJ378" i="15"/>
  <c r="FK378" i="15" s="1"/>
  <c r="FL378" i="15" s="1"/>
  <c r="FJ382" i="15"/>
  <c r="FK382" i="15" s="1"/>
  <c r="FL382" i="15" s="1"/>
  <c r="FJ386" i="15"/>
  <c r="FK386" i="15" s="1"/>
  <c r="FL386" i="15" s="1"/>
  <c r="FJ390" i="15"/>
  <c r="FK390" i="15" s="1"/>
  <c r="FL390" i="15" s="1"/>
  <c r="FJ394" i="15"/>
  <c r="FK394" i="15" s="1"/>
  <c r="FL394" i="15" s="1"/>
  <c r="FJ398" i="15"/>
  <c r="FK398" i="15" s="1"/>
  <c r="FL398" i="15" s="1"/>
  <c r="FJ402" i="15"/>
  <c r="FK402" i="15" s="1"/>
  <c r="FL402" i="15" s="1"/>
  <c r="FJ409" i="15"/>
  <c r="FK409" i="15" s="1"/>
  <c r="FL409" i="15" s="1"/>
  <c r="FJ413" i="15"/>
  <c r="FK413" i="15" s="1"/>
  <c r="FL413" i="15" s="1"/>
  <c r="FJ417" i="15"/>
  <c r="FK417" i="15" s="1"/>
  <c r="FL417" i="15" s="1"/>
  <c r="FJ421" i="15"/>
  <c r="FK421" i="15" s="1"/>
  <c r="FL421" i="15" s="1"/>
  <c r="FJ425" i="15"/>
  <c r="FK425" i="15" s="1"/>
  <c r="FL425" i="15" s="1"/>
  <c r="FJ432" i="15"/>
  <c r="FK432" i="15" s="1"/>
  <c r="FL432" i="15" s="1"/>
  <c r="FJ436" i="15"/>
  <c r="FK436" i="15" s="1"/>
  <c r="FL436" i="15" s="1"/>
  <c r="FJ440" i="15"/>
  <c r="FK440" i="15" s="1"/>
  <c r="FL440" i="15" s="1"/>
  <c r="FJ444" i="15"/>
  <c r="FK444" i="15" s="1"/>
  <c r="FL444" i="15" s="1"/>
  <c r="FJ448" i="15"/>
  <c r="FK448" i="15" s="1"/>
  <c r="FL448" i="15" s="1"/>
  <c r="FJ452" i="15"/>
  <c r="FK452" i="15" s="1"/>
  <c r="FL452" i="15" s="1"/>
  <c r="FJ459" i="15"/>
  <c r="FK459" i="15" s="1"/>
  <c r="FL459" i="15" s="1"/>
  <c r="FJ463" i="15"/>
  <c r="FK463" i="15" s="1"/>
  <c r="FL463" i="15" s="1"/>
  <c r="FJ467" i="15"/>
  <c r="FK467" i="15" s="1"/>
  <c r="FL467" i="15" s="1"/>
  <c r="FJ471" i="15"/>
  <c r="FK471" i="15" s="1"/>
  <c r="FL471" i="15" s="1"/>
  <c r="FJ474" i="15"/>
  <c r="FK474" i="15" s="1"/>
  <c r="FL474" i="15" s="1"/>
  <c r="FJ478" i="15"/>
  <c r="FK478" i="15" s="1"/>
  <c r="FL478" i="15" s="1"/>
  <c r="FJ482" i="15"/>
  <c r="FK482" i="15" s="1"/>
  <c r="FL482" i="15" s="1"/>
  <c r="FJ486" i="15"/>
  <c r="FK486" i="15" s="1"/>
  <c r="FL486" i="15" s="1"/>
  <c r="FJ493" i="15"/>
  <c r="FK493" i="15" s="1"/>
  <c r="FL493" i="15" s="1"/>
  <c r="FJ497" i="15"/>
  <c r="FK497" i="15" s="1"/>
  <c r="FL497" i="15" s="1"/>
  <c r="FJ501" i="15"/>
  <c r="FK501" i="15" s="1"/>
  <c r="FL501" i="15" s="1"/>
  <c r="FJ505" i="15"/>
  <c r="FK505" i="15" s="1"/>
  <c r="FL505" i="15" s="1"/>
  <c r="FJ509" i="15"/>
  <c r="FK509" i="15" s="1"/>
  <c r="FL509" i="15" s="1"/>
  <c r="FJ516" i="15"/>
  <c r="FK516" i="15" s="1"/>
  <c r="FL516" i="15" s="1"/>
  <c r="FJ520" i="15"/>
  <c r="FK520" i="15" s="1"/>
  <c r="FL520" i="15" s="1"/>
  <c r="FJ524" i="15"/>
  <c r="FK524" i="15" s="1"/>
  <c r="FL524" i="15" s="1"/>
  <c r="FJ531" i="15"/>
  <c r="FK531" i="15" s="1"/>
  <c r="FL531" i="15" s="1"/>
  <c r="FJ535" i="15"/>
  <c r="FK535" i="15" s="1"/>
  <c r="FL535" i="15" s="1"/>
  <c r="FJ539" i="15"/>
  <c r="FK539" i="15" s="1"/>
  <c r="FL539" i="15" s="1"/>
  <c r="FJ543" i="15"/>
  <c r="FK543" i="15" s="1"/>
  <c r="FL543" i="15" s="1"/>
  <c r="FJ550" i="15"/>
  <c r="FK550" i="15" s="1"/>
  <c r="FL550" i="15" s="1"/>
  <c r="FJ554" i="15"/>
  <c r="FK554" i="15" s="1"/>
  <c r="FL554" i="15" s="1"/>
  <c r="FJ558" i="15"/>
  <c r="FK558" i="15" s="1"/>
  <c r="FL558" i="15" s="1"/>
  <c r="FJ562" i="15"/>
  <c r="FK562" i="15" s="1"/>
  <c r="FL562" i="15" s="1"/>
  <c r="FJ566" i="15"/>
  <c r="FK566" i="15" s="1"/>
  <c r="FL566" i="15" s="1"/>
  <c r="FJ12" i="15"/>
  <c r="FJ28" i="15"/>
  <c r="FJ58" i="15"/>
  <c r="FK58" i="15" s="1"/>
  <c r="FL58" i="15" s="1"/>
  <c r="FJ73" i="15"/>
  <c r="FK73" i="15" s="1"/>
  <c r="FL73" i="15" s="1"/>
  <c r="FJ88" i="15"/>
  <c r="FK88" i="15" s="1"/>
  <c r="FL88" i="15" s="1"/>
  <c r="FJ103" i="15"/>
  <c r="FK103" i="15" s="1"/>
  <c r="FL103" i="15" s="1"/>
  <c r="FJ119" i="15"/>
  <c r="FK119" i="15" s="1"/>
  <c r="FL119" i="15" s="1"/>
  <c r="FJ134" i="15"/>
  <c r="FK134" i="15" s="1"/>
  <c r="FL134" i="15" s="1"/>
  <c r="FJ149" i="15"/>
  <c r="FK149" i="15" s="1"/>
  <c r="FL149" i="15" s="1"/>
  <c r="FJ165" i="15"/>
  <c r="FK165" i="15" s="1"/>
  <c r="FL165" i="15" s="1"/>
  <c r="FJ180" i="15"/>
  <c r="FK180" i="15" s="1"/>
  <c r="FL180" i="15" s="1"/>
  <c r="FJ195" i="15"/>
  <c r="FK195" i="15" s="1"/>
  <c r="FL195" i="15" s="1"/>
  <c r="FJ211" i="15"/>
  <c r="FK211" i="15" s="1"/>
  <c r="FL211" i="15" s="1"/>
  <c r="FJ226" i="15"/>
  <c r="FK226" i="15" s="1"/>
  <c r="FL226" i="15" s="1"/>
  <c r="FJ241" i="15"/>
  <c r="FK241" i="15" s="1"/>
  <c r="FL241" i="15" s="1"/>
  <c r="FJ287" i="15"/>
  <c r="FK287" i="15" s="1"/>
  <c r="FL287" i="15" s="1"/>
  <c r="FJ302" i="15"/>
  <c r="FK302" i="15" s="1"/>
  <c r="FL302" i="15" s="1"/>
  <c r="FJ311" i="15"/>
  <c r="FK311" i="15" s="1"/>
  <c r="FL311" i="15" s="1"/>
  <c r="FJ319" i="15"/>
  <c r="FK319" i="15" s="1"/>
  <c r="FL319" i="15" s="1"/>
  <c r="FJ326" i="15"/>
  <c r="FK326" i="15" s="1"/>
  <c r="FL326" i="15" s="1"/>
  <c r="FJ332" i="15"/>
  <c r="FK332" i="15" s="1"/>
  <c r="FL332" i="15" s="1"/>
  <c r="FJ336" i="15"/>
  <c r="FK336" i="15" s="1"/>
  <c r="FL336" i="15" s="1"/>
  <c r="FJ340" i="15"/>
  <c r="FK340" i="15" s="1"/>
  <c r="FL340" i="15" s="1"/>
  <c r="FJ344" i="15"/>
  <c r="FK344" i="15" s="1"/>
  <c r="FL344" i="15" s="1"/>
  <c r="FJ348" i="15"/>
  <c r="FK348" i="15" s="1"/>
  <c r="FL348" i="15" s="1"/>
  <c r="FJ352" i="15"/>
  <c r="FK352" i="15" s="1"/>
  <c r="FL352" i="15" s="1"/>
  <c r="FJ356" i="15"/>
  <c r="FK356" i="15" s="1"/>
  <c r="FL356" i="15" s="1"/>
  <c r="FJ360" i="15"/>
  <c r="FK360" i="15" s="1"/>
  <c r="FL360" i="15" s="1"/>
  <c r="FJ364" i="15"/>
  <c r="FK364" i="15" s="1"/>
  <c r="FL364" i="15" s="1"/>
  <c r="FJ368" i="15"/>
  <c r="FK368" i="15" s="1"/>
  <c r="FL368" i="15" s="1"/>
  <c r="FJ375" i="15"/>
  <c r="FK375" i="15" s="1"/>
  <c r="FL375" i="15" s="1"/>
  <c r="FJ379" i="15"/>
  <c r="FK379" i="15" s="1"/>
  <c r="FL379" i="15" s="1"/>
  <c r="FJ383" i="15"/>
  <c r="FK383" i="15" s="1"/>
  <c r="FL383" i="15" s="1"/>
  <c r="FJ387" i="15"/>
  <c r="FK387" i="15" s="1"/>
  <c r="FL387" i="15" s="1"/>
  <c r="FJ391" i="15"/>
  <c r="FK391" i="15" s="1"/>
  <c r="FL391" i="15" s="1"/>
  <c r="FJ395" i="15"/>
  <c r="FK395" i="15" s="1"/>
  <c r="FL395" i="15" s="1"/>
  <c r="FJ399" i="15"/>
  <c r="FK399" i="15" s="1"/>
  <c r="FL399" i="15" s="1"/>
  <c r="FJ403" i="15"/>
  <c r="FK403" i="15" s="1"/>
  <c r="FL403" i="15" s="1"/>
  <c r="FJ407" i="15"/>
  <c r="FK407" i="15" s="1"/>
  <c r="FL407" i="15" s="1"/>
  <c r="FJ410" i="15"/>
  <c r="FK410" i="15" s="1"/>
  <c r="FL410" i="15" s="1"/>
  <c r="FJ414" i="15"/>
  <c r="FK414" i="15" s="1"/>
  <c r="FL414" i="15" s="1"/>
  <c r="FJ418" i="15"/>
  <c r="FK418" i="15" s="1"/>
  <c r="FL418" i="15" s="1"/>
  <c r="FJ422" i="15"/>
  <c r="FK422" i="15" s="1"/>
  <c r="FL422" i="15" s="1"/>
  <c r="FJ426" i="15"/>
  <c r="FK426" i="15" s="1"/>
  <c r="FL426" i="15" s="1"/>
  <c r="FJ430" i="15"/>
  <c r="FK430" i="15" s="1"/>
  <c r="FL430" i="15" s="1"/>
  <c r="FJ433" i="15"/>
  <c r="FK433" i="15" s="1"/>
  <c r="FL433" i="15" s="1"/>
  <c r="FJ437" i="15"/>
  <c r="FK437" i="15" s="1"/>
  <c r="FL437" i="15" s="1"/>
  <c r="FJ441" i="15"/>
  <c r="FK441" i="15" s="1"/>
  <c r="FL441" i="15" s="1"/>
  <c r="FJ445" i="15"/>
  <c r="FK445" i="15" s="1"/>
  <c r="FL445" i="15" s="1"/>
  <c r="FJ449" i="15"/>
  <c r="FK449" i="15" s="1"/>
  <c r="FL449" i="15" s="1"/>
  <c r="FJ453" i="15"/>
  <c r="FK453" i="15" s="1"/>
  <c r="FL453" i="15" s="1"/>
  <c r="FJ456" i="15"/>
  <c r="FK456" i="15" s="1"/>
  <c r="FL456" i="15" s="1"/>
  <c r="FJ460" i="15"/>
  <c r="FK460" i="15" s="1"/>
  <c r="FL460" i="15" s="1"/>
  <c r="FJ464" i="15"/>
  <c r="FK464" i="15" s="1"/>
  <c r="FL464" i="15" s="1"/>
  <c r="FJ468" i="15"/>
  <c r="FK468" i="15" s="1"/>
  <c r="FL468" i="15" s="1"/>
  <c r="FJ472" i="15"/>
  <c r="FK472" i="15" s="1"/>
  <c r="FL472" i="15" s="1"/>
  <c r="FJ475" i="15"/>
  <c r="FK475" i="15" s="1"/>
  <c r="FL475" i="15" s="1"/>
  <c r="FJ479" i="15"/>
  <c r="FK479" i="15" s="1"/>
  <c r="FL479" i="15" s="1"/>
  <c r="FJ483" i="15"/>
  <c r="FK483" i="15" s="1"/>
  <c r="FL483" i="15" s="1"/>
  <c r="FJ487" i="15"/>
  <c r="FK487" i="15" s="1"/>
  <c r="FL487" i="15" s="1"/>
  <c r="FJ491" i="15"/>
  <c r="FK491" i="15" s="1"/>
  <c r="FL491" i="15" s="1"/>
  <c r="FJ494" i="15"/>
  <c r="FK494" i="15" s="1"/>
  <c r="FL494" i="15" s="1"/>
  <c r="FJ498" i="15"/>
  <c r="FK498" i="15" s="1"/>
  <c r="FL498" i="15" s="1"/>
  <c r="FJ502" i="15"/>
  <c r="FK502" i="15" s="1"/>
  <c r="FL502" i="15" s="1"/>
  <c r="FJ506" i="15"/>
  <c r="FK506" i="15" s="1"/>
  <c r="FL506" i="15" s="1"/>
  <c r="FJ510" i="15"/>
  <c r="FK510" i="15" s="1"/>
  <c r="FL510" i="15" s="1"/>
  <c r="FJ514" i="15"/>
  <c r="FK514" i="15" s="1"/>
  <c r="FL514" i="15" s="1"/>
  <c r="FJ517" i="15"/>
  <c r="FK517" i="15" s="1"/>
  <c r="FL517" i="15" s="1"/>
  <c r="FJ521" i="15"/>
  <c r="FK521" i="15" s="1"/>
  <c r="FL521" i="15" s="1"/>
  <c r="FJ525" i="15"/>
  <c r="FK525" i="15" s="1"/>
  <c r="FL525" i="15" s="1"/>
  <c r="FJ529" i="15"/>
  <c r="FK529" i="15" s="1"/>
  <c r="FL529" i="15" s="1"/>
  <c r="FJ532" i="15"/>
  <c r="FK532" i="15" s="1"/>
  <c r="FL532" i="15" s="1"/>
  <c r="FJ536" i="15"/>
  <c r="FK536" i="15" s="1"/>
  <c r="FL536" i="15" s="1"/>
  <c r="FJ540" i="15"/>
  <c r="FK540" i="15" s="1"/>
  <c r="FL540" i="15" s="1"/>
  <c r="FJ544" i="15"/>
  <c r="FK544" i="15" s="1"/>
  <c r="FL544" i="15" s="1"/>
  <c r="FJ548" i="15"/>
  <c r="FK548" i="15" s="1"/>
  <c r="FL548" i="15" s="1"/>
  <c r="FJ551" i="15"/>
  <c r="FK551" i="15" s="1"/>
  <c r="FL551" i="15" s="1"/>
  <c r="FJ555" i="15"/>
  <c r="FK555" i="15" s="1"/>
  <c r="FL555" i="15" s="1"/>
  <c r="FJ559" i="15"/>
  <c r="FK559" i="15" s="1"/>
  <c r="FL559" i="15" s="1"/>
  <c r="FJ563" i="15"/>
  <c r="FK563" i="15" s="1"/>
  <c r="FL563" i="15" s="1"/>
  <c r="FJ567" i="15"/>
  <c r="FK567" i="15" s="1"/>
  <c r="FL567" i="15" s="1"/>
  <c r="FJ571" i="15"/>
  <c r="FK571" i="15" s="1"/>
  <c r="FL571" i="15" s="1"/>
  <c r="FJ16" i="15"/>
  <c r="FJ46" i="15"/>
  <c r="FK46" i="15" s="1"/>
  <c r="FL46" i="15" s="1"/>
  <c r="FJ77" i="15"/>
  <c r="FK77" i="15" s="1"/>
  <c r="FL77" i="15" s="1"/>
  <c r="FJ107" i="15"/>
  <c r="FK107" i="15" s="1"/>
  <c r="FL107" i="15" s="1"/>
  <c r="FJ138" i="15"/>
  <c r="FK138" i="15" s="1"/>
  <c r="FL138" i="15" s="1"/>
  <c r="FJ199" i="15"/>
  <c r="FK199" i="15" s="1"/>
  <c r="FL199" i="15" s="1"/>
  <c r="FJ230" i="15"/>
  <c r="FK230" i="15" s="1"/>
  <c r="FL230" i="15" s="1"/>
  <c r="FJ291" i="15"/>
  <c r="FK291" i="15" s="1"/>
  <c r="FL291" i="15" s="1"/>
  <c r="FJ314" i="15"/>
  <c r="FK314" i="15" s="1"/>
  <c r="FL314" i="15" s="1"/>
  <c r="FJ329" i="15"/>
  <c r="FK329" i="15" s="1"/>
  <c r="FL329" i="15" s="1"/>
  <c r="FJ337" i="15"/>
  <c r="FK337" i="15" s="1"/>
  <c r="FL337" i="15" s="1"/>
  <c r="FJ345" i="15"/>
  <c r="FK345" i="15" s="1"/>
  <c r="FL345" i="15" s="1"/>
  <c r="FJ353" i="15"/>
  <c r="FK353" i="15" s="1"/>
  <c r="FL353" i="15" s="1"/>
  <c r="FJ361" i="15"/>
  <c r="FK361" i="15" s="1"/>
  <c r="FL361" i="15" s="1"/>
  <c r="FJ369" i="15"/>
  <c r="FK369" i="15" s="1"/>
  <c r="FL369" i="15" s="1"/>
  <c r="FJ376" i="15"/>
  <c r="FK376" i="15" s="1"/>
  <c r="FL376" i="15" s="1"/>
  <c r="FJ384" i="15"/>
  <c r="FK384" i="15" s="1"/>
  <c r="FL384" i="15" s="1"/>
  <c r="FJ392" i="15"/>
  <c r="FK392" i="15" s="1"/>
  <c r="FL392" i="15" s="1"/>
  <c r="FJ400" i="15"/>
  <c r="FK400" i="15" s="1"/>
  <c r="FL400" i="15" s="1"/>
  <c r="FJ415" i="15"/>
  <c r="FK415" i="15" s="1"/>
  <c r="FL415" i="15" s="1"/>
  <c r="FJ423" i="15"/>
  <c r="FK423" i="15" s="1"/>
  <c r="FL423" i="15" s="1"/>
  <c r="FJ438" i="15"/>
  <c r="FK438" i="15" s="1"/>
  <c r="FL438" i="15" s="1"/>
  <c r="FJ446" i="15"/>
  <c r="FK446" i="15" s="1"/>
  <c r="FL446" i="15" s="1"/>
  <c r="FJ461" i="15"/>
  <c r="FK461" i="15" s="1"/>
  <c r="FL461" i="15" s="1"/>
  <c r="FJ469" i="15"/>
  <c r="FK469" i="15" s="1"/>
  <c r="FL469" i="15" s="1"/>
  <c r="FJ476" i="15"/>
  <c r="FK476" i="15" s="1"/>
  <c r="FL476" i="15" s="1"/>
  <c r="FJ484" i="15"/>
  <c r="FK484" i="15" s="1"/>
  <c r="FL484" i="15" s="1"/>
  <c r="FJ499" i="15"/>
  <c r="FK499" i="15" s="1"/>
  <c r="FL499" i="15" s="1"/>
  <c r="FJ507" i="15"/>
  <c r="FK507" i="15" s="1"/>
  <c r="FL507" i="15" s="1"/>
  <c r="FJ522" i="15"/>
  <c r="FK522" i="15" s="1"/>
  <c r="FL522" i="15" s="1"/>
  <c r="FJ537" i="15"/>
  <c r="FK537" i="15" s="1"/>
  <c r="FL537" i="15" s="1"/>
  <c r="FJ545" i="15"/>
  <c r="FK545" i="15" s="1"/>
  <c r="FL545" i="15" s="1"/>
  <c r="FJ552" i="15"/>
  <c r="FK552" i="15" s="1"/>
  <c r="FL552" i="15" s="1"/>
  <c r="FJ560" i="15"/>
  <c r="FK560" i="15" s="1"/>
  <c r="FL560" i="15" s="1"/>
  <c r="FJ568" i="15"/>
  <c r="FK568" i="15" s="1"/>
  <c r="FL568" i="15" s="1"/>
  <c r="FJ574" i="15"/>
  <c r="FK574" i="15" s="1"/>
  <c r="FL574" i="15" s="1"/>
  <c r="FJ577" i="15"/>
  <c r="FK577" i="15" s="1"/>
  <c r="FL577" i="15" s="1"/>
  <c r="FJ580" i="15"/>
  <c r="FK580" i="15" s="1"/>
  <c r="FL580" i="15" s="1"/>
  <c r="FJ584" i="15"/>
  <c r="FK584" i="15" s="1"/>
  <c r="FL584" i="15" s="1"/>
  <c r="FJ588" i="15"/>
  <c r="FK588" i="15" s="1"/>
  <c r="FL588" i="15" s="1"/>
  <c r="FJ592" i="15"/>
  <c r="FK592" i="15" s="1"/>
  <c r="FL592" i="15" s="1"/>
  <c r="FJ596" i="15"/>
  <c r="FK596" i="15" s="1"/>
  <c r="FL596" i="15" s="1"/>
  <c r="FJ600" i="15"/>
  <c r="FK600" i="15" s="1"/>
  <c r="FL600" i="15" s="1"/>
  <c r="FJ604" i="15"/>
  <c r="FK604" i="15" s="1"/>
  <c r="FL604" i="15" s="1"/>
  <c r="FJ608" i="15"/>
  <c r="FK608" i="15" s="1"/>
  <c r="FL608" i="15" s="1"/>
  <c r="FJ615" i="15"/>
  <c r="FK615" i="15" s="1"/>
  <c r="FL615" i="15" s="1"/>
  <c r="FJ619" i="15"/>
  <c r="FK619" i="15" s="1"/>
  <c r="FL619" i="15" s="1"/>
  <c r="FJ622" i="15"/>
  <c r="FK622" i="15" s="1"/>
  <c r="FL622" i="15" s="1"/>
  <c r="FJ626" i="15"/>
  <c r="FK626" i="15" s="1"/>
  <c r="FL626" i="15" s="1"/>
  <c r="FJ630" i="15"/>
  <c r="FK630" i="15" s="1"/>
  <c r="FL630" i="15" s="1"/>
  <c r="FJ634" i="15"/>
  <c r="FK634" i="15" s="1"/>
  <c r="FL634" i="15" s="1"/>
  <c r="FJ638" i="15"/>
  <c r="FK638" i="15" s="1"/>
  <c r="FL638" i="15" s="1"/>
  <c r="FJ645" i="15"/>
  <c r="FK645" i="15" s="1"/>
  <c r="FL645" i="15" s="1"/>
  <c r="FJ649" i="15"/>
  <c r="FK649" i="15" s="1"/>
  <c r="FL649" i="15" s="1"/>
  <c r="FJ653" i="15"/>
  <c r="FK653" i="15" s="1"/>
  <c r="FL653" i="15" s="1"/>
  <c r="FJ657" i="15"/>
  <c r="FK657" i="15" s="1"/>
  <c r="FL657" i="15" s="1"/>
  <c r="FJ661" i="15"/>
  <c r="FK661" i="15" s="1"/>
  <c r="FL661" i="15" s="1"/>
  <c r="FJ665" i="15"/>
  <c r="FK665" i="15" s="1"/>
  <c r="FL665" i="15" s="1"/>
  <c r="FJ672" i="15"/>
  <c r="FK672" i="15" s="1"/>
  <c r="FL672" i="15" s="1"/>
  <c r="FJ676" i="15"/>
  <c r="FK676" i="15" s="1"/>
  <c r="FL676" i="15" s="1"/>
  <c r="FJ680" i="15"/>
  <c r="FK680" i="15" s="1"/>
  <c r="FL680" i="15" s="1"/>
  <c r="FJ684" i="15"/>
  <c r="FK684" i="15" s="1"/>
  <c r="FL684" i="15" s="1"/>
  <c r="FJ688" i="15"/>
  <c r="FK688" i="15" s="1"/>
  <c r="FL688" i="15" s="1"/>
  <c r="FJ691" i="15"/>
  <c r="FK691" i="15" s="1"/>
  <c r="FL691" i="15" s="1"/>
  <c r="FJ695" i="15"/>
  <c r="FK695" i="15" s="1"/>
  <c r="FL695" i="15" s="1"/>
  <c r="FJ699" i="15"/>
  <c r="FK699" i="15" s="1"/>
  <c r="FL699" i="15" s="1"/>
  <c r="FJ703" i="15"/>
  <c r="FK703" i="15" s="1"/>
  <c r="FL703" i="15" s="1"/>
  <c r="FJ707" i="15"/>
  <c r="FK707" i="15" s="1"/>
  <c r="FL707" i="15" s="1"/>
  <c r="FJ711" i="15"/>
  <c r="FK711" i="15" s="1"/>
  <c r="FL711" i="15" s="1"/>
  <c r="FJ718" i="15"/>
  <c r="FK718" i="15" s="1"/>
  <c r="FL718" i="15" s="1"/>
  <c r="FJ722" i="15"/>
  <c r="FK722" i="15" s="1"/>
  <c r="FL722" i="15" s="1"/>
  <c r="FJ726" i="15"/>
  <c r="FK726" i="15" s="1"/>
  <c r="FL726" i="15" s="1"/>
  <c r="FJ730" i="15"/>
  <c r="FK730" i="15" s="1"/>
  <c r="FL730" i="15" s="1"/>
  <c r="FJ733" i="15"/>
  <c r="FK733" i="15" s="1"/>
  <c r="FL733" i="15" s="1"/>
  <c r="FJ737" i="15"/>
  <c r="FK737" i="15" s="1"/>
  <c r="FL737" i="15" s="1"/>
  <c r="FJ741" i="15"/>
  <c r="FK741" i="15" s="1"/>
  <c r="FL741" i="15" s="1"/>
  <c r="FJ745" i="15"/>
  <c r="FK745" i="15" s="1"/>
  <c r="FL745" i="15" s="1"/>
  <c r="FJ749" i="15"/>
  <c r="FK749" i="15" s="1"/>
  <c r="FL749" i="15" s="1"/>
  <c r="FJ756" i="15"/>
  <c r="FK756" i="15" s="1"/>
  <c r="FL756" i="15" s="1"/>
  <c r="FJ758" i="15"/>
  <c r="FK758" i="15" s="1"/>
  <c r="FL758" i="15" s="1"/>
  <c r="FJ762" i="15"/>
  <c r="FK762" i="15" s="1"/>
  <c r="FL762" i="15" s="1"/>
  <c r="FJ766" i="15"/>
  <c r="FK766" i="15" s="1"/>
  <c r="FL766" i="15" s="1"/>
  <c r="FJ770" i="15"/>
  <c r="FK770" i="15" s="1"/>
  <c r="FL770" i="15" s="1"/>
  <c r="FJ776" i="15"/>
  <c r="FK776" i="15" s="1"/>
  <c r="FL776" i="15" s="1"/>
  <c r="FJ779" i="15"/>
  <c r="FK779" i="15" s="1"/>
  <c r="FL779" i="15" s="1"/>
  <c r="FJ783" i="15"/>
  <c r="FK783" i="15" s="1"/>
  <c r="FL783" i="15" s="1"/>
  <c r="FJ787" i="15"/>
  <c r="FK787" i="15" s="1"/>
  <c r="FL787" i="15" s="1"/>
  <c r="FJ791" i="15"/>
  <c r="FK791" i="15" s="1"/>
  <c r="FL791" i="15" s="1"/>
  <c r="FJ798" i="15"/>
  <c r="FK798" i="15" s="1"/>
  <c r="FL798" i="15" s="1"/>
  <c r="FJ802" i="15"/>
  <c r="FK802" i="15" s="1"/>
  <c r="FL802" i="15" s="1"/>
  <c r="FJ806" i="15"/>
  <c r="FK806" i="15" s="1"/>
  <c r="FL806" i="15" s="1"/>
  <c r="FJ810" i="15"/>
  <c r="FK810" i="15" s="1"/>
  <c r="FL810" i="15" s="1"/>
  <c r="FJ814" i="15"/>
  <c r="FK814" i="15" s="1"/>
  <c r="FL814" i="15" s="1"/>
  <c r="FJ818" i="15"/>
  <c r="FK818" i="15" s="1"/>
  <c r="FL818" i="15" s="1"/>
  <c r="FJ822" i="15"/>
  <c r="FK822" i="15" s="1"/>
  <c r="FL822" i="15" s="1"/>
  <c r="FJ826" i="15"/>
  <c r="FK826" i="15" s="1"/>
  <c r="FL826" i="15" s="1"/>
  <c r="FJ829" i="15"/>
  <c r="FK829" i="15" s="1"/>
  <c r="FL829" i="15" s="1"/>
  <c r="FJ833" i="15"/>
  <c r="FK833" i="15" s="1"/>
  <c r="FL833" i="15" s="1"/>
  <c r="FJ837" i="15"/>
  <c r="FK837" i="15" s="1"/>
  <c r="FL837" i="15" s="1"/>
  <c r="FJ841" i="15"/>
  <c r="FK841" i="15" s="1"/>
  <c r="FL841" i="15" s="1"/>
  <c r="FJ845" i="15"/>
  <c r="FK845" i="15" s="1"/>
  <c r="FL845" i="15" s="1"/>
  <c r="FJ849" i="15"/>
  <c r="FK849" i="15" s="1"/>
  <c r="FL849" i="15" s="1"/>
  <c r="FJ853" i="15"/>
  <c r="FK853" i="15" s="1"/>
  <c r="FL853" i="15" s="1"/>
  <c r="FJ857" i="15"/>
  <c r="FK857" i="15" s="1"/>
  <c r="FL857" i="15" s="1"/>
  <c r="FJ861" i="15"/>
  <c r="FK861" i="15" s="1"/>
  <c r="FL861" i="15" s="1"/>
  <c r="FJ62" i="15"/>
  <c r="FK62" i="15" s="1"/>
  <c r="FL62" i="15" s="1"/>
  <c r="FJ93" i="15"/>
  <c r="FK93" i="15" s="1"/>
  <c r="FL93" i="15" s="1"/>
  <c r="FJ153" i="15"/>
  <c r="FK153" i="15" s="1"/>
  <c r="FL153" i="15" s="1"/>
  <c r="FJ215" i="15"/>
  <c r="FK215" i="15" s="1"/>
  <c r="FL215" i="15" s="1"/>
  <c r="FJ274" i="15"/>
  <c r="FK274" i="15" s="1"/>
  <c r="FL274" i="15" s="1"/>
  <c r="FJ322" i="15"/>
  <c r="FK322" i="15" s="1"/>
  <c r="FL322" i="15" s="1"/>
  <c r="FJ341" i="15"/>
  <c r="FK341" i="15" s="1"/>
  <c r="FL341" i="15" s="1"/>
  <c r="FJ357" i="15"/>
  <c r="FK357" i="15" s="1"/>
  <c r="FL357" i="15" s="1"/>
  <c r="FJ372" i="15"/>
  <c r="FK372" i="15" s="1"/>
  <c r="FL372" i="15" s="1"/>
  <c r="FJ388" i="15"/>
  <c r="FK388" i="15" s="1"/>
  <c r="FL388" i="15" s="1"/>
  <c r="FJ404" i="15"/>
  <c r="FK404" i="15" s="1"/>
  <c r="FL404" i="15" s="1"/>
  <c r="FJ419" i="15"/>
  <c r="FK419" i="15" s="1"/>
  <c r="FL419" i="15" s="1"/>
  <c r="FJ434" i="15"/>
  <c r="FK434" i="15" s="1"/>
  <c r="FL434" i="15" s="1"/>
  <c r="FJ450" i="15"/>
  <c r="FK450" i="15" s="1"/>
  <c r="FL450" i="15" s="1"/>
  <c r="FJ457" i="15"/>
  <c r="FK457" i="15" s="1"/>
  <c r="FL457" i="15" s="1"/>
  <c r="FJ488" i="15"/>
  <c r="FK488" i="15" s="1"/>
  <c r="FL488" i="15" s="1"/>
  <c r="FJ503" i="15"/>
  <c r="FK503" i="15" s="1"/>
  <c r="FL503" i="15" s="1"/>
  <c r="FJ518" i="15"/>
  <c r="FK518" i="15" s="1"/>
  <c r="FL518" i="15" s="1"/>
  <c r="FJ533" i="15"/>
  <c r="FK533" i="15" s="1"/>
  <c r="FL533" i="15" s="1"/>
  <c r="FJ564" i="15"/>
  <c r="FK564" i="15" s="1"/>
  <c r="FL564" i="15" s="1"/>
  <c r="FJ575" i="15"/>
  <c r="FK575" i="15" s="1"/>
  <c r="FL575" i="15" s="1"/>
  <c r="FJ582" i="15"/>
  <c r="FK582" i="15" s="1"/>
  <c r="FL582" i="15" s="1"/>
  <c r="FJ590" i="15"/>
  <c r="FK590" i="15" s="1"/>
  <c r="FL590" i="15" s="1"/>
  <c r="FJ598" i="15"/>
  <c r="FK598" i="15" s="1"/>
  <c r="FL598" i="15" s="1"/>
  <c r="FJ606" i="15"/>
  <c r="FK606" i="15" s="1"/>
  <c r="FL606" i="15" s="1"/>
  <c r="FJ613" i="15"/>
  <c r="FK613" i="15" s="1"/>
  <c r="FL613" i="15" s="1"/>
  <c r="FJ621" i="15"/>
  <c r="FK621" i="15" s="1"/>
  <c r="FL621" i="15" s="1"/>
  <c r="FJ628" i="15"/>
  <c r="FK628" i="15" s="1"/>
  <c r="FL628" i="15" s="1"/>
  <c r="FJ636" i="15"/>
  <c r="FK636" i="15" s="1"/>
  <c r="FL636" i="15" s="1"/>
  <c r="FJ643" i="15"/>
  <c r="FK643" i="15" s="1"/>
  <c r="FL643" i="15" s="1"/>
  <c r="FJ655" i="15"/>
  <c r="FK655" i="15" s="1"/>
  <c r="FL655" i="15" s="1"/>
  <c r="FJ663" i="15"/>
  <c r="FK663" i="15" s="1"/>
  <c r="FL663" i="15" s="1"/>
  <c r="FJ670" i="15"/>
  <c r="FK670" i="15" s="1"/>
  <c r="FL670" i="15" s="1"/>
  <c r="FJ678" i="15"/>
  <c r="FK678" i="15" s="1"/>
  <c r="FL678" i="15" s="1"/>
  <c r="FJ686" i="15"/>
  <c r="FK686" i="15" s="1"/>
  <c r="FL686" i="15" s="1"/>
  <c r="FJ693" i="15"/>
  <c r="FK693" i="15" s="1"/>
  <c r="FL693" i="15" s="1"/>
  <c r="FJ701" i="15"/>
  <c r="FK701" i="15" s="1"/>
  <c r="FL701" i="15" s="1"/>
  <c r="FJ709" i="15"/>
  <c r="FK709" i="15" s="1"/>
  <c r="FL709" i="15" s="1"/>
  <c r="FJ716" i="15"/>
  <c r="FK716" i="15" s="1"/>
  <c r="FL716" i="15" s="1"/>
  <c r="FJ724" i="15"/>
  <c r="FK724" i="15" s="1"/>
  <c r="FL724" i="15" s="1"/>
  <c r="FJ732" i="15"/>
  <c r="FK732" i="15" s="1"/>
  <c r="FL732" i="15" s="1"/>
  <c r="FJ739" i="15"/>
  <c r="FK739" i="15" s="1"/>
  <c r="FL739" i="15" s="1"/>
  <c r="FJ751" i="15"/>
  <c r="FK751" i="15" s="1"/>
  <c r="FL751" i="15" s="1"/>
  <c r="FJ773" i="15"/>
  <c r="FK773" i="15" s="1"/>
  <c r="FL773" i="15" s="1"/>
  <c r="FJ764" i="15"/>
  <c r="FK764" i="15" s="1"/>
  <c r="FL764" i="15" s="1"/>
  <c r="FJ772" i="15"/>
  <c r="FK772" i="15" s="1"/>
  <c r="FL772" i="15" s="1"/>
  <c r="FJ781" i="15"/>
  <c r="FK781" i="15" s="1"/>
  <c r="FL781" i="15" s="1"/>
  <c r="FJ789" i="15"/>
  <c r="FK789" i="15" s="1"/>
  <c r="FL789" i="15" s="1"/>
  <c r="FJ20" i="15"/>
  <c r="FJ50" i="15"/>
  <c r="FK50" i="15" s="1"/>
  <c r="FL50" i="15" s="1"/>
  <c r="FJ81" i="15"/>
  <c r="FK81" i="15" s="1"/>
  <c r="FL81" i="15" s="1"/>
  <c r="FJ111" i="15"/>
  <c r="FK111" i="15" s="1"/>
  <c r="FL111" i="15" s="1"/>
  <c r="FJ142" i="15"/>
  <c r="FK142" i="15" s="1"/>
  <c r="FL142" i="15" s="1"/>
  <c r="FJ172" i="15"/>
  <c r="FK172" i="15" s="1"/>
  <c r="FL172" i="15" s="1"/>
  <c r="FJ203" i="15"/>
  <c r="FK203" i="15" s="1"/>
  <c r="FL203" i="15" s="1"/>
  <c r="FJ233" i="15"/>
  <c r="FK233" i="15" s="1"/>
  <c r="FL233" i="15" s="1"/>
  <c r="FJ295" i="15"/>
  <c r="FK295" i="15" s="1"/>
  <c r="FL295" i="15" s="1"/>
  <c r="FJ315" i="15"/>
  <c r="FK315" i="15" s="1"/>
  <c r="FL315" i="15" s="1"/>
  <c r="FJ330" i="15"/>
  <c r="FK330" i="15" s="1"/>
  <c r="FL330" i="15" s="1"/>
  <c r="FJ338" i="15"/>
  <c r="FK338" i="15" s="1"/>
  <c r="FL338" i="15" s="1"/>
  <c r="FJ346" i="15"/>
  <c r="FK346" i="15" s="1"/>
  <c r="FL346" i="15" s="1"/>
  <c r="FJ354" i="15"/>
  <c r="FK354" i="15" s="1"/>
  <c r="FL354" i="15" s="1"/>
  <c r="FJ362" i="15"/>
  <c r="FK362" i="15" s="1"/>
  <c r="FL362" i="15" s="1"/>
  <c r="FJ377" i="15"/>
  <c r="FK377" i="15" s="1"/>
  <c r="FL377" i="15" s="1"/>
  <c r="FJ385" i="15"/>
  <c r="FK385" i="15" s="1"/>
  <c r="FL385" i="15" s="1"/>
  <c r="FJ393" i="15"/>
  <c r="FK393" i="15" s="1"/>
  <c r="FL393" i="15" s="1"/>
  <c r="FJ401" i="15"/>
  <c r="FK401" i="15" s="1"/>
  <c r="FL401" i="15" s="1"/>
  <c r="FJ408" i="15"/>
  <c r="FK408" i="15" s="1"/>
  <c r="FL408" i="15" s="1"/>
  <c r="FJ416" i="15"/>
  <c r="FK416" i="15" s="1"/>
  <c r="FL416" i="15" s="1"/>
  <c r="FJ424" i="15"/>
  <c r="FK424" i="15" s="1"/>
  <c r="FL424" i="15" s="1"/>
  <c r="FJ431" i="15"/>
  <c r="FK431" i="15" s="1"/>
  <c r="FL431" i="15" s="1"/>
  <c r="FJ439" i="15"/>
  <c r="FK439" i="15" s="1"/>
  <c r="FL439" i="15" s="1"/>
  <c r="FJ447" i="15"/>
  <c r="FK447" i="15" s="1"/>
  <c r="FL447" i="15" s="1"/>
  <c r="FJ455" i="15"/>
  <c r="FK455" i="15" s="1"/>
  <c r="FL455" i="15" s="1"/>
  <c r="FJ462" i="15"/>
  <c r="FK462" i="15" s="1"/>
  <c r="FL462" i="15" s="1"/>
  <c r="FJ477" i="15"/>
  <c r="FK477" i="15" s="1"/>
  <c r="FL477" i="15" s="1"/>
  <c r="FJ485" i="15"/>
  <c r="FK485" i="15" s="1"/>
  <c r="FL485" i="15" s="1"/>
  <c r="FJ492" i="15"/>
  <c r="FK492" i="15" s="1"/>
  <c r="FL492" i="15" s="1"/>
  <c r="FJ500" i="15"/>
  <c r="FK500" i="15" s="1"/>
  <c r="FL500" i="15" s="1"/>
  <c r="FJ508" i="15"/>
  <c r="FK508" i="15" s="1"/>
  <c r="FL508" i="15" s="1"/>
  <c r="FJ515" i="15"/>
  <c r="FK515" i="15" s="1"/>
  <c r="FL515" i="15" s="1"/>
  <c r="FJ523" i="15"/>
  <c r="FK523" i="15" s="1"/>
  <c r="FL523" i="15" s="1"/>
  <c r="FJ530" i="15"/>
  <c r="FK530" i="15" s="1"/>
  <c r="FL530" i="15" s="1"/>
  <c r="FJ538" i="15"/>
  <c r="FK538" i="15" s="1"/>
  <c r="FL538" i="15" s="1"/>
  <c r="FJ546" i="15"/>
  <c r="FK546" i="15" s="1"/>
  <c r="FL546" i="15" s="1"/>
  <c r="FJ553" i="15"/>
  <c r="FK553" i="15" s="1"/>
  <c r="FL553" i="15" s="1"/>
  <c r="FJ561" i="15"/>
  <c r="FK561" i="15" s="1"/>
  <c r="FL561" i="15" s="1"/>
  <c r="FJ569" i="15"/>
  <c r="FK569" i="15" s="1"/>
  <c r="FL569" i="15" s="1"/>
  <c r="FJ572" i="15"/>
  <c r="FK572" i="15" s="1"/>
  <c r="FL572" i="15" s="1"/>
  <c r="FJ578" i="15"/>
  <c r="FK578" i="15" s="1"/>
  <c r="FL578" i="15" s="1"/>
  <c r="FJ581" i="15"/>
  <c r="FK581" i="15" s="1"/>
  <c r="FL581" i="15" s="1"/>
  <c r="FJ585" i="15"/>
  <c r="FK585" i="15" s="1"/>
  <c r="FL585" i="15" s="1"/>
  <c r="FJ589" i="15"/>
  <c r="FK589" i="15" s="1"/>
  <c r="FL589" i="15" s="1"/>
  <c r="FJ593" i="15"/>
  <c r="FK593" i="15" s="1"/>
  <c r="FL593" i="15" s="1"/>
  <c r="FJ597" i="15"/>
  <c r="FK597" i="15" s="1"/>
  <c r="FL597" i="15" s="1"/>
  <c r="FJ601" i="15"/>
  <c r="FK601" i="15" s="1"/>
  <c r="FL601" i="15" s="1"/>
  <c r="FJ605" i="15"/>
  <c r="FK605" i="15" s="1"/>
  <c r="FL605" i="15" s="1"/>
  <c r="FJ609" i="15"/>
  <c r="FK609" i="15" s="1"/>
  <c r="FL609" i="15" s="1"/>
  <c r="FJ612" i="15"/>
  <c r="FK612" i="15" s="1"/>
  <c r="FL612" i="15" s="1"/>
  <c r="FJ616" i="15"/>
  <c r="FK616" i="15" s="1"/>
  <c r="FL616" i="15" s="1"/>
  <c r="FJ623" i="15"/>
  <c r="FK623" i="15" s="1"/>
  <c r="FL623" i="15" s="1"/>
  <c r="FJ627" i="15"/>
  <c r="FK627" i="15" s="1"/>
  <c r="FL627" i="15" s="1"/>
  <c r="FJ631" i="15"/>
  <c r="FK631" i="15" s="1"/>
  <c r="FL631" i="15" s="1"/>
  <c r="FJ635" i="15"/>
  <c r="FK635" i="15" s="1"/>
  <c r="FL635" i="15" s="1"/>
  <c r="FJ639" i="15"/>
  <c r="FK639" i="15" s="1"/>
  <c r="FL639" i="15" s="1"/>
  <c r="FJ642" i="15"/>
  <c r="FK642" i="15" s="1"/>
  <c r="FL642" i="15" s="1"/>
  <c r="FJ646" i="15"/>
  <c r="FK646" i="15" s="1"/>
  <c r="FL646" i="15" s="1"/>
  <c r="FJ650" i="15"/>
  <c r="FK650" i="15" s="1"/>
  <c r="FL650" i="15" s="1"/>
  <c r="FJ654" i="15"/>
  <c r="FK654" i="15" s="1"/>
  <c r="FL654" i="15" s="1"/>
  <c r="FJ658" i="15"/>
  <c r="FK658" i="15" s="1"/>
  <c r="FL658" i="15" s="1"/>
  <c r="FJ662" i="15"/>
  <c r="FK662" i="15" s="1"/>
  <c r="FL662" i="15" s="1"/>
  <c r="FJ666" i="15"/>
  <c r="FK666" i="15" s="1"/>
  <c r="FL666" i="15" s="1"/>
  <c r="FJ669" i="15"/>
  <c r="FK669" i="15" s="1"/>
  <c r="FL669" i="15" s="1"/>
  <c r="FJ673" i="15"/>
  <c r="FK673" i="15" s="1"/>
  <c r="FL673" i="15" s="1"/>
  <c r="FJ677" i="15"/>
  <c r="FK677" i="15" s="1"/>
  <c r="FL677" i="15" s="1"/>
  <c r="FJ681" i="15"/>
  <c r="FK681" i="15" s="1"/>
  <c r="FL681" i="15" s="1"/>
  <c r="FJ685" i="15"/>
  <c r="FK685" i="15" s="1"/>
  <c r="FL685" i="15" s="1"/>
  <c r="FJ692" i="15"/>
  <c r="FK692" i="15" s="1"/>
  <c r="FL692" i="15" s="1"/>
  <c r="FJ696" i="15"/>
  <c r="FK696" i="15" s="1"/>
  <c r="FL696" i="15" s="1"/>
  <c r="FJ700" i="15"/>
  <c r="FK700" i="15" s="1"/>
  <c r="FL700" i="15" s="1"/>
  <c r="FJ704" i="15"/>
  <c r="FK704" i="15" s="1"/>
  <c r="FL704" i="15" s="1"/>
  <c r="FJ708" i="15"/>
  <c r="FK708" i="15" s="1"/>
  <c r="FL708" i="15" s="1"/>
  <c r="FJ715" i="15"/>
  <c r="FK715" i="15" s="1"/>
  <c r="FL715" i="15" s="1"/>
  <c r="FJ719" i="15"/>
  <c r="FK719" i="15" s="1"/>
  <c r="FL719" i="15" s="1"/>
  <c r="FJ723" i="15"/>
  <c r="FK723" i="15" s="1"/>
  <c r="FL723" i="15" s="1"/>
  <c r="FJ727" i="15"/>
  <c r="FK727" i="15" s="1"/>
  <c r="FL727" i="15" s="1"/>
  <c r="FJ734" i="15"/>
  <c r="FK734" i="15" s="1"/>
  <c r="FL734" i="15" s="1"/>
  <c r="FJ738" i="15"/>
  <c r="FK738" i="15" s="1"/>
  <c r="FL738" i="15" s="1"/>
  <c r="FJ742" i="15"/>
  <c r="FK742" i="15" s="1"/>
  <c r="FL742" i="15" s="1"/>
  <c r="FJ746" i="15"/>
  <c r="FK746" i="15" s="1"/>
  <c r="FL746" i="15" s="1"/>
  <c r="FJ750" i="15"/>
  <c r="FK750" i="15" s="1"/>
  <c r="FL750" i="15" s="1"/>
  <c r="FJ754" i="15"/>
  <c r="FK754" i="15" s="1"/>
  <c r="FL754" i="15" s="1"/>
  <c r="FJ757" i="15"/>
  <c r="FK757" i="15" s="1"/>
  <c r="FL757" i="15" s="1"/>
  <c r="FJ759" i="15"/>
  <c r="FK759" i="15" s="1"/>
  <c r="FL759" i="15" s="1"/>
  <c r="FJ763" i="15"/>
  <c r="FK763" i="15" s="1"/>
  <c r="FL763" i="15" s="1"/>
  <c r="FJ767" i="15"/>
  <c r="FK767" i="15" s="1"/>
  <c r="FL767" i="15" s="1"/>
  <c r="FJ771" i="15"/>
  <c r="FK771" i="15" s="1"/>
  <c r="FL771" i="15" s="1"/>
  <c r="FJ780" i="15"/>
  <c r="FK780" i="15" s="1"/>
  <c r="FL780" i="15" s="1"/>
  <c r="FJ784" i="15"/>
  <c r="FK784" i="15" s="1"/>
  <c r="FL784" i="15" s="1"/>
  <c r="FJ788" i="15"/>
  <c r="FK788" i="15" s="1"/>
  <c r="FL788" i="15" s="1"/>
  <c r="FJ792" i="15"/>
  <c r="FK792" i="15" s="1"/>
  <c r="FL792" i="15" s="1"/>
  <c r="FJ796" i="15"/>
  <c r="FK796" i="15" s="1"/>
  <c r="FL796" i="15" s="1"/>
  <c r="FJ799" i="15"/>
  <c r="FK799" i="15" s="1"/>
  <c r="FL799" i="15" s="1"/>
  <c r="FJ803" i="15"/>
  <c r="FK803" i="15" s="1"/>
  <c r="FL803" i="15" s="1"/>
  <c r="FJ807" i="15"/>
  <c r="FK807" i="15" s="1"/>
  <c r="FL807" i="15" s="1"/>
  <c r="FJ811" i="15"/>
  <c r="FK811" i="15" s="1"/>
  <c r="FL811" i="15" s="1"/>
  <c r="FJ815" i="15"/>
  <c r="FK815" i="15" s="1"/>
  <c r="FL815" i="15" s="1"/>
  <c r="FJ819" i="15"/>
  <c r="FK819" i="15" s="1"/>
  <c r="FL819" i="15" s="1"/>
  <c r="FJ823" i="15"/>
  <c r="FK823" i="15" s="1"/>
  <c r="FL823" i="15" s="1"/>
  <c r="FJ830" i="15"/>
  <c r="FK830" i="15" s="1"/>
  <c r="FL830" i="15" s="1"/>
  <c r="FJ834" i="15"/>
  <c r="FK834" i="15" s="1"/>
  <c r="FL834" i="15" s="1"/>
  <c r="FJ838" i="15"/>
  <c r="FK838" i="15" s="1"/>
  <c r="FL838" i="15" s="1"/>
  <c r="FJ842" i="15"/>
  <c r="FK842" i="15" s="1"/>
  <c r="FL842" i="15" s="1"/>
  <c r="FJ846" i="15"/>
  <c r="FK846" i="15" s="1"/>
  <c r="FL846" i="15" s="1"/>
  <c r="FJ850" i="15"/>
  <c r="FK850" i="15" s="1"/>
  <c r="FL850" i="15" s="1"/>
  <c r="FJ854" i="15"/>
  <c r="FK854" i="15" s="1"/>
  <c r="FL854" i="15" s="1"/>
  <c r="FJ858" i="15"/>
  <c r="FK858" i="15" s="1"/>
  <c r="FL858" i="15" s="1"/>
  <c r="FJ32" i="15"/>
  <c r="FJ123" i="15"/>
  <c r="FK123" i="15" s="1"/>
  <c r="FL123" i="15" s="1"/>
  <c r="FJ184" i="15"/>
  <c r="FK184" i="15" s="1"/>
  <c r="FL184" i="15" s="1"/>
  <c r="FJ245" i="15"/>
  <c r="FK245" i="15" s="1"/>
  <c r="FL245" i="15" s="1"/>
  <c r="FJ306" i="15"/>
  <c r="FK306" i="15" s="1"/>
  <c r="FL306" i="15" s="1"/>
  <c r="FJ333" i="15"/>
  <c r="FK333" i="15" s="1"/>
  <c r="FL333" i="15" s="1"/>
  <c r="FJ349" i="15"/>
  <c r="FK349" i="15" s="1"/>
  <c r="FL349" i="15" s="1"/>
  <c r="FJ365" i="15"/>
  <c r="FK365" i="15" s="1"/>
  <c r="FL365" i="15" s="1"/>
  <c r="FJ380" i="15"/>
  <c r="FK380" i="15" s="1"/>
  <c r="FL380" i="15" s="1"/>
  <c r="FJ396" i="15"/>
  <c r="FK396" i="15" s="1"/>
  <c r="FL396" i="15" s="1"/>
  <c r="FJ411" i="15"/>
  <c r="FK411" i="15" s="1"/>
  <c r="FL411" i="15" s="1"/>
  <c r="FJ427" i="15"/>
  <c r="FK427" i="15" s="1"/>
  <c r="FL427" i="15" s="1"/>
  <c r="FJ442" i="15"/>
  <c r="FK442" i="15" s="1"/>
  <c r="FL442" i="15" s="1"/>
  <c r="FJ465" i="15"/>
  <c r="FK465" i="15" s="1"/>
  <c r="FL465" i="15" s="1"/>
  <c r="FJ480" i="15"/>
  <c r="FK480" i="15" s="1"/>
  <c r="FL480" i="15" s="1"/>
  <c r="FJ495" i="15"/>
  <c r="FK495" i="15" s="1"/>
  <c r="FL495" i="15" s="1"/>
  <c r="FJ511" i="15"/>
  <c r="FK511" i="15" s="1"/>
  <c r="FL511" i="15" s="1"/>
  <c r="FJ526" i="15"/>
  <c r="FK526" i="15" s="1"/>
  <c r="FL526" i="15" s="1"/>
  <c r="FJ541" i="15"/>
  <c r="FK541" i="15" s="1"/>
  <c r="FL541" i="15" s="1"/>
  <c r="FJ556" i="15"/>
  <c r="FK556" i="15" s="1"/>
  <c r="FL556" i="15" s="1"/>
  <c r="FJ570" i="15"/>
  <c r="FK570" i="15" s="1"/>
  <c r="FL570" i="15" s="1"/>
  <c r="FJ586" i="15"/>
  <c r="FK586" i="15" s="1"/>
  <c r="FL586" i="15" s="1"/>
  <c r="FJ594" i="15"/>
  <c r="FK594" i="15" s="1"/>
  <c r="FL594" i="15" s="1"/>
  <c r="FJ602" i="15"/>
  <c r="FK602" i="15" s="1"/>
  <c r="FL602" i="15" s="1"/>
  <c r="FJ617" i="15"/>
  <c r="FK617" i="15" s="1"/>
  <c r="FL617" i="15" s="1"/>
  <c r="FJ624" i="15"/>
  <c r="FK624" i="15" s="1"/>
  <c r="FL624" i="15" s="1"/>
  <c r="FJ632" i="15"/>
  <c r="FK632" i="15" s="1"/>
  <c r="FL632" i="15" s="1"/>
  <c r="FJ647" i="15"/>
  <c r="FK647" i="15" s="1"/>
  <c r="FL647" i="15" s="1"/>
  <c r="FJ651" i="15"/>
  <c r="FK651" i="15" s="1"/>
  <c r="FL651" i="15" s="1"/>
  <c r="FJ659" i="15"/>
  <c r="FK659" i="15" s="1"/>
  <c r="FL659" i="15" s="1"/>
  <c r="FJ667" i="15"/>
  <c r="FK667" i="15" s="1"/>
  <c r="FL667" i="15" s="1"/>
  <c r="FJ674" i="15"/>
  <c r="FK674" i="15" s="1"/>
  <c r="FL674" i="15" s="1"/>
  <c r="FJ682" i="15"/>
  <c r="FK682" i="15" s="1"/>
  <c r="FL682" i="15" s="1"/>
  <c r="FJ689" i="15"/>
  <c r="FK689" i="15" s="1"/>
  <c r="FL689" i="15" s="1"/>
  <c r="FJ697" i="15"/>
  <c r="FK697" i="15" s="1"/>
  <c r="FL697" i="15" s="1"/>
  <c r="FJ705" i="15"/>
  <c r="FK705" i="15" s="1"/>
  <c r="FL705" i="15" s="1"/>
  <c r="FJ713" i="15"/>
  <c r="FK713" i="15" s="1"/>
  <c r="FL713" i="15" s="1"/>
  <c r="FJ720" i="15"/>
  <c r="FK720" i="15" s="1"/>
  <c r="FL720" i="15" s="1"/>
  <c r="FJ728" i="15"/>
  <c r="FK728" i="15" s="1"/>
  <c r="FL728" i="15" s="1"/>
  <c r="FJ735" i="15"/>
  <c r="FK735" i="15" s="1"/>
  <c r="FL735" i="15" s="1"/>
  <c r="FJ743" i="15"/>
  <c r="FK743" i="15" s="1"/>
  <c r="FL743" i="15" s="1"/>
  <c r="FJ747" i="15"/>
  <c r="FK747" i="15" s="1"/>
  <c r="FL747" i="15" s="1"/>
  <c r="FJ760" i="15"/>
  <c r="FK760" i="15" s="1"/>
  <c r="FL760" i="15" s="1"/>
  <c r="FJ768" i="15"/>
  <c r="FK768" i="15" s="1"/>
  <c r="FL768" i="15" s="1"/>
  <c r="FJ777" i="15"/>
  <c r="FK777" i="15" s="1"/>
  <c r="FL777" i="15" s="1"/>
  <c r="FJ785" i="15"/>
  <c r="FK785" i="15" s="1"/>
  <c r="FL785" i="15" s="1"/>
  <c r="FJ793" i="15"/>
  <c r="FK793" i="15" s="1"/>
  <c r="FL793" i="15" s="1"/>
  <c r="FJ800" i="15"/>
  <c r="FK800" i="15" s="1"/>
  <c r="FL800" i="15" s="1"/>
  <c r="FJ35" i="15"/>
  <c r="FJ157" i="15"/>
  <c r="FK157" i="15" s="1"/>
  <c r="FL157" i="15" s="1"/>
  <c r="FJ279" i="15"/>
  <c r="FK279" i="15" s="1"/>
  <c r="FL279" i="15" s="1"/>
  <c r="FJ342" i="15"/>
  <c r="FK342" i="15" s="1"/>
  <c r="FL342" i="15" s="1"/>
  <c r="FJ373" i="15"/>
  <c r="FK373" i="15" s="1"/>
  <c r="FL373" i="15" s="1"/>
  <c r="FJ405" i="15"/>
  <c r="FK405" i="15" s="1"/>
  <c r="FL405" i="15" s="1"/>
  <c r="FJ435" i="15"/>
  <c r="FK435" i="15" s="1"/>
  <c r="FL435" i="15" s="1"/>
  <c r="FJ466" i="15"/>
  <c r="FK466" i="15" s="1"/>
  <c r="FL466" i="15" s="1"/>
  <c r="FJ496" i="15"/>
  <c r="FK496" i="15" s="1"/>
  <c r="FL496" i="15" s="1"/>
  <c r="FJ527" i="15"/>
  <c r="FK527" i="15" s="1"/>
  <c r="FL527" i="15" s="1"/>
  <c r="FJ557" i="15"/>
  <c r="FK557" i="15" s="1"/>
  <c r="FL557" i="15" s="1"/>
  <c r="FJ579" i="15"/>
  <c r="FK579" i="15" s="1"/>
  <c r="FL579" i="15" s="1"/>
  <c r="FJ595" i="15"/>
  <c r="FK595" i="15" s="1"/>
  <c r="FL595" i="15" s="1"/>
  <c r="FJ611" i="15"/>
  <c r="FK611" i="15" s="1"/>
  <c r="FL611" i="15" s="1"/>
  <c r="FJ625" i="15"/>
  <c r="FK625" i="15" s="1"/>
  <c r="FL625" i="15" s="1"/>
  <c r="FJ641" i="15"/>
  <c r="FK641" i="15" s="1"/>
  <c r="FL641" i="15" s="1"/>
  <c r="FJ656" i="15"/>
  <c r="FK656" i="15" s="1"/>
  <c r="FL656" i="15" s="1"/>
  <c r="FJ671" i="15"/>
  <c r="FK671" i="15" s="1"/>
  <c r="FL671" i="15" s="1"/>
  <c r="FJ702" i="15"/>
  <c r="FK702" i="15" s="1"/>
  <c r="FL702" i="15" s="1"/>
  <c r="FJ717" i="15"/>
  <c r="FK717" i="15" s="1"/>
  <c r="FL717" i="15" s="1"/>
  <c r="FJ748" i="15"/>
  <c r="FK748" i="15" s="1"/>
  <c r="FL748" i="15" s="1"/>
  <c r="FJ761" i="15"/>
  <c r="FK761" i="15" s="1"/>
  <c r="FL761" i="15" s="1"/>
  <c r="FJ778" i="15"/>
  <c r="FK778" i="15" s="1"/>
  <c r="FL778" i="15" s="1"/>
  <c r="FJ794" i="15"/>
  <c r="FK794" i="15" s="1"/>
  <c r="FL794" i="15" s="1"/>
  <c r="FJ805" i="15"/>
  <c r="FK805" i="15" s="1"/>
  <c r="FL805" i="15" s="1"/>
  <c r="FJ813" i="15"/>
  <c r="FK813" i="15" s="1"/>
  <c r="FL813" i="15" s="1"/>
  <c r="FJ821" i="15"/>
  <c r="FK821" i="15" s="1"/>
  <c r="FL821" i="15" s="1"/>
  <c r="FJ836" i="15"/>
  <c r="FK836" i="15" s="1"/>
  <c r="FL836" i="15" s="1"/>
  <c r="FJ844" i="15"/>
  <c r="FK844" i="15" s="1"/>
  <c r="FL844" i="15" s="1"/>
  <c r="FJ852" i="15"/>
  <c r="FK852" i="15" s="1"/>
  <c r="FL852" i="15" s="1"/>
  <c r="FJ860" i="15"/>
  <c r="FK860" i="15" s="1"/>
  <c r="FL860" i="15" s="1"/>
  <c r="FJ825" i="15"/>
  <c r="FK825" i="15" s="1"/>
  <c r="FL825" i="15" s="1"/>
  <c r="FJ848" i="15"/>
  <c r="FK848" i="15" s="1"/>
  <c r="FL848" i="15" s="1"/>
  <c r="FJ126" i="15"/>
  <c r="FK126" i="15" s="1"/>
  <c r="FL126" i="15" s="1"/>
  <c r="FJ458" i="15"/>
  <c r="FK458" i="15" s="1"/>
  <c r="FL458" i="15" s="1"/>
  <c r="FJ519" i="15"/>
  <c r="FK519" i="15" s="1"/>
  <c r="FL519" i="15" s="1"/>
  <c r="FJ607" i="15"/>
  <c r="FK607" i="15" s="1"/>
  <c r="FL607" i="15" s="1"/>
  <c r="FJ637" i="15"/>
  <c r="FK637" i="15" s="1"/>
  <c r="FL637" i="15" s="1"/>
  <c r="FJ668" i="15"/>
  <c r="FK668" i="15" s="1"/>
  <c r="FL668" i="15" s="1"/>
  <c r="FJ698" i="15"/>
  <c r="FK698" i="15" s="1"/>
  <c r="FL698" i="15" s="1"/>
  <c r="FJ729" i="15"/>
  <c r="FK729" i="15" s="1"/>
  <c r="FL729" i="15" s="1"/>
  <c r="FJ774" i="15"/>
  <c r="FK774" i="15" s="1"/>
  <c r="FL774" i="15" s="1"/>
  <c r="FJ790" i="15"/>
  <c r="FK790" i="15" s="1"/>
  <c r="FL790" i="15" s="1"/>
  <c r="FJ812" i="15"/>
  <c r="FK812" i="15" s="1"/>
  <c r="FL812" i="15" s="1"/>
  <c r="FJ835" i="15"/>
  <c r="FK835" i="15" s="1"/>
  <c r="FL835" i="15" s="1"/>
  <c r="FJ851" i="15"/>
  <c r="FK851" i="15" s="1"/>
  <c r="FL851" i="15" s="1"/>
  <c r="FJ188" i="15"/>
  <c r="FK188" i="15" s="1"/>
  <c r="FL188" i="15" s="1"/>
  <c r="FJ307" i="15"/>
  <c r="FK307" i="15" s="1"/>
  <c r="FL307" i="15" s="1"/>
  <c r="FJ350" i="15"/>
  <c r="FK350" i="15" s="1"/>
  <c r="FL350" i="15" s="1"/>
  <c r="FJ381" i="15"/>
  <c r="FK381" i="15" s="1"/>
  <c r="FL381" i="15" s="1"/>
  <c r="FJ412" i="15"/>
  <c r="FK412" i="15" s="1"/>
  <c r="FL412" i="15" s="1"/>
  <c r="FJ443" i="15"/>
  <c r="FK443" i="15" s="1"/>
  <c r="FL443" i="15" s="1"/>
  <c r="FJ473" i="15"/>
  <c r="FK473" i="15" s="1"/>
  <c r="FL473" i="15" s="1"/>
  <c r="FJ504" i="15"/>
  <c r="FK504" i="15" s="1"/>
  <c r="FL504" i="15" s="1"/>
  <c r="FJ534" i="15"/>
  <c r="FK534" i="15" s="1"/>
  <c r="FL534" i="15" s="1"/>
  <c r="FJ565" i="15"/>
  <c r="FK565" i="15" s="1"/>
  <c r="FL565" i="15" s="1"/>
  <c r="FJ583" i="15"/>
  <c r="FK583" i="15" s="1"/>
  <c r="FL583" i="15" s="1"/>
  <c r="FJ599" i="15"/>
  <c r="FK599" i="15" s="1"/>
  <c r="FL599" i="15" s="1"/>
  <c r="FJ614" i="15"/>
  <c r="FK614" i="15" s="1"/>
  <c r="FL614" i="15" s="1"/>
  <c r="FJ629" i="15"/>
  <c r="FK629" i="15" s="1"/>
  <c r="FL629" i="15" s="1"/>
  <c r="FJ644" i="15"/>
  <c r="FK644" i="15" s="1"/>
  <c r="FL644" i="15" s="1"/>
  <c r="FJ660" i="15"/>
  <c r="FK660" i="15" s="1"/>
  <c r="FL660" i="15" s="1"/>
  <c r="FJ675" i="15"/>
  <c r="FK675" i="15" s="1"/>
  <c r="FL675" i="15" s="1"/>
  <c r="FJ690" i="15"/>
  <c r="FK690" i="15" s="1"/>
  <c r="FL690" i="15" s="1"/>
  <c r="FJ706" i="15"/>
  <c r="FK706" i="15" s="1"/>
  <c r="FL706" i="15" s="1"/>
  <c r="FJ721" i="15"/>
  <c r="FK721" i="15" s="1"/>
  <c r="FL721" i="15" s="1"/>
  <c r="FJ736" i="15"/>
  <c r="FK736" i="15" s="1"/>
  <c r="FL736" i="15" s="1"/>
  <c r="FJ752" i="15"/>
  <c r="FK752" i="15" s="1"/>
  <c r="FL752" i="15" s="1"/>
  <c r="FJ765" i="15"/>
  <c r="FK765" i="15" s="1"/>
  <c r="FL765" i="15" s="1"/>
  <c r="FJ782" i="15"/>
  <c r="FK782" i="15" s="1"/>
  <c r="FL782" i="15" s="1"/>
  <c r="FJ797" i="15"/>
  <c r="FK797" i="15" s="1"/>
  <c r="FL797" i="15" s="1"/>
  <c r="FJ808" i="15"/>
  <c r="FK808" i="15" s="1"/>
  <c r="FL808" i="15" s="1"/>
  <c r="FJ816" i="15"/>
  <c r="FK816" i="15" s="1"/>
  <c r="FL816" i="15" s="1"/>
  <c r="FJ824" i="15"/>
  <c r="FK824" i="15" s="1"/>
  <c r="FL824" i="15" s="1"/>
  <c r="FJ831" i="15"/>
  <c r="FK831" i="15" s="1"/>
  <c r="FL831" i="15" s="1"/>
  <c r="FJ839" i="15"/>
  <c r="FK839" i="15" s="1"/>
  <c r="FL839" i="15" s="1"/>
  <c r="FJ847" i="15"/>
  <c r="FK847" i="15" s="1"/>
  <c r="FL847" i="15" s="1"/>
  <c r="FJ855" i="15"/>
  <c r="FK855" i="15" s="1"/>
  <c r="FL855" i="15" s="1"/>
  <c r="FJ96" i="15"/>
  <c r="FK96" i="15" s="1"/>
  <c r="FL96" i="15" s="1"/>
  <c r="FJ219" i="15"/>
  <c r="FK219" i="15" s="1"/>
  <c r="FL219" i="15" s="1"/>
  <c r="FJ323" i="15"/>
  <c r="FK323" i="15" s="1"/>
  <c r="FL323" i="15" s="1"/>
  <c r="FJ358" i="15"/>
  <c r="FK358" i="15" s="1"/>
  <c r="FL358" i="15" s="1"/>
  <c r="FJ389" i="15"/>
  <c r="FK389" i="15" s="1"/>
  <c r="FL389" i="15" s="1"/>
  <c r="FJ420" i="15"/>
  <c r="FK420" i="15" s="1"/>
  <c r="FL420" i="15" s="1"/>
  <c r="FJ451" i="15"/>
  <c r="FK451" i="15" s="1"/>
  <c r="FL451" i="15" s="1"/>
  <c r="FJ481" i="15"/>
  <c r="FK481" i="15" s="1"/>
  <c r="FL481" i="15" s="1"/>
  <c r="FJ512" i="15"/>
  <c r="FK512" i="15" s="1"/>
  <c r="FL512" i="15" s="1"/>
  <c r="FJ542" i="15"/>
  <c r="FK542" i="15" s="1"/>
  <c r="FL542" i="15" s="1"/>
  <c r="FJ573" i="15"/>
  <c r="FK573" i="15" s="1"/>
  <c r="FL573" i="15" s="1"/>
  <c r="FJ587" i="15"/>
  <c r="FK587" i="15" s="1"/>
  <c r="FL587" i="15" s="1"/>
  <c r="FJ603" i="15"/>
  <c r="FK603" i="15" s="1"/>
  <c r="FL603" i="15" s="1"/>
  <c r="FJ618" i="15"/>
  <c r="FK618" i="15" s="1"/>
  <c r="FL618" i="15" s="1"/>
  <c r="FJ633" i="15"/>
  <c r="FK633" i="15" s="1"/>
  <c r="FL633" i="15" s="1"/>
  <c r="FJ648" i="15"/>
  <c r="FK648" i="15" s="1"/>
  <c r="FL648" i="15" s="1"/>
  <c r="FJ664" i="15"/>
  <c r="FK664" i="15" s="1"/>
  <c r="FL664" i="15" s="1"/>
  <c r="FJ679" i="15"/>
  <c r="FK679" i="15" s="1"/>
  <c r="FL679" i="15" s="1"/>
  <c r="FJ694" i="15"/>
  <c r="FK694" i="15" s="1"/>
  <c r="FL694" i="15" s="1"/>
  <c r="FJ710" i="15"/>
  <c r="FK710" i="15" s="1"/>
  <c r="FL710" i="15" s="1"/>
  <c r="FJ725" i="15"/>
  <c r="FK725" i="15" s="1"/>
  <c r="FL725" i="15" s="1"/>
  <c r="FJ740" i="15"/>
  <c r="FK740" i="15" s="1"/>
  <c r="FL740" i="15" s="1"/>
  <c r="FJ755" i="15"/>
  <c r="FK755" i="15" s="1"/>
  <c r="FL755" i="15" s="1"/>
  <c r="FJ769" i="15"/>
  <c r="FK769" i="15" s="1"/>
  <c r="FL769" i="15" s="1"/>
  <c r="FJ786" i="15"/>
  <c r="FK786" i="15" s="1"/>
  <c r="FL786" i="15" s="1"/>
  <c r="FJ801" i="15"/>
  <c r="FK801" i="15" s="1"/>
  <c r="FL801" i="15" s="1"/>
  <c r="FJ809" i="15"/>
  <c r="FK809" i="15" s="1"/>
  <c r="FL809" i="15" s="1"/>
  <c r="FJ817" i="15"/>
  <c r="FK817" i="15" s="1"/>
  <c r="FL817" i="15" s="1"/>
  <c r="FJ832" i="15"/>
  <c r="FK832" i="15" s="1"/>
  <c r="FL832" i="15" s="1"/>
  <c r="FJ840" i="15"/>
  <c r="FK840" i="15" s="1"/>
  <c r="FL840" i="15" s="1"/>
  <c r="FJ856" i="15"/>
  <c r="FK856" i="15" s="1"/>
  <c r="FL856" i="15" s="1"/>
  <c r="FJ249" i="15"/>
  <c r="FJ334" i="15"/>
  <c r="FK334" i="15" s="1"/>
  <c r="FL334" i="15" s="1"/>
  <c r="FJ366" i="15"/>
  <c r="FK366" i="15" s="1"/>
  <c r="FL366" i="15" s="1"/>
  <c r="FJ397" i="15"/>
  <c r="FK397" i="15" s="1"/>
  <c r="FL397" i="15" s="1"/>
  <c r="FJ428" i="15"/>
  <c r="FK428" i="15" s="1"/>
  <c r="FL428" i="15" s="1"/>
  <c r="FJ489" i="15"/>
  <c r="FK489" i="15" s="1"/>
  <c r="FL489" i="15" s="1"/>
  <c r="FJ549" i="15"/>
  <c r="FK549" i="15" s="1"/>
  <c r="FL549" i="15" s="1"/>
  <c r="FJ591" i="15"/>
  <c r="FK591" i="15" s="1"/>
  <c r="FL591" i="15" s="1"/>
  <c r="FJ652" i="15"/>
  <c r="FK652" i="15" s="1"/>
  <c r="FL652" i="15" s="1"/>
  <c r="FJ683" i="15"/>
  <c r="FK683" i="15" s="1"/>
  <c r="FL683" i="15" s="1"/>
  <c r="FJ714" i="15"/>
  <c r="FK714" i="15" s="1"/>
  <c r="FL714" i="15" s="1"/>
  <c r="FJ744" i="15"/>
  <c r="FK744" i="15" s="1"/>
  <c r="FL744" i="15" s="1"/>
  <c r="FJ804" i="15"/>
  <c r="FK804" i="15" s="1"/>
  <c r="FL804" i="15" s="1"/>
  <c r="FJ820" i="15"/>
  <c r="FK820" i="15" s="1"/>
  <c r="FL820" i="15" s="1"/>
  <c r="FJ828" i="15"/>
  <c r="FK828" i="15" s="1"/>
  <c r="FL828" i="15" s="1"/>
  <c r="FJ843" i="15"/>
  <c r="FK843" i="15" s="1"/>
  <c r="FL843" i="15" s="1"/>
  <c r="FJ859" i="15"/>
  <c r="FK859" i="15" s="1"/>
  <c r="FL859" i="15" s="1"/>
  <c r="EG8" i="15"/>
  <c r="EH8" i="15" s="1"/>
  <c r="EG12" i="15"/>
  <c r="EH12" i="15" s="1"/>
  <c r="EG16" i="15"/>
  <c r="EH16" i="15" s="1"/>
  <c r="EG20" i="15"/>
  <c r="EH20" i="15" s="1"/>
  <c r="EG24" i="15"/>
  <c r="EH24" i="15" s="1"/>
  <c r="EG28" i="15"/>
  <c r="EH28" i="15" s="1"/>
  <c r="EG32" i="15"/>
  <c r="EH32" i="15" s="1"/>
  <c r="EG35" i="15"/>
  <c r="EH35" i="15" s="1"/>
  <c r="EG39" i="15"/>
  <c r="EH39" i="15" s="1"/>
  <c r="EG46" i="15"/>
  <c r="EH46" i="15" s="1"/>
  <c r="EG50" i="15"/>
  <c r="EH50" i="15" s="1"/>
  <c r="EG54" i="15"/>
  <c r="EH54" i="15" s="1"/>
  <c r="EG58" i="15"/>
  <c r="EH58" i="15" s="1"/>
  <c r="EG62" i="15"/>
  <c r="EH62" i="15" s="1"/>
  <c r="EG69" i="15"/>
  <c r="EH69" i="15" s="1"/>
  <c r="EG73" i="15"/>
  <c r="EH73" i="15" s="1"/>
  <c r="EG77" i="15"/>
  <c r="EH77" i="15" s="1"/>
  <c r="EG81" i="15"/>
  <c r="EH81" i="15" s="1"/>
  <c r="EG84" i="15"/>
  <c r="EH84" i="15" s="1"/>
  <c r="EG88" i="15"/>
  <c r="EH88" i="15" s="1"/>
  <c r="EG93" i="15"/>
  <c r="EH93" i="15" s="1"/>
  <c r="EG96" i="15"/>
  <c r="EH96" i="15" s="1"/>
  <c r="EG99" i="15"/>
  <c r="EH99" i="15" s="1"/>
  <c r="EG103" i="15"/>
  <c r="EH103" i="15" s="1"/>
  <c r="EG107" i="15"/>
  <c r="EH107" i="15" s="1"/>
  <c r="EG111" i="15"/>
  <c r="EH111" i="15" s="1"/>
  <c r="EG115" i="15"/>
  <c r="EH115" i="15" s="1"/>
  <c r="EG119" i="15"/>
  <c r="EH119" i="15" s="1"/>
  <c r="EG123" i="15"/>
  <c r="EH123" i="15" s="1"/>
  <c r="EG126" i="15"/>
  <c r="EH126" i="15" s="1"/>
  <c r="EG130" i="15"/>
  <c r="EH130" i="15" s="1"/>
  <c r="EG134" i="15"/>
  <c r="EH134" i="15" s="1"/>
  <c r="EG138" i="15"/>
  <c r="EH138" i="15" s="1"/>
  <c r="EG142" i="15"/>
  <c r="EH142" i="15" s="1"/>
  <c r="EG149" i="15"/>
  <c r="EH149" i="15" s="1"/>
  <c r="EG153" i="15"/>
  <c r="EH153" i="15" s="1"/>
  <c r="EG157" i="15"/>
  <c r="EH157" i="15" s="1"/>
  <c r="EG161" i="15"/>
  <c r="EH161" i="15" s="1"/>
  <c r="EG165" i="15"/>
  <c r="EH165" i="15" s="1"/>
  <c r="EG172" i="15"/>
  <c r="EH172" i="15" s="1"/>
  <c r="EG176" i="15"/>
  <c r="EH176" i="15" s="1"/>
  <c r="EG180" i="15"/>
  <c r="EH180" i="15" s="1"/>
  <c r="EG184" i="15"/>
  <c r="EH184" i="15" s="1"/>
  <c r="EG188" i="15"/>
  <c r="EH188" i="15" s="1"/>
  <c r="EG191" i="15"/>
  <c r="EH191" i="15" s="1"/>
  <c r="EG195" i="15"/>
  <c r="EH195" i="15" s="1"/>
  <c r="EG199" i="15"/>
  <c r="EH199" i="15" s="1"/>
  <c r="EG203" i="15"/>
  <c r="EH203" i="15" s="1"/>
  <c r="EG207" i="15"/>
  <c r="EH207" i="15" s="1"/>
  <c r="EG211" i="15"/>
  <c r="EH211" i="15" s="1"/>
  <c r="EG215" i="15"/>
  <c r="EH215" i="15" s="1"/>
  <c r="EG219" i="15"/>
  <c r="EH219" i="15" s="1"/>
  <c r="EG222" i="15"/>
  <c r="EH222" i="15" s="1"/>
  <c r="EG226" i="15"/>
  <c r="EH226" i="15" s="1"/>
  <c r="EG230" i="15"/>
  <c r="EH230" i="15" s="1"/>
  <c r="EG233" i="15"/>
  <c r="EH233" i="15" s="1"/>
  <c r="EG237" i="15"/>
  <c r="EH237" i="15" s="1"/>
  <c r="EG241" i="15"/>
  <c r="EH241" i="15" s="1"/>
  <c r="EG245" i="15"/>
  <c r="EH245" i="15" s="1"/>
  <c r="EG249" i="15"/>
  <c r="EH249" i="15" s="1"/>
  <c r="EG252" i="15"/>
  <c r="EH252" i="15" s="1"/>
  <c r="EG256" i="15"/>
  <c r="EH256" i="15" s="1"/>
  <c r="EG260" i="15"/>
  <c r="EH260" i="15" s="1"/>
  <c r="EG264" i="15"/>
  <c r="EH264" i="15" s="1"/>
  <c r="EG268" i="15"/>
  <c r="EH268" i="15" s="1"/>
  <c r="EG274" i="15"/>
  <c r="EH274" i="15" s="1"/>
  <c r="EG279" i="15"/>
  <c r="EH279" i="15" s="1"/>
  <c r="EG283" i="15"/>
  <c r="EH283" i="15" s="1"/>
  <c r="EG287" i="15"/>
  <c r="EH287" i="15" s="1"/>
  <c r="EG291" i="15"/>
  <c r="EH291" i="15" s="1"/>
  <c r="EG295" i="15"/>
  <c r="EH295" i="15" s="1"/>
  <c r="EG299" i="15"/>
  <c r="EH299" i="15" s="1"/>
  <c r="EG302" i="15"/>
  <c r="EH302" i="15" s="1"/>
  <c r="EG306" i="15"/>
  <c r="EH306" i="15" s="1"/>
  <c r="EG310" i="15"/>
  <c r="EH310" i="15" s="1"/>
  <c r="EG314" i="15"/>
  <c r="EH314" i="15" s="1"/>
  <c r="EG318" i="15"/>
  <c r="EH318" i="15" s="1"/>
  <c r="EG322" i="15"/>
  <c r="EH322" i="15" s="1"/>
  <c r="EG329" i="15"/>
  <c r="EH329" i="15" s="1"/>
  <c r="EG333" i="15"/>
  <c r="EH333" i="15" s="1"/>
  <c r="EG337" i="15"/>
  <c r="EH337" i="15" s="1"/>
  <c r="EG341" i="15"/>
  <c r="EH341" i="15" s="1"/>
  <c r="EG345" i="15"/>
  <c r="EH345" i="15" s="1"/>
  <c r="EG349" i="15"/>
  <c r="EH349" i="15" s="1"/>
  <c r="EG353" i="15"/>
  <c r="EH353" i="15" s="1"/>
  <c r="EG357" i="15"/>
  <c r="EH357" i="15" s="1"/>
  <c r="EG361" i="15"/>
  <c r="EH361" i="15" s="1"/>
  <c r="EG365" i="15"/>
  <c r="EH365" i="15" s="1"/>
  <c r="EG369" i="15"/>
  <c r="EH369" i="15" s="1"/>
  <c r="EG372" i="15"/>
  <c r="EH372" i="15" s="1"/>
  <c r="EG376" i="15"/>
  <c r="EH376" i="15" s="1"/>
  <c r="EG380" i="15"/>
  <c r="EH380" i="15" s="1"/>
  <c r="EG384" i="15"/>
  <c r="EH384" i="15" s="1"/>
  <c r="EG388" i="15"/>
  <c r="EH388" i="15" s="1"/>
  <c r="EG392" i="15"/>
  <c r="EH392" i="15" s="1"/>
  <c r="EG396" i="15"/>
  <c r="EH396" i="15" s="1"/>
  <c r="EG400" i="15"/>
  <c r="EH400" i="15" s="1"/>
  <c r="EG404" i="15"/>
  <c r="EH404" i="15" s="1"/>
  <c r="EG411" i="15"/>
  <c r="EH411" i="15" s="1"/>
  <c r="EG415" i="15"/>
  <c r="EH415" i="15" s="1"/>
  <c r="EG419" i="15"/>
  <c r="EH419" i="15" s="1"/>
  <c r="EG423" i="15"/>
  <c r="EH423" i="15" s="1"/>
  <c r="EG427" i="15"/>
  <c r="EH427" i="15" s="1"/>
  <c r="EG434" i="15"/>
  <c r="EH434" i="15" s="1"/>
  <c r="EG438" i="15"/>
  <c r="EH438" i="15" s="1"/>
  <c r="EG442" i="15"/>
  <c r="EH442" i="15" s="1"/>
  <c r="EG446" i="15"/>
  <c r="EH446" i="15" s="1"/>
  <c r="EG450" i="15"/>
  <c r="EH450" i="15" s="1"/>
  <c r="EG454" i="15"/>
  <c r="EH454" i="15" s="1"/>
  <c r="EG457" i="15"/>
  <c r="EH457" i="15" s="1"/>
  <c r="EG461" i="15"/>
  <c r="EH461" i="15" s="1"/>
  <c r="EG465" i="15"/>
  <c r="EH465" i="15" s="1"/>
  <c r="EG469" i="15"/>
  <c r="EH469" i="15" s="1"/>
  <c r="EG476" i="15"/>
  <c r="EH476" i="15" s="1"/>
  <c r="EG480" i="15"/>
  <c r="EH480" i="15" s="1"/>
  <c r="EG484" i="15"/>
  <c r="EH484" i="15" s="1"/>
  <c r="EG488" i="15"/>
  <c r="EH488" i="15" s="1"/>
  <c r="EG495" i="15"/>
  <c r="EH495" i="15" s="1"/>
  <c r="EG499" i="15"/>
  <c r="EH499" i="15" s="1"/>
  <c r="EG503" i="15"/>
  <c r="EH503" i="15" s="1"/>
  <c r="EG507" i="15"/>
  <c r="EH507" i="15" s="1"/>
  <c r="EG511" i="15"/>
  <c r="EH511" i="15" s="1"/>
  <c r="EG518" i="15"/>
  <c r="EH518" i="15" s="1"/>
  <c r="EG522" i="15"/>
  <c r="EH522" i="15" s="1"/>
  <c r="EG526" i="15"/>
  <c r="EH526" i="15" s="1"/>
  <c r="EG533" i="15"/>
  <c r="EH533" i="15" s="1"/>
  <c r="EG537" i="15"/>
  <c r="EH537" i="15" s="1"/>
  <c r="EG541" i="15"/>
  <c r="EH541" i="15" s="1"/>
  <c r="EG545" i="15"/>
  <c r="EH545" i="15" s="1"/>
  <c r="EG552" i="15"/>
  <c r="EH552" i="15" s="1"/>
  <c r="EG556" i="15"/>
  <c r="EH556" i="15" s="1"/>
  <c r="EG560" i="15"/>
  <c r="EH560" i="15" s="1"/>
  <c r="EG564" i="15"/>
  <c r="EH564" i="15" s="1"/>
  <c r="EG568" i="15"/>
  <c r="EH568" i="15" s="1"/>
  <c r="EG573" i="15"/>
  <c r="EH573" i="15" s="1"/>
  <c r="EG579" i="15"/>
  <c r="EH579" i="15" s="1"/>
  <c r="EG583" i="15"/>
  <c r="EH583" i="15" s="1"/>
  <c r="EG587" i="15"/>
  <c r="EH587" i="15" s="1"/>
  <c r="EG591" i="15"/>
  <c r="EH591" i="15" s="1"/>
  <c r="EG595" i="15"/>
  <c r="EH595" i="15" s="1"/>
  <c r="EG599" i="15"/>
  <c r="EH599" i="15" s="1"/>
  <c r="EG603" i="15"/>
  <c r="EH603" i="15" s="1"/>
  <c r="EG607" i="15"/>
  <c r="EH607" i="15" s="1"/>
  <c r="EG611" i="15"/>
  <c r="EH611" i="15" s="1"/>
  <c r="EG614" i="15"/>
  <c r="EH614" i="15" s="1"/>
  <c r="EG618" i="15"/>
  <c r="EH618" i="15" s="1"/>
  <c r="EG625" i="15"/>
  <c r="EH625" i="15" s="1"/>
  <c r="EG629" i="15"/>
  <c r="EH629" i="15" s="1"/>
  <c r="EG633" i="15"/>
  <c r="EH633" i="15" s="1"/>
  <c r="EG637" i="15"/>
  <c r="EH637" i="15" s="1"/>
  <c r="EG641" i="15"/>
  <c r="EH641" i="15" s="1"/>
  <c r="EG644" i="15"/>
  <c r="EH644" i="15" s="1"/>
  <c r="EG648" i="15"/>
  <c r="EH648" i="15" s="1"/>
  <c r="EG652" i="15"/>
  <c r="EH652" i="15" s="1"/>
  <c r="EG656" i="15"/>
  <c r="EH656" i="15" s="1"/>
  <c r="EG660" i="15"/>
  <c r="EH660" i="15" s="1"/>
  <c r="EG664" i="15"/>
  <c r="EH664" i="15" s="1"/>
  <c r="EG668" i="15"/>
  <c r="EH668" i="15" s="1"/>
  <c r="EG671" i="15"/>
  <c r="EH671" i="15" s="1"/>
  <c r="EG675" i="15"/>
  <c r="EH675" i="15" s="1"/>
  <c r="EG679" i="15"/>
  <c r="EH679" i="15" s="1"/>
  <c r="EG683" i="15"/>
  <c r="EH683" i="15" s="1"/>
  <c r="EG690" i="15"/>
  <c r="EH690" i="15" s="1"/>
  <c r="EG694" i="15"/>
  <c r="EH694" i="15" s="1"/>
  <c r="EG698" i="15"/>
  <c r="EH698" i="15" s="1"/>
  <c r="EG702" i="15"/>
  <c r="EH702" i="15" s="1"/>
  <c r="EG706" i="15"/>
  <c r="EH706" i="15" s="1"/>
  <c r="EG710" i="15"/>
  <c r="EH710" i="15" s="1"/>
  <c r="EG714" i="15"/>
  <c r="EH714" i="15" s="1"/>
  <c r="EG717" i="15"/>
  <c r="EH717" i="15" s="1"/>
  <c r="EG721" i="15"/>
  <c r="EH721" i="15" s="1"/>
  <c r="EG725" i="15"/>
  <c r="EH725" i="15" s="1"/>
  <c r="EG729" i="15"/>
  <c r="EH729" i="15" s="1"/>
  <c r="EG736" i="15"/>
  <c r="EH736" i="15" s="1"/>
  <c r="EG740" i="15"/>
  <c r="EH740" i="15" s="1"/>
  <c r="EG744" i="15"/>
  <c r="EH744" i="15" s="1"/>
  <c r="EG748" i="15"/>
  <c r="EH748" i="15" s="1"/>
  <c r="EG752" i="15"/>
  <c r="EH752" i="15" s="1"/>
  <c r="EG755" i="15"/>
  <c r="EH755" i="15" s="1"/>
  <c r="EG774" i="15"/>
  <c r="EH774" i="15" s="1"/>
  <c r="EG761" i="15"/>
  <c r="EH761" i="15" s="1"/>
  <c r="EG765" i="15"/>
  <c r="EH765" i="15" s="1"/>
  <c r="EG769" i="15"/>
  <c r="EH769" i="15" s="1"/>
  <c r="EG778" i="15"/>
  <c r="EH778" i="15" s="1"/>
  <c r="EG782" i="15"/>
  <c r="EH782" i="15" s="1"/>
  <c r="EG786" i="15"/>
  <c r="EH786" i="15" s="1"/>
  <c r="EG790" i="15"/>
  <c r="EH790" i="15" s="1"/>
  <c r="EG794" i="15"/>
  <c r="EH794" i="15" s="1"/>
  <c r="EG797" i="15"/>
  <c r="EH797" i="15" s="1"/>
  <c r="EG801" i="15"/>
  <c r="EH801" i="15" s="1"/>
  <c r="EG805" i="15"/>
  <c r="EH805" i="15" s="1"/>
  <c r="EG809" i="15"/>
  <c r="EH809" i="15" s="1"/>
  <c r="EG813" i="15"/>
  <c r="EH813" i="15" s="1"/>
  <c r="EG817" i="15"/>
  <c r="EH817" i="15" s="1"/>
  <c r="EG821" i="15"/>
  <c r="EH821" i="15" s="1"/>
  <c r="EG825" i="15"/>
  <c r="EH825" i="15" s="1"/>
  <c r="EG832" i="15"/>
  <c r="EH832" i="15" s="1"/>
  <c r="EG836" i="15"/>
  <c r="EH836" i="15" s="1"/>
  <c r="EG840" i="15"/>
  <c r="EH840" i="15" s="1"/>
  <c r="EG844" i="15"/>
  <c r="EH844" i="15" s="1"/>
  <c r="EG848" i="15"/>
  <c r="EH848" i="15" s="1"/>
  <c r="EG852" i="15"/>
  <c r="EH852" i="15" s="1"/>
  <c r="EG856" i="15"/>
  <c r="EH856" i="15" s="1"/>
  <c r="EG860" i="15"/>
  <c r="EH860" i="15" s="1"/>
  <c r="EG9" i="15"/>
  <c r="EH9" i="15" s="1"/>
  <c r="EG13" i="15"/>
  <c r="EH13" i="15" s="1"/>
  <c r="EG17" i="15"/>
  <c r="EH17" i="15" s="1"/>
  <c r="EG21" i="15"/>
  <c r="EH21" i="15" s="1"/>
  <c r="EG25" i="15"/>
  <c r="EH25" i="15" s="1"/>
  <c r="EG29" i="15"/>
  <c r="EH29" i="15" s="1"/>
  <c r="EG36" i="15"/>
  <c r="EH36" i="15" s="1"/>
  <c r="EG40" i="15"/>
  <c r="EH40" i="15" s="1"/>
  <c r="EG43" i="15"/>
  <c r="EH43" i="15" s="1"/>
  <c r="EG47" i="15"/>
  <c r="EH47" i="15" s="1"/>
  <c r="EG51" i="15"/>
  <c r="EH51" i="15" s="1"/>
  <c r="EG55" i="15"/>
  <c r="EH55" i="15" s="1"/>
  <c r="EG59" i="15"/>
  <c r="EH59" i="15" s="1"/>
  <c r="EG63" i="15"/>
  <c r="EH63" i="15" s="1"/>
  <c r="EG66" i="15"/>
  <c r="EH66" i="15" s="1"/>
  <c r="EG70" i="15"/>
  <c r="EH70" i="15" s="1"/>
  <c r="EG74" i="15"/>
  <c r="EH74" i="15" s="1"/>
  <c r="EG78" i="15"/>
  <c r="EH78" i="15" s="1"/>
  <c r="EG85" i="15"/>
  <c r="EH85" i="15" s="1"/>
  <c r="EG89" i="15"/>
  <c r="EH89" i="15" s="1"/>
  <c r="EG92" i="15"/>
  <c r="EH92" i="15" s="1"/>
  <c r="EG100" i="15"/>
  <c r="EH100" i="15" s="1"/>
  <c r="EG104" i="15"/>
  <c r="EH104" i="15" s="1"/>
  <c r="EG108" i="15"/>
  <c r="EH108" i="15" s="1"/>
  <c r="EG112" i="15"/>
  <c r="EH112" i="15" s="1"/>
  <c r="EG116" i="15"/>
  <c r="EH116" i="15" s="1"/>
  <c r="EG120" i="15"/>
  <c r="EH120" i="15" s="1"/>
  <c r="EG127" i="15"/>
  <c r="EH127" i="15" s="1"/>
  <c r="EG131" i="15"/>
  <c r="EH131" i="15" s="1"/>
  <c r="EG135" i="15"/>
  <c r="EH135" i="15" s="1"/>
  <c r="EG139" i="15"/>
  <c r="EH139" i="15" s="1"/>
  <c r="EG146" i="15"/>
  <c r="EH146" i="15" s="1"/>
  <c r="EG150" i="15"/>
  <c r="EH150" i="15" s="1"/>
  <c r="EG154" i="15"/>
  <c r="EH154" i="15" s="1"/>
  <c r="EG158" i="15"/>
  <c r="EH158" i="15" s="1"/>
  <c r="EG162" i="15"/>
  <c r="EH162" i="15" s="1"/>
  <c r="EG166" i="15"/>
  <c r="EH166" i="15" s="1"/>
  <c r="EG169" i="15"/>
  <c r="EH169" i="15" s="1"/>
  <c r="EG173" i="15"/>
  <c r="EH173" i="15" s="1"/>
  <c r="EG177" i="15"/>
  <c r="EH177" i="15" s="1"/>
  <c r="EG181" i="15"/>
  <c r="EH181" i="15" s="1"/>
  <c r="EG185" i="15"/>
  <c r="EH185" i="15" s="1"/>
  <c r="EG189" i="15"/>
  <c r="EH189" i="15" s="1"/>
  <c r="EG192" i="15"/>
  <c r="EH192" i="15" s="1"/>
  <c r="EG196" i="15"/>
  <c r="EH196" i="15" s="1"/>
  <c r="EG200" i="15"/>
  <c r="EH200" i="15" s="1"/>
  <c r="EG204" i="15"/>
  <c r="EH204" i="15" s="1"/>
  <c r="EG208" i="15"/>
  <c r="EH208" i="15" s="1"/>
  <c r="EG212" i="15"/>
  <c r="EH212" i="15" s="1"/>
  <c r="EG216" i="15"/>
  <c r="EH216" i="15" s="1"/>
  <c r="EG223" i="15"/>
  <c r="EH223" i="15" s="1"/>
  <c r="EG227" i="15"/>
  <c r="EH227" i="15" s="1"/>
  <c r="EG231" i="15"/>
  <c r="EH231" i="15" s="1"/>
  <c r="EG234" i="15"/>
  <c r="EH234" i="15" s="1"/>
  <c r="EG238" i="15"/>
  <c r="EH238" i="15" s="1"/>
  <c r="EG242" i="15"/>
  <c r="EH242" i="15" s="1"/>
  <c r="EG246" i="15"/>
  <c r="EH246" i="15" s="1"/>
  <c r="EG253" i="15"/>
  <c r="EH253" i="15" s="1"/>
  <c r="EG257" i="15"/>
  <c r="EH257" i="15" s="1"/>
  <c r="EG261" i="15"/>
  <c r="EH261" i="15" s="1"/>
  <c r="EG265" i="15"/>
  <c r="EH265" i="15" s="1"/>
  <c r="EG272" i="15"/>
  <c r="EH272" i="15" s="1"/>
  <c r="EG276" i="15"/>
  <c r="EH276" i="15" s="1"/>
  <c r="EG280" i="15"/>
  <c r="EH280" i="15" s="1"/>
  <c r="EG284" i="15"/>
  <c r="EH284" i="15" s="1"/>
  <c r="EG288" i="15"/>
  <c r="EH288" i="15" s="1"/>
  <c r="EG292" i="15"/>
  <c r="EH292" i="15" s="1"/>
  <c r="EG296" i="15"/>
  <c r="EH296" i="15" s="1"/>
  <c r="EG300" i="15"/>
  <c r="EH300" i="15" s="1"/>
  <c r="EG303" i="15"/>
  <c r="EH303" i="15" s="1"/>
  <c r="EG307" i="15"/>
  <c r="EH307" i="15" s="1"/>
  <c r="EG311" i="15"/>
  <c r="EH311" i="15" s="1"/>
  <c r="EG315" i="15"/>
  <c r="EH315" i="15" s="1"/>
  <c r="EG319" i="15"/>
  <c r="EH319" i="15" s="1"/>
  <c r="EG323" i="15"/>
  <c r="EH323" i="15" s="1"/>
  <c r="EG326" i="15"/>
  <c r="EH326" i="15" s="1"/>
  <c r="EG330" i="15"/>
  <c r="EH330" i="15" s="1"/>
  <c r="EG334" i="15"/>
  <c r="EH334" i="15" s="1"/>
  <c r="EG338" i="15"/>
  <c r="EH338" i="15" s="1"/>
  <c r="EG342" i="15"/>
  <c r="EH342" i="15" s="1"/>
  <c r="EG346" i="15"/>
  <c r="EH346" i="15" s="1"/>
  <c r="EG350" i="15"/>
  <c r="EH350" i="15" s="1"/>
  <c r="EG354" i="15"/>
  <c r="EH354" i="15" s="1"/>
  <c r="EG358" i="15"/>
  <c r="EH358" i="15" s="1"/>
  <c r="EG362" i="15"/>
  <c r="EH362" i="15" s="1"/>
  <c r="EG366" i="15"/>
  <c r="EH366" i="15" s="1"/>
  <c r="EG370" i="15"/>
  <c r="EH370" i="15" s="1"/>
  <c r="EG373" i="15"/>
  <c r="EH373" i="15" s="1"/>
  <c r="EG377" i="15"/>
  <c r="EH377" i="15" s="1"/>
  <c r="EG381" i="15"/>
  <c r="EH381" i="15" s="1"/>
  <c r="EG385" i="15"/>
  <c r="EH385" i="15" s="1"/>
  <c r="EG389" i="15"/>
  <c r="EH389" i="15" s="1"/>
  <c r="EG393" i="15"/>
  <c r="EH393" i="15" s="1"/>
  <c r="EG397" i="15"/>
  <c r="EH397" i="15" s="1"/>
  <c r="EG401" i="15"/>
  <c r="EH401" i="15" s="1"/>
  <c r="EG405" i="15"/>
  <c r="EH405" i="15" s="1"/>
  <c r="EG408" i="15"/>
  <c r="EH408" i="15" s="1"/>
  <c r="EG412" i="15"/>
  <c r="EH412" i="15" s="1"/>
  <c r="EG416" i="15"/>
  <c r="EH416" i="15" s="1"/>
  <c r="EG420" i="15"/>
  <c r="EH420" i="15" s="1"/>
  <c r="EG424" i="15"/>
  <c r="EH424" i="15" s="1"/>
  <c r="EG428" i="15"/>
  <c r="EH428" i="15" s="1"/>
  <c r="EG431" i="15"/>
  <c r="EH431" i="15" s="1"/>
  <c r="EG435" i="15"/>
  <c r="EH435" i="15" s="1"/>
  <c r="EG439" i="15"/>
  <c r="EH439" i="15" s="1"/>
  <c r="EG443" i="15"/>
  <c r="EH443" i="15" s="1"/>
  <c r="EG447" i="15"/>
  <c r="EH447" i="15" s="1"/>
  <c r="EG451" i="15"/>
  <c r="EH451" i="15" s="1"/>
  <c r="EG455" i="15"/>
  <c r="EH455" i="15" s="1"/>
  <c r="EG458" i="15"/>
  <c r="EH458" i="15" s="1"/>
  <c r="EG462" i="15"/>
  <c r="EH462" i="15" s="1"/>
  <c r="EG466" i="15"/>
  <c r="EH466" i="15" s="1"/>
  <c r="EG473" i="15"/>
  <c r="EH473" i="15" s="1"/>
  <c r="EG477" i="15"/>
  <c r="EH477" i="15" s="1"/>
  <c r="EG481" i="15"/>
  <c r="EH481" i="15" s="1"/>
  <c r="EG485" i="15"/>
  <c r="EH485" i="15" s="1"/>
  <c r="EG489" i="15"/>
  <c r="EH489" i="15" s="1"/>
  <c r="EG492" i="15"/>
  <c r="EH492" i="15" s="1"/>
  <c r="EG496" i="15"/>
  <c r="EH496" i="15" s="1"/>
  <c r="EG500" i="15"/>
  <c r="EH500" i="15" s="1"/>
  <c r="EG504" i="15"/>
  <c r="EH504" i="15" s="1"/>
  <c r="EG508" i="15"/>
  <c r="EH508" i="15" s="1"/>
  <c r="EG512" i="15"/>
  <c r="EH512" i="15" s="1"/>
  <c r="EG515" i="15"/>
  <c r="EH515" i="15" s="1"/>
  <c r="EG519" i="15"/>
  <c r="EH519" i="15" s="1"/>
  <c r="EG523" i="15"/>
  <c r="EH523" i="15" s="1"/>
  <c r="EG527" i="15"/>
  <c r="EH527" i="15" s="1"/>
  <c r="EG530" i="15"/>
  <c r="EH530" i="15" s="1"/>
  <c r="EG534" i="15"/>
  <c r="EH534" i="15" s="1"/>
  <c r="EG538" i="15"/>
  <c r="EH538" i="15" s="1"/>
  <c r="EG542" i="15"/>
  <c r="EH542" i="15" s="1"/>
  <c r="EG546" i="15"/>
  <c r="EH546" i="15" s="1"/>
  <c r="EG549" i="15"/>
  <c r="EH549" i="15" s="1"/>
  <c r="EG553" i="15"/>
  <c r="EH553" i="15" s="1"/>
  <c r="EG557" i="15"/>
  <c r="EH557" i="15" s="1"/>
  <c r="EG561" i="15"/>
  <c r="EH561" i="15" s="1"/>
  <c r="EG565" i="15"/>
  <c r="EH565" i="15" s="1"/>
  <c r="EG569" i="15"/>
  <c r="EH569" i="15" s="1"/>
  <c r="EG574" i="15"/>
  <c r="EH574" i="15" s="1"/>
  <c r="EG577" i="15"/>
  <c r="EH577" i="15" s="1"/>
  <c r="EG580" i="15"/>
  <c r="EH580" i="15" s="1"/>
  <c r="EG584" i="15"/>
  <c r="EH584" i="15" s="1"/>
  <c r="EG588" i="15"/>
  <c r="EH588" i="15" s="1"/>
  <c r="EG592" i="15"/>
  <c r="EH592" i="15" s="1"/>
  <c r="EG596" i="15"/>
  <c r="EH596" i="15" s="1"/>
  <c r="EG600" i="15"/>
  <c r="EH600" i="15" s="1"/>
  <c r="EG604" i="15"/>
  <c r="EH604" i="15" s="1"/>
  <c r="EG608" i="15"/>
  <c r="EH608" i="15" s="1"/>
  <c r="EG615" i="15"/>
  <c r="EH615" i="15" s="1"/>
  <c r="EG619" i="15"/>
  <c r="EH619" i="15" s="1"/>
  <c r="EG622" i="15"/>
  <c r="EH622" i="15" s="1"/>
  <c r="EG626" i="15"/>
  <c r="EH626" i="15" s="1"/>
  <c r="EG630" i="15"/>
  <c r="EH630" i="15" s="1"/>
  <c r="EG634" i="15"/>
  <c r="EH634" i="15" s="1"/>
  <c r="EG638" i="15"/>
  <c r="EH638" i="15" s="1"/>
  <c r="EG645" i="15"/>
  <c r="EH645" i="15" s="1"/>
  <c r="EG649" i="15"/>
  <c r="EH649" i="15" s="1"/>
  <c r="EG653" i="15"/>
  <c r="EH653" i="15" s="1"/>
  <c r="EG657" i="15"/>
  <c r="EH657" i="15" s="1"/>
  <c r="EG661" i="15"/>
  <c r="EH661" i="15" s="1"/>
  <c r="EG665" i="15"/>
  <c r="EH665" i="15" s="1"/>
  <c r="EG672" i="15"/>
  <c r="EH672" i="15" s="1"/>
  <c r="EG676" i="15"/>
  <c r="EH676" i="15" s="1"/>
  <c r="EG680" i="15"/>
  <c r="EH680" i="15" s="1"/>
  <c r="EG684" i="15"/>
  <c r="EH684" i="15" s="1"/>
  <c r="EG688" i="15"/>
  <c r="EH688" i="15" s="1"/>
  <c r="EG691" i="15"/>
  <c r="EH691" i="15" s="1"/>
  <c r="EG695" i="15"/>
  <c r="EH695" i="15" s="1"/>
  <c r="EG699" i="15"/>
  <c r="EH699" i="15" s="1"/>
  <c r="EG703" i="15"/>
  <c r="EH703" i="15" s="1"/>
  <c r="EG707" i="15"/>
  <c r="EH707" i="15" s="1"/>
  <c r="EG711" i="15"/>
  <c r="EH711" i="15" s="1"/>
  <c r="EG10" i="15"/>
  <c r="EH10" i="15" s="1"/>
  <c r="EG14" i="15"/>
  <c r="EH14" i="15" s="1"/>
  <c r="EG18" i="15"/>
  <c r="EH18" i="15" s="1"/>
  <c r="EG22" i="15"/>
  <c r="EH22" i="15" s="1"/>
  <c r="EG26" i="15"/>
  <c r="EH26" i="15" s="1"/>
  <c r="EG30" i="15"/>
  <c r="EH30" i="15" s="1"/>
  <c r="EG34" i="15"/>
  <c r="EH34" i="15" s="1"/>
  <c r="EG37" i="15"/>
  <c r="EH37" i="15" s="1"/>
  <c r="EG44" i="15"/>
  <c r="EH44" i="15" s="1"/>
  <c r="EG48" i="15"/>
  <c r="EH48" i="15" s="1"/>
  <c r="EG52" i="15"/>
  <c r="EH52" i="15" s="1"/>
  <c r="EG56" i="15"/>
  <c r="EH56" i="15" s="1"/>
  <c r="EG60" i="15"/>
  <c r="EH60" i="15" s="1"/>
  <c r="EG67" i="15"/>
  <c r="EH67" i="15" s="1"/>
  <c r="EG71" i="15"/>
  <c r="EH71" i="15" s="1"/>
  <c r="EG75" i="15"/>
  <c r="EH75" i="15" s="1"/>
  <c r="EG79" i="15"/>
  <c r="EH79" i="15" s="1"/>
  <c r="EG83" i="15"/>
  <c r="EH83" i="15" s="1"/>
  <c r="EG86" i="15"/>
  <c r="EH86" i="15" s="1"/>
  <c r="EG90" i="15"/>
  <c r="EH90" i="15" s="1"/>
  <c r="EG94" i="15"/>
  <c r="EH94" i="15" s="1"/>
  <c r="EG98" i="15"/>
  <c r="EH98" i="15" s="1"/>
  <c r="EG101" i="15"/>
  <c r="EH101" i="15" s="1"/>
  <c r="EG105" i="15"/>
  <c r="EH105" i="15" s="1"/>
  <c r="EG109" i="15"/>
  <c r="EH109" i="15" s="1"/>
  <c r="EG113" i="15"/>
  <c r="EH113" i="15" s="1"/>
  <c r="EG117" i="15"/>
  <c r="EH117" i="15" s="1"/>
  <c r="EG121" i="15"/>
  <c r="EH121" i="15" s="1"/>
  <c r="EG125" i="15"/>
  <c r="EH125" i="15" s="1"/>
  <c r="EG128" i="15"/>
  <c r="EH128" i="15" s="1"/>
  <c r="EG132" i="15"/>
  <c r="EH132" i="15" s="1"/>
  <c r="EG136" i="15"/>
  <c r="EH136" i="15" s="1"/>
  <c r="EG140" i="15"/>
  <c r="EH140" i="15" s="1"/>
  <c r="EG144" i="15"/>
  <c r="EH144" i="15" s="1"/>
  <c r="EG147" i="15"/>
  <c r="EH147" i="15" s="1"/>
  <c r="EG151" i="15"/>
  <c r="EH151" i="15" s="1"/>
  <c r="EG155" i="15"/>
  <c r="EH155" i="15" s="1"/>
  <c r="EG159" i="15"/>
  <c r="EH159" i="15" s="1"/>
  <c r="EG163" i="15"/>
  <c r="EH163" i="15" s="1"/>
  <c r="EG167" i="15"/>
  <c r="EH167" i="15" s="1"/>
  <c r="EG170" i="15"/>
  <c r="EH170" i="15" s="1"/>
  <c r="EG174" i="15"/>
  <c r="EH174" i="15" s="1"/>
  <c r="EG178" i="15"/>
  <c r="EH178" i="15" s="1"/>
  <c r="EG182" i="15"/>
  <c r="EH182" i="15" s="1"/>
  <c r="EG186" i="15"/>
  <c r="EH186" i="15" s="1"/>
  <c r="EG190" i="15"/>
  <c r="EH190" i="15" s="1"/>
  <c r="EG193" i="15"/>
  <c r="EH193" i="15" s="1"/>
  <c r="EG197" i="15"/>
  <c r="EH197" i="15" s="1"/>
  <c r="EG201" i="15"/>
  <c r="EH201" i="15" s="1"/>
  <c r="EG205" i="15"/>
  <c r="EH205" i="15" s="1"/>
  <c r="EG209" i="15"/>
  <c r="EH209" i="15" s="1"/>
  <c r="EG213" i="15"/>
  <c r="EH213" i="15" s="1"/>
  <c r="EG217" i="15"/>
  <c r="EH217" i="15" s="1"/>
  <c r="EG220" i="15"/>
  <c r="EH220" i="15" s="1"/>
  <c r="EG224" i="15"/>
  <c r="EH224" i="15" s="1"/>
  <c r="EG228" i="15"/>
  <c r="EH228" i="15" s="1"/>
  <c r="EG232" i="15"/>
  <c r="EH232" i="15" s="1"/>
  <c r="EG235" i="15"/>
  <c r="EH235" i="15" s="1"/>
  <c r="EG239" i="15"/>
  <c r="EH239" i="15" s="1"/>
  <c r="EG243" i="15"/>
  <c r="EH243" i="15" s="1"/>
  <c r="EG247" i="15"/>
  <c r="EH247" i="15" s="1"/>
  <c r="EG251" i="15"/>
  <c r="EH251" i="15" s="1"/>
  <c r="EG254" i="15"/>
  <c r="EH254" i="15" s="1"/>
  <c r="EG258" i="15"/>
  <c r="EH258" i="15" s="1"/>
  <c r="EG262" i="15"/>
  <c r="EH262" i="15" s="1"/>
  <c r="EG266" i="15"/>
  <c r="EH266" i="15" s="1"/>
  <c r="EG270" i="15"/>
  <c r="EH270" i="15" s="1"/>
  <c r="EG273" i="15"/>
  <c r="EH273" i="15" s="1"/>
  <c r="EG277" i="15"/>
  <c r="EH277" i="15" s="1"/>
  <c r="EG281" i="15"/>
  <c r="EH281" i="15" s="1"/>
  <c r="EG285" i="15"/>
  <c r="EH285" i="15" s="1"/>
  <c r="EG289" i="15"/>
  <c r="EH289" i="15" s="1"/>
  <c r="EG293" i="15"/>
  <c r="EH293" i="15" s="1"/>
  <c r="EG297" i="15"/>
  <c r="EH297" i="15" s="1"/>
  <c r="EG304" i="15"/>
  <c r="EH304" i="15" s="1"/>
  <c r="EG308" i="15"/>
  <c r="EH308" i="15" s="1"/>
  <c r="EG312" i="15"/>
  <c r="EH312" i="15" s="1"/>
  <c r="EG316" i="15"/>
  <c r="EH316" i="15" s="1"/>
  <c r="EG320" i="15"/>
  <c r="EH320" i="15" s="1"/>
  <c r="EG327" i="15"/>
  <c r="EH327" i="15" s="1"/>
  <c r="EG331" i="15"/>
  <c r="EH331" i="15" s="1"/>
  <c r="EG335" i="15"/>
  <c r="EH335" i="15" s="1"/>
  <c r="EG339" i="15"/>
  <c r="EH339" i="15" s="1"/>
  <c r="EG343" i="15"/>
  <c r="EH343" i="15" s="1"/>
  <c r="EG347" i="15"/>
  <c r="EH347" i="15" s="1"/>
  <c r="EG351" i="15"/>
  <c r="EH351" i="15" s="1"/>
  <c r="EG355" i="15"/>
  <c r="EH355" i="15" s="1"/>
  <c r="EG359" i="15"/>
  <c r="EH359" i="15" s="1"/>
  <c r="EG363" i="15"/>
  <c r="EH363" i="15" s="1"/>
  <c r="EG367" i="15"/>
  <c r="EH367" i="15" s="1"/>
  <c r="EG371" i="15"/>
  <c r="EH371" i="15" s="1"/>
  <c r="EG374" i="15"/>
  <c r="EH374" i="15" s="1"/>
  <c r="EG378" i="15"/>
  <c r="EH378" i="15" s="1"/>
  <c r="EG382" i="15"/>
  <c r="EH382" i="15" s="1"/>
  <c r="EG386" i="15"/>
  <c r="EH386" i="15" s="1"/>
  <c r="EG390" i="15"/>
  <c r="EH390" i="15" s="1"/>
  <c r="EG394" i="15"/>
  <c r="EH394" i="15" s="1"/>
  <c r="EG398" i="15"/>
  <c r="EH398" i="15" s="1"/>
  <c r="EG402" i="15"/>
  <c r="EH402" i="15" s="1"/>
  <c r="EG409" i="15"/>
  <c r="EH409" i="15" s="1"/>
  <c r="EG413" i="15"/>
  <c r="EH413" i="15" s="1"/>
  <c r="EG417" i="15"/>
  <c r="EH417" i="15" s="1"/>
  <c r="EG421" i="15"/>
  <c r="EH421" i="15" s="1"/>
  <c r="EG425" i="15"/>
  <c r="EH425" i="15" s="1"/>
  <c r="EG432" i="15"/>
  <c r="EH432" i="15" s="1"/>
  <c r="EG436" i="15"/>
  <c r="EH436" i="15" s="1"/>
  <c r="EG440" i="15"/>
  <c r="EH440" i="15" s="1"/>
  <c r="EG444" i="15"/>
  <c r="EH444" i="15" s="1"/>
  <c r="EG448" i="15"/>
  <c r="EH448" i="15" s="1"/>
  <c r="EG452" i="15"/>
  <c r="EH452" i="15" s="1"/>
  <c r="EG459" i="15"/>
  <c r="EH459" i="15" s="1"/>
  <c r="EG463" i="15"/>
  <c r="EH463" i="15" s="1"/>
  <c r="EG467" i="15"/>
  <c r="EH467" i="15" s="1"/>
  <c r="EG471" i="15"/>
  <c r="EH471" i="15" s="1"/>
  <c r="EG474" i="15"/>
  <c r="EH474" i="15" s="1"/>
  <c r="EG478" i="15"/>
  <c r="EH478" i="15" s="1"/>
  <c r="EG482" i="15"/>
  <c r="EH482" i="15" s="1"/>
  <c r="EG486" i="15"/>
  <c r="EH486" i="15" s="1"/>
  <c r="EG493" i="15"/>
  <c r="EH493" i="15" s="1"/>
  <c r="EG497" i="15"/>
  <c r="EH497" i="15" s="1"/>
  <c r="EG501" i="15"/>
  <c r="EH501" i="15" s="1"/>
  <c r="EG505" i="15"/>
  <c r="EH505" i="15" s="1"/>
  <c r="EG509" i="15"/>
  <c r="EH509" i="15" s="1"/>
  <c r="EG513" i="15"/>
  <c r="EH513" i="15" s="1"/>
  <c r="EG516" i="15"/>
  <c r="EH516" i="15" s="1"/>
  <c r="EG520" i="15"/>
  <c r="EH520" i="15" s="1"/>
  <c r="EG524" i="15"/>
  <c r="EH524" i="15" s="1"/>
  <c r="EG531" i="15"/>
  <c r="EH531" i="15" s="1"/>
  <c r="EG535" i="15"/>
  <c r="EH535" i="15" s="1"/>
  <c r="EG539" i="15"/>
  <c r="EH539" i="15" s="1"/>
  <c r="EG543" i="15"/>
  <c r="EH543" i="15" s="1"/>
  <c r="EG547" i="15"/>
  <c r="EH547" i="15" s="1"/>
  <c r="EG550" i="15"/>
  <c r="EH550" i="15" s="1"/>
  <c r="EG554" i="15"/>
  <c r="EH554" i="15" s="1"/>
  <c r="EG558" i="15"/>
  <c r="EH558" i="15" s="1"/>
  <c r="EG562" i="15"/>
  <c r="EH562" i="15" s="1"/>
  <c r="EG566" i="15"/>
  <c r="EH566" i="15" s="1"/>
  <c r="EG570" i="15"/>
  <c r="EH570" i="15" s="1"/>
  <c r="EG572" i="15"/>
  <c r="EH572" i="15" s="1"/>
  <c r="EG578" i="15"/>
  <c r="EH578" i="15" s="1"/>
  <c r="EG581" i="15"/>
  <c r="EH581" i="15" s="1"/>
  <c r="EG585" i="15"/>
  <c r="EH585" i="15" s="1"/>
  <c r="EG589" i="15"/>
  <c r="EH589" i="15" s="1"/>
  <c r="EG593" i="15"/>
  <c r="EH593" i="15" s="1"/>
  <c r="EG597" i="15"/>
  <c r="EH597" i="15" s="1"/>
  <c r="EG601" i="15"/>
  <c r="EH601" i="15" s="1"/>
  <c r="EG605" i="15"/>
  <c r="EH605" i="15" s="1"/>
  <c r="EG609" i="15"/>
  <c r="EH609" i="15" s="1"/>
  <c r="EG612" i="15"/>
  <c r="EH612" i="15" s="1"/>
  <c r="EG616" i="15"/>
  <c r="EH616" i="15" s="1"/>
  <c r="EG620" i="15"/>
  <c r="EH620" i="15" s="1"/>
  <c r="EG623" i="15"/>
  <c r="EH623" i="15" s="1"/>
  <c r="EG627" i="15"/>
  <c r="EH627" i="15" s="1"/>
  <c r="EG631" i="15"/>
  <c r="EH631" i="15" s="1"/>
  <c r="EG635" i="15"/>
  <c r="EH635" i="15" s="1"/>
  <c r="EG639" i="15"/>
  <c r="EH639" i="15" s="1"/>
  <c r="EG642" i="15"/>
  <c r="EH642" i="15" s="1"/>
  <c r="EG646" i="15"/>
  <c r="EH646" i="15" s="1"/>
  <c r="EG650" i="15"/>
  <c r="EH650" i="15" s="1"/>
  <c r="EG654" i="15"/>
  <c r="EH654" i="15" s="1"/>
  <c r="EG658" i="15"/>
  <c r="EH658" i="15" s="1"/>
  <c r="EG662" i="15"/>
  <c r="EH662" i="15" s="1"/>
  <c r="EG666" i="15"/>
  <c r="EH666" i="15" s="1"/>
  <c r="EG669" i="15"/>
  <c r="EH669" i="15" s="1"/>
  <c r="EG673" i="15"/>
  <c r="EH673" i="15" s="1"/>
  <c r="EG677" i="15"/>
  <c r="EH677" i="15" s="1"/>
  <c r="EG681" i="15"/>
  <c r="EH681" i="15" s="1"/>
  <c r="EG685" i="15"/>
  <c r="EH685" i="15" s="1"/>
  <c r="EG692" i="15"/>
  <c r="EH692" i="15" s="1"/>
  <c r="EG696" i="15"/>
  <c r="EH696" i="15" s="1"/>
  <c r="EG700" i="15"/>
  <c r="EH700" i="15" s="1"/>
  <c r="EG704" i="15"/>
  <c r="EH704" i="15" s="1"/>
  <c r="EG708" i="15"/>
  <c r="EH708" i="15" s="1"/>
  <c r="EG715" i="15"/>
  <c r="EH715" i="15" s="1"/>
  <c r="EG719" i="15"/>
  <c r="EH719" i="15" s="1"/>
  <c r="EG723" i="15"/>
  <c r="EH723" i="15" s="1"/>
  <c r="EG727" i="15"/>
  <c r="EH727" i="15" s="1"/>
  <c r="EG734" i="15"/>
  <c r="EH734" i="15" s="1"/>
  <c r="EG738" i="15"/>
  <c r="EH738" i="15" s="1"/>
  <c r="EG742" i="15"/>
  <c r="EH742" i="15" s="1"/>
  <c r="EG746" i="15"/>
  <c r="EH746" i="15" s="1"/>
  <c r="EG750" i="15"/>
  <c r="EH750" i="15" s="1"/>
  <c r="EG754" i="15"/>
  <c r="EH754" i="15" s="1"/>
  <c r="EG757" i="15"/>
  <c r="EH757" i="15" s="1"/>
  <c r="EG759" i="15"/>
  <c r="EH759" i="15" s="1"/>
  <c r="EG763" i="15"/>
  <c r="EH763" i="15" s="1"/>
  <c r="EG767" i="15"/>
  <c r="EH767" i="15" s="1"/>
  <c r="EG771" i="15"/>
  <c r="EH771" i="15" s="1"/>
  <c r="EG780" i="15"/>
  <c r="EH780" i="15" s="1"/>
  <c r="EG784" i="15"/>
  <c r="EH784" i="15" s="1"/>
  <c r="EG788" i="15"/>
  <c r="EH788" i="15" s="1"/>
  <c r="EG792" i="15"/>
  <c r="EH792" i="15" s="1"/>
  <c r="EG796" i="15"/>
  <c r="EH796" i="15" s="1"/>
  <c r="EG799" i="15"/>
  <c r="EH799" i="15" s="1"/>
  <c r="EG803" i="15"/>
  <c r="EH803" i="15" s="1"/>
  <c r="EG807" i="15"/>
  <c r="EH807" i="15" s="1"/>
  <c r="EG811" i="15"/>
  <c r="EH811" i="15" s="1"/>
  <c r="EG815" i="15"/>
  <c r="EH815" i="15" s="1"/>
  <c r="EG819" i="15"/>
  <c r="EH819" i="15" s="1"/>
  <c r="EG823" i="15"/>
  <c r="EH823" i="15" s="1"/>
  <c r="EG830" i="15"/>
  <c r="EH830" i="15" s="1"/>
  <c r="EG834" i="15"/>
  <c r="EH834" i="15" s="1"/>
  <c r="EG838" i="15"/>
  <c r="EH838" i="15" s="1"/>
  <c r="EG842" i="15"/>
  <c r="EH842" i="15" s="1"/>
  <c r="EG846" i="15"/>
  <c r="EH846" i="15" s="1"/>
  <c r="EG850" i="15"/>
  <c r="EH850" i="15" s="1"/>
  <c r="EG854" i="15"/>
  <c r="EH854" i="15" s="1"/>
  <c r="EG858" i="15"/>
  <c r="EH858" i="15" s="1"/>
  <c r="EG6" i="15"/>
  <c r="EH6" i="15" s="1"/>
  <c r="EG11" i="15"/>
  <c r="EH11" i="15" s="1"/>
  <c r="EG15" i="15"/>
  <c r="EH15" i="15" s="1"/>
  <c r="EG19" i="15"/>
  <c r="EH19" i="15" s="1"/>
  <c r="EG23" i="15"/>
  <c r="EH23" i="15" s="1"/>
  <c r="EG27" i="15"/>
  <c r="EH27" i="15" s="1"/>
  <c r="EG31" i="15"/>
  <c r="EH31" i="15" s="1"/>
  <c r="EG38" i="15"/>
  <c r="EH38" i="15" s="1"/>
  <c r="EG42" i="15"/>
  <c r="EH42" i="15" s="1"/>
  <c r="EG45" i="15"/>
  <c r="EH45" i="15" s="1"/>
  <c r="EG49" i="15"/>
  <c r="EH49" i="15" s="1"/>
  <c r="EG53" i="15"/>
  <c r="EH53" i="15" s="1"/>
  <c r="EG57" i="15"/>
  <c r="EH57" i="15" s="1"/>
  <c r="EG61" i="15"/>
  <c r="EH61" i="15" s="1"/>
  <c r="EG65" i="15"/>
  <c r="EH65" i="15" s="1"/>
  <c r="EG68" i="15"/>
  <c r="EH68" i="15" s="1"/>
  <c r="EG72" i="15"/>
  <c r="EH72" i="15" s="1"/>
  <c r="EG76" i="15"/>
  <c r="EH76" i="15" s="1"/>
  <c r="EG80" i="15"/>
  <c r="EH80" i="15" s="1"/>
  <c r="EG87" i="15"/>
  <c r="EH87" i="15" s="1"/>
  <c r="EG91" i="15"/>
  <c r="EH91" i="15" s="1"/>
  <c r="EG95" i="15"/>
  <c r="EH95" i="15" s="1"/>
  <c r="EG102" i="15"/>
  <c r="EH102" i="15" s="1"/>
  <c r="EG106" i="15"/>
  <c r="EH106" i="15" s="1"/>
  <c r="EG110" i="15"/>
  <c r="EH110" i="15" s="1"/>
  <c r="EG114" i="15"/>
  <c r="EH114" i="15" s="1"/>
  <c r="EG118" i="15"/>
  <c r="EH118" i="15" s="1"/>
  <c r="EG122" i="15"/>
  <c r="EH122" i="15" s="1"/>
  <c r="EG129" i="15"/>
  <c r="EH129" i="15" s="1"/>
  <c r="EG133" i="15"/>
  <c r="EH133" i="15" s="1"/>
  <c r="EG137" i="15"/>
  <c r="EH137" i="15" s="1"/>
  <c r="EG141" i="15"/>
  <c r="EH141" i="15" s="1"/>
  <c r="EG145" i="15"/>
  <c r="EH145" i="15" s="1"/>
  <c r="EG148" i="15"/>
  <c r="EH148" i="15" s="1"/>
  <c r="EG152" i="15"/>
  <c r="EH152" i="15" s="1"/>
  <c r="EG156" i="15"/>
  <c r="EH156" i="15" s="1"/>
  <c r="EG160" i="15"/>
  <c r="EH160" i="15" s="1"/>
  <c r="EG164" i="15"/>
  <c r="EH164" i="15" s="1"/>
  <c r="EG168" i="15"/>
  <c r="EH168" i="15" s="1"/>
  <c r="EG171" i="15"/>
  <c r="EH171" i="15" s="1"/>
  <c r="EG175" i="15"/>
  <c r="EH175" i="15" s="1"/>
  <c r="EG179" i="15"/>
  <c r="EH179" i="15" s="1"/>
  <c r="EG183" i="15"/>
  <c r="EH183" i="15" s="1"/>
  <c r="EG187" i="15"/>
  <c r="EH187" i="15" s="1"/>
  <c r="EG194" i="15"/>
  <c r="EH194" i="15" s="1"/>
  <c r="EG198" i="15"/>
  <c r="EH198" i="15" s="1"/>
  <c r="EG202" i="15"/>
  <c r="EH202" i="15" s="1"/>
  <c r="EG206" i="15"/>
  <c r="EH206" i="15" s="1"/>
  <c r="EG210" i="15"/>
  <c r="EH210" i="15" s="1"/>
  <c r="EG214" i="15"/>
  <c r="EH214" i="15" s="1"/>
  <c r="EG218" i="15"/>
  <c r="EH218" i="15" s="1"/>
  <c r="EG221" i="15"/>
  <c r="EH221" i="15" s="1"/>
  <c r="EG225" i="15"/>
  <c r="EH225" i="15" s="1"/>
  <c r="EG229" i="15"/>
  <c r="EH229" i="15" s="1"/>
  <c r="EG236" i="15"/>
  <c r="EH236" i="15" s="1"/>
  <c r="EG240" i="15"/>
  <c r="EH240" i="15" s="1"/>
  <c r="EG244" i="15"/>
  <c r="EH244" i="15" s="1"/>
  <c r="EG248" i="15"/>
  <c r="EH248" i="15" s="1"/>
  <c r="EG255" i="15"/>
  <c r="EH255" i="15" s="1"/>
  <c r="EG259" i="15"/>
  <c r="EH259" i="15" s="1"/>
  <c r="EG263" i="15"/>
  <c r="EH263" i="15" s="1"/>
  <c r="EG267" i="15"/>
  <c r="EH267" i="15" s="1"/>
  <c r="EG271" i="15"/>
  <c r="EH271" i="15" s="1"/>
  <c r="EG275" i="15"/>
  <c r="EH275" i="15" s="1"/>
  <c r="EG278" i="15"/>
  <c r="EH278" i="15" s="1"/>
  <c r="EG282" i="15"/>
  <c r="EH282" i="15" s="1"/>
  <c r="EG286" i="15"/>
  <c r="EH286" i="15" s="1"/>
  <c r="EG290" i="15"/>
  <c r="EH290" i="15" s="1"/>
  <c r="EG294" i="15"/>
  <c r="EH294" i="15" s="1"/>
  <c r="EG298" i="15"/>
  <c r="EH298" i="15" s="1"/>
  <c r="EG301" i="15"/>
  <c r="EH301" i="15" s="1"/>
  <c r="EG305" i="15"/>
  <c r="EH305" i="15" s="1"/>
  <c r="EG309" i="15"/>
  <c r="EH309" i="15" s="1"/>
  <c r="EG313" i="15"/>
  <c r="EH313" i="15" s="1"/>
  <c r="EG317" i="15"/>
  <c r="EH317" i="15" s="1"/>
  <c r="EG321" i="15"/>
  <c r="EH321" i="15" s="1"/>
  <c r="EG325" i="15"/>
  <c r="EH325" i="15" s="1"/>
  <c r="EG328" i="15"/>
  <c r="EH328" i="15" s="1"/>
  <c r="EG332" i="15"/>
  <c r="EH332" i="15" s="1"/>
  <c r="EG336" i="15"/>
  <c r="EH336" i="15" s="1"/>
  <c r="EG340" i="15"/>
  <c r="EH340" i="15" s="1"/>
  <c r="EG344" i="15"/>
  <c r="EH344" i="15" s="1"/>
  <c r="EG348" i="15"/>
  <c r="EH348" i="15" s="1"/>
  <c r="EG352" i="15"/>
  <c r="EH352" i="15" s="1"/>
  <c r="EG356" i="15"/>
  <c r="EH356" i="15" s="1"/>
  <c r="EG360" i="15"/>
  <c r="EH360" i="15" s="1"/>
  <c r="EG364" i="15"/>
  <c r="EH364" i="15" s="1"/>
  <c r="EG368" i="15"/>
  <c r="EH368" i="15" s="1"/>
  <c r="EG375" i="15"/>
  <c r="EH375" i="15" s="1"/>
  <c r="EG379" i="15"/>
  <c r="EH379" i="15" s="1"/>
  <c r="EG383" i="15"/>
  <c r="EH383" i="15" s="1"/>
  <c r="EG387" i="15"/>
  <c r="EH387" i="15" s="1"/>
  <c r="EG391" i="15"/>
  <c r="EH391" i="15" s="1"/>
  <c r="EG395" i="15"/>
  <c r="EH395" i="15" s="1"/>
  <c r="EG399" i="15"/>
  <c r="EH399" i="15" s="1"/>
  <c r="EG403" i="15"/>
  <c r="EH403" i="15" s="1"/>
  <c r="EG407" i="15"/>
  <c r="EH407" i="15" s="1"/>
  <c r="EG410" i="15"/>
  <c r="EH410" i="15" s="1"/>
  <c r="EG414" i="15"/>
  <c r="EH414" i="15" s="1"/>
  <c r="EG418" i="15"/>
  <c r="EH418" i="15" s="1"/>
  <c r="EG422" i="15"/>
  <c r="EH422" i="15" s="1"/>
  <c r="EG426" i="15"/>
  <c r="EH426" i="15" s="1"/>
  <c r="EG430" i="15"/>
  <c r="EH430" i="15" s="1"/>
  <c r="EG433" i="15"/>
  <c r="EH433" i="15" s="1"/>
  <c r="EG437" i="15"/>
  <c r="EH437" i="15" s="1"/>
  <c r="EG441" i="15"/>
  <c r="EH441" i="15" s="1"/>
  <c r="EG445" i="15"/>
  <c r="EH445" i="15" s="1"/>
  <c r="EG449" i="15"/>
  <c r="EH449" i="15" s="1"/>
  <c r="EG453" i="15"/>
  <c r="EH453" i="15" s="1"/>
  <c r="EG456" i="15"/>
  <c r="EH456" i="15" s="1"/>
  <c r="EG460" i="15"/>
  <c r="EH460" i="15" s="1"/>
  <c r="EG464" i="15"/>
  <c r="EH464" i="15" s="1"/>
  <c r="EG468" i="15"/>
  <c r="EH468" i="15" s="1"/>
  <c r="EG472" i="15"/>
  <c r="EH472" i="15" s="1"/>
  <c r="EG475" i="15"/>
  <c r="EH475" i="15" s="1"/>
  <c r="EG479" i="15"/>
  <c r="EH479" i="15" s="1"/>
  <c r="EG483" i="15"/>
  <c r="EH483" i="15" s="1"/>
  <c r="EG487" i="15"/>
  <c r="EH487" i="15" s="1"/>
  <c r="EG491" i="15"/>
  <c r="EH491" i="15" s="1"/>
  <c r="EG494" i="15"/>
  <c r="EH494" i="15" s="1"/>
  <c r="EG498" i="15"/>
  <c r="EH498" i="15" s="1"/>
  <c r="EG502" i="15"/>
  <c r="EH502" i="15" s="1"/>
  <c r="EG506" i="15"/>
  <c r="EH506" i="15" s="1"/>
  <c r="EG510" i="15"/>
  <c r="EH510" i="15" s="1"/>
  <c r="EG514" i="15"/>
  <c r="EH514" i="15" s="1"/>
  <c r="EG517" i="15"/>
  <c r="EH517" i="15" s="1"/>
  <c r="EG521" i="15"/>
  <c r="EH521" i="15" s="1"/>
  <c r="EG525" i="15"/>
  <c r="EH525" i="15" s="1"/>
  <c r="EG529" i="15"/>
  <c r="EH529" i="15" s="1"/>
  <c r="EG532" i="15"/>
  <c r="EH532" i="15" s="1"/>
  <c r="EG536" i="15"/>
  <c r="EH536" i="15" s="1"/>
  <c r="EG540" i="15"/>
  <c r="EH540" i="15" s="1"/>
  <c r="EG544" i="15"/>
  <c r="EH544" i="15" s="1"/>
  <c r="EG548" i="15"/>
  <c r="EH548" i="15" s="1"/>
  <c r="EG551" i="15"/>
  <c r="EH551" i="15" s="1"/>
  <c r="EG555" i="15"/>
  <c r="EH555" i="15" s="1"/>
  <c r="EG559" i="15"/>
  <c r="EH559" i="15" s="1"/>
  <c r="EG563" i="15"/>
  <c r="EH563" i="15" s="1"/>
  <c r="EG567" i="15"/>
  <c r="EH567" i="15" s="1"/>
  <c r="EG571" i="15"/>
  <c r="EH571" i="15" s="1"/>
  <c r="EG575" i="15"/>
  <c r="EH575" i="15" s="1"/>
  <c r="EG582" i="15"/>
  <c r="EH582" i="15" s="1"/>
  <c r="EG586" i="15"/>
  <c r="EH586" i="15" s="1"/>
  <c r="EG590" i="15"/>
  <c r="EH590" i="15" s="1"/>
  <c r="EG594" i="15"/>
  <c r="EH594" i="15" s="1"/>
  <c r="EG598" i="15"/>
  <c r="EH598" i="15" s="1"/>
  <c r="EG602" i="15"/>
  <c r="EH602" i="15" s="1"/>
  <c r="EG606" i="15"/>
  <c r="EH606" i="15" s="1"/>
  <c r="EG610" i="15"/>
  <c r="EH610" i="15" s="1"/>
  <c r="EG613" i="15"/>
  <c r="EH613" i="15" s="1"/>
  <c r="EG617" i="15"/>
  <c r="EH617" i="15" s="1"/>
  <c r="EG621" i="15"/>
  <c r="EH621" i="15" s="1"/>
  <c r="EG624" i="15"/>
  <c r="EH624" i="15" s="1"/>
  <c r="EG628" i="15"/>
  <c r="EH628" i="15" s="1"/>
  <c r="EG632" i="15"/>
  <c r="EH632" i="15" s="1"/>
  <c r="EG636" i="15"/>
  <c r="EH636" i="15" s="1"/>
  <c r="EG643" i="15"/>
  <c r="EH643" i="15" s="1"/>
  <c r="EG647" i="15"/>
  <c r="EH647" i="15" s="1"/>
  <c r="EG651" i="15"/>
  <c r="EH651" i="15" s="1"/>
  <c r="EG655" i="15"/>
  <c r="EH655" i="15" s="1"/>
  <c r="EG659" i="15"/>
  <c r="EH659" i="15" s="1"/>
  <c r="EG663" i="15"/>
  <c r="EH663" i="15" s="1"/>
  <c r="EG667" i="15"/>
  <c r="EH667" i="15" s="1"/>
  <c r="EG670" i="15"/>
  <c r="EH670" i="15" s="1"/>
  <c r="EG674" i="15"/>
  <c r="EH674" i="15" s="1"/>
  <c r="EG678" i="15"/>
  <c r="EH678" i="15" s="1"/>
  <c r="EG682" i="15"/>
  <c r="EH682" i="15" s="1"/>
  <c r="EG686" i="15"/>
  <c r="EH686" i="15" s="1"/>
  <c r="EG689" i="15"/>
  <c r="EH689" i="15" s="1"/>
  <c r="EG693" i="15"/>
  <c r="EH693" i="15" s="1"/>
  <c r="EG697" i="15"/>
  <c r="EH697" i="15" s="1"/>
  <c r="EG701" i="15"/>
  <c r="EH701" i="15" s="1"/>
  <c r="EG705" i="15"/>
  <c r="EH705" i="15" s="1"/>
  <c r="EG709" i="15"/>
  <c r="EH709" i="15" s="1"/>
  <c r="EG713" i="15"/>
  <c r="EH713" i="15" s="1"/>
  <c r="EG716" i="15"/>
  <c r="EH716" i="15" s="1"/>
  <c r="EG720" i="15"/>
  <c r="EH720" i="15" s="1"/>
  <c r="EG724" i="15"/>
  <c r="EH724" i="15" s="1"/>
  <c r="EG728" i="15"/>
  <c r="EH728" i="15" s="1"/>
  <c r="EG732" i="15"/>
  <c r="EH732" i="15" s="1"/>
  <c r="EG735" i="15"/>
  <c r="EH735" i="15" s="1"/>
  <c r="EG739" i="15"/>
  <c r="EH739" i="15" s="1"/>
  <c r="EG743" i="15"/>
  <c r="EH743" i="15" s="1"/>
  <c r="EG747" i="15"/>
  <c r="EH747" i="15" s="1"/>
  <c r="EG751" i="15"/>
  <c r="EH751" i="15" s="1"/>
  <c r="EG773" i="15"/>
  <c r="EH773" i="15" s="1"/>
  <c r="EG760" i="15"/>
  <c r="EH760" i="15" s="1"/>
  <c r="EG764" i="15"/>
  <c r="EH764" i="15" s="1"/>
  <c r="EG768" i="15"/>
  <c r="EH768" i="15" s="1"/>
  <c r="EG772" i="15"/>
  <c r="EH772" i="15" s="1"/>
  <c r="EG777" i="15"/>
  <c r="EH777" i="15" s="1"/>
  <c r="EG781" i="15"/>
  <c r="EH781" i="15" s="1"/>
  <c r="EG785" i="15"/>
  <c r="EH785" i="15" s="1"/>
  <c r="EG789" i="15"/>
  <c r="EH789" i="15" s="1"/>
  <c r="EG793" i="15"/>
  <c r="EH793" i="15" s="1"/>
  <c r="EG800" i="15"/>
  <c r="EH800" i="15" s="1"/>
  <c r="EG804" i="15"/>
  <c r="EH804" i="15" s="1"/>
  <c r="EG808" i="15"/>
  <c r="EH808" i="15" s="1"/>
  <c r="EG812" i="15"/>
  <c r="EH812" i="15" s="1"/>
  <c r="EG816" i="15"/>
  <c r="EH816" i="15" s="1"/>
  <c r="EG820" i="15"/>
  <c r="EH820" i="15" s="1"/>
  <c r="EG824" i="15"/>
  <c r="EH824" i="15" s="1"/>
  <c r="EG828" i="15"/>
  <c r="EH828" i="15" s="1"/>
  <c r="EG831" i="15"/>
  <c r="EH831" i="15" s="1"/>
  <c r="EG835" i="15"/>
  <c r="EH835" i="15" s="1"/>
  <c r="EG839" i="15"/>
  <c r="EH839" i="15" s="1"/>
  <c r="EG843" i="15"/>
  <c r="EH843" i="15" s="1"/>
  <c r="EG847" i="15"/>
  <c r="EH847" i="15" s="1"/>
  <c r="EG851" i="15"/>
  <c r="EH851" i="15" s="1"/>
  <c r="EG855" i="15"/>
  <c r="EH855" i="15" s="1"/>
  <c r="EG859" i="15"/>
  <c r="EH859" i="15" s="1"/>
  <c r="EG730" i="15"/>
  <c r="EH730" i="15" s="1"/>
  <c r="EG745" i="15"/>
  <c r="EH745" i="15" s="1"/>
  <c r="EG758" i="15"/>
  <c r="EH758" i="15" s="1"/>
  <c r="EG776" i="15"/>
  <c r="EH776" i="15" s="1"/>
  <c r="EG791" i="15"/>
  <c r="EH791" i="15" s="1"/>
  <c r="EG806" i="15"/>
  <c r="EH806" i="15" s="1"/>
  <c r="EG822" i="15"/>
  <c r="EH822" i="15" s="1"/>
  <c r="EG837" i="15"/>
  <c r="EH837" i="15" s="1"/>
  <c r="EG853" i="15"/>
  <c r="EH853" i="15" s="1"/>
  <c r="EG718" i="15"/>
  <c r="EH718" i="15" s="1"/>
  <c r="EG733" i="15"/>
  <c r="EH733" i="15" s="1"/>
  <c r="EG749" i="15"/>
  <c r="EH749" i="15" s="1"/>
  <c r="EG762" i="15"/>
  <c r="EH762" i="15" s="1"/>
  <c r="EG779" i="15"/>
  <c r="EH779" i="15" s="1"/>
  <c r="EG810" i="15"/>
  <c r="EH810" i="15" s="1"/>
  <c r="EG826" i="15"/>
  <c r="EH826" i="15" s="1"/>
  <c r="EG841" i="15"/>
  <c r="EH841" i="15" s="1"/>
  <c r="EG857" i="15"/>
  <c r="EH857" i="15" s="1"/>
  <c r="EG722" i="15"/>
  <c r="EH722" i="15" s="1"/>
  <c r="EG737" i="15"/>
  <c r="EH737" i="15" s="1"/>
  <c r="EG766" i="15"/>
  <c r="EH766" i="15" s="1"/>
  <c r="EG783" i="15"/>
  <c r="EH783" i="15" s="1"/>
  <c r="EG798" i="15"/>
  <c r="EH798" i="15" s="1"/>
  <c r="EG814" i="15"/>
  <c r="EH814" i="15" s="1"/>
  <c r="EG829" i="15"/>
  <c r="EH829" i="15" s="1"/>
  <c r="EG845" i="15"/>
  <c r="EH845" i="15" s="1"/>
  <c r="EG861" i="15"/>
  <c r="EH861" i="15" s="1"/>
  <c r="EG726" i="15"/>
  <c r="EH726" i="15" s="1"/>
  <c r="EG741" i="15"/>
  <c r="EH741" i="15" s="1"/>
  <c r="EG756" i="15"/>
  <c r="EH756" i="15" s="1"/>
  <c r="EG770" i="15"/>
  <c r="EH770" i="15" s="1"/>
  <c r="EG787" i="15"/>
  <c r="EH787" i="15" s="1"/>
  <c r="EG802" i="15"/>
  <c r="EH802" i="15" s="1"/>
  <c r="EG818" i="15"/>
  <c r="EH818" i="15" s="1"/>
  <c r="EG833" i="15"/>
  <c r="EH833" i="15" s="1"/>
  <c r="EG849" i="15"/>
  <c r="EH849" i="15" s="1"/>
  <c r="EB10" i="15"/>
  <c r="EC10" i="15" s="1"/>
  <c r="EB14" i="15"/>
  <c r="EC14" i="15" s="1"/>
  <c r="EB18" i="15"/>
  <c r="EC18" i="15" s="1"/>
  <c r="EB22" i="15"/>
  <c r="EC22" i="15" s="1"/>
  <c r="EB26" i="15"/>
  <c r="EC26" i="15" s="1"/>
  <c r="EB30" i="15"/>
  <c r="EC30" i="15" s="1"/>
  <c r="EB34" i="15"/>
  <c r="EC34" i="15" s="1"/>
  <c r="EB37" i="15"/>
  <c r="EC37" i="15" s="1"/>
  <c r="EB44" i="15"/>
  <c r="EC44" i="15" s="1"/>
  <c r="EB48" i="15"/>
  <c r="EC48" i="15" s="1"/>
  <c r="EB52" i="15"/>
  <c r="EC52" i="15" s="1"/>
  <c r="EB56" i="15"/>
  <c r="EC56" i="15" s="1"/>
  <c r="EB60" i="15"/>
  <c r="EC60" i="15" s="1"/>
  <c r="EB67" i="15"/>
  <c r="EC67" i="15" s="1"/>
  <c r="EB71" i="15"/>
  <c r="EC71" i="15" s="1"/>
  <c r="EB75" i="15"/>
  <c r="EC75" i="15" s="1"/>
  <c r="EB79" i="15"/>
  <c r="EC79" i="15" s="1"/>
  <c r="EB83" i="15"/>
  <c r="EC83" i="15" s="1"/>
  <c r="EB86" i="15"/>
  <c r="EC86" i="15" s="1"/>
  <c r="EB90" i="15"/>
  <c r="EC90" i="15" s="1"/>
  <c r="EB94" i="15"/>
  <c r="EC94" i="15" s="1"/>
  <c r="EB98" i="15"/>
  <c r="EC98" i="15" s="1"/>
  <c r="EB101" i="15"/>
  <c r="EC101" i="15" s="1"/>
  <c r="EB105" i="15"/>
  <c r="EC105" i="15" s="1"/>
  <c r="EB109" i="15"/>
  <c r="EC109" i="15" s="1"/>
  <c r="EB113" i="15"/>
  <c r="EC113" i="15" s="1"/>
  <c r="EB117" i="15"/>
  <c r="EC117" i="15" s="1"/>
  <c r="EB121" i="15"/>
  <c r="EC121" i="15" s="1"/>
  <c r="EB125" i="15"/>
  <c r="EC125" i="15" s="1"/>
  <c r="EB128" i="15"/>
  <c r="EC128" i="15" s="1"/>
  <c r="EB132" i="15"/>
  <c r="EC132" i="15" s="1"/>
  <c r="EB136" i="15"/>
  <c r="EC136" i="15" s="1"/>
  <c r="EB140" i="15"/>
  <c r="EC140" i="15" s="1"/>
  <c r="EB144" i="15"/>
  <c r="EC144" i="15" s="1"/>
  <c r="EB147" i="15"/>
  <c r="EC147" i="15" s="1"/>
  <c r="EB151" i="15"/>
  <c r="EC151" i="15" s="1"/>
  <c r="EB155" i="15"/>
  <c r="EC155" i="15" s="1"/>
  <c r="EB159" i="15"/>
  <c r="EC159" i="15" s="1"/>
  <c r="EB163" i="15"/>
  <c r="EC163" i="15" s="1"/>
  <c r="EB167" i="15"/>
  <c r="EC167" i="15" s="1"/>
  <c r="ED167" i="15" s="1"/>
  <c r="EB170" i="15"/>
  <c r="EC170" i="15" s="1"/>
  <c r="EB174" i="15"/>
  <c r="EC174" i="15" s="1"/>
  <c r="EB178" i="15"/>
  <c r="EC178" i="15" s="1"/>
  <c r="EB182" i="15"/>
  <c r="EC182" i="15" s="1"/>
  <c r="EB186" i="15"/>
  <c r="EC186" i="15" s="1"/>
  <c r="EB190" i="15"/>
  <c r="EC190" i="15" s="1"/>
  <c r="EB193" i="15"/>
  <c r="EC193" i="15" s="1"/>
  <c r="EB197" i="15"/>
  <c r="EC197" i="15" s="1"/>
  <c r="EB201" i="15"/>
  <c r="EC201" i="15" s="1"/>
  <c r="EB205" i="15"/>
  <c r="EC205" i="15" s="1"/>
  <c r="EB209" i="15"/>
  <c r="EC209" i="15" s="1"/>
  <c r="EB213" i="15"/>
  <c r="EC213" i="15" s="1"/>
  <c r="EB217" i="15"/>
  <c r="EC217" i="15" s="1"/>
  <c r="EB220" i="15"/>
  <c r="EC220" i="15" s="1"/>
  <c r="EB224" i="15"/>
  <c r="EC224" i="15" s="1"/>
  <c r="EB228" i="15"/>
  <c r="EC228" i="15" s="1"/>
  <c r="EB232" i="15"/>
  <c r="EC232" i="15" s="1"/>
  <c r="EB235" i="15"/>
  <c r="EC235" i="15" s="1"/>
  <c r="EB239" i="15"/>
  <c r="EC239" i="15" s="1"/>
  <c r="EB243" i="15"/>
  <c r="EC243" i="15" s="1"/>
  <c r="EB247" i="15"/>
  <c r="EC247" i="15" s="1"/>
  <c r="EB251" i="15"/>
  <c r="EC251" i="15" s="1"/>
  <c r="EB254" i="15"/>
  <c r="EC254" i="15" s="1"/>
  <c r="EB258" i="15"/>
  <c r="EC258" i="15" s="1"/>
  <c r="EB262" i="15"/>
  <c r="EC262" i="15" s="1"/>
  <c r="EB266" i="15"/>
  <c r="EC266" i="15" s="1"/>
  <c r="EB270" i="15"/>
  <c r="EC270" i="15" s="1"/>
  <c r="EB273" i="15"/>
  <c r="EC273" i="15" s="1"/>
  <c r="EB277" i="15"/>
  <c r="EC277" i="15" s="1"/>
  <c r="EB281" i="15"/>
  <c r="EC281" i="15" s="1"/>
  <c r="EB285" i="15"/>
  <c r="EC285" i="15" s="1"/>
  <c r="EB289" i="15"/>
  <c r="EC289" i="15" s="1"/>
  <c r="EB293" i="15"/>
  <c r="EC293" i="15" s="1"/>
  <c r="EB297" i="15"/>
  <c r="EC297" i="15" s="1"/>
  <c r="EB304" i="15"/>
  <c r="EC304" i="15" s="1"/>
  <c r="EB308" i="15"/>
  <c r="EC308" i="15" s="1"/>
  <c r="EB312" i="15"/>
  <c r="EC312" i="15" s="1"/>
  <c r="EB316" i="15"/>
  <c r="EC316" i="15" s="1"/>
  <c r="EB320" i="15"/>
  <c r="EC320" i="15" s="1"/>
  <c r="EB327" i="15"/>
  <c r="EC327" i="15" s="1"/>
  <c r="EB331" i="15"/>
  <c r="EC331" i="15" s="1"/>
  <c r="EB335" i="15"/>
  <c r="EC335" i="15" s="1"/>
  <c r="EB339" i="15"/>
  <c r="EC339" i="15" s="1"/>
  <c r="EB343" i="15"/>
  <c r="EC343" i="15" s="1"/>
  <c r="EB347" i="15"/>
  <c r="EC347" i="15" s="1"/>
  <c r="EB351" i="15"/>
  <c r="EC351" i="15" s="1"/>
  <c r="EB355" i="15"/>
  <c r="EC355" i="15" s="1"/>
  <c r="EB359" i="15"/>
  <c r="EC359" i="15" s="1"/>
  <c r="EB363" i="15"/>
  <c r="EC363" i="15" s="1"/>
  <c r="EB367" i="15"/>
  <c r="EC367" i="15" s="1"/>
  <c r="EB371" i="15"/>
  <c r="EC371" i="15" s="1"/>
  <c r="EB374" i="15"/>
  <c r="EC374" i="15" s="1"/>
  <c r="EB378" i="15"/>
  <c r="EC378" i="15" s="1"/>
  <c r="EB382" i="15"/>
  <c r="EC382" i="15" s="1"/>
  <c r="EB386" i="15"/>
  <c r="EC386" i="15" s="1"/>
  <c r="EB390" i="15"/>
  <c r="EC390" i="15" s="1"/>
  <c r="EB394" i="15"/>
  <c r="EC394" i="15" s="1"/>
  <c r="EB398" i="15"/>
  <c r="EC398" i="15" s="1"/>
  <c r="EB402" i="15"/>
  <c r="EC402" i="15" s="1"/>
  <c r="EB409" i="15"/>
  <c r="EC409" i="15" s="1"/>
  <c r="EB413" i="15"/>
  <c r="EC413" i="15" s="1"/>
  <c r="EB417" i="15"/>
  <c r="EC417" i="15" s="1"/>
  <c r="EB421" i="15"/>
  <c r="EC421" i="15" s="1"/>
  <c r="EB425" i="15"/>
  <c r="EC425" i="15" s="1"/>
  <c r="EB432" i="15"/>
  <c r="EC432" i="15" s="1"/>
  <c r="EB436" i="15"/>
  <c r="EC436" i="15" s="1"/>
  <c r="EB440" i="15"/>
  <c r="EC440" i="15" s="1"/>
  <c r="EB444" i="15"/>
  <c r="EC444" i="15" s="1"/>
  <c r="EB448" i="15"/>
  <c r="EC448" i="15" s="1"/>
  <c r="EB452" i="15"/>
  <c r="EC452" i="15" s="1"/>
  <c r="EB459" i="15"/>
  <c r="EC459" i="15" s="1"/>
  <c r="EB463" i="15"/>
  <c r="EC463" i="15" s="1"/>
  <c r="EB467" i="15"/>
  <c r="EC467" i="15" s="1"/>
  <c r="EB471" i="15"/>
  <c r="EC471" i="15" s="1"/>
  <c r="EB474" i="15"/>
  <c r="EC474" i="15" s="1"/>
  <c r="EB478" i="15"/>
  <c r="EC478" i="15" s="1"/>
  <c r="EB482" i="15"/>
  <c r="EC482" i="15" s="1"/>
  <c r="EB486" i="15"/>
  <c r="EC486" i="15" s="1"/>
  <c r="EB493" i="15"/>
  <c r="EC493" i="15" s="1"/>
  <c r="EB497" i="15"/>
  <c r="EC497" i="15" s="1"/>
  <c r="EB501" i="15"/>
  <c r="EC501" i="15" s="1"/>
  <c r="EB505" i="15"/>
  <c r="EC505" i="15" s="1"/>
  <c r="EB509" i="15"/>
  <c r="EC509" i="15" s="1"/>
  <c r="EB513" i="15"/>
  <c r="EC513" i="15" s="1"/>
  <c r="ED513" i="15" s="1"/>
  <c r="EB516" i="15"/>
  <c r="EC516" i="15" s="1"/>
  <c r="EB520" i="15"/>
  <c r="EC520" i="15" s="1"/>
  <c r="EB524" i="15"/>
  <c r="EC524" i="15" s="1"/>
  <c r="EB531" i="15"/>
  <c r="EC531" i="15" s="1"/>
  <c r="EB535" i="15"/>
  <c r="EC535" i="15" s="1"/>
  <c r="EB539" i="15"/>
  <c r="EC539" i="15" s="1"/>
  <c r="EB543" i="15"/>
  <c r="EC543" i="15" s="1"/>
  <c r="EB547" i="15"/>
  <c r="EC547" i="15" s="1"/>
  <c r="ED547" i="15" s="1"/>
  <c r="EB550" i="15"/>
  <c r="EC550" i="15" s="1"/>
  <c r="EB554" i="15"/>
  <c r="EC554" i="15" s="1"/>
  <c r="EB558" i="15"/>
  <c r="EC558" i="15" s="1"/>
  <c r="EB562" i="15"/>
  <c r="EC562" i="15" s="1"/>
  <c r="EB566" i="15"/>
  <c r="EC566" i="15" s="1"/>
  <c r="EB570" i="15"/>
  <c r="EC570" i="15" s="1"/>
  <c r="EB572" i="15"/>
  <c r="EC572" i="15" s="1"/>
  <c r="EB578" i="15"/>
  <c r="EC578" i="15" s="1"/>
  <c r="EB581" i="15"/>
  <c r="EC581" i="15" s="1"/>
  <c r="EB585" i="15"/>
  <c r="EC585" i="15" s="1"/>
  <c r="EB589" i="15"/>
  <c r="EC589" i="15" s="1"/>
  <c r="EB593" i="15"/>
  <c r="EC593" i="15" s="1"/>
  <c r="EB597" i="15"/>
  <c r="EC597" i="15" s="1"/>
  <c r="EB601" i="15"/>
  <c r="EC601" i="15" s="1"/>
  <c r="EB605" i="15"/>
  <c r="EC605" i="15" s="1"/>
  <c r="EB609" i="15"/>
  <c r="EC609" i="15" s="1"/>
  <c r="EB612" i="15"/>
  <c r="EC612" i="15" s="1"/>
  <c r="EB616" i="15"/>
  <c r="EC616" i="15" s="1"/>
  <c r="EB620" i="15"/>
  <c r="EC620" i="15" s="1"/>
  <c r="ED620" i="15" s="1"/>
  <c r="EB623" i="15"/>
  <c r="EC623" i="15" s="1"/>
  <c r="EB627" i="15"/>
  <c r="EC627" i="15" s="1"/>
  <c r="EB631" i="15"/>
  <c r="EC631" i="15" s="1"/>
  <c r="EB635" i="15"/>
  <c r="EC635" i="15" s="1"/>
  <c r="EB639" i="15"/>
  <c r="EC639" i="15" s="1"/>
  <c r="EB642" i="15"/>
  <c r="EC642" i="15" s="1"/>
  <c r="EB646" i="15"/>
  <c r="EC646" i="15" s="1"/>
  <c r="EB650" i="15"/>
  <c r="EC650" i="15" s="1"/>
  <c r="EB654" i="15"/>
  <c r="EC654" i="15" s="1"/>
  <c r="EB658" i="15"/>
  <c r="EC658" i="15" s="1"/>
  <c r="EB662" i="15"/>
  <c r="EC662" i="15" s="1"/>
  <c r="EB666" i="15"/>
  <c r="EC666" i="15" s="1"/>
  <c r="EB669" i="15"/>
  <c r="EC669" i="15" s="1"/>
  <c r="EB673" i="15"/>
  <c r="EC673" i="15" s="1"/>
  <c r="EB677" i="15"/>
  <c r="EC677" i="15" s="1"/>
  <c r="EB681" i="15"/>
  <c r="EC681" i="15" s="1"/>
  <c r="EB685" i="15"/>
  <c r="EC685" i="15" s="1"/>
  <c r="EB692" i="15"/>
  <c r="EC692" i="15" s="1"/>
  <c r="EB696" i="15"/>
  <c r="EC696" i="15" s="1"/>
  <c r="EB700" i="15"/>
  <c r="EC700" i="15" s="1"/>
  <c r="EB704" i="15"/>
  <c r="EC704" i="15" s="1"/>
  <c r="EB708" i="15"/>
  <c r="EC708" i="15" s="1"/>
  <c r="EB715" i="15"/>
  <c r="EC715" i="15" s="1"/>
  <c r="EB719" i="15"/>
  <c r="EC719" i="15" s="1"/>
  <c r="EB723" i="15"/>
  <c r="EC723" i="15" s="1"/>
  <c r="EB727" i="15"/>
  <c r="EC727" i="15" s="1"/>
  <c r="EB734" i="15"/>
  <c r="EC734" i="15" s="1"/>
  <c r="EB738" i="15"/>
  <c r="EC738" i="15" s="1"/>
  <c r="EB742" i="15"/>
  <c r="EC742" i="15" s="1"/>
  <c r="EB746" i="15"/>
  <c r="EC746" i="15" s="1"/>
  <c r="EB750" i="15"/>
  <c r="EC750" i="15" s="1"/>
  <c r="EB754" i="15"/>
  <c r="EC754" i="15" s="1"/>
  <c r="EB757" i="15"/>
  <c r="EC757" i="15" s="1"/>
  <c r="EB759" i="15"/>
  <c r="EC759" i="15" s="1"/>
  <c r="EB763" i="15"/>
  <c r="EC763" i="15" s="1"/>
  <c r="EB767" i="15"/>
  <c r="EC767" i="15" s="1"/>
  <c r="EB771" i="15"/>
  <c r="EC771" i="15" s="1"/>
  <c r="EB780" i="15"/>
  <c r="EC780" i="15" s="1"/>
  <c r="EB784" i="15"/>
  <c r="EC784" i="15" s="1"/>
  <c r="EB788" i="15"/>
  <c r="EC788" i="15" s="1"/>
  <c r="EB792" i="15"/>
  <c r="EC792" i="15" s="1"/>
  <c r="EB796" i="15"/>
  <c r="EC796" i="15" s="1"/>
  <c r="EB799" i="15"/>
  <c r="EC799" i="15" s="1"/>
  <c r="EB803" i="15"/>
  <c r="EC803" i="15" s="1"/>
  <c r="EB807" i="15"/>
  <c r="EC807" i="15" s="1"/>
  <c r="EB811" i="15"/>
  <c r="EC811" i="15" s="1"/>
  <c r="EB815" i="15"/>
  <c r="EC815" i="15" s="1"/>
  <c r="EB819" i="15"/>
  <c r="EC819" i="15" s="1"/>
  <c r="EB823" i="15"/>
  <c r="EC823" i="15" s="1"/>
  <c r="EB830" i="15"/>
  <c r="EC830" i="15" s="1"/>
  <c r="EB834" i="15"/>
  <c r="EC834" i="15" s="1"/>
  <c r="EB838" i="15"/>
  <c r="EC838" i="15" s="1"/>
  <c r="EB842" i="15"/>
  <c r="EC842" i="15" s="1"/>
  <c r="EB846" i="15"/>
  <c r="EC846" i="15" s="1"/>
  <c r="EB850" i="15"/>
  <c r="EC850" i="15" s="1"/>
  <c r="EB854" i="15"/>
  <c r="EC854" i="15" s="1"/>
  <c r="EB858" i="15"/>
  <c r="EC858" i="15" s="1"/>
  <c r="EB6" i="15"/>
  <c r="EC6" i="15" s="1"/>
  <c r="EB11" i="15"/>
  <c r="EC11" i="15" s="1"/>
  <c r="EB15" i="15"/>
  <c r="EC15" i="15" s="1"/>
  <c r="EB19" i="15"/>
  <c r="EC19" i="15" s="1"/>
  <c r="EB23" i="15"/>
  <c r="EC23" i="15" s="1"/>
  <c r="EB27" i="15"/>
  <c r="EC27" i="15" s="1"/>
  <c r="EB31" i="15"/>
  <c r="EC31" i="15" s="1"/>
  <c r="EB38" i="15"/>
  <c r="EC38" i="15" s="1"/>
  <c r="EB42" i="15"/>
  <c r="EC42" i="15" s="1"/>
  <c r="EB45" i="15"/>
  <c r="EC45" i="15" s="1"/>
  <c r="EB49" i="15"/>
  <c r="EC49" i="15" s="1"/>
  <c r="EB53" i="15"/>
  <c r="EC53" i="15" s="1"/>
  <c r="EB57" i="15"/>
  <c r="EC57" i="15" s="1"/>
  <c r="EB61" i="15"/>
  <c r="EC61" i="15" s="1"/>
  <c r="EB65" i="15"/>
  <c r="EC65" i="15" s="1"/>
  <c r="EB68" i="15"/>
  <c r="EC68" i="15" s="1"/>
  <c r="EB72" i="15"/>
  <c r="EC72" i="15" s="1"/>
  <c r="EB76" i="15"/>
  <c r="EC76" i="15" s="1"/>
  <c r="EB80" i="15"/>
  <c r="EC80" i="15" s="1"/>
  <c r="EB87" i="15"/>
  <c r="EC87" i="15" s="1"/>
  <c r="EB91" i="15"/>
  <c r="EC91" i="15" s="1"/>
  <c r="EB95" i="15"/>
  <c r="EC95" i="15" s="1"/>
  <c r="EB102" i="15"/>
  <c r="EC102" i="15" s="1"/>
  <c r="EB106" i="15"/>
  <c r="EC106" i="15" s="1"/>
  <c r="EB110" i="15"/>
  <c r="EC110" i="15" s="1"/>
  <c r="EB114" i="15"/>
  <c r="EC114" i="15" s="1"/>
  <c r="EB118" i="15"/>
  <c r="EC118" i="15" s="1"/>
  <c r="EB122" i="15"/>
  <c r="EC122" i="15" s="1"/>
  <c r="EB129" i="15"/>
  <c r="EC129" i="15" s="1"/>
  <c r="EB133" i="15"/>
  <c r="EC133" i="15" s="1"/>
  <c r="EB137" i="15"/>
  <c r="EC137" i="15" s="1"/>
  <c r="EB141" i="15"/>
  <c r="EC141" i="15" s="1"/>
  <c r="EB145" i="15"/>
  <c r="EC145" i="15" s="1"/>
  <c r="EB148" i="15"/>
  <c r="EC148" i="15" s="1"/>
  <c r="EB152" i="15"/>
  <c r="EC152" i="15" s="1"/>
  <c r="EB156" i="15"/>
  <c r="EC156" i="15" s="1"/>
  <c r="EB160" i="15"/>
  <c r="EC160" i="15" s="1"/>
  <c r="EB164" i="15"/>
  <c r="EC164" i="15" s="1"/>
  <c r="EB168" i="15"/>
  <c r="EC168" i="15" s="1"/>
  <c r="EB171" i="15"/>
  <c r="EC171" i="15" s="1"/>
  <c r="EB175" i="15"/>
  <c r="EC175" i="15" s="1"/>
  <c r="EB179" i="15"/>
  <c r="EC179" i="15" s="1"/>
  <c r="EB183" i="15"/>
  <c r="EC183" i="15" s="1"/>
  <c r="EB187" i="15"/>
  <c r="EC187" i="15" s="1"/>
  <c r="EB194" i="15"/>
  <c r="EC194" i="15" s="1"/>
  <c r="EB198" i="15"/>
  <c r="EC198" i="15" s="1"/>
  <c r="EB202" i="15"/>
  <c r="EC202" i="15" s="1"/>
  <c r="EB206" i="15"/>
  <c r="EC206" i="15" s="1"/>
  <c r="EB210" i="15"/>
  <c r="EC210" i="15" s="1"/>
  <c r="EB214" i="15"/>
  <c r="EC214" i="15" s="1"/>
  <c r="EB218" i="15"/>
  <c r="EC218" i="15" s="1"/>
  <c r="ED218" i="15" s="1"/>
  <c r="EB221" i="15"/>
  <c r="EC221" i="15" s="1"/>
  <c r="EB225" i="15"/>
  <c r="EC225" i="15" s="1"/>
  <c r="EB229" i="15"/>
  <c r="EC229" i="15" s="1"/>
  <c r="EB236" i="15"/>
  <c r="EC236" i="15" s="1"/>
  <c r="EB240" i="15"/>
  <c r="EC240" i="15" s="1"/>
  <c r="EB244" i="15"/>
  <c r="EC244" i="15" s="1"/>
  <c r="EB248" i="15"/>
  <c r="EC248" i="15" s="1"/>
  <c r="EB255" i="15"/>
  <c r="EC255" i="15" s="1"/>
  <c r="EB259" i="15"/>
  <c r="EC259" i="15" s="1"/>
  <c r="EB263" i="15"/>
  <c r="EC263" i="15" s="1"/>
  <c r="EB267" i="15"/>
  <c r="EC267" i="15" s="1"/>
  <c r="EB271" i="15"/>
  <c r="EC271" i="15" s="1"/>
  <c r="EB275" i="15"/>
  <c r="EC275" i="15" s="1"/>
  <c r="EB278" i="15"/>
  <c r="EC278" i="15" s="1"/>
  <c r="EB282" i="15"/>
  <c r="EC282" i="15" s="1"/>
  <c r="EB286" i="15"/>
  <c r="EC286" i="15" s="1"/>
  <c r="EB290" i="15"/>
  <c r="EC290" i="15" s="1"/>
  <c r="EB294" i="15"/>
  <c r="EC294" i="15" s="1"/>
  <c r="EB298" i="15"/>
  <c r="EC298" i="15" s="1"/>
  <c r="EB301" i="15"/>
  <c r="EC301" i="15" s="1"/>
  <c r="EB305" i="15"/>
  <c r="EC305" i="15" s="1"/>
  <c r="EB309" i="15"/>
  <c r="EC309" i="15" s="1"/>
  <c r="EB313" i="15"/>
  <c r="EC313" i="15" s="1"/>
  <c r="EB317" i="15"/>
  <c r="EC317" i="15" s="1"/>
  <c r="EB321" i="15"/>
  <c r="EC321" i="15" s="1"/>
  <c r="EB325" i="15"/>
  <c r="EC325" i="15" s="1"/>
  <c r="EB328" i="15"/>
  <c r="EC328" i="15" s="1"/>
  <c r="EB332" i="15"/>
  <c r="EC332" i="15" s="1"/>
  <c r="EB336" i="15"/>
  <c r="EC336" i="15" s="1"/>
  <c r="EB340" i="15"/>
  <c r="EC340" i="15" s="1"/>
  <c r="EB344" i="15"/>
  <c r="EC344" i="15" s="1"/>
  <c r="EB348" i="15"/>
  <c r="EC348" i="15" s="1"/>
  <c r="EB352" i="15"/>
  <c r="EC352" i="15" s="1"/>
  <c r="EB356" i="15"/>
  <c r="EC356" i="15" s="1"/>
  <c r="EB360" i="15"/>
  <c r="EC360" i="15" s="1"/>
  <c r="EB364" i="15"/>
  <c r="EC364" i="15" s="1"/>
  <c r="EB368" i="15"/>
  <c r="EC368" i="15" s="1"/>
  <c r="EB375" i="15"/>
  <c r="EC375" i="15" s="1"/>
  <c r="EB379" i="15"/>
  <c r="EC379" i="15" s="1"/>
  <c r="EB383" i="15"/>
  <c r="EC383" i="15" s="1"/>
  <c r="EB387" i="15"/>
  <c r="EC387" i="15" s="1"/>
  <c r="EB391" i="15"/>
  <c r="EC391" i="15" s="1"/>
  <c r="EB395" i="15"/>
  <c r="EC395" i="15" s="1"/>
  <c r="EB399" i="15"/>
  <c r="EC399" i="15" s="1"/>
  <c r="EB403" i="15"/>
  <c r="EC403" i="15" s="1"/>
  <c r="EB407" i="15"/>
  <c r="EC407" i="15" s="1"/>
  <c r="EB410" i="15"/>
  <c r="EC410" i="15" s="1"/>
  <c r="EB414" i="15"/>
  <c r="EC414" i="15" s="1"/>
  <c r="EB418" i="15"/>
  <c r="EC418" i="15" s="1"/>
  <c r="EB422" i="15"/>
  <c r="EC422" i="15" s="1"/>
  <c r="EB426" i="15"/>
  <c r="EC426" i="15" s="1"/>
  <c r="EB430" i="15"/>
  <c r="EC430" i="15" s="1"/>
  <c r="EB433" i="15"/>
  <c r="EC433" i="15" s="1"/>
  <c r="EB437" i="15"/>
  <c r="EC437" i="15" s="1"/>
  <c r="EB441" i="15"/>
  <c r="EC441" i="15" s="1"/>
  <c r="EB445" i="15"/>
  <c r="EC445" i="15" s="1"/>
  <c r="EB449" i="15"/>
  <c r="EC449" i="15" s="1"/>
  <c r="EB453" i="15"/>
  <c r="EC453" i="15" s="1"/>
  <c r="EB456" i="15"/>
  <c r="EC456" i="15" s="1"/>
  <c r="EB460" i="15"/>
  <c r="EC460" i="15" s="1"/>
  <c r="EB464" i="15"/>
  <c r="EC464" i="15" s="1"/>
  <c r="EB468" i="15"/>
  <c r="EC468" i="15" s="1"/>
  <c r="EB472" i="15"/>
  <c r="EC472" i="15" s="1"/>
  <c r="EB475" i="15"/>
  <c r="EC475" i="15" s="1"/>
  <c r="EB479" i="15"/>
  <c r="EC479" i="15" s="1"/>
  <c r="EB483" i="15"/>
  <c r="EC483" i="15" s="1"/>
  <c r="EB487" i="15"/>
  <c r="EC487" i="15" s="1"/>
  <c r="EB491" i="15"/>
  <c r="EC491" i="15" s="1"/>
  <c r="EB494" i="15"/>
  <c r="EC494" i="15" s="1"/>
  <c r="EB498" i="15"/>
  <c r="EC498" i="15" s="1"/>
  <c r="EB502" i="15"/>
  <c r="EC502" i="15" s="1"/>
  <c r="EB506" i="15"/>
  <c r="EC506" i="15" s="1"/>
  <c r="EB510" i="15"/>
  <c r="EC510" i="15" s="1"/>
  <c r="EB514" i="15"/>
  <c r="EC514" i="15" s="1"/>
  <c r="EB517" i="15"/>
  <c r="EC517" i="15" s="1"/>
  <c r="EB521" i="15"/>
  <c r="EC521" i="15" s="1"/>
  <c r="EB525" i="15"/>
  <c r="EC525" i="15" s="1"/>
  <c r="EB529" i="15"/>
  <c r="EC529" i="15" s="1"/>
  <c r="EB532" i="15"/>
  <c r="EC532" i="15" s="1"/>
  <c r="EB536" i="15"/>
  <c r="EC536" i="15" s="1"/>
  <c r="EB540" i="15"/>
  <c r="EC540" i="15" s="1"/>
  <c r="EB544" i="15"/>
  <c r="EC544" i="15" s="1"/>
  <c r="EB548" i="15"/>
  <c r="EC548" i="15" s="1"/>
  <c r="EB551" i="15"/>
  <c r="EC551" i="15" s="1"/>
  <c r="EB555" i="15"/>
  <c r="EC555" i="15" s="1"/>
  <c r="EB559" i="15"/>
  <c r="EC559" i="15" s="1"/>
  <c r="EB563" i="15"/>
  <c r="EC563" i="15" s="1"/>
  <c r="EB567" i="15"/>
  <c r="EC567" i="15" s="1"/>
  <c r="EB571" i="15"/>
  <c r="EC571" i="15" s="1"/>
  <c r="EB575" i="15"/>
  <c r="EC575" i="15" s="1"/>
  <c r="EB582" i="15"/>
  <c r="EC582" i="15" s="1"/>
  <c r="EB586" i="15"/>
  <c r="EC586" i="15" s="1"/>
  <c r="EB590" i="15"/>
  <c r="EC590" i="15" s="1"/>
  <c r="EB594" i="15"/>
  <c r="EC594" i="15" s="1"/>
  <c r="EB598" i="15"/>
  <c r="EC598" i="15" s="1"/>
  <c r="EB602" i="15"/>
  <c r="EC602" i="15" s="1"/>
  <c r="EB606" i="15"/>
  <c r="EC606" i="15" s="1"/>
  <c r="EB610" i="15"/>
  <c r="EC610" i="15" s="1"/>
  <c r="ED610" i="15" s="1"/>
  <c r="EB613" i="15"/>
  <c r="EC613" i="15" s="1"/>
  <c r="EB617" i="15"/>
  <c r="EC617" i="15" s="1"/>
  <c r="EB621" i="15"/>
  <c r="EC621" i="15" s="1"/>
  <c r="EB624" i="15"/>
  <c r="EC624" i="15" s="1"/>
  <c r="EB628" i="15"/>
  <c r="EC628" i="15" s="1"/>
  <c r="EB632" i="15"/>
  <c r="EC632" i="15" s="1"/>
  <c r="EB636" i="15"/>
  <c r="EC636" i="15" s="1"/>
  <c r="EB643" i="15"/>
  <c r="EC643" i="15" s="1"/>
  <c r="EB647" i="15"/>
  <c r="EC647" i="15" s="1"/>
  <c r="EB651" i="15"/>
  <c r="EC651" i="15" s="1"/>
  <c r="EB655" i="15"/>
  <c r="EC655" i="15" s="1"/>
  <c r="EB659" i="15"/>
  <c r="EC659" i="15" s="1"/>
  <c r="EB663" i="15"/>
  <c r="EC663" i="15" s="1"/>
  <c r="EB667" i="15"/>
  <c r="EC667" i="15" s="1"/>
  <c r="ED667" i="15" s="1"/>
  <c r="EB670" i="15"/>
  <c r="EC670" i="15" s="1"/>
  <c r="EB674" i="15"/>
  <c r="EC674" i="15" s="1"/>
  <c r="EB678" i="15"/>
  <c r="EC678" i="15" s="1"/>
  <c r="EB682" i="15"/>
  <c r="EC682" i="15" s="1"/>
  <c r="EB686" i="15"/>
  <c r="EC686" i="15" s="1"/>
  <c r="EB689" i="15"/>
  <c r="EC689" i="15" s="1"/>
  <c r="EB693" i="15"/>
  <c r="EC693" i="15" s="1"/>
  <c r="EB697" i="15"/>
  <c r="EC697" i="15" s="1"/>
  <c r="EB701" i="15"/>
  <c r="EC701" i="15" s="1"/>
  <c r="EB705" i="15"/>
  <c r="EC705" i="15" s="1"/>
  <c r="EB709" i="15"/>
  <c r="EC709" i="15" s="1"/>
  <c r="EB713" i="15"/>
  <c r="EC713" i="15" s="1"/>
  <c r="EB716" i="15"/>
  <c r="EC716" i="15" s="1"/>
  <c r="EB720" i="15"/>
  <c r="EC720" i="15" s="1"/>
  <c r="EB724" i="15"/>
  <c r="EC724" i="15" s="1"/>
  <c r="EB728" i="15"/>
  <c r="EC728" i="15" s="1"/>
  <c r="EB732" i="15"/>
  <c r="EC732" i="15" s="1"/>
  <c r="EB735" i="15"/>
  <c r="EC735" i="15" s="1"/>
  <c r="EB739" i="15"/>
  <c r="EC739" i="15" s="1"/>
  <c r="EB743" i="15"/>
  <c r="EC743" i="15" s="1"/>
  <c r="EB747" i="15"/>
  <c r="EC747" i="15" s="1"/>
  <c r="EB751" i="15"/>
  <c r="EC751" i="15" s="1"/>
  <c r="EB773" i="15"/>
  <c r="EC773" i="15" s="1"/>
  <c r="EB760" i="15"/>
  <c r="EC760" i="15" s="1"/>
  <c r="EB764" i="15"/>
  <c r="EC764" i="15" s="1"/>
  <c r="EB768" i="15"/>
  <c r="EC768" i="15" s="1"/>
  <c r="EB772" i="15"/>
  <c r="EC772" i="15" s="1"/>
  <c r="EB777" i="15"/>
  <c r="EC777" i="15" s="1"/>
  <c r="EB781" i="15"/>
  <c r="EC781" i="15" s="1"/>
  <c r="EB785" i="15"/>
  <c r="EC785" i="15" s="1"/>
  <c r="EB789" i="15"/>
  <c r="EC789" i="15" s="1"/>
  <c r="EB793" i="15"/>
  <c r="EC793" i="15" s="1"/>
  <c r="EB800" i="15"/>
  <c r="EC800" i="15" s="1"/>
  <c r="EB804" i="15"/>
  <c r="EC804" i="15" s="1"/>
  <c r="EB808" i="15"/>
  <c r="EC808" i="15" s="1"/>
  <c r="EB812" i="15"/>
  <c r="EC812" i="15" s="1"/>
  <c r="EB816" i="15"/>
  <c r="EC816" i="15" s="1"/>
  <c r="EB820" i="15"/>
  <c r="EC820" i="15" s="1"/>
  <c r="EB824" i="15"/>
  <c r="EC824" i="15" s="1"/>
  <c r="EB828" i="15"/>
  <c r="EC828" i="15" s="1"/>
  <c r="EB831" i="15"/>
  <c r="EC831" i="15" s="1"/>
  <c r="EB835" i="15"/>
  <c r="EC835" i="15" s="1"/>
  <c r="EB839" i="15"/>
  <c r="EC839" i="15" s="1"/>
  <c r="EB843" i="15"/>
  <c r="EC843" i="15" s="1"/>
  <c r="EB847" i="15"/>
  <c r="EC847" i="15" s="1"/>
  <c r="EB851" i="15"/>
  <c r="EC851" i="15" s="1"/>
  <c r="EB855" i="15"/>
  <c r="EC855" i="15" s="1"/>
  <c r="EB859" i="15"/>
  <c r="EC859" i="15" s="1"/>
  <c r="EB8" i="15"/>
  <c r="EC8" i="15" s="1"/>
  <c r="EB12" i="15"/>
  <c r="EC12" i="15" s="1"/>
  <c r="EB16" i="15"/>
  <c r="EC16" i="15" s="1"/>
  <c r="EB20" i="15"/>
  <c r="EC20" i="15" s="1"/>
  <c r="EB24" i="15"/>
  <c r="EC24" i="15" s="1"/>
  <c r="EB28" i="15"/>
  <c r="EC28" i="15" s="1"/>
  <c r="EB32" i="15"/>
  <c r="EC32" i="15" s="1"/>
  <c r="EB35" i="15"/>
  <c r="EC35" i="15" s="1"/>
  <c r="EB39" i="15"/>
  <c r="EC39" i="15" s="1"/>
  <c r="EB46" i="15"/>
  <c r="EC46" i="15" s="1"/>
  <c r="EB50" i="15"/>
  <c r="EC50" i="15" s="1"/>
  <c r="EB54" i="15"/>
  <c r="EC54" i="15" s="1"/>
  <c r="EB58" i="15"/>
  <c r="EC58" i="15" s="1"/>
  <c r="EB62" i="15"/>
  <c r="EC62" i="15" s="1"/>
  <c r="EB69" i="15"/>
  <c r="EC69" i="15" s="1"/>
  <c r="EB73" i="15"/>
  <c r="EC73" i="15" s="1"/>
  <c r="EB77" i="15"/>
  <c r="EC77" i="15" s="1"/>
  <c r="EB81" i="15"/>
  <c r="EC81" i="15" s="1"/>
  <c r="EB84" i="15"/>
  <c r="EC84" i="15" s="1"/>
  <c r="EB88" i="15"/>
  <c r="EC88" i="15" s="1"/>
  <c r="EB93" i="15"/>
  <c r="EC93" i="15" s="1"/>
  <c r="EB96" i="15"/>
  <c r="EC96" i="15" s="1"/>
  <c r="EB99" i="15"/>
  <c r="EC99" i="15" s="1"/>
  <c r="EB103" i="15"/>
  <c r="EC103" i="15" s="1"/>
  <c r="EB107" i="15"/>
  <c r="EC107" i="15" s="1"/>
  <c r="EB111" i="15"/>
  <c r="EC111" i="15" s="1"/>
  <c r="EB115" i="15"/>
  <c r="EC115" i="15" s="1"/>
  <c r="EB119" i="15"/>
  <c r="EC119" i="15" s="1"/>
  <c r="EB123" i="15"/>
  <c r="EC123" i="15" s="1"/>
  <c r="EB126" i="15"/>
  <c r="EC126" i="15" s="1"/>
  <c r="EB130" i="15"/>
  <c r="EC130" i="15" s="1"/>
  <c r="EB134" i="15"/>
  <c r="EC134" i="15" s="1"/>
  <c r="EB138" i="15"/>
  <c r="EC138" i="15" s="1"/>
  <c r="EB142" i="15"/>
  <c r="EC142" i="15" s="1"/>
  <c r="EB149" i="15"/>
  <c r="EC149" i="15" s="1"/>
  <c r="EB153" i="15"/>
  <c r="EC153" i="15" s="1"/>
  <c r="EB157" i="15"/>
  <c r="EC157" i="15" s="1"/>
  <c r="EB161" i="15"/>
  <c r="EC161" i="15" s="1"/>
  <c r="EB165" i="15"/>
  <c r="EC165" i="15" s="1"/>
  <c r="EB172" i="15"/>
  <c r="EC172" i="15" s="1"/>
  <c r="EB176" i="15"/>
  <c r="EC176" i="15" s="1"/>
  <c r="EB180" i="15"/>
  <c r="EC180" i="15" s="1"/>
  <c r="EB184" i="15"/>
  <c r="EC184" i="15" s="1"/>
  <c r="EB188" i="15"/>
  <c r="EC188" i="15" s="1"/>
  <c r="EB191" i="15"/>
  <c r="EC191" i="15" s="1"/>
  <c r="EB195" i="15"/>
  <c r="EC195" i="15" s="1"/>
  <c r="EB199" i="15"/>
  <c r="EC199" i="15" s="1"/>
  <c r="EB203" i="15"/>
  <c r="EC203" i="15" s="1"/>
  <c r="EB207" i="15"/>
  <c r="EC207" i="15" s="1"/>
  <c r="EB211" i="15"/>
  <c r="EC211" i="15" s="1"/>
  <c r="EB215" i="15"/>
  <c r="EC215" i="15" s="1"/>
  <c r="EB219" i="15"/>
  <c r="EC219" i="15" s="1"/>
  <c r="EB222" i="15"/>
  <c r="EC222" i="15" s="1"/>
  <c r="EB226" i="15"/>
  <c r="EC226" i="15" s="1"/>
  <c r="EB230" i="15"/>
  <c r="EC230" i="15" s="1"/>
  <c r="EB233" i="15"/>
  <c r="EC233" i="15" s="1"/>
  <c r="EB237" i="15"/>
  <c r="EC237" i="15" s="1"/>
  <c r="EB241" i="15"/>
  <c r="EC241" i="15" s="1"/>
  <c r="EB245" i="15"/>
  <c r="EC245" i="15" s="1"/>
  <c r="EB249" i="15"/>
  <c r="EC249" i="15" s="1"/>
  <c r="EB252" i="15"/>
  <c r="EC252" i="15" s="1"/>
  <c r="EB256" i="15"/>
  <c r="EC256" i="15" s="1"/>
  <c r="EB260" i="15"/>
  <c r="EC260" i="15" s="1"/>
  <c r="EB264" i="15"/>
  <c r="EC264" i="15" s="1"/>
  <c r="EB268" i="15"/>
  <c r="EC268" i="15" s="1"/>
  <c r="EB274" i="15"/>
  <c r="EC274" i="15" s="1"/>
  <c r="EB279" i="15"/>
  <c r="EC279" i="15" s="1"/>
  <c r="EB283" i="15"/>
  <c r="EC283" i="15" s="1"/>
  <c r="EB287" i="15"/>
  <c r="EC287" i="15" s="1"/>
  <c r="EB291" i="15"/>
  <c r="EC291" i="15" s="1"/>
  <c r="EB295" i="15"/>
  <c r="EC295" i="15" s="1"/>
  <c r="EB299" i="15"/>
  <c r="EC299" i="15" s="1"/>
  <c r="ED299" i="15" s="1"/>
  <c r="EB302" i="15"/>
  <c r="EC302" i="15" s="1"/>
  <c r="EB306" i="15"/>
  <c r="EC306" i="15" s="1"/>
  <c r="EB310" i="15"/>
  <c r="EC310" i="15" s="1"/>
  <c r="EB314" i="15"/>
  <c r="EC314" i="15" s="1"/>
  <c r="EB318" i="15"/>
  <c r="EC318" i="15" s="1"/>
  <c r="EB322" i="15"/>
  <c r="EC322" i="15" s="1"/>
  <c r="EB329" i="15"/>
  <c r="EC329" i="15" s="1"/>
  <c r="EB333" i="15"/>
  <c r="EC333" i="15" s="1"/>
  <c r="EB337" i="15"/>
  <c r="EC337" i="15" s="1"/>
  <c r="EB341" i="15"/>
  <c r="EC341" i="15" s="1"/>
  <c r="EB345" i="15"/>
  <c r="EC345" i="15" s="1"/>
  <c r="EB349" i="15"/>
  <c r="EC349" i="15" s="1"/>
  <c r="EB353" i="15"/>
  <c r="EC353" i="15" s="1"/>
  <c r="EB357" i="15"/>
  <c r="EC357" i="15" s="1"/>
  <c r="EB361" i="15"/>
  <c r="EC361" i="15" s="1"/>
  <c r="EB365" i="15"/>
  <c r="EC365" i="15" s="1"/>
  <c r="EB369" i="15"/>
  <c r="EC369" i="15" s="1"/>
  <c r="EB372" i="15"/>
  <c r="EC372" i="15" s="1"/>
  <c r="EB376" i="15"/>
  <c r="EC376" i="15" s="1"/>
  <c r="EB380" i="15"/>
  <c r="EC380" i="15" s="1"/>
  <c r="EB384" i="15"/>
  <c r="EC384" i="15" s="1"/>
  <c r="EB388" i="15"/>
  <c r="EC388" i="15" s="1"/>
  <c r="EB392" i="15"/>
  <c r="EC392" i="15" s="1"/>
  <c r="EB396" i="15"/>
  <c r="EC396" i="15" s="1"/>
  <c r="EB400" i="15"/>
  <c r="EC400" i="15" s="1"/>
  <c r="EB404" i="15"/>
  <c r="EC404" i="15" s="1"/>
  <c r="EB411" i="15"/>
  <c r="EC411" i="15" s="1"/>
  <c r="EB415" i="15"/>
  <c r="EC415" i="15" s="1"/>
  <c r="EB419" i="15"/>
  <c r="EC419" i="15" s="1"/>
  <c r="EB423" i="15"/>
  <c r="EC423" i="15" s="1"/>
  <c r="EB427" i="15"/>
  <c r="EC427" i="15" s="1"/>
  <c r="EB434" i="15"/>
  <c r="EC434" i="15" s="1"/>
  <c r="EB438" i="15"/>
  <c r="EC438" i="15" s="1"/>
  <c r="EB442" i="15"/>
  <c r="EC442" i="15" s="1"/>
  <c r="EB446" i="15"/>
  <c r="EC446" i="15" s="1"/>
  <c r="EB450" i="15"/>
  <c r="EC450" i="15" s="1"/>
  <c r="EB454" i="15"/>
  <c r="EC454" i="15" s="1"/>
  <c r="ED454" i="15" s="1"/>
  <c r="EB457" i="15"/>
  <c r="EC457" i="15" s="1"/>
  <c r="EB461" i="15"/>
  <c r="EC461" i="15" s="1"/>
  <c r="EB465" i="15"/>
  <c r="EC465" i="15" s="1"/>
  <c r="EB469" i="15"/>
  <c r="EC469" i="15" s="1"/>
  <c r="EB476" i="15"/>
  <c r="EC476" i="15" s="1"/>
  <c r="EB480" i="15"/>
  <c r="EC480" i="15" s="1"/>
  <c r="EB484" i="15"/>
  <c r="EC484" i="15" s="1"/>
  <c r="EB488" i="15"/>
  <c r="EC488" i="15" s="1"/>
  <c r="EB495" i="15"/>
  <c r="EC495" i="15" s="1"/>
  <c r="EB499" i="15"/>
  <c r="EC499" i="15" s="1"/>
  <c r="EB503" i="15"/>
  <c r="EC503" i="15" s="1"/>
  <c r="EB507" i="15"/>
  <c r="EC507" i="15" s="1"/>
  <c r="EB511" i="15"/>
  <c r="EC511" i="15" s="1"/>
  <c r="EB518" i="15"/>
  <c r="EC518" i="15" s="1"/>
  <c r="EB522" i="15"/>
  <c r="EC522" i="15" s="1"/>
  <c r="EB526" i="15"/>
  <c r="EC526" i="15" s="1"/>
  <c r="EB533" i="15"/>
  <c r="EC533" i="15" s="1"/>
  <c r="EB537" i="15"/>
  <c r="EC537" i="15" s="1"/>
  <c r="EB541" i="15"/>
  <c r="EC541" i="15" s="1"/>
  <c r="EB545" i="15"/>
  <c r="EC545" i="15" s="1"/>
  <c r="EB552" i="15"/>
  <c r="EC552" i="15" s="1"/>
  <c r="EB556" i="15"/>
  <c r="EC556" i="15" s="1"/>
  <c r="EB560" i="15"/>
  <c r="EC560" i="15" s="1"/>
  <c r="EB564" i="15"/>
  <c r="EC564" i="15" s="1"/>
  <c r="EB568" i="15"/>
  <c r="EC568" i="15" s="1"/>
  <c r="EB573" i="15"/>
  <c r="EC573" i="15" s="1"/>
  <c r="EB579" i="15"/>
  <c r="EC579" i="15" s="1"/>
  <c r="EB583" i="15"/>
  <c r="EC583" i="15" s="1"/>
  <c r="EB587" i="15"/>
  <c r="EC587" i="15" s="1"/>
  <c r="EB591" i="15"/>
  <c r="EC591" i="15" s="1"/>
  <c r="EB595" i="15"/>
  <c r="EC595" i="15" s="1"/>
  <c r="EB599" i="15"/>
  <c r="EC599" i="15" s="1"/>
  <c r="EB603" i="15"/>
  <c r="EC603" i="15" s="1"/>
  <c r="EB607" i="15"/>
  <c r="EC607" i="15" s="1"/>
  <c r="EB611" i="15"/>
  <c r="EC611" i="15" s="1"/>
  <c r="EB614" i="15"/>
  <c r="EC614" i="15" s="1"/>
  <c r="EB618" i="15"/>
  <c r="EC618" i="15" s="1"/>
  <c r="EB625" i="15"/>
  <c r="EC625" i="15" s="1"/>
  <c r="EB629" i="15"/>
  <c r="EC629" i="15" s="1"/>
  <c r="EB633" i="15"/>
  <c r="EC633" i="15" s="1"/>
  <c r="EB637" i="15"/>
  <c r="EC637" i="15" s="1"/>
  <c r="EB641" i="15"/>
  <c r="EC641" i="15" s="1"/>
  <c r="EB644" i="15"/>
  <c r="EC644" i="15" s="1"/>
  <c r="EB648" i="15"/>
  <c r="EC648" i="15" s="1"/>
  <c r="EB652" i="15"/>
  <c r="EC652" i="15" s="1"/>
  <c r="EB656" i="15"/>
  <c r="EC656" i="15" s="1"/>
  <c r="EB660" i="15"/>
  <c r="EC660" i="15" s="1"/>
  <c r="EB664" i="15"/>
  <c r="EC664" i="15" s="1"/>
  <c r="EB668" i="15"/>
  <c r="EC668" i="15" s="1"/>
  <c r="EB671" i="15"/>
  <c r="EC671" i="15" s="1"/>
  <c r="EB675" i="15"/>
  <c r="EC675" i="15" s="1"/>
  <c r="EB679" i="15"/>
  <c r="EC679" i="15" s="1"/>
  <c r="EB683" i="15"/>
  <c r="EC683" i="15" s="1"/>
  <c r="EB690" i="15"/>
  <c r="EC690" i="15" s="1"/>
  <c r="EB694" i="15"/>
  <c r="EC694" i="15" s="1"/>
  <c r="EB698" i="15"/>
  <c r="EC698" i="15" s="1"/>
  <c r="EB702" i="15"/>
  <c r="EC702" i="15" s="1"/>
  <c r="EB706" i="15"/>
  <c r="EC706" i="15" s="1"/>
  <c r="EB710" i="15"/>
  <c r="EC710" i="15" s="1"/>
  <c r="EB714" i="15"/>
  <c r="EC714" i="15" s="1"/>
  <c r="EB717" i="15"/>
  <c r="EC717" i="15" s="1"/>
  <c r="EB721" i="15"/>
  <c r="EC721" i="15" s="1"/>
  <c r="EB725" i="15"/>
  <c r="EC725" i="15" s="1"/>
  <c r="EB729" i="15"/>
  <c r="EC729" i="15" s="1"/>
  <c r="EB736" i="15"/>
  <c r="EC736" i="15" s="1"/>
  <c r="EB740" i="15"/>
  <c r="EC740" i="15" s="1"/>
  <c r="EB744" i="15"/>
  <c r="EC744" i="15" s="1"/>
  <c r="EB748" i="15"/>
  <c r="EC748" i="15" s="1"/>
  <c r="EB752" i="15"/>
  <c r="EC752" i="15" s="1"/>
  <c r="EB755" i="15"/>
  <c r="EC755" i="15" s="1"/>
  <c r="EB774" i="15"/>
  <c r="EC774" i="15" s="1"/>
  <c r="EB761" i="15"/>
  <c r="EC761" i="15" s="1"/>
  <c r="EB765" i="15"/>
  <c r="EC765" i="15" s="1"/>
  <c r="EB769" i="15"/>
  <c r="EC769" i="15" s="1"/>
  <c r="EB778" i="15"/>
  <c r="EC778" i="15" s="1"/>
  <c r="EB782" i="15"/>
  <c r="EC782" i="15" s="1"/>
  <c r="EB786" i="15"/>
  <c r="EC786" i="15" s="1"/>
  <c r="EB790" i="15"/>
  <c r="EC790" i="15" s="1"/>
  <c r="EB794" i="15"/>
  <c r="EC794" i="15" s="1"/>
  <c r="EB797" i="15"/>
  <c r="EC797" i="15" s="1"/>
  <c r="EB801" i="15"/>
  <c r="EC801" i="15" s="1"/>
  <c r="EB805" i="15"/>
  <c r="EC805" i="15" s="1"/>
  <c r="EB809" i="15"/>
  <c r="EC809" i="15" s="1"/>
  <c r="EB813" i="15"/>
  <c r="EC813" i="15" s="1"/>
  <c r="EB817" i="15"/>
  <c r="EC817" i="15" s="1"/>
  <c r="EB821" i="15"/>
  <c r="EC821" i="15" s="1"/>
  <c r="EB825" i="15"/>
  <c r="EC825" i="15" s="1"/>
  <c r="EB832" i="15"/>
  <c r="EC832" i="15" s="1"/>
  <c r="EB836" i="15"/>
  <c r="EC836" i="15" s="1"/>
  <c r="EB840" i="15"/>
  <c r="EC840" i="15" s="1"/>
  <c r="EB844" i="15"/>
  <c r="EC844" i="15" s="1"/>
  <c r="EB848" i="15"/>
  <c r="EC848" i="15" s="1"/>
  <c r="EB852" i="15"/>
  <c r="EC852" i="15" s="1"/>
  <c r="EB856" i="15"/>
  <c r="EC856" i="15" s="1"/>
  <c r="EB860" i="15"/>
  <c r="EC860" i="15" s="1"/>
  <c r="EB9" i="15"/>
  <c r="EC9" i="15" s="1"/>
  <c r="EB13" i="15"/>
  <c r="EC13" i="15" s="1"/>
  <c r="EB17" i="15"/>
  <c r="EC17" i="15" s="1"/>
  <c r="EB21" i="15"/>
  <c r="EC21" i="15" s="1"/>
  <c r="EB25" i="15"/>
  <c r="EC25" i="15" s="1"/>
  <c r="EB29" i="15"/>
  <c r="EC29" i="15" s="1"/>
  <c r="EB36" i="15"/>
  <c r="EC36" i="15" s="1"/>
  <c r="EB40" i="15"/>
  <c r="EC40" i="15" s="1"/>
  <c r="EB43" i="15"/>
  <c r="EC43" i="15" s="1"/>
  <c r="EB47" i="15"/>
  <c r="EC47" i="15" s="1"/>
  <c r="EB51" i="15"/>
  <c r="EC51" i="15" s="1"/>
  <c r="EB55" i="15"/>
  <c r="EC55" i="15" s="1"/>
  <c r="EB59" i="15"/>
  <c r="EC59" i="15" s="1"/>
  <c r="EB63" i="15"/>
  <c r="EC63" i="15" s="1"/>
  <c r="EB66" i="15"/>
  <c r="EC66" i="15" s="1"/>
  <c r="EB70" i="15"/>
  <c r="EC70" i="15" s="1"/>
  <c r="EB74" i="15"/>
  <c r="EC74" i="15" s="1"/>
  <c r="EB78" i="15"/>
  <c r="EC78" i="15" s="1"/>
  <c r="EB85" i="15"/>
  <c r="EC85" i="15" s="1"/>
  <c r="EB89" i="15"/>
  <c r="EC89" i="15" s="1"/>
  <c r="EB92" i="15"/>
  <c r="EC92" i="15" s="1"/>
  <c r="EB100" i="15"/>
  <c r="EC100" i="15" s="1"/>
  <c r="EB104" i="15"/>
  <c r="EC104" i="15" s="1"/>
  <c r="EB108" i="15"/>
  <c r="EC108" i="15" s="1"/>
  <c r="EB112" i="15"/>
  <c r="EC112" i="15" s="1"/>
  <c r="EB116" i="15"/>
  <c r="EC116" i="15" s="1"/>
  <c r="EB120" i="15"/>
  <c r="EC120" i="15" s="1"/>
  <c r="EB127" i="15"/>
  <c r="EC127" i="15" s="1"/>
  <c r="EB131" i="15"/>
  <c r="EC131" i="15" s="1"/>
  <c r="EB135" i="15"/>
  <c r="EC135" i="15" s="1"/>
  <c r="EB139" i="15"/>
  <c r="EC139" i="15" s="1"/>
  <c r="EB146" i="15"/>
  <c r="EC146" i="15" s="1"/>
  <c r="EB150" i="15"/>
  <c r="EC150" i="15" s="1"/>
  <c r="EB154" i="15"/>
  <c r="EC154" i="15" s="1"/>
  <c r="EB158" i="15"/>
  <c r="EC158" i="15" s="1"/>
  <c r="EB162" i="15"/>
  <c r="EC162" i="15" s="1"/>
  <c r="EB166" i="15"/>
  <c r="EC166" i="15" s="1"/>
  <c r="EB169" i="15"/>
  <c r="EC169" i="15" s="1"/>
  <c r="EB173" i="15"/>
  <c r="EC173" i="15" s="1"/>
  <c r="EB177" i="15"/>
  <c r="EC177" i="15" s="1"/>
  <c r="EB181" i="15"/>
  <c r="EC181" i="15" s="1"/>
  <c r="EB185" i="15"/>
  <c r="EC185" i="15" s="1"/>
  <c r="EB189" i="15"/>
  <c r="EC189" i="15" s="1"/>
  <c r="ED189" i="15" s="1"/>
  <c r="EB192" i="15"/>
  <c r="EC192" i="15" s="1"/>
  <c r="EB196" i="15"/>
  <c r="EC196" i="15" s="1"/>
  <c r="EB200" i="15"/>
  <c r="EC200" i="15" s="1"/>
  <c r="EB204" i="15"/>
  <c r="EC204" i="15" s="1"/>
  <c r="EB208" i="15"/>
  <c r="EC208" i="15" s="1"/>
  <c r="EB212" i="15"/>
  <c r="EC212" i="15" s="1"/>
  <c r="EB216" i="15"/>
  <c r="EC216" i="15" s="1"/>
  <c r="EB223" i="15"/>
  <c r="EC223" i="15" s="1"/>
  <c r="EB227" i="15"/>
  <c r="EC227" i="15" s="1"/>
  <c r="EB231" i="15"/>
  <c r="EC231" i="15" s="1"/>
  <c r="ED231" i="15" s="1"/>
  <c r="EB234" i="15"/>
  <c r="EC234" i="15" s="1"/>
  <c r="EB238" i="15"/>
  <c r="EC238" i="15" s="1"/>
  <c r="EB242" i="15"/>
  <c r="EC242" i="15" s="1"/>
  <c r="EB246" i="15"/>
  <c r="EC246" i="15" s="1"/>
  <c r="EB253" i="15"/>
  <c r="EC253" i="15" s="1"/>
  <c r="EB257" i="15"/>
  <c r="EC257" i="15" s="1"/>
  <c r="EB261" i="15"/>
  <c r="EC261" i="15" s="1"/>
  <c r="EB265" i="15"/>
  <c r="EC265" i="15" s="1"/>
  <c r="EB272" i="15"/>
  <c r="EC272" i="15" s="1"/>
  <c r="EB276" i="15"/>
  <c r="EC276" i="15" s="1"/>
  <c r="EB280" i="15"/>
  <c r="EC280" i="15" s="1"/>
  <c r="EB284" i="15"/>
  <c r="EC284" i="15" s="1"/>
  <c r="EB288" i="15"/>
  <c r="EC288" i="15" s="1"/>
  <c r="EB292" i="15"/>
  <c r="EC292" i="15" s="1"/>
  <c r="EB296" i="15"/>
  <c r="EC296" i="15" s="1"/>
  <c r="EB300" i="15"/>
  <c r="EC300" i="15" s="1"/>
  <c r="EB303" i="15"/>
  <c r="EC303" i="15" s="1"/>
  <c r="EB307" i="15"/>
  <c r="EC307" i="15" s="1"/>
  <c r="EB311" i="15"/>
  <c r="EC311" i="15" s="1"/>
  <c r="EB315" i="15"/>
  <c r="EC315" i="15" s="1"/>
  <c r="EB319" i="15"/>
  <c r="EC319" i="15" s="1"/>
  <c r="EB323" i="15"/>
  <c r="EC323" i="15" s="1"/>
  <c r="EB326" i="15"/>
  <c r="EC326" i="15" s="1"/>
  <c r="EB330" i="15"/>
  <c r="EC330" i="15" s="1"/>
  <c r="EB334" i="15"/>
  <c r="EC334" i="15" s="1"/>
  <c r="EB338" i="15"/>
  <c r="EC338" i="15" s="1"/>
  <c r="EB342" i="15"/>
  <c r="EC342" i="15" s="1"/>
  <c r="EB346" i="15"/>
  <c r="EC346" i="15" s="1"/>
  <c r="EB350" i="15"/>
  <c r="EC350" i="15" s="1"/>
  <c r="EB354" i="15"/>
  <c r="EC354" i="15" s="1"/>
  <c r="EB358" i="15"/>
  <c r="EC358" i="15" s="1"/>
  <c r="EB362" i="15"/>
  <c r="EC362" i="15" s="1"/>
  <c r="EB366" i="15"/>
  <c r="EC366" i="15" s="1"/>
  <c r="EB370" i="15"/>
  <c r="EC370" i="15" s="1"/>
  <c r="ED370" i="15" s="1"/>
  <c r="EB373" i="15"/>
  <c r="EC373" i="15" s="1"/>
  <c r="EB377" i="15"/>
  <c r="EC377" i="15" s="1"/>
  <c r="EB381" i="15"/>
  <c r="EC381" i="15" s="1"/>
  <c r="EB385" i="15"/>
  <c r="EC385" i="15" s="1"/>
  <c r="EB389" i="15"/>
  <c r="EC389" i="15" s="1"/>
  <c r="EB393" i="15"/>
  <c r="EC393" i="15" s="1"/>
  <c r="EB397" i="15"/>
  <c r="EC397" i="15" s="1"/>
  <c r="EB401" i="15"/>
  <c r="EC401" i="15" s="1"/>
  <c r="EB405" i="15"/>
  <c r="EC405" i="15" s="1"/>
  <c r="EB408" i="15"/>
  <c r="EC408" i="15" s="1"/>
  <c r="EB412" i="15"/>
  <c r="EC412" i="15" s="1"/>
  <c r="EB416" i="15"/>
  <c r="EC416" i="15" s="1"/>
  <c r="EB420" i="15"/>
  <c r="EC420" i="15" s="1"/>
  <c r="EB424" i="15"/>
  <c r="EC424" i="15" s="1"/>
  <c r="EB428" i="15"/>
  <c r="EC428" i="15" s="1"/>
  <c r="EB431" i="15"/>
  <c r="EC431" i="15" s="1"/>
  <c r="EB435" i="15"/>
  <c r="EC435" i="15" s="1"/>
  <c r="EB439" i="15"/>
  <c r="EC439" i="15" s="1"/>
  <c r="EB443" i="15"/>
  <c r="EC443" i="15" s="1"/>
  <c r="EB447" i="15"/>
  <c r="EC447" i="15" s="1"/>
  <c r="EB451" i="15"/>
  <c r="EC451" i="15" s="1"/>
  <c r="EB455" i="15"/>
  <c r="EC455" i="15" s="1"/>
  <c r="EB458" i="15"/>
  <c r="EC458" i="15" s="1"/>
  <c r="EB462" i="15"/>
  <c r="EC462" i="15" s="1"/>
  <c r="EB466" i="15"/>
  <c r="EC466" i="15" s="1"/>
  <c r="EB473" i="15"/>
  <c r="EC473" i="15" s="1"/>
  <c r="EB477" i="15"/>
  <c r="EC477" i="15" s="1"/>
  <c r="EB481" i="15"/>
  <c r="EC481" i="15" s="1"/>
  <c r="EB485" i="15"/>
  <c r="EC485" i="15" s="1"/>
  <c r="EB489" i="15"/>
  <c r="EC489" i="15" s="1"/>
  <c r="EB492" i="15"/>
  <c r="EC492" i="15" s="1"/>
  <c r="EB496" i="15"/>
  <c r="EC496" i="15" s="1"/>
  <c r="EB500" i="15"/>
  <c r="EC500" i="15" s="1"/>
  <c r="EB504" i="15"/>
  <c r="EC504" i="15" s="1"/>
  <c r="EB508" i="15"/>
  <c r="EC508" i="15" s="1"/>
  <c r="EB512" i="15"/>
  <c r="EC512" i="15" s="1"/>
  <c r="EB515" i="15"/>
  <c r="EC515" i="15" s="1"/>
  <c r="EB519" i="15"/>
  <c r="EC519" i="15" s="1"/>
  <c r="EB523" i="15"/>
  <c r="EC523" i="15" s="1"/>
  <c r="EB527" i="15"/>
  <c r="EC527" i="15" s="1"/>
  <c r="EB530" i="15"/>
  <c r="EC530" i="15" s="1"/>
  <c r="EB534" i="15"/>
  <c r="EC534" i="15" s="1"/>
  <c r="EB538" i="15"/>
  <c r="EC538" i="15" s="1"/>
  <c r="EB542" i="15"/>
  <c r="EC542" i="15" s="1"/>
  <c r="EB546" i="15"/>
  <c r="EC546" i="15" s="1"/>
  <c r="EB549" i="15"/>
  <c r="EC549" i="15" s="1"/>
  <c r="EB553" i="15"/>
  <c r="EC553" i="15" s="1"/>
  <c r="EB557" i="15"/>
  <c r="EC557" i="15" s="1"/>
  <c r="EB561" i="15"/>
  <c r="EC561" i="15" s="1"/>
  <c r="EB565" i="15"/>
  <c r="EC565" i="15" s="1"/>
  <c r="EB569" i="15"/>
  <c r="EC569" i="15" s="1"/>
  <c r="EB574" i="15"/>
  <c r="EC574" i="15" s="1"/>
  <c r="EB577" i="15"/>
  <c r="EC577" i="15" s="1"/>
  <c r="EB580" i="15"/>
  <c r="EC580" i="15" s="1"/>
  <c r="EB584" i="15"/>
  <c r="EC584" i="15" s="1"/>
  <c r="EB588" i="15"/>
  <c r="EC588" i="15" s="1"/>
  <c r="EB592" i="15"/>
  <c r="EC592" i="15" s="1"/>
  <c r="EB596" i="15"/>
  <c r="EC596" i="15" s="1"/>
  <c r="EB600" i="15"/>
  <c r="EC600" i="15" s="1"/>
  <c r="EB604" i="15"/>
  <c r="EC604" i="15" s="1"/>
  <c r="EB608" i="15"/>
  <c r="EC608" i="15" s="1"/>
  <c r="EB615" i="15"/>
  <c r="EC615" i="15" s="1"/>
  <c r="EB619" i="15"/>
  <c r="EC619" i="15" s="1"/>
  <c r="EB622" i="15"/>
  <c r="EC622" i="15" s="1"/>
  <c r="EB626" i="15"/>
  <c r="EC626" i="15" s="1"/>
  <c r="EB630" i="15"/>
  <c r="EC630" i="15" s="1"/>
  <c r="EB634" i="15"/>
  <c r="EC634" i="15" s="1"/>
  <c r="EB638" i="15"/>
  <c r="EC638" i="15" s="1"/>
  <c r="EB645" i="15"/>
  <c r="EC645" i="15" s="1"/>
  <c r="EB649" i="15"/>
  <c r="EC649" i="15" s="1"/>
  <c r="EB653" i="15"/>
  <c r="EC653" i="15" s="1"/>
  <c r="EB657" i="15"/>
  <c r="EC657" i="15" s="1"/>
  <c r="EB661" i="15"/>
  <c r="EC661" i="15" s="1"/>
  <c r="EB665" i="15"/>
  <c r="EC665" i="15" s="1"/>
  <c r="EB672" i="15"/>
  <c r="EC672" i="15" s="1"/>
  <c r="EB676" i="15"/>
  <c r="EC676" i="15" s="1"/>
  <c r="EB680" i="15"/>
  <c r="EC680" i="15" s="1"/>
  <c r="EB684" i="15"/>
  <c r="EC684" i="15" s="1"/>
  <c r="EB688" i="15"/>
  <c r="EC688" i="15" s="1"/>
  <c r="EB691" i="15"/>
  <c r="EC691" i="15" s="1"/>
  <c r="EB695" i="15"/>
  <c r="EC695" i="15" s="1"/>
  <c r="EB699" i="15"/>
  <c r="EC699" i="15" s="1"/>
  <c r="EB703" i="15"/>
  <c r="EC703" i="15" s="1"/>
  <c r="EB707" i="15"/>
  <c r="EC707" i="15" s="1"/>
  <c r="EB711" i="15"/>
  <c r="EC711" i="15" s="1"/>
  <c r="EB718" i="15"/>
  <c r="EC718" i="15" s="1"/>
  <c r="EB722" i="15"/>
  <c r="EC722" i="15" s="1"/>
  <c r="EB726" i="15"/>
  <c r="EC726" i="15" s="1"/>
  <c r="EB730" i="15"/>
  <c r="EC730" i="15" s="1"/>
  <c r="EB733" i="15"/>
  <c r="EC733" i="15" s="1"/>
  <c r="EB737" i="15"/>
  <c r="EC737" i="15" s="1"/>
  <c r="EB741" i="15"/>
  <c r="EC741" i="15" s="1"/>
  <c r="EB745" i="15"/>
  <c r="EC745" i="15" s="1"/>
  <c r="EB749" i="15"/>
  <c r="EC749" i="15" s="1"/>
  <c r="EB756" i="15"/>
  <c r="EC756" i="15" s="1"/>
  <c r="EB758" i="15"/>
  <c r="EC758" i="15" s="1"/>
  <c r="EB762" i="15"/>
  <c r="EC762" i="15" s="1"/>
  <c r="EB766" i="15"/>
  <c r="EC766" i="15" s="1"/>
  <c r="EB770" i="15"/>
  <c r="EC770" i="15" s="1"/>
  <c r="EB776" i="15"/>
  <c r="EC776" i="15" s="1"/>
  <c r="EB779" i="15"/>
  <c r="EC779" i="15" s="1"/>
  <c r="EB783" i="15"/>
  <c r="EC783" i="15" s="1"/>
  <c r="EB787" i="15"/>
  <c r="EC787" i="15" s="1"/>
  <c r="EB791" i="15"/>
  <c r="EC791" i="15" s="1"/>
  <c r="EB798" i="15"/>
  <c r="EC798" i="15" s="1"/>
  <c r="EB802" i="15"/>
  <c r="EC802" i="15" s="1"/>
  <c r="EB806" i="15"/>
  <c r="EC806" i="15" s="1"/>
  <c r="EB810" i="15"/>
  <c r="EC810" i="15" s="1"/>
  <c r="EB814" i="15"/>
  <c r="EC814" i="15" s="1"/>
  <c r="EB818" i="15"/>
  <c r="EC818" i="15" s="1"/>
  <c r="EB822" i="15"/>
  <c r="EC822" i="15" s="1"/>
  <c r="EB826" i="15"/>
  <c r="EC826" i="15" s="1"/>
  <c r="EB829" i="15"/>
  <c r="EC829" i="15" s="1"/>
  <c r="EB833" i="15"/>
  <c r="EC833" i="15" s="1"/>
  <c r="EB837" i="15"/>
  <c r="EC837" i="15" s="1"/>
  <c r="EB841" i="15"/>
  <c r="EC841" i="15" s="1"/>
  <c r="EB845" i="15"/>
  <c r="EC845" i="15" s="1"/>
  <c r="EB849" i="15"/>
  <c r="EC849" i="15" s="1"/>
  <c r="EB853" i="15"/>
  <c r="EC853" i="15" s="1"/>
  <c r="EB857" i="15"/>
  <c r="EC857" i="15" s="1"/>
  <c r="EB861" i="15"/>
  <c r="EC861" i="15" s="1"/>
  <c r="EE8" i="15"/>
  <c r="EF8" i="15" s="1"/>
  <c r="EE12" i="15"/>
  <c r="EF12" i="15" s="1"/>
  <c r="EE16" i="15"/>
  <c r="EF16" i="15" s="1"/>
  <c r="EE20" i="15"/>
  <c r="EF20" i="15" s="1"/>
  <c r="EE24" i="15"/>
  <c r="EF24" i="15" s="1"/>
  <c r="EE28" i="15"/>
  <c r="EF28" i="15" s="1"/>
  <c r="EE32" i="15"/>
  <c r="EF32" i="15" s="1"/>
  <c r="EE35" i="15"/>
  <c r="EF35" i="15" s="1"/>
  <c r="EE39" i="15"/>
  <c r="EF39" i="15" s="1"/>
  <c r="EE46" i="15"/>
  <c r="EF46" i="15" s="1"/>
  <c r="EE50" i="15"/>
  <c r="EF50" i="15" s="1"/>
  <c r="EE54" i="15"/>
  <c r="EF54" i="15" s="1"/>
  <c r="EE58" i="15"/>
  <c r="EF58" i="15" s="1"/>
  <c r="EE62" i="15"/>
  <c r="EF62" i="15" s="1"/>
  <c r="EE69" i="15"/>
  <c r="EF69" i="15" s="1"/>
  <c r="EE73" i="15"/>
  <c r="EF73" i="15" s="1"/>
  <c r="EE77" i="15"/>
  <c r="EF77" i="15" s="1"/>
  <c r="EE81" i="15"/>
  <c r="EF81" i="15" s="1"/>
  <c r="EE84" i="15"/>
  <c r="EF84" i="15" s="1"/>
  <c r="EE88" i="15"/>
  <c r="EF88" i="15" s="1"/>
  <c r="EE93" i="15"/>
  <c r="EF93" i="15" s="1"/>
  <c r="EE96" i="15"/>
  <c r="EF96" i="15" s="1"/>
  <c r="EE99" i="15"/>
  <c r="EF99" i="15" s="1"/>
  <c r="EE103" i="15"/>
  <c r="EF103" i="15" s="1"/>
  <c r="EE107" i="15"/>
  <c r="EF107" i="15" s="1"/>
  <c r="EE111" i="15"/>
  <c r="EF111" i="15" s="1"/>
  <c r="EE115" i="15"/>
  <c r="EF115" i="15" s="1"/>
  <c r="EE119" i="15"/>
  <c r="EF119" i="15" s="1"/>
  <c r="EE123" i="15"/>
  <c r="EF123" i="15" s="1"/>
  <c r="EE126" i="15"/>
  <c r="EF126" i="15" s="1"/>
  <c r="EE130" i="15"/>
  <c r="EF130" i="15" s="1"/>
  <c r="EE134" i="15"/>
  <c r="EF134" i="15" s="1"/>
  <c r="EE138" i="15"/>
  <c r="EF138" i="15" s="1"/>
  <c r="EE142" i="15"/>
  <c r="EF142" i="15" s="1"/>
  <c r="EE149" i="15"/>
  <c r="EF149" i="15" s="1"/>
  <c r="EE153" i="15"/>
  <c r="EF153" i="15" s="1"/>
  <c r="EE157" i="15"/>
  <c r="EF157" i="15" s="1"/>
  <c r="EE161" i="15"/>
  <c r="EF161" i="15" s="1"/>
  <c r="EE165" i="15"/>
  <c r="EF165" i="15" s="1"/>
  <c r="EE172" i="15"/>
  <c r="EF172" i="15" s="1"/>
  <c r="EE176" i="15"/>
  <c r="EF176" i="15" s="1"/>
  <c r="EE180" i="15"/>
  <c r="EF180" i="15" s="1"/>
  <c r="EE184" i="15"/>
  <c r="EF184" i="15" s="1"/>
  <c r="EE188" i="15"/>
  <c r="EF188" i="15" s="1"/>
  <c r="EE191" i="15"/>
  <c r="EF191" i="15" s="1"/>
  <c r="EE195" i="15"/>
  <c r="EF195" i="15" s="1"/>
  <c r="EE199" i="15"/>
  <c r="EF199" i="15" s="1"/>
  <c r="EE203" i="15"/>
  <c r="EF203" i="15" s="1"/>
  <c r="EE207" i="15"/>
  <c r="EF207" i="15" s="1"/>
  <c r="EE211" i="15"/>
  <c r="EF211" i="15" s="1"/>
  <c r="EE215" i="15"/>
  <c r="EF215" i="15" s="1"/>
  <c r="EE219" i="15"/>
  <c r="EF219" i="15" s="1"/>
  <c r="EE222" i="15"/>
  <c r="EF222" i="15" s="1"/>
  <c r="EE226" i="15"/>
  <c r="EF226" i="15" s="1"/>
  <c r="EE230" i="15"/>
  <c r="EF230" i="15" s="1"/>
  <c r="EE233" i="15"/>
  <c r="EF233" i="15" s="1"/>
  <c r="EE237" i="15"/>
  <c r="EF237" i="15" s="1"/>
  <c r="EE241" i="15"/>
  <c r="EF241" i="15" s="1"/>
  <c r="EE245" i="15"/>
  <c r="EF245" i="15" s="1"/>
  <c r="EE249" i="15"/>
  <c r="EF249" i="15" s="1"/>
  <c r="EE252" i="15"/>
  <c r="EF252" i="15" s="1"/>
  <c r="EE256" i="15"/>
  <c r="EF256" i="15" s="1"/>
  <c r="EE260" i="15"/>
  <c r="EF260" i="15" s="1"/>
  <c r="EE264" i="15"/>
  <c r="EF264" i="15" s="1"/>
  <c r="EE268" i="15"/>
  <c r="EF268" i="15" s="1"/>
  <c r="EE274" i="15"/>
  <c r="EF274" i="15" s="1"/>
  <c r="EE279" i="15"/>
  <c r="EF279" i="15" s="1"/>
  <c r="EE283" i="15"/>
  <c r="EF283" i="15" s="1"/>
  <c r="EE287" i="15"/>
  <c r="EF287" i="15" s="1"/>
  <c r="EE291" i="15"/>
  <c r="EF291" i="15" s="1"/>
  <c r="EE295" i="15"/>
  <c r="EF295" i="15" s="1"/>
  <c r="EE299" i="15"/>
  <c r="EF299" i="15" s="1"/>
  <c r="EE302" i="15"/>
  <c r="EF302" i="15" s="1"/>
  <c r="EE306" i="15"/>
  <c r="EF306" i="15" s="1"/>
  <c r="EE310" i="15"/>
  <c r="EF310" i="15" s="1"/>
  <c r="EE314" i="15"/>
  <c r="EF314" i="15" s="1"/>
  <c r="EE318" i="15"/>
  <c r="EF318" i="15" s="1"/>
  <c r="EE322" i="15"/>
  <c r="EF322" i="15" s="1"/>
  <c r="EE329" i="15"/>
  <c r="EF329" i="15" s="1"/>
  <c r="EE333" i="15"/>
  <c r="EF333" i="15" s="1"/>
  <c r="EE337" i="15"/>
  <c r="EF337" i="15" s="1"/>
  <c r="EE341" i="15"/>
  <c r="EF341" i="15" s="1"/>
  <c r="EE345" i="15"/>
  <c r="EF345" i="15" s="1"/>
  <c r="EE349" i="15"/>
  <c r="EF349" i="15" s="1"/>
  <c r="EE353" i="15"/>
  <c r="EF353" i="15" s="1"/>
  <c r="EE357" i="15"/>
  <c r="EF357" i="15" s="1"/>
  <c r="EE361" i="15"/>
  <c r="EF361" i="15" s="1"/>
  <c r="EE365" i="15"/>
  <c r="EF365" i="15" s="1"/>
  <c r="EE369" i="15"/>
  <c r="EF369" i="15" s="1"/>
  <c r="EE372" i="15"/>
  <c r="EF372" i="15" s="1"/>
  <c r="EE376" i="15"/>
  <c r="EF376" i="15" s="1"/>
  <c r="EE380" i="15"/>
  <c r="EF380" i="15" s="1"/>
  <c r="EE384" i="15"/>
  <c r="EF384" i="15" s="1"/>
  <c r="EE388" i="15"/>
  <c r="EF388" i="15" s="1"/>
  <c r="EE392" i="15"/>
  <c r="EF392" i="15" s="1"/>
  <c r="EE396" i="15"/>
  <c r="EF396" i="15" s="1"/>
  <c r="EE400" i="15"/>
  <c r="EF400" i="15" s="1"/>
  <c r="EE404" i="15"/>
  <c r="EF404" i="15" s="1"/>
  <c r="EE411" i="15"/>
  <c r="EF411" i="15" s="1"/>
  <c r="EE415" i="15"/>
  <c r="EF415" i="15" s="1"/>
  <c r="EE419" i="15"/>
  <c r="EF419" i="15" s="1"/>
  <c r="EE423" i="15"/>
  <c r="EF423" i="15" s="1"/>
  <c r="EE427" i="15"/>
  <c r="EF427" i="15" s="1"/>
  <c r="EE434" i="15"/>
  <c r="EF434" i="15" s="1"/>
  <c r="EE438" i="15"/>
  <c r="EF438" i="15" s="1"/>
  <c r="EE442" i="15"/>
  <c r="EF442" i="15" s="1"/>
  <c r="EE446" i="15"/>
  <c r="EF446" i="15" s="1"/>
  <c r="EE450" i="15"/>
  <c r="EF450" i="15" s="1"/>
  <c r="EE454" i="15"/>
  <c r="EF454" i="15" s="1"/>
  <c r="EE457" i="15"/>
  <c r="EF457" i="15" s="1"/>
  <c r="EE461" i="15"/>
  <c r="EF461" i="15" s="1"/>
  <c r="EE465" i="15"/>
  <c r="EF465" i="15" s="1"/>
  <c r="EE469" i="15"/>
  <c r="EF469" i="15" s="1"/>
  <c r="EE476" i="15"/>
  <c r="EF476" i="15" s="1"/>
  <c r="EE480" i="15"/>
  <c r="EF480" i="15" s="1"/>
  <c r="EE484" i="15"/>
  <c r="EF484" i="15" s="1"/>
  <c r="EE488" i="15"/>
  <c r="EF488" i="15" s="1"/>
  <c r="EE495" i="15"/>
  <c r="EF495" i="15" s="1"/>
  <c r="EE499" i="15"/>
  <c r="EF499" i="15" s="1"/>
  <c r="EE503" i="15"/>
  <c r="EF503" i="15" s="1"/>
  <c r="EE507" i="15"/>
  <c r="EF507" i="15" s="1"/>
  <c r="EE511" i="15"/>
  <c r="EF511" i="15" s="1"/>
  <c r="EE518" i="15"/>
  <c r="EF518" i="15" s="1"/>
  <c r="EE522" i="15"/>
  <c r="EF522" i="15" s="1"/>
  <c r="EE526" i="15"/>
  <c r="EF526" i="15" s="1"/>
  <c r="EE533" i="15"/>
  <c r="EF533" i="15" s="1"/>
  <c r="EE537" i="15"/>
  <c r="EF537" i="15" s="1"/>
  <c r="EE541" i="15"/>
  <c r="EF541" i="15" s="1"/>
  <c r="EE545" i="15"/>
  <c r="EF545" i="15" s="1"/>
  <c r="EE552" i="15"/>
  <c r="EF552" i="15" s="1"/>
  <c r="EE556" i="15"/>
  <c r="EF556" i="15" s="1"/>
  <c r="EE560" i="15"/>
  <c r="EF560" i="15" s="1"/>
  <c r="EE564" i="15"/>
  <c r="EF564" i="15" s="1"/>
  <c r="EE568" i="15"/>
  <c r="EF568" i="15" s="1"/>
  <c r="EE573" i="15"/>
  <c r="EF573" i="15" s="1"/>
  <c r="EE579" i="15"/>
  <c r="EF579" i="15" s="1"/>
  <c r="EE583" i="15"/>
  <c r="EF583" i="15" s="1"/>
  <c r="EE587" i="15"/>
  <c r="EF587" i="15" s="1"/>
  <c r="EE591" i="15"/>
  <c r="EF591" i="15" s="1"/>
  <c r="EE595" i="15"/>
  <c r="EF595" i="15" s="1"/>
  <c r="EE599" i="15"/>
  <c r="EF599" i="15" s="1"/>
  <c r="EE603" i="15"/>
  <c r="EF603" i="15" s="1"/>
  <c r="EE607" i="15"/>
  <c r="EF607" i="15" s="1"/>
  <c r="EE611" i="15"/>
  <c r="EF611" i="15" s="1"/>
  <c r="EE614" i="15"/>
  <c r="EF614" i="15" s="1"/>
  <c r="EE618" i="15"/>
  <c r="EF618" i="15" s="1"/>
  <c r="EE625" i="15"/>
  <c r="EF625" i="15" s="1"/>
  <c r="EE629" i="15"/>
  <c r="EF629" i="15" s="1"/>
  <c r="EE633" i="15"/>
  <c r="EF633" i="15" s="1"/>
  <c r="EE637" i="15"/>
  <c r="EF637" i="15" s="1"/>
  <c r="EE641" i="15"/>
  <c r="EF641" i="15" s="1"/>
  <c r="EE644" i="15"/>
  <c r="EF644" i="15" s="1"/>
  <c r="EE648" i="15"/>
  <c r="EF648" i="15" s="1"/>
  <c r="EE652" i="15"/>
  <c r="EF652" i="15" s="1"/>
  <c r="EE656" i="15"/>
  <c r="EF656" i="15" s="1"/>
  <c r="EE660" i="15"/>
  <c r="EF660" i="15" s="1"/>
  <c r="EE664" i="15"/>
  <c r="EF664" i="15" s="1"/>
  <c r="EE668" i="15"/>
  <c r="EF668" i="15" s="1"/>
  <c r="EE671" i="15"/>
  <c r="EF671" i="15" s="1"/>
  <c r="EE675" i="15"/>
  <c r="EF675" i="15" s="1"/>
  <c r="EE679" i="15"/>
  <c r="EF679" i="15" s="1"/>
  <c r="EE683" i="15"/>
  <c r="EF683" i="15" s="1"/>
  <c r="EE690" i="15"/>
  <c r="EF690" i="15" s="1"/>
  <c r="EE694" i="15"/>
  <c r="EF694" i="15" s="1"/>
  <c r="EE698" i="15"/>
  <c r="EF698" i="15" s="1"/>
  <c r="EE702" i="15"/>
  <c r="EF702" i="15" s="1"/>
  <c r="EE706" i="15"/>
  <c r="EF706" i="15" s="1"/>
  <c r="EE710" i="15"/>
  <c r="EF710" i="15" s="1"/>
  <c r="EE714" i="15"/>
  <c r="EF714" i="15" s="1"/>
  <c r="EE717" i="15"/>
  <c r="EF717" i="15" s="1"/>
  <c r="EE721" i="15"/>
  <c r="EF721" i="15" s="1"/>
  <c r="EE725" i="15"/>
  <c r="EF725" i="15" s="1"/>
  <c r="EE729" i="15"/>
  <c r="EF729" i="15" s="1"/>
  <c r="EE736" i="15"/>
  <c r="EF736" i="15" s="1"/>
  <c r="EE740" i="15"/>
  <c r="EF740" i="15" s="1"/>
  <c r="EE744" i="15"/>
  <c r="EF744" i="15" s="1"/>
  <c r="EE748" i="15"/>
  <c r="EF748" i="15" s="1"/>
  <c r="EE752" i="15"/>
  <c r="EF752" i="15" s="1"/>
  <c r="EE755" i="15"/>
  <c r="EF755" i="15" s="1"/>
  <c r="EE774" i="15"/>
  <c r="EF774" i="15" s="1"/>
  <c r="EE761" i="15"/>
  <c r="EF761" i="15" s="1"/>
  <c r="EE765" i="15"/>
  <c r="EF765" i="15" s="1"/>
  <c r="EE769" i="15"/>
  <c r="EF769" i="15" s="1"/>
  <c r="EE778" i="15"/>
  <c r="EF778" i="15" s="1"/>
  <c r="EE782" i="15"/>
  <c r="EF782" i="15" s="1"/>
  <c r="EE786" i="15"/>
  <c r="EF786" i="15" s="1"/>
  <c r="EE790" i="15"/>
  <c r="EF790" i="15" s="1"/>
  <c r="EE794" i="15"/>
  <c r="EF794" i="15" s="1"/>
  <c r="EE797" i="15"/>
  <c r="EF797" i="15" s="1"/>
  <c r="EE801" i="15"/>
  <c r="EF801" i="15" s="1"/>
  <c r="EE805" i="15"/>
  <c r="EF805" i="15" s="1"/>
  <c r="EE809" i="15"/>
  <c r="EF809" i="15" s="1"/>
  <c r="EE813" i="15"/>
  <c r="EF813" i="15" s="1"/>
  <c r="EE817" i="15"/>
  <c r="EF817" i="15" s="1"/>
  <c r="EE821" i="15"/>
  <c r="EF821" i="15" s="1"/>
  <c r="EE825" i="15"/>
  <c r="EF825" i="15" s="1"/>
  <c r="EE832" i="15"/>
  <c r="EF832" i="15" s="1"/>
  <c r="EE836" i="15"/>
  <c r="EF836" i="15" s="1"/>
  <c r="EE840" i="15"/>
  <c r="EF840" i="15" s="1"/>
  <c r="EE844" i="15"/>
  <c r="EF844" i="15" s="1"/>
  <c r="EE848" i="15"/>
  <c r="EF848" i="15" s="1"/>
  <c r="EE852" i="15"/>
  <c r="EF852" i="15" s="1"/>
  <c r="EE856" i="15"/>
  <c r="EF856" i="15" s="1"/>
  <c r="EE860" i="15"/>
  <c r="EF860" i="15" s="1"/>
  <c r="EE6" i="15"/>
  <c r="EF6" i="15" s="1"/>
  <c r="EE10" i="15"/>
  <c r="EF10" i="15" s="1"/>
  <c r="EE14" i="15"/>
  <c r="EF14" i="15" s="1"/>
  <c r="EE18" i="15"/>
  <c r="EF18" i="15" s="1"/>
  <c r="EE22" i="15"/>
  <c r="EF22" i="15" s="1"/>
  <c r="EE26" i="15"/>
  <c r="EF26" i="15" s="1"/>
  <c r="EE30" i="15"/>
  <c r="EF30" i="15" s="1"/>
  <c r="EE34" i="15"/>
  <c r="EF34" i="15" s="1"/>
  <c r="EE37" i="15"/>
  <c r="EF37" i="15" s="1"/>
  <c r="EE44" i="15"/>
  <c r="EF44" i="15" s="1"/>
  <c r="EE48" i="15"/>
  <c r="EF48" i="15" s="1"/>
  <c r="EE52" i="15"/>
  <c r="EF52" i="15" s="1"/>
  <c r="EE56" i="15"/>
  <c r="EF56" i="15" s="1"/>
  <c r="EE60" i="15"/>
  <c r="EF60" i="15" s="1"/>
  <c r="EE67" i="15"/>
  <c r="EF67" i="15" s="1"/>
  <c r="EE71" i="15"/>
  <c r="EF71" i="15" s="1"/>
  <c r="EE75" i="15"/>
  <c r="EF75" i="15" s="1"/>
  <c r="EE79" i="15"/>
  <c r="EF79" i="15" s="1"/>
  <c r="EE83" i="15"/>
  <c r="EF83" i="15" s="1"/>
  <c r="EE86" i="15"/>
  <c r="EF86" i="15" s="1"/>
  <c r="EE90" i="15"/>
  <c r="EF90" i="15" s="1"/>
  <c r="EE94" i="15"/>
  <c r="EF94" i="15" s="1"/>
  <c r="EE98" i="15"/>
  <c r="EF98" i="15" s="1"/>
  <c r="EE101" i="15"/>
  <c r="EF101" i="15" s="1"/>
  <c r="EE105" i="15"/>
  <c r="EF105" i="15" s="1"/>
  <c r="EE109" i="15"/>
  <c r="EF109" i="15" s="1"/>
  <c r="EE113" i="15"/>
  <c r="EF113" i="15" s="1"/>
  <c r="EE117" i="15"/>
  <c r="EF117" i="15" s="1"/>
  <c r="EE121" i="15"/>
  <c r="EF121" i="15" s="1"/>
  <c r="EE125" i="15"/>
  <c r="EF125" i="15" s="1"/>
  <c r="EE128" i="15"/>
  <c r="EF128" i="15" s="1"/>
  <c r="EE132" i="15"/>
  <c r="EF132" i="15" s="1"/>
  <c r="EE136" i="15"/>
  <c r="EF136" i="15" s="1"/>
  <c r="EE140" i="15"/>
  <c r="EF140" i="15" s="1"/>
  <c r="EE144" i="15"/>
  <c r="EF144" i="15" s="1"/>
  <c r="EE147" i="15"/>
  <c r="EF147" i="15" s="1"/>
  <c r="EE151" i="15"/>
  <c r="EF151" i="15" s="1"/>
  <c r="EE155" i="15"/>
  <c r="EF155" i="15" s="1"/>
  <c r="EE159" i="15"/>
  <c r="EF159" i="15" s="1"/>
  <c r="EE163" i="15"/>
  <c r="EF163" i="15" s="1"/>
  <c r="EE167" i="15"/>
  <c r="EF167" i="15" s="1"/>
  <c r="EE170" i="15"/>
  <c r="EF170" i="15" s="1"/>
  <c r="EE174" i="15"/>
  <c r="EF174" i="15" s="1"/>
  <c r="EE178" i="15"/>
  <c r="EF178" i="15" s="1"/>
  <c r="EE182" i="15"/>
  <c r="EF182" i="15" s="1"/>
  <c r="EE186" i="15"/>
  <c r="EF186" i="15" s="1"/>
  <c r="EE190" i="15"/>
  <c r="EF190" i="15" s="1"/>
  <c r="EE193" i="15"/>
  <c r="EF193" i="15" s="1"/>
  <c r="EE197" i="15"/>
  <c r="EF197" i="15" s="1"/>
  <c r="EE201" i="15"/>
  <c r="EF201" i="15" s="1"/>
  <c r="EE205" i="15"/>
  <c r="EF205" i="15" s="1"/>
  <c r="EE209" i="15"/>
  <c r="EF209" i="15" s="1"/>
  <c r="EE213" i="15"/>
  <c r="EF213" i="15" s="1"/>
  <c r="EE217" i="15"/>
  <c r="EF217" i="15" s="1"/>
  <c r="EE220" i="15"/>
  <c r="EF220" i="15" s="1"/>
  <c r="EE224" i="15"/>
  <c r="EF224" i="15" s="1"/>
  <c r="EE228" i="15"/>
  <c r="EF228" i="15" s="1"/>
  <c r="EE232" i="15"/>
  <c r="EF232" i="15" s="1"/>
  <c r="EE235" i="15"/>
  <c r="EF235" i="15" s="1"/>
  <c r="EE239" i="15"/>
  <c r="EF239" i="15" s="1"/>
  <c r="EE243" i="15"/>
  <c r="EF243" i="15" s="1"/>
  <c r="EE247" i="15"/>
  <c r="EF247" i="15" s="1"/>
  <c r="EE251" i="15"/>
  <c r="EF251" i="15" s="1"/>
  <c r="EE254" i="15"/>
  <c r="EF254" i="15" s="1"/>
  <c r="EE258" i="15"/>
  <c r="EF258" i="15" s="1"/>
  <c r="EE262" i="15"/>
  <c r="EF262" i="15" s="1"/>
  <c r="EE266" i="15"/>
  <c r="EF266" i="15" s="1"/>
  <c r="EE270" i="15"/>
  <c r="EF270" i="15" s="1"/>
  <c r="EE273" i="15"/>
  <c r="EF273" i="15" s="1"/>
  <c r="EE277" i="15"/>
  <c r="EF277" i="15" s="1"/>
  <c r="EE281" i="15"/>
  <c r="EF281" i="15" s="1"/>
  <c r="EE285" i="15"/>
  <c r="EF285" i="15" s="1"/>
  <c r="EE289" i="15"/>
  <c r="EF289" i="15" s="1"/>
  <c r="EE293" i="15"/>
  <c r="EF293" i="15" s="1"/>
  <c r="EE297" i="15"/>
  <c r="EF297" i="15" s="1"/>
  <c r="EE304" i="15"/>
  <c r="EF304" i="15" s="1"/>
  <c r="EE308" i="15"/>
  <c r="EF308" i="15" s="1"/>
  <c r="EE312" i="15"/>
  <c r="EF312" i="15" s="1"/>
  <c r="EE316" i="15"/>
  <c r="EF316" i="15" s="1"/>
  <c r="EE320" i="15"/>
  <c r="EF320" i="15" s="1"/>
  <c r="EE327" i="15"/>
  <c r="EF327" i="15" s="1"/>
  <c r="EE331" i="15"/>
  <c r="EF331" i="15" s="1"/>
  <c r="EE335" i="15"/>
  <c r="EF335" i="15" s="1"/>
  <c r="EE339" i="15"/>
  <c r="EF339" i="15" s="1"/>
  <c r="EE343" i="15"/>
  <c r="EF343" i="15" s="1"/>
  <c r="EE347" i="15"/>
  <c r="EF347" i="15" s="1"/>
  <c r="EE351" i="15"/>
  <c r="EF351" i="15" s="1"/>
  <c r="EE355" i="15"/>
  <c r="EF355" i="15" s="1"/>
  <c r="EE359" i="15"/>
  <c r="EF359" i="15" s="1"/>
  <c r="EE363" i="15"/>
  <c r="EF363" i="15" s="1"/>
  <c r="EE367" i="15"/>
  <c r="EF367" i="15" s="1"/>
  <c r="EE371" i="15"/>
  <c r="EF371" i="15" s="1"/>
  <c r="EE374" i="15"/>
  <c r="EF374" i="15" s="1"/>
  <c r="EE378" i="15"/>
  <c r="EF378" i="15" s="1"/>
  <c r="EE382" i="15"/>
  <c r="EF382" i="15" s="1"/>
  <c r="EE386" i="15"/>
  <c r="EF386" i="15" s="1"/>
  <c r="EE390" i="15"/>
  <c r="EF390" i="15" s="1"/>
  <c r="EE394" i="15"/>
  <c r="EF394" i="15" s="1"/>
  <c r="EE398" i="15"/>
  <c r="EF398" i="15" s="1"/>
  <c r="EE402" i="15"/>
  <c r="EF402" i="15" s="1"/>
  <c r="EE409" i="15"/>
  <c r="EF409" i="15" s="1"/>
  <c r="EE413" i="15"/>
  <c r="EF413" i="15" s="1"/>
  <c r="EE417" i="15"/>
  <c r="EF417" i="15" s="1"/>
  <c r="EE421" i="15"/>
  <c r="EF421" i="15" s="1"/>
  <c r="EE425" i="15"/>
  <c r="EF425" i="15" s="1"/>
  <c r="EE432" i="15"/>
  <c r="EF432" i="15" s="1"/>
  <c r="EE436" i="15"/>
  <c r="EF436" i="15" s="1"/>
  <c r="EE440" i="15"/>
  <c r="EF440" i="15" s="1"/>
  <c r="EE444" i="15"/>
  <c r="EF444" i="15" s="1"/>
  <c r="EE448" i="15"/>
  <c r="EF448" i="15" s="1"/>
  <c r="EE452" i="15"/>
  <c r="EF452" i="15" s="1"/>
  <c r="EE459" i="15"/>
  <c r="EF459" i="15" s="1"/>
  <c r="EE463" i="15"/>
  <c r="EF463" i="15" s="1"/>
  <c r="EE467" i="15"/>
  <c r="EF467" i="15" s="1"/>
  <c r="EE471" i="15"/>
  <c r="EF471" i="15" s="1"/>
  <c r="EE474" i="15"/>
  <c r="EF474" i="15" s="1"/>
  <c r="EE478" i="15"/>
  <c r="EF478" i="15" s="1"/>
  <c r="EE482" i="15"/>
  <c r="EF482" i="15" s="1"/>
  <c r="EE486" i="15"/>
  <c r="EF486" i="15" s="1"/>
  <c r="EE493" i="15"/>
  <c r="EF493" i="15" s="1"/>
  <c r="EE497" i="15"/>
  <c r="EF497" i="15" s="1"/>
  <c r="EE501" i="15"/>
  <c r="EF501" i="15" s="1"/>
  <c r="EE505" i="15"/>
  <c r="EF505" i="15" s="1"/>
  <c r="EE509" i="15"/>
  <c r="EF509" i="15" s="1"/>
  <c r="EE513" i="15"/>
  <c r="EF513" i="15" s="1"/>
  <c r="EE516" i="15"/>
  <c r="EF516" i="15" s="1"/>
  <c r="EE520" i="15"/>
  <c r="EF520" i="15" s="1"/>
  <c r="EE524" i="15"/>
  <c r="EF524" i="15" s="1"/>
  <c r="EE531" i="15"/>
  <c r="EF531" i="15" s="1"/>
  <c r="EE535" i="15"/>
  <c r="EF535" i="15" s="1"/>
  <c r="EE539" i="15"/>
  <c r="EF539" i="15" s="1"/>
  <c r="EE543" i="15"/>
  <c r="EF543" i="15" s="1"/>
  <c r="EE547" i="15"/>
  <c r="EF547" i="15" s="1"/>
  <c r="EE550" i="15"/>
  <c r="EF550" i="15" s="1"/>
  <c r="EE554" i="15"/>
  <c r="EF554" i="15" s="1"/>
  <c r="EE558" i="15"/>
  <c r="EF558" i="15" s="1"/>
  <c r="EE562" i="15"/>
  <c r="EF562" i="15" s="1"/>
  <c r="EE566" i="15"/>
  <c r="EF566" i="15" s="1"/>
  <c r="EE570" i="15"/>
  <c r="EF570" i="15" s="1"/>
  <c r="EE572" i="15"/>
  <c r="EF572" i="15" s="1"/>
  <c r="EE578" i="15"/>
  <c r="EF578" i="15" s="1"/>
  <c r="EE581" i="15"/>
  <c r="EF581" i="15" s="1"/>
  <c r="EE585" i="15"/>
  <c r="EF585" i="15" s="1"/>
  <c r="EE589" i="15"/>
  <c r="EF589" i="15" s="1"/>
  <c r="EE593" i="15"/>
  <c r="EF593" i="15" s="1"/>
  <c r="EE597" i="15"/>
  <c r="EF597" i="15" s="1"/>
  <c r="EE601" i="15"/>
  <c r="EF601" i="15" s="1"/>
  <c r="EE605" i="15"/>
  <c r="EF605" i="15" s="1"/>
  <c r="EE609" i="15"/>
  <c r="EF609" i="15" s="1"/>
  <c r="EE612" i="15"/>
  <c r="EF612" i="15" s="1"/>
  <c r="EE616" i="15"/>
  <c r="EF616" i="15" s="1"/>
  <c r="EE620" i="15"/>
  <c r="EF620" i="15" s="1"/>
  <c r="EE623" i="15"/>
  <c r="EF623" i="15" s="1"/>
  <c r="EE627" i="15"/>
  <c r="EF627" i="15" s="1"/>
  <c r="EE631" i="15"/>
  <c r="EF631" i="15" s="1"/>
  <c r="EE635" i="15"/>
  <c r="EF635" i="15" s="1"/>
  <c r="EE639" i="15"/>
  <c r="EF639" i="15" s="1"/>
  <c r="EE642" i="15"/>
  <c r="EF642" i="15" s="1"/>
  <c r="EE646" i="15"/>
  <c r="EF646" i="15" s="1"/>
  <c r="EE650" i="15"/>
  <c r="EF650" i="15" s="1"/>
  <c r="EE654" i="15"/>
  <c r="EF654" i="15" s="1"/>
  <c r="EE658" i="15"/>
  <c r="EF658" i="15" s="1"/>
  <c r="EE662" i="15"/>
  <c r="EF662" i="15" s="1"/>
  <c r="EE666" i="15"/>
  <c r="EF666" i="15" s="1"/>
  <c r="EE669" i="15"/>
  <c r="EF669" i="15" s="1"/>
  <c r="EE673" i="15"/>
  <c r="EF673" i="15" s="1"/>
  <c r="EE677" i="15"/>
  <c r="EF677" i="15" s="1"/>
  <c r="EE681" i="15"/>
  <c r="EF681" i="15" s="1"/>
  <c r="EE685" i="15"/>
  <c r="EF685" i="15" s="1"/>
  <c r="EE692" i="15"/>
  <c r="EF692" i="15" s="1"/>
  <c r="EE696" i="15"/>
  <c r="EF696" i="15" s="1"/>
  <c r="EE700" i="15"/>
  <c r="EF700" i="15" s="1"/>
  <c r="EE704" i="15"/>
  <c r="EF704" i="15" s="1"/>
  <c r="EE708" i="15"/>
  <c r="EF708" i="15" s="1"/>
  <c r="EE715" i="15"/>
  <c r="EF715" i="15" s="1"/>
  <c r="EE719" i="15"/>
  <c r="EF719" i="15" s="1"/>
  <c r="EE723" i="15"/>
  <c r="EF723" i="15" s="1"/>
  <c r="EE727" i="15"/>
  <c r="EF727" i="15" s="1"/>
  <c r="EE734" i="15"/>
  <c r="EF734" i="15" s="1"/>
  <c r="EE738" i="15"/>
  <c r="EF738" i="15" s="1"/>
  <c r="EE742" i="15"/>
  <c r="EF742" i="15" s="1"/>
  <c r="EE746" i="15"/>
  <c r="EF746" i="15" s="1"/>
  <c r="EE750" i="15"/>
  <c r="EF750" i="15" s="1"/>
  <c r="EE754" i="15"/>
  <c r="EF754" i="15" s="1"/>
  <c r="EE757" i="15"/>
  <c r="EF757" i="15" s="1"/>
  <c r="EE759" i="15"/>
  <c r="EF759" i="15" s="1"/>
  <c r="EE763" i="15"/>
  <c r="EF763" i="15" s="1"/>
  <c r="EE767" i="15"/>
  <c r="EF767" i="15" s="1"/>
  <c r="EE771" i="15"/>
  <c r="EF771" i="15" s="1"/>
  <c r="EE780" i="15"/>
  <c r="EF780" i="15" s="1"/>
  <c r="EE784" i="15"/>
  <c r="EF784" i="15" s="1"/>
  <c r="EE788" i="15"/>
  <c r="EF788" i="15" s="1"/>
  <c r="EE792" i="15"/>
  <c r="EF792" i="15" s="1"/>
  <c r="EE796" i="15"/>
  <c r="EF796" i="15" s="1"/>
  <c r="EE799" i="15"/>
  <c r="EF799" i="15" s="1"/>
  <c r="EE803" i="15"/>
  <c r="EF803" i="15" s="1"/>
  <c r="EE807" i="15"/>
  <c r="EF807" i="15" s="1"/>
  <c r="EE811" i="15"/>
  <c r="EF811" i="15" s="1"/>
  <c r="EE815" i="15"/>
  <c r="EF815" i="15" s="1"/>
  <c r="EE819" i="15"/>
  <c r="EF819" i="15" s="1"/>
  <c r="EE823" i="15"/>
  <c r="EF823" i="15" s="1"/>
  <c r="EE830" i="15"/>
  <c r="EF830" i="15" s="1"/>
  <c r="EE834" i="15"/>
  <c r="EF834" i="15" s="1"/>
  <c r="EE838" i="15"/>
  <c r="EF838" i="15" s="1"/>
  <c r="EE842" i="15"/>
  <c r="EF842" i="15" s="1"/>
  <c r="EE846" i="15"/>
  <c r="EF846" i="15" s="1"/>
  <c r="EE850" i="15"/>
  <c r="EF850" i="15" s="1"/>
  <c r="EE854" i="15"/>
  <c r="EF854" i="15" s="1"/>
  <c r="EE858" i="15"/>
  <c r="EF858" i="15" s="1"/>
  <c r="EE11" i="15"/>
  <c r="EF11" i="15" s="1"/>
  <c r="EE15" i="15"/>
  <c r="EF15" i="15" s="1"/>
  <c r="EE19" i="15"/>
  <c r="EF19" i="15" s="1"/>
  <c r="EE23" i="15"/>
  <c r="EF23" i="15" s="1"/>
  <c r="EE27" i="15"/>
  <c r="EF27" i="15" s="1"/>
  <c r="EE31" i="15"/>
  <c r="EF31" i="15" s="1"/>
  <c r="EE38" i="15"/>
  <c r="EF38" i="15" s="1"/>
  <c r="EE42" i="15"/>
  <c r="EF42" i="15" s="1"/>
  <c r="EE45" i="15"/>
  <c r="EF45" i="15" s="1"/>
  <c r="EE49" i="15"/>
  <c r="EF49" i="15" s="1"/>
  <c r="EE53" i="15"/>
  <c r="EF53" i="15" s="1"/>
  <c r="EE57" i="15"/>
  <c r="EF57" i="15" s="1"/>
  <c r="EE61" i="15"/>
  <c r="EF61" i="15" s="1"/>
  <c r="EE65" i="15"/>
  <c r="EF65" i="15" s="1"/>
  <c r="EE68" i="15"/>
  <c r="EF68" i="15" s="1"/>
  <c r="EE72" i="15"/>
  <c r="EF72" i="15" s="1"/>
  <c r="EE76" i="15"/>
  <c r="EF76" i="15" s="1"/>
  <c r="EE80" i="15"/>
  <c r="EF80" i="15" s="1"/>
  <c r="EE87" i="15"/>
  <c r="EF87" i="15" s="1"/>
  <c r="EE91" i="15"/>
  <c r="EF91" i="15" s="1"/>
  <c r="EE95" i="15"/>
  <c r="EF95" i="15" s="1"/>
  <c r="EE102" i="15"/>
  <c r="EF102" i="15" s="1"/>
  <c r="EE106" i="15"/>
  <c r="EF106" i="15" s="1"/>
  <c r="EE110" i="15"/>
  <c r="EF110" i="15" s="1"/>
  <c r="EE114" i="15"/>
  <c r="EF114" i="15" s="1"/>
  <c r="EE118" i="15"/>
  <c r="EF118" i="15" s="1"/>
  <c r="EE122" i="15"/>
  <c r="EF122" i="15" s="1"/>
  <c r="EE129" i="15"/>
  <c r="EF129" i="15" s="1"/>
  <c r="EE133" i="15"/>
  <c r="EF133" i="15" s="1"/>
  <c r="EE137" i="15"/>
  <c r="EF137" i="15" s="1"/>
  <c r="EE141" i="15"/>
  <c r="EF141" i="15" s="1"/>
  <c r="EE145" i="15"/>
  <c r="EF145" i="15" s="1"/>
  <c r="EE148" i="15"/>
  <c r="EF148" i="15" s="1"/>
  <c r="EE152" i="15"/>
  <c r="EF152" i="15" s="1"/>
  <c r="EE156" i="15"/>
  <c r="EF156" i="15" s="1"/>
  <c r="EE160" i="15"/>
  <c r="EF160" i="15" s="1"/>
  <c r="EE164" i="15"/>
  <c r="EF164" i="15" s="1"/>
  <c r="EE168" i="15"/>
  <c r="EF168" i="15" s="1"/>
  <c r="EE171" i="15"/>
  <c r="EF171" i="15" s="1"/>
  <c r="EE175" i="15"/>
  <c r="EF175" i="15" s="1"/>
  <c r="EE179" i="15"/>
  <c r="EF179" i="15" s="1"/>
  <c r="EE183" i="15"/>
  <c r="EF183" i="15" s="1"/>
  <c r="EE187" i="15"/>
  <c r="EF187" i="15" s="1"/>
  <c r="EE194" i="15"/>
  <c r="EF194" i="15" s="1"/>
  <c r="EE198" i="15"/>
  <c r="EF198" i="15" s="1"/>
  <c r="EE202" i="15"/>
  <c r="EF202" i="15" s="1"/>
  <c r="EE206" i="15"/>
  <c r="EF206" i="15" s="1"/>
  <c r="EE210" i="15"/>
  <c r="EF210" i="15" s="1"/>
  <c r="EE214" i="15"/>
  <c r="EF214" i="15" s="1"/>
  <c r="EE218" i="15"/>
  <c r="EF218" i="15" s="1"/>
  <c r="EE221" i="15"/>
  <c r="EF221" i="15" s="1"/>
  <c r="EE225" i="15"/>
  <c r="EF225" i="15" s="1"/>
  <c r="EE229" i="15"/>
  <c r="EF229" i="15" s="1"/>
  <c r="EE236" i="15"/>
  <c r="EF236" i="15" s="1"/>
  <c r="EE240" i="15"/>
  <c r="EF240" i="15" s="1"/>
  <c r="EE244" i="15"/>
  <c r="EF244" i="15" s="1"/>
  <c r="EE248" i="15"/>
  <c r="EF248" i="15" s="1"/>
  <c r="EE255" i="15"/>
  <c r="EF255" i="15" s="1"/>
  <c r="EE259" i="15"/>
  <c r="EF259" i="15" s="1"/>
  <c r="EE263" i="15"/>
  <c r="EF263" i="15" s="1"/>
  <c r="EE267" i="15"/>
  <c r="EF267" i="15" s="1"/>
  <c r="EE271" i="15"/>
  <c r="EF271" i="15" s="1"/>
  <c r="EE275" i="15"/>
  <c r="EF275" i="15" s="1"/>
  <c r="EE278" i="15"/>
  <c r="EF278" i="15" s="1"/>
  <c r="EE282" i="15"/>
  <c r="EF282" i="15" s="1"/>
  <c r="EE286" i="15"/>
  <c r="EF286" i="15" s="1"/>
  <c r="EE290" i="15"/>
  <c r="EF290" i="15" s="1"/>
  <c r="EE294" i="15"/>
  <c r="EF294" i="15" s="1"/>
  <c r="EE298" i="15"/>
  <c r="EF298" i="15" s="1"/>
  <c r="EE301" i="15"/>
  <c r="EF301" i="15" s="1"/>
  <c r="EE305" i="15"/>
  <c r="EF305" i="15" s="1"/>
  <c r="EE309" i="15"/>
  <c r="EF309" i="15" s="1"/>
  <c r="EE313" i="15"/>
  <c r="EF313" i="15" s="1"/>
  <c r="EE317" i="15"/>
  <c r="EF317" i="15" s="1"/>
  <c r="EE321" i="15"/>
  <c r="EF321" i="15" s="1"/>
  <c r="EE325" i="15"/>
  <c r="EF325" i="15" s="1"/>
  <c r="EE328" i="15"/>
  <c r="EF328" i="15" s="1"/>
  <c r="EE332" i="15"/>
  <c r="EF332" i="15" s="1"/>
  <c r="EE336" i="15"/>
  <c r="EF336" i="15" s="1"/>
  <c r="EE340" i="15"/>
  <c r="EF340" i="15" s="1"/>
  <c r="EE344" i="15"/>
  <c r="EF344" i="15" s="1"/>
  <c r="EE348" i="15"/>
  <c r="EF348" i="15" s="1"/>
  <c r="EE352" i="15"/>
  <c r="EF352" i="15" s="1"/>
  <c r="EE356" i="15"/>
  <c r="EF356" i="15" s="1"/>
  <c r="EE360" i="15"/>
  <c r="EF360" i="15" s="1"/>
  <c r="EE364" i="15"/>
  <c r="EF364" i="15" s="1"/>
  <c r="EE368" i="15"/>
  <c r="EF368" i="15" s="1"/>
  <c r="EE375" i="15"/>
  <c r="EF375" i="15" s="1"/>
  <c r="EE379" i="15"/>
  <c r="EF379" i="15" s="1"/>
  <c r="EE383" i="15"/>
  <c r="EF383" i="15" s="1"/>
  <c r="EE387" i="15"/>
  <c r="EF387" i="15" s="1"/>
  <c r="EE391" i="15"/>
  <c r="EF391" i="15" s="1"/>
  <c r="EE395" i="15"/>
  <c r="EF395" i="15" s="1"/>
  <c r="EE399" i="15"/>
  <c r="EF399" i="15" s="1"/>
  <c r="EE403" i="15"/>
  <c r="EF403" i="15" s="1"/>
  <c r="EE407" i="15"/>
  <c r="EF407" i="15" s="1"/>
  <c r="EE410" i="15"/>
  <c r="EF410" i="15" s="1"/>
  <c r="EE414" i="15"/>
  <c r="EF414" i="15" s="1"/>
  <c r="EE418" i="15"/>
  <c r="EF418" i="15" s="1"/>
  <c r="EE422" i="15"/>
  <c r="EF422" i="15" s="1"/>
  <c r="EE426" i="15"/>
  <c r="EF426" i="15" s="1"/>
  <c r="EE430" i="15"/>
  <c r="EF430" i="15" s="1"/>
  <c r="EE433" i="15"/>
  <c r="EF433" i="15" s="1"/>
  <c r="EE437" i="15"/>
  <c r="EF437" i="15" s="1"/>
  <c r="EE441" i="15"/>
  <c r="EF441" i="15" s="1"/>
  <c r="EE445" i="15"/>
  <c r="EF445" i="15" s="1"/>
  <c r="EE449" i="15"/>
  <c r="EF449" i="15" s="1"/>
  <c r="EE453" i="15"/>
  <c r="EF453" i="15" s="1"/>
  <c r="EE456" i="15"/>
  <c r="EF456" i="15" s="1"/>
  <c r="EE460" i="15"/>
  <c r="EF460" i="15" s="1"/>
  <c r="EE464" i="15"/>
  <c r="EF464" i="15" s="1"/>
  <c r="EE468" i="15"/>
  <c r="EF468" i="15" s="1"/>
  <c r="EE472" i="15"/>
  <c r="EF472" i="15" s="1"/>
  <c r="EE475" i="15"/>
  <c r="EF475" i="15" s="1"/>
  <c r="EE479" i="15"/>
  <c r="EF479" i="15" s="1"/>
  <c r="EE483" i="15"/>
  <c r="EF483" i="15" s="1"/>
  <c r="EE487" i="15"/>
  <c r="EF487" i="15" s="1"/>
  <c r="EE491" i="15"/>
  <c r="EF491" i="15" s="1"/>
  <c r="EE494" i="15"/>
  <c r="EF494" i="15" s="1"/>
  <c r="EE498" i="15"/>
  <c r="EF498" i="15" s="1"/>
  <c r="EE502" i="15"/>
  <c r="EF502" i="15" s="1"/>
  <c r="EE506" i="15"/>
  <c r="EF506" i="15" s="1"/>
  <c r="EE510" i="15"/>
  <c r="EF510" i="15" s="1"/>
  <c r="EE514" i="15"/>
  <c r="EF514" i="15" s="1"/>
  <c r="EE517" i="15"/>
  <c r="EF517" i="15" s="1"/>
  <c r="EE521" i="15"/>
  <c r="EF521" i="15" s="1"/>
  <c r="EE525" i="15"/>
  <c r="EF525" i="15" s="1"/>
  <c r="EE529" i="15"/>
  <c r="EF529" i="15" s="1"/>
  <c r="EE532" i="15"/>
  <c r="EF532" i="15" s="1"/>
  <c r="EE536" i="15"/>
  <c r="EF536" i="15" s="1"/>
  <c r="EE540" i="15"/>
  <c r="EF540" i="15" s="1"/>
  <c r="EE544" i="15"/>
  <c r="EF544" i="15" s="1"/>
  <c r="EE548" i="15"/>
  <c r="EF548" i="15" s="1"/>
  <c r="EE551" i="15"/>
  <c r="EF551" i="15" s="1"/>
  <c r="EE555" i="15"/>
  <c r="EF555" i="15" s="1"/>
  <c r="EE559" i="15"/>
  <c r="EF559" i="15" s="1"/>
  <c r="EE563" i="15"/>
  <c r="EF563" i="15" s="1"/>
  <c r="EE567" i="15"/>
  <c r="EF567" i="15" s="1"/>
  <c r="EE571" i="15"/>
  <c r="EF571" i="15" s="1"/>
  <c r="EE575" i="15"/>
  <c r="EF575" i="15" s="1"/>
  <c r="EE582" i="15"/>
  <c r="EF582" i="15" s="1"/>
  <c r="EE586" i="15"/>
  <c r="EF586" i="15" s="1"/>
  <c r="EE590" i="15"/>
  <c r="EF590" i="15" s="1"/>
  <c r="EE594" i="15"/>
  <c r="EF594" i="15" s="1"/>
  <c r="EE598" i="15"/>
  <c r="EF598" i="15" s="1"/>
  <c r="EE602" i="15"/>
  <c r="EF602" i="15" s="1"/>
  <c r="EE606" i="15"/>
  <c r="EF606" i="15" s="1"/>
  <c r="EE610" i="15"/>
  <c r="EF610" i="15" s="1"/>
  <c r="EE613" i="15"/>
  <c r="EF613" i="15" s="1"/>
  <c r="EE617" i="15"/>
  <c r="EF617" i="15" s="1"/>
  <c r="EE621" i="15"/>
  <c r="EF621" i="15" s="1"/>
  <c r="EE624" i="15"/>
  <c r="EF624" i="15" s="1"/>
  <c r="EE628" i="15"/>
  <c r="EF628" i="15" s="1"/>
  <c r="EE632" i="15"/>
  <c r="EF632" i="15" s="1"/>
  <c r="EE636" i="15"/>
  <c r="EF636" i="15" s="1"/>
  <c r="EE643" i="15"/>
  <c r="EF643" i="15" s="1"/>
  <c r="EE647" i="15"/>
  <c r="EF647" i="15" s="1"/>
  <c r="EE651" i="15"/>
  <c r="EF651" i="15" s="1"/>
  <c r="EE655" i="15"/>
  <c r="EF655" i="15" s="1"/>
  <c r="EE659" i="15"/>
  <c r="EF659" i="15" s="1"/>
  <c r="EE663" i="15"/>
  <c r="EF663" i="15" s="1"/>
  <c r="EE667" i="15"/>
  <c r="EF667" i="15" s="1"/>
  <c r="EE670" i="15"/>
  <c r="EF670" i="15" s="1"/>
  <c r="EE674" i="15"/>
  <c r="EF674" i="15" s="1"/>
  <c r="EE678" i="15"/>
  <c r="EF678" i="15" s="1"/>
  <c r="EE682" i="15"/>
  <c r="EF682" i="15" s="1"/>
  <c r="EE686" i="15"/>
  <c r="EF686" i="15" s="1"/>
  <c r="EE689" i="15"/>
  <c r="EF689" i="15" s="1"/>
  <c r="EE693" i="15"/>
  <c r="EF693" i="15" s="1"/>
  <c r="EE697" i="15"/>
  <c r="EF697" i="15" s="1"/>
  <c r="EE701" i="15"/>
  <c r="EF701" i="15" s="1"/>
  <c r="EE705" i="15"/>
  <c r="EF705" i="15" s="1"/>
  <c r="EE709" i="15"/>
  <c r="EF709" i="15" s="1"/>
  <c r="EE713" i="15"/>
  <c r="EF713" i="15" s="1"/>
  <c r="EE716" i="15"/>
  <c r="EF716" i="15" s="1"/>
  <c r="EE720" i="15"/>
  <c r="EF720" i="15" s="1"/>
  <c r="EE724" i="15"/>
  <c r="EF724" i="15" s="1"/>
  <c r="EE728" i="15"/>
  <c r="EF728" i="15" s="1"/>
  <c r="EE732" i="15"/>
  <c r="EF732" i="15" s="1"/>
  <c r="EE735" i="15"/>
  <c r="EF735" i="15" s="1"/>
  <c r="EE739" i="15"/>
  <c r="EF739" i="15" s="1"/>
  <c r="EE743" i="15"/>
  <c r="EF743" i="15" s="1"/>
  <c r="EE747" i="15"/>
  <c r="EF747" i="15" s="1"/>
  <c r="EE751" i="15"/>
  <c r="EF751" i="15" s="1"/>
  <c r="EE773" i="15"/>
  <c r="EF773" i="15" s="1"/>
  <c r="EE760" i="15"/>
  <c r="EF760" i="15" s="1"/>
  <c r="EE764" i="15"/>
  <c r="EF764" i="15" s="1"/>
  <c r="EE768" i="15"/>
  <c r="EF768" i="15" s="1"/>
  <c r="EE772" i="15"/>
  <c r="EF772" i="15" s="1"/>
  <c r="EE777" i="15"/>
  <c r="EF777" i="15" s="1"/>
  <c r="EE781" i="15"/>
  <c r="EF781" i="15" s="1"/>
  <c r="EE785" i="15"/>
  <c r="EF785" i="15" s="1"/>
  <c r="EE789" i="15"/>
  <c r="EF789" i="15" s="1"/>
  <c r="EE793" i="15"/>
  <c r="EF793" i="15" s="1"/>
  <c r="EE800" i="15"/>
  <c r="EF800" i="15" s="1"/>
  <c r="EE804" i="15"/>
  <c r="EF804" i="15" s="1"/>
  <c r="EE808" i="15"/>
  <c r="EF808" i="15" s="1"/>
  <c r="EE812" i="15"/>
  <c r="EF812" i="15" s="1"/>
  <c r="EE816" i="15"/>
  <c r="EF816" i="15" s="1"/>
  <c r="EE820" i="15"/>
  <c r="EF820" i="15" s="1"/>
  <c r="EE824" i="15"/>
  <c r="EF824" i="15" s="1"/>
  <c r="EE828" i="15"/>
  <c r="EF828" i="15" s="1"/>
  <c r="EE831" i="15"/>
  <c r="EF831" i="15" s="1"/>
  <c r="EE835" i="15"/>
  <c r="EF835" i="15" s="1"/>
  <c r="EE839" i="15"/>
  <c r="EF839" i="15" s="1"/>
  <c r="EE843" i="15"/>
  <c r="EF843" i="15" s="1"/>
  <c r="EE847" i="15"/>
  <c r="EF847" i="15" s="1"/>
  <c r="EE851" i="15"/>
  <c r="EF851" i="15" s="1"/>
  <c r="EE855" i="15"/>
  <c r="EF855" i="15" s="1"/>
  <c r="EE859" i="15"/>
  <c r="EF859" i="15" s="1"/>
  <c r="EE13" i="15"/>
  <c r="EF13" i="15" s="1"/>
  <c r="EE29" i="15"/>
  <c r="EF29" i="15" s="1"/>
  <c r="EE43" i="15"/>
  <c r="EF43" i="15" s="1"/>
  <c r="EE59" i="15"/>
  <c r="EF59" i="15" s="1"/>
  <c r="EE74" i="15"/>
  <c r="EF74" i="15" s="1"/>
  <c r="EE89" i="15"/>
  <c r="EF89" i="15" s="1"/>
  <c r="EE104" i="15"/>
  <c r="EF104" i="15" s="1"/>
  <c r="EE120" i="15"/>
  <c r="EF120" i="15" s="1"/>
  <c r="EE135" i="15"/>
  <c r="EF135" i="15" s="1"/>
  <c r="EE150" i="15"/>
  <c r="EF150" i="15" s="1"/>
  <c r="EE166" i="15"/>
  <c r="EF166" i="15" s="1"/>
  <c r="EE181" i="15"/>
  <c r="EF181" i="15" s="1"/>
  <c r="EE196" i="15"/>
  <c r="EF196" i="15" s="1"/>
  <c r="EE212" i="15"/>
  <c r="EF212" i="15" s="1"/>
  <c r="EE227" i="15"/>
  <c r="EF227" i="15" s="1"/>
  <c r="EE242" i="15"/>
  <c r="EF242" i="15" s="1"/>
  <c r="EE257" i="15"/>
  <c r="EF257" i="15" s="1"/>
  <c r="EE272" i="15"/>
  <c r="EF272" i="15" s="1"/>
  <c r="EE288" i="15"/>
  <c r="EF288" i="15" s="1"/>
  <c r="EE303" i="15"/>
  <c r="EF303" i="15" s="1"/>
  <c r="EE319" i="15"/>
  <c r="EF319" i="15" s="1"/>
  <c r="EE334" i="15"/>
  <c r="EF334" i="15" s="1"/>
  <c r="EE350" i="15"/>
  <c r="EF350" i="15" s="1"/>
  <c r="EE366" i="15"/>
  <c r="EF366" i="15" s="1"/>
  <c r="EE381" i="15"/>
  <c r="EF381" i="15" s="1"/>
  <c r="EE397" i="15"/>
  <c r="EF397" i="15" s="1"/>
  <c r="EE412" i="15"/>
  <c r="EF412" i="15" s="1"/>
  <c r="EE428" i="15"/>
  <c r="EF428" i="15" s="1"/>
  <c r="EE443" i="15"/>
  <c r="EF443" i="15" s="1"/>
  <c r="EE458" i="15"/>
  <c r="EF458" i="15" s="1"/>
  <c r="EE473" i="15"/>
  <c r="EF473" i="15" s="1"/>
  <c r="EE489" i="15"/>
  <c r="EF489" i="15" s="1"/>
  <c r="EE504" i="15"/>
  <c r="EF504" i="15" s="1"/>
  <c r="EE519" i="15"/>
  <c r="EF519" i="15" s="1"/>
  <c r="EE534" i="15"/>
  <c r="EF534" i="15" s="1"/>
  <c r="EE549" i="15"/>
  <c r="EF549" i="15" s="1"/>
  <c r="EE565" i="15"/>
  <c r="EF565" i="15" s="1"/>
  <c r="EE580" i="15"/>
  <c r="EF580" i="15" s="1"/>
  <c r="EE596" i="15"/>
  <c r="EF596" i="15" s="1"/>
  <c r="EE626" i="15"/>
  <c r="EF626" i="15" s="1"/>
  <c r="EE657" i="15"/>
  <c r="EF657" i="15" s="1"/>
  <c r="EE672" i="15"/>
  <c r="EF672" i="15" s="1"/>
  <c r="EE688" i="15"/>
  <c r="EF688" i="15" s="1"/>
  <c r="EE703" i="15"/>
  <c r="EF703" i="15" s="1"/>
  <c r="EE718" i="15"/>
  <c r="EF718" i="15" s="1"/>
  <c r="EE733" i="15"/>
  <c r="EF733" i="15" s="1"/>
  <c r="EE749" i="15"/>
  <c r="EF749" i="15" s="1"/>
  <c r="EE762" i="15"/>
  <c r="EF762" i="15" s="1"/>
  <c r="EE779" i="15"/>
  <c r="EF779" i="15" s="1"/>
  <c r="EE810" i="15"/>
  <c r="EF810" i="15" s="1"/>
  <c r="EE826" i="15"/>
  <c r="EF826" i="15" s="1"/>
  <c r="EE841" i="15"/>
  <c r="EF841" i="15" s="1"/>
  <c r="EE857" i="15"/>
  <c r="EF857" i="15" s="1"/>
  <c r="EE17" i="15"/>
  <c r="EF17" i="15" s="1"/>
  <c r="EE47" i="15"/>
  <c r="EF47" i="15" s="1"/>
  <c r="EE63" i="15"/>
  <c r="EF63" i="15" s="1"/>
  <c r="EE78" i="15"/>
  <c r="EF78" i="15" s="1"/>
  <c r="EE92" i="15"/>
  <c r="EF92" i="15" s="1"/>
  <c r="EE108" i="15"/>
  <c r="EF108" i="15" s="1"/>
  <c r="EE139" i="15"/>
  <c r="EF139" i="15" s="1"/>
  <c r="EE154" i="15"/>
  <c r="EF154" i="15" s="1"/>
  <c r="EE169" i="15"/>
  <c r="EF169" i="15" s="1"/>
  <c r="EE185" i="15"/>
  <c r="EF185" i="15" s="1"/>
  <c r="EE200" i="15"/>
  <c r="EF200" i="15" s="1"/>
  <c r="EE216" i="15"/>
  <c r="EF216" i="15" s="1"/>
  <c r="EE231" i="15"/>
  <c r="EF231" i="15" s="1"/>
  <c r="EE246" i="15"/>
  <c r="EF246" i="15" s="1"/>
  <c r="EE261" i="15"/>
  <c r="EF261" i="15" s="1"/>
  <c r="EE276" i="15"/>
  <c r="EF276" i="15" s="1"/>
  <c r="EE292" i="15"/>
  <c r="EF292" i="15" s="1"/>
  <c r="EE307" i="15"/>
  <c r="EF307" i="15" s="1"/>
  <c r="EE323" i="15"/>
  <c r="EF323" i="15" s="1"/>
  <c r="EE338" i="15"/>
  <c r="EF338" i="15" s="1"/>
  <c r="EE354" i="15"/>
  <c r="EF354" i="15" s="1"/>
  <c r="EE370" i="15"/>
  <c r="EF370" i="15" s="1"/>
  <c r="EE385" i="15"/>
  <c r="EF385" i="15" s="1"/>
  <c r="EE401" i="15"/>
  <c r="EF401" i="15" s="1"/>
  <c r="EE416" i="15"/>
  <c r="EF416" i="15" s="1"/>
  <c r="EE431" i="15"/>
  <c r="EF431" i="15" s="1"/>
  <c r="EE447" i="15"/>
  <c r="EF447" i="15" s="1"/>
  <c r="EE462" i="15"/>
  <c r="EF462" i="15" s="1"/>
  <c r="EE477" i="15"/>
  <c r="EF477" i="15" s="1"/>
  <c r="EE492" i="15"/>
  <c r="EF492" i="15" s="1"/>
  <c r="EE508" i="15"/>
  <c r="EF508" i="15" s="1"/>
  <c r="EE523" i="15"/>
  <c r="EF523" i="15" s="1"/>
  <c r="EE538" i="15"/>
  <c r="EF538" i="15" s="1"/>
  <c r="EE553" i="15"/>
  <c r="EF553" i="15" s="1"/>
  <c r="EE569" i="15"/>
  <c r="EF569" i="15" s="1"/>
  <c r="EE584" i="15"/>
  <c r="EF584" i="15" s="1"/>
  <c r="EE600" i="15"/>
  <c r="EF600" i="15" s="1"/>
  <c r="EE615" i="15"/>
  <c r="EF615" i="15" s="1"/>
  <c r="EE630" i="15"/>
  <c r="EF630" i="15" s="1"/>
  <c r="EE645" i="15"/>
  <c r="EF645" i="15" s="1"/>
  <c r="EE661" i="15"/>
  <c r="EF661" i="15" s="1"/>
  <c r="EE676" i="15"/>
  <c r="EF676" i="15" s="1"/>
  <c r="EE691" i="15"/>
  <c r="EF691" i="15" s="1"/>
  <c r="EE707" i="15"/>
  <c r="EF707" i="15" s="1"/>
  <c r="EE722" i="15"/>
  <c r="EF722" i="15" s="1"/>
  <c r="EE737" i="15"/>
  <c r="EF737" i="15" s="1"/>
  <c r="EE766" i="15"/>
  <c r="EF766" i="15" s="1"/>
  <c r="EE783" i="15"/>
  <c r="EF783" i="15" s="1"/>
  <c r="EE798" i="15"/>
  <c r="EF798" i="15" s="1"/>
  <c r="EE814" i="15"/>
  <c r="EF814" i="15" s="1"/>
  <c r="EE829" i="15"/>
  <c r="EF829" i="15" s="1"/>
  <c r="EE845" i="15"/>
  <c r="EF845" i="15" s="1"/>
  <c r="EE861" i="15"/>
  <c r="EF861" i="15" s="1"/>
  <c r="EE21" i="15"/>
  <c r="EF21" i="15" s="1"/>
  <c r="EE36" i="15"/>
  <c r="EF36" i="15" s="1"/>
  <c r="EE51" i="15"/>
  <c r="EF51" i="15" s="1"/>
  <c r="EE66" i="15"/>
  <c r="EF66" i="15" s="1"/>
  <c r="EE112" i="15"/>
  <c r="EF112" i="15" s="1"/>
  <c r="EE127" i="15"/>
  <c r="EF127" i="15" s="1"/>
  <c r="EE158" i="15"/>
  <c r="EF158" i="15" s="1"/>
  <c r="EE173" i="15"/>
  <c r="EF173" i="15" s="1"/>
  <c r="EE189" i="15"/>
  <c r="EF189" i="15" s="1"/>
  <c r="EE204" i="15"/>
  <c r="EF204" i="15" s="1"/>
  <c r="EE234" i="15"/>
  <c r="EF234" i="15" s="1"/>
  <c r="EE265" i="15"/>
  <c r="EF265" i="15" s="1"/>
  <c r="EE280" i="15"/>
  <c r="EF280" i="15" s="1"/>
  <c r="EE296" i="15"/>
  <c r="EF296" i="15" s="1"/>
  <c r="EE311" i="15"/>
  <c r="EF311" i="15" s="1"/>
  <c r="EE326" i="15"/>
  <c r="EF326" i="15" s="1"/>
  <c r="EE342" i="15"/>
  <c r="EF342" i="15" s="1"/>
  <c r="EE358" i="15"/>
  <c r="EF358" i="15" s="1"/>
  <c r="EE373" i="15"/>
  <c r="EF373" i="15" s="1"/>
  <c r="EE389" i="15"/>
  <c r="EF389" i="15" s="1"/>
  <c r="EE405" i="15"/>
  <c r="EF405" i="15" s="1"/>
  <c r="EE420" i="15"/>
  <c r="EF420" i="15" s="1"/>
  <c r="EE435" i="15"/>
  <c r="EF435" i="15" s="1"/>
  <c r="EE451" i="15"/>
  <c r="EF451" i="15" s="1"/>
  <c r="EE466" i="15"/>
  <c r="EF466" i="15" s="1"/>
  <c r="EE481" i="15"/>
  <c r="EF481" i="15" s="1"/>
  <c r="EE496" i="15"/>
  <c r="EF496" i="15" s="1"/>
  <c r="EE512" i="15"/>
  <c r="EF512" i="15" s="1"/>
  <c r="EE527" i="15"/>
  <c r="EF527" i="15" s="1"/>
  <c r="EE542" i="15"/>
  <c r="EF542" i="15" s="1"/>
  <c r="EE557" i="15"/>
  <c r="EF557" i="15" s="1"/>
  <c r="EE574" i="15"/>
  <c r="EF574" i="15" s="1"/>
  <c r="EE588" i="15"/>
  <c r="EF588" i="15" s="1"/>
  <c r="EE604" i="15"/>
  <c r="EF604" i="15" s="1"/>
  <c r="EE619" i="15"/>
  <c r="EF619" i="15" s="1"/>
  <c r="EE634" i="15"/>
  <c r="EF634" i="15" s="1"/>
  <c r="EE649" i="15"/>
  <c r="EF649" i="15" s="1"/>
  <c r="EE665" i="15"/>
  <c r="EF665" i="15" s="1"/>
  <c r="EE680" i="15"/>
  <c r="EF680" i="15" s="1"/>
  <c r="EE695" i="15"/>
  <c r="EF695" i="15" s="1"/>
  <c r="EE711" i="15"/>
  <c r="EF711" i="15" s="1"/>
  <c r="EE726" i="15"/>
  <c r="EF726" i="15" s="1"/>
  <c r="EE741" i="15"/>
  <c r="EF741" i="15" s="1"/>
  <c r="EE756" i="15"/>
  <c r="EF756" i="15" s="1"/>
  <c r="EE770" i="15"/>
  <c r="EF770" i="15" s="1"/>
  <c r="EE787" i="15"/>
  <c r="EF787" i="15" s="1"/>
  <c r="EE802" i="15"/>
  <c r="EF802" i="15" s="1"/>
  <c r="EE818" i="15"/>
  <c r="EF818" i="15" s="1"/>
  <c r="EE833" i="15"/>
  <c r="EF833" i="15" s="1"/>
  <c r="EE849" i="15"/>
  <c r="EF849" i="15" s="1"/>
  <c r="EE9" i="15"/>
  <c r="EF9" i="15" s="1"/>
  <c r="EE25" i="15"/>
  <c r="EF25" i="15" s="1"/>
  <c r="EE40" i="15"/>
  <c r="EF40" i="15" s="1"/>
  <c r="EE55" i="15"/>
  <c r="EF55" i="15" s="1"/>
  <c r="EE70" i="15"/>
  <c r="EF70" i="15" s="1"/>
  <c r="EE85" i="15"/>
  <c r="EF85" i="15" s="1"/>
  <c r="EE100" i="15"/>
  <c r="EF100" i="15" s="1"/>
  <c r="EE116" i="15"/>
  <c r="EF116" i="15" s="1"/>
  <c r="EE131" i="15"/>
  <c r="EF131" i="15" s="1"/>
  <c r="EE146" i="15"/>
  <c r="EF146" i="15" s="1"/>
  <c r="EE162" i="15"/>
  <c r="EF162" i="15" s="1"/>
  <c r="EE177" i="15"/>
  <c r="EF177" i="15" s="1"/>
  <c r="EE192" i="15"/>
  <c r="EF192" i="15" s="1"/>
  <c r="EE208" i="15"/>
  <c r="EF208" i="15" s="1"/>
  <c r="EE223" i="15"/>
  <c r="EF223" i="15" s="1"/>
  <c r="EE238" i="15"/>
  <c r="EF238" i="15" s="1"/>
  <c r="EE253" i="15"/>
  <c r="EF253" i="15" s="1"/>
  <c r="EE284" i="15"/>
  <c r="EF284" i="15" s="1"/>
  <c r="EE300" i="15"/>
  <c r="EF300" i="15" s="1"/>
  <c r="EE315" i="15"/>
  <c r="EF315" i="15" s="1"/>
  <c r="EE330" i="15"/>
  <c r="EF330" i="15" s="1"/>
  <c r="EE346" i="15"/>
  <c r="EF346" i="15" s="1"/>
  <c r="EE362" i="15"/>
  <c r="EF362" i="15" s="1"/>
  <c r="EE377" i="15"/>
  <c r="EF377" i="15" s="1"/>
  <c r="EE393" i="15"/>
  <c r="EF393" i="15" s="1"/>
  <c r="EE408" i="15"/>
  <c r="EF408" i="15" s="1"/>
  <c r="EE424" i="15"/>
  <c r="EF424" i="15" s="1"/>
  <c r="EE439" i="15"/>
  <c r="EF439" i="15" s="1"/>
  <c r="EE455" i="15"/>
  <c r="EF455" i="15" s="1"/>
  <c r="EE485" i="15"/>
  <c r="EF485" i="15" s="1"/>
  <c r="EE500" i="15"/>
  <c r="EF500" i="15" s="1"/>
  <c r="EE515" i="15"/>
  <c r="EF515" i="15" s="1"/>
  <c r="EE530" i="15"/>
  <c r="EF530" i="15" s="1"/>
  <c r="EE546" i="15"/>
  <c r="EF546" i="15" s="1"/>
  <c r="EE561" i="15"/>
  <c r="EF561" i="15" s="1"/>
  <c r="EE577" i="15"/>
  <c r="EF577" i="15" s="1"/>
  <c r="EE592" i="15"/>
  <c r="EF592" i="15" s="1"/>
  <c r="EE608" i="15"/>
  <c r="EF608" i="15" s="1"/>
  <c r="EE622" i="15"/>
  <c r="EF622" i="15" s="1"/>
  <c r="EE638" i="15"/>
  <c r="EF638" i="15" s="1"/>
  <c r="EE653" i="15"/>
  <c r="EF653" i="15" s="1"/>
  <c r="EE684" i="15"/>
  <c r="EF684" i="15" s="1"/>
  <c r="EE699" i="15"/>
  <c r="EF699" i="15" s="1"/>
  <c r="EE730" i="15"/>
  <c r="EF730" i="15" s="1"/>
  <c r="EE745" i="15"/>
  <c r="EF745" i="15" s="1"/>
  <c r="EE758" i="15"/>
  <c r="EF758" i="15" s="1"/>
  <c r="EE776" i="15"/>
  <c r="EF776" i="15" s="1"/>
  <c r="EE791" i="15"/>
  <c r="EF791" i="15" s="1"/>
  <c r="EE806" i="15"/>
  <c r="EF806" i="15" s="1"/>
  <c r="EE822" i="15"/>
  <c r="EF822" i="15" s="1"/>
  <c r="EE837" i="15"/>
  <c r="EF837" i="15" s="1"/>
  <c r="EE853" i="15"/>
  <c r="EF853" i="15" s="1"/>
  <c r="EQ8" i="15"/>
  <c r="ER8" i="15" s="1"/>
  <c r="EQ11" i="15"/>
  <c r="ER11" i="15" s="1"/>
  <c r="EQ15" i="15"/>
  <c r="ER15" i="15" s="1"/>
  <c r="EQ19" i="15"/>
  <c r="ER19" i="15" s="1"/>
  <c r="EQ23" i="15"/>
  <c r="ER23" i="15" s="1"/>
  <c r="EQ27" i="15"/>
  <c r="ER27" i="15" s="1"/>
  <c r="EQ31" i="15"/>
  <c r="ER31" i="15" s="1"/>
  <c r="EQ38" i="15"/>
  <c r="ER38" i="15" s="1"/>
  <c r="EQ42" i="15"/>
  <c r="ER42" i="15" s="1"/>
  <c r="EQ45" i="15"/>
  <c r="ER45" i="15" s="1"/>
  <c r="EQ49" i="15"/>
  <c r="ER49" i="15" s="1"/>
  <c r="EQ53" i="15"/>
  <c r="ER53" i="15" s="1"/>
  <c r="EQ57" i="15"/>
  <c r="ER57" i="15" s="1"/>
  <c r="EQ61" i="15"/>
  <c r="ER61" i="15" s="1"/>
  <c r="EQ65" i="15"/>
  <c r="ER65" i="15" s="1"/>
  <c r="EQ68" i="15"/>
  <c r="ER68" i="15" s="1"/>
  <c r="EQ72" i="15"/>
  <c r="ER72" i="15" s="1"/>
  <c r="EQ76" i="15"/>
  <c r="ER76" i="15" s="1"/>
  <c r="EQ80" i="15"/>
  <c r="ER80" i="15" s="1"/>
  <c r="EQ87" i="15"/>
  <c r="ER87" i="15" s="1"/>
  <c r="EQ91" i="15"/>
  <c r="ER91" i="15" s="1"/>
  <c r="EQ95" i="15"/>
  <c r="ER95" i="15" s="1"/>
  <c r="EQ102" i="15"/>
  <c r="ER102" i="15" s="1"/>
  <c r="EQ106" i="15"/>
  <c r="ER106" i="15" s="1"/>
  <c r="EQ110" i="15"/>
  <c r="ER110" i="15" s="1"/>
  <c r="EQ114" i="15"/>
  <c r="ER114" i="15" s="1"/>
  <c r="EQ118" i="15"/>
  <c r="ER118" i="15" s="1"/>
  <c r="EQ122" i="15"/>
  <c r="ER122" i="15" s="1"/>
  <c r="EQ129" i="15"/>
  <c r="ER129" i="15" s="1"/>
  <c r="EQ133" i="15"/>
  <c r="ER133" i="15" s="1"/>
  <c r="EQ137" i="15"/>
  <c r="ER137" i="15" s="1"/>
  <c r="EQ141" i="15"/>
  <c r="ER141" i="15" s="1"/>
  <c r="EQ145" i="15"/>
  <c r="ER145" i="15" s="1"/>
  <c r="EQ148" i="15"/>
  <c r="ER148" i="15" s="1"/>
  <c r="EQ152" i="15"/>
  <c r="ER152" i="15" s="1"/>
  <c r="EQ156" i="15"/>
  <c r="ER156" i="15" s="1"/>
  <c r="EQ160" i="15"/>
  <c r="ER160" i="15" s="1"/>
  <c r="EQ164" i="15"/>
  <c r="ER164" i="15" s="1"/>
  <c r="EQ168" i="15"/>
  <c r="ER168" i="15" s="1"/>
  <c r="EQ171" i="15"/>
  <c r="ER171" i="15" s="1"/>
  <c r="EQ175" i="15"/>
  <c r="ER175" i="15" s="1"/>
  <c r="EQ179" i="15"/>
  <c r="ER179" i="15" s="1"/>
  <c r="EQ183" i="15"/>
  <c r="ER183" i="15" s="1"/>
  <c r="EQ187" i="15"/>
  <c r="ER187" i="15" s="1"/>
  <c r="EQ194" i="15"/>
  <c r="ER194" i="15" s="1"/>
  <c r="EQ198" i="15"/>
  <c r="ER198" i="15" s="1"/>
  <c r="EQ202" i="15"/>
  <c r="ER202" i="15" s="1"/>
  <c r="EQ206" i="15"/>
  <c r="ER206" i="15" s="1"/>
  <c r="EQ210" i="15"/>
  <c r="ER210" i="15" s="1"/>
  <c r="EQ214" i="15"/>
  <c r="ER214" i="15" s="1"/>
  <c r="EQ218" i="15"/>
  <c r="ER218" i="15" s="1"/>
  <c r="EQ221" i="15"/>
  <c r="ER221" i="15" s="1"/>
  <c r="EQ225" i="15"/>
  <c r="ER225" i="15" s="1"/>
  <c r="EQ229" i="15"/>
  <c r="ER229" i="15" s="1"/>
  <c r="EQ236" i="15"/>
  <c r="ER236" i="15" s="1"/>
  <c r="EQ240" i="15"/>
  <c r="ER240" i="15" s="1"/>
  <c r="EQ244" i="15"/>
  <c r="ER244" i="15" s="1"/>
  <c r="EQ248" i="15"/>
  <c r="ER248" i="15" s="1"/>
  <c r="EQ255" i="15"/>
  <c r="ER255" i="15" s="1"/>
  <c r="EQ259" i="15"/>
  <c r="ER259" i="15" s="1"/>
  <c r="EQ263" i="15"/>
  <c r="ER263" i="15" s="1"/>
  <c r="EQ267" i="15"/>
  <c r="ER267" i="15" s="1"/>
  <c r="EQ271" i="15"/>
  <c r="ER271" i="15" s="1"/>
  <c r="EQ275" i="15"/>
  <c r="ER275" i="15" s="1"/>
  <c r="EQ278" i="15"/>
  <c r="ER278" i="15" s="1"/>
  <c r="EQ282" i="15"/>
  <c r="ER282" i="15" s="1"/>
  <c r="EQ286" i="15"/>
  <c r="ER286" i="15" s="1"/>
  <c r="EQ290" i="15"/>
  <c r="ER290" i="15" s="1"/>
  <c r="EQ294" i="15"/>
  <c r="ER294" i="15" s="1"/>
  <c r="EQ298" i="15"/>
  <c r="ER298" i="15" s="1"/>
  <c r="EQ301" i="15"/>
  <c r="ER301" i="15" s="1"/>
  <c r="EQ305" i="15"/>
  <c r="ER305" i="15" s="1"/>
  <c r="EQ309" i="15"/>
  <c r="ER309" i="15" s="1"/>
  <c r="EQ313" i="15"/>
  <c r="ER313" i="15" s="1"/>
  <c r="EQ317" i="15"/>
  <c r="ER317" i="15" s="1"/>
  <c r="EQ321" i="15"/>
  <c r="ER321" i="15" s="1"/>
  <c r="EQ325" i="15"/>
  <c r="ER325" i="15" s="1"/>
  <c r="EQ328" i="15"/>
  <c r="ER328" i="15" s="1"/>
  <c r="EQ332" i="15"/>
  <c r="ER332" i="15" s="1"/>
  <c r="EQ336" i="15"/>
  <c r="ER336" i="15" s="1"/>
  <c r="EQ340" i="15"/>
  <c r="ER340" i="15" s="1"/>
  <c r="EQ344" i="15"/>
  <c r="ER344" i="15" s="1"/>
  <c r="EQ348" i="15"/>
  <c r="ER348" i="15" s="1"/>
  <c r="EQ352" i="15"/>
  <c r="ER352" i="15" s="1"/>
  <c r="EQ356" i="15"/>
  <c r="ER356" i="15" s="1"/>
  <c r="EQ360" i="15"/>
  <c r="ER360" i="15" s="1"/>
  <c r="EQ364" i="15"/>
  <c r="ER364" i="15" s="1"/>
  <c r="EQ368" i="15"/>
  <c r="ER368" i="15" s="1"/>
  <c r="EQ375" i="15"/>
  <c r="ER375" i="15" s="1"/>
  <c r="EQ379" i="15"/>
  <c r="ER379" i="15" s="1"/>
  <c r="EQ383" i="15"/>
  <c r="ER383" i="15" s="1"/>
  <c r="EQ387" i="15"/>
  <c r="ER387" i="15" s="1"/>
  <c r="EQ391" i="15"/>
  <c r="ER391" i="15" s="1"/>
  <c r="EQ395" i="15"/>
  <c r="ER395" i="15" s="1"/>
  <c r="EQ399" i="15"/>
  <c r="ER399" i="15" s="1"/>
  <c r="EQ403" i="15"/>
  <c r="ER403" i="15" s="1"/>
  <c r="EQ407" i="15"/>
  <c r="ER407" i="15" s="1"/>
  <c r="EQ410" i="15"/>
  <c r="ER410" i="15" s="1"/>
  <c r="EQ414" i="15"/>
  <c r="ER414" i="15" s="1"/>
  <c r="EQ418" i="15"/>
  <c r="ER418" i="15" s="1"/>
  <c r="EQ422" i="15"/>
  <c r="ER422" i="15" s="1"/>
  <c r="EQ426" i="15"/>
  <c r="ER426" i="15" s="1"/>
  <c r="EQ430" i="15"/>
  <c r="ER430" i="15" s="1"/>
  <c r="EQ433" i="15"/>
  <c r="ER433" i="15" s="1"/>
  <c r="EQ437" i="15"/>
  <c r="ER437" i="15" s="1"/>
  <c r="EQ441" i="15"/>
  <c r="ER441" i="15" s="1"/>
  <c r="EQ445" i="15"/>
  <c r="ER445" i="15" s="1"/>
  <c r="EQ449" i="15"/>
  <c r="ER449" i="15" s="1"/>
  <c r="EQ453" i="15"/>
  <c r="ER453" i="15" s="1"/>
  <c r="EQ456" i="15"/>
  <c r="ER456" i="15" s="1"/>
  <c r="EQ460" i="15"/>
  <c r="ER460" i="15" s="1"/>
  <c r="EQ464" i="15"/>
  <c r="ER464" i="15" s="1"/>
  <c r="EQ468" i="15"/>
  <c r="ER468" i="15" s="1"/>
  <c r="EQ472" i="15"/>
  <c r="ER472" i="15" s="1"/>
  <c r="EQ475" i="15"/>
  <c r="ER475" i="15" s="1"/>
  <c r="EQ479" i="15"/>
  <c r="ER479" i="15" s="1"/>
  <c r="EQ483" i="15"/>
  <c r="ER483" i="15" s="1"/>
  <c r="EQ487" i="15"/>
  <c r="ER487" i="15" s="1"/>
  <c r="EQ491" i="15"/>
  <c r="ER491" i="15" s="1"/>
  <c r="EQ494" i="15"/>
  <c r="ER494" i="15" s="1"/>
  <c r="EQ498" i="15"/>
  <c r="ER498" i="15" s="1"/>
  <c r="EQ502" i="15"/>
  <c r="ER502" i="15" s="1"/>
  <c r="EQ506" i="15"/>
  <c r="ER506" i="15" s="1"/>
  <c r="EQ510" i="15"/>
  <c r="ER510" i="15" s="1"/>
  <c r="EQ514" i="15"/>
  <c r="ER514" i="15" s="1"/>
  <c r="EQ517" i="15"/>
  <c r="ER517" i="15" s="1"/>
  <c r="EQ521" i="15"/>
  <c r="ER521" i="15" s="1"/>
  <c r="EQ525" i="15"/>
  <c r="ER525" i="15" s="1"/>
  <c r="EQ529" i="15"/>
  <c r="ER529" i="15" s="1"/>
  <c r="EQ532" i="15"/>
  <c r="ER532" i="15" s="1"/>
  <c r="EQ536" i="15"/>
  <c r="ER536" i="15" s="1"/>
  <c r="EQ540" i="15"/>
  <c r="ER540" i="15" s="1"/>
  <c r="EQ544" i="15"/>
  <c r="ER544" i="15" s="1"/>
  <c r="EQ548" i="15"/>
  <c r="ER548" i="15" s="1"/>
  <c r="EQ551" i="15"/>
  <c r="ER551" i="15" s="1"/>
  <c r="EQ555" i="15"/>
  <c r="ER555" i="15" s="1"/>
  <c r="EQ559" i="15"/>
  <c r="ER559" i="15" s="1"/>
  <c r="EQ563" i="15"/>
  <c r="ER563" i="15" s="1"/>
  <c r="EQ567" i="15"/>
  <c r="ER567" i="15" s="1"/>
  <c r="EQ571" i="15"/>
  <c r="ER571" i="15" s="1"/>
  <c r="EQ575" i="15"/>
  <c r="ER575" i="15" s="1"/>
  <c r="EQ582" i="15"/>
  <c r="ER582" i="15" s="1"/>
  <c r="EQ586" i="15"/>
  <c r="ER586" i="15" s="1"/>
  <c r="EQ590" i="15"/>
  <c r="ER590" i="15" s="1"/>
  <c r="EQ594" i="15"/>
  <c r="ER594" i="15" s="1"/>
  <c r="EQ598" i="15"/>
  <c r="ER598" i="15" s="1"/>
  <c r="EQ602" i="15"/>
  <c r="ER602" i="15" s="1"/>
  <c r="EQ606" i="15"/>
  <c r="ER606" i="15" s="1"/>
  <c r="EQ610" i="15"/>
  <c r="ER610" i="15" s="1"/>
  <c r="EQ613" i="15"/>
  <c r="ER613" i="15" s="1"/>
  <c r="EQ617" i="15"/>
  <c r="ER617" i="15" s="1"/>
  <c r="EQ621" i="15"/>
  <c r="ER621" i="15" s="1"/>
  <c r="EQ624" i="15"/>
  <c r="ER624" i="15" s="1"/>
  <c r="EQ628" i="15"/>
  <c r="ER628" i="15" s="1"/>
  <c r="EQ632" i="15"/>
  <c r="ER632" i="15" s="1"/>
  <c r="EQ636" i="15"/>
  <c r="ER636" i="15" s="1"/>
  <c r="EQ643" i="15"/>
  <c r="ER643" i="15" s="1"/>
  <c r="EQ647" i="15"/>
  <c r="ER647" i="15" s="1"/>
  <c r="EQ651" i="15"/>
  <c r="ER651" i="15" s="1"/>
  <c r="EQ655" i="15"/>
  <c r="ER655" i="15" s="1"/>
  <c r="EQ659" i="15"/>
  <c r="ER659" i="15" s="1"/>
  <c r="EQ663" i="15"/>
  <c r="ER663" i="15" s="1"/>
  <c r="EQ667" i="15"/>
  <c r="ER667" i="15" s="1"/>
  <c r="EQ670" i="15"/>
  <c r="ER670" i="15" s="1"/>
  <c r="EQ674" i="15"/>
  <c r="ER674" i="15" s="1"/>
  <c r="EQ678" i="15"/>
  <c r="ER678" i="15" s="1"/>
  <c r="EQ682" i="15"/>
  <c r="ER682" i="15" s="1"/>
  <c r="EQ686" i="15"/>
  <c r="ER686" i="15" s="1"/>
  <c r="EQ689" i="15"/>
  <c r="ER689" i="15" s="1"/>
  <c r="EQ693" i="15"/>
  <c r="ER693" i="15" s="1"/>
  <c r="EQ697" i="15"/>
  <c r="ER697" i="15" s="1"/>
  <c r="EQ701" i="15"/>
  <c r="ER701" i="15" s="1"/>
  <c r="EQ705" i="15"/>
  <c r="ER705" i="15" s="1"/>
  <c r="EQ709" i="15"/>
  <c r="ER709" i="15" s="1"/>
  <c r="EQ713" i="15"/>
  <c r="ER713" i="15" s="1"/>
  <c r="EQ716" i="15"/>
  <c r="ER716" i="15" s="1"/>
  <c r="EQ720" i="15"/>
  <c r="ER720" i="15" s="1"/>
  <c r="EQ724" i="15"/>
  <c r="ER724" i="15" s="1"/>
  <c r="EQ728" i="15"/>
  <c r="ER728" i="15" s="1"/>
  <c r="EQ732" i="15"/>
  <c r="ER732" i="15" s="1"/>
  <c r="EQ735" i="15"/>
  <c r="ER735" i="15" s="1"/>
  <c r="EQ739" i="15"/>
  <c r="ER739" i="15" s="1"/>
  <c r="EQ743" i="15"/>
  <c r="ER743" i="15" s="1"/>
  <c r="EQ747" i="15"/>
  <c r="ER747" i="15" s="1"/>
  <c r="EQ751" i="15"/>
  <c r="ER751" i="15" s="1"/>
  <c r="EQ773" i="15"/>
  <c r="ER773" i="15" s="1"/>
  <c r="EQ760" i="15"/>
  <c r="ER760" i="15" s="1"/>
  <c r="EQ764" i="15"/>
  <c r="ER764" i="15" s="1"/>
  <c r="EQ768" i="15"/>
  <c r="ER768" i="15" s="1"/>
  <c r="EQ772" i="15"/>
  <c r="ER772" i="15" s="1"/>
  <c r="EQ777" i="15"/>
  <c r="ER777" i="15" s="1"/>
  <c r="EQ781" i="15"/>
  <c r="ER781" i="15" s="1"/>
  <c r="EQ785" i="15"/>
  <c r="ER785" i="15" s="1"/>
  <c r="EQ789" i="15"/>
  <c r="ER789" i="15" s="1"/>
  <c r="EQ793" i="15"/>
  <c r="ER793" i="15" s="1"/>
  <c r="EQ800" i="15"/>
  <c r="ER800" i="15" s="1"/>
  <c r="EQ804" i="15"/>
  <c r="ER804" i="15" s="1"/>
  <c r="EQ808" i="15"/>
  <c r="ER808" i="15" s="1"/>
  <c r="EQ812" i="15"/>
  <c r="ER812" i="15" s="1"/>
  <c r="EQ816" i="15"/>
  <c r="ER816" i="15" s="1"/>
  <c r="EQ820" i="15"/>
  <c r="ER820" i="15" s="1"/>
  <c r="EQ824" i="15"/>
  <c r="ER824" i="15" s="1"/>
  <c r="EQ828" i="15"/>
  <c r="ER828" i="15" s="1"/>
  <c r="EQ831" i="15"/>
  <c r="ER831" i="15" s="1"/>
  <c r="EQ835" i="15"/>
  <c r="ER835" i="15" s="1"/>
  <c r="EQ839" i="15"/>
  <c r="ER839" i="15" s="1"/>
  <c r="EQ843" i="15"/>
  <c r="ER843" i="15" s="1"/>
  <c r="EQ847" i="15"/>
  <c r="ER847" i="15" s="1"/>
  <c r="EQ851" i="15"/>
  <c r="ER851" i="15" s="1"/>
  <c r="EQ855" i="15"/>
  <c r="ER855" i="15" s="1"/>
  <c r="EQ859" i="15"/>
  <c r="ER859" i="15" s="1"/>
  <c r="EQ9" i="15"/>
  <c r="ER9" i="15" s="1"/>
  <c r="EQ12" i="15"/>
  <c r="ER12" i="15" s="1"/>
  <c r="EQ16" i="15"/>
  <c r="ER16" i="15" s="1"/>
  <c r="EQ20" i="15"/>
  <c r="ER20" i="15" s="1"/>
  <c r="EQ24" i="15"/>
  <c r="ER24" i="15" s="1"/>
  <c r="EQ28" i="15"/>
  <c r="ER28" i="15" s="1"/>
  <c r="EQ32" i="15"/>
  <c r="ER32" i="15" s="1"/>
  <c r="EQ35" i="15"/>
  <c r="ER35" i="15" s="1"/>
  <c r="EQ39" i="15"/>
  <c r="ER39" i="15" s="1"/>
  <c r="EQ46" i="15"/>
  <c r="ER46" i="15" s="1"/>
  <c r="EQ50" i="15"/>
  <c r="ER50" i="15" s="1"/>
  <c r="EQ54" i="15"/>
  <c r="ER54" i="15" s="1"/>
  <c r="EQ58" i="15"/>
  <c r="ER58" i="15" s="1"/>
  <c r="EQ62" i="15"/>
  <c r="ER62" i="15" s="1"/>
  <c r="EQ69" i="15"/>
  <c r="ER69" i="15" s="1"/>
  <c r="EQ73" i="15"/>
  <c r="ER73" i="15" s="1"/>
  <c r="EQ77" i="15"/>
  <c r="ER77" i="15" s="1"/>
  <c r="EQ81" i="15"/>
  <c r="ER81" i="15" s="1"/>
  <c r="EQ84" i="15"/>
  <c r="ER84" i="15" s="1"/>
  <c r="EQ88" i="15"/>
  <c r="ER88" i="15" s="1"/>
  <c r="EQ93" i="15"/>
  <c r="ER93" i="15" s="1"/>
  <c r="EQ96" i="15"/>
  <c r="ER96" i="15" s="1"/>
  <c r="EQ99" i="15"/>
  <c r="ER99" i="15" s="1"/>
  <c r="EQ103" i="15"/>
  <c r="ER103" i="15" s="1"/>
  <c r="EQ107" i="15"/>
  <c r="ER107" i="15" s="1"/>
  <c r="EQ111" i="15"/>
  <c r="ER111" i="15" s="1"/>
  <c r="EQ115" i="15"/>
  <c r="ER115" i="15" s="1"/>
  <c r="EQ119" i="15"/>
  <c r="ER119" i="15" s="1"/>
  <c r="EQ123" i="15"/>
  <c r="ER123" i="15" s="1"/>
  <c r="EQ126" i="15"/>
  <c r="ER126" i="15" s="1"/>
  <c r="EQ130" i="15"/>
  <c r="ER130" i="15" s="1"/>
  <c r="EQ134" i="15"/>
  <c r="ER134" i="15" s="1"/>
  <c r="EQ138" i="15"/>
  <c r="ER138" i="15" s="1"/>
  <c r="EQ142" i="15"/>
  <c r="ER142" i="15" s="1"/>
  <c r="EQ149" i="15"/>
  <c r="ER149" i="15" s="1"/>
  <c r="EQ153" i="15"/>
  <c r="ER153" i="15" s="1"/>
  <c r="EQ157" i="15"/>
  <c r="ER157" i="15" s="1"/>
  <c r="EQ161" i="15"/>
  <c r="ER161" i="15" s="1"/>
  <c r="EQ165" i="15"/>
  <c r="ER165" i="15" s="1"/>
  <c r="EQ172" i="15"/>
  <c r="ER172" i="15" s="1"/>
  <c r="EQ176" i="15"/>
  <c r="ER176" i="15" s="1"/>
  <c r="EQ180" i="15"/>
  <c r="ER180" i="15" s="1"/>
  <c r="EQ184" i="15"/>
  <c r="ER184" i="15" s="1"/>
  <c r="EQ188" i="15"/>
  <c r="ER188" i="15" s="1"/>
  <c r="EQ191" i="15"/>
  <c r="ER191" i="15" s="1"/>
  <c r="EQ195" i="15"/>
  <c r="ER195" i="15" s="1"/>
  <c r="EQ199" i="15"/>
  <c r="ER199" i="15" s="1"/>
  <c r="EQ203" i="15"/>
  <c r="ER203" i="15" s="1"/>
  <c r="EQ207" i="15"/>
  <c r="ER207" i="15" s="1"/>
  <c r="EQ211" i="15"/>
  <c r="ER211" i="15" s="1"/>
  <c r="EQ215" i="15"/>
  <c r="ER215" i="15" s="1"/>
  <c r="EQ219" i="15"/>
  <c r="ER219" i="15" s="1"/>
  <c r="EQ222" i="15"/>
  <c r="ER222" i="15" s="1"/>
  <c r="EQ226" i="15"/>
  <c r="ER226" i="15" s="1"/>
  <c r="EQ230" i="15"/>
  <c r="ER230" i="15" s="1"/>
  <c r="EQ233" i="15"/>
  <c r="ER233" i="15" s="1"/>
  <c r="EQ237" i="15"/>
  <c r="ER237" i="15" s="1"/>
  <c r="EQ241" i="15"/>
  <c r="ER241" i="15" s="1"/>
  <c r="EQ245" i="15"/>
  <c r="ER245" i="15" s="1"/>
  <c r="EQ249" i="15"/>
  <c r="ER249" i="15" s="1"/>
  <c r="EQ252" i="15"/>
  <c r="ER252" i="15" s="1"/>
  <c r="EQ256" i="15"/>
  <c r="ER256" i="15" s="1"/>
  <c r="EQ260" i="15"/>
  <c r="ER260" i="15" s="1"/>
  <c r="EQ264" i="15"/>
  <c r="ER264" i="15" s="1"/>
  <c r="EQ268" i="15"/>
  <c r="ER268" i="15" s="1"/>
  <c r="EQ274" i="15"/>
  <c r="ER274" i="15" s="1"/>
  <c r="EQ279" i="15"/>
  <c r="ER279" i="15" s="1"/>
  <c r="EQ283" i="15"/>
  <c r="ER283" i="15" s="1"/>
  <c r="EQ287" i="15"/>
  <c r="ER287" i="15" s="1"/>
  <c r="EQ291" i="15"/>
  <c r="ER291" i="15" s="1"/>
  <c r="EQ295" i="15"/>
  <c r="ER295" i="15" s="1"/>
  <c r="EQ299" i="15"/>
  <c r="ER299" i="15" s="1"/>
  <c r="EQ302" i="15"/>
  <c r="ER302" i="15" s="1"/>
  <c r="EQ306" i="15"/>
  <c r="ER306" i="15" s="1"/>
  <c r="EQ310" i="15"/>
  <c r="ER310" i="15" s="1"/>
  <c r="EQ314" i="15"/>
  <c r="ER314" i="15" s="1"/>
  <c r="EQ318" i="15"/>
  <c r="ER318" i="15" s="1"/>
  <c r="EQ322" i="15"/>
  <c r="ER322" i="15" s="1"/>
  <c r="EQ329" i="15"/>
  <c r="ER329" i="15" s="1"/>
  <c r="EQ333" i="15"/>
  <c r="ER333" i="15" s="1"/>
  <c r="EQ337" i="15"/>
  <c r="ER337" i="15" s="1"/>
  <c r="EQ341" i="15"/>
  <c r="ER341" i="15" s="1"/>
  <c r="EQ345" i="15"/>
  <c r="ER345" i="15" s="1"/>
  <c r="EQ349" i="15"/>
  <c r="ER349" i="15" s="1"/>
  <c r="EQ353" i="15"/>
  <c r="ER353" i="15" s="1"/>
  <c r="EQ357" i="15"/>
  <c r="ER357" i="15" s="1"/>
  <c r="EQ361" i="15"/>
  <c r="ER361" i="15" s="1"/>
  <c r="EQ365" i="15"/>
  <c r="ER365" i="15" s="1"/>
  <c r="EQ369" i="15"/>
  <c r="ER369" i="15" s="1"/>
  <c r="EQ372" i="15"/>
  <c r="ER372" i="15" s="1"/>
  <c r="EQ376" i="15"/>
  <c r="ER376" i="15" s="1"/>
  <c r="EQ380" i="15"/>
  <c r="ER380" i="15" s="1"/>
  <c r="EQ384" i="15"/>
  <c r="ER384" i="15" s="1"/>
  <c r="EQ388" i="15"/>
  <c r="ER388" i="15" s="1"/>
  <c r="EQ392" i="15"/>
  <c r="ER392" i="15" s="1"/>
  <c r="EQ396" i="15"/>
  <c r="ER396" i="15" s="1"/>
  <c r="EQ400" i="15"/>
  <c r="ER400" i="15" s="1"/>
  <c r="EQ404" i="15"/>
  <c r="ER404" i="15" s="1"/>
  <c r="EQ411" i="15"/>
  <c r="ER411" i="15" s="1"/>
  <c r="EQ415" i="15"/>
  <c r="ER415" i="15" s="1"/>
  <c r="EQ419" i="15"/>
  <c r="ER419" i="15" s="1"/>
  <c r="EQ423" i="15"/>
  <c r="ER423" i="15" s="1"/>
  <c r="EQ427" i="15"/>
  <c r="ER427" i="15" s="1"/>
  <c r="EQ434" i="15"/>
  <c r="ER434" i="15" s="1"/>
  <c r="EQ438" i="15"/>
  <c r="ER438" i="15" s="1"/>
  <c r="EQ442" i="15"/>
  <c r="ER442" i="15" s="1"/>
  <c r="EQ446" i="15"/>
  <c r="ER446" i="15" s="1"/>
  <c r="EQ450" i="15"/>
  <c r="ER450" i="15" s="1"/>
  <c r="EQ454" i="15"/>
  <c r="ER454" i="15" s="1"/>
  <c r="EQ457" i="15"/>
  <c r="ER457" i="15" s="1"/>
  <c r="EQ461" i="15"/>
  <c r="ER461" i="15" s="1"/>
  <c r="EQ465" i="15"/>
  <c r="ER465" i="15" s="1"/>
  <c r="EQ469" i="15"/>
  <c r="ER469" i="15" s="1"/>
  <c r="EQ476" i="15"/>
  <c r="ER476" i="15" s="1"/>
  <c r="EQ480" i="15"/>
  <c r="ER480" i="15" s="1"/>
  <c r="EQ484" i="15"/>
  <c r="ER484" i="15" s="1"/>
  <c r="EQ488" i="15"/>
  <c r="ER488" i="15" s="1"/>
  <c r="EQ495" i="15"/>
  <c r="ER495" i="15" s="1"/>
  <c r="EQ499" i="15"/>
  <c r="ER499" i="15" s="1"/>
  <c r="EQ503" i="15"/>
  <c r="ER503" i="15" s="1"/>
  <c r="EQ507" i="15"/>
  <c r="ER507" i="15" s="1"/>
  <c r="EQ511" i="15"/>
  <c r="ER511" i="15" s="1"/>
  <c r="EQ518" i="15"/>
  <c r="ER518" i="15" s="1"/>
  <c r="EQ522" i="15"/>
  <c r="ER522" i="15" s="1"/>
  <c r="EQ526" i="15"/>
  <c r="ER526" i="15" s="1"/>
  <c r="EQ533" i="15"/>
  <c r="ER533" i="15" s="1"/>
  <c r="EQ537" i="15"/>
  <c r="ER537" i="15" s="1"/>
  <c r="EQ541" i="15"/>
  <c r="ER541" i="15" s="1"/>
  <c r="EQ545" i="15"/>
  <c r="ER545" i="15" s="1"/>
  <c r="EQ552" i="15"/>
  <c r="ER552" i="15" s="1"/>
  <c r="EQ556" i="15"/>
  <c r="ER556" i="15" s="1"/>
  <c r="EQ560" i="15"/>
  <c r="ER560" i="15" s="1"/>
  <c r="EQ564" i="15"/>
  <c r="ER564" i="15" s="1"/>
  <c r="EQ568" i="15"/>
  <c r="ER568" i="15" s="1"/>
  <c r="EQ573" i="15"/>
  <c r="ER573" i="15" s="1"/>
  <c r="EQ579" i="15"/>
  <c r="ER579" i="15" s="1"/>
  <c r="EQ583" i="15"/>
  <c r="ER583" i="15" s="1"/>
  <c r="EQ587" i="15"/>
  <c r="ER587" i="15" s="1"/>
  <c r="EQ591" i="15"/>
  <c r="ER591" i="15" s="1"/>
  <c r="EQ595" i="15"/>
  <c r="ER595" i="15" s="1"/>
  <c r="EQ599" i="15"/>
  <c r="ER599" i="15" s="1"/>
  <c r="EQ603" i="15"/>
  <c r="ER603" i="15" s="1"/>
  <c r="EQ607" i="15"/>
  <c r="ER607" i="15" s="1"/>
  <c r="EQ611" i="15"/>
  <c r="ER611" i="15" s="1"/>
  <c r="EQ614" i="15"/>
  <c r="ER614" i="15" s="1"/>
  <c r="EQ618" i="15"/>
  <c r="ER618" i="15" s="1"/>
  <c r="EQ625" i="15"/>
  <c r="ER625" i="15" s="1"/>
  <c r="EQ629" i="15"/>
  <c r="ER629" i="15" s="1"/>
  <c r="EQ633" i="15"/>
  <c r="ER633" i="15" s="1"/>
  <c r="EQ637" i="15"/>
  <c r="ER637" i="15" s="1"/>
  <c r="EQ641" i="15"/>
  <c r="ER641" i="15" s="1"/>
  <c r="EQ644" i="15"/>
  <c r="ER644" i="15" s="1"/>
  <c r="EQ648" i="15"/>
  <c r="ER648" i="15" s="1"/>
  <c r="EQ652" i="15"/>
  <c r="ER652" i="15" s="1"/>
  <c r="EQ656" i="15"/>
  <c r="ER656" i="15" s="1"/>
  <c r="EQ660" i="15"/>
  <c r="ER660" i="15" s="1"/>
  <c r="EQ664" i="15"/>
  <c r="ER664" i="15" s="1"/>
  <c r="EQ668" i="15"/>
  <c r="ER668" i="15" s="1"/>
  <c r="EQ671" i="15"/>
  <c r="ER671" i="15" s="1"/>
  <c r="EQ675" i="15"/>
  <c r="ER675" i="15" s="1"/>
  <c r="EQ679" i="15"/>
  <c r="ER679" i="15" s="1"/>
  <c r="EQ683" i="15"/>
  <c r="ER683" i="15" s="1"/>
  <c r="EQ690" i="15"/>
  <c r="ER690" i="15" s="1"/>
  <c r="EQ694" i="15"/>
  <c r="ER694" i="15" s="1"/>
  <c r="EQ698" i="15"/>
  <c r="ER698" i="15" s="1"/>
  <c r="EQ702" i="15"/>
  <c r="ER702" i="15" s="1"/>
  <c r="EQ706" i="15"/>
  <c r="ER706" i="15" s="1"/>
  <c r="EQ710" i="15"/>
  <c r="ER710" i="15" s="1"/>
  <c r="EQ714" i="15"/>
  <c r="ER714" i="15" s="1"/>
  <c r="EQ717" i="15"/>
  <c r="ER717" i="15" s="1"/>
  <c r="EQ721" i="15"/>
  <c r="ER721" i="15" s="1"/>
  <c r="EQ725" i="15"/>
  <c r="ER725" i="15" s="1"/>
  <c r="EQ729" i="15"/>
  <c r="ER729" i="15" s="1"/>
  <c r="EQ736" i="15"/>
  <c r="ER736" i="15" s="1"/>
  <c r="EQ740" i="15"/>
  <c r="ER740" i="15" s="1"/>
  <c r="EQ744" i="15"/>
  <c r="ER744" i="15" s="1"/>
  <c r="EQ748" i="15"/>
  <c r="ER748" i="15" s="1"/>
  <c r="EQ752" i="15"/>
  <c r="ER752" i="15" s="1"/>
  <c r="EQ755" i="15"/>
  <c r="ER755" i="15" s="1"/>
  <c r="EQ774" i="15"/>
  <c r="ER774" i="15" s="1"/>
  <c r="EQ761" i="15"/>
  <c r="ER761" i="15" s="1"/>
  <c r="EQ765" i="15"/>
  <c r="ER765" i="15" s="1"/>
  <c r="EQ769" i="15"/>
  <c r="ER769" i="15" s="1"/>
  <c r="EQ778" i="15"/>
  <c r="ER778" i="15" s="1"/>
  <c r="EQ782" i="15"/>
  <c r="ER782" i="15" s="1"/>
  <c r="EQ786" i="15"/>
  <c r="ER786" i="15" s="1"/>
  <c r="EQ790" i="15"/>
  <c r="ER790" i="15" s="1"/>
  <c r="EQ794" i="15"/>
  <c r="ER794" i="15" s="1"/>
  <c r="EQ797" i="15"/>
  <c r="ER797" i="15" s="1"/>
  <c r="EQ801" i="15"/>
  <c r="ER801" i="15" s="1"/>
  <c r="EQ805" i="15"/>
  <c r="ER805" i="15" s="1"/>
  <c r="EQ809" i="15"/>
  <c r="ER809" i="15" s="1"/>
  <c r="EQ813" i="15"/>
  <c r="ER813" i="15" s="1"/>
  <c r="EQ817" i="15"/>
  <c r="ER817" i="15" s="1"/>
  <c r="EQ821" i="15"/>
  <c r="ER821" i="15" s="1"/>
  <c r="EQ825" i="15"/>
  <c r="ER825" i="15" s="1"/>
  <c r="EQ832" i="15"/>
  <c r="ER832" i="15" s="1"/>
  <c r="EQ836" i="15"/>
  <c r="ER836" i="15" s="1"/>
  <c r="EQ840" i="15"/>
  <c r="ER840" i="15" s="1"/>
  <c r="EQ844" i="15"/>
  <c r="ER844" i="15" s="1"/>
  <c r="EQ848" i="15"/>
  <c r="ER848" i="15" s="1"/>
  <c r="EQ852" i="15"/>
  <c r="ER852" i="15" s="1"/>
  <c r="EQ856" i="15"/>
  <c r="ER856" i="15" s="1"/>
  <c r="EQ860" i="15"/>
  <c r="ER860" i="15" s="1"/>
  <c r="EQ6" i="15"/>
  <c r="ER6" i="15" s="1"/>
  <c r="EQ13" i="15"/>
  <c r="ER13" i="15" s="1"/>
  <c r="EQ17" i="15"/>
  <c r="ER17" i="15" s="1"/>
  <c r="EQ21" i="15"/>
  <c r="ER21" i="15" s="1"/>
  <c r="EQ25" i="15"/>
  <c r="ER25" i="15" s="1"/>
  <c r="EQ29" i="15"/>
  <c r="ER29" i="15" s="1"/>
  <c r="EQ36" i="15"/>
  <c r="ER36" i="15" s="1"/>
  <c r="EQ40" i="15"/>
  <c r="ER40" i="15" s="1"/>
  <c r="EQ43" i="15"/>
  <c r="ER43" i="15" s="1"/>
  <c r="EQ47" i="15"/>
  <c r="ER47" i="15" s="1"/>
  <c r="EQ51" i="15"/>
  <c r="ER51" i="15" s="1"/>
  <c r="EQ55" i="15"/>
  <c r="ER55" i="15" s="1"/>
  <c r="EQ59" i="15"/>
  <c r="ER59" i="15" s="1"/>
  <c r="EQ63" i="15"/>
  <c r="ER63" i="15" s="1"/>
  <c r="EQ66" i="15"/>
  <c r="ER66" i="15" s="1"/>
  <c r="EQ70" i="15"/>
  <c r="ER70" i="15" s="1"/>
  <c r="EQ74" i="15"/>
  <c r="ER74" i="15" s="1"/>
  <c r="EQ78" i="15"/>
  <c r="ER78" i="15" s="1"/>
  <c r="EQ85" i="15"/>
  <c r="ER85" i="15" s="1"/>
  <c r="EQ89" i="15"/>
  <c r="ER89" i="15" s="1"/>
  <c r="EQ92" i="15"/>
  <c r="ER92" i="15" s="1"/>
  <c r="EQ100" i="15"/>
  <c r="ER100" i="15" s="1"/>
  <c r="EQ104" i="15"/>
  <c r="ER104" i="15" s="1"/>
  <c r="EQ108" i="15"/>
  <c r="ER108" i="15" s="1"/>
  <c r="EQ112" i="15"/>
  <c r="ER112" i="15" s="1"/>
  <c r="EQ116" i="15"/>
  <c r="ER116" i="15" s="1"/>
  <c r="EQ120" i="15"/>
  <c r="ER120" i="15" s="1"/>
  <c r="EQ127" i="15"/>
  <c r="ER127" i="15" s="1"/>
  <c r="EQ131" i="15"/>
  <c r="ER131" i="15" s="1"/>
  <c r="EQ135" i="15"/>
  <c r="ER135" i="15" s="1"/>
  <c r="EQ139" i="15"/>
  <c r="ER139" i="15" s="1"/>
  <c r="EQ146" i="15"/>
  <c r="ER146" i="15" s="1"/>
  <c r="EQ150" i="15"/>
  <c r="ER150" i="15" s="1"/>
  <c r="EQ154" i="15"/>
  <c r="ER154" i="15" s="1"/>
  <c r="EQ158" i="15"/>
  <c r="ER158" i="15" s="1"/>
  <c r="EQ162" i="15"/>
  <c r="ER162" i="15" s="1"/>
  <c r="EQ166" i="15"/>
  <c r="ER166" i="15" s="1"/>
  <c r="EQ169" i="15"/>
  <c r="ER169" i="15" s="1"/>
  <c r="EQ173" i="15"/>
  <c r="ER173" i="15" s="1"/>
  <c r="EQ177" i="15"/>
  <c r="ER177" i="15" s="1"/>
  <c r="EQ181" i="15"/>
  <c r="ER181" i="15" s="1"/>
  <c r="EQ185" i="15"/>
  <c r="ER185" i="15" s="1"/>
  <c r="EQ189" i="15"/>
  <c r="ER189" i="15" s="1"/>
  <c r="EQ192" i="15"/>
  <c r="ER192" i="15" s="1"/>
  <c r="EQ196" i="15"/>
  <c r="ER196" i="15" s="1"/>
  <c r="EQ200" i="15"/>
  <c r="ER200" i="15" s="1"/>
  <c r="EQ204" i="15"/>
  <c r="ER204" i="15" s="1"/>
  <c r="EQ208" i="15"/>
  <c r="ER208" i="15" s="1"/>
  <c r="EQ212" i="15"/>
  <c r="ER212" i="15" s="1"/>
  <c r="EQ216" i="15"/>
  <c r="ER216" i="15" s="1"/>
  <c r="EQ223" i="15"/>
  <c r="ER223" i="15" s="1"/>
  <c r="EQ227" i="15"/>
  <c r="ER227" i="15" s="1"/>
  <c r="EQ231" i="15"/>
  <c r="ER231" i="15" s="1"/>
  <c r="EQ234" i="15"/>
  <c r="ER234" i="15" s="1"/>
  <c r="EQ238" i="15"/>
  <c r="ER238" i="15" s="1"/>
  <c r="EQ242" i="15"/>
  <c r="ER242" i="15" s="1"/>
  <c r="EQ246" i="15"/>
  <c r="ER246" i="15" s="1"/>
  <c r="EQ253" i="15"/>
  <c r="ER253" i="15" s="1"/>
  <c r="EQ257" i="15"/>
  <c r="ER257" i="15" s="1"/>
  <c r="EQ261" i="15"/>
  <c r="ER261" i="15" s="1"/>
  <c r="EQ265" i="15"/>
  <c r="ER265" i="15" s="1"/>
  <c r="EQ272" i="15"/>
  <c r="ER272" i="15" s="1"/>
  <c r="EQ276" i="15"/>
  <c r="ER276" i="15" s="1"/>
  <c r="EQ280" i="15"/>
  <c r="ER280" i="15" s="1"/>
  <c r="EQ284" i="15"/>
  <c r="ER284" i="15" s="1"/>
  <c r="EQ288" i="15"/>
  <c r="ER288" i="15" s="1"/>
  <c r="EQ292" i="15"/>
  <c r="ER292" i="15" s="1"/>
  <c r="EQ296" i="15"/>
  <c r="ER296" i="15" s="1"/>
  <c r="EQ300" i="15"/>
  <c r="ER300" i="15" s="1"/>
  <c r="EQ303" i="15"/>
  <c r="ER303" i="15" s="1"/>
  <c r="EQ307" i="15"/>
  <c r="ER307" i="15" s="1"/>
  <c r="EQ311" i="15"/>
  <c r="ER311" i="15" s="1"/>
  <c r="EQ315" i="15"/>
  <c r="ER315" i="15" s="1"/>
  <c r="EQ319" i="15"/>
  <c r="ER319" i="15" s="1"/>
  <c r="EQ323" i="15"/>
  <c r="ER323" i="15" s="1"/>
  <c r="EQ326" i="15"/>
  <c r="ER326" i="15" s="1"/>
  <c r="EQ330" i="15"/>
  <c r="ER330" i="15" s="1"/>
  <c r="EQ334" i="15"/>
  <c r="ER334" i="15" s="1"/>
  <c r="EQ338" i="15"/>
  <c r="ER338" i="15" s="1"/>
  <c r="EQ342" i="15"/>
  <c r="ER342" i="15" s="1"/>
  <c r="EQ346" i="15"/>
  <c r="ER346" i="15" s="1"/>
  <c r="EQ350" i="15"/>
  <c r="ER350" i="15" s="1"/>
  <c r="EQ354" i="15"/>
  <c r="ER354" i="15" s="1"/>
  <c r="EQ358" i="15"/>
  <c r="ER358" i="15" s="1"/>
  <c r="EQ362" i="15"/>
  <c r="ER362" i="15" s="1"/>
  <c r="EQ366" i="15"/>
  <c r="ER366" i="15" s="1"/>
  <c r="EQ370" i="15"/>
  <c r="ER370" i="15" s="1"/>
  <c r="EQ373" i="15"/>
  <c r="ER373" i="15" s="1"/>
  <c r="EQ377" i="15"/>
  <c r="ER377" i="15" s="1"/>
  <c r="EQ381" i="15"/>
  <c r="ER381" i="15" s="1"/>
  <c r="EQ385" i="15"/>
  <c r="ER385" i="15" s="1"/>
  <c r="EQ389" i="15"/>
  <c r="ER389" i="15" s="1"/>
  <c r="EQ393" i="15"/>
  <c r="ER393" i="15" s="1"/>
  <c r="EQ397" i="15"/>
  <c r="ER397" i="15" s="1"/>
  <c r="EQ401" i="15"/>
  <c r="ER401" i="15" s="1"/>
  <c r="EQ405" i="15"/>
  <c r="ER405" i="15" s="1"/>
  <c r="EQ408" i="15"/>
  <c r="ER408" i="15" s="1"/>
  <c r="EQ412" i="15"/>
  <c r="ER412" i="15" s="1"/>
  <c r="EQ416" i="15"/>
  <c r="ER416" i="15" s="1"/>
  <c r="EQ420" i="15"/>
  <c r="ER420" i="15" s="1"/>
  <c r="EQ424" i="15"/>
  <c r="ER424" i="15" s="1"/>
  <c r="EQ428" i="15"/>
  <c r="ER428" i="15" s="1"/>
  <c r="EQ431" i="15"/>
  <c r="ER431" i="15" s="1"/>
  <c r="EQ435" i="15"/>
  <c r="ER435" i="15" s="1"/>
  <c r="EQ439" i="15"/>
  <c r="ER439" i="15" s="1"/>
  <c r="EQ443" i="15"/>
  <c r="ER443" i="15" s="1"/>
  <c r="EQ447" i="15"/>
  <c r="ER447" i="15" s="1"/>
  <c r="EQ451" i="15"/>
  <c r="ER451" i="15" s="1"/>
  <c r="EQ455" i="15"/>
  <c r="ER455" i="15" s="1"/>
  <c r="EQ458" i="15"/>
  <c r="ER458" i="15" s="1"/>
  <c r="EQ462" i="15"/>
  <c r="ER462" i="15" s="1"/>
  <c r="EQ466" i="15"/>
  <c r="ER466" i="15" s="1"/>
  <c r="EQ473" i="15"/>
  <c r="ER473" i="15" s="1"/>
  <c r="EQ477" i="15"/>
  <c r="ER477" i="15" s="1"/>
  <c r="EQ481" i="15"/>
  <c r="ER481" i="15" s="1"/>
  <c r="EQ485" i="15"/>
  <c r="ER485" i="15" s="1"/>
  <c r="EQ489" i="15"/>
  <c r="ER489" i="15" s="1"/>
  <c r="EQ492" i="15"/>
  <c r="ER492" i="15" s="1"/>
  <c r="EQ496" i="15"/>
  <c r="ER496" i="15" s="1"/>
  <c r="EQ500" i="15"/>
  <c r="ER500" i="15" s="1"/>
  <c r="EQ504" i="15"/>
  <c r="ER504" i="15" s="1"/>
  <c r="EQ508" i="15"/>
  <c r="ER508" i="15" s="1"/>
  <c r="EQ512" i="15"/>
  <c r="ER512" i="15" s="1"/>
  <c r="EQ515" i="15"/>
  <c r="ER515" i="15" s="1"/>
  <c r="EQ519" i="15"/>
  <c r="ER519" i="15" s="1"/>
  <c r="EQ523" i="15"/>
  <c r="ER523" i="15" s="1"/>
  <c r="EQ527" i="15"/>
  <c r="ER527" i="15" s="1"/>
  <c r="EQ530" i="15"/>
  <c r="ER530" i="15" s="1"/>
  <c r="EQ534" i="15"/>
  <c r="ER534" i="15" s="1"/>
  <c r="EQ538" i="15"/>
  <c r="ER538" i="15" s="1"/>
  <c r="EQ542" i="15"/>
  <c r="ER542" i="15" s="1"/>
  <c r="EQ546" i="15"/>
  <c r="ER546" i="15" s="1"/>
  <c r="EQ549" i="15"/>
  <c r="ER549" i="15" s="1"/>
  <c r="EQ553" i="15"/>
  <c r="ER553" i="15" s="1"/>
  <c r="EQ557" i="15"/>
  <c r="ER557" i="15" s="1"/>
  <c r="EQ561" i="15"/>
  <c r="ER561" i="15" s="1"/>
  <c r="EQ565" i="15"/>
  <c r="ER565" i="15" s="1"/>
  <c r="EQ569" i="15"/>
  <c r="ER569" i="15" s="1"/>
  <c r="EQ574" i="15"/>
  <c r="ER574" i="15" s="1"/>
  <c r="EQ577" i="15"/>
  <c r="ER577" i="15" s="1"/>
  <c r="EQ580" i="15"/>
  <c r="ER580" i="15" s="1"/>
  <c r="EQ584" i="15"/>
  <c r="ER584" i="15" s="1"/>
  <c r="EQ588" i="15"/>
  <c r="ER588" i="15" s="1"/>
  <c r="EQ592" i="15"/>
  <c r="ER592" i="15" s="1"/>
  <c r="EQ596" i="15"/>
  <c r="ER596" i="15" s="1"/>
  <c r="EQ600" i="15"/>
  <c r="ER600" i="15" s="1"/>
  <c r="EQ604" i="15"/>
  <c r="ER604" i="15" s="1"/>
  <c r="EQ608" i="15"/>
  <c r="ER608" i="15" s="1"/>
  <c r="EQ615" i="15"/>
  <c r="ER615" i="15" s="1"/>
  <c r="EQ619" i="15"/>
  <c r="ER619" i="15" s="1"/>
  <c r="EQ622" i="15"/>
  <c r="ER622" i="15" s="1"/>
  <c r="EQ626" i="15"/>
  <c r="ER626" i="15" s="1"/>
  <c r="EQ630" i="15"/>
  <c r="ER630" i="15" s="1"/>
  <c r="EQ634" i="15"/>
  <c r="ER634" i="15" s="1"/>
  <c r="EQ638" i="15"/>
  <c r="ER638" i="15" s="1"/>
  <c r="EQ645" i="15"/>
  <c r="ER645" i="15" s="1"/>
  <c r="EQ649" i="15"/>
  <c r="ER649" i="15" s="1"/>
  <c r="EQ653" i="15"/>
  <c r="ER653" i="15" s="1"/>
  <c r="EQ657" i="15"/>
  <c r="ER657" i="15" s="1"/>
  <c r="EQ661" i="15"/>
  <c r="ER661" i="15" s="1"/>
  <c r="EQ665" i="15"/>
  <c r="ER665" i="15" s="1"/>
  <c r="EQ672" i="15"/>
  <c r="ER672" i="15" s="1"/>
  <c r="EQ676" i="15"/>
  <c r="ER676" i="15" s="1"/>
  <c r="EQ680" i="15"/>
  <c r="ER680" i="15" s="1"/>
  <c r="EQ684" i="15"/>
  <c r="ER684" i="15" s="1"/>
  <c r="EQ688" i="15"/>
  <c r="ER688" i="15" s="1"/>
  <c r="EQ691" i="15"/>
  <c r="ER691" i="15" s="1"/>
  <c r="EQ695" i="15"/>
  <c r="ER695" i="15" s="1"/>
  <c r="EQ699" i="15"/>
  <c r="ER699" i="15" s="1"/>
  <c r="EQ703" i="15"/>
  <c r="ER703" i="15" s="1"/>
  <c r="EQ707" i="15"/>
  <c r="ER707" i="15" s="1"/>
  <c r="EQ711" i="15"/>
  <c r="ER711" i="15" s="1"/>
  <c r="EQ718" i="15"/>
  <c r="ER718" i="15" s="1"/>
  <c r="EQ722" i="15"/>
  <c r="ER722" i="15" s="1"/>
  <c r="EQ726" i="15"/>
  <c r="ER726" i="15" s="1"/>
  <c r="EQ730" i="15"/>
  <c r="ER730" i="15" s="1"/>
  <c r="EQ733" i="15"/>
  <c r="ER733" i="15" s="1"/>
  <c r="EQ737" i="15"/>
  <c r="ER737" i="15" s="1"/>
  <c r="EQ741" i="15"/>
  <c r="ER741" i="15" s="1"/>
  <c r="EQ745" i="15"/>
  <c r="ER745" i="15" s="1"/>
  <c r="EQ749" i="15"/>
  <c r="ER749" i="15" s="1"/>
  <c r="EQ756" i="15"/>
  <c r="ER756" i="15" s="1"/>
  <c r="EQ758" i="15"/>
  <c r="ER758" i="15" s="1"/>
  <c r="EQ762" i="15"/>
  <c r="ER762" i="15" s="1"/>
  <c r="EQ766" i="15"/>
  <c r="ER766" i="15" s="1"/>
  <c r="EQ770" i="15"/>
  <c r="ER770" i="15" s="1"/>
  <c r="EQ776" i="15"/>
  <c r="ER776" i="15" s="1"/>
  <c r="EQ779" i="15"/>
  <c r="ER779" i="15" s="1"/>
  <c r="EQ783" i="15"/>
  <c r="ER783" i="15" s="1"/>
  <c r="EQ787" i="15"/>
  <c r="ER787" i="15" s="1"/>
  <c r="EQ791" i="15"/>
  <c r="ER791" i="15" s="1"/>
  <c r="EQ798" i="15"/>
  <c r="ER798" i="15" s="1"/>
  <c r="EQ802" i="15"/>
  <c r="ER802" i="15" s="1"/>
  <c r="EQ806" i="15"/>
  <c r="ER806" i="15" s="1"/>
  <c r="EQ810" i="15"/>
  <c r="ER810" i="15" s="1"/>
  <c r="EQ814" i="15"/>
  <c r="ER814" i="15" s="1"/>
  <c r="EQ818" i="15"/>
  <c r="ER818" i="15" s="1"/>
  <c r="EQ822" i="15"/>
  <c r="ER822" i="15" s="1"/>
  <c r="EQ826" i="15"/>
  <c r="ER826" i="15" s="1"/>
  <c r="EQ829" i="15"/>
  <c r="ER829" i="15" s="1"/>
  <c r="EQ833" i="15"/>
  <c r="ER833" i="15" s="1"/>
  <c r="EQ837" i="15"/>
  <c r="ER837" i="15" s="1"/>
  <c r="EQ841" i="15"/>
  <c r="ER841" i="15" s="1"/>
  <c r="EQ845" i="15"/>
  <c r="ER845" i="15" s="1"/>
  <c r="EQ849" i="15"/>
  <c r="ER849" i="15" s="1"/>
  <c r="EQ853" i="15"/>
  <c r="ER853" i="15" s="1"/>
  <c r="EQ857" i="15"/>
  <c r="ER857" i="15" s="1"/>
  <c r="EQ861" i="15"/>
  <c r="ER861" i="15" s="1"/>
  <c r="EQ14" i="15"/>
  <c r="ER14" i="15" s="1"/>
  <c r="EQ30" i="15"/>
  <c r="ER30" i="15" s="1"/>
  <c r="EQ44" i="15"/>
  <c r="ER44" i="15" s="1"/>
  <c r="EQ60" i="15"/>
  <c r="ER60" i="15" s="1"/>
  <c r="EQ75" i="15"/>
  <c r="ER75" i="15" s="1"/>
  <c r="EQ90" i="15"/>
  <c r="ER90" i="15" s="1"/>
  <c r="EQ105" i="15"/>
  <c r="ER105" i="15" s="1"/>
  <c r="EQ121" i="15"/>
  <c r="ER121" i="15" s="1"/>
  <c r="EQ136" i="15"/>
  <c r="ER136" i="15" s="1"/>
  <c r="EQ151" i="15"/>
  <c r="ER151" i="15" s="1"/>
  <c r="EQ167" i="15"/>
  <c r="ER167" i="15" s="1"/>
  <c r="EQ182" i="15"/>
  <c r="ER182" i="15" s="1"/>
  <c r="EQ197" i="15"/>
  <c r="ER197" i="15" s="1"/>
  <c r="EQ213" i="15"/>
  <c r="ER213" i="15" s="1"/>
  <c r="EQ228" i="15"/>
  <c r="ER228" i="15" s="1"/>
  <c r="EQ243" i="15"/>
  <c r="ER243" i="15" s="1"/>
  <c r="EQ258" i="15"/>
  <c r="ER258" i="15" s="1"/>
  <c r="EQ273" i="15"/>
  <c r="ER273" i="15" s="1"/>
  <c r="EQ289" i="15"/>
  <c r="ER289" i="15" s="1"/>
  <c r="EQ304" i="15"/>
  <c r="ER304" i="15" s="1"/>
  <c r="EQ320" i="15"/>
  <c r="ER320" i="15" s="1"/>
  <c r="EQ335" i="15"/>
  <c r="ER335" i="15" s="1"/>
  <c r="EQ351" i="15"/>
  <c r="ER351" i="15" s="1"/>
  <c r="EQ367" i="15"/>
  <c r="ER367" i="15" s="1"/>
  <c r="EQ382" i="15"/>
  <c r="ER382" i="15" s="1"/>
  <c r="EQ398" i="15"/>
  <c r="ER398" i="15" s="1"/>
  <c r="EQ413" i="15"/>
  <c r="ER413" i="15" s="1"/>
  <c r="EQ444" i="15"/>
  <c r="ER444" i="15" s="1"/>
  <c r="EQ459" i="15"/>
  <c r="ER459" i="15" s="1"/>
  <c r="EQ474" i="15"/>
  <c r="ER474" i="15" s="1"/>
  <c r="EQ505" i="15"/>
  <c r="ER505" i="15" s="1"/>
  <c r="EQ520" i="15"/>
  <c r="ER520" i="15" s="1"/>
  <c r="EQ535" i="15"/>
  <c r="ER535" i="15" s="1"/>
  <c r="EQ550" i="15"/>
  <c r="ER550" i="15" s="1"/>
  <c r="EQ566" i="15"/>
  <c r="ER566" i="15" s="1"/>
  <c r="EQ581" i="15"/>
  <c r="ER581" i="15" s="1"/>
  <c r="EQ597" i="15"/>
  <c r="ER597" i="15" s="1"/>
  <c r="EQ612" i="15"/>
  <c r="ER612" i="15" s="1"/>
  <c r="EQ627" i="15"/>
  <c r="ER627" i="15" s="1"/>
  <c r="EQ642" i="15"/>
  <c r="ER642" i="15" s="1"/>
  <c r="EQ658" i="15"/>
  <c r="ER658" i="15" s="1"/>
  <c r="EQ673" i="15"/>
  <c r="ER673" i="15" s="1"/>
  <c r="EQ704" i="15"/>
  <c r="ER704" i="15" s="1"/>
  <c r="EQ719" i="15"/>
  <c r="ER719" i="15" s="1"/>
  <c r="EQ734" i="15"/>
  <c r="ER734" i="15" s="1"/>
  <c r="EQ750" i="15"/>
  <c r="ER750" i="15" s="1"/>
  <c r="EQ763" i="15"/>
  <c r="ER763" i="15" s="1"/>
  <c r="EQ780" i="15"/>
  <c r="ER780" i="15" s="1"/>
  <c r="EQ796" i="15"/>
  <c r="ER796" i="15" s="1"/>
  <c r="EQ811" i="15"/>
  <c r="ER811" i="15" s="1"/>
  <c r="EQ842" i="15"/>
  <c r="ER842" i="15" s="1"/>
  <c r="EQ858" i="15"/>
  <c r="ER858" i="15" s="1"/>
  <c r="EQ26" i="15"/>
  <c r="ER26" i="15" s="1"/>
  <c r="EQ56" i="15"/>
  <c r="ER56" i="15" s="1"/>
  <c r="EQ101" i="15"/>
  <c r="ER101" i="15" s="1"/>
  <c r="EQ147" i="15"/>
  <c r="ER147" i="15" s="1"/>
  <c r="EQ193" i="15"/>
  <c r="ER193" i="15" s="1"/>
  <c r="EQ239" i="15"/>
  <c r="ER239" i="15" s="1"/>
  <c r="EQ270" i="15"/>
  <c r="ER270" i="15" s="1"/>
  <c r="EQ347" i="15"/>
  <c r="ER347" i="15" s="1"/>
  <c r="EQ394" i="15"/>
  <c r="ER394" i="15" s="1"/>
  <c r="EQ425" i="15"/>
  <c r="ER425" i="15" s="1"/>
  <c r="EQ471" i="15"/>
  <c r="ER471" i="15" s="1"/>
  <c r="EQ516" i="15"/>
  <c r="ER516" i="15" s="1"/>
  <c r="EQ562" i="15"/>
  <c r="ER562" i="15" s="1"/>
  <c r="EQ593" i="15"/>
  <c r="ER593" i="15" s="1"/>
  <c r="EQ639" i="15"/>
  <c r="ER639" i="15" s="1"/>
  <c r="EQ685" i="15"/>
  <c r="ER685" i="15" s="1"/>
  <c r="EQ759" i="15"/>
  <c r="ER759" i="15" s="1"/>
  <c r="EQ807" i="15"/>
  <c r="ER807" i="15" s="1"/>
  <c r="EQ18" i="15"/>
  <c r="ER18" i="15" s="1"/>
  <c r="EQ34" i="15"/>
  <c r="ER34" i="15" s="1"/>
  <c r="EQ48" i="15"/>
  <c r="ER48" i="15" s="1"/>
  <c r="EQ79" i="15"/>
  <c r="ER79" i="15" s="1"/>
  <c r="EQ94" i="15"/>
  <c r="ER94" i="15" s="1"/>
  <c r="EQ109" i="15"/>
  <c r="ER109" i="15" s="1"/>
  <c r="EQ125" i="15"/>
  <c r="ER125" i="15" s="1"/>
  <c r="EQ140" i="15"/>
  <c r="ER140" i="15" s="1"/>
  <c r="EQ155" i="15"/>
  <c r="ER155" i="15" s="1"/>
  <c r="EQ170" i="15"/>
  <c r="ER170" i="15" s="1"/>
  <c r="EQ186" i="15"/>
  <c r="ER186" i="15" s="1"/>
  <c r="EQ201" i="15"/>
  <c r="ER201" i="15" s="1"/>
  <c r="EQ217" i="15"/>
  <c r="ER217" i="15" s="1"/>
  <c r="EQ232" i="15"/>
  <c r="ER232" i="15" s="1"/>
  <c r="EQ247" i="15"/>
  <c r="ER247" i="15" s="1"/>
  <c r="EQ262" i="15"/>
  <c r="ER262" i="15" s="1"/>
  <c r="EQ277" i="15"/>
  <c r="ER277" i="15" s="1"/>
  <c r="EQ293" i="15"/>
  <c r="ER293" i="15" s="1"/>
  <c r="EQ308" i="15"/>
  <c r="ER308" i="15" s="1"/>
  <c r="EQ339" i="15"/>
  <c r="ER339" i="15" s="1"/>
  <c r="EQ355" i="15"/>
  <c r="ER355" i="15" s="1"/>
  <c r="EQ371" i="15"/>
  <c r="ER371" i="15" s="1"/>
  <c r="EQ386" i="15"/>
  <c r="ER386" i="15" s="1"/>
  <c r="EQ402" i="15"/>
  <c r="ER402" i="15" s="1"/>
  <c r="EQ417" i="15"/>
  <c r="ER417" i="15" s="1"/>
  <c r="EQ432" i="15"/>
  <c r="ER432" i="15" s="1"/>
  <c r="EQ448" i="15"/>
  <c r="ER448" i="15" s="1"/>
  <c r="EQ463" i="15"/>
  <c r="ER463" i="15" s="1"/>
  <c r="EQ478" i="15"/>
  <c r="ER478" i="15" s="1"/>
  <c r="EQ493" i="15"/>
  <c r="ER493" i="15" s="1"/>
  <c r="EQ509" i="15"/>
  <c r="ER509" i="15" s="1"/>
  <c r="EQ524" i="15"/>
  <c r="ER524" i="15" s="1"/>
  <c r="EQ539" i="15"/>
  <c r="ER539" i="15" s="1"/>
  <c r="EQ554" i="15"/>
  <c r="ER554" i="15" s="1"/>
  <c r="EQ570" i="15"/>
  <c r="ER570" i="15" s="1"/>
  <c r="EQ585" i="15"/>
  <c r="ER585" i="15" s="1"/>
  <c r="EQ601" i="15"/>
  <c r="ER601" i="15" s="1"/>
  <c r="EQ616" i="15"/>
  <c r="ER616" i="15" s="1"/>
  <c r="EQ631" i="15"/>
  <c r="ER631" i="15" s="1"/>
  <c r="EQ646" i="15"/>
  <c r="ER646" i="15" s="1"/>
  <c r="EQ662" i="15"/>
  <c r="ER662" i="15" s="1"/>
  <c r="EQ677" i="15"/>
  <c r="ER677" i="15" s="1"/>
  <c r="EQ692" i="15"/>
  <c r="ER692" i="15" s="1"/>
  <c r="EQ708" i="15"/>
  <c r="ER708" i="15" s="1"/>
  <c r="EQ723" i="15"/>
  <c r="ER723" i="15" s="1"/>
  <c r="EQ738" i="15"/>
  <c r="ER738" i="15" s="1"/>
  <c r="EQ754" i="15"/>
  <c r="ER754" i="15" s="1"/>
  <c r="EQ767" i="15"/>
  <c r="ER767" i="15" s="1"/>
  <c r="EQ784" i="15"/>
  <c r="ER784" i="15" s="1"/>
  <c r="EQ799" i="15"/>
  <c r="ER799" i="15" s="1"/>
  <c r="EQ815" i="15"/>
  <c r="ER815" i="15" s="1"/>
  <c r="EQ830" i="15"/>
  <c r="ER830" i="15" s="1"/>
  <c r="EQ846" i="15"/>
  <c r="ER846" i="15" s="1"/>
  <c r="EQ86" i="15"/>
  <c r="ER86" i="15" s="1"/>
  <c r="EQ163" i="15"/>
  <c r="ER163" i="15" s="1"/>
  <c r="EQ209" i="15"/>
  <c r="ER209" i="15" s="1"/>
  <c r="EQ254" i="15"/>
  <c r="ER254" i="15" s="1"/>
  <c r="EQ316" i="15"/>
  <c r="ER316" i="15" s="1"/>
  <c r="EQ378" i="15"/>
  <c r="ER378" i="15" s="1"/>
  <c r="EQ440" i="15"/>
  <c r="ER440" i="15" s="1"/>
  <c r="EQ501" i="15"/>
  <c r="ER501" i="15" s="1"/>
  <c r="EQ547" i="15"/>
  <c r="ER547" i="15" s="1"/>
  <c r="EQ609" i="15"/>
  <c r="ER609" i="15" s="1"/>
  <c r="EQ669" i="15"/>
  <c r="ER669" i="15" s="1"/>
  <c r="EQ715" i="15"/>
  <c r="ER715" i="15" s="1"/>
  <c r="EQ792" i="15"/>
  <c r="ER792" i="15" s="1"/>
  <c r="EQ838" i="15"/>
  <c r="ER838" i="15" s="1"/>
  <c r="EQ22" i="15"/>
  <c r="ER22" i="15" s="1"/>
  <c r="EQ37" i="15"/>
  <c r="ER37" i="15" s="1"/>
  <c r="EQ52" i="15"/>
  <c r="ER52" i="15" s="1"/>
  <c r="EQ67" i="15"/>
  <c r="ER67" i="15" s="1"/>
  <c r="EQ83" i="15"/>
  <c r="ER83" i="15" s="1"/>
  <c r="EQ98" i="15"/>
  <c r="ER98" i="15" s="1"/>
  <c r="EQ113" i="15"/>
  <c r="ER113" i="15" s="1"/>
  <c r="EQ128" i="15"/>
  <c r="ER128" i="15" s="1"/>
  <c r="EQ144" i="15"/>
  <c r="ER144" i="15" s="1"/>
  <c r="EQ159" i="15"/>
  <c r="ER159" i="15" s="1"/>
  <c r="EQ174" i="15"/>
  <c r="ER174" i="15" s="1"/>
  <c r="EQ190" i="15"/>
  <c r="ER190" i="15" s="1"/>
  <c r="EQ205" i="15"/>
  <c r="ER205" i="15" s="1"/>
  <c r="EQ220" i="15"/>
  <c r="ER220" i="15" s="1"/>
  <c r="EQ235" i="15"/>
  <c r="ER235" i="15" s="1"/>
  <c r="EQ251" i="15"/>
  <c r="ER251" i="15" s="1"/>
  <c r="EQ266" i="15"/>
  <c r="ER266" i="15" s="1"/>
  <c r="EQ281" i="15"/>
  <c r="ER281" i="15" s="1"/>
  <c r="EQ297" i="15"/>
  <c r="ER297" i="15" s="1"/>
  <c r="EQ312" i="15"/>
  <c r="ER312" i="15" s="1"/>
  <c r="EQ327" i="15"/>
  <c r="ER327" i="15" s="1"/>
  <c r="EQ343" i="15"/>
  <c r="ER343" i="15" s="1"/>
  <c r="EQ359" i="15"/>
  <c r="ER359" i="15" s="1"/>
  <c r="EQ374" i="15"/>
  <c r="ER374" i="15" s="1"/>
  <c r="EQ390" i="15"/>
  <c r="ER390" i="15" s="1"/>
  <c r="EQ421" i="15"/>
  <c r="ER421" i="15" s="1"/>
  <c r="EQ436" i="15"/>
  <c r="ER436" i="15" s="1"/>
  <c r="EQ452" i="15"/>
  <c r="ER452" i="15" s="1"/>
  <c r="EQ467" i="15"/>
  <c r="ER467" i="15" s="1"/>
  <c r="EQ482" i="15"/>
  <c r="ER482" i="15" s="1"/>
  <c r="EQ497" i="15"/>
  <c r="ER497" i="15" s="1"/>
  <c r="EQ513" i="15"/>
  <c r="ER513" i="15" s="1"/>
  <c r="EQ543" i="15"/>
  <c r="ER543" i="15" s="1"/>
  <c r="EQ558" i="15"/>
  <c r="ER558" i="15" s="1"/>
  <c r="EQ572" i="15"/>
  <c r="ER572" i="15" s="1"/>
  <c r="EQ589" i="15"/>
  <c r="ER589" i="15" s="1"/>
  <c r="EQ605" i="15"/>
  <c r="ER605" i="15" s="1"/>
  <c r="EQ620" i="15"/>
  <c r="ER620" i="15" s="1"/>
  <c r="EQ635" i="15"/>
  <c r="ER635" i="15" s="1"/>
  <c r="EQ650" i="15"/>
  <c r="ER650" i="15" s="1"/>
  <c r="EQ666" i="15"/>
  <c r="ER666" i="15" s="1"/>
  <c r="EQ681" i="15"/>
  <c r="ER681" i="15" s="1"/>
  <c r="EQ696" i="15"/>
  <c r="ER696" i="15" s="1"/>
  <c r="EQ727" i="15"/>
  <c r="ER727" i="15" s="1"/>
  <c r="EQ742" i="15"/>
  <c r="ER742" i="15" s="1"/>
  <c r="EQ757" i="15"/>
  <c r="ER757" i="15" s="1"/>
  <c r="EQ771" i="15"/>
  <c r="ER771" i="15" s="1"/>
  <c r="EQ788" i="15"/>
  <c r="ER788" i="15" s="1"/>
  <c r="EQ803" i="15"/>
  <c r="ER803" i="15" s="1"/>
  <c r="EQ819" i="15"/>
  <c r="ER819" i="15" s="1"/>
  <c r="EQ834" i="15"/>
  <c r="ER834" i="15" s="1"/>
  <c r="EQ850" i="15"/>
  <c r="ER850" i="15" s="1"/>
  <c r="EQ10" i="15"/>
  <c r="ER10" i="15" s="1"/>
  <c r="EQ71" i="15"/>
  <c r="ER71" i="15" s="1"/>
  <c r="EQ117" i="15"/>
  <c r="ER117" i="15" s="1"/>
  <c r="EQ132" i="15"/>
  <c r="ER132" i="15" s="1"/>
  <c r="EQ178" i="15"/>
  <c r="ER178" i="15" s="1"/>
  <c r="EQ224" i="15"/>
  <c r="ER224" i="15" s="1"/>
  <c r="EQ285" i="15"/>
  <c r="ER285" i="15" s="1"/>
  <c r="EQ331" i="15"/>
  <c r="ER331" i="15" s="1"/>
  <c r="EQ363" i="15"/>
  <c r="ER363" i="15" s="1"/>
  <c r="EQ409" i="15"/>
  <c r="ER409" i="15" s="1"/>
  <c r="EQ486" i="15"/>
  <c r="ER486" i="15" s="1"/>
  <c r="EQ531" i="15"/>
  <c r="ER531" i="15" s="1"/>
  <c r="EQ578" i="15"/>
  <c r="ER578" i="15" s="1"/>
  <c r="EQ623" i="15"/>
  <c r="ER623" i="15" s="1"/>
  <c r="EQ654" i="15"/>
  <c r="ER654" i="15" s="1"/>
  <c r="EQ700" i="15"/>
  <c r="ER700" i="15" s="1"/>
  <c r="EQ746" i="15"/>
  <c r="ER746" i="15" s="1"/>
  <c r="EQ823" i="15"/>
  <c r="ER823" i="15" s="1"/>
  <c r="EQ854" i="15"/>
  <c r="ER854" i="15" s="1"/>
  <c r="EL13" i="15"/>
  <c r="EM13" i="15" s="1"/>
  <c r="EL15" i="15"/>
  <c r="EM15" i="15" s="1"/>
  <c r="EL19" i="15"/>
  <c r="EM19" i="15" s="1"/>
  <c r="EL23" i="15"/>
  <c r="EM23" i="15" s="1"/>
  <c r="EL27" i="15"/>
  <c r="EM27" i="15" s="1"/>
  <c r="EL31" i="15"/>
  <c r="EM31" i="15" s="1"/>
  <c r="EL38" i="15"/>
  <c r="EM38" i="15" s="1"/>
  <c r="EL42" i="15"/>
  <c r="EM42" i="15" s="1"/>
  <c r="EL45" i="15"/>
  <c r="EM45" i="15" s="1"/>
  <c r="EL49" i="15"/>
  <c r="EM49" i="15" s="1"/>
  <c r="EL53" i="15"/>
  <c r="EM53" i="15" s="1"/>
  <c r="EL57" i="15"/>
  <c r="EM57" i="15" s="1"/>
  <c r="EL61" i="15"/>
  <c r="EM61" i="15" s="1"/>
  <c r="EL65" i="15"/>
  <c r="EM65" i="15" s="1"/>
  <c r="EL68" i="15"/>
  <c r="EM68" i="15" s="1"/>
  <c r="EL72" i="15"/>
  <c r="EM72" i="15" s="1"/>
  <c r="EL76" i="15"/>
  <c r="EM76" i="15" s="1"/>
  <c r="EL80" i="15"/>
  <c r="EM80" i="15" s="1"/>
  <c r="EL87" i="15"/>
  <c r="EM87" i="15" s="1"/>
  <c r="EL91" i="15"/>
  <c r="EM91" i="15" s="1"/>
  <c r="EL95" i="15"/>
  <c r="EM95" i="15" s="1"/>
  <c r="EL102" i="15"/>
  <c r="EM102" i="15" s="1"/>
  <c r="EL106" i="15"/>
  <c r="EM106" i="15" s="1"/>
  <c r="EL110" i="15"/>
  <c r="EM110" i="15" s="1"/>
  <c r="EL114" i="15"/>
  <c r="EM114" i="15" s="1"/>
  <c r="EL118" i="15"/>
  <c r="EM118" i="15" s="1"/>
  <c r="EL122" i="15"/>
  <c r="EM122" i="15" s="1"/>
  <c r="EL129" i="15"/>
  <c r="EM129" i="15" s="1"/>
  <c r="EL133" i="15"/>
  <c r="EM133" i="15" s="1"/>
  <c r="EL137" i="15"/>
  <c r="EM137" i="15" s="1"/>
  <c r="EL141" i="15"/>
  <c r="EM141" i="15" s="1"/>
  <c r="EL145" i="15"/>
  <c r="EM145" i="15" s="1"/>
  <c r="EL148" i="15"/>
  <c r="EM148" i="15" s="1"/>
  <c r="EL152" i="15"/>
  <c r="EM152" i="15" s="1"/>
  <c r="EL156" i="15"/>
  <c r="EM156" i="15" s="1"/>
  <c r="EL160" i="15"/>
  <c r="EM160" i="15" s="1"/>
  <c r="EL164" i="15"/>
  <c r="EM164" i="15" s="1"/>
  <c r="EL168" i="15"/>
  <c r="EM168" i="15" s="1"/>
  <c r="EL171" i="15"/>
  <c r="EM171" i="15" s="1"/>
  <c r="EL175" i="15"/>
  <c r="EM175" i="15" s="1"/>
  <c r="EL179" i="15"/>
  <c r="EM179" i="15" s="1"/>
  <c r="EL183" i="15"/>
  <c r="EM183" i="15" s="1"/>
  <c r="EL187" i="15"/>
  <c r="EM187" i="15" s="1"/>
  <c r="EL194" i="15"/>
  <c r="EM194" i="15" s="1"/>
  <c r="EL198" i="15"/>
  <c r="EM198" i="15" s="1"/>
  <c r="EL202" i="15"/>
  <c r="EM202" i="15" s="1"/>
  <c r="EL206" i="15"/>
  <c r="EM206" i="15" s="1"/>
  <c r="EL210" i="15"/>
  <c r="EM210" i="15" s="1"/>
  <c r="EL214" i="15"/>
  <c r="EM214" i="15" s="1"/>
  <c r="EL218" i="15"/>
  <c r="EM218" i="15" s="1"/>
  <c r="EL221" i="15"/>
  <c r="EM221" i="15" s="1"/>
  <c r="EL225" i="15"/>
  <c r="EM225" i="15" s="1"/>
  <c r="EL229" i="15"/>
  <c r="EM229" i="15" s="1"/>
  <c r="EL236" i="15"/>
  <c r="EM236" i="15" s="1"/>
  <c r="EL240" i="15"/>
  <c r="EM240" i="15" s="1"/>
  <c r="EL244" i="15"/>
  <c r="EM244" i="15" s="1"/>
  <c r="EL248" i="15"/>
  <c r="EM248" i="15" s="1"/>
  <c r="EL255" i="15"/>
  <c r="EM255" i="15" s="1"/>
  <c r="EL259" i="15"/>
  <c r="EM259" i="15" s="1"/>
  <c r="EL263" i="15"/>
  <c r="EM263" i="15" s="1"/>
  <c r="EL267" i="15"/>
  <c r="EM267" i="15" s="1"/>
  <c r="EL271" i="15"/>
  <c r="EM271" i="15" s="1"/>
  <c r="EL275" i="15"/>
  <c r="EM275" i="15" s="1"/>
  <c r="EL278" i="15"/>
  <c r="EM278" i="15" s="1"/>
  <c r="EL282" i="15"/>
  <c r="EM282" i="15" s="1"/>
  <c r="EL286" i="15"/>
  <c r="EM286" i="15" s="1"/>
  <c r="EL290" i="15"/>
  <c r="EM290" i="15" s="1"/>
  <c r="EL294" i="15"/>
  <c r="EM294" i="15" s="1"/>
  <c r="EL298" i="15"/>
  <c r="EM298" i="15" s="1"/>
  <c r="EL301" i="15"/>
  <c r="EM301" i="15" s="1"/>
  <c r="EL305" i="15"/>
  <c r="EM305" i="15" s="1"/>
  <c r="EL309" i="15"/>
  <c r="EM309" i="15" s="1"/>
  <c r="EL313" i="15"/>
  <c r="EM313" i="15" s="1"/>
  <c r="EL317" i="15"/>
  <c r="EM317" i="15" s="1"/>
  <c r="EL321" i="15"/>
  <c r="EM321" i="15" s="1"/>
  <c r="EL325" i="15"/>
  <c r="EM325" i="15" s="1"/>
  <c r="EL328" i="15"/>
  <c r="EM328" i="15" s="1"/>
  <c r="EL332" i="15"/>
  <c r="EM332" i="15" s="1"/>
  <c r="EL336" i="15"/>
  <c r="EM336" i="15" s="1"/>
  <c r="EL340" i="15"/>
  <c r="EM340" i="15" s="1"/>
  <c r="EL344" i="15"/>
  <c r="EM344" i="15" s="1"/>
  <c r="EL348" i="15"/>
  <c r="EM348" i="15" s="1"/>
  <c r="EL352" i="15"/>
  <c r="EM352" i="15" s="1"/>
  <c r="EL356" i="15"/>
  <c r="EM356" i="15" s="1"/>
  <c r="EL360" i="15"/>
  <c r="EM360" i="15" s="1"/>
  <c r="EL364" i="15"/>
  <c r="EM364" i="15" s="1"/>
  <c r="EL368" i="15"/>
  <c r="EM368" i="15" s="1"/>
  <c r="EL16" i="15"/>
  <c r="EM16" i="15" s="1"/>
  <c r="EL20" i="15"/>
  <c r="EM20" i="15" s="1"/>
  <c r="EL24" i="15"/>
  <c r="EM24" i="15" s="1"/>
  <c r="EL28" i="15"/>
  <c r="EM28" i="15" s="1"/>
  <c r="EL32" i="15"/>
  <c r="EM32" i="15" s="1"/>
  <c r="EL35" i="15"/>
  <c r="EM35" i="15" s="1"/>
  <c r="EL39" i="15"/>
  <c r="EM39" i="15" s="1"/>
  <c r="EL46" i="15"/>
  <c r="EM46" i="15" s="1"/>
  <c r="EL50" i="15"/>
  <c r="EM50" i="15" s="1"/>
  <c r="EL54" i="15"/>
  <c r="EM54" i="15" s="1"/>
  <c r="EL58" i="15"/>
  <c r="EM58" i="15" s="1"/>
  <c r="EL62" i="15"/>
  <c r="EM62" i="15" s="1"/>
  <c r="EL69" i="15"/>
  <c r="EM69" i="15" s="1"/>
  <c r="EL73" i="15"/>
  <c r="EM73" i="15" s="1"/>
  <c r="EL77" i="15"/>
  <c r="EM77" i="15" s="1"/>
  <c r="EL81" i="15"/>
  <c r="EM81" i="15" s="1"/>
  <c r="EL84" i="15"/>
  <c r="EM84" i="15" s="1"/>
  <c r="EL88" i="15"/>
  <c r="EM88" i="15" s="1"/>
  <c r="EL93" i="15"/>
  <c r="EM93" i="15" s="1"/>
  <c r="EL96" i="15"/>
  <c r="EM96" i="15" s="1"/>
  <c r="EL99" i="15"/>
  <c r="EM99" i="15" s="1"/>
  <c r="EL103" i="15"/>
  <c r="EM103" i="15" s="1"/>
  <c r="EL107" i="15"/>
  <c r="EM107" i="15" s="1"/>
  <c r="EL111" i="15"/>
  <c r="EM111" i="15" s="1"/>
  <c r="EL115" i="15"/>
  <c r="EM115" i="15" s="1"/>
  <c r="EL119" i="15"/>
  <c r="EM119" i="15" s="1"/>
  <c r="EL123" i="15"/>
  <c r="EM123" i="15" s="1"/>
  <c r="EL126" i="15"/>
  <c r="EM126" i="15" s="1"/>
  <c r="EL130" i="15"/>
  <c r="EM130" i="15" s="1"/>
  <c r="EL134" i="15"/>
  <c r="EM134" i="15" s="1"/>
  <c r="EL138" i="15"/>
  <c r="EM138" i="15" s="1"/>
  <c r="EL142" i="15"/>
  <c r="EM142" i="15" s="1"/>
  <c r="EL149" i="15"/>
  <c r="EM149" i="15" s="1"/>
  <c r="EL153" i="15"/>
  <c r="EM153" i="15" s="1"/>
  <c r="EL157" i="15"/>
  <c r="EM157" i="15" s="1"/>
  <c r="EL161" i="15"/>
  <c r="EM161" i="15" s="1"/>
  <c r="EL165" i="15"/>
  <c r="EM165" i="15" s="1"/>
  <c r="EL172" i="15"/>
  <c r="EM172" i="15" s="1"/>
  <c r="EL176" i="15"/>
  <c r="EM176" i="15" s="1"/>
  <c r="EL180" i="15"/>
  <c r="EM180" i="15" s="1"/>
  <c r="EL184" i="15"/>
  <c r="EM184" i="15" s="1"/>
  <c r="EL188" i="15"/>
  <c r="EM188" i="15" s="1"/>
  <c r="EL191" i="15"/>
  <c r="EM191" i="15" s="1"/>
  <c r="EL195" i="15"/>
  <c r="EM195" i="15" s="1"/>
  <c r="EL199" i="15"/>
  <c r="EM199" i="15" s="1"/>
  <c r="EL203" i="15"/>
  <c r="EM203" i="15" s="1"/>
  <c r="EL207" i="15"/>
  <c r="EM207" i="15" s="1"/>
  <c r="EL211" i="15"/>
  <c r="EM211" i="15" s="1"/>
  <c r="EL215" i="15"/>
  <c r="EM215" i="15" s="1"/>
  <c r="EL219" i="15"/>
  <c r="EM219" i="15" s="1"/>
  <c r="EL222" i="15"/>
  <c r="EM222" i="15" s="1"/>
  <c r="EL226" i="15"/>
  <c r="EM226" i="15" s="1"/>
  <c r="EL230" i="15"/>
  <c r="EM230" i="15" s="1"/>
  <c r="EL233" i="15"/>
  <c r="EM233" i="15" s="1"/>
  <c r="EL237" i="15"/>
  <c r="EM237" i="15" s="1"/>
  <c r="EL241" i="15"/>
  <c r="EM241" i="15" s="1"/>
  <c r="EL245" i="15"/>
  <c r="EM245" i="15" s="1"/>
  <c r="EL249" i="15"/>
  <c r="EM249" i="15" s="1"/>
  <c r="EL252" i="15"/>
  <c r="EM252" i="15" s="1"/>
  <c r="EL256" i="15"/>
  <c r="EM256" i="15" s="1"/>
  <c r="EL260" i="15"/>
  <c r="EM260" i="15" s="1"/>
  <c r="EL264" i="15"/>
  <c r="EM264" i="15" s="1"/>
  <c r="EL268" i="15"/>
  <c r="EM268" i="15" s="1"/>
  <c r="EL274" i="15"/>
  <c r="EM274" i="15" s="1"/>
  <c r="EL279" i="15"/>
  <c r="EM279" i="15" s="1"/>
  <c r="EL283" i="15"/>
  <c r="EM283" i="15" s="1"/>
  <c r="EL287" i="15"/>
  <c r="EM287" i="15" s="1"/>
  <c r="EL291" i="15"/>
  <c r="EM291" i="15" s="1"/>
  <c r="EL295" i="15"/>
  <c r="EM295" i="15" s="1"/>
  <c r="EL299" i="15"/>
  <c r="EM299" i="15" s="1"/>
  <c r="EL302" i="15"/>
  <c r="EM302" i="15" s="1"/>
  <c r="EL306" i="15"/>
  <c r="EM306" i="15" s="1"/>
  <c r="EL310" i="15"/>
  <c r="EM310" i="15" s="1"/>
  <c r="EL314" i="15"/>
  <c r="EM314" i="15" s="1"/>
  <c r="EL318" i="15"/>
  <c r="EM318" i="15" s="1"/>
  <c r="EL322" i="15"/>
  <c r="EM322" i="15" s="1"/>
  <c r="EL329" i="15"/>
  <c r="EM329" i="15" s="1"/>
  <c r="EL333" i="15"/>
  <c r="EM333" i="15" s="1"/>
  <c r="EL337" i="15"/>
  <c r="EM337" i="15" s="1"/>
  <c r="EL341" i="15"/>
  <c r="EM341" i="15" s="1"/>
  <c r="EL345" i="15"/>
  <c r="EM345" i="15" s="1"/>
  <c r="EL349" i="15"/>
  <c r="EM349" i="15" s="1"/>
  <c r="EL353" i="15"/>
  <c r="EM353" i="15" s="1"/>
  <c r="EL357" i="15"/>
  <c r="EM357" i="15" s="1"/>
  <c r="EL361" i="15"/>
  <c r="EM361" i="15" s="1"/>
  <c r="EL365" i="15"/>
  <c r="EM365" i="15" s="1"/>
  <c r="EL369" i="15"/>
  <c r="EM369" i="15" s="1"/>
  <c r="EL17" i="15"/>
  <c r="EM17" i="15" s="1"/>
  <c r="EL21" i="15"/>
  <c r="EM21" i="15" s="1"/>
  <c r="EL25" i="15"/>
  <c r="EM25" i="15" s="1"/>
  <c r="EL29" i="15"/>
  <c r="EM29" i="15" s="1"/>
  <c r="EL36" i="15"/>
  <c r="EM36" i="15" s="1"/>
  <c r="EL40" i="15"/>
  <c r="EM40" i="15" s="1"/>
  <c r="EL43" i="15"/>
  <c r="EM43" i="15" s="1"/>
  <c r="EL47" i="15"/>
  <c r="EM47" i="15" s="1"/>
  <c r="EL51" i="15"/>
  <c r="EM51" i="15" s="1"/>
  <c r="EL55" i="15"/>
  <c r="EM55" i="15" s="1"/>
  <c r="EL59" i="15"/>
  <c r="EM59" i="15" s="1"/>
  <c r="EL63" i="15"/>
  <c r="EM63" i="15" s="1"/>
  <c r="EL66" i="15"/>
  <c r="EM66" i="15" s="1"/>
  <c r="EL70" i="15"/>
  <c r="EM70" i="15" s="1"/>
  <c r="EL74" i="15"/>
  <c r="EM74" i="15" s="1"/>
  <c r="EL78" i="15"/>
  <c r="EM78" i="15" s="1"/>
  <c r="EL85" i="15"/>
  <c r="EM85" i="15" s="1"/>
  <c r="EL89" i="15"/>
  <c r="EM89" i="15" s="1"/>
  <c r="EL92" i="15"/>
  <c r="EM92" i="15" s="1"/>
  <c r="EL100" i="15"/>
  <c r="EM100" i="15" s="1"/>
  <c r="EL104" i="15"/>
  <c r="EM104" i="15" s="1"/>
  <c r="EL108" i="15"/>
  <c r="EM108" i="15" s="1"/>
  <c r="EL112" i="15"/>
  <c r="EM112" i="15" s="1"/>
  <c r="EL116" i="15"/>
  <c r="EM116" i="15" s="1"/>
  <c r="EL120" i="15"/>
  <c r="EM120" i="15" s="1"/>
  <c r="EL127" i="15"/>
  <c r="EM127" i="15" s="1"/>
  <c r="EL131" i="15"/>
  <c r="EM131" i="15" s="1"/>
  <c r="EL135" i="15"/>
  <c r="EM135" i="15" s="1"/>
  <c r="EL139" i="15"/>
  <c r="EM139" i="15" s="1"/>
  <c r="EL146" i="15"/>
  <c r="EM146" i="15" s="1"/>
  <c r="EL150" i="15"/>
  <c r="EM150" i="15" s="1"/>
  <c r="EL154" i="15"/>
  <c r="EM154" i="15" s="1"/>
  <c r="EL158" i="15"/>
  <c r="EM158" i="15" s="1"/>
  <c r="EL162" i="15"/>
  <c r="EM162" i="15" s="1"/>
  <c r="EL166" i="15"/>
  <c r="EM166" i="15" s="1"/>
  <c r="EL169" i="15"/>
  <c r="EM169" i="15" s="1"/>
  <c r="EL173" i="15"/>
  <c r="EM173" i="15" s="1"/>
  <c r="EL177" i="15"/>
  <c r="EM177" i="15" s="1"/>
  <c r="EL181" i="15"/>
  <c r="EM181" i="15" s="1"/>
  <c r="EL185" i="15"/>
  <c r="EM185" i="15" s="1"/>
  <c r="EL189" i="15"/>
  <c r="EM189" i="15" s="1"/>
  <c r="EL192" i="15"/>
  <c r="EM192" i="15" s="1"/>
  <c r="EL196" i="15"/>
  <c r="EM196" i="15" s="1"/>
  <c r="EL200" i="15"/>
  <c r="EM200" i="15" s="1"/>
  <c r="EL204" i="15"/>
  <c r="EM204" i="15" s="1"/>
  <c r="EL208" i="15"/>
  <c r="EM208" i="15" s="1"/>
  <c r="EL212" i="15"/>
  <c r="EM212" i="15" s="1"/>
  <c r="EL216" i="15"/>
  <c r="EM216" i="15" s="1"/>
  <c r="EL223" i="15"/>
  <c r="EM223" i="15" s="1"/>
  <c r="EL227" i="15"/>
  <c r="EM227" i="15" s="1"/>
  <c r="EL231" i="15"/>
  <c r="EM231" i="15" s="1"/>
  <c r="EL234" i="15"/>
  <c r="EM234" i="15" s="1"/>
  <c r="EL238" i="15"/>
  <c r="EM238" i="15" s="1"/>
  <c r="EL242" i="15"/>
  <c r="EM242" i="15" s="1"/>
  <c r="EL246" i="15"/>
  <c r="EM246" i="15" s="1"/>
  <c r="EL253" i="15"/>
  <c r="EM253" i="15" s="1"/>
  <c r="EL257" i="15"/>
  <c r="EM257" i="15" s="1"/>
  <c r="EL261" i="15"/>
  <c r="EM261" i="15" s="1"/>
  <c r="EL265" i="15"/>
  <c r="EM265" i="15" s="1"/>
  <c r="EL272" i="15"/>
  <c r="EM272" i="15" s="1"/>
  <c r="EL276" i="15"/>
  <c r="EM276" i="15" s="1"/>
  <c r="EL280" i="15"/>
  <c r="EM280" i="15" s="1"/>
  <c r="EL284" i="15"/>
  <c r="EM284" i="15" s="1"/>
  <c r="EL288" i="15"/>
  <c r="EM288" i="15" s="1"/>
  <c r="EL292" i="15"/>
  <c r="EM292" i="15" s="1"/>
  <c r="EL296" i="15"/>
  <c r="EM296" i="15" s="1"/>
  <c r="EL300" i="15"/>
  <c r="EM300" i="15" s="1"/>
  <c r="EL303" i="15"/>
  <c r="EM303" i="15" s="1"/>
  <c r="EL307" i="15"/>
  <c r="EM307" i="15" s="1"/>
  <c r="EL311" i="15"/>
  <c r="EM311" i="15" s="1"/>
  <c r="EL315" i="15"/>
  <c r="EM315" i="15" s="1"/>
  <c r="EL319" i="15"/>
  <c r="EM319" i="15" s="1"/>
  <c r="EL323" i="15"/>
  <c r="EM323" i="15" s="1"/>
  <c r="EL326" i="15"/>
  <c r="EM326" i="15" s="1"/>
  <c r="EL330" i="15"/>
  <c r="EM330" i="15" s="1"/>
  <c r="EL334" i="15"/>
  <c r="EM334" i="15" s="1"/>
  <c r="EL338" i="15"/>
  <c r="EM338" i="15" s="1"/>
  <c r="EL342" i="15"/>
  <c r="EM342" i="15" s="1"/>
  <c r="EL346" i="15"/>
  <c r="EM346" i="15" s="1"/>
  <c r="EL350" i="15"/>
  <c r="EM350" i="15" s="1"/>
  <c r="EL354" i="15"/>
  <c r="EM354" i="15" s="1"/>
  <c r="EL358" i="15"/>
  <c r="EM358" i="15" s="1"/>
  <c r="EL362" i="15"/>
  <c r="EM362" i="15" s="1"/>
  <c r="EL366" i="15"/>
  <c r="EM366" i="15" s="1"/>
  <c r="EL370" i="15"/>
  <c r="EM370" i="15" s="1"/>
  <c r="EL373" i="15"/>
  <c r="EM373" i="15" s="1"/>
  <c r="EL377" i="15"/>
  <c r="EM377" i="15" s="1"/>
  <c r="EL381" i="15"/>
  <c r="EM381" i="15" s="1"/>
  <c r="EL26" i="15"/>
  <c r="EM26" i="15" s="1"/>
  <c r="EL56" i="15"/>
  <c r="EM56" i="15" s="1"/>
  <c r="EL71" i="15"/>
  <c r="EM71" i="15" s="1"/>
  <c r="EL86" i="15"/>
  <c r="EM86" i="15" s="1"/>
  <c r="EL101" i="15"/>
  <c r="EM101" i="15" s="1"/>
  <c r="EL117" i="15"/>
  <c r="EM117" i="15" s="1"/>
  <c r="EL132" i="15"/>
  <c r="EM132" i="15" s="1"/>
  <c r="EL147" i="15"/>
  <c r="EM147" i="15" s="1"/>
  <c r="EL163" i="15"/>
  <c r="EM163" i="15" s="1"/>
  <c r="EL178" i="15"/>
  <c r="EM178" i="15" s="1"/>
  <c r="EL193" i="15"/>
  <c r="EM193" i="15" s="1"/>
  <c r="EL209" i="15"/>
  <c r="EM209" i="15" s="1"/>
  <c r="EL224" i="15"/>
  <c r="EM224" i="15" s="1"/>
  <c r="EL239" i="15"/>
  <c r="EM239" i="15" s="1"/>
  <c r="EL254" i="15"/>
  <c r="EM254" i="15" s="1"/>
  <c r="EL270" i="15"/>
  <c r="EM270" i="15" s="1"/>
  <c r="EL285" i="15"/>
  <c r="EM285" i="15" s="1"/>
  <c r="EL316" i="15"/>
  <c r="EM316" i="15" s="1"/>
  <c r="EL331" i="15"/>
  <c r="EM331" i="15" s="1"/>
  <c r="EL347" i="15"/>
  <c r="EM347" i="15" s="1"/>
  <c r="EL363" i="15"/>
  <c r="EM363" i="15" s="1"/>
  <c r="EL374" i="15"/>
  <c r="EM374" i="15" s="1"/>
  <c r="EL379" i="15"/>
  <c r="EM379" i="15" s="1"/>
  <c r="EL384" i="15"/>
  <c r="EM384" i="15" s="1"/>
  <c r="EL388" i="15"/>
  <c r="EM388" i="15" s="1"/>
  <c r="EL392" i="15"/>
  <c r="EM392" i="15" s="1"/>
  <c r="EL396" i="15"/>
  <c r="EM396" i="15" s="1"/>
  <c r="EL400" i="15"/>
  <c r="EM400" i="15" s="1"/>
  <c r="EL404" i="15"/>
  <c r="EM404" i="15" s="1"/>
  <c r="EL411" i="15"/>
  <c r="EM411" i="15" s="1"/>
  <c r="EL415" i="15"/>
  <c r="EM415" i="15" s="1"/>
  <c r="EL419" i="15"/>
  <c r="EM419" i="15" s="1"/>
  <c r="EL423" i="15"/>
  <c r="EM423" i="15" s="1"/>
  <c r="EL427" i="15"/>
  <c r="EM427" i="15" s="1"/>
  <c r="EL434" i="15"/>
  <c r="EM434" i="15" s="1"/>
  <c r="EL438" i="15"/>
  <c r="EM438" i="15" s="1"/>
  <c r="EL442" i="15"/>
  <c r="EM442" i="15" s="1"/>
  <c r="EL446" i="15"/>
  <c r="EM446" i="15" s="1"/>
  <c r="EL450" i="15"/>
  <c r="EM450" i="15" s="1"/>
  <c r="EL454" i="15"/>
  <c r="EM454" i="15" s="1"/>
  <c r="EL457" i="15"/>
  <c r="EM457" i="15" s="1"/>
  <c r="EL461" i="15"/>
  <c r="EM461" i="15" s="1"/>
  <c r="EL465" i="15"/>
  <c r="EM465" i="15" s="1"/>
  <c r="EL469" i="15"/>
  <c r="EM469" i="15" s="1"/>
  <c r="EL476" i="15"/>
  <c r="EM476" i="15" s="1"/>
  <c r="EL480" i="15"/>
  <c r="EM480" i="15" s="1"/>
  <c r="EL484" i="15"/>
  <c r="EM484" i="15" s="1"/>
  <c r="EL488" i="15"/>
  <c r="EM488" i="15" s="1"/>
  <c r="EL495" i="15"/>
  <c r="EM495" i="15" s="1"/>
  <c r="EL499" i="15"/>
  <c r="EM499" i="15" s="1"/>
  <c r="EL503" i="15"/>
  <c r="EM503" i="15" s="1"/>
  <c r="EL507" i="15"/>
  <c r="EM507" i="15" s="1"/>
  <c r="EL511" i="15"/>
  <c r="EM511" i="15" s="1"/>
  <c r="EL518" i="15"/>
  <c r="EM518" i="15" s="1"/>
  <c r="EL522" i="15"/>
  <c r="EM522" i="15" s="1"/>
  <c r="EL526" i="15"/>
  <c r="EM526" i="15" s="1"/>
  <c r="EL533" i="15"/>
  <c r="EM533" i="15" s="1"/>
  <c r="EL537" i="15"/>
  <c r="EM537" i="15" s="1"/>
  <c r="EL541" i="15"/>
  <c r="EM541" i="15" s="1"/>
  <c r="EL545" i="15"/>
  <c r="EM545" i="15" s="1"/>
  <c r="EL552" i="15"/>
  <c r="EM552" i="15" s="1"/>
  <c r="EL556" i="15"/>
  <c r="EM556" i="15" s="1"/>
  <c r="EL560" i="15"/>
  <c r="EM560" i="15" s="1"/>
  <c r="EL564" i="15"/>
  <c r="EM564" i="15" s="1"/>
  <c r="EL568" i="15"/>
  <c r="EM568" i="15" s="1"/>
  <c r="EL573" i="15"/>
  <c r="EM573" i="15" s="1"/>
  <c r="EL579" i="15"/>
  <c r="EM579" i="15" s="1"/>
  <c r="EL583" i="15"/>
  <c r="EM583" i="15" s="1"/>
  <c r="EL587" i="15"/>
  <c r="EM587" i="15" s="1"/>
  <c r="EL591" i="15"/>
  <c r="EM591" i="15" s="1"/>
  <c r="EL595" i="15"/>
  <c r="EM595" i="15" s="1"/>
  <c r="EL599" i="15"/>
  <c r="EM599" i="15" s="1"/>
  <c r="EL603" i="15"/>
  <c r="EM603" i="15" s="1"/>
  <c r="EL607" i="15"/>
  <c r="EM607" i="15" s="1"/>
  <c r="EL611" i="15"/>
  <c r="EM611" i="15" s="1"/>
  <c r="EL614" i="15"/>
  <c r="EM614" i="15" s="1"/>
  <c r="EL618" i="15"/>
  <c r="EM618" i="15" s="1"/>
  <c r="EL625" i="15"/>
  <c r="EM625" i="15" s="1"/>
  <c r="EL629" i="15"/>
  <c r="EM629" i="15" s="1"/>
  <c r="EL633" i="15"/>
  <c r="EM633" i="15" s="1"/>
  <c r="EL637" i="15"/>
  <c r="EM637" i="15" s="1"/>
  <c r="EL641" i="15"/>
  <c r="EM641" i="15" s="1"/>
  <c r="EL644" i="15"/>
  <c r="EM644" i="15" s="1"/>
  <c r="EL648" i="15"/>
  <c r="EM648" i="15" s="1"/>
  <c r="EL652" i="15"/>
  <c r="EM652" i="15" s="1"/>
  <c r="EL656" i="15"/>
  <c r="EM656" i="15" s="1"/>
  <c r="EL660" i="15"/>
  <c r="EM660" i="15" s="1"/>
  <c r="EL664" i="15"/>
  <c r="EM664" i="15" s="1"/>
  <c r="EL668" i="15"/>
  <c r="EM668" i="15" s="1"/>
  <c r="EL671" i="15"/>
  <c r="EM671" i="15" s="1"/>
  <c r="EL675" i="15"/>
  <c r="EM675" i="15" s="1"/>
  <c r="EL679" i="15"/>
  <c r="EM679" i="15" s="1"/>
  <c r="EL683" i="15"/>
  <c r="EM683" i="15" s="1"/>
  <c r="EL690" i="15"/>
  <c r="EM690" i="15" s="1"/>
  <c r="EL694" i="15"/>
  <c r="EM694" i="15" s="1"/>
  <c r="EL698" i="15"/>
  <c r="EM698" i="15" s="1"/>
  <c r="EL702" i="15"/>
  <c r="EM702" i="15" s="1"/>
  <c r="EL706" i="15"/>
  <c r="EM706" i="15" s="1"/>
  <c r="EL710" i="15"/>
  <c r="EM710" i="15" s="1"/>
  <c r="EL714" i="15"/>
  <c r="EM714" i="15" s="1"/>
  <c r="EL717" i="15"/>
  <c r="EM717" i="15" s="1"/>
  <c r="EL721" i="15"/>
  <c r="EM721" i="15" s="1"/>
  <c r="EL725" i="15"/>
  <c r="EM725" i="15" s="1"/>
  <c r="EL729" i="15"/>
  <c r="EM729" i="15" s="1"/>
  <c r="EL736" i="15"/>
  <c r="EM736" i="15" s="1"/>
  <c r="EL740" i="15"/>
  <c r="EM740" i="15" s="1"/>
  <c r="EL744" i="15"/>
  <c r="EM744" i="15" s="1"/>
  <c r="EL748" i="15"/>
  <c r="EM748" i="15" s="1"/>
  <c r="EL752" i="15"/>
  <c r="EM752" i="15" s="1"/>
  <c r="EL755" i="15"/>
  <c r="EM755" i="15" s="1"/>
  <c r="EL774" i="15"/>
  <c r="EM774" i="15" s="1"/>
  <c r="EL761" i="15"/>
  <c r="EM761" i="15" s="1"/>
  <c r="EL765" i="15"/>
  <c r="EM765" i="15" s="1"/>
  <c r="EL769" i="15"/>
  <c r="EM769" i="15" s="1"/>
  <c r="EL778" i="15"/>
  <c r="EM778" i="15" s="1"/>
  <c r="EL782" i="15"/>
  <c r="EM782" i="15" s="1"/>
  <c r="EL786" i="15"/>
  <c r="EM786" i="15" s="1"/>
  <c r="EL790" i="15"/>
  <c r="EM790" i="15" s="1"/>
  <c r="EL794" i="15"/>
  <c r="EM794" i="15" s="1"/>
  <c r="EL797" i="15"/>
  <c r="EM797" i="15" s="1"/>
  <c r="EL801" i="15"/>
  <c r="EM801" i="15" s="1"/>
  <c r="EL805" i="15"/>
  <c r="EM805" i="15" s="1"/>
  <c r="EL809" i="15"/>
  <c r="EM809" i="15" s="1"/>
  <c r="EL813" i="15"/>
  <c r="EM813" i="15" s="1"/>
  <c r="EL817" i="15"/>
  <c r="EM817" i="15" s="1"/>
  <c r="EL821" i="15"/>
  <c r="EM821" i="15" s="1"/>
  <c r="EL825" i="15"/>
  <c r="EM825" i="15" s="1"/>
  <c r="EL832" i="15"/>
  <c r="EM832" i="15" s="1"/>
  <c r="EL836" i="15"/>
  <c r="EM836" i="15" s="1"/>
  <c r="EL840" i="15"/>
  <c r="EM840" i="15" s="1"/>
  <c r="EL844" i="15"/>
  <c r="EM844" i="15" s="1"/>
  <c r="EL848" i="15"/>
  <c r="EM848" i="15" s="1"/>
  <c r="EL852" i="15"/>
  <c r="EM852" i="15" s="1"/>
  <c r="EL856" i="15"/>
  <c r="EM856" i="15" s="1"/>
  <c r="EL860" i="15"/>
  <c r="EM860" i="15" s="1"/>
  <c r="EL8" i="15"/>
  <c r="EM8" i="15" s="1"/>
  <c r="EL11" i="15"/>
  <c r="EM11" i="15" s="1"/>
  <c r="EL833" i="15"/>
  <c r="EM833" i="15" s="1"/>
  <c r="EL845" i="15"/>
  <c r="EM845" i="15" s="1"/>
  <c r="EL853" i="15"/>
  <c r="EM853" i="15" s="1"/>
  <c r="EL861" i="15"/>
  <c r="EM861" i="15" s="1"/>
  <c r="EL12" i="15"/>
  <c r="EM12" i="15" s="1"/>
  <c r="EL22" i="15"/>
  <c r="EM22" i="15" s="1"/>
  <c r="EL67" i="15"/>
  <c r="EM67" i="15" s="1"/>
  <c r="EL113" i="15"/>
  <c r="EM113" i="15" s="1"/>
  <c r="EL144" i="15"/>
  <c r="EM144" i="15" s="1"/>
  <c r="EL190" i="15"/>
  <c r="EM190" i="15" s="1"/>
  <c r="EL235" i="15"/>
  <c r="EM235" i="15" s="1"/>
  <c r="EL281" i="15"/>
  <c r="EM281" i="15" s="1"/>
  <c r="EL312" i="15"/>
  <c r="EM312" i="15" s="1"/>
  <c r="EL359" i="15"/>
  <c r="EM359" i="15" s="1"/>
  <c r="EL383" i="15"/>
  <c r="EM383" i="15" s="1"/>
  <c r="EL391" i="15"/>
  <c r="EM391" i="15" s="1"/>
  <c r="EL403" i="15"/>
  <c r="EM403" i="15" s="1"/>
  <c r="EL414" i="15"/>
  <c r="EM414" i="15" s="1"/>
  <c r="EL426" i="15"/>
  <c r="EM426" i="15" s="1"/>
  <c r="EL437" i="15"/>
  <c r="EM437" i="15" s="1"/>
  <c r="EL445" i="15"/>
  <c r="EM445" i="15" s="1"/>
  <c r="EL456" i="15"/>
  <c r="EM456" i="15" s="1"/>
  <c r="EL468" i="15"/>
  <c r="EM468" i="15" s="1"/>
  <c r="EL479" i="15"/>
  <c r="EM479" i="15" s="1"/>
  <c r="EL491" i="15"/>
  <c r="EM491" i="15" s="1"/>
  <c r="EL502" i="15"/>
  <c r="EM502" i="15" s="1"/>
  <c r="EL514" i="15"/>
  <c r="EM514" i="15" s="1"/>
  <c r="EL529" i="15"/>
  <c r="EM529" i="15" s="1"/>
  <c r="EL536" i="15"/>
  <c r="EM536" i="15" s="1"/>
  <c r="EL544" i="15"/>
  <c r="EM544" i="15" s="1"/>
  <c r="EL555" i="15"/>
  <c r="EM555" i="15" s="1"/>
  <c r="EL567" i="15"/>
  <c r="EM567" i="15" s="1"/>
  <c r="EL590" i="15"/>
  <c r="EM590" i="15" s="1"/>
  <c r="EL598" i="15"/>
  <c r="EM598" i="15" s="1"/>
  <c r="EL610" i="15"/>
  <c r="EM610" i="15" s="1"/>
  <c r="EL617" i="15"/>
  <c r="EM617" i="15" s="1"/>
  <c r="EL624" i="15"/>
  <c r="EM624" i="15" s="1"/>
  <c r="EL636" i="15"/>
  <c r="EM636" i="15" s="1"/>
  <c r="EL643" i="15"/>
  <c r="EM643" i="15" s="1"/>
  <c r="EL655" i="15"/>
  <c r="EM655" i="15" s="1"/>
  <c r="EL667" i="15"/>
  <c r="EM667" i="15" s="1"/>
  <c r="EL678" i="15"/>
  <c r="EM678" i="15" s="1"/>
  <c r="EL689" i="15"/>
  <c r="EM689" i="15" s="1"/>
  <c r="EL701" i="15"/>
  <c r="EM701" i="15" s="1"/>
  <c r="EL713" i="15"/>
  <c r="EM713" i="15" s="1"/>
  <c r="EL720" i="15"/>
  <c r="EM720" i="15" s="1"/>
  <c r="EL732" i="15"/>
  <c r="EM732" i="15" s="1"/>
  <c r="EL743" i="15"/>
  <c r="EM743" i="15" s="1"/>
  <c r="EL764" i="15"/>
  <c r="EM764" i="15" s="1"/>
  <c r="EL777" i="15"/>
  <c r="EM777" i="15" s="1"/>
  <c r="EL785" i="15"/>
  <c r="EM785" i="15" s="1"/>
  <c r="EL812" i="15"/>
  <c r="EM812" i="15" s="1"/>
  <c r="EL824" i="15"/>
  <c r="EM824" i="15" s="1"/>
  <c r="EL831" i="15"/>
  <c r="EM831" i="15" s="1"/>
  <c r="EL847" i="15"/>
  <c r="EM847" i="15" s="1"/>
  <c r="EL859" i="15"/>
  <c r="EM859" i="15" s="1"/>
  <c r="EL14" i="15"/>
  <c r="EM14" i="15" s="1"/>
  <c r="EL30" i="15"/>
  <c r="EM30" i="15" s="1"/>
  <c r="EL44" i="15"/>
  <c r="EM44" i="15" s="1"/>
  <c r="EL60" i="15"/>
  <c r="EM60" i="15" s="1"/>
  <c r="EL75" i="15"/>
  <c r="EM75" i="15" s="1"/>
  <c r="EL90" i="15"/>
  <c r="EM90" i="15" s="1"/>
  <c r="EL105" i="15"/>
  <c r="EM105" i="15" s="1"/>
  <c r="EL121" i="15"/>
  <c r="EM121" i="15" s="1"/>
  <c r="EL136" i="15"/>
  <c r="EM136" i="15" s="1"/>
  <c r="EL151" i="15"/>
  <c r="EM151" i="15" s="1"/>
  <c r="EL167" i="15"/>
  <c r="EM167" i="15" s="1"/>
  <c r="EL182" i="15"/>
  <c r="EM182" i="15" s="1"/>
  <c r="EL197" i="15"/>
  <c r="EM197" i="15" s="1"/>
  <c r="EL213" i="15"/>
  <c r="EM213" i="15" s="1"/>
  <c r="EL228" i="15"/>
  <c r="EM228" i="15" s="1"/>
  <c r="EL243" i="15"/>
  <c r="EM243" i="15" s="1"/>
  <c r="EL258" i="15"/>
  <c r="EM258" i="15" s="1"/>
  <c r="EL273" i="15"/>
  <c r="EM273" i="15" s="1"/>
  <c r="EL289" i="15"/>
  <c r="EM289" i="15" s="1"/>
  <c r="EL304" i="15"/>
  <c r="EM304" i="15" s="1"/>
  <c r="EL320" i="15"/>
  <c r="EM320" i="15" s="1"/>
  <c r="EL335" i="15"/>
  <c r="EM335" i="15" s="1"/>
  <c r="EL351" i="15"/>
  <c r="EM351" i="15" s="1"/>
  <c r="EL367" i="15"/>
  <c r="EM367" i="15" s="1"/>
  <c r="EL375" i="15"/>
  <c r="EM375" i="15" s="1"/>
  <c r="EL380" i="15"/>
  <c r="EM380" i="15" s="1"/>
  <c r="EL385" i="15"/>
  <c r="EM385" i="15" s="1"/>
  <c r="EL389" i="15"/>
  <c r="EM389" i="15" s="1"/>
  <c r="EL393" i="15"/>
  <c r="EM393" i="15" s="1"/>
  <c r="EL397" i="15"/>
  <c r="EM397" i="15" s="1"/>
  <c r="EL401" i="15"/>
  <c r="EM401" i="15" s="1"/>
  <c r="EL405" i="15"/>
  <c r="EM405" i="15" s="1"/>
  <c r="EL408" i="15"/>
  <c r="EM408" i="15" s="1"/>
  <c r="EL412" i="15"/>
  <c r="EM412" i="15" s="1"/>
  <c r="EL416" i="15"/>
  <c r="EM416" i="15" s="1"/>
  <c r="EL420" i="15"/>
  <c r="EM420" i="15" s="1"/>
  <c r="EL424" i="15"/>
  <c r="EM424" i="15" s="1"/>
  <c r="EL428" i="15"/>
  <c r="EM428" i="15" s="1"/>
  <c r="EL431" i="15"/>
  <c r="EM431" i="15" s="1"/>
  <c r="EL435" i="15"/>
  <c r="EM435" i="15" s="1"/>
  <c r="EL439" i="15"/>
  <c r="EM439" i="15" s="1"/>
  <c r="EL443" i="15"/>
  <c r="EM443" i="15" s="1"/>
  <c r="EL447" i="15"/>
  <c r="EM447" i="15" s="1"/>
  <c r="EL451" i="15"/>
  <c r="EM451" i="15" s="1"/>
  <c r="EL455" i="15"/>
  <c r="EM455" i="15" s="1"/>
  <c r="EL458" i="15"/>
  <c r="EM458" i="15" s="1"/>
  <c r="EL462" i="15"/>
  <c r="EM462" i="15" s="1"/>
  <c r="EL466" i="15"/>
  <c r="EM466" i="15" s="1"/>
  <c r="EL473" i="15"/>
  <c r="EM473" i="15" s="1"/>
  <c r="EL477" i="15"/>
  <c r="EM477" i="15" s="1"/>
  <c r="EL481" i="15"/>
  <c r="EM481" i="15" s="1"/>
  <c r="EL485" i="15"/>
  <c r="EM485" i="15" s="1"/>
  <c r="EL489" i="15"/>
  <c r="EM489" i="15" s="1"/>
  <c r="EL492" i="15"/>
  <c r="EM492" i="15" s="1"/>
  <c r="EL496" i="15"/>
  <c r="EM496" i="15" s="1"/>
  <c r="EL500" i="15"/>
  <c r="EM500" i="15" s="1"/>
  <c r="EL504" i="15"/>
  <c r="EM504" i="15" s="1"/>
  <c r="EL508" i="15"/>
  <c r="EM508" i="15" s="1"/>
  <c r="EL512" i="15"/>
  <c r="EM512" i="15" s="1"/>
  <c r="EL515" i="15"/>
  <c r="EM515" i="15" s="1"/>
  <c r="EL519" i="15"/>
  <c r="EM519" i="15" s="1"/>
  <c r="EL523" i="15"/>
  <c r="EM523" i="15" s="1"/>
  <c r="EL527" i="15"/>
  <c r="EM527" i="15" s="1"/>
  <c r="EL530" i="15"/>
  <c r="EM530" i="15" s="1"/>
  <c r="EL534" i="15"/>
  <c r="EM534" i="15" s="1"/>
  <c r="EL538" i="15"/>
  <c r="EM538" i="15" s="1"/>
  <c r="EL542" i="15"/>
  <c r="EM542" i="15" s="1"/>
  <c r="EL546" i="15"/>
  <c r="EM546" i="15" s="1"/>
  <c r="EL549" i="15"/>
  <c r="EM549" i="15" s="1"/>
  <c r="EL553" i="15"/>
  <c r="EM553" i="15" s="1"/>
  <c r="EL557" i="15"/>
  <c r="EM557" i="15" s="1"/>
  <c r="EL561" i="15"/>
  <c r="EM561" i="15" s="1"/>
  <c r="EL565" i="15"/>
  <c r="EM565" i="15" s="1"/>
  <c r="EL569" i="15"/>
  <c r="EM569" i="15" s="1"/>
  <c r="EL574" i="15"/>
  <c r="EM574" i="15" s="1"/>
  <c r="EL577" i="15"/>
  <c r="EM577" i="15" s="1"/>
  <c r="EL580" i="15"/>
  <c r="EM580" i="15" s="1"/>
  <c r="EL584" i="15"/>
  <c r="EM584" i="15" s="1"/>
  <c r="EL588" i="15"/>
  <c r="EM588" i="15" s="1"/>
  <c r="EL592" i="15"/>
  <c r="EM592" i="15" s="1"/>
  <c r="EL596" i="15"/>
  <c r="EM596" i="15" s="1"/>
  <c r="EL600" i="15"/>
  <c r="EM600" i="15" s="1"/>
  <c r="EL604" i="15"/>
  <c r="EM604" i="15" s="1"/>
  <c r="EL608" i="15"/>
  <c r="EM608" i="15" s="1"/>
  <c r="EL615" i="15"/>
  <c r="EM615" i="15" s="1"/>
  <c r="EL619" i="15"/>
  <c r="EM619" i="15" s="1"/>
  <c r="EL622" i="15"/>
  <c r="EM622" i="15" s="1"/>
  <c r="EL626" i="15"/>
  <c r="EM626" i="15" s="1"/>
  <c r="EL630" i="15"/>
  <c r="EM630" i="15" s="1"/>
  <c r="EL634" i="15"/>
  <c r="EM634" i="15" s="1"/>
  <c r="EL638" i="15"/>
  <c r="EM638" i="15" s="1"/>
  <c r="EL645" i="15"/>
  <c r="EM645" i="15" s="1"/>
  <c r="EL649" i="15"/>
  <c r="EM649" i="15" s="1"/>
  <c r="EL653" i="15"/>
  <c r="EM653" i="15" s="1"/>
  <c r="EL657" i="15"/>
  <c r="EM657" i="15" s="1"/>
  <c r="EL661" i="15"/>
  <c r="EM661" i="15" s="1"/>
  <c r="EL665" i="15"/>
  <c r="EM665" i="15" s="1"/>
  <c r="EL672" i="15"/>
  <c r="EM672" i="15" s="1"/>
  <c r="EL676" i="15"/>
  <c r="EM676" i="15" s="1"/>
  <c r="EL680" i="15"/>
  <c r="EM680" i="15" s="1"/>
  <c r="EL684" i="15"/>
  <c r="EM684" i="15" s="1"/>
  <c r="EL688" i="15"/>
  <c r="EM688" i="15" s="1"/>
  <c r="EL691" i="15"/>
  <c r="EM691" i="15" s="1"/>
  <c r="EL695" i="15"/>
  <c r="EM695" i="15" s="1"/>
  <c r="EL699" i="15"/>
  <c r="EM699" i="15" s="1"/>
  <c r="EL703" i="15"/>
  <c r="EM703" i="15" s="1"/>
  <c r="EL707" i="15"/>
  <c r="EM707" i="15" s="1"/>
  <c r="EL711" i="15"/>
  <c r="EM711" i="15" s="1"/>
  <c r="EL718" i="15"/>
  <c r="EM718" i="15" s="1"/>
  <c r="EL722" i="15"/>
  <c r="EM722" i="15" s="1"/>
  <c r="EL726" i="15"/>
  <c r="EM726" i="15" s="1"/>
  <c r="EL730" i="15"/>
  <c r="EM730" i="15" s="1"/>
  <c r="EL733" i="15"/>
  <c r="EM733" i="15" s="1"/>
  <c r="EL737" i="15"/>
  <c r="EM737" i="15" s="1"/>
  <c r="EL741" i="15"/>
  <c r="EM741" i="15" s="1"/>
  <c r="EL745" i="15"/>
  <c r="EM745" i="15" s="1"/>
  <c r="EL749" i="15"/>
  <c r="EM749" i="15" s="1"/>
  <c r="EL756" i="15"/>
  <c r="EM756" i="15" s="1"/>
  <c r="EL758" i="15"/>
  <c r="EM758" i="15" s="1"/>
  <c r="EL762" i="15"/>
  <c r="EM762" i="15" s="1"/>
  <c r="EL766" i="15"/>
  <c r="EM766" i="15" s="1"/>
  <c r="EL770" i="15"/>
  <c r="EM770" i="15" s="1"/>
  <c r="EL776" i="15"/>
  <c r="EM776" i="15" s="1"/>
  <c r="EL779" i="15"/>
  <c r="EM779" i="15" s="1"/>
  <c r="EL783" i="15"/>
  <c r="EM783" i="15" s="1"/>
  <c r="EL787" i="15"/>
  <c r="EM787" i="15" s="1"/>
  <c r="EL791" i="15"/>
  <c r="EM791" i="15" s="1"/>
  <c r="EL798" i="15"/>
  <c r="EM798" i="15" s="1"/>
  <c r="EL802" i="15"/>
  <c r="EM802" i="15" s="1"/>
  <c r="EL806" i="15"/>
  <c r="EM806" i="15" s="1"/>
  <c r="EL810" i="15"/>
  <c r="EM810" i="15" s="1"/>
  <c r="EL814" i="15"/>
  <c r="EM814" i="15" s="1"/>
  <c r="EL818" i="15"/>
  <c r="EM818" i="15" s="1"/>
  <c r="EL822" i="15"/>
  <c r="EM822" i="15" s="1"/>
  <c r="EL826" i="15"/>
  <c r="EM826" i="15" s="1"/>
  <c r="EL829" i="15"/>
  <c r="EM829" i="15" s="1"/>
  <c r="EL837" i="15"/>
  <c r="EM837" i="15" s="1"/>
  <c r="EL841" i="15"/>
  <c r="EM841" i="15" s="1"/>
  <c r="EL849" i="15"/>
  <c r="EM849" i="15" s="1"/>
  <c r="EL857" i="15"/>
  <c r="EM857" i="15" s="1"/>
  <c r="EL9" i="15"/>
  <c r="EM9" i="15" s="1"/>
  <c r="EL37" i="15"/>
  <c r="EM37" i="15" s="1"/>
  <c r="EL98" i="15"/>
  <c r="EM98" i="15" s="1"/>
  <c r="EL159" i="15"/>
  <c r="EM159" i="15" s="1"/>
  <c r="EL220" i="15"/>
  <c r="EM220" i="15" s="1"/>
  <c r="EL266" i="15"/>
  <c r="EM266" i="15" s="1"/>
  <c r="EL327" i="15"/>
  <c r="EM327" i="15" s="1"/>
  <c r="EL378" i="15"/>
  <c r="EM378" i="15" s="1"/>
  <c r="EL395" i="15"/>
  <c r="EM395" i="15" s="1"/>
  <c r="EL410" i="15"/>
  <c r="EM410" i="15" s="1"/>
  <c r="EL422" i="15"/>
  <c r="EM422" i="15" s="1"/>
  <c r="EL433" i="15"/>
  <c r="EM433" i="15" s="1"/>
  <c r="EL449" i="15"/>
  <c r="EM449" i="15" s="1"/>
  <c r="EL464" i="15"/>
  <c r="EM464" i="15" s="1"/>
  <c r="EL475" i="15"/>
  <c r="EM475" i="15" s="1"/>
  <c r="EL487" i="15"/>
  <c r="EM487" i="15" s="1"/>
  <c r="EL498" i="15"/>
  <c r="EM498" i="15" s="1"/>
  <c r="EL510" i="15"/>
  <c r="EM510" i="15" s="1"/>
  <c r="EL521" i="15"/>
  <c r="EM521" i="15" s="1"/>
  <c r="EL532" i="15"/>
  <c r="EM532" i="15" s="1"/>
  <c r="EL551" i="15"/>
  <c r="EM551" i="15" s="1"/>
  <c r="EL563" i="15"/>
  <c r="EM563" i="15" s="1"/>
  <c r="EL575" i="15"/>
  <c r="EM575" i="15" s="1"/>
  <c r="EL602" i="15"/>
  <c r="EM602" i="15" s="1"/>
  <c r="EL621" i="15"/>
  <c r="EM621" i="15" s="1"/>
  <c r="EL632" i="15"/>
  <c r="EM632" i="15" s="1"/>
  <c r="EL651" i="15"/>
  <c r="EM651" i="15" s="1"/>
  <c r="EL663" i="15"/>
  <c r="EM663" i="15" s="1"/>
  <c r="EL674" i="15"/>
  <c r="EM674" i="15" s="1"/>
  <c r="EL686" i="15"/>
  <c r="EM686" i="15" s="1"/>
  <c r="EL693" i="15"/>
  <c r="EM693" i="15" s="1"/>
  <c r="EL705" i="15"/>
  <c r="EM705" i="15" s="1"/>
  <c r="EL716" i="15"/>
  <c r="EM716" i="15" s="1"/>
  <c r="EL728" i="15"/>
  <c r="EM728" i="15" s="1"/>
  <c r="EL739" i="15"/>
  <c r="EM739" i="15" s="1"/>
  <c r="EL773" i="15"/>
  <c r="EM773" i="15" s="1"/>
  <c r="EL768" i="15"/>
  <c r="EM768" i="15" s="1"/>
  <c r="EL781" i="15"/>
  <c r="EM781" i="15" s="1"/>
  <c r="EL793" i="15"/>
  <c r="EM793" i="15" s="1"/>
  <c r="EL804" i="15"/>
  <c r="EM804" i="15" s="1"/>
  <c r="EL816" i="15"/>
  <c r="EM816" i="15" s="1"/>
  <c r="EL828" i="15"/>
  <c r="EM828" i="15" s="1"/>
  <c r="EL839" i="15"/>
  <c r="EM839" i="15" s="1"/>
  <c r="EL851" i="15"/>
  <c r="EM851" i="15" s="1"/>
  <c r="EL10" i="15"/>
  <c r="EM10" i="15" s="1"/>
  <c r="EL18" i="15"/>
  <c r="EM18" i="15" s="1"/>
  <c r="EL34" i="15"/>
  <c r="EM34" i="15" s="1"/>
  <c r="EL48" i="15"/>
  <c r="EM48" i="15" s="1"/>
  <c r="EL79" i="15"/>
  <c r="EM79" i="15" s="1"/>
  <c r="EL94" i="15"/>
  <c r="EM94" i="15" s="1"/>
  <c r="EL109" i="15"/>
  <c r="EM109" i="15" s="1"/>
  <c r="EL125" i="15"/>
  <c r="EM125" i="15" s="1"/>
  <c r="EL140" i="15"/>
  <c r="EM140" i="15" s="1"/>
  <c r="EL155" i="15"/>
  <c r="EM155" i="15" s="1"/>
  <c r="EL170" i="15"/>
  <c r="EM170" i="15" s="1"/>
  <c r="EL186" i="15"/>
  <c r="EM186" i="15" s="1"/>
  <c r="EL201" i="15"/>
  <c r="EM201" i="15" s="1"/>
  <c r="EL217" i="15"/>
  <c r="EM217" i="15" s="1"/>
  <c r="EL232" i="15"/>
  <c r="EM232" i="15" s="1"/>
  <c r="EL247" i="15"/>
  <c r="EM247" i="15" s="1"/>
  <c r="EL262" i="15"/>
  <c r="EM262" i="15" s="1"/>
  <c r="EL277" i="15"/>
  <c r="EM277" i="15" s="1"/>
  <c r="EL293" i="15"/>
  <c r="EM293" i="15" s="1"/>
  <c r="EL308" i="15"/>
  <c r="EM308" i="15" s="1"/>
  <c r="EL339" i="15"/>
  <c r="EM339" i="15" s="1"/>
  <c r="EL355" i="15"/>
  <c r="EM355" i="15" s="1"/>
  <c r="EL371" i="15"/>
  <c r="EM371" i="15" s="1"/>
  <c r="EL376" i="15"/>
  <c r="EM376" i="15" s="1"/>
  <c r="EL382" i="15"/>
  <c r="EM382" i="15" s="1"/>
  <c r="EL386" i="15"/>
  <c r="EM386" i="15" s="1"/>
  <c r="EL390" i="15"/>
  <c r="EM390" i="15" s="1"/>
  <c r="EL394" i="15"/>
  <c r="EM394" i="15" s="1"/>
  <c r="EL398" i="15"/>
  <c r="EM398" i="15" s="1"/>
  <c r="EL402" i="15"/>
  <c r="EM402" i="15" s="1"/>
  <c r="EL409" i="15"/>
  <c r="EM409" i="15" s="1"/>
  <c r="EL413" i="15"/>
  <c r="EM413" i="15" s="1"/>
  <c r="EL417" i="15"/>
  <c r="EM417" i="15" s="1"/>
  <c r="EL421" i="15"/>
  <c r="EM421" i="15" s="1"/>
  <c r="EL425" i="15"/>
  <c r="EM425" i="15" s="1"/>
  <c r="EL432" i="15"/>
  <c r="EM432" i="15" s="1"/>
  <c r="EL436" i="15"/>
  <c r="EM436" i="15" s="1"/>
  <c r="EL440" i="15"/>
  <c r="EM440" i="15" s="1"/>
  <c r="EL444" i="15"/>
  <c r="EM444" i="15" s="1"/>
  <c r="EL448" i="15"/>
  <c r="EM448" i="15" s="1"/>
  <c r="EL452" i="15"/>
  <c r="EM452" i="15" s="1"/>
  <c r="EL459" i="15"/>
  <c r="EM459" i="15" s="1"/>
  <c r="EL463" i="15"/>
  <c r="EM463" i="15" s="1"/>
  <c r="EL467" i="15"/>
  <c r="EM467" i="15" s="1"/>
  <c r="EL471" i="15"/>
  <c r="EM471" i="15" s="1"/>
  <c r="EL474" i="15"/>
  <c r="EM474" i="15" s="1"/>
  <c r="EL478" i="15"/>
  <c r="EM478" i="15" s="1"/>
  <c r="EL482" i="15"/>
  <c r="EM482" i="15" s="1"/>
  <c r="EL486" i="15"/>
  <c r="EM486" i="15" s="1"/>
  <c r="EL493" i="15"/>
  <c r="EM493" i="15" s="1"/>
  <c r="EL497" i="15"/>
  <c r="EM497" i="15" s="1"/>
  <c r="EL501" i="15"/>
  <c r="EM501" i="15" s="1"/>
  <c r="EL505" i="15"/>
  <c r="EM505" i="15" s="1"/>
  <c r="EL509" i="15"/>
  <c r="EM509" i="15" s="1"/>
  <c r="EL513" i="15"/>
  <c r="EM513" i="15" s="1"/>
  <c r="EL516" i="15"/>
  <c r="EM516" i="15" s="1"/>
  <c r="EL520" i="15"/>
  <c r="EM520" i="15" s="1"/>
  <c r="EL524" i="15"/>
  <c r="EM524" i="15" s="1"/>
  <c r="EL531" i="15"/>
  <c r="EM531" i="15" s="1"/>
  <c r="EL535" i="15"/>
  <c r="EM535" i="15" s="1"/>
  <c r="EL539" i="15"/>
  <c r="EM539" i="15" s="1"/>
  <c r="EL543" i="15"/>
  <c r="EM543" i="15" s="1"/>
  <c r="EL547" i="15"/>
  <c r="EM547" i="15" s="1"/>
  <c r="EL550" i="15"/>
  <c r="EM550" i="15" s="1"/>
  <c r="EL554" i="15"/>
  <c r="EM554" i="15" s="1"/>
  <c r="EL558" i="15"/>
  <c r="EM558" i="15" s="1"/>
  <c r="EL562" i="15"/>
  <c r="EM562" i="15" s="1"/>
  <c r="EL566" i="15"/>
  <c r="EM566" i="15" s="1"/>
  <c r="EL570" i="15"/>
  <c r="EM570" i="15" s="1"/>
  <c r="EL572" i="15"/>
  <c r="EM572" i="15" s="1"/>
  <c r="EL578" i="15"/>
  <c r="EM578" i="15" s="1"/>
  <c r="EL581" i="15"/>
  <c r="EM581" i="15" s="1"/>
  <c r="EL585" i="15"/>
  <c r="EM585" i="15" s="1"/>
  <c r="EL589" i="15"/>
  <c r="EM589" i="15" s="1"/>
  <c r="EL593" i="15"/>
  <c r="EM593" i="15" s="1"/>
  <c r="EL597" i="15"/>
  <c r="EM597" i="15" s="1"/>
  <c r="EL601" i="15"/>
  <c r="EM601" i="15" s="1"/>
  <c r="EL605" i="15"/>
  <c r="EM605" i="15" s="1"/>
  <c r="EL609" i="15"/>
  <c r="EM609" i="15" s="1"/>
  <c r="EL612" i="15"/>
  <c r="EM612" i="15" s="1"/>
  <c r="EL616" i="15"/>
  <c r="EM616" i="15" s="1"/>
  <c r="EL620" i="15"/>
  <c r="EM620" i="15" s="1"/>
  <c r="EL623" i="15"/>
  <c r="EM623" i="15" s="1"/>
  <c r="EL627" i="15"/>
  <c r="EM627" i="15" s="1"/>
  <c r="EL631" i="15"/>
  <c r="EM631" i="15" s="1"/>
  <c r="EL635" i="15"/>
  <c r="EM635" i="15" s="1"/>
  <c r="EL639" i="15"/>
  <c r="EM639" i="15" s="1"/>
  <c r="EL642" i="15"/>
  <c r="EM642" i="15" s="1"/>
  <c r="EL646" i="15"/>
  <c r="EM646" i="15" s="1"/>
  <c r="EL650" i="15"/>
  <c r="EM650" i="15" s="1"/>
  <c r="EL654" i="15"/>
  <c r="EM654" i="15" s="1"/>
  <c r="EL658" i="15"/>
  <c r="EM658" i="15" s="1"/>
  <c r="EL662" i="15"/>
  <c r="EM662" i="15" s="1"/>
  <c r="EL666" i="15"/>
  <c r="EM666" i="15" s="1"/>
  <c r="EL669" i="15"/>
  <c r="EM669" i="15" s="1"/>
  <c r="EL673" i="15"/>
  <c r="EM673" i="15" s="1"/>
  <c r="EL677" i="15"/>
  <c r="EM677" i="15" s="1"/>
  <c r="EL681" i="15"/>
  <c r="EM681" i="15" s="1"/>
  <c r="EL685" i="15"/>
  <c r="EM685" i="15" s="1"/>
  <c r="EL692" i="15"/>
  <c r="EM692" i="15" s="1"/>
  <c r="EL696" i="15"/>
  <c r="EM696" i="15" s="1"/>
  <c r="EL700" i="15"/>
  <c r="EM700" i="15" s="1"/>
  <c r="EL704" i="15"/>
  <c r="EM704" i="15" s="1"/>
  <c r="EL708" i="15"/>
  <c r="EM708" i="15" s="1"/>
  <c r="EL715" i="15"/>
  <c r="EM715" i="15" s="1"/>
  <c r="EL719" i="15"/>
  <c r="EM719" i="15" s="1"/>
  <c r="EL723" i="15"/>
  <c r="EM723" i="15" s="1"/>
  <c r="EL727" i="15"/>
  <c r="EM727" i="15" s="1"/>
  <c r="EL734" i="15"/>
  <c r="EM734" i="15" s="1"/>
  <c r="EL738" i="15"/>
  <c r="EM738" i="15" s="1"/>
  <c r="EL742" i="15"/>
  <c r="EM742" i="15" s="1"/>
  <c r="EL746" i="15"/>
  <c r="EM746" i="15" s="1"/>
  <c r="EL750" i="15"/>
  <c r="EM750" i="15" s="1"/>
  <c r="EL754" i="15"/>
  <c r="EM754" i="15" s="1"/>
  <c r="EL757" i="15"/>
  <c r="EM757" i="15" s="1"/>
  <c r="EL759" i="15"/>
  <c r="EM759" i="15" s="1"/>
  <c r="EL763" i="15"/>
  <c r="EM763" i="15" s="1"/>
  <c r="EL767" i="15"/>
  <c r="EM767" i="15" s="1"/>
  <c r="EL771" i="15"/>
  <c r="EM771" i="15" s="1"/>
  <c r="EL780" i="15"/>
  <c r="EM780" i="15" s="1"/>
  <c r="EL784" i="15"/>
  <c r="EM784" i="15" s="1"/>
  <c r="EL788" i="15"/>
  <c r="EM788" i="15" s="1"/>
  <c r="EL792" i="15"/>
  <c r="EM792" i="15" s="1"/>
  <c r="EL796" i="15"/>
  <c r="EM796" i="15" s="1"/>
  <c r="EL799" i="15"/>
  <c r="EM799" i="15" s="1"/>
  <c r="EL803" i="15"/>
  <c r="EM803" i="15" s="1"/>
  <c r="EL807" i="15"/>
  <c r="EM807" i="15" s="1"/>
  <c r="EL811" i="15"/>
  <c r="EM811" i="15" s="1"/>
  <c r="EL815" i="15"/>
  <c r="EM815" i="15" s="1"/>
  <c r="EL819" i="15"/>
  <c r="EM819" i="15" s="1"/>
  <c r="EL823" i="15"/>
  <c r="EM823" i="15" s="1"/>
  <c r="EL830" i="15"/>
  <c r="EM830" i="15" s="1"/>
  <c r="EL834" i="15"/>
  <c r="EM834" i="15" s="1"/>
  <c r="EL838" i="15"/>
  <c r="EM838" i="15" s="1"/>
  <c r="EL842" i="15"/>
  <c r="EM842" i="15" s="1"/>
  <c r="EL846" i="15"/>
  <c r="EM846" i="15" s="1"/>
  <c r="EL850" i="15"/>
  <c r="EM850" i="15" s="1"/>
  <c r="EL854" i="15"/>
  <c r="EM854" i="15" s="1"/>
  <c r="EL858" i="15"/>
  <c r="EM858" i="15" s="1"/>
  <c r="EL6" i="15"/>
  <c r="EM6" i="15" s="1"/>
  <c r="EL52" i="15"/>
  <c r="EM52" i="15" s="1"/>
  <c r="EL83" i="15"/>
  <c r="EM83" i="15" s="1"/>
  <c r="EL128" i="15"/>
  <c r="EM128" i="15" s="1"/>
  <c r="EL174" i="15"/>
  <c r="EM174" i="15" s="1"/>
  <c r="EL205" i="15"/>
  <c r="EM205" i="15" s="1"/>
  <c r="EL251" i="15"/>
  <c r="EM251" i="15" s="1"/>
  <c r="EL297" i="15"/>
  <c r="EM297" i="15" s="1"/>
  <c r="EL343" i="15"/>
  <c r="EM343" i="15" s="1"/>
  <c r="EL372" i="15"/>
  <c r="EM372" i="15" s="1"/>
  <c r="EL387" i="15"/>
  <c r="EM387" i="15" s="1"/>
  <c r="EL399" i="15"/>
  <c r="EM399" i="15" s="1"/>
  <c r="EL407" i="15"/>
  <c r="EM407" i="15" s="1"/>
  <c r="EL418" i="15"/>
  <c r="EM418" i="15" s="1"/>
  <c r="EL430" i="15"/>
  <c r="EM430" i="15" s="1"/>
  <c r="EL441" i="15"/>
  <c r="EM441" i="15" s="1"/>
  <c r="EL453" i="15"/>
  <c r="EM453" i="15" s="1"/>
  <c r="EL460" i="15"/>
  <c r="EM460" i="15" s="1"/>
  <c r="EL472" i="15"/>
  <c r="EM472" i="15" s="1"/>
  <c r="EL483" i="15"/>
  <c r="EM483" i="15" s="1"/>
  <c r="EL494" i="15"/>
  <c r="EM494" i="15" s="1"/>
  <c r="EL506" i="15"/>
  <c r="EM506" i="15" s="1"/>
  <c r="EL517" i="15"/>
  <c r="EM517" i="15" s="1"/>
  <c r="EL525" i="15"/>
  <c r="EM525" i="15" s="1"/>
  <c r="EL540" i="15"/>
  <c r="EM540" i="15" s="1"/>
  <c r="EL548" i="15"/>
  <c r="EM548" i="15" s="1"/>
  <c r="EL559" i="15"/>
  <c r="EM559" i="15" s="1"/>
  <c r="EL571" i="15"/>
  <c r="EM571" i="15" s="1"/>
  <c r="EL582" i="15"/>
  <c r="EM582" i="15" s="1"/>
  <c r="EL586" i="15"/>
  <c r="EM586" i="15" s="1"/>
  <c r="EL594" i="15"/>
  <c r="EM594" i="15" s="1"/>
  <c r="EL606" i="15"/>
  <c r="EM606" i="15" s="1"/>
  <c r="EL613" i="15"/>
  <c r="EM613" i="15" s="1"/>
  <c r="EL628" i="15"/>
  <c r="EM628" i="15" s="1"/>
  <c r="EL647" i="15"/>
  <c r="EM647" i="15" s="1"/>
  <c r="EL659" i="15"/>
  <c r="EM659" i="15" s="1"/>
  <c r="EL670" i="15"/>
  <c r="EM670" i="15" s="1"/>
  <c r="EL682" i="15"/>
  <c r="EM682" i="15" s="1"/>
  <c r="EL697" i="15"/>
  <c r="EM697" i="15" s="1"/>
  <c r="EL709" i="15"/>
  <c r="EM709" i="15" s="1"/>
  <c r="EL724" i="15"/>
  <c r="EM724" i="15" s="1"/>
  <c r="EL735" i="15"/>
  <c r="EM735" i="15" s="1"/>
  <c r="EL747" i="15"/>
  <c r="EM747" i="15" s="1"/>
  <c r="EL751" i="15"/>
  <c r="EM751" i="15" s="1"/>
  <c r="EL760" i="15"/>
  <c r="EM760" i="15" s="1"/>
  <c r="EL772" i="15"/>
  <c r="EM772" i="15" s="1"/>
  <c r="EL789" i="15"/>
  <c r="EM789" i="15" s="1"/>
  <c r="EL800" i="15"/>
  <c r="EM800" i="15" s="1"/>
  <c r="EL808" i="15"/>
  <c r="EM808" i="15" s="1"/>
  <c r="EL820" i="15"/>
  <c r="EM820" i="15" s="1"/>
  <c r="EL835" i="15"/>
  <c r="EM835" i="15" s="1"/>
  <c r="EL843" i="15"/>
  <c r="EM843" i="15" s="1"/>
  <c r="EL855" i="15"/>
  <c r="EM855" i="15" s="1"/>
  <c r="EJ10" i="15"/>
  <c r="EK10" i="15" s="1"/>
  <c r="EJ14" i="15"/>
  <c r="EK14" i="15" s="1"/>
  <c r="EJ18" i="15"/>
  <c r="EK18" i="15" s="1"/>
  <c r="EJ22" i="15"/>
  <c r="EK22" i="15" s="1"/>
  <c r="EJ26" i="15"/>
  <c r="EK26" i="15" s="1"/>
  <c r="EJ30" i="15"/>
  <c r="EK30" i="15" s="1"/>
  <c r="EJ34" i="15"/>
  <c r="EK34" i="15" s="1"/>
  <c r="EJ37" i="15"/>
  <c r="EK37" i="15" s="1"/>
  <c r="EJ44" i="15"/>
  <c r="EK44" i="15" s="1"/>
  <c r="EJ48" i="15"/>
  <c r="EK48" i="15" s="1"/>
  <c r="EJ52" i="15"/>
  <c r="EK52" i="15" s="1"/>
  <c r="EJ56" i="15"/>
  <c r="EK56" i="15" s="1"/>
  <c r="EJ60" i="15"/>
  <c r="EK60" i="15" s="1"/>
  <c r="EJ67" i="15"/>
  <c r="EK67" i="15" s="1"/>
  <c r="EJ71" i="15"/>
  <c r="EK71" i="15" s="1"/>
  <c r="EJ75" i="15"/>
  <c r="EK75" i="15" s="1"/>
  <c r="EJ79" i="15"/>
  <c r="EK79" i="15" s="1"/>
  <c r="EJ83" i="15"/>
  <c r="EK83" i="15" s="1"/>
  <c r="EJ86" i="15"/>
  <c r="EK86" i="15" s="1"/>
  <c r="EJ90" i="15"/>
  <c r="EK90" i="15" s="1"/>
  <c r="EJ94" i="15"/>
  <c r="EK94" i="15" s="1"/>
  <c r="EJ98" i="15"/>
  <c r="EK98" i="15" s="1"/>
  <c r="EJ101" i="15"/>
  <c r="EK101" i="15" s="1"/>
  <c r="EJ105" i="15"/>
  <c r="EK105" i="15" s="1"/>
  <c r="EJ109" i="15"/>
  <c r="EK109" i="15" s="1"/>
  <c r="EJ113" i="15"/>
  <c r="EK113" i="15" s="1"/>
  <c r="EJ117" i="15"/>
  <c r="EK117" i="15" s="1"/>
  <c r="EJ121" i="15"/>
  <c r="EK121" i="15" s="1"/>
  <c r="EJ125" i="15"/>
  <c r="EK125" i="15" s="1"/>
  <c r="EJ128" i="15"/>
  <c r="EK128" i="15" s="1"/>
  <c r="EJ132" i="15"/>
  <c r="EK132" i="15" s="1"/>
  <c r="EJ136" i="15"/>
  <c r="EK136" i="15" s="1"/>
  <c r="EJ140" i="15"/>
  <c r="EK140" i="15" s="1"/>
  <c r="EJ144" i="15"/>
  <c r="EK144" i="15" s="1"/>
  <c r="EJ147" i="15"/>
  <c r="EK147" i="15" s="1"/>
  <c r="EJ151" i="15"/>
  <c r="EK151" i="15" s="1"/>
  <c r="EJ155" i="15"/>
  <c r="EK155" i="15" s="1"/>
  <c r="EJ159" i="15"/>
  <c r="EK159" i="15" s="1"/>
  <c r="EJ163" i="15"/>
  <c r="EK163" i="15" s="1"/>
  <c r="EJ167" i="15"/>
  <c r="EK167" i="15" s="1"/>
  <c r="EJ170" i="15"/>
  <c r="EK170" i="15" s="1"/>
  <c r="EJ174" i="15"/>
  <c r="EK174" i="15" s="1"/>
  <c r="EJ178" i="15"/>
  <c r="EK178" i="15" s="1"/>
  <c r="EJ182" i="15"/>
  <c r="EK182" i="15" s="1"/>
  <c r="EJ186" i="15"/>
  <c r="EK186" i="15" s="1"/>
  <c r="EJ190" i="15"/>
  <c r="EK190" i="15" s="1"/>
  <c r="EJ193" i="15"/>
  <c r="EK193" i="15" s="1"/>
  <c r="EJ197" i="15"/>
  <c r="EK197" i="15" s="1"/>
  <c r="EJ201" i="15"/>
  <c r="EK201" i="15" s="1"/>
  <c r="EJ205" i="15"/>
  <c r="EK205" i="15" s="1"/>
  <c r="EJ209" i="15"/>
  <c r="EK209" i="15" s="1"/>
  <c r="EJ213" i="15"/>
  <c r="EK213" i="15" s="1"/>
  <c r="EJ217" i="15"/>
  <c r="EK217" i="15" s="1"/>
  <c r="EJ220" i="15"/>
  <c r="EK220" i="15" s="1"/>
  <c r="EJ224" i="15"/>
  <c r="EK224" i="15" s="1"/>
  <c r="EJ228" i="15"/>
  <c r="EK228" i="15" s="1"/>
  <c r="EJ232" i="15"/>
  <c r="EK232" i="15" s="1"/>
  <c r="EJ235" i="15"/>
  <c r="EK235" i="15" s="1"/>
  <c r="EJ239" i="15"/>
  <c r="EK239" i="15" s="1"/>
  <c r="EJ243" i="15"/>
  <c r="EK243" i="15" s="1"/>
  <c r="EJ247" i="15"/>
  <c r="EK247" i="15" s="1"/>
  <c r="EJ251" i="15"/>
  <c r="EK251" i="15" s="1"/>
  <c r="EJ254" i="15"/>
  <c r="EK254" i="15" s="1"/>
  <c r="EJ258" i="15"/>
  <c r="EK258" i="15" s="1"/>
  <c r="EJ262" i="15"/>
  <c r="EK262" i="15" s="1"/>
  <c r="EJ266" i="15"/>
  <c r="EK266" i="15" s="1"/>
  <c r="EJ270" i="15"/>
  <c r="EK270" i="15" s="1"/>
  <c r="EJ273" i="15"/>
  <c r="EK273" i="15" s="1"/>
  <c r="EJ277" i="15"/>
  <c r="EK277" i="15" s="1"/>
  <c r="EJ281" i="15"/>
  <c r="EK281" i="15" s="1"/>
  <c r="EJ285" i="15"/>
  <c r="EK285" i="15" s="1"/>
  <c r="EJ289" i="15"/>
  <c r="EK289" i="15" s="1"/>
  <c r="EJ293" i="15"/>
  <c r="EK293" i="15" s="1"/>
  <c r="EJ297" i="15"/>
  <c r="EK297" i="15" s="1"/>
  <c r="EJ304" i="15"/>
  <c r="EK304" i="15" s="1"/>
  <c r="EJ308" i="15"/>
  <c r="EK308" i="15" s="1"/>
  <c r="EJ312" i="15"/>
  <c r="EK312" i="15" s="1"/>
  <c r="EJ316" i="15"/>
  <c r="EK316" i="15" s="1"/>
  <c r="EJ320" i="15"/>
  <c r="EK320" i="15" s="1"/>
  <c r="EJ327" i="15"/>
  <c r="EK327" i="15" s="1"/>
  <c r="EJ331" i="15"/>
  <c r="EK331" i="15" s="1"/>
  <c r="EJ335" i="15"/>
  <c r="EK335" i="15" s="1"/>
  <c r="EJ339" i="15"/>
  <c r="EK339" i="15" s="1"/>
  <c r="EJ343" i="15"/>
  <c r="EK343" i="15" s="1"/>
  <c r="EJ347" i="15"/>
  <c r="EK347" i="15" s="1"/>
  <c r="EJ351" i="15"/>
  <c r="EK351" i="15" s="1"/>
  <c r="EJ355" i="15"/>
  <c r="EK355" i="15" s="1"/>
  <c r="EJ359" i="15"/>
  <c r="EK359" i="15" s="1"/>
  <c r="EJ363" i="15"/>
  <c r="EK363" i="15" s="1"/>
  <c r="EJ367" i="15"/>
  <c r="EK367" i="15" s="1"/>
  <c r="EJ371" i="15"/>
  <c r="EK371" i="15" s="1"/>
  <c r="EJ374" i="15"/>
  <c r="EK374" i="15" s="1"/>
  <c r="EJ378" i="15"/>
  <c r="EK378" i="15" s="1"/>
  <c r="EJ382" i="15"/>
  <c r="EK382" i="15" s="1"/>
  <c r="EJ386" i="15"/>
  <c r="EK386" i="15" s="1"/>
  <c r="EJ390" i="15"/>
  <c r="EK390" i="15" s="1"/>
  <c r="EJ394" i="15"/>
  <c r="EK394" i="15" s="1"/>
  <c r="EJ398" i="15"/>
  <c r="EK398" i="15" s="1"/>
  <c r="EJ402" i="15"/>
  <c r="EK402" i="15" s="1"/>
  <c r="EJ409" i="15"/>
  <c r="EK409" i="15" s="1"/>
  <c r="EJ413" i="15"/>
  <c r="EK413" i="15" s="1"/>
  <c r="EJ417" i="15"/>
  <c r="EK417" i="15" s="1"/>
  <c r="EJ421" i="15"/>
  <c r="EK421" i="15" s="1"/>
  <c r="EJ425" i="15"/>
  <c r="EK425" i="15" s="1"/>
  <c r="EJ432" i="15"/>
  <c r="EK432" i="15" s="1"/>
  <c r="EJ436" i="15"/>
  <c r="EK436" i="15" s="1"/>
  <c r="EJ440" i="15"/>
  <c r="EK440" i="15" s="1"/>
  <c r="EJ444" i="15"/>
  <c r="EK444" i="15" s="1"/>
  <c r="EJ448" i="15"/>
  <c r="EK448" i="15" s="1"/>
  <c r="EJ452" i="15"/>
  <c r="EK452" i="15" s="1"/>
  <c r="EJ459" i="15"/>
  <c r="EK459" i="15" s="1"/>
  <c r="EJ463" i="15"/>
  <c r="EK463" i="15" s="1"/>
  <c r="EJ467" i="15"/>
  <c r="EK467" i="15" s="1"/>
  <c r="EJ471" i="15"/>
  <c r="EK471" i="15" s="1"/>
  <c r="EJ474" i="15"/>
  <c r="EK474" i="15" s="1"/>
  <c r="EJ478" i="15"/>
  <c r="EK478" i="15" s="1"/>
  <c r="EJ482" i="15"/>
  <c r="EK482" i="15" s="1"/>
  <c r="EJ486" i="15"/>
  <c r="EK486" i="15" s="1"/>
  <c r="EJ493" i="15"/>
  <c r="EK493" i="15" s="1"/>
  <c r="EJ497" i="15"/>
  <c r="EK497" i="15" s="1"/>
  <c r="EJ501" i="15"/>
  <c r="EK501" i="15" s="1"/>
  <c r="EJ505" i="15"/>
  <c r="EK505" i="15" s="1"/>
  <c r="EJ509" i="15"/>
  <c r="EK509" i="15" s="1"/>
  <c r="EJ513" i="15"/>
  <c r="EK513" i="15" s="1"/>
  <c r="EJ516" i="15"/>
  <c r="EK516" i="15" s="1"/>
  <c r="EJ520" i="15"/>
  <c r="EK520" i="15" s="1"/>
  <c r="EJ524" i="15"/>
  <c r="EK524" i="15" s="1"/>
  <c r="EJ531" i="15"/>
  <c r="EK531" i="15" s="1"/>
  <c r="EJ535" i="15"/>
  <c r="EK535" i="15" s="1"/>
  <c r="EJ539" i="15"/>
  <c r="EK539" i="15" s="1"/>
  <c r="EJ543" i="15"/>
  <c r="EK543" i="15" s="1"/>
  <c r="EJ547" i="15"/>
  <c r="EK547" i="15" s="1"/>
  <c r="EJ550" i="15"/>
  <c r="EK550" i="15" s="1"/>
  <c r="EJ554" i="15"/>
  <c r="EK554" i="15" s="1"/>
  <c r="EJ558" i="15"/>
  <c r="EK558" i="15" s="1"/>
  <c r="EJ562" i="15"/>
  <c r="EK562" i="15" s="1"/>
  <c r="EJ566" i="15"/>
  <c r="EK566" i="15" s="1"/>
  <c r="EJ570" i="15"/>
  <c r="EK570" i="15" s="1"/>
  <c r="EJ572" i="15"/>
  <c r="EK572" i="15" s="1"/>
  <c r="EJ578" i="15"/>
  <c r="EK578" i="15" s="1"/>
  <c r="EJ581" i="15"/>
  <c r="EK581" i="15" s="1"/>
  <c r="EJ585" i="15"/>
  <c r="EK585" i="15" s="1"/>
  <c r="EJ589" i="15"/>
  <c r="EK589" i="15" s="1"/>
  <c r="EJ593" i="15"/>
  <c r="EK593" i="15" s="1"/>
  <c r="EJ597" i="15"/>
  <c r="EK597" i="15" s="1"/>
  <c r="EJ601" i="15"/>
  <c r="EK601" i="15" s="1"/>
  <c r="EJ605" i="15"/>
  <c r="EK605" i="15" s="1"/>
  <c r="EJ609" i="15"/>
  <c r="EK609" i="15" s="1"/>
  <c r="EJ612" i="15"/>
  <c r="EK612" i="15" s="1"/>
  <c r="EJ616" i="15"/>
  <c r="EK616" i="15" s="1"/>
  <c r="EJ620" i="15"/>
  <c r="EK620" i="15" s="1"/>
  <c r="EJ623" i="15"/>
  <c r="EK623" i="15" s="1"/>
  <c r="EJ627" i="15"/>
  <c r="EK627" i="15" s="1"/>
  <c r="EJ631" i="15"/>
  <c r="EK631" i="15" s="1"/>
  <c r="EJ635" i="15"/>
  <c r="EK635" i="15" s="1"/>
  <c r="EJ639" i="15"/>
  <c r="EK639" i="15" s="1"/>
  <c r="EJ642" i="15"/>
  <c r="EK642" i="15" s="1"/>
  <c r="EJ646" i="15"/>
  <c r="EK646" i="15" s="1"/>
  <c r="EJ650" i="15"/>
  <c r="EK650" i="15" s="1"/>
  <c r="EJ654" i="15"/>
  <c r="EK654" i="15" s="1"/>
  <c r="EJ658" i="15"/>
  <c r="EK658" i="15" s="1"/>
  <c r="EJ662" i="15"/>
  <c r="EK662" i="15" s="1"/>
  <c r="EJ666" i="15"/>
  <c r="EK666" i="15" s="1"/>
  <c r="EJ669" i="15"/>
  <c r="EK669" i="15" s="1"/>
  <c r="EJ673" i="15"/>
  <c r="EK673" i="15" s="1"/>
  <c r="EJ677" i="15"/>
  <c r="EK677" i="15" s="1"/>
  <c r="EJ681" i="15"/>
  <c r="EK681" i="15" s="1"/>
  <c r="EJ685" i="15"/>
  <c r="EK685" i="15" s="1"/>
  <c r="EJ692" i="15"/>
  <c r="EK692" i="15" s="1"/>
  <c r="EJ696" i="15"/>
  <c r="EK696" i="15" s="1"/>
  <c r="EJ700" i="15"/>
  <c r="EK700" i="15" s="1"/>
  <c r="EJ704" i="15"/>
  <c r="EK704" i="15" s="1"/>
  <c r="EJ708" i="15"/>
  <c r="EK708" i="15" s="1"/>
  <c r="EJ715" i="15"/>
  <c r="EK715" i="15" s="1"/>
  <c r="EJ719" i="15"/>
  <c r="EK719" i="15" s="1"/>
  <c r="EJ723" i="15"/>
  <c r="EK723" i="15" s="1"/>
  <c r="EJ727" i="15"/>
  <c r="EK727" i="15" s="1"/>
  <c r="EJ734" i="15"/>
  <c r="EK734" i="15" s="1"/>
  <c r="EJ738" i="15"/>
  <c r="EK738" i="15" s="1"/>
  <c r="EJ742" i="15"/>
  <c r="EK742" i="15" s="1"/>
  <c r="EJ746" i="15"/>
  <c r="EK746" i="15" s="1"/>
  <c r="EJ750" i="15"/>
  <c r="EK750" i="15" s="1"/>
  <c r="EJ754" i="15"/>
  <c r="EK754" i="15" s="1"/>
  <c r="EJ757" i="15"/>
  <c r="EK757" i="15" s="1"/>
  <c r="EJ759" i="15"/>
  <c r="EK759" i="15" s="1"/>
  <c r="EJ763" i="15"/>
  <c r="EK763" i="15" s="1"/>
  <c r="EJ767" i="15"/>
  <c r="EK767" i="15" s="1"/>
  <c r="EJ771" i="15"/>
  <c r="EK771" i="15" s="1"/>
  <c r="EJ780" i="15"/>
  <c r="EK780" i="15" s="1"/>
  <c r="EJ784" i="15"/>
  <c r="EK784" i="15" s="1"/>
  <c r="EJ788" i="15"/>
  <c r="EK788" i="15" s="1"/>
  <c r="EJ792" i="15"/>
  <c r="EK792" i="15" s="1"/>
  <c r="EJ796" i="15"/>
  <c r="EK796" i="15" s="1"/>
  <c r="EJ799" i="15"/>
  <c r="EK799" i="15" s="1"/>
  <c r="EJ803" i="15"/>
  <c r="EK803" i="15" s="1"/>
  <c r="EJ807" i="15"/>
  <c r="EK807" i="15" s="1"/>
  <c r="EJ811" i="15"/>
  <c r="EK811" i="15" s="1"/>
  <c r="EJ815" i="15"/>
  <c r="EK815" i="15" s="1"/>
  <c r="EJ819" i="15"/>
  <c r="EK819" i="15" s="1"/>
  <c r="EJ823" i="15"/>
  <c r="EK823" i="15" s="1"/>
  <c r="EJ830" i="15"/>
  <c r="EK830" i="15" s="1"/>
  <c r="EJ834" i="15"/>
  <c r="EK834" i="15" s="1"/>
  <c r="EJ838" i="15"/>
  <c r="EK838" i="15" s="1"/>
  <c r="EJ842" i="15"/>
  <c r="EK842" i="15" s="1"/>
  <c r="EJ846" i="15"/>
  <c r="EK846" i="15" s="1"/>
  <c r="EJ850" i="15"/>
  <c r="EK850" i="15" s="1"/>
  <c r="EJ854" i="15"/>
  <c r="EK854" i="15" s="1"/>
  <c r="EJ858" i="15"/>
  <c r="EK858" i="15" s="1"/>
  <c r="EJ488" i="15"/>
  <c r="EK488" i="15" s="1"/>
  <c r="EJ603" i="15"/>
  <c r="EK603" i="15" s="1"/>
  <c r="EJ607" i="15"/>
  <c r="EK607" i="15" s="1"/>
  <c r="EJ614" i="15"/>
  <c r="EK614" i="15" s="1"/>
  <c r="EJ633" i="15"/>
  <c r="EK633" i="15" s="1"/>
  <c r="EJ644" i="15"/>
  <c r="EK644" i="15" s="1"/>
  <c r="EJ652" i="15"/>
  <c r="EK652" i="15" s="1"/>
  <c r="EJ660" i="15"/>
  <c r="EK660" i="15" s="1"/>
  <c r="EJ671" i="15"/>
  <c r="EK671" i="15" s="1"/>
  <c r="EJ679" i="15"/>
  <c r="EK679" i="15" s="1"/>
  <c r="EJ690" i="15"/>
  <c r="EK690" i="15" s="1"/>
  <c r="EJ698" i="15"/>
  <c r="EK698" i="15" s="1"/>
  <c r="EJ714" i="15"/>
  <c r="EK714" i="15" s="1"/>
  <c r="EJ717" i="15"/>
  <c r="EK717" i="15" s="1"/>
  <c r="EJ744" i="15"/>
  <c r="EK744" i="15" s="1"/>
  <c r="EJ752" i="15"/>
  <c r="EK752" i="15" s="1"/>
  <c r="EJ761" i="15"/>
  <c r="EK761" i="15" s="1"/>
  <c r="EJ790" i="15"/>
  <c r="EK790" i="15" s="1"/>
  <c r="EJ797" i="15"/>
  <c r="EK797" i="15" s="1"/>
  <c r="EJ809" i="15"/>
  <c r="EK809" i="15" s="1"/>
  <c r="EJ821" i="15"/>
  <c r="EK821" i="15" s="1"/>
  <c r="EJ825" i="15"/>
  <c r="EK825" i="15" s="1"/>
  <c r="EJ836" i="15"/>
  <c r="EK836" i="15" s="1"/>
  <c r="EJ844" i="15"/>
  <c r="EK844" i="15" s="1"/>
  <c r="EJ856" i="15"/>
  <c r="EK856" i="15" s="1"/>
  <c r="EJ6" i="15"/>
  <c r="EK6" i="15" s="1"/>
  <c r="EJ17" i="15"/>
  <c r="EK17" i="15" s="1"/>
  <c r="EJ25" i="15"/>
  <c r="EK25" i="15" s="1"/>
  <c r="EJ36" i="15"/>
  <c r="EK36" i="15" s="1"/>
  <c r="EJ47" i="15"/>
  <c r="EK47" i="15" s="1"/>
  <c r="EJ59" i="15"/>
  <c r="EK59" i="15" s="1"/>
  <c r="EJ70" i="15"/>
  <c r="EK70" i="15" s="1"/>
  <c r="EJ78" i="15"/>
  <c r="EK78" i="15" s="1"/>
  <c r="EJ85" i="15"/>
  <c r="EK85" i="15" s="1"/>
  <c r="EJ104" i="15"/>
  <c r="EK104" i="15" s="1"/>
  <c r="EJ116" i="15"/>
  <c r="EK116" i="15" s="1"/>
  <c r="EJ127" i="15"/>
  <c r="EK127" i="15" s="1"/>
  <c r="EJ139" i="15"/>
  <c r="EK139" i="15" s="1"/>
  <c r="EJ150" i="15"/>
  <c r="EK150" i="15" s="1"/>
  <c r="EJ166" i="15"/>
  <c r="EK166" i="15" s="1"/>
  <c r="EJ177" i="15"/>
  <c r="EK177" i="15" s="1"/>
  <c r="EJ189" i="15"/>
  <c r="EK189" i="15" s="1"/>
  <c r="EJ200" i="15"/>
  <c r="EK200" i="15" s="1"/>
  <c r="EJ208" i="15"/>
  <c r="EK208" i="15" s="1"/>
  <c r="EJ231" i="15"/>
  <c r="EK231" i="15" s="1"/>
  <c r="EJ242" i="15"/>
  <c r="EK242" i="15" s="1"/>
  <c r="EJ257" i="15"/>
  <c r="EK257" i="15" s="1"/>
  <c r="EJ272" i="15"/>
  <c r="EK272" i="15" s="1"/>
  <c r="EJ284" i="15"/>
  <c r="EK284" i="15" s="1"/>
  <c r="EJ296" i="15"/>
  <c r="EK296" i="15" s="1"/>
  <c r="EJ307" i="15"/>
  <c r="EK307" i="15" s="1"/>
  <c r="EJ319" i="15"/>
  <c r="EK319" i="15" s="1"/>
  <c r="EJ330" i="15"/>
  <c r="EK330" i="15" s="1"/>
  <c r="EJ342" i="15"/>
  <c r="EK342" i="15" s="1"/>
  <c r="EJ358" i="15"/>
  <c r="EK358" i="15" s="1"/>
  <c r="EJ366" i="15"/>
  <c r="EK366" i="15" s="1"/>
  <c r="EJ377" i="15"/>
  <c r="EK377" i="15" s="1"/>
  <c r="EJ389" i="15"/>
  <c r="EK389" i="15" s="1"/>
  <c r="EJ401" i="15"/>
  <c r="EK401" i="15" s="1"/>
  <c r="EJ412" i="15"/>
  <c r="EK412" i="15" s="1"/>
  <c r="EJ420" i="15"/>
  <c r="EK420" i="15" s="1"/>
  <c r="EJ431" i="15"/>
  <c r="EK431" i="15" s="1"/>
  <c r="EJ439" i="15"/>
  <c r="EK439" i="15" s="1"/>
  <c r="EJ451" i="15"/>
  <c r="EK451" i="15" s="1"/>
  <c r="EJ462" i="15"/>
  <c r="EK462" i="15" s="1"/>
  <c r="EJ473" i="15"/>
  <c r="EK473" i="15" s="1"/>
  <c r="EJ485" i="15"/>
  <c r="EK485" i="15" s="1"/>
  <c r="EJ496" i="15"/>
  <c r="EK496" i="15" s="1"/>
  <c r="EJ504" i="15"/>
  <c r="EK504" i="15" s="1"/>
  <c r="EJ519" i="15"/>
  <c r="EK519" i="15" s="1"/>
  <c r="EJ523" i="15"/>
  <c r="EK523" i="15" s="1"/>
  <c r="EJ534" i="15"/>
  <c r="EK534" i="15" s="1"/>
  <c r="EJ546" i="15"/>
  <c r="EK546" i="15" s="1"/>
  <c r="EJ557" i="15"/>
  <c r="EK557" i="15" s="1"/>
  <c r="EJ569" i="15"/>
  <c r="EK569" i="15" s="1"/>
  <c r="EJ580" i="15"/>
  <c r="EK580" i="15" s="1"/>
  <c r="EJ592" i="15"/>
  <c r="EK592" i="15" s="1"/>
  <c r="EJ604" i="15"/>
  <c r="EK604" i="15" s="1"/>
  <c r="EJ622" i="15"/>
  <c r="EK622" i="15" s="1"/>
  <c r="EJ634" i="15"/>
  <c r="EK634" i="15" s="1"/>
  <c r="EJ645" i="15"/>
  <c r="EK645" i="15" s="1"/>
  <c r="EJ653" i="15"/>
  <c r="EK653" i="15" s="1"/>
  <c r="EJ665" i="15"/>
  <c r="EK665" i="15" s="1"/>
  <c r="EJ672" i="15"/>
  <c r="EK672" i="15" s="1"/>
  <c r="EJ680" i="15"/>
  <c r="EK680" i="15" s="1"/>
  <c r="EJ695" i="15"/>
  <c r="EK695" i="15" s="1"/>
  <c r="EJ699" i="15"/>
  <c r="EK699" i="15" s="1"/>
  <c r="EJ711" i="15"/>
  <c r="EK711" i="15" s="1"/>
  <c r="EJ722" i="15"/>
  <c r="EK722" i="15" s="1"/>
  <c r="EJ733" i="15"/>
  <c r="EK733" i="15" s="1"/>
  <c r="EJ745" i="15"/>
  <c r="EK745" i="15" s="1"/>
  <c r="EJ756" i="15"/>
  <c r="EK756" i="15" s="1"/>
  <c r="EJ762" i="15"/>
  <c r="EK762" i="15" s="1"/>
  <c r="EJ776" i="15"/>
  <c r="EK776" i="15" s="1"/>
  <c r="EJ787" i="15"/>
  <c r="EK787" i="15" s="1"/>
  <c r="EJ798" i="15"/>
  <c r="EK798" i="15" s="1"/>
  <c r="EJ806" i="15"/>
  <c r="EK806" i="15" s="1"/>
  <c r="EJ814" i="15"/>
  <c r="EK814" i="15" s="1"/>
  <c r="EJ826" i="15"/>
  <c r="EK826" i="15" s="1"/>
  <c r="EJ837" i="15"/>
  <c r="EK837" i="15" s="1"/>
  <c r="EJ845" i="15"/>
  <c r="EK845" i="15" s="1"/>
  <c r="EJ857" i="15"/>
  <c r="EK857" i="15" s="1"/>
  <c r="EJ8" i="15"/>
  <c r="EK8" i="15" s="1"/>
  <c r="EJ11" i="15"/>
  <c r="EK11" i="15" s="1"/>
  <c r="EJ15" i="15"/>
  <c r="EK15" i="15" s="1"/>
  <c r="EJ19" i="15"/>
  <c r="EK19" i="15" s="1"/>
  <c r="EJ23" i="15"/>
  <c r="EK23" i="15" s="1"/>
  <c r="EJ27" i="15"/>
  <c r="EK27" i="15" s="1"/>
  <c r="EJ31" i="15"/>
  <c r="EK31" i="15" s="1"/>
  <c r="EJ38" i="15"/>
  <c r="EK38" i="15" s="1"/>
  <c r="EJ42" i="15"/>
  <c r="EK42" i="15" s="1"/>
  <c r="EJ45" i="15"/>
  <c r="EK45" i="15" s="1"/>
  <c r="EJ49" i="15"/>
  <c r="EK49" i="15" s="1"/>
  <c r="EJ53" i="15"/>
  <c r="EK53" i="15" s="1"/>
  <c r="EJ57" i="15"/>
  <c r="EK57" i="15" s="1"/>
  <c r="EJ61" i="15"/>
  <c r="EK61" i="15" s="1"/>
  <c r="EJ65" i="15"/>
  <c r="EK65" i="15" s="1"/>
  <c r="EJ68" i="15"/>
  <c r="EK68" i="15" s="1"/>
  <c r="EJ72" i="15"/>
  <c r="EK72" i="15" s="1"/>
  <c r="EJ76" i="15"/>
  <c r="EK76" i="15" s="1"/>
  <c r="EJ80" i="15"/>
  <c r="EK80" i="15" s="1"/>
  <c r="EJ87" i="15"/>
  <c r="EK87" i="15" s="1"/>
  <c r="EJ91" i="15"/>
  <c r="EK91" i="15" s="1"/>
  <c r="EJ95" i="15"/>
  <c r="EK95" i="15" s="1"/>
  <c r="EJ102" i="15"/>
  <c r="EK102" i="15" s="1"/>
  <c r="EJ106" i="15"/>
  <c r="EK106" i="15" s="1"/>
  <c r="EJ110" i="15"/>
  <c r="EK110" i="15" s="1"/>
  <c r="EJ114" i="15"/>
  <c r="EK114" i="15" s="1"/>
  <c r="EJ118" i="15"/>
  <c r="EK118" i="15" s="1"/>
  <c r="EJ122" i="15"/>
  <c r="EK122" i="15" s="1"/>
  <c r="EJ129" i="15"/>
  <c r="EK129" i="15" s="1"/>
  <c r="EJ133" i="15"/>
  <c r="EK133" i="15" s="1"/>
  <c r="EJ137" i="15"/>
  <c r="EK137" i="15" s="1"/>
  <c r="EJ141" i="15"/>
  <c r="EK141" i="15" s="1"/>
  <c r="EJ145" i="15"/>
  <c r="EK145" i="15" s="1"/>
  <c r="EJ148" i="15"/>
  <c r="EK148" i="15" s="1"/>
  <c r="EJ152" i="15"/>
  <c r="EK152" i="15" s="1"/>
  <c r="EJ156" i="15"/>
  <c r="EK156" i="15" s="1"/>
  <c r="EJ160" i="15"/>
  <c r="EK160" i="15" s="1"/>
  <c r="EJ164" i="15"/>
  <c r="EK164" i="15" s="1"/>
  <c r="EJ168" i="15"/>
  <c r="EK168" i="15" s="1"/>
  <c r="EJ171" i="15"/>
  <c r="EK171" i="15" s="1"/>
  <c r="EJ175" i="15"/>
  <c r="EK175" i="15" s="1"/>
  <c r="EJ179" i="15"/>
  <c r="EK179" i="15" s="1"/>
  <c r="EJ183" i="15"/>
  <c r="EK183" i="15" s="1"/>
  <c r="EJ187" i="15"/>
  <c r="EK187" i="15" s="1"/>
  <c r="EJ194" i="15"/>
  <c r="EK194" i="15" s="1"/>
  <c r="EJ198" i="15"/>
  <c r="EK198" i="15" s="1"/>
  <c r="EJ202" i="15"/>
  <c r="EK202" i="15" s="1"/>
  <c r="EJ206" i="15"/>
  <c r="EK206" i="15" s="1"/>
  <c r="EJ210" i="15"/>
  <c r="EK210" i="15" s="1"/>
  <c r="EJ214" i="15"/>
  <c r="EK214" i="15" s="1"/>
  <c r="EJ218" i="15"/>
  <c r="EK218" i="15" s="1"/>
  <c r="EJ221" i="15"/>
  <c r="EK221" i="15" s="1"/>
  <c r="EJ225" i="15"/>
  <c r="EK225" i="15" s="1"/>
  <c r="EJ229" i="15"/>
  <c r="EK229" i="15" s="1"/>
  <c r="EJ236" i="15"/>
  <c r="EK236" i="15" s="1"/>
  <c r="EJ240" i="15"/>
  <c r="EK240" i="15" s="1"/>
  <c r="EJ244" i="15"/>
  <c r="EK244" i="15" s="1"/>
  <c r="EJ248" i="15"/>
  <c r="EK248" i="15" s="1"/>
  <c r="EJ255" i="15"/>
  <c r="EK255" i="15" s="1"/>
  <c r="EJ259" i="15"/>
  <c r="EK259" i="15" s="1"/>
  <c r="EJ263" i="15"/>
  <c r="EK263" i="15" s="1"/>
  <c r="EJ267" i="15"/>
  <c r="EK267" i="15" s="1"/>
  <c r="EJ271" i="15"/>
  <c r="EK271" i="15" s="1"/>
  <c r="EJ275" i="15"/>
  <c r="EK275" i="15" s="1"/>
  <c r="EJ278" i="15"/>
  <c r="EK278" i="15" s="1"/>
  <c r="EJ282" i="15"/>
  <c r="EK282" i="15" s="1"/>
  <c r="EJ286" i="15"/>
  <c r="EK286" i="15" s="1"/>
  <c r="EJ290" i="15"/>
  <c r="EK290" i="15" s="1"/>
  <c r="EJ294" i="15"/>
  <c r="EK294" i="15" s="1"/>
  <c r="EJ298" i="15"/>
  <c r="EK298" i="15" s="1"/>
  <c r="EJ301" i="15"/>
  <c r="EK301" i="15" s="1"/>
  <c r="EJ305" i="15"/>
  <c r="EK305" i="15" s="1"/>
  <c r="EJ309" i="15"/>
  <c r="EK309" i="15" s="1"/>
  <c r="EJ313" i="15"/>
  <c r="EK313" i="15" s="1"/>
  <c r="EJ317" i="15"/>
  <c r="EK317" i="15" s="1"/>
  <c r="EJ321" i="15"/>
  <c r="EK321" i="15" s="1"/>
  <c r="EJ325" i="15"/>
  <c r="EK325" i="15" s="1"/>
  <c r="EJ328" i="15"/>
  <c r="EK328" i="15" s="1"/>
  <c r="EJ332" i="15"/>
  <c r="EK332" i="15" s="1"/>
  <c r="EJ336" i="15"/>
  <c r="EK336" i="15" s="1"/>
  <c r="EJ340" i="15"/>
  <c r="EK340" i="15" s="1"/>
  <c r="EJ344" i="15"/>
  <c r="EK344" i="15" s="1"/>
  <c r="EJ348" i="15"/>
  <c r="EK348" i="15" s="1"/>
  <c r="EJ352" i="15"/>
  <c r="EK352" i="15" s="1"/>
  <c r="EJ356" i="15"/>
  <c r="EK356" i="15" s="1"/>
  <c r="EJ360" i="15"/>
  <c r="EK360" i="15" s="1"/>
  <c r="EJ364" i="15"/>
  <c r="EK364" i="15" s="1"/>
  <c r="EJ368" i="15"/>
  <c r="EK368" i="15" s="1"/>
  <c r="EJ375" i="15"/>
  <c r="EK375" i="15" s="1"/>
  <c r="EJ379" i="15"/>
  <c r="EK379" i="15" s="1"/>
  <c r="EJ383" i="15"/>
  <c r="EK383" i="15" s="1"/>
  <c r="EJ387" i="15"/>
  <c r="EK387" i="15" s="1"/>
  <c r="EJ391" i="15"/>
  <c r="EK391" i="15" s="1"/>
  <c r="EJ395" i="15"/>
  <c r="EK395" i="15" s="1"/>
  <c r="EJ399" i="15"/>
  <c r="EK399" i="15" s="1"/>
  <c r="EJ403" i="15"/>
  <c r="EK403" i="15" s="1"/>
  <c r="EJ407" i="15"/>
  <c r="EK407" i="15" s="1"/>
  <c r="EJ410" i="15"/>
  <c r="EK410" i="15" s="1"/>
  <c r="EJ414" i="15"/>
  <c r="EK414" i="15" s="1"/>
  <c r="EJ418" i="15"/>
  <c r="EK418" i="15" s="1"/>
  <c r="EJ422" i="15"/>
  <c r="EK422" i="15" s="1"/>
  <c r="EJ426" i="15"/>
  <c r="EK426" i="15" s="1"/>
  <c r="EJ430" i="15"/>
  <c r="EK430" i="15" s="1"/>
  <c r="EJ433" i="15"/>
  <c r="EK433" i="15" s="1"/>
  <c r="EJ437" i="15"/>
  <c r="EK437" i="15" s="1"/>
  <c r="EJ441" i="15"/>
  <c r="EK441" i="15" s="1"/>
  <c r="EJ445" i="15"/>
  <c r="EK445" i="15" s="1"/>
  <c r="EJ449" i="15"/>
  <c r="EK449" i="15" s="1"/>
  <c r="EJ453" i="15"/>
  <c r="EK453" i="15" s="1"/>
  <c r="EJ456" i="15"/>
  <c r="EK456" i="15" s="1"/>
  <c r="EJ460" i="15"/>
  <c r="EK460" i="15" s="1"/>
  <c r="EJ464" i="15"/>
  <c r="EK464" i="15" s="1"/>
  <c r="EJ468" i="15"/>
  <c r="EK468" i="15" s="1"/>
  <c r="EJ472" i="15"/>
  <c r="EK472" i="15" s="1"/>
  <c r="EJ475" i="15"/>
  <c r="EK475" i="15" s="1"/>
  <c r="EJ479" i="15"/>
  <c r="EK479" i="15" s="1"/>
  <c r="EJ483" i="15"/>
  <c r="EK483" i="15" s="1"/>
  <c r="EJ487" i="15"/>
  <c r="EK487" i="15" s="1"/>
  <c r="EJ491" i="15"/>
  <c r="EK491" i="15" s="1"/>
  <c r="EJ494" i="15"/>
  <c r="EK494" i="15" s="1"/>
  <c r="EJ498" i="15"/>
  <c r="EK498" i="15" s="1"/>
  <c r="EJ502" i="15"/>
  <c r="EK502" i="15" s="1"/>
  <c r="EJ506" i="15"/>
  <c r="EK506" i="15" s="1"/>
  <c r="EJ510" i="15"/>
  <c r="EK510" i="15" s="1"/>
  <c r="EJ514" i="15"/>
  <c r="EK514" i="15" s="1"/>
  <c r="EJ517" i="15"/>
  <c r="EK517" i="15" s="1"/>
  <c r="EJ521" i="15"/>
  <c r="EK521" i="15" s="1"/>
  <c r="EJ525" i="15"/>
  <c r="EK525" i="15" s="1"/>
  <c r="EJ529" i="15"/>
  <c r="EK529" i="15" s="1"/>
  <c r="EJ532" i="15"/>
  <c r="EK532" i="15" s="1"/>
  <c r="EJ536" i="15"/>
  <c r="EK536" i="15" s="1"/>
  <c r="EJ540" i="15"/>
  <c r="EK540" i="15" s="1"/>
  <c r="EJ544" i="15"/>
  <c r="EK544" i="15" s="1"/>
  <c r="EJ548" i="15"/>
  <c r="EK548" i="15" s="1"/>
  <c r="EJ551" i="15"/>
  <c r="EK551" i="15" s="1"/>
  <c r="EJ555" i="15"/>
  <c r="EK555" i="15" s="1"/>
  <c r="EJ559" i="15"/>
  <c r="EK559" i="15" s="1"/>
  <c r="EJ563" i="15"/>
  <c r="EK563" i="15" s="1"/>
  <c r="EJ567" i="15"/>
  <c r="EK567" i="15" s="1"/>
  <c r="EJ571" i="15"/>
  <c r="EK571" i="15" s="1"/>
  <c r="EJ575" i="15"/>
  <c r="EK575" i="15" s="1"/>
  <c r="EJ582" i="15"/>
  <c r="EK582" i="15" s="1"/>
  <c r="EJ586" i="15"/>
  <c r="EK586" i="15" s="1"/>
  <c r="EJ590" i="15"/>
  <c r="EK590" i="15" s="1"/>
  <c r="EJ594" i="15"/>
  <c r="EK594" i="15" s="1"/>
  <c r="EJ598" i="15"/>
  <c r="EK598" i="15" s="1"/>
  <c r="EJ602" i="15"/>
  <c r="EK602" i="15" s="1"/>
  <c r="EJ606" i="15"/>
  <c r="EK606" i="15" s="1"/>
  <c r="EJ610" i="15"/>
  <c r="EK610" i="15" s="1"/>
  <c r="EJ613" i="15"/>
  <c r="EK613" i="15" s="1"/>
  <c r="EJ617" i="15"/>
  <c r="EK617" i="15" s="1"/>
  <c r="EJ621" i="15"/>
  <c r="EK621" i="15" s="1"/>
  <c r="EJ624" i="15"/>
  <c r="EK624" i="15" s="1"/>
  <c r="EJ628" i="15"/>
  <c r="EK628" i="15" s="1"/>
  <c r="EJ632" i="15"/>
  <c r="EK632" i="15" s="1"/>
  <c r="EJ636" i="15"/>
  <c r="EK636" i="15" s="1"/>
  <c r="EJ643" i="15"/>
  <c r="EK643" i="15" s="1"/>
  <c r="EJ647" i="15"/>
  <c r="EK647" i="15" s="1"/>
  <c r="EJ651" i="15"/>
  <c r="EK651" i="15" s="1"/>
  <c r="EJ655" i="15"/>
  <c r="EK655" i="15" s="1"/>
  <c r="EJ659" i="15"/>
  <c r="EK659" i="15" s="1"/>
  <c r="EJ663" i="15"/>
  <c r="EK663" i="15" s="1"/>
  <c r="EJ667" i="15"/>
  <c r="EK667" i="15" s="1"/>
  <c r="EJ670" i="15"/>
  <c r="EK670" i="15" s="1"/>
  <c r="EJ674" i="15"/>
  <c r="EK674" i="15" s="1"/>
  <c r="EJ678" i="15"/>
  <c r="EK678" i="15" s="1"/>
  <c r="EJ682" i="15"/>
  <c r="EK682" i="15" s="1"/>
  <c r="EJ686" i="15"/>
  <c r="EK686" i="15" s="1"/>
  <c r="EJ689" i="15"/>
  <c r="EK689" i="15" s="1"/>
  <c r="EJ693" i="15"/>
  <c r="EK693" i="15" s="1"/>
  <c r="EJ697" i="15"/>
  <c r="EK697" i="15" s="1"/>
  <c r="EJ701" i="15"/>
  <c r="EK701" i="15" s="1"/>
  <c r="EJ705" i="15"/>
  <c r="EK705" i="15" s="1"/>
  <c r="EJ709" i="15"/>
  <c r="EK709" i="15" s="1"/>
  <c r="EJ713" i="15"/>
  <c r="EK713" i="15" s="1"/>
  <c r="EJ716" i="15"/>
  <c r="EK716" i="15" s="1"/>
  <c r="EJ720" i="15"/>
  <c r="EK720" i="15" s="1"/>
  <c r="EJ724" i="15"/>
  <c r="EK724" i="15" s="1"/>
  <c r="EJ728" i="15"/>
  <c r="EK728" i="15" s="1"/>
  <c r="EJ732" i="15"/>
  <c r="EK732" i="15" s="1"/>
  <c r="EJ735" i="15"/>
  <c r="EK735" i="15" s="1"/>
  <c r="EJ739" i="15"/>
  <c r="EK739" i="15" s="1"/>
  <c r="EJ743" i="15"/>
  <c r="EK743" i="15" s="1"/>
  <c r="EJ747" i="15"/>
  <c r="EK747" i="15" s="1"/>
  <c r="EJ751" i="15"/>
  <c r="EK751" i="15" s="1"/>
  <c r="EJ773" i="15"/>
  <c r="EK773" i="15" s="1"/>
  <c r="EJ760" i="15"/>
  <c r="EK760" i="15" s="1"/>
  <c r="EJ764" i="15"/>
  <c r="EK764" i="15" s="1"/>
  <c r="EJ768" i="15"/>
  <c r="EK768" i="15" s="1"/>
  <c r="EJ772" i="15"/>
  <c r="EK772" i="15" s="1"/>
  <c r="EJ777" i="15"/>
  <c r="EK777" i="15" s="1"/>
  <c r="EJ781" i="15"/>
  <c r="EK781" i="15" s="1"/>
  <c r="EJ785" i="15"/>
  <c r="EK785" i="15" s="1"/>
  <c r="EJ789" i="15"/>
  <c r="EK789" i="15" s="1"/>
  <c r="EJ793" i="15"/>
  <c r="EK793" i="15" s="1"/>
  <c r="EJ800" i="15"/>
  <c r="EK800" i="15" s="1"/>
  <c r="EJ804" i="15"/>
  <c r="EK804" i="15" s="1"/>
  <c r="EJ808" i="15"/>
  <c r="EK808" i="15" s="1"/>
  <c r="EJ812" i="15"/>
  <c r="EK812" i="15" s="1"/>
  <c r="EJ816" i="15"/>
  <c r="EK816" i="15" s="1"/>
  <c r="EJ820" i="15"/>
  <c r="EK820" i="15" s="1"/>
  <c r="EJ824" i="15"/>
  <c r="EK824" i="15" s="1"/>
  <c r="EJ828" i="15"/>
  <c r="EK828" i="15" s="1"/>
  <c r="EJ831" i="15"/>
  <c r="EK831" i="15" s="1"/>
  <c r="EJ835" i="15"/>
  <c r="EK835" i="15" s="1"/>
  <c r="EJ839" i="15"/>
  <c r="EK839" i="15" s="1"/>
  <c r="EJ843" i="15"/>
  <c r="EK843" i="15" s="1"/>
  <c r="EJ847" i="15"/>
  <c r="EK847" i="15" s="1"/>
  <c r="EJ851" i="15"/>
  <c r="EK851" i="15" s="1"/>
  <c r="EJ855" i="15"/>
  <c r="EK855" i="15" s="1"/>
  <c r="EJ859" i="15"/>
  <c r="EK859" i="15" s="1"/>
  <c r="EJ484" i="15"/>
  <c r="EK484" i="15" s="1"/>
  <c r="EJ599" i="15"/>
  <c r="EK599" i="15" s="1"/>
  <c r="EJ611" i="15"/>
  <c r="EK611" i="15" s="1"/>
  <c r="EJ618" i="15"/>
  <c r="EK618" i="15" s="1"/>
  <c r="EJ629" i="15"/>
  <c r="EK629" i="15" s="1"/>
  <c r="EJ637" i="15"/>
  <c r="EK637" i="15" s="1"/>
  <c r="EJ648" i="15"/>
  <c r="EK648" i="15" s="1"/>
  <c r="EJ656" i="15"/>
  <c r="EK656" i="15" s="1"/>
  <c r="EJ668" i="15"/>
  <c r="EK668" i="15" s="1"/>
  <c r="EJ675" i="15"/>
  <c r="EK675" i="15" s="1"/>
  <c r="EJ702" i="15"/>
  <c r="EK702" i="15" s="1"/>
  <c r="EJ710" i="15"/>
  <c r="EK710" i="15" s="1"/>
  <c r="EJ721" i="15"/>
  <c r="EK721" i="15" s="1"/>
  <c r="EJ729" i="15"/>
  <c r="EK729" i="15" s="1"/>
  <c r="EJ740" i="15"/>
  <c r="EK740" i="15" s="1"/>
  <c r="EJ748" i="15"/>
  <c r="EK748" i="15" s="1"/>
  <c r="EJ755" i="15"/>
  <c r="EK755" i="15" s="1"/>
  <c r="EJ765" i="15"/>
  <c r="EK765" i="15" s="1"/>
  <c r="EJ778" i="15"/>
  <c r="EK778" i="15" s="1"/>
  <c r="EJ786" i="15"/>
  <c r="EK786" i="15" s="1"/>
  <c r="EJ794" i="15"/>
  <c r="EK794" i="15" s="1"/>
  <c r="EJ805" i="15"/>
  <c r="EK805" i="15" s="1"/>
  <c r="EJ813" i="15"/>
  <c r="EK813" i="15" s="1"/>
  <c r="EJ840" i="15"/>
  <c r="EK840" i="15" s="1"/>
  <c r="EJ852" i="15"/>
  <c r="EK852" i="15" s="1"/>
  <c r="EJ860" i="15"/>
  <c r="EK860" i="15" s="1"/>
  <c r="EJ21" i="15"/>
  <c r="EK21" i="15" s="1"/>
  <c r="EJ29" i="15"/>
  <c r="EK29" i="15" s="1"/>
  <c r="EJ40" i="15"/>
  <c r="EK40" i="15" s="1"/>
  <c r="EJ43" i="15"/>
  <c r="EK43" i="15" s="1"/>
  <c r="EJ55" i="15"/>
  <c r="EK55" i="15" s="1"/>
  <c r="EJ66" i="15"/>
  <c r="EK66" i="15" s="1"/>
  <c r="EJ89" i="15"/>
  <c r="EK89" i="15" s="1"/>
  <c r="EJ100" i="15"/>
  <c r="EK100" i="15" s="1"/>
  <c r="EJ112" i="15"/>
  <c r="EK112" i="15" s="1"/>
  <c r="EJ120" i="15"/>
  <c r="EK120" i="15" s="1"/>
  <c r="EJ131" i="15"/>
  <c r="EK131" i="15" s="1"/>
  <c r="EJ154" i="15"/>
  <c r="EK154" i="15" s="1"/>
  <c r="EJ162" i="15"/>
  <c r="EK162" i="15" s="1"/>
  <c r="EJ173" i="15"/>
  <c r="EK173" i="15" s="1"/>
  <c r="EJ185" i="15"/>
  <c r="EK185" i="15" s="1"/>
  <c r="EJ192" i="15"/>
  <c r="EK192" i="15" s="1"/>
  <c r="EJ204" i="15"/>
  <c r="EK204" i="15" s="1"/>
  <c r="EJ216" i="15"/>
  <c r="EK216" i="15" s="1"/>
  <c r="EJ227" i="15"/>
  <c r="EK227" i="15" s="1"/>
  <c r="EJ238" i="15"/>
  <c r="EK238" i="15" s="1"/>
  <c r="EJ246" i="15"/>
  <c r="EK246" i="15" s="1"/>
  <c r="EJ253" i="15"/>
  <c r="EK253" i="15" s="1"/>
  <c r="EJ265" i="15"/>
  <c r="EK265" i="15" s="1"/>
  <c r="EJ280" i="15"/>
  <c r="EK280" i="15" s="1"/>
  <c r="EJ288" i="15"/>
  <c r="EK288" i="15" s="1"/>
  <c r="EJ300" i="15"/>
  <c r="EK300" i="15" s="1"/>
  <c r="EJ311" i="15"/>
  <c r="EK311" i="15" s="1"/>
  <c r="EJ323" i="15"/>
  <c r="EK323" i="15" s="1"/>
  <c r="EJ334" i="15"/>
  <c r="EK334" i="15" s="1"/>
  <c r="EJ346" i="15"/>
  <c r="EK346" i="15" s="1"/>
  <c r="EJ350" i="15"/>
  <c r="EK350" i="15" s="1"/>
  <c r="EJ362" i="15"/>
  <c r="EK362" i="15" s="1"/>
  <c r="EJ373" i="15"/>
  <c r="EK373" i="15" s="1"/>
  <c r="EJ385" i="15"/>
  <c r="EK385" i="15" s="1"/>
  <c r="EJ397" i="15"/>
  <c r="EK397" i="15" s="1"/>
  <c r="EJ408" i="15"/>
  <c r="EK408" i="15" s="1"/>
  <c r="EJ416" i="15"/>
  <c r="EK416" i="15" s="1"/>
  <c r="EJ428" i="15"/>
  <c r="EK428" i="15" s="1"/>
  <c r="EJ435" i="15"/>
  <c r="EK435" i="15" s="1"/>
  <c r="EJ447" i="15"/>
  <c r="EK447" i="15" s="1"/>
  <c r="EJ458" i="15"/>
  <c r="EK458" i="15" s="1"/>
  <c r="EJ481" i="15"/>
  <c r="EK481" i="15" s="1"/>
  <c r="EJ492" i="15"/>
  <c r="EK492" i="15" s="1"/>
  <c r="EJ508" i="15"/>
  <c r="EK508" i="15" s="1"/>
  <c r="EJ515" i="15"/>
  <c r="EK515" i="15" s="1"/>
  <c r="EJ527" i="15"/>
  <c r="EK527" i="15" s="1"/>
  <c r="EJ538" i="15"/>
  <c r="EK538" i="15" s="1"/>
  <c r="EJ549" i="15"/>
  <c r="EK549" i="15" s="1"/>
  <c r="EJ553" i="15"/>
  <c r="EK553" i="15" s="1"/>
  <c r="EJ565" i="15"/>
  <c r="EK565" i="15" s="1"/>
  <c r="EJ577" i="15"/>
  <c r="EK577" i="15" s="1"/>
  <c r="EJ588" i="15"/>
  <c r="EK588" i="15" s="1"/>
  <c r="EJ600" i="15"/>
  <c r="EK600" i="15" s="1"/>
  <c r="EJ608" i="15"/>
  <c r="EK608" i="15" s="1"/>
  <c r="EJ619" i="15"/>
  <c r="EK619" i="15" s="1"/>
  <c r="EJ630" i="15"/>
  <c r="EK630" i="15" s="1"/>
  <c r="EJ649" i="15"/>
  <c r="EK649" i="15" s="1"/>
  <c r="EJ661" i="15"/>
  <c r="EK661" i="15" s="1"/>
  <c r="EJ684" i="15"/>
  <c r="EK684" i="15" s="1"/>
  <c r="EJ691" i="15"/>
  <c r="EK691" i="15" s="1"/>
  <c r="EJ707" i="15"/>
  <c r="EK707" i="15" s="1"/>
  <c r="EJ726" i="15"/>
  <c r="EK726" i="15" s="1"/>
  <c r="EJ737" i="15"/>
  <c r="EK737" i="15" s="1"/>
  <c r="EJ749" i="15"/>
  <c r="EK749" i="15" s="1"/>
  <c r="EJ766" i="15"/>
  <c r="EK766" i="15" s="1"/>
  <c r="EJ779" i="15"/>
  <c r="EK779" i="15" s="1"/>
  <c r="EJ791" i="15"/>
  <c r="EK791" i="15" s="1"/>
  <c r="EJ802" i="15"/>
  <c r="EK802" i="15" s="1"/>
  <c r="EJ822" i="15"/>
  <c r="EK822" i="15" s="1"/>
  <c r="EJ833" i="15"/>
  <c r="EK833" i="15" s="1"/>
  <c r="EJ841" i="15"/>
  <c r="EK841" i="15" s="1"/>
  <c r="EJ853" i="15"/>
  <c r="EK853" i="15" s="1"/>
  <c r="EJ861" i="15"/>
  <c r="EK861" i="15" s="1"/>
  <c r="EJ9" i="15"/>
  <c r="EK9" i="15" s="1"/>
  <c r="EJ12" i="15"/>
  <c r="EK12" i="15" s="1"/>
  <c r="EJ16" i="15"/>
  <c r="EK16" i="15" s="1"/>
  <c r="EJ20" i="15"/>
  <c r="EK20" i="15" s="1"/>
  <c r="EJ24" i="15"/>
  <c r="EK24" i="15" s="1"/>
  <c r="EJ28" i="15"/>
  <c r="EK28" i="15" s="1"/>
  <c r="EJ32" i="15"/>
  <c r="EK32" i="15" s="1"/>
  <c r="EJ35" i="15"/>
  <c r="EK35" i="15" s="1"/>
  <c r="EJ39" i="15"/>
  <c r="EK39" i="15" s="1"/>
  <c r="EJ46" i="15"/>
  <c r="EK46" i="15" s="1"/>
  <c r="EJ50" i="15"/>
  <c r="EK50" i="15" s="1"/>
  <c r="EJ54" i="15"/>
  <c r="EK54" i="15" s="1"/>
  <c r="EJ58" i="15"/>
  <c r="EK58" i="15" s="1"/>
  <c r="EJ62" i="15"/>
  <c r="EK62" i="15" s="1"/>
  <c r="EJ69" i="15"/>
  <c r="EK69" i="15" s="1"/>
  <c r="EJ73" i="15"/>
  <c r="EK73" i="15" s="1"/>
  <c r="EJ77" i="15"/>
  <c r="EK77" i="15" s="1"/>
  <c r="EJ81" i="15"/>
  <c r="EK81" i="15" s="1"/>
  <c r="EJ84" i="15"/>
  <c r="EK84" i="15" s="1"/>
  <c r="EJ88" i="15"/>
  <c r="EK88" i="15" s="1"/>
  <c r="EJ93" i="15"/>
  <c r="EK93" i="15" s="1"/>
  <c r="EJ96" i="15"/>
  <c r="EK96" i="15" s="1"/>
  <c r="EJ99" i="15"/>
  <c r="EK99" i="15" s="1"/>
  <c r="EJ103" i="15"/>
  <c r="EK103" i="15" s="1"/>
  <c r="EJ107" i="15"/>
  <c r="EK107" i="15" s="1"/>
  <c r="EJ111" i="15"/>
  <c r="EK111" i="15" s="1"/>
  <c r="EJ115" i="15"/>
  <c r="EK115" i="15" s="1"/>
  <c r="EJ119" i="15"/>
  <c r="EK119" i="15" s="1"/>
  <c r="EJ123" i="15"/>
  <c r="EK123" i="15" s="1"/>
  <c r="EJ126" i="15"/>
  <c r="EK126" i="15" s="1"/>
  <c r="EJ130" i="15"/>
  <c r="EK130" i="15" s="1"/>
  <c r="EJ134" i="15"/>
  <c r="EK134" i="15" s="1"/>
  <c r="EJ138" i="15"/>
  <c r="EK138" i="15" s="1"/>
  <c r="EJ142" i="15"/>
  <c r="EK142" i="15" s="1"/>
  <c r="EJ149" i="15"/>
  <c r="EK149" i="15" s="1"/>
  <c r="EJ153" i="15"/>
  <c r="EK153" i="15" s="1"/>
  <c r="EJ157" i="15"/>
  <c r="EK157" i="15" s="1"/>
  <c r="EJ161" i="15"/>
  <c r="EK161" i="15" s="1"/>
  <c r="EJ165" i="15"/>
  <c r="EK165" i="15" s="1"/>
  <c r="EJ172" i="15"/>
  <c r="EK172" i="15" s="1"/>
  <c r="EJ176" i="15"/>
  <c r="EK176" i="15" s="1"/>
  <c r="EJ180" i="15"/>
  <c r="EK180" i="15" s="1"/>
  <c r="EJ184" i="15"/>
  <c r="EK184" i="15" s="1"/>
  <c r="EJ188" i="15"/>
  <c r="EK188" i="15" s="1"/>
  <c r="EJ191" i="15"/>
  <c r="EK191" i="15" s="1"/>
  <c r="EJ195" i="15"/>
  <c r="EK195" i="15" s="1"/>
  <c r="EJ199" i="15"/>
  <c r="EK199" i="15" s="1"/>
  <c r="EJ203" i="15"/>
  <c r="EK203" i="15" s="1"/>
  <c r="EJ207" i="15"/>
  <c r="EK207" i="15" s="1"/>
  <c r="EJ211" i="15"/>
  <c r="EK211" i="15" s="1"/>
  <c r="EJ215" i="15"/>
  <c r="EK215" i="15" s="1"/>
  <c r="EJ219" i="15"/>
  <c r="EK219" i="15" s="1"/>
  <c r="EJ222" i="15"/>
  <c r="EK222" i="15" s="1"/>
  <c r="EJ226" i="15"/>
  <c r="EK226" i="15" s="1"/>
  <c r="EJ230" i="15"/>
  <c r="EK230" i="15" s="1"/>
  <c r="EJ233" i="15"/>
  <c r="EK233" i="15" s="1"/>
  <c r="EJ237" i="15"/>
  <c r="EK237" i="15" s="1"/>
  <c r="EJ241" i="15"/>
  <c r="EK241" i="15" s="1"/>
  <c r="EJ245" i="15"/>
  <c r="EK245" i="15" s="1"/>
  <c r="EJ249" i="15"/>
  <c r="EK249" i="15" s="1"/>
  <c r="EJ252" i="15"/>
  <c r="EK252" i="15" s="1"/>
  <c r="EJ256" i="15"/>
  <c r="EK256" i="15" s="1"/>
  <c r="EJ260" i="15"/>
  <c r="EK260" i="15" s="1"/>
  <c r="EJ264" i="15"/>
  <c r="EK264" i="15" s="1"/>
  <c r="EJ268" i="15"/>
  <c r="EK268" i="15" s="1"/>
  <c r="EJ274" i="15"/>
  <c r="EK274" i="15" s="1"/>
  <c r="EJ279" i="15"/>
  <c r="EK279" i="15" s="1"/>
  <c r="EJ283" i="15"/>
  <c r="EK283" i="15" s="1"/>
  <c r="EJ287" i="15"/>
  <c r="EK287" i="15" s="1"/>
  <c r="EJ291" i="15"/>
  <c r="EK291" i="15" s="1"/>
  <c r="EJ295" i="15"/>
  <c r="EK295" i="15" s="1"/>
  <c r="EJ299" i="15"/>
  <c r="EK299" i="15" s="1"/>
  <c r="EJ302" i="15"/>
  <c r="EK302" i="15" s="1"/>
  <c r="EJ306" i="15"/>
  <c r="EK306" i="15" s="1"/>
  <c r="EJ310" i="15"/>
  <c r="EK310" i="15" s="1"/>
  <c r="EJ314" i="15"/>
  <c r="EK314" i="15" s="1"/>
  <c r="EJ318" i="15"/>
  <c r="EK318" i="15" s="1"/>
  <c r="EJ322" i="15"/>
  <c r="EK322" i="15" s="1"/>
  <c r="EJ329" i="15"/>
  <c r="EK329" i="15" s="1"/>
  <c r="EJ333" i="15"/>
  <c r="EK333" i="15" s="1"/>
  <c r="EJ337" i="15"/>
  <c r="EK337" i="15" s="1"/>
  <c r="EJ341" i="15"/>
  <c r="EK341" i="15" s="1"/>
  <c r="EJ345" i="15"/>
  <c r="EK345" i="15" s="1"/>
  <c r="EJ349" i="15"/>
  <c r="EK349" i="15" s="1"/>
  <c r="EJ353" i="15"/>
  <c r="EK353" i="15" s="1"/>
  <c r="EJ357" i="15"/>
  <c r="EK357" i="15" s="1"/>
  <c r="EJ361" i="15"/>
  <c r="EK361" i="15" s="1"/>
  <c r="EJ365" i="15"/>
  <c r="EK365" i="15" s="1"/>
  <c r="EJ369" i="15"/>
  <c r="EK369" i="15" s="1"/>
  <c r="EJ372" i="15"/>
  <c r="EK372" i="15" s="1"/>
  <c r="EJ376" i="15"/>
  <c r="EK376" i="15" s="1"/>
  <c r="EJ380" i="15"/>
  <c r="EK380" i="15" s="1"/>
  <c r="EJ384" i="15"/>
  <c r="EK384" i="15" s="1"/>
  <c r="EJ388" i="15"/>
  <c r="EK388" i="15" s="1"/>
  <c r="EJ392" i="15"/>
  <c r="EK392" i="15" s="1"/>
  <c r="EJ396" i="15"/>
  <c r="EK396" i="15" s="1"/>
  <c r="EJ400" i="15"/>
  <c r="EK400" i="15" s="1"/>
  <c r="EJ404" i="15"/>
  <c r="EK404" i="15" s="1"/>
  <c r="EJ411" i="15"/>
  <c r="EK411" i="15" s="1"/>
  <c r="EJ415" i="15"/>
  <c r="EK415" i="15" s="1"/>
  <c r="EJ419" i="15"/>
  <c r="EK419" i="15" s="1"/>
  <c r="EJ423" i="15"/>
  <c r="EK423" i="15" s="1"/>
  <c r="EJ427" i="15"/>
  <c r="EK427" i="15" s="1"/>
  <c r="EJ434" i="15"/>
  <c r="EK434" i="15" s="1"/>
  <c r="EJ438" i="15"/>
  <c r="EK438" i="15" s="1"/>
  <c r="EJ442" i="15"/>
  <c r="EK442" i="15" s="1"/>
  <c r="EJ446" i="15"/>
  <c r="EK446" i="15" s="1"/>
  <c r="EJ450" i="15"/>
  <c r="EK450" i="15" s="1"/>
  <c r="EJ454" i="15"/>
  <c r="EK454" i="15" s="1"/>
  <c r="EJ457" i="15"/>
  <c r="EK457" i="15" s="1"/>
  <c r="EJ461" i="15"/>
  <c r="EK461" i="15" s="1"/>
  <c r="EJ465" i="15"/>
  <c r="EK465" i="15" s="1"/>
  <c r="EJ469" i="15"/>
  <c r="EK469" i="15" s="1"/>
  <c r="EJ476" i="15"/>
  <c r="EK476" i="15" s="1"/>
  <c r="EJ480" i="15"/>
  <c r="EK480" i="15" s="1"/>
  <c r="EJ495" i="15"/>
  <c r="EK495" i="15" s="1"/>
  <c r="EJ499" i="15"/>
  <c r="EK499" i="15" s="1"/>
  <c r="EJ503" i="15"/>
  <c r="EK503" i="15" s="1"/>
  <c r="EJ507" i="15"/>
  <c r="EK507" i="15" s="1"/>
  <c r="EJ511" i="15"/>
  <c r="EK511" i="15" s="1"/>
  <c r="EJ518" i="15"/>
  <c r="EK518" i="15" s="1"/>
  <c r="EJ522" i="15"/>
  <c r="EK522" i="15" s="1"/>
  <c r="EJ526" i="15"/>
  <c r="EK526" i="15" s="1"/>
  <c r="EJ533" i="15"/>
  <c r="EK533" i="15" s="1"/>
  <c r="EJ537" i="15"/>
  <c r="EK537" i="15" s="1"/>
  <c r="EJ541" i="15"/>
  <c r="EK541" i="15" s="1"/>
  <c r="EJ545" i="15"/>
  <c r="EK545" i="15" s="1"/>
  <c r="EJ552" i="15"/>
  <c r="EK552" i="15" s="1"/>
  <c r="EJ556" i="15"/>
  <c r="EK556" i="15" s="1"/>
  <c r="EJ560" i="15"/>
  <c r="EK560" i="15" s="1"/>
  <c r="EJ564" i="15"/>
  <c r="EK564" i="15" s="1"/>
  <c r="EJ568" i="15"/>
  <c r="EK568" i="15" s="1"/>
  <c r="EJ573" i="15"/>
  <c r="EK573" i="15" s="1"/>
  <c r="EJ579" i="15"/>
  <c r="EK579" i="15" s="1"/>
  <c r="EJ583" i="15"/>
  <c r="EK583" i="15" s="1"/>
  <c r="EJ587" i="15"/>
  <c r="EK587" i="15" s="1"/>
  <c r="EJ591" i="15"/>
  <c r="EK591" i="15" s="1"/>
  <c r="EJ595" i="15"/>
  <c r="EK595" i="15" s="1"/>
  <c r="EJ625" i="15"/>
  <c r="EK625" i="15" s="1"/>
  <c r="EJ641" i="15"/>
  <c r="EK641" i="15" s="1"/>
  <c r="EJ664" i="15"/>
  <c r="EK664" i="15" s="1"/>
  <c r="EJ683" i="15"/>
  <c r="EK683" i="15" s="1"/>
  <c r="EJ694" i="15"/>
  <c r="EK694" i="15" s="1"/>
  <c r="EJ706" i="15"/>
  <c r="EK706" i="15" s="1"/>
  <c r="EJ725" i="15"/>
  <c r="EK725" i="15" s="1"/>
  <c r="EJ736" i="15"/>
  <c r="EK736" i="15" s="1"/>
  <c r="EJ774" i="15"/>
  <c r="EK774" i="15" s="1"/>
  <c r="EJ769" i="15"/>
  <c r="EK769" i="15" s="1"/>
  <c r="EJ782" i="15"/>
  <c r="EK782" i="15" s="1"/>
  <c r="EJ801" i="15"/>
  <c r="EK801" i="15" s="1"/>
  <c r="EJ817" i="15"/>
  <c r="EK817" i="15" s="1"/>
  <c r="EJ832" i="15"/>
  <c r="EK832" i="15" s="1"/>
  <c r="EJ848" i="15"/>
  <c r="EK848" i="15" s="1"/>
  <c r="EJ13" i="15"/>
  <c r="EK13" i="15" s="1"/>
  <c r="EJ51" i="15"/>
  <c r="EK51" i="15" s="1"/>
  <c r="EJ63" i="15"/>
  <c r="EK63" i="15" s="1"/>
  <c r="EJ74" i="15"/>
  <c r="EK74" i="15" s="1"/>
  <c r="EJ92" i="15"/>
  <c r="EK92" i="15" s="1"/>
  <c r="EJ108" i="15"/>
  <c r="EK108" i="15" s="1"/>
  <c r="EJ135" i="15"/>
  <c r="EK135" i="15" s="1"/>
  <c r="EJ146" i="15"/>
  <c r="EK146" i="15" s="1"/>
  <c r="EJ158" i="15"/>
  <c r="EK158" i="15" s="1"/>
  <c r="EJ169" i="15"/>
  <c r="EK169" i="15" s="1"/>
  <c r="EJ181" i="15"/>
  <c r="EK181" i="15" s="1"/>
  <c r="EJ196" i="15"/>
  <c r="EK196" i="15" s="1"/>
  <c r="EJ212" i="15"/>
  <c r="EK212" i="15" s="1"/>
  <c r="EJ223" i="15"/>
  <c r="EK223" i="15" s="1"/>
  <c r="EJ234" i="15"/>
  <c r="EK234" i="15" s="1"/>
  <c r="EJ261" i="15"/>
  <c r="EK261" i="15" s="1"/>
  <c r="EJ276" i="15"/>
  <c r="EK276" i="15" s="1"/>
  <c r="EJ292" i="15"/>
  <c r="EK292" i="15" s="1"/>
  <c r="EJ303" i="15"/>
  <c r="EK303" i="15" s="1"/>
  <c r="EJ315" i="15"/>
  <c r="EK315" i="15" s="1"/>
  <c r="EJ326" i="15"/>
  <c r="EK326" i="15" s="1"/>
  <c r="EJ338" i="15"/>
  <c r="EK338" i="15" s="1"/>
  <c r="EJ354" i="15"/>
  <c r="EK354" i="15" s="1"/>
  <c r="EJ370" i="15"/>
  <c r="EK370" i="15" s="1"/>
  <c r="EJ381" i="15"/>
  <c r="EK381" i="15" s="1"/>
  <c r="EJ393" i="15"/>
  <c r="EK393" i="15" s="1"/>
  <c r="EJ405" i="15"/>
  <c r="EK405" i="15" s="1"/>
  <c r="EJ424" i="15"/>
  <c r="EK424" i="15" s="1"/>
  <c r="EJ443" i="15"/>
  <c r="EK443" i="15" s="1"/>
  <c r="EJ455" i="15"/>
  <c r="EK455" i="15" s="1"/>
  <c r="EJ466" i="15"/>
  <c r="EK466" i="15" s="1"/>
  <c r="EJ477" i="15"/>
  <c r="EK477" i="15" s="1"/>
  <c r="EJ489" i="15"/>
  <c r="EK489" i="15" s="1"/>
  <c r="EJ500" i="15"/>
  <c r="EK500" i="15" s="1"/>
  <c r="EJ512" i="15"/>
  <c r="EK512" i="15" s="1"/>
  <c r="EJ530" i="15"/>
  <c r="EK530" i="15" s="1"/>
  <c r="EJ542" i="15"/>
  <c r="EK542" i="15" s="1"/>
  <c r="EJ561" i="15"/>
  <c r="EK561" i="15" s="1"/>
  <c r="EJ574" i="15"/>
  <c r="EK574" i="15" s="1"/>
  <c r="EJ584" i="15"/>
  <c r="EK584" i="15" s="1"/>
  <c r="EJ596" i="15"/>
  <c r="EK596" i="15" s="1"/>
  <c r="EJ615" i="15"/>
  <c r="EK615" i="15" s="1"/>
  <c r="EJ626" i="15"/>
  <c r="EK626" i="15" s="1"/>
  <c r="EJ638" i="15"/>
  <c r="EK638" i="15" s="1"/>
  <c r="EJ657" i="15"/>
  <c r="EK657" i="15" s="1"/>
  <c r="EJ676" i="15"/>
  <c r="EK676" i="15" s="1"/>
  <c r="EJ688" i="15"/>
  <c r="EK688" i="15" s="1"/>
  <c r="EJ703" i="15"/>
  <c r="EK703" i="15" s="1"/>
  <c r="EJ718" i="15"/>
  <c r="EK718" i="15" s="1"/>
  <c r="EJ730" i="15"/>
  <c r="EK730" i="15" s="1"/>
  <c r="EJ741" i="15"/>
  <c r="EK741" i="15" s="1"/>
  <c r="EJ758" i="15"/>
  <c r="EK758" i="15" s="1"/>
  <c r="EJ770" i="15"/>
  <c r="EK770" i="15" s="1"/>
  <c r="EJ783" i="15"/>
  <c r="EK783" i="15" s="1"/>
  <c r="EJ810" i="15"/>
  <c r="EK810" i="15" s="1"/>
  <c r="EJ818" i="15"/>
  <c r="EK818" i="15" s="1"/>
  <c r="EJ829" i="15"/>
  <c r="EK829" i="15" s="1"/>
  <c r="EJ849" i="15"/>
  <c r="EK849" i="15" s="1"/>
  <c r="EY6" i="15"/>
  <c r="EZ6" i="15" s="1"/>
  <c r="FC6" i="15" s="1"/>
  <c r="EY13" i="15"/>
  <c r="EZ13" i="15" s="1"/>
  <c r="FC13" i="15" s="1"/>
  <c r="EY17" i="15"/>
  <c r="EZ17" i="15" s="1"/>
  <c r="FC17" i="15" s="1"/>
  <c r="EY21" i="15"/>
  <c r="EZ21" i="15" s="1"/>
  <c r="FC21" i="15" s="1"/>
  <c r="EY25" i="15"/>
  <c r="EZ25" i="15" s="1"/>
  <c r="FC25" i="15" s="1"/>
  <c r="EY29" i="15"/>
  <c r="EZ29" i="15" s="1"/>
  <c r="FC29" i="15" s="1"/>
  <c r="EY36" i="15"/>
  <c r="EZ36" i="15" s="1"/>
  <c r="FC36" i="15" s="1"/>
  <c r="EY40" i="15"/>
  <c r="EZ40" i="15" s="1"/>
  <c r="FC40" i="15" s="1"/>
  <c r="EY43" i="15"/>
  <c r="EZ43" i="15" s="1"/>
  <c r="FC43" i="15" s="1"/>
  <c r="EY47" i="15"/>
  <c r="EZ47" i="15" s="1"/>
  <c r="FC47" i="15" s="1"/>
  <c r="EY51" i="15"/>
  <c r="EZ51" i="15" s="1"/>
  <c r="FC51" i="15" s="1"/>
  <c r="EY55" i="15"/>
  <c r="EZ55" i="15" s="1"/>
  <c r="FC55" i="15" s="1"/>
  <c r="EY59" i="15"/>
  <c r="EZ59" i="15" s="1"/>
  <c r="FC59" i="15" s="1"/>
  <c r="EY63" i="15"/>
  <c r="EZ63" i="15" s="1"/>
  <c r="FC63" i="15" s="1"/>
  <c r="EY66" i="15"/>
  <c r="EZ66" i="15" s="1"/>
  <c r="FC66" i="15" s="1"/>
  <c r="EY70" i="15"/>
  <c r="EZ70" i="15" s="1"/>
  <c r="FC70" i="15" s="1"/>
  <c r="EY74" i="15"/>
  <c r="EZ74" i="15" s="1"/>
  <c r="FC74" i="15" s="1"/>
  <c r="EY78" i="15"/>
  <c r="EZ78" i="15" s="1"/>
  <c r="FC78" i="15" s="1"/>
  <c r="EY85" i="15"/>
  <c r="EZ85" i="15" s="1"/>
  <c r="FC85" i="15" s="1"/>
  <c r="EY89" i="15"/>
  <c r="EZ89" i="15" s="1"/>
  <c r="FC89" i="15" s="1"/>
  <c r="EY92" i="15"/>
  <c r="EZ92" i="15" s="1"/>
  <c r="FC92" i="15" s="1"/>
  <c r="EY100" i="15"/>
  <c r="EZ100" i="15" s="1"/>
  <c r="FC100" i="15" s="1"/>
  <c r="EY104" i="15"/>
  <c r="EZ104" i="15" s="1"/>
  <c r="FC104" i="15" s="1"/>
  <c r="EY108" i="15"/>
  <c r="EZ108" i="15" s="1"/>
  <c r="FC108" i="15" s="1"/>
  <c r="EY112" i="15"/>
  <c r="EZ112" i="15" s="1"/>
  <c r="FC112" i="15" s="1"/>
  <c r="EY116" i="15"/>
  <c r="EZ116" i="15" s="1"/>
  <c r="FC116" i="15" s="1"/>
  <c r="EY120" i="15"/>
  <c r="EZ120" i="15" s="1"/>
  <c r="FC120" i="15" s="1"/>
  <c r="EY127" i="15"/>
  <c r="EZ127" i="15" s="1"/>
  <c r="FC127" i="15" s="1"/>
  <c r="EY131" i="15"/>
  <c r="EZ131" i="15" s="1"/>
  <c r="FC131" i="15" s="1"/>
  <c r="EY135" i="15"/>
  <c r="EZ135" i="15" s="1"/>
  <c r="FC135" i="15" s="1"/>
  <c r="EY139" i="15"/>
  <c r="EZ139" i="15" s="1"/>
  <c r="FC139" i="15" s="1"/>
  <c r="EY146" i="15"/>
  <c r="EZ146" i="15" s="1"/>
  <c r="FC146" i="15" s="1"/>
  <c r="EY150" i="15"/>
  <c r="EZ150" i="15" s="1"/>
  <c r="FC150" i="15" s="1"/>
  <c r="EY154" i="15"/>
  <c r="EZ154" i="15" s="1"/>
  <c r="FC154" i="15" s="1"/>
  <c r="EY158" i="15"/>
  <c r="EZ158" i="15" s="1"/>
  <c r="FC158" i="15" s="1"/>
  <c r="EY162" i="15"/>
  <c r="EZ162" i="15" s="1"/>
  <c r="FC162" i="15" s="1"/>
  <c r="EY166" i="15"/>
  <c r="EZ166" i="15" s="1"/>
  <c r="FC166" i="15" s="1"/>
  <c r="EY169" i="15"/>
  <c r="EZ169" i="15" s="1"/>
  <c r="FC169" i="15" s="1"/>
  <c r="EY173" i="15"/>
  <c r="EZ173" i="15" s="1"/>
  <c r="FC173" i="15" s="1"/>
  <c r="EY177" i="15"/>
  <c r="EZ177" i="15" s="1"/>
  <c r="FC177" i="15" s="1"/>
  <c r="EY181" i="15"/>
  <c r="EZ181" i="15" s="1"/>
  <c r="FC181" i="15" s="1"/>
  <c r="EY185" i="15"/>
  <c r="EZ185" i="15" s="1"/>
  <c r="FC185" i="15" s="1"/>
  <c r="EY189" i="15"/>
  <c r="EZ189" i="15" s="1"/>
  <c r="FC189" i="15" s="1"/>
  <c r="EY192" i="15"/>
  <c r="EZ192" i="15" s="1"/>
  <c r="FC192" i="15" s="1"/>
  <c r="EY196" i="15"/>
  <c r="EZ196" i="15" s="1"/>
  <c r="FC196" i="15" s="1"/>
  <c r="EY200" i="15"/>
  <c r="EZ200" i="15" s="1"/>
  <c r="FC200" i="15" s="1"/>
  <c r="EY204" i="15"/>
  <c r="EZ204" i="15" s="1"/>
  <c r="FC204" i="15" s="1"/>
  <c r="EY208" i="15"/>
  <c r="EZ208" i="15" s="1"/>
  <c r="FC208" i="15" s="1"/>
  <c r="EY212" i="15"/>
  <c r="EZ212" i="15" s="1"/>
  <c r="FC212" i="15" s="1"/>
  <c r="EY216" i="15"/>
  <c r="EZ216" i="15" s="1"/>
  <c r="FC216" i="15" s="1"/>
  <c r="EY223" i="15"/>
  <c r="EZ223" i="15" s="1"/>
  <c r="FC223" i="15" s="1"/>
  <c r="EY227" i="15"/>
  <c r="EZ227" i="15" s="1"/>
  <c r="FC227" i="15" s="1"/>
  <c r="EY231" i="15"/>
  <c r="EZ231" i="15" s="1"/>
  <c r="FC231" i="15" s="1"/>
  <c r="EY234" i="15"/>
  <c r="EZ234" i="15" s="1"/>
  <c r="FC234" i="15" s="1"/>
  <c r="EY238" i="15"/>
  <c r="EZ238" i="15" s="1"/>
  <c r="FC238" i="15" s="1"/>
  <c r="EY242" i="15"/>
  <c r="EZ242" i="15" s="1"/>
  <c r="FC242" i="15" s="1"/>
  <c r="EY246" i="15"/>
  <c r="EZ246" i="15" s="1"/>
  <c r="FC246" i="15" s="1"/>
  <c r="EY253" i="15"/>
  <c r="EZ253" i="15" s="1"/>
  <c r="FC253" i="15" s="1"/>
  <c r="EY257" i="15"/>
  <c r="EZ257" i="15" s="1"/>
  <c r="FC257" i="15" s="1"/>
  <c r="EY261" i="15"/>
  <c r="EZ261" i="15" s="1"/>
  <c r="FC261" i="15" s="1"/>
  <c r="EY265" i="15"/>
  <c r="EZ265" i="15" s="1"/>
  <c r="FC265" i="15" s="1"/>
  <c r="EY272" i="15"/>
  <c r="EZ272" i="15" s="1"/>
  <c r="FC272" i="15" s="1"/>
  <c r="EY276" i="15"/>
  <c r="EZ276" i="15" s="1"/>
  <c r="FC276" i="15" s="1"/>
  <c r="EY280" i="15"/>
  <c r="EZ280" i="15" s="1"/>
  <c r="FC280" i="15" s="1"/>
  <c r="EY284" i="15"/>
  <c r="EZ284" i="15" s="1"/>
  <c r="FC284" i="15" s="1"/>
  <c r="EY288" i="15"/>
  <c r="EZ288" i="15" s="1"/>
  <c r="FC288" i="15" s="1"/>
  <c r="EY292" i="15"/>
  <c r="EZ292" i="15" s="1"/>
  <c r="FC292" i="15" s="1"/>
  <c r="EY296" i="15"/>
  <c r="EZ296" i="15" s="1"/>
  <c r="FC296" i="15" s="1"/>
  <c r="EY300" i="15"/>
  <c r="EZ300" i="15" s="1"/>
  <c r="FC300" i="15" s="1"/>
  <c r="EY303" i="15"/>
  <c r="EZ303" i="15" s="1"/>
  <c r="FC303" i="15" s="1"/>
  <c r="EY307" i="15"/>
  <c r="EZ307" i="15" s="1"/>
  <c r="FC307" i="15" s="1"/>
  <c r="EY311" i="15"/>
  <c r="EZ311" i="15" s="1"/>
  <c r="FC311" i="15" s="1"/>
  <c r="EY315" i="15"/>
  <c r="EZ315" i="15" s="1"/>
  <c r="FC315" i="15" s="1"/>
  <c r="EY319" i="15"/>
  <c r="EZ319" i="15" s="1"/>
  <c r="FC319" i="15" s="1"/>
  <c r="EY323" i="15"/>
  <c r="EZ323" i="15" s="1"/>
  <c r="FC323" i="15" s="1"/>
  <c r="EY326" i="15"/>
  <c r="EZ326" i="15" s="1"/>
  <c r="FC326" i="15" s="1"/>
  <c r="EY330" i="15"/>
  <c r="EZ330" i="15" s="1"/>
  <c r="FC330" i="15" s="1"/>
  <c r="EY334" i="15"/>
  <c r="EZ334" i="15" s="1"/>
  <c r="FC334" i="15" s="1"/>
  <c r="EY338" i="15"/>
  <c r="EZ338" i="15" s="1"/>
  <c r="FC338" i="15" s="1"/>
  <c r="EY342" i="15"/>
  <c r="EZ342" i="15" s="1"/>
  <c r="FC342" i="15" s="1"/>
  <c r="EY346" i="15"/>
  <c r="EZ346" i="15" s="1"/>
  <c r="FC346" i="15" s="1"/>
  <c r="EY350" i="15"/>
  <c r="EZ350" i="15" s="1"/>
  <c r="FC350" i="15" s="1"/>
  <c r="EY354" i="15"/>
  <c r="EZ354" i="15" s="1"/>
  <c r="FC354" i="15" s="1"/>
  <c r="EY358" i="15"/>
  <c r="EZ358" i="15" s="1"/>
  <c r="FC358" i="15" s="1"/>
  <c r="EY362" i="15"/>
  <c r="EZ362" i="15" s="1"/>
  <c r="FC362" i="15" s="1"/>
  <c r="EY366" i="15"/>
  <c r="EZ366" i="15" s="1"/>
  <c r="FC366" i="15" s="1"/>
  <c r="EY370" i="15"/>
  <c r="EZ370" i="15" s="1"/>
  <c r="FC370" i="15" s="1"/>
  <c r="EY373" i="15"/>
  <c r="EZ373" i="15" s="1"/>
  <c r="FC373" i="15" s="1"/>
  <c r="EY377" i="15"/>
  <c r="EZ377" i="15" s="1"/>
  <c r="FC377" i="15" s="1"/>
  <c r="EY381" i="15"/>
  <c r="EZ381" i="15" s="1"/>
  <c r="FC381" i="15" s="1"/>
  <c r="EY385" i="15"/>
  <c r="EZ385" i="15" s="1"/>
  <c r="FC385" i="15" s="1"/>
  <c r="EY389" i="15"/>
  <c r="EZ389" i="15" s="1"/>
  <c r="FC389" i="15" s="1"/>
  <c r="EY393" i="15"/>
  <c r="EZ393" i="15" s="1"/>
  <c r="FC393" i="15" s="1"/>
  <c r="EY397" i="15"/>
  <c r="EZ397" i="15" s="1"/>
  <c r="FC397" i="15" s="1"/>
  <c r="EY401" i="15"/>
  <c r="EZ401" i="15" s="1"/>
  <c r="FC401" i="15" s="1"/>
  <c r="EY405" i="15"/>
  <c r="EZ405" i="15" s="1"/>
  <c r="FC405" i="15" s="1"/>
  <c r="EY408" i="15"/>
  <c r="EZ408" i="15" s="1"/>
  <c r="FC408" i="15" s="1"/>
  <c r="EY412" i="15"/>
  <c r="EZ412" i="15" s="1"/>
  <c r="FC412" i="15" s="1"/>
  <c r="EY416" i="15"/>
  <c r="EZ416" i="15" s="1"/>
  <c r="FC416" i="15" s="1"/>
  <c r="EY420" i="15"/>
  <c r="EZ420" i="15" s="1"/>
  <c r="FC420" i="15" s="1"/>
  <c r="EY424" i="15"/>
  <c r="EZ424" i="15" s="1"/>
  <c r="FC424" i="15" s="1"/>
  <c r="EY428" i="15"/>
  <c r="EZ428" i="15" s="1"/>
  <c r="FC428" i="15" s="1"/>
  <c r="EY431" i="15"/>
  <c r="EZ431" i="15" s="1"/>
  <c r="FC431" i="15" s="1"/>
  <c r="EY435" i="15"/>
  <c r="EZ435" i="15" s="1"/>
  <c r="FC435" i="15" s="1"/>
  <c r="EY439" i="15"/>
  <c r="EZ439" i="15" s="1"/>
  <c r="FC439" i="15" s="1"/>
  <c r="EY443" i="15"/>
  <c r="EZ443" i="15" s="1"/>
  <c r="FC443" i="15" s="1"/>
  <c r="EY447" i="15"/>
  <c r="EZ447" i="15" s="1"/>
  <c r="FC447" i="15" s="1"/>
  <c r="EY451" i="15"/>
  <c r="EZ451" i="15" s="1"/>
  <c r="FC451" i="15" s="1"/>
  <c r="EY455" i="15"/>
  <c r="EZ455" i="15" s="1"/>
  <c r="FC455" i="15" s="1"/>
  <c r="EY458" i="15"/>
  <c r="EZ458" i="15" s="1"/>
  <c r="FC458" i="15" s="1"/>
  <c r="EY462" i="15"/>
  <c r="EZ462" i="15" s="1"/>
  <c r="FC462" i="15" s="1"/>
  <c r="EY466" i="15"/>
  <c r="EZ466" i="15" s="1"/>
  <c r="FC466" i="15" s="1"/>
  <c r="EY473" i="15"/>
  <c r="EZ473" i="15" s="1"/>
  <c r="FC473" i="15" s="1"/>
  <c r="EY477" i="15"/>
  <c r="EZ477" i="15" s="1"/>
  <c r="FC477" i="15" s="1"/>
  <c r="EY481" i="15"/>
  <c r="EZ481" i="15" s="1"/>
  <c r="FC481" i="15" s="1"/>
  <c r="EY485" i="15"/>
  <c r="EZ485" i="15" s="1"/>
  <c r="FC485" i="15" s="1"/>
  <c r="EY489" i="15"/>
  <c r="EZ489" i="15" s="1"/>
  <c r="FC489" i="15" s="1"/>
  <c r="EY492" i="15"/>
  <c r="EZ492" i="15" s="1"/>
  <c r="FC492" i="15" s="1"/>
  <c r="EY496" i="15"/>
  <c r="EZ496" i="15" s="1"/>
  <c r="FC496" i="15" s="1"/>
  <c r="EY500" i="15"/>
  <c r="EZ500" i="15" s="1"/>
  <c r="FC500" i="15" s="1"/>
  <c r="EY504" i="15"/>
  <c r="EZ504" i="15" s="1"/>
  <c r="FC504" i="15" s="1"/>
  <c r="EY508" i="15"/>
  <c r="EZ508" i="15" s="1"/>
  <c r="FC508" i="15" s="1"/>
  <c r="EY512" i="15"/>
  <c r="EZ512" i="15" s="1"/>
  <c r="FC512" i="15" s="1"/>
  <c r="EY515" i="15"/>
  <c r="EZ515" i="15" s="1"/>
  <c r="FC515" i="15" s="1"/>
  <c r="EY519" i="15"/>
  <c r="EZ519" i="15" s="1"/>
  <c r="FC519" i="15" s="1"/>
  <c r="EY523" i="15"/>
  <c r="EZ523" i="15" s="1"/>
  <c r="FC523" i="15" s="1"/>
  <c r="EY527" i="15"/>
  <c r="EZ527" i="15" s="1"/>
  <c r="FC527" i="15" s="1"/>
  <c r="EY530" i="15"/>
  <c r="EZ530" i="15" s="1"/>
  <c r="FC530" i="15" s="1"/>
  <c r="EY534" i="15"/>
  <c r="EZ534" i="15" s="1"/>
  <c r="FC534" i="15" s="1"/>
  <c r="EY538" i="15"/>
  <c r="EZ538" i="15" s="1"/>
  <c r="FC538" i="15" s="1"/>
  <c r="EY542" i="15"/>
  <c r="EZ542" i="15" s="1"/>
  <c r="FC542" i="15" s="1"/>
  <c r="EY546" i="15"/>
  <c r="EZ546" i="15" s="1"/>
  <c r="FC546" i="15" s="1"/>
  <c r="EY549" i="15"/>
  <c r="EZ549" i="15" s="1"/>
  <c r="FC549" i="15" s="1"/>
  <c r="EY553" i="15"/>
  <c r="EZ553" i="15" s="1"/>
  <c r="FC553" i="15" s="1"/>
  <c r="EY557" i="15"/>
  <c r="EZ557" i="15" s="1"/>
  <c r="FC557" i="15" s="1"/>
  <c r="EY561" i="15"/>
  <c r="EZ561" i="15" s="1"/>
  <c r="FC561" i="15" s="1"/>
  <c r="EY565" i="15"/>
  <c r="EZ565" i="15" s="1"/>
  <c r="FC565" i="15" s="1"/>
  <c r="EY569" i="15"/>
  <c r="EZ569" i="15" s="1"/>
  <c r="FC569" i="15" s="1"/>
  <c r="EY574" i="15"/>
  <c r="EZ574" i="15" s="1"/>
  <c r="FC574" i="15" s="1"/>
  <c r="EY577" i="15"/>
  <c r="EZ577" i="15" s="1"/>
  <c r="FC577" i="15" s="1"/>
  <c r="EY580" i="15"/>
  <c r="EZ580" i="15" s="1"/>
  <c r="FC580" i="15" s="1"/>
  <c r="EY584" i="15"/>
  <c r="EZ584" i="15" s="1"/>
  <c r="FC584" i="15" s="1"/>
  <c r="EY588" i="15"/>
  <c r="EZ588" i="15" s="1"/>
  <c r="FC588" i="15" s="1"/>
  <c r="EY592" i="15"/>
  <c r="EZ592" i="15" s="1"/>
  <c r="FC592" i="15" s="1"/>
  <c r="EY596" i="15"/>
  <c r="EZ596" i="15" s="1"/>
  <c r="FC596" i="15" s="1"/>
  <c r="EY600" i="15"/>
  <c r="EZ600" i="15" s="1"/>
  <c r="FC600" i="15" s="1"/>
  <c r="EY604" i="15"/>
  <c r="EZ604" i="15" s="1"/>
  <c r="FC604" i="15" s="1"/>
  <c r="EY608" i="15"/>
  <c r="EZ608" i="15" s="1"/>
  <c r="FC608" i="15" s="1"/>
  <c r="EY615" i="15"/>
  <c r="EZ615" i="15" s="1"/>
  <c r="FC615" i="15" s="1"/>
  <c r="EY619" i="15"/>
  <c r="EZ619" i="15" s="1"/>
  <c r="FC619" i="15" s="1"/>
  <c r="EY622" i="15"/>
  <c r="EZ622" i="15" s="1"/>
  <c r="FC622" i="15" s="1"/>
  <c r="EY626" i="15"/>
  <c r="EZ626" i="15" s="1"/>
  <c r="FC626" i="15" s="1"/>
  <c r="EY630" i="15"/>
  <c r="EZ630" i="15" s="1"/>
  <c r="FC630" i="15" s="1"/>
  <c r="EY634" i="15"/>
  <c r="EZ634" i="15" s="1"/>
  <c r="FC634" i="15" s="1"/>
  <c r="EY638" i="15"/>
  <c r="EZ638" i="15" s="1"/>
  <c r="FC638" i="15" s="1"/>
  <c r="EY645" i="15"/>
  <c r="EZ645" i="15" s="1"/>
  <c r="FC645" i="15" s="1"/>
  <c r="EY649" i="15"/>
  <c r="EZ649" i="15" s="1"/>
  <c r="FC649" i="15" s="1"/>
  <c r="EY653" i="15"/>
  <c r="EZ653" i="15" s="1"/>
  <c r="FC653" i="15" s="1"/>
  <c r="EY657" i="15"/>
  <c r="EZ657" i="15" s="1"/>
  <c r="FC657" i="15" s="1"/>
  <c r="EY661" i="15"/>
  <c r="EZ661" i="15" s="1"/>
  <c r="FC661" i="15" s="1"/>
  <c r="EY665" i="15"/>
  <c r="EZ665" i="15" s="1"/>
  <c r="FC665" i="15" s="1"/>
  <c r="EY672" i="15"/>
  <c r="EZ672" i="15" s="1"/>
  <c r="FC672" i="15" s="1"/>
  <c r="EY676" i="15"/>
  <c r="EZ676" i="15" s="1"/>
  <c r="FC676" i="15" s="1"/>
  <c r="EY680" i="15"/>
  <c r="EZ680" i="15" s="1"/>
  <c r="FC680" i="15" s="1"/>
  <c r="EY684" i="15"/>
  <c r="EZ684" i="15" s="1"/>
  <c r="FC684" i="15" s="1"/>
  <c r="EY688" i="15"/>
  <c r="EZ688" i="15" s="1"/>
  <c r="FC688" i="15" s="1"/>
  <c r="EY691" i="15"/>
  <c r="EZ691" i="15" s="1"/>
  <c r="FC691" i="15" s="1"/>
  <c r="EY695" i="15"/>
  <c r="EZ695" i="15" s="1"/>
  <c r="FC695" i="15" s="1"/>
  <c r="EY699" i="15"/>
  <c r="EZ699" i="15" s="1"/>
  <c r="FC699" i="15" s="1"/>
  <c r="EY703" i="15"/>
  <c r="EZ703" i="15" s="1"/>
  <c r="FC703" i="15" s="1"/>
  <c r="EY707" i="15"/>
  <c r="EZ707" i="15" s="1"/>
  <c r="FC707" i="15" s="1"/>
  <c r="EY711" i="15"/>
  <c r="EZ711" i="15" s="1"/>
  <c r="FC711" i="15" s="1"/>
  <c r="EY718" i="15"/>
  <c r="EZ718" i="15" s="1"/>
  <c r="FC718" i="15" s="1"/>
  <c r="EY722" i="15"/>
  <c r="EZ722" i="15" s="1"/>
  <c r="FC722" i="15" s="1"/>
  <c r="EY726" i="15"/>
  <c r="EZ726" i="15" s="1"/>
  <c r="FC726" i="15" s="1"/>
  <c r="EY730" i="15"/>
  <c r="EZ730" i="15" s="1"/>
  <c r="FC730" i="15" s="1"/>
  <c r="EY733" i="15"/>
  <c r="EZ733" i="15" s="1"/>
  <c r="FC733" i="15" s="1"/>
  <c r="EY737" i="15"/>
  <c r="EZ737" i="15" s="1"/>
  <c r="FC737" i="15" s="1"/>
  <c r="EY741" i="15"/>
  <c r="EZ741" i="15" s="1"/>
  <c r="FC741" i="15" s="1"/>
  <c r="EY745" i="15"/>
  <c r="EZ745" i="15" s="1"/>
  <c r="FC745" i="15" s="1"/>
  <c r="EY749" i="15"/>
  <c r="EZ749" i="15" s="1"/>
  <c r="FC749" i="15" s="1"/>
  <c r="EY756" i="15"/>
  <c r="EZ756" i="15" s="1"/>
  <c r="FC756" i="15" s="1"/>
  <c r="EY758" i="15"/>
  <c r="EZ758" i="15" s="1"/>
  <c r="FC758" i="15" s="1"/>
  <c r="EY762" i="15"/>
  <c r="EZ762" i="15" s="1"/>
  <c r="FC762" i="15" s="1"/>
  <c r="EY766" i="15"/>
  <c r="EZ766" i="15" s="1"/>
  <c r="FC766" i="15" s="1"/>
  <c r="EY770" i="15"/>
  <c r="EZ770" i="15" s="1"/>
  <c r="FC770" i="15" s="1"/>
  <c r="EY776" i="15"/>
  <c r="EZ776" i="15" s="1"/>
  <c r="FC776" i="15" s="1"/>
  <c r="EY779" i="15"/>
  <c r="EZ779" i="15" s="1"/>
  <c r="FC779" i="15" s="1"/>
  <c r="EY783" i="15"/>
  <c r="EZ783" i="15" s="1"/>
  <c r="FC783" i="15" s="1"/>
  <c r="EY787" i="15"/>
  <c r="EZ787" i="15" s="1"/>
  <c r="FC787" i="15" s="1"/>
  <c r="EY791" i="15"/>
  <c r="EZ791" i="15" s="1"/>
  <c r="FC791" i="15" s="1"/>
  <c r="EY798" i="15"/>
  <c r="EZ798" i="15" s="1"/>
  <c r="FC798" i="15" s="1"/>
  <c r="EY802" i="15"/>
  <c r="EZ802" i="15" s="1"/>
  <c r="FC802" i="15" s="1"/>
  <c r="EY806" i="15"/>
  <c r="EZ806" i="15" s="1"/>
  <c r="FC806" i="15" s="1"/>
  <c r="EY810" i="15"/>
  <c r="EZ810" i="15" s="1"/>
  <c r="FC810" i="15" s="1"/>
  <c r="EY814" i="15"/>
  <c r="EZ814" i="15" s="1"/>
  <c r="FC814" i="15" s="1"/>
  <c r="EY818" i="15"/>
  <c r="EZ818" i="15" s="1"/>
  <c r="FC818" i="15" s="1"/>
  <c r="EY822" i="15"/>
  <c r="EZ822" i="15" s="1"/>
  <c r="FC822" i="15" s="1"/>
  <c r="EY826" i="15"/>
  <c r="EZ826" i="15" s="1"/>
  <c r="FC826" i="15" s="1"/>
  <c r="EY829" i="15"/>
  <c r="EZ829" i="15" s="1"/>
  <c r="FC829" i="15" s="1"/>
  <c r="EY833" i="15"/>
  <c r="EZ833" i="15" s="1"/>
  <c r="FC833" i="15" s="1"/>
  <c r="EY837" i="15"/>
  <c r="EZ837" i="15" s="1"/>
  <c r="FC837" i="15" s="1"/>
  <c r="EY841" i="15"/>
  <c r="EZ841" i="15" s="1"/>
  <c r="FC841" i="15" s="1"/>
  <c r="EY845" i="15"/>
  <c r="EZ845" i="15" s="1"/>
  <c r="FC845" i="15" s="1"/>
  <c r="EY849" i="15"/>
  <c r="EZ849" i="15" s="1"/>
  <c r="FC849" i="15" s="1"/>
  <c r="EY853" i="15"/>
  <c r="EZ853" i="15" s="1"/>
  <c r="FC853" i="15" s="1"/>
  <c r="EY857" i="15"/>
  <c r="EZ857" i="15" s="1"/>
  <c r="FC857" i="15" s="1"/>
  <c r="EY861" i="15"/>
  <c r="EZ861" i="15" s="1"/>
  <c r="FC861" i="15" s="1"/>
  <c r="EY10" i="15"/>
  <c r="EZ10" i="15" s="1"/>
  <c r="FC10" i="15" s="1"/>
  <c r="EY14" i="15"/>
  <c r="EZ14" i="15" s="1"/>
  <c r="FC14" i="15" s="1"/>
  <c r="EY18" i="15"/>
  <c r="EZ18" i="15" s="1"/>
  <c r="FC18" i="15" s="1"/>
  <c r="EY22" i="15"/>
  <c r="EZ22" i="15" s="1"/>
  <c r="FC22" i="15" s="1"/>
  <c r="EY26" i="15"/>
  <c r="EZ26" i="15" s="1"/>
  <c r="FC26" i="15" s="1"/>
  <c r="EY30" i="15"/>
  <c r="EZ30" i="15" s="1"/>
  <c r="FC30" i="15" s="1"/>
  <c r="EY34" i="15"/>
  <c r="EZ34" i="15" s="1"/>
  <c r="FC34" i="15" s="1"/>
  <c r="EY37" i="15"/>
  <c r="EZ37" i="15" s="1"/>
  <c r="FC37" i="15" s="1"/>
  <c r="EY44" i="15"/>
  <c r="EZ44" i="15" s="1"/>
  <c r="FC44" i="15" s="1"/>
  <c r="EY48" i="15"/>
  <c r="EZ48" i="15" s="1"/>
  <c r="FC48" i="15" s="1"/>
  <c r="EY52" i="15"/>
  <c r="EZ52" i="15" s="1"/>
  <c r="FC52" i="15" s="1"/>
  <c r="EY56" i="15"/>
  <c r="EZ56" i="15" s="1"/>
  <c r="FC56" i="15" s="1"/>
  <c r="EY60" i="15"/>
  <c r="EZ60" i="15" s="1"/>
  <c r="FC60" i="15" s="1"/>
  <c r="EY67" i="15"/>
  <c r="EZ67" i="15" s="1"/>
  <c r="FC67" i="15" s="1"/>
  <c r="EY71" i="15"/>
  <c r="EZ71" i="15" s="1"/>
  <c r="FC71" i="15" s="1"/>
  <c r="EY75" i="15"/>
  <c r="EZ75" i="15" s="1"/>
  <c r="FC75" i="15" s="1"/>
  <c r="EY79" i="15"/>
  <c r="EZ79" i="15" s="1"/>
  <c r="FC79" i="15" s="1"/>
  <c r="EY83" i="15"/>
  <c r="EZ83" i="15" s="1"/>
  <c r="FC83" i="15" s="1"/>
  <c r="EY86" i="15"/>
  <c r="EZ86" i="15" s="1"/>
  <c r="FC86" i="15" s="1"/>
  <c r="EY90" i="15"/>
  <c r="EZ90" i="15" s="1"/>
  <c r="FC90" i="15" s="1"/>
  <c r="EY94" i="15"/>
  <c r="EZ94" i="15" s="1"/>
  <c r="FC94" i="15" s="1"/>
  <c r="EY98" i="15"/>
  <c r="EZ98" i="15" s="1"/>
  <c r="FC98" i="15" s="1"/>
  <c r="EY101" i="15"/>
  <c r="EZ101" i="15" s="1"/>
  <c r="FC101" i="15" s="1"/>
  <c r="EY105" i="15"/>
  <c r="EZ105" i="15" s="1"/>
  <c r="FC105" i="15" s="1"/>
  <c r="EY109" i="15"/>
  <c r="EZ109" i="15" s="1"/>
  <c r="FC109" i="15" s="1"/>
  <c r="EY113" i="15"/>
  <c r="EZ113" i="15" s="1"/>
  <c r="FC113" i="15" s="1"/>
  <c r="EY117" i="15"/>
  <c r="EZ117" i="15" s="1"/>
  <c r="FC117" i="15" s="1"/>
  <c r="EY121" i="15"/>
  <c r="EZ121" i="15" s="1"/>
  <c r="FC121" i="15" s="1"/>
  <c r="EY125" i="15"/>
  <c r="EZ125" i="15" s="1"/>
  <c r="FC125" i="15" s="1"/>
  <c r="EY128" i="15"/>
  <c r="EZ128" i="15" s="1"/>
  <c r="FC128" i="15" s="1"/>
  <c r="EY132" i="15"/>
  <c r="EZ132" i="15" s="1"/>
  <c r="FC132" i="15" s="1"/>
  <c r="EY136" i="15"/>
  <c r="EZ136" i="15" s="1"/>
  <c r="FC136" i="15" s="1"/>
  <c r="EY140" i="15"/>
  <c r="EZ140" i="15" s="1"/>
  <c r="FC140" i="15" s="1"/>
  <c r="EY144" i="15"/>
  <c r="EZ144" i="15" s="1"/>
  <c r="FC144" i="15" s="1"/>
  <c r="EY147" i="15"/>
  <c r="EZ147" i="15" s="1"/>
  <c r="FC147" i="15" s="1"/>
  <c r="EY151" i="15"/>
  <c r="EZ151" i="15" s="1"/>
  <c r="FC151" i="15" s="1"/>
  <c r="EY155" i="15"/>
  <c r="EZ155" i="15" s="1"/>
  <c r="FC155" i="15" s="1"/>
  <c r="EY159" i="15"/>
  <c r="EZ159" i="15" s="1"/>
  <c r="FC159" i="15" s="1"/>
  <c r="EY163" i="15"/>
  <c r="EZ163" i="15" s="1"/>
  <c r="FC163" i="15" s="1"/>
  <c r="EY167" i="15"/>
  <c r="EZ167" i="15" s="1"/>
  <c r="FC167" i="15" s="1"/>
  <c r="EY170" i="15"/>
  <c r="EZ170" i="15" s="1"/>
  <c r="FC170" i="15" s="1"/>
  <c r="EY174" i="15"/>
  <c r="EZ174" i="15" s="1"/>
  <c r="FC174" i="15" s="1"/>
  <c r="EY178" i="15"/>
  <c r="EZ178" i="15" s="1"/>
  <c r="FC178" i="15" s="1"/>
  <c r="EY182" i="15"/>
  <c r="EZ182" i="15" s="1"/>
  <c r="FC182" i="15" s="1"/>
  <c r="EY186" i="15"/>
  <c r="EZ186" i="15" s="1"/>
  <c r="FC186" i="15" s="1"/>
  <c r="EY190" i="15"/>
  <c r="EZ190" i="15" s="1"/>
  <c r="FC190" i="15" s="1"/>
  <c r="EY193" i="15"/>
  <c r="EZ193" i="15" s="1"/>
  <c r="FC193" i="15" s="1"/>
  <c r="EY197" i="15"/>
  <c r="EZ197" i="15" s="1"/>
  <c r="FC197" i="15" s="1"/>
  <c r="EY201" i="15"/>
  <c r="EZ201" i="15" s="1"/>
  <c r="FC201" i="15" s="1"/>
  <c r="EY205" i="15"/>
  <c r="EZ205" i="15" s="1"/>
  <c r="FC205" i="15" s="1"/>
  <c r="EY209" i="15"/>
  <c r="EZ209" i="15" s="1"/>
  <c r="FC209" i="15" s="1"/>
  <c r="EY213" i="15"/>
  <c r="EZ213" i="15" s="1"/>
  <c r="FC213" i="15" s="1"/>
  <c r="EY217" i="15"/>
  <c r="EZ217" i="15" s="1"/>
  <c r="FC217" i="15" s="1"/>
  <c r="EY220" i="15"/>
  <c r="EZ220" i="15" s="1"/>
  <c r="FC220" i="15" s="1"/>
  <c r="EY224" i="15"/>
  <c r="EZ224" i="15" s="1"/>
  <c r="FC224" i="15" s="1"/>
  <c r="EY228" i="15"/>
  <c r="EZ228" i="15" s="1"/>
  <c r="FC228" i="15" s="1"/>
  <c r="EY232" i="15"/>
  <c r="EZ232" i="15" s="1"/>
  <c r="FC232" i="15" s="1"/>
  <c r="EY235" i="15"/>
  <c r="EZ235" i="15" s="1"/>
  <c r="FC235" i="15" s="1"/>
  <c r="EY239" i="15"/>
  <c r="EZ239" i="15" s="1"/>
  <c r="FC239" i="15" s="1"/>
  <c r="EY243" i="15"/>
  <c r="EZ243" i="15" s="1"/>
  <c r="FC243" i="15" s="1"/>
  <c r="EY247" i="15"/>
  <c r="EZ247" i="15" s="1"/>
  <c r="FC247" i="15" s="1"/>
  <c r="EY251" i="15"/>
  <c r="EZ251" i="15" s="1"/>
  <c r="FC251" i="15" s="1"/>
  <c r="EY254" i="15"/>
  <c r="EZ254" i="15" s="1"/>
  <c r="FC254" i="15" s="1"/>
  <c r="EY258" i="15"/>
  <c r="EZ258" i="15" s="1"/>
  <c r="FC258" i="15" s="1"/>
  <c r="EY262" i="15"/>
  <c r="EZ262" i="15" s="1"/>
  <c r="FC262" i="15" s="1"/>
  <c r="EY266" i="15"/>
  <c r="EZ266" i="15" s="1"/>
  <c r="FC266" i="15" s="1"/>
  <c r="EY270" i="15"/>
  <c r="EZ270" i="15" s="1"/>
  <c r="FC270" i="15" s="1"/>
  <c r="EY273" i="15"/>
  <c r="EZ273" i="15" s="1"/>
  <c r="FC273" i="15" s="1"/>
  <c r="EY277" i="15"/>
  <c r="EZ277" i="15" s="1"/>
  <c r="FC277" i="15" s="1"/>
  <c r="EY281" i="15"/>
  <c r="EZ281" i="15" s="1"/>
  <c r="FC281" i="15" s="1"/>
  <c r="EY285" i="15"/>
  <c r="EZ285" i="15" s="1"/>
  <c r="FC285" i="15" s="1"/>
  <c r="EY289" i="15"/>
  <c r="EZ289" i="15" s="1"/>
  <c r="FC289" i="15" s="1"/>
  <c r="EY293" i="15"/>
  <c r="EZ293" i="15" s="1"/>
  <c r="FC293" i="15" s="1"/>
  <c r="EY297" i="15"/>
  <c r="EZ297" i="15" s="1"/>
  <c r="FC297" i="15" s="1"/>
  <c r="EY304" i="15"/>
  <c r="EZ304" i="15" s="1"/>
  <c r="FC304" i="15" s="1"/>
  <c r="EY308" i="15"/>
  <c r="EZ308" i="15" s="1"/>
  <c r="FC308" i="15" s="1"/>
  <c r="EY312" i="15"/>
  <c r="EZ312" i="15" s="1"/>
  <c r="FC312" i="15" s="1"/>
  <c r="EY316" i="15"/>
  <c r="EZ316" i="15" s="1"/>
  <c r="FC316" i="15" s="1"/>
  <c r="EY320" i="15"/>
  <c r="EZ320" i="15" s="1"/>
  <c r="FC320" i="15" s="1"/>
  <c r="EY327" i="15"/>
  <c r="EZ327" i="15" s="1"/>
  <c r="FC327" i="15" s="1"/>
  <c r="EY331" i="15"/>
  <c r="EZ331" i="15" s="1"/>
  <c r="FC331" i="15" s="1"/>
  <c r="EY335" i="15"/>
  <c r="EZ335" i="15" s="1"/>
  <c r="FC335" i="15" s="1"/>
  <c r="EY339" i="15"/>
  <c r="EZ339" i="15" s="1"/>
  <c r="FC339" i="15" s="1"/>
  <c r="EY343" i="15"/>
  <c r="EZ343" i="15" s="1"/>
  <c r="FC343" i="15" s="1"/>
  <c r="EY347" i="15"/>
  <c r="EZ347" i="15" s="1"/>
  <c r="FC347" i="15" s="1"/>
  <c r="EY351" i="15"/>
  <c r="EZ351" i="15" s="1"/>
  <c r="FC351" i="15" s="1"/>
  <c r="EY355" i="15"/>
  <c r="EZ355" i="15" s="1"/>
  <c r="FC355" i="15" s="1"/>
  <c r="EY359" i="15"/>
  <c r="EZ359" i="15" s="1"/>
  <c r="FC359" i="15" s="1"/>
  <c r="EY363" i="15"/>
  <c r="EZ363" i="15" s="1"/>
  <c r="FC363" i="15" s="1"/>
  <c r="EY367" i="15"/>
  <c r="EZ367" i="15" s="1"/>
  <c r="FC367" i="15" s="1"/>
  <c r="EY371" i="15"/>
  <c r="EZ371" i="15" s="1"/>
  <c r="FC371" i="15" s="1"/>
  <c r="EY374" i="15"/>
  <c r="EZ374" i="15" s="1"/>
  <c r="FC374" i="15" s="1"/>
  <c r="EY378" i="15"/>
  <c r="EZ378" i="15" s="1"/>
  <c r="FC378" i="15" s="1"/>
  <c r="EY382" i="15"/>
  <c r="EZ382" i="15" s="1"/>
  <c r="FC382" i="15" s="1"/>
  <c r="EY386" i="15"/>
  <c r="EZ386" i="15" s="1"/>
  <c r="FC386" i="15" s="1"/>
  <c r="EY390" i="15"/>
  <c r="EZ390" i="15" s="1"/>
  <c r="FC390" i="15" s="1"/>
  <c r="EY394" i="15"/>
  <c r="EZ394" i="15" s="1"/>
  <c r="FC394" i="15" s="1"/>
  <c r="EY398" i="15"/>
  <c r="EZ398" i="15" s="1"/>
  <c r="FC398" i="15" s="1"/>
  <c r="EY402" i="15"/>
  <c r="EZ402" i="15" s="1"/>
  <c r="FC402" i="15" s="1"/>
  <c r="EY409" i="15"/>
  <c r="EZ409" i="15" s="1"/>
  <c r="FC409" i="15" s="1"/>
  <c r="EY413" i="15"/>
  <c r="EZ413" i="15" s="1"/>
  <c r="FC413" i="15" s="1"/>
  <c r="EY417" i="15"/>
  <c r="EZ417" i="15" s="1"/>
  <c r="FC417" i="15" s="1"/>
  <c r="EY421" i="15"/>
  <c r="EZ421" i="15" s="1"/>
  <c r="FC421" i="15" s="1"/>
  <c r="EY425" i="15"/>
  <c r="EZ425" i="15" s="1"/>
  <c r="FC425" i="15" s="1"/>
  <c r="EY432" i="15"/>
  <c r="EZ432" i="15" s="1"/>
  <c r="FC432" i="15" s="1"/>
  <c r="EY436" i="15"/>
  <c r="EZ436" i="15" s="1"/>
  <c r="FC436" i="15" s="1"/>
  <c r="EY440" i="15"/>
  <c r="EZ440" i="15" s="1"/>
  <c r="FC440" i="15" s="1"/>
  <c r="EY444" i="15"/>
  <c r="EZ444" i="15" s="1"/>
  <c r="FC444" i="15" s="1"/>
  <c r="EY448" i="15"/>
  <c r="EZ448" i="15" s="1"/>
  <c r="FC448" i="15" s="1"/>
  <c r="EY452" i="15"/>
  <c r="EZ452" i="15" s="1"/>
  <c r="FC452" i="15" s="1"/>
  <c r="EY459" i="15"/>
  <c r="EZ459" i="15" s="1"/>
  <c r="FC459" i="15" s="1"/>
  <c r="EY463" i="15"/>
  <c r="EZ463" i="15" s="1"/>
  <c r="FC463" i="15" s="1"/>
  <c r="EY467" i="15"/>
  <c r="EZ467" i="15" s="1"/>
  <c r="FC467" i="15" s="1"/>
  <c r="EY471" i="15"/>
  <c r="EZ471" i="15" s="1"/>
  <c r="FC471" i="15" s="1"/>
  <c r="EY474" i="15"/>
  <c r="EZ474" i="15" s="1"/>
  <c r="FC474" i="15" s="1"/>
  <c r="EY478" i="15"/>
  <c r="EZ478" i="15" s="1"/>
  <c r="FC478" i="15" s="1"/>
  <c r="EY482" i="15"/>
  <c r="EZ482" i="15" s="1"/>
  <c r="FC482" i="15" s="1"/>
  <c r="EY486" i="15"/>
  <c r="EZ486" i="15" s="1"/>
  <c r="FC486" i="15" s="1"/>
  <c r="EY493" i="15"/>
  <c r="EZ493" i="15" s="1"/>
  <c r="FC493" i="15" s="1"/>
  <c r="EY497" i="15"/>
  <c r="EZ497" i="15" s="1"/>
  <c r="FC497" i="15" s="1"/>
  <c r="EY501" i="15"/>
  <c r="EZ501" i="15" s="1"/>
  <c r="FC501" i="15" s="1"/>
  <c r="EY505" i="15"/>
  <c r="EZ505" i="15" s="1"/>
  <c r="FC505" i="15" s="1"/>
  <c r="EY509" i="15"/>
  <c r="EZ509" i="15" s="1"/>
  <c r="FC509" i="15" s="1"/>
  <c r="EY513" i="15"/>
  <c r="EZ513" i="15" s="1"/>
  <c r="FC513" i="15" s="1"/>
  <c r="EY516" i="15"/>
  <c r="EZ516" i="15" s="1"/>
  <c r="FC516" i="15" s="1"/>
  <c r="EY520" i="15"/>
  <c r="EZ520" i="15" s="1"/>
  <c r="FC520" i="15" s="1"/>
  <c r="EY524" i="15"/>
  <c r="EZ524" i="15" s="1"/>
  <c r="FC524" i="15" s="1"/>
  <c r="EY531" i="15"/>
  <c r="EZ531" i="15" s="1"/>
  <c r="FC531" i="15" s="1"/>
  <c r="EY535" i="15"/>
  <c r="EZ535" i="15" s="1"/>
  <c r="FC535" i="15" s="1"/>
  <c r="EY539" i="15"/>
  <c r="EZ539" i="15" s="1"/>
  <c r="FC539" i="15" s="1"/>
  <c r="EY543" i="15"/>
  <c r="EZ543" i="15" s="1"/>
  <c r="FC543" i="15" s="1"/>
  <c r="EY547" i="15"/>
  <c r="EZ547" i="15" s="1"/>
  <c r="FC547" i="15" s="1"/>
  <c r="EY550" i="15"/>
  <c r="EZ550" i="15" s="1"/>
  <c r="FC550" i="15" s="1"/>
  <c r="EY554" i="15"/>
  <c r="EZ554" i="15" s="1"/>
  <c r="FC554" i="15" s="1"/>
  <c r="EY558" i="15"/>
  <c r="EZ558" i="15" s="1"/>
  <c r="FC558" i="15" s="1"/>
  <c r="EY562" i="15"/>
  <c r="EZ562" i="15" s="1"/>
  <c r="FC562" i="15" s="1"/>
  <c r="EY566" i="15"/>
  <c r="EZ566" i="15" s="1"/>
  <c r="FC566" i="15" s="1"/>
  <c r="EY570" i="15"/>
  <c r="EZ570" i="15" s="1"/>
  <c r="FC570" i="15" s="1"/>
  <c r="EY572" i="15"/>
  <c r="EZ572" i="15" s="1"/>
  <c r="FC572" i="15" s="1"/>
  <c r="EY578" i="15"/>
  <c r="EZ578" i="15" s="1"/>
  <c r="FC578" i="15" s="1"/>
  <c r="EY581" i="15"/>
  <c r="EZ581" i="15" s="1"/>
  <c r="FC581" i="15" s="1"/>
  <c r="EY585" i="15"/>
  <c r="EZ585" i="15" s="1"/>
  <c r="FC585" i="15" s="1"/>
  <c r="EY589" i="15"/>
  <c r="EZ589" i="15" s="1"/>
  <c r="FC589" i="15" s="1"/>
  <c r="EY593" i="15"/>
  <c r="EZ593" i="15" s="1"/>
  <c r="FC593" i="15" s="1"/>
  <c r="EY597" i="15"/>
  <c r="EZ597" i="15" s="1"/>
  <c r="FC597" i="15" s="1"/>
  <c r="EY601" i="15"/>
  <c r="EZ601" i="15" s="1"/>
  <c r="FC601" i="15" s="1"/>
  <c r="EY605" i="15"/>
  <c r="EZ605" i="15" s="1"/>
  <c r="FC605" i="15" s="1"/>
  <c r="EY609" i="15"/>
  <c r="EZ609" i="15" s="1"/>
  <c r="FC609" i="15" s="1"/>
  <c r="EY612" i="15"/>
  <c r="EZ612" i="15" s="1"/>
  <c r="FC612" i="15" s="1"/>
  <c r="EY616" i="15"/>
  <c r="EZ616" i="15" s="1"/>
  <c r="FC616" i="15" s="1"/>
  <c r="EY620" i="15"/>
  <c r="EZ620" i="15" s="1"/>
  <c r="FC620" i="15" s="1"/>
  <c r="EY623" i="15"/>
  <c r="EZ623" i="15" s="1"/>
  <c r="FC623" i="15" s="1"/>
  <c r="EY627" i="15"/>
  <c r="EZ627" i="15" s="1"/>
  <c r="FC627" i="15" s="1"/>
  <c r="EY631" i="15"/>
  <c r="EZ631" i="15" s="1"/>
  <c r="FC631" i="15" s="1"/>
  <c r="EY635" i="15"/>
  <c r="EZ635" i="15" s="1"/>
  <c r="FC635" i="15" s="1"/>
  <c r="EY639" i="15"/>
  <c r="EZ639" i="15" s="1"/>
  <c r="FC639" i="15" s="1"/>
  <c r="EY642" i="15"/>
  <c r="EZ642" i="15" s="1"/>
  <c r="FC642" i="15" s="1"/>
  <c r="EY646" i="15"/>
  <c r="EZ646" i="15" s="1"/>
  <c r="FC646" i="15" s="1"/>
  <c r="EY650" i="15"/>
  <c r="EZ650" i="15" s="1"/>
  <c r="FC650" i="15" s="1"/>
  <c r="EY654" i="15"/>
  <c r="EZ654" i="15" s="1"/>
  <c r="FC654" i="15" s="1"/>
  <c r="EY658" i="15"/>
  <c r="EZ658" i="15" s="1"/>
  <c r="FC658" i="15" s="1"/>
  <c r="EY662" i="15"/>
  <c r="EZ662" i="15" s="1"/>
  <c r="FC662" i="15" s="1"/>
  <c r="EY666" i="15"/>
  <c r="EZ666" i="15" s="1"/>
  <c r="FC666" i="15" s="1"/>
  <c r="EY669" i="15"/>
  <c r="EZ669" i="15" s="1"/>
  <c r="FC669" i="15" s="1"/>
  <c r="EY673" i="15"/>
  <c r="EZ673" i="15" s="1"/>
  <c r="FC673" i="15" s="1"/>
  <c r="EY677" i="15"/>
  <c r="EZ677" i="15" s="1"/>
  <c r="FC677" i="15" s="1"/>
  <c r="EY681" i="15"/>
  <c r="EZ681" i="15" s="1"/>
  <c r="FC681" i="15" s="1"/>
  <c r="EY685" i="15"/>
  <c r="EZ685" i="15" s="1"/>
  <c r="FC685" i="15" s="1"/>
  <c r="EY692" i="15"/>
  <c r="EZ692" i="15" s="1"/>
  <c r="FC692" i="15" s="1"/>
  <c r="EY696" i="15"/>
  <c r="EZ696" i="15" s="1"/>
  <c r="FC696" i="15" s="1"/>
  <c r="EY700" i="15"/>
  <c r="EZ700" i="15" s="1"/>
  <c r="FC700" i="15" s="1"/>
  <c r="EY704" i="15"/>
  <c r="EZ704" i="15" s="1"/>
  <c r="FC704" i="15" s="1"/>
  <c r="EY708" i="15"/>
  <c r="EZ708" i="15" s="1"/>
  <c r="FC708" i="15" s="1"/>
  <c r="EY715" i="15"/>
  <c r="EZ715" i="15" s="1"/>
  <c r="FC715" i="15" s="1"/>
  <c r="EY719" i="15"/>
  <c r="EZ719" i="15" s="1"/>
  <c r="FC719" i="15" s="1"/>
  <c r="EY723" i="15"/>
  <c r="EZ723" i="15" s="1"/>
  <c r="FC723" i="15" s="1"/>
  <c r="EY727" i="15"/>
  <c r="EZ727" i="15" s="1"/>
  <c r="FC727" i="15" s="1"/>
  <c r="EY734" i="15"/>
  <c r="EZ734" i="15" s="1"/>
  <c r="FC734" i="15" s="1"/>
  <c r="EY738" i="15"/>
  <c r="EZ738" i="15" s="1"/>
  <c r="FC738" i="15" s="1"/>
  <c r="EY742" i="15"/>
  <c r="EZ742" i="15" s="1"/>
  <c r="FC742" i="15" s="1"/>
  <c r="EY746" i="15"/>
  <c r="EZ746" i="15" s="1"/>
  <c r="FC746" i="15" s="1"/>
  <c r="EY750" i="15"/>
  <c r="EZ750" i="15" s="1"/>
  <c r="FC750" i="15" s="1"/>
  <c r="EY754" i="15"/>
  <c r="EZ754" i="15" s="1"/>
  <c r="FC754" i="15" s="1"/>
  <c r="EY757" i="15"/>
  <c r="EZ757" i="15" s="1"/>
  <c r="FC757" i="15" s="1"/>
  <c r="EY759" i="15"/>
  <c r="EZ759" i="15" s="1"/>
  <c r="FC759" i="15" s="1"/>
  <c r="EY763" i="15"/>
  <c r="EZ763" i="15" s="1"/>
  <c r="FC763" i="15" s="1"/>
  <c r="EY767" i="15"/>
  <c r="EZ767" i="15" s="1"/>
  <c r="FC767" i="15" s="1"/>
  <c r="EY771" i="15"/>
  <c r="EZ771" i="15" s="1"/>
  <c r="FC771" i="15" s="1"/>
  <c r="EY780" i="15"/>
  <c r="EZ780" i="15" s="1"/>
  <c r="FC780" i="15" s="1"/>
  <c r="EY784" i="15"/>
  <c r="EZ784" i="15" s="1"/>
  <c r="FC784" i="15" s="1"/>
  <c r="EY788" i="15"/>
  <c r="EZ788" i="15" s="1"/>
  <c r="FC788" i="15" s="1"/>
  <c r="EY792" i="15"/>
  <c r="EZ792" i="15" s="1"/>
  <c r="FC792" i="15" s="1"/>
  <c r="EY796" i="15"/>
  <c r="EZ796" i="15" s="1"/>
  <c r="FC796" i="15" s="1"/>
  <c r="EY799" i="15"/>
  <c r="EZ799" i="15" s="1"/>
  <c r="FC799" i="15" s="1"/>
  <c r="EY803" i="15"/>
  <c r="EZ803" i="15" s="1"/>
  <c r="FC803" i="15" s="1"/>
  <c r="EY807" i="15"/>
  <c r="EZ807" i="15" s="1"/>
  <c r="FC807" i="15" s="1"/>
  <c r="EY811" i="15"/>
  <c r="EZ811" i="15" s="1"/>
  <c r="FC811" i="15" s="1"/>
  <c r="EY815" i="15"/>
  <c r="EZ815" i="15" s="1"/>
  <c r="FC815" i="15" s="1"/>
  <c r="EY819" i="15"/>
  <c r="EZ819" i="15" s="1"/>
  <c r="FC819" i="15" s="1"/>
  <c r="EY823" i="15"/>
  <c r="EZ823" i="15" s="1"/>
  <c r="FC823" i="15" s="1"/>
  <c r="EY830" i="15"/>
  <c r="EZ830" i="15" s="1"/>
  <c r="FC830" i="15" s="1"/>
  <c r="EY834" i="15"/>
  <c r="EZ834" i="15" s="1"/>
  <c r="FC834" i="15" s="1"/>
  <c r="EY838" i="15"/>
  <c r="EZ838" i="15" s="1"/>
  <c r="FC838" i="15" s="1"/>
  <c r="EY842" i="15"/>
  <c r="EZ842" i="15" s="1"/>
  <c r="FC842" i="15" s="1"/>
  <c r="EY846" i="15"/>
  <c r="EZ846" i="15" s="1"/>
  <c r="FC846" i="15" s="1"/>
  <c r="EY850" i="15"/>
  <c r="EZ850" i="15" s="1"/>
  <c r="FC850" i="15" s="1"/>
  <c r="EY854" i="15"/>
  <c r="EZ854" i="15" s="1"/>
  <c r="FC854" i="15" s="1"/>
  <c r="EY858" i="15"/>
  <c r="EZ858" i="15" s="1"/>
  <c r="FC858" i="15" s="1"/>
  <c r="EY8" i="15"/>
  <c r="EZ8" i="15" s="1"/>
  <c r="FC8" i="15" s="1"/>
  <c r="EY11" i="15"/>
  <c r="EZ11" i="15" s="1"/>
  <c r="FC11" i="15" s="1"/>
  <c r="EY15" i="15"/>
  <c r="EZ15" i="15" s="1"/>
  <c r="FC15" i="15" s="1"/>
  <c r="EY19" i="15"/>
  <c r="EZ19" i="15" s="1"/>
  <c r="FC19" i="15" s="1"/>
  <c r="EY23" i="15"/>
  <c r="EZ23" i="15" s="1"/>
  <c r="FC23" i="15" s="1"/>
  <c r="EY27" i="15"/>
  <c r="EZ27" i="15" s="1"/>
  <c r="FC27" i="15" s="1"/>
  <c r="EY31" i="15"/>
  <c r="EZ31" i="15" s="1"/>
  <c r="FC31" i="15" s="1"/>
  <c r="EY38" i="15"/>
  <c r="EZ38" i="15" s="1"/>
  <c r="FC38" i="15" s="1"/>
  <c r="EY42" i="15"/>
  <c r="EZ42" i="15" s="1"/>
  <c r="FC42" i="15" s="1"/>
  <c r="EY45" i="15"/>
  <c r="EZ45" i="15" s="1"/>
  <c r="FC45" i="15" s="1"/>
  <c r="EY49" i="15"/>
  <c r="EZ49" i="15" s="1"/>
  <c r="FC49" i="15" s="1"/>
  <c r="EY53" i="15"/>
  <c r="EZ53" i="15" s="1"/>
  <c r="FC53" i="15" s="1"/>
  <c r="EY57" i="15"/>
  <c r="EZ57" i="15" s="1"/>
  <c r="FC57" i="15" s="1"/>
  <c r="EY61" i="15"/>
  <c r="EZ61" i="15" s="1"/>
  <c r="FC61" i="15" s="1"/>
  <c r="EY65" i="15"/>
  <c r="EZ65" i="15" s="1"/>
  <c r="FC65" i="15" s="1"/>
  <c r="EY68" i="15"/>
  <c r="EZ68" i="15" s="1"/>
  <c r="FC68" i="15" s="1"/>
  <c r="EY72" i="15"/>
  <c r="EZ72" i="15" s="1"/>
  <c r="FC72" i="15" s="1"/>
  <c r="EY76" i="15"/>
  <c r="EZ76" i="15" s="1"/>
  <c r="FC76" i="15" s="1"/>
  <c r="EY80" i="15"/>
  <c r="EZ80" i="15" s="1"/>
  <c r="FC80" i="15" s="1"/>
  <c r="EY87" i="15"/>
  <c r="EZ87" i="15" s="1"/>
  <c r="FC87" i="15" s="1"/>
  <c r="EY91" i="15"/>
  <c r="EZ91" i="15" s="1"/>
  <c r="FC91" i="15" s="1"/>
  <c r="EY95" i="15"/>
  <c r="EZ95" i="15" s="1"/>
  <c r="FC95" i="15" s="1"/>
  <c r="EY102" i="15"/>
  <c r="EZ102" i="15" s="1"/>
  <c r="FC102" i="15" s="1"/>
  <c r="EY106" i="15"/>
  <c r="EZ106" i="15" s="1"/>
  <c r="FC106" i="15" s="1"/>
  <c r="EY110" i="15"/>
  <c r="EZ110" i="15" s="1"/>
  <c r="FC110" i="15" s="1"/>
  <c r="EY114" i="15"/>
  <c r="EZ114" i="15" s="1"/>
  <c r="FC114" i="15" s="1"/>
  <c r="EY118" i="15"/>
  <c r="EZ118" i="15" s="1"/>
  <c r="FC118" i="15" s="1"/>
  <c r="EY122" i="15"/>
  <c r="EZ122" i="15" s="1"/>
  <c r="FC122" i="15" s="1"/>
  <c r="EY129" i="15"/>
  <c r="EZ129" i="15" s="1"/>
  <c r="FC129" i="15" s="1"/>
  <c r="EY133" i="15"/>
  <c r="EZ133" i="15" s="1"/>
  <c r="FC133" i="15" s="1"/>
  <c r="EY137" i="15"/>
  <c r="EZ137" i="15" s="1"/>
  <c r="FC137" i="15" s="1"/>
  <c r="EY141" i="15"/>
  <c r="EZ141" i="15" s="1"/>
  <c r="FC141" i="15" s="1"/>
  <c r="EY145" i="15"/>
  <c r="EZ145" i="15" s="1"/>
  <c r="FC145" i="15" s="1"/>
  <c r="EY148" i="15"/>
  <c r="EZ148" i="15" s="1"/>
  <c r="FC148" i="15" s="1"/>
  <c r="EY152" i="15"/>
  <c r="EZ152" i="15" s="1"/>
  <c r="FC152" i="15" s="1"/>
  <c r="EY156" i="15"/>
  <c r="EZ156" i="15" s="1"/>
  <c r="FC156" i="15" s="1"/>
  <c r="EY160" i="15"/>
  <c r="EZ160" i="15" s="1"/>
  <c r="FC160" i="15" s="1"/>
  <c r="EY164" i="15"/>
  <c r="EZ164" i="15" s="1"/>
  <c r="FC164" i="15" s="1"/>
  <c r="EY168" i="15"/>
  <c r="EZ168" i="15" s="1"/>
  <c r="FC168" i="15" s="1"/>
  <c r="EY171" i="15"/>
  <c r="EZ171" i="15" s="1"/>
  <c r="FC171" i="15" s="1"/>
  <c r="EY175" i="15"/>
  <c r="EZ175" i="15" s="1"/>
  <c r="FC175" i="15" s="1"/>
  <c r="EY179" i="15"/>
  <c r="EZ179" i="15" s="1"/>
  <c r="FC179" i="15" s="1"/>
  <c r="EY183" i="15"/>
  <c r="EZ183" i="15" s="1"/>
  <c r="FC183" i="15" s="1"/>
  <c r="EY187" i="15"/>
  <c r="EZ187" i="15" s="1"/>
  <c r="FC187" i="15" s="1"/>
  <c r="EY194" i="15"/>
  <c r="EZ194" i="15" s="1"/>
  <c r="FC194" i="15" s="1"/>
  <c r="EY198" i="15"/>
  <c r="EZ198" i="15" s="1"/>
  <c r="FC198" i="15" s="1"/>
  <c r="EY202" i="15"/>
  <c r="EZ202" i="15" s="1"/>
  <c r="FC202" i="15" s="1"/>
  <c r="EY206" i="15"/>
  <c r="EZ206" i="15" s="1"/>
  <c r="FC206" i="15" s="1"/>
  <c r="EY210" i="15"/>
  <c r="EZ210" i="15" s="1"/>
  <c r="FC210" i="15" s="1"/>
  <c r="EY214" i="15"/>
  <c r="EZ214" i="15" s="1"/>
  <c r="FC214" i="15" s="1"/>
  <c r="EY218" i="15"/>
  <c r="EZ218" i="15" s="1"/>
  <c r="FC218" i="15" s="1"/>
  <c r="EY221" i="15"/>
  <c r="EZ221" i="15" s="1"/>
  <c r="FC221" i="15" s="1"/>
  <c r="EY225" i="15"/>
  <c r="EZ225" i="15" s="1"/>
  <c r="FC225" i="15" s="1"/>
  <c r="EY229" i="15"/>
  <c r="EZ229" i="15" s="1"/>
  <c r="FC229" i="15" s="1"/>
  <c r="EY236" i="15"/>
  <c r="EZ236" i="15" s="1"/>
  <c r="FC236" i="15" s="1"/>
  <c r="EY240" i="15"/>
  <c r="EZ240" i="15" s="1"/>
  <c r="FC240" i="15" s="1"/>
  <c r="EY244" i="15"/>
  <c r="EZ244" i="15" s="1"/>
  <c r="FC244" i="15" s="1"/>
  <c r="EY248" i="15"/>
  <c r="EZ248" i="15" s="1"/>
  <c r="FC248" i="15" s="1"/>
  <c r="EY255" i="15"/>
  <c r="EZ255" i="15" s="1"/>
  <c r="FC255" i="15" s="1"/>
  <c r="EY259" i="15"/>
  <c r="EZ259" i="15" s="1"/>
  <c r="FC259" i="15" s="1"/>
  <c r="EY263" i="15"/>
  <c r="EZ263" i="15" s="1"/>
  <c r="FC263" i="15" s="1"/>
  <c r="EY267" i="15"/>
  <c r="EZ267" i="15" s="1"/>
  <c r="FC267" i="15" s="1"/>
  <c r="EY271" i="15"/>
  <c r="EZ271" i="15" s="1"/>
  <c r="FC271" i="15" s="1"/>
  <c r="EY275" i="15"/>
  <c r="EZ275" i="15" s="1"/>
  <c r="FC275" i="15" s="1"/>
  <c r="EY278" i="15"/>
  <c r="EZ278" i="15" s="1"/>
  <c r="FC278" i="15" s="1"/>
  <c r="EY282" i="15"/>
  <c r="EZ282" i="15" s="1"/>
  <c r="FC282" i="15" s="1"/>
  <c r="EY286" i="15"/>
  <c r="EZ286" i="15" s="1"/>
  <c r="FC286" i="15" s="1"/>
  <c r="EY290" i="15"/>
  <c r="EZ290" i="15" s="1"/>
  <c r="FC290" i="15" s="1"/>
  <c r="EY294" i="15"/>
  <c r="EZ294" i="15" s="1"/>
  <c r="FC294" i="15" s="1"/>
  <c r="EY298" i="15"/>
  <c r="EZ298" i="15" s="1"/>
  <c r="FC298" i="15" s="1"/>
  <c r="EY301" i="15"/>
  <c r="EZ301" i="15" s="1"/>
  <c r="FC301" i="15" s="1"/>
  <c r="EY305" i="15"/>
  <c r="EZ305" i="15" s="1"/>
  <c r="FC305" i="15" s="1"/>
  <c r="EY309" i="15"/>
  <c r="EZ309" i="15" s="1"/>
  <c r="FC309" i="15" s="1"/>
  <c r="EY313" i="15"/>
  <c r="EZ313" i="15" s="1"/>
  <c r="FC313" i="15" s="1"/>
  <c r="EY317" i="15"/>
  <c r="EZ317" i="15" s="1"/>
  <c r="FC317" i="15" s="1"/>
  <c r="EY321" i="15"/>
  <c r="EZ321" i="15" s="1"/>
  <c r="FC321" i="15" s="1"/>
  <c r="EY325" i="15"/>
  <c r="EZ325" i="15" s="1"/>
  <c r="FC325" i="15" s="1"/>
  <c r="EY328" i="15"/>
  <c r="EZ328" i="15" s="1"/>
  <c r="FC328" i="15" s="1"/>
  <c r="EY332" i="15"/>
  <c r="EZ332" i="15" s="1"/>
  <c r="FC332" i="15" s="1"/>
  <c r="EY336" i="15"/>
  <c r="EZ336" i="15" s="1"/>
  <c r="FC336" i="15" s="1"/>
  <c r="EY340" i="15"/>
  <c r="EZ340" i="15" s="1"/>
  <c r="FC340" i="15" s="1"/>
  <c r="EY344" i="15"/>
  <c r="EZ344" i="15" s="1"/>
  <c r="FC344" i="15" s="1"/>
  <c r="EY348" i="15"/>
  <c r="EZ348" i="15" s="1"/>
  <c r="FC348" i="15" s="1"/>
  <c r="EY352" i="15"/>
  <c r="EZ352" i="15" s="1"/>
  <c r="FC352" i="15" s="1"/>
  <c r="EY356" i="15"/>
  <c r="EZ356" i="15" s="1"/>
  <c r="FC356" i="15" s="1"/>
  <c r="EY360" i="15"/>
  <c r="EZ360" i="15" s="1"/>
  <c r="FC360" i="15" s="1"/>
  <c r="EY364" i="15"/>
  <c r="EZ364" i="15" s="1"/>
  <c r="FC364" i="15" s="1"/>
  <c r="EY368" i="15"/>
  <c r="EZ368" i="15" s="1"/>
  <c r="FC368" i="15" s="1"/>
  <c r="EY375" i="15"/>
  <c r="EZ375" i="15" s="1"/>
  <c r="FC375" i="15" s="1"/>
  <c r="EY379" i="15"/>
  <c r="EZ379" i="15" s="1"/>
  <c r="FC379" i="15" s="1"/>
  <c r="EY383" i="15"/>
  <c r="EZ383" i="15" s="1"/>
  <c r="FC383" i="15" s="1"/>
  <c r="EY387" i="15"/>
  <c r="EZ387" i="15" s="1"/>
  <c r="FC387" i="15" s="1"/>
  <c r="EY391" i="15"/>
  <c r="EZ391" i="15" s="1"/>
  <c r="FC391" i="15" s="1"/>
  <c r="EY395" i="15"/>
  <c r="EZ395" i="15" s="1"/>
  <c r="FC395" i="15" s="1"/>
  <c r="EY399" i="15"/>
  <c r="EZ399" i="15" s="1"/>
  <c r="FC399" i="15" s="1"/>
  <c r="EY403" i="15"/>
  <c r="EZ403" i="15" s="1"/>
  <c r="FC403" i="15" s="1"/>
  <c r="EY407" i="15"/>
  <c r="EZ407" i="15" s="1"/>
  <c r="FC407" i="15" s="1"/>
  <c r="EY410" i="15"/>
  <c r="EZ410" i="15" s="1"/>
  <c r="FC410" i="15" s="1"/>
  <c r="EY414" i="15"/>
  <c r="EZ414" i="15" s="1"/>
  <c r="FC414" i="15" s="1"/>
  <c r="EY418" i="15"/>
  <c r="EZ418" i="15" s="1"/>
  <c r="FC418" i="15" s="1"/>
  <c r="EY422" i="15"/>
  <c r="EZ422" i="15" s="1"/>
  <c r="FC422" i="15" s="1"/>
  <c r="EY426" i="15"/>
  <c r="EZ426" i="15" s="1"/>
  <c r="FC426" i="15" s="1"/>
  <c r="EY430" i="15"/>
  <c r="EZ430" i="15" s="1"/>
  <c r="FC430" i="15" s="1"/>
  <c r="EY433" i="15"/>
  <c r="EZ433" i="15" s="1"/>
  <c r="FC433" i="15" s="1"/>
  <c r="EY437" i="15"/>
  <c r="EZ437" i="15" s="1"/>
  <c r="FC437" i="15" s="1"/>
  <c r="EY441" i="15"/>
  <c r="EZ441" i="15" s="1"/>
  <c r="FC441" i="15" s="1"/>
  <c r="EY445" i="15"/>
  <c r="EZ445" i="15" s="1"/>
  <c r="FC445" i="15" s="1"/>
  <c r="EY449" i="15"/>
  <c r="EZ449" i="15" s="1"/>
  <c r="FC449" i="15" s="1"/>
  <c r="EY453" i="15"/>
  <c r="EZ453" i="15" s="1"/>
  <c r="FC453" i="15" s="1"/>
  <c r="EY456" i="15"/>
  <c r="EZ456" i="15" s="1"/>
  <c r="FC456" i="15" s="1"/>
  <c r="EY460" i="15"/>
  <c r="EZ460" i="15" s="1"/>
  <c r="FC460" i="15" s="1"/>
  <c r="EY464" i="15"/>
  <c r="EZ464" i="15" s="1"/>
  <c r="FC464" i="15" s="1"/>
  <c r="EY468" i="15"/>
  <c r="EZ468" i="15" s="1"/>
  <c r="FC468" i="15" s="1"/>
  <c r="EY472" i="15"/>
  <c r="EZ472" i="15" s="1"/>
  <c r="FC472" i="15" s="1"/>
  <c r="EY475" i="15"/>
  <c r="EZ475" i="15" s="1"/>
  <c r="FC475" i="15" s="1"/>
  <c r="EY479" i="15"/>
  <c r="EZ479" i="15" s="1"/>
  <c r="FC479" i="15" s="1"/>
  <c r="EY483" i="15"/>
  <c r="EZ483" i="15" s="1"/>
  <c r="FC483" i="15" s="1"/>
  <c r="EY487" i="15"/>
  <c r="EZ487" i="15" s="1"/>
  <c r="FC487" i="15" s="1"/>
  <c r="EY491" i="15"/>
  <c r="EZ491" i="15" s="1"/>
  <c r="FC491" i="15" s="1"/>
  <c r="EY494" i="15"/>
  <c r="EZ494" i="15" s="1"/>
  <c r="FC494" i="15" s="1"/>
  <c r="EY498" i="15"/>
  <c r="EZ498" i="15" s="1"/>
  <c r="FC498" i="15" s="1"/>
  <c r="EY502" i="15"/>
  <c r="EZ502" i="15" s="1"/>
  <c r="FC502" i="15" s="1"/>
  <c r="EY506" i="15"/>
  <c r="EZ506" i="15" s="1"/>
  <c r="FC506" i="15" s="1"/>
  <c r="EY510" i="15"/>
  <c r="EZ510" i="15" s="1"/>
  <c r="FC510" i="15" s="1"/>
  <c r="EY514" i="15"/>
  <c r="EZ514" i="15" s="1"/>
  <c r="FC514" i="15" s="1"/>
  <c r="EY517" i="15"/>
  <c r="EZ517" i="15" s="1"/>
  <c r="FC517" i="15" s="1"/>
  <c r="EY521" i="15"/>
  <c r="EZ521" i="15" s="1"/>
  <c r="FC521" i="15" s="1"/>
  <c r="EY525" i="15"/>
  <c r="EZ525" i="15" s="1"/>
  <c r="FC525" i="15" s="1"/>
  <c r="EY529" i="15"/>
  <c r="EZ529" i="15" s="1"/>
  <c r="FC529" i="15" s="1"/>
  <c r="EY532" i="15"/>
  <c r="EZ532" i="15" s="1"/>
  <c r="FC532" i="15" s="1"/>
  <c r="EY536" i="15"/>
  <c r="EZ536" i="15" s="1"/>
  <c r="FC536" i="15" s="1"/>
  <c r="EY540" i="15"/>
  <c r="EZ540" i="15" s="1"/>
  <c r="FC540" i="15" s="1"/>
  <c r="EY544" i="15"/>
  <c r="EZ544" i="15" s="1"/>
  <c r="FC544" i="15" s="1"/>
  <c r="EY548" i="15"/>
  <c r="EZ548" i="15" s="1"/>
  <c r="FC548" i="15" s="1"/>
  <c r="EY551" i="15"/>
  <c r="EZ551" i="15" s="1"/>
  <c r="FC551" i="15" s="1"/>
  <c r="EY555" i="15"/>
  <c r="EZ555" i="15" s="1"/>
  <c r="FC555" i="15" s="1"/>
  <c r="EY559" i="15"/>
  <c r="EZ559" i="15" s="1"/>
  <c r="FC559" i="15" s="1"/>
  <c r="EY563" i="15"/>
  <c r="EZ563" i="15" s="1"/>
  <c r="FC563" i="15" s="1"/>
  <c r="EY567" i="15"/>
  <c r="EZ567" i="15" s="1"/>
  <c r="FC567" i="15" s="1"/>
  <c r="EY571" i="15"/>
  <c r="EZ571" i="15" s="1"/>
  <c r="FC571" i="15" s="1"/>
  <c r="EY575" i="15"/>
  <c r="EZ575" i="15" s="1"/>
  <c r="FC575" i="15" s="1"/>
  <c r="EY582" i="15"/>
  <c r="EZ582" i="15" s="1"/>
  <c r="FC582" i="15" s="1"/>
  <c r="EY586" i="15"/>
  <c r="EZ586" i="15" s="1"/>
  <c r="FC586" i="15" s="1"/>
  <c r="EY590" i="15"/>
  <c r="EZ590" i="15" s="1"/>
  <c r="FC590" i="15" s="1"/>
  <c r="EY594" i="15"/>
  <c r="EZ594" i="15" s="1"/>
  <c r="FC594" i="15" s="1"/>
  <c r="EY598" i="15"/>
  <c r="EZ598" i="15" s="1"/>
  <c r="FC598" i="15" s="1"/>
  <c r="EY602" i="15"/>
  <c r="EZ602" i="15" s="1"/>
  <c r="FC602" i="15" s="1"/>
  <c r="EY606" i="15"/>
  <c r="EZ606" i="15" s="1"/>
  <c r="FC606" i="15" s="1"/>
  <c r="EY610" i="15"/>
  <c r="EZ610" i="15" s="1"/>
  <c r="FC610" i="15" s="1"/>
  <c r="EY613" i="15"/>
  <c r="EZ613" i="15" s="1"/>
  <c r="FC613" i="15" s="1"/>
  <c r="EY617" i="15"/>
  <c r="EZ617" i="15" s="1"/>
  <c r="FC617" i="15" s="1"/>
  <c r="EY621" i="15"/>
  <c r="EZ621" i="15" s="1"/>
  <c r="FC621" i="15" s="1"/>
  <c r="EY624" i="15"/>
  <c r="EZ624" i="15" s="1"/>
  <c r="FC624" i="15" s="1"/>
  <c r="EY628" i="15"/>
  <c r="EZ628" i="15" s="1"/>
  <c r="FC628" i="15" s="1"/>
  <c r="EY632" i="15"/>
  <c r="EZ632" i="15" s="1"/>
  <c r="FC632" i="15" s="1"/>
  <c r="EY636" i="15"/>
  <c r="EZ636" i="15" s="1"/>
  <c r="FC636" i="15" s="1"/>
  <c r="EY643" i="15"/>
  <c r="EZ643" i="15" s="1"/>
  <c r="FC643" i="15" s="1"/>
  <c r="EY647" i="15"/>
  <c r="EZ647" i="15" s="1"/>
  <c r="FC647" i="15" s="1"/>
  <c r="EY651" i="15"/>
  <c r="EZ651" i="15" s="1"/>
  <c r="FC651" i="15" s="1"/>
  <c r="EY655" i="15"/>
  <c r="EZ655" i="15" s="1"/>
  <c r="FC655" i="15" s="1"/>
  <c r="EY659" i="15"/>
  <c r="EZ659" i="15" s="1"/>
  <c r="FC659" i="15" s="1"/>
  <c r="EY663" i="15"/>
  <c r="EZ663" i="15" s="1"/>
  <c r="FC663" i="15" s="1"/>
  <c r="EY667" i="15"/>
  <c r="EZ667" i="15" s="1"/>
  <c r="FC667" i="15" s="1"/>
  <c r="EY670" i="15"/>
  <c r="EZ670" i="15" s="1"/>
  <c r="FC670" i="15" s="1"/>
  <c r="EY674" i="15"/>
  <c r="EZ674" i="15" s="1"/>
  <c r="FC674" i="15" s="1"/>
  <c r="EY678" i="15"/>
  <c r="EZ678" i="15" s="1"/>
  <c r="FC678" i="15" s="1"/>
  <c r="EY682" i="15"/>
  <c r="EZ682" i="15" s="1"/>
  <c r="FC682" i="15" s="1"/>
  <c r="EY686" i="15"/>
  <c r="EZ686" i="15" s="1"/>
  <c r="FC686" i="15" s="1"/>
  <c r="EY689" i="15"/>
  <c r="EZ689" i="15" s="1"/>
  <c r="FC689" i="15" s="1"/>
  <c r="EY693" i="15"/>
  <c r="EZ693" i="15" s="1"/>
  <c r="FC693" i="15" s="1"/>
  <c r="EY697" i="15"/>
  <c r="EZ697" i="15" s="1"/>
  <c r="FC697" i="15" s="1"/>
  <c r="EY701" i="15"/>
  <c r="EZ701" i="15" s="1"/>
  <c r="FC701" i="15" s="1"/>
  <c r="EY705" i="15"/>
  <c r="EZ705" i="15" s="1"/>
  <c r="FC705" i="15" s="1"/>
  <c r="EY709" i="15"/>
  <c r="EZ709" i="15" s="1"/>
  <c r="FC709" i="15" s="1"/>
  <c r="EY713" i="15"/>
  <c r="EZ713" i="15" s="1"/>
  <c r="FC713" i="15" s="1"/>
  <c r="EY716" i="15"/>
  <c r="EZ716" i="15" s="1"/>
  <c r="FC716" i="15" s="1"/>
  <c r="EY720" i="15"/>
  <c r="EZ720" i="15" s="1"/>
  <c r="FC720" i="15" s="1"/>
  <c r="EY724" i="15"/>
  <c r="EZ724" i="15" s="1"/>
  <c r="FC724" i="15" s="1"/>
  <c r="EY728" i="15"/>
  <c r="EZ728" i="15" s="1"/>
  <c r="FC728" i="15" s="1"/>
  <c r="EY732" i="15"/>
  <c r="EZ732" i="15" s="1"/>
  <c r="FC732" i="15" s="1"/>
  <c r="EY735" i="15"/>
  <c r="EZ735" i="15" s="1"/>
  <c r="FC735" i="15" s="1"/>
  <c r="EY739" i="15"/>
  <c r="EZ739" i="15" s="1"/>
  <c r="FC739" i="15" s="1"/>
  <c r="EY743" i="15"/>
  <c r="EZ743" i="15" s="1"/>
  <c r="FC743" i="15" s="1"/>
  <c r="EY747" i="15"/>
  <c r="EZ747" i="15" s="1"/>
  <c r="FC747" i="15" s="1"/>
  <c r="EY751" i="15"/>
  <c r="EZ751" i="15" s="1"/>
  <c r="FC751" i="15" s="1"/>
  <c r="EY773" i="15"/>
  <c r="EZ773" i="15" s="1"/>
  <c r="FC773" i="15" s="1"/>
  <c r="EY760" i="15"/>
  <c r="EZ760" i="15" s="1"/>
  <c r="FC760" i="15" s="1"/>
  <c r="EY764" i="15"/>
  <c r="EZ764" i="15" s="1"/>
  <c r="FC764" i="15" s="1"/>
  <c r="EY768" i="15"/>
  <c r="EZ768" i="15" s="1"/>
  <c r="FC768" i="15" s="1"/>
  <c r="EY772" i="15"/>
  <c r="EZ772" i="15" s="1"/>
  <c r="FC772" i="15" s="1"/>
  <c r="EY777" i="15"/>
  <c r="EZ777" i="15" s="1"/>
  <c r="FC777" i="15" s="1"/>
  <c r="EY781" i="15"/>
  <c r="EZ781" i="15" s="1"/>
  <c r="FC781" i="15" s="1"/>
  <c r="EY785" i="15"/>
  <c r="EZ785" i="15" s="1"/>
  <c r="FC785" i="15" s="1"/>
  <c r="EY789" i="15"/>
  <c r="EZ789" i="15" s="1"/>
  <c r="FC789" i="15" s="1"/>
  <c r="EY793" i="15"/>
  <c r="EZ793" i="15" s="1"/>
  <c r="FC793" i="15" s="1"/>
  <c r="EY800" i="15"/>
  <c r="EZ800" i="15" s="1"/>
  <c r="FC800" i="15" s="1"/>
  <c r="EY804" i="15"/>
  <c r="EZ804" i="15" s="1"/>
  <c r="FC804" i="15" s="1"/>
  <c r="EY808" i="15"/>
  <c r="EZ808" i="15" s="1"/>
  <c r="FC808" i="15" s="1"/>
  <c r="EY812" i="15"/>
  <c r="EZ812" i="15" s="1"/>
  <c r="FC812" i="15" s="1"/>
  <c r="EY816" i="15"/>
  <c r="EZ816" i="15" s="1"/>
  <c r="FC816" i="15" s="1"/>
  <c r="EY820" i="15"/>
  <c r="EZ820" i="15" s="1"/>
  <c r="FC820" i="15" s="1"/>
  <c r="EY824" i="15"/>
  <c r="EZ824" i="15" s="1"/>
  <c r="FC824" i="15" s="1"/>
  <c r="EY828" i="15"/>
  <c r="EZ828" i="15" s="1"/>
  <c r="FC828" i="15" s="1"/>
  <c r="EY831" i="15"/>
  <c r="EZ831" i="15" s="1"/>
  <c r="FC831" i="15" s="1"/>
  <c r="EY835" i="15"/>
  <c r="EZ835" i="15" s="1"/>
  <c r="FC835" i="15" s="1"/>
  <c r="EY839" i="15"/>
  <c r="EZ839" i="15" s="1"/>
  <c r="FC839" i="15" s="1"/>
  <c r="EY843" i="15"/>
  <c r="EZ843" i="15" s="1"/>
  <c r="FC843" i="15" s="1"/>
  <c r="EY847" i="15"/>
  <c r="EZ847" i="15" s="1"/>
  <c r="FC847" i="15" s="1"/>
  <c r="EY851" i="15"/>
  <c r="EZ851" i="15" s="1"/>
  <c r="FC851" i="15" s="1"/>
  <c r="EY855" i="15"/>
  <c r="EZ855" i="15" s="1"/>
  <c r="FC855" i="15" s="1"/>
  <c r="EY859" i="15"/>
  <c r="EZ859" i="15" s="1"/>
  <c r="FC859" i="15" s="1"/>
  <c r="EY20" i="15"/>
  <c r="EZ20" i="15" s="1"/>
  <c r="FC20" i="15" s="1"/>
  <c r="EY35" i="15"/>
  <c r="EZ35" i="15" s="1"/>
  <c r="FC35" i="15" s="1"/>
  <c r="EY50" i="15"/>
  <c r="EZ50" i="15" s="1"/>
  <c r="FC50" i="15" s="1"/>
  <c r="EY81" i="15"/>
  <c r="EZ81" i="15" s="1"/>
  <c r="FC81" i="15" s="1"/>
  <c r="EY96" i="15"/>
  <c r="EZ96" i="15" s="1"/>
  <c r="FC96" i="15" s="1"/>
  <c r="EY111" i="15"/>
  <c r="EZ111" i="15" s="1"/>
  <c r="FC111" i="15" s="1"/>
  <c r="EY126" i="15"/>
  <c r="EZ126" i="15" s="1"/>
  <c r="FC126" i="15" s="1"/>
  <c r="EY142" i="15"/>
  <c r="EZ142" i="15" s="1"/>
  <c r="FC142" i="15" s="1"/>
  <c r="EY157" i="15"/>
  <c r="EZ157" i="15" s="1"/>
  <c r="FC157" i="15" s="1"/>
  <c r="EY172" i="15"/>
  <c r="EZ172" i="15" s="1"/>
  <c r="FC172" i="15" s="1"/>
  <c r="EY188" i="15"/>
  <c r="EZ188" i="15" s="1"/>
  <c r="FC188" i="15" s="1"/>
  <c r="EY203" i="15"/>
  <c r="EZ203" i="15" s="1"/>
  <c r="FC203" i="15" s="1"/>
  <c r="EY219" i="15"/>
  <c r="EZ219" i="15" s="1"/>
  <c r="FC219" i="15" s="1"/>
  <c r="EY233" i="15"/>
  <c r="EZ233" i="15" s="1"/>
  <c r="FC233" i="15" s="1"/>
  <c r="EY249" i="15"/>
  <c r="EZ249" i="15" s="1"/>
  <c r="FC249" i="15" s="1"/>
  <c r="EY264" i="15"/>
  <c r="EZ264" i="15" s="1"/>
  <c r="FC264" i="15" s="1"/>
  <c r="EY279" i="15"/>
  <c r="EZ279" i="15" s="1"/>
  <c r="FC279" i="15" s="1"/>
  <c r="EY295" i="15"/>
  <c r="EZ295" i="15" s="1"/>
  <c r="FC295" i="15" s="1"/>
  <c r="EY310" i="15"/>
  <c r="EZ310" i="15" s="1"/>
  <c r="FC310" i="15" s="1"/>
  <c r="EY341" i="15"/>
  <c r="EZ341" i="15" s="1"/>
  <c r="FC341" i="15" s="1"/>
  <c r="EY357" i="15"/>
  <c r="EZ357" i="15" s="1"/>
  <c r="FC357" i="15" s="1"/>
  <c r="EY372" i="15"/>
  <c r="EZ372" i="15" s="1"/>
  <c r="FC372" i="15" s="1"/>
  <c r="EY388" i="15"/>
  <c r="EZ388" i="15" s="1"/>
  <c r="FC388" i="15" s="1"/>
  <c r="EY404" i="15"/>
  <c r="EZ404" i="15" s="1"/>
  <c r="FC404" i="15" s="1"/>
  <c r="EY419" i="15"/>
  <c r="EZ419" i="15" s="1"/>
  <c r="FC419" i="15" s="1"/>
  <c r="EY434" i="15"/>
  <c r="EZ434" i="15" s="1"/>
  <c r="FC434" i="15" s="1"/>
  <c r="EY450" i="15"/>
  <c r="EZ450" i="15" s="1"/>
  <c r="FC450" i="15" s="1"/>
  <c r="EY465" i="15"/>
  <c r="EZ465" i="15" s="1"/>
  <c r="FC465" i="15" s="1"/>
  <c r="EY480" i="15"/>
  <c r="EZ480" i="15" s="1"/>
  <c r="FC480" i="15" s="1"/>
  <c r="EY495" i="15"/>
  <c r="EZ495" i="15" s="1"/>
  <c r="FC495" i="15" s="1"/>
  <c r="EY511" i="15"/>
  <c r="EZ511" i="15" s="1"/>
  <c r="FC511" i="15" s="1"/>
  <c r="EY526" i="15"/>
  <c r="EZ526" i="15" s="1"/>
  <c r="FC526" i="15" s="1"/>
  <c r="EY9" i="15"/>
  <c r="EZ9" i="15" s="1"/>
  <c r="FC9" i="15" s="1"/>
  <c r="EY24" i="15"/>
  <c r="EZ24" i="15" s="1"/>
  <c r="FC24" i="15" s="1"/>
  <c r="EY39" i="15"/>
  <c r="EZ39" i="15" s="1"/>
  <c r="FC39" i="15" s="1"/>
  <c r="EY54" i="15"/>
  <c r="EZ54" i="15" s="1"/>
  <c r="FC54" i="15" s="1"/>
  <c r="EY69" i="15"/>
  <c r="EZ69" i="15" s="1"/>
  <c r="FC69" i="15" s="1"/>
  <c r="EY84" i="15"/>
  <c r="EZ84" i="15" s="1"/>
  <c r="FC84" i="15" s="1"/>
  <c r="EY99" i="15"/>
  <c r="EZ99" i="15" s="1"/>
  <c r="FC99" i="15" s="1"/>
  <c r="EY115" i="15"/>
  <c r="EZ115" i="15" s="1"/>
  <c r="FC115" i="15" s="1"/>
  <c r="EY130" i="15"/>
  <c r="EZ130" i="15" s="1"/>
  <c r="FC130" i="15" s="1"/>
  <c r="EY161" i="15"/>
  <c r="EZ161" i="15" s="1"/>
  <c r="FC161" i="15" s="1"/>
  <c r="EY176" i="15"/>
  <c r="EZ176" i="15" s="1"/>
  <c r="FC176" i="15" s="1"/>
  <c r="EY191" i="15"/>
  <c r="EZ191" i="15" s="1"/>
  <c r="FC191" i="15" s="1"/>
  <c r="EY207" i="15"/>
  <c r="EZ207" i="15" s="1"/>
  <c r="FC207" i="15" s="1"/>
  <c r="EY222" i="15"/>
  <c r="EZ222" i="15" s="1"/>
  <c r="FC222" i="15" s="1"/>
  <c r="EY237" i="15"/>
  <c r="EZ237" i="15" s="1"/>
  <c r="FC237" i="15" s="1"/>
  <c r="EY252" i="15"/>
  <c r="EZ252" i="15" s="1"/>
  <c r="FC252" i="15" s="1"/>
  <c r="EY268" i="15"/>
  <c r="EZ268" i="15" s="1"/>
  <c r="FC268" i="15" s="1"/>
  <c r="EY283" i="15"/>
  <c r="EZ283" i="15" s="1"/>
  <c r="FC283" i="15" s="1"/>
  <c r="EY299" i="15"/>
  <c r="EZ299" i="15" s="1"/>
  <c r="FC299" i="15" s="1"/>
  <c r="EY314" i="15"/>
  <c r="EZ314" i="15" s="1"/>
  <c r="FC314" i="15" s="1"/>
  <c r="EY329" i="15"/>
  <c r="EZ329" i="15" s="1"/>
  <c r="FC329" i="15" s="1"/>
  <c r="EY345" i="15"/>
  <c r="EZ345" i="15" s="1"/>
  <c r="FC345" i="15" s="1"/>
  <c r="EY361" i="15"/>
  <c r="EZ361" i="15" s="1"/>
  <c r="FC361" i="15" s="1"/>
  <c r="EY376" i="15"/>
  <c r="EZ376" i="15" s="1"/>
  <c r="FC376" i="15" s="1"/>
  <c r="EY392" i="15"/>
  <c r="EZ392" i="15" s="1"/>
  <c r="FC392" i="15" s="1"/>
  <c r="EY423" i="15"/>
  <c r="EZ423" i="15" s="1"/>
  <c r="FC423" i="15" s="1"/>
  <c r="EY438" i="15"/>
  <c r="EZ438" i="15" s="1"/>
  <c r="FC438" i="15" s="1"/>
  <c r="EY454" i="15"/>
  <c r="EZ454" i="15" s="1"/>
  <c r="FC454" i="15" s="1"/>
  <c r="EY469" i="15"/>
  <c r="EZ469" i="15" s="1"/>
  <c r="FC469" i="15" s="1"/>
  <c r="EY484" i="15"/>
  <c r="EZ484" i="15" s="1"/>
  <c r="FC484" i="15" s="1"/>
  <c r="EY499" i="15"/>
  <c r="EZ499" i="15" s="1"/>
  <c r="FC499" i="15" s="1"/>
  <c r="EY32" i="15"/>
  <c r="EZ32" i="15" s="1"/>
  <c r="FC32" i="15" s="1"/>
  <c r="EY62" i="15"/>
  <c r="EZ62" i="15" s="1"/>
  <c r="FC62" i="15" s="1"/>
  <c r="EY93" i="15"/>
  <c r="EZ93" i="15" s="1"/>
  <c r="FC93" i="15" s="1"/>
  <c r="EY123" i="15"/>
  <c r="EZ123" i="15" s="1"/>
  <c r="FC123" i="15" s="1"/>
  <c r="EY153" i="15"/>
  <c r="EZ153" i="15" s="1"/>
  <c r="FC153" i="15" s="1"/>
  <c r="EY184" i="15"/>
  <c r="EZ184" i="15" s="1"/>
  <c r="FC184" i="15" s="1"/>
  <c r="EY215" i="15"/>
  <c r="EZ215" i="15" s="1"/>
  <c r="FC215" i="15" s="1"/>
  <c r="EY245" i="15"/>
  <c r="EZ245" i="15" s="1"/>
  <c r="FC245" i="15" s="1"/>
  <c r="EY274" i="15"/>
  <c r="EZ274" i="15" s="1"/>
  <c r="FC274" i="15" s="1"/>
  <c r="EY306" i="15"/>
  <c r="EZ306" i="15" s="1"/>
  <c r="FC306" i="15" s="1"/>
  <c r="EY337" i="15"/>
  <c r="EZ337" i="15" s="1"/>
  <c r="FC337" i="15" s="1"/>
  <c r="EY369" i="15"/>
  <c r="EZ369" i="15" s="1"/>
  <c r="FC369" i="15" s="1"/>
  <c r="EY400" i="15"/>
  <c r="EZ400" i="15" s="1"/>
  <c r="FC400" i="15" s="1"/>
  <c r="EY461" i="15"/>
  <c r="EZ461" i="15" s="1"/>
  <c r="FC461" i="15" s="1"/>
  <c r="EY522" i="15"/>
  <c r="EZ522" i="15" s="1"/>
  <c r="FC522" i="15" s="1"/>
  <c r="EY541" i="15"/>
  <c r="EZ541" i="15" s="1"/>
  <c r="FC541" i="15" s="1"/>
  <c r="EY556" i="15"/>
  <c r="EZ556" i="15" s="1"/>
  <c r="FC556" i="15" s="1"/>
  <c r="EY573" i="15"/>
  <c r="EZ573" i="15" s="1"/>
  <c r="FC573" i="15" s="1"/>
  <c r="EY587" i="15"/>
  <c r="EZ587" i="15" s="1"/>
  <c r="FC587" i="15" s="1"/>
  <c r="EY603" i="15"/>
  <c r="EZ603" i="15" s="1"/>
  <c r="FC603" i="15" s="1"/>
  <c r="EY618" i="15"/>
  <c r="EZ618" i="15" s="1"/>
  <c r="FC618" i="15" s="1"/>
  <c r="EY633" i="15"/>
  <c r="EZ633" i="15" s="1"/>
  <c r="FC633" i="15" s="1"/>
  <c r="EY648" i="15"/>
  <c r="EZ648" i="15" s="1"/>
  <c r="FC648" i="15" s="1"/>
  <c r="EY664" i="15"/>
  <c r="EZ664" i="15" s="1"/>
  <c r="FC664" i="15" s="1"/>
  <c r="EY679" i="15"/>
  <c r="EZ679" i="15" s="1"/>
  <c r="FC679" i="15" s="1"/>
  <c r="EY694" i="15"/>
  <c r="EZ694" i="15" s="1"/>
  <c r="FC694" i="15" s="1"/>
  <c r="EY710" i="15"/>
  <c r="EZ710" i="15" s="1"/>
  <c r="FC710" i="15" s="1"/>
  <c r="EY725" i="15"/>
  <c r="EZ725" i="15" s="1"/>
  <c r="FC725" i="15" s="1"/>
  <c r="EY740" i="15"/>
  <c r="EZ740" i="15" s="1"/>
  <c r="FC740" i="15" s="1"/>
  <c r="EY755" i="15"/>
  <c r="EZ755" i="15" s="1"/>
  <c r="FC755" i="15" s="1"/>
  <c r="EY769" i="15"/>
  <c r="EZ769" i="15" s="1"/>
  <c r="FC769" i="15" s="1"/>
  <c r="EY786" i="15"/>
  <c r="EZ786" i="15" s="1"/>
  <c r="FC786" i="15" s="1"/>
  <c r="EY801" i="15"/>
  <c r="EZ801" i="15" s="1"/>
  <c r="FC801" i="15" s="1"/>
  <c r="EY817" i="15"/>
  <c r="EZ817" i="15" s="1"/>
  <c r="FC817" i="15" s="1"/>
  <c r="EY832" i="15"/>
  <c r="EZ832" i="15" s="1"/>
  <c r="FC832" i="15" s="1"/>
  <c r="EY848" i="15"/>
  <c r="EZ848" i="15" s="1"/>
  <c r="FC848" i="15" s="1"/>
  <c r="EY28" i="15"/>
  <c r="EZ28" i="15" s="1"/>
  <c r="FC28" i="15" s="1"/>
  <c r="EY119" i="15"/>
  <c r="EZ119" i="15" s="1"/>
  <c r="FC119" i="15" s="1"/>
  <c r="EY180" i="15"/>
  <c r="EZ180" i="15" s="1"/>
  <c r="FC180" i="15" s="1"/>
  <c r="EY333" i="15"/>
  <c r="EZ333" i="15" s="1"/>
  <c r="FC333" i="15" s="1"/>
  <c r="EY457" i="15"/>
  <c r="EZ457" i="15" s="1"/>
  <c r="FC457" i="15" s="1"/>
  <c r="EY518" i="15"/>
  <c r="EZ518" i="15" s="1"/>
  <c r="FC518" i="15" s="1"/>
  <c r="EY568" i="15"/>
  <c r="EZ568" i="15" s="1"/>
  <c r="FC568" i="15" s="1"/>
  <c r="EY599" i="15"/>
  <c r="EZ599" i="15" s="1"/>
  <c r="FC599" i="15" s="1"/>
  <c r="EY629" i="15"/>
  <c r="EZ629" i="15" s="1"/>
  <c r="FC629" i="15" s="1"/>
  <c r="EY660" i="15"/>
  <c r="EZ660" i="15" s="1"/>
  <c r="FC660" i="15" s="1"/>
  <c r="EY706" i="15"/>
  <c r="EZ706" i="15" s="1"/>
  <c r="FC706" i="15" s="1"/>
  <c r="EY736" i="15"/>
  <c r="EZ736" i="15" s="1"/>
  <c r="FC736" i="15" s="1"/>
  <c r="EY782" i="15"/>
  <c r="EZ782" i="15" s="1"/>
  <c r="FC782" i="15" s="1"/>
  <c r="EY813" i="15"/>
  <c r="EZ813" i="15" s="1"/>
  <c r="FC813" i="15" s="1"/>
  <c r="EY860" i="15"/>
  <c r="EZ860" i="15" s="1"/>
  <c r="FC860" i="15" s="1"/>
  <c r="EY12" i="15"/>
  <c r="EZ12" i="15" s="1"/>
  <c r="FC12" i="15" s="1"/>
  <c r="EY73" i="15"/>
  <c r="EZ73" i="15" s="1"/>
  <c r="FC73" i="15" s="1"/>
  <c r="EY103" i="15"/>
  <c r="EZ103" i="15" s="1"/>
  <c r="FC103" i="15" s="1"/>
  <c r="EY134" i="15"/>
  <c r="EZ134" i="15" s="1"/>
  <c r="FC134" i="15" s="1"/>
  <c r="EY165" i="15"/>
  <c r="EZ165" i="15" s="1"/>
  <c r="FC165" i="15" s="1"/>
  <c r="EY195" i="15"/>
  <c r="EZ195" i="15" s="1"/>
  <c r="FC195" i="15" s="1"/>
  <c r="EY226" i="15"/>
  <c r="EZ226" i="15" s="1"/>
  <c r="FC226" i="15" s="1"/>
  <c r="EY256" i="15"/>
  <c r="EZ256" i="15" s="1"/>
  <c r="FC256" i="15" s="1"/>
  <c r="EY287" i="15"/>
  <c r="EZ287" i="15" s="1"/>
  <c r="FC287" i="15" s="1"/>
  <c r="EY318" i="15"/>
  <c r="EZ318" i="15" s="1"/>
  <c r="FC318" i="15" s="1"/>
  <c r="EY349" i="15"/>
  <c r="EZ349" i="15" s="1"/>
  <c r="FC349" i="15" s="1"/>
  <c r="EY380" i="15"/>
  <c r="EZ380" i="15" s="1"/>
  <c r="FC380" i="15" s="1"/>
  <c r="EY411" i="15"/>
  <c r="EZ411" i="15" s="1"/>
  <c r="FC411" i="15" s="1"/>
  <c r="EY442" i="15"/>
  <c r="EZ442" i="15" s="1"/>
  <c r="FC442" i="15" s="1"/>
  <c r="EY503" i="15"/>
  <c r="EZ503" i="15" s="1"/>
  <c r="FC503" i="15" s="1"/>
  <c r="EY545" i="15"/>
  <c r="EZ545" i="15" s="1"/>
  <c r="FC545" i="15" s="1"/>
  <c r="EY560" i="15"/>
  <c r="EZ560" i="15" s="1"/>
  <c r="FC560" i="15" s="1"/>
  <c r="EY591" i="15"/>
  <c r="EZ591" i="15" s="1"/>
  <c r="FC591" i="15" s="1"/>
  <c r="EY607" i="15"/>
  <c r="EZ607" i="15" s="1"/>
  <c r="FC607" i="15" s="1"/>
  <c r="EY637" i="15"/>
  <c r="EZ637" i="15" s="1"/>
  <c r="FC637" i="15" s="1"/>
  <c r="EY652" i="15"/>
  <c r="EZ652" i="15" s="1"/>
  <c r="FC652" i="15" s="1"/>
  <c r="EY668" i="15"/>
  <c r="EZ668" i="15" s="1"/>
  <c r="FC668" i="15" s="1"/>
  <c r="EY683" i="15"/>
  <c r="EZ683" i="15" s="1"/>
  <c r="FC683" i="15" s="1"/>
  <c r="EY698" i="15"/>
  <c r="EZ698" i="15" s="1"/>
  <c r="FC698" i="15" s="1"/>
  <c r="EY714" i="15"/>
  <c r="EZ714" i="15" s="1"/>
  <c r="FC714" i="15" s="1"/>
  <c r="EY729" i="15"/>
  <c r="EZ729" i="15" s="1"/>
  <c r="FC729" i="15" s="1"/>
  <c r="EY744" i="15"/>
  <c r="EZ744" i="15" s="1"/>
  <c r="FC744" i="15" s="1"/>
  <c r="EY774" i="15"/>
  <c r="EZ774" i="15" s="1"/>
  <c r="FC774" i="15" s="1"/>
  <c r="EY790" i="15"/>
  <c r="EZ790" i="15" s="1"/>
  <c r="FC790" i="15" s="1"/>
  <c r="EY805" i="15"/>
  <c r="EZ805" i="15" s="1"/>
  <c r="FC805" i="15" s="1"/>
  <c r="EY821" i="15"/>
  <c r="EZ821" i="15" s="1"/>
  <c r="FC821" i="15" s="1"/>
  <c r="EY836" i="15"/>
  <c r="EZ836" i="15" s="1"/>
  <c r="FC836" i="15" s="1"/>
  <c r="EY852" i="15"/>
  <c r="EZ852" i="15" s="1"/>
  <c r="FC852" i="15" s="1"/>
  <c r="EY88" i="15"/>
  <c r="EZ88" i="15" s="1"/>
  <c r="FC88" i="15" s="1"/>
  <c r="EY149" i="15"/>
  <c r="EZ149" i="15" s="1"/>
  <c r="FC149" i="15" s="1"/>
  <c r="EY211" i="15"/>
  <c r="EZ211" i="15" s="1"/>
  <c r="FC211" i="15" s="1"/>
  <c r="EY302" i="15"/>
  <c r="EZ302" i="15" s="1"/>
  <c r="FC302" i="15" s="1"/>
  <c r="EY365" i="15"/>
  <c r="EZ365" i="15" s="1"/>
  <c r="FC365" i="15" s="1"/>
  <c r="EY427" i="15"/>
  <c r="EZ427" i="15" s="1"/>
  <c r="FC427" i="15" s="1"/>
  <c r="EY488" i="15"/>
  <c r="EZ488" i="15" s="1"/>
  <c r="FC488" i="15" s="1"/>
  <c r="EY552" i="15"/>
  <c r="EZ552" i="15" s="1"/>
  <c r="FC552" i="15" s="1"/>
  <c r="EY614" i="15"/>
  <c r="EZ614" i="15" s="1"/>
  <c r="FC614" i="15" s="1"/>
  <c r="EY644" i="15"/>
  <c r="EZ644" i="15" s="1"/>
  <c r="FC644" i="15" s="1"/>
  <c r="EY690" i="15"/>
  <c r="EZ690" i="15" s="1"/>
  <c r="FC690" i="15" s="1"/>
  <c r="EY721" i="15"/>
  <c r="EZ721" i="15" s="1"/>
  <c r="FC721" i="15" s="1"/>
  <c r="EY765" i="15"/>
  <c r="EZ765" i="15" s="1"/>
  <c r="FC765" i="15" s="1"/>
  <c r="EY797" i="15"/>
  <c r="EZ797" i="15" s="1"/>
  <c r="FC797" i="15" s="1"/>
  <c r="EY844" i="15"/>
  <c r="EZ844" i="15" s="1"/>
  <c r="FC844" i="15" s="1"/>
  <c r="EY16" i="15"/>
  <c r="EZ16" i="15" s="1"/>
  <c r="FC16" i="15" s="1"/>
  <c r="EY46" i="15"/>
  <c r="EZ46" i="15" s="1"/>
  <c r="FC46" i="15" s="1"/>
  <c r="EY77" i="15"/>
  <c r="EZ77" i="15" s="1"/>
  <c r="FC77" i="15" s="1"/>
  <c r="EY107" i="15"/>
  <c r="EZ107" i="15" s="1"/>
  <c r="FC107" i="15" s="1"/>
  <c r="EY138" i="15"/>
  <c r="EZ138" i="15" s="1"/>
  <c r="FC138" i="15" s="1"/>
  <c r="EY199" i="15"/>
  <c r="EZ199" i="15" s="1"/>
  <c r="FC199" i="15" s="1"/>
  <c r="EY230" i="15"/>
  <c r="EZ230" i="15" s="1"/>
  <c r="FC230" i="15" s="1"/>
  <c r="EY260" i="15"/>
  <c r="EZ260" i="15" s="1"/>
  <c r="FC260" i="15" s="1"/>
  <c r="EY291" i="15"/>
  <c r="EZ291" i="15" s="1"/>
  <c r="FC291" i="15" s="1"/>
  <c r="EY322" i="15"/>
  <c r="EZ322" i="15" s="1"/>
  <c r="FC322" i="15" s="1"/>
  <c r="EY353" i="15"/>
  <c r="EZ353" i="15" s="1"/>
  <c r="FC353" i="15" s="1"/>
  <c r="EY384" i="15"/>
  <c r="EZ384" i="15" s="1"/>
  <c r="FC384" i="15" s="1"/>
  <c r="EY415" i="15"/>
  <c r="EZ415" i="15" s="1"/>
  <c r="FC415" i="15" s="1"/>
  <c r="EY446" i="15"/>
  <c r="EZ446" i="15" s="1"/>
  <c r="FC446" i="15" s="1"/>
  <c r="EY476" i="15"/>
  <c r="EZ476" i="15" s="1"/>
  <c r="FC476" i="15" s="1"/>
  <c r="EY507" i="15"/>
  <c r="EZ507" i="15" s="1"/>
  <c r="FC507" i="15" s="1"/>
  <c r="EY533" i="15"/>
  <c r="EZ533" i="15" s="1"/>
  <c r="FC533" i="15" s="1"/>
  <c r="EY564" i="15"/>
  <c r="EZ564" i="15" s="1"/>
  <c r="FC564" i="15" s="1"/>
  <c r="EY579" i="15"/>
  <c r="EZ579" i="15" s="1"/>
  <c r="FC579" i="15" s="1"/>
  <c r="EY595" i="15"/>
  <c r="EZ595" i="15" s="1"/>
  <c r="FC595" i="15" s="1"/>
  <c r="EY611" i="15"/>
  <c r="EZ611" i="15" s="1"/>
  <c r="FC611" i="15" s="1"/>
  <c r="EY625" i="15"/>
  <c r="EZ625" i="15" s="1"/>
  <c r="FC625" i="15" s="1"/>
  <c r="EY641" i="15"/>
  <c r="EZ641" i="15" s="1"/>
  <c r="FC641" i="15" s="1"/>
  <c r="EY656" i="15"/>
  <c r="EZ656" i="15" s="1"/>
  <c r="FC656" i="15" s="1"/>
  <c r="EY671" i="15"/>
  <c r="EZ671" i="15" s="1"/>
  <c r="FC671" i="15" s="1"/>
  <c r="EY702" i="15"/>
  <c r="EZ702" i="15" s="1"/>
  <c r="FC702" i="15" s="1"/>
  <c r="EY717" i="15"/>
  <c r="EZ717" i="15" s="1"/>
  <c r="FC717" i="15" s="1"/>
  <c r="EY748" i="15"/>
  <c r="EZ748" i="15" s="1"/>
  <c r="FC748" i="15" s="1"/>
  <c r="EY761" i="15"/>
  <c r="EZ761" i="15" s="1"/>
  <c r="FC761" i="15" s="1"/>
  <c r="EY778" i="15"/>
  <c r="EZ778" i="15" s="1"/>
  <c r="FC778" i="15" s="1"/>
  <c r="EY794" i="15"/>
  <c r="EZ794" i="15" s="1"/>
  <c r="FC794" i="15" s="1"/>
  <c r="EY809" i="15"/>
  <c r="EZ809" i="15" s="1"/>
  <c r="FC809" i="15" s="1"/>
  <c r="EY825" i="15"/>
  <c r="EZ825" i="15" s="1"/>
  <c r="FC825" i="15" s="1"/>
  <c r="EY840" i="15"/>
  <c r="EZ840" i="15" s="1"/>
  <c r="FC840" i="15" s="1"/>
  <c r="EY856" i="15"/>
  <c r="EZ856" i="15" s="1"/>
  <c r="FC856" i="15" s="1"/>
  <c r="EY58" i="15"/>
  <c r="EZ58" i="15" s="1"/>
  <c r="FC58" i="15" s="1"/>
  <c r="EY241" i="15"/>
  <c r="EZ241" i="15" s="1"/>
  <c r="FC241" i="15" s="1"/>
  <c r="EY396" i="15"/>
  <c r="EZ396" i="15" s="1"/>
  <c r="FC396" i="15" s="1"/>
  <c r="EY537" i="15"/>
  <c r="EZ537" i="15" s="1"/>
  <c r="FC537" i="15" s="1"/>
  <c r="EY583" i="15"/>
  <c r="EZ583" i="15" s="1"/>
  <c r="FC583" i="15" s="1"/>
  <c r="EY675" i="15"/>
  <c r="EZ675" i="15" s="1"/>
  <c r="FC675" i="15" s="1"/>
  <c r="EY752" i="15"/>
  <c r="EZ752" i="15" s="1"/>
  <c r="FC752" i="15" s="1"/>
  <c r="ET9" i="15"/>
  <c r="EU9" i="15" s="1"/>
  <c r="EX9" i="15" s="1"/>
  <c r="ET12" i="15"/>
  <c r="EU12" i="15" s="1"/>
  <c r="EX12" i="15" s="1"/>
  <c r="ET16" i="15"/>
  <c r="EU16" i="15" s="1"/>
  <c r="EX16" i="15" s="1"/>
  <c r="ET20" i="15"/>
  <c r="EU20" i="15" s="1"/>
  <c r="EX20" i="15" s="1"/>
  <c r="ET24" i="15"/>
  <c r="EU24" i="15" s="1"/>
  <c r="EX24" i="15" s="1"/>
  <c r="ET28" i="15"/>
  <c r="EU28" i="15" s="1"/>
  <c r="EX28" i="15" s="1"/>
  <c r="ET32" i="15"/>
  <c r="EU32" i="15" s="1"/>
  <c r="EX32" i="15" s="1"/>
  <c r="ET35" i="15"/>
  <c r="EU35" i="15" s="1"/>
  <c r="EX35" i="15" s="1"/>
  <c r="ET39" i="15"/>
  <c r="EU39" i="15" s="1"/>
  <c r="EX39" i="15" s="1"/>
  <c r="ET46" i="15"/>
  <c r="EU46" i="15" s="1"/>
  <c r="EX46" i="15" s="1"/>
  <c r="ET50" i="15"/>
  <c r="EU50" i="15" s="1"/>
  <c r="EX50" i="15" s="1"/>
  <c r="ET54" i="15"/>
  <c r="EU54" i="15" s="1"/>
  <c r="EX54" i="15" s="1"/>
  <c r="ET58" i="15"/>
  <c r="EU58" i="15" s="1"/>
  <c r="EX58" i="15" s="1"/>
  <c r="ET62" i="15"/>
  <c r="EU62" i="15" s="1"/>
  <c r="EX62" i="15" s="1"/>
  <c r="ET69" i="15"/>
  <c r="EU69" i="15" s="1"/>
  <c r="EX69" i="15" s="1"/>
  <c r="ET73" i="15"/>
  <c r="EU73" i="15" s="1"/>
  <c r="EX73" i="15" s="1"/>
  <c r="ET77" i="15"/>
  <c r="EU77" i="15" s="1"/>
  <c r="EX77" i="15" s="1"/>
  <c r="ET81" i="15"/>
  <c r="EU81" i="15" s="1"/>
  <c r="EX81" i="15" s="1"/>
  <c r="ET84" i="15"/>
  <c r="EU84" i="15" s="1"/>
  <c r="EX84" i="15" s="1"/>
  <c r="ET88" i="15"/>
  <c r="EU88" i="15" s="1"/>
  <c r="EX88" i="15" s="1"/>
  <c r="ET93" i="15"/>
  <c r="EU93" i="15" s="1"/>
  <c r="EX93" i="15" s="1"/>
  <c r="ET96" i="15"/>
  <c r="EU96" i="15" s="1"/>
  <c r="EX96" i="15" s="1"/>
  <c r="ET99" i="15"/>
  <c r="EU99" i="15" s="1"/>
  <c r="EX99" i="15" s="1"/>
  <c r="ET103" i="15"/>
  <c r="EU103" i="15" s="1"/>
  <c r="EX103" i="15" s="1"/>
  <c r="ET107" i="15"/>
  <c r="EU107" i="15" s="1"/>
  <c r="EX107" i="15" s="1"/>
  <c r="ET111" i="15"/>
  <c r="EU111" i="15" s="1"/>
  <c r="EX111" i="15" s="1"/>
  <c r="ET115" i="15"/>
  <c r="EU115" i="15" s="1"/>
  <c r="EX115" i="15" s="1"/>
  <c r="ET119" i="15"/>
  <c r="EU119" i="15" s="1"/>
  <c r="EX119" i="15" s="1"/>
  <c r="ET123" i="15"/>
  <c r="EU123" i="15" s="1"/>
  <c r="EX123" i="15" s="1"/>
  <c r="ET126" i="15"/>
  <c r="EU126" i="15" s="1"/>
  <c r="EX126" i="15" s="1"/>
  <c r="ET130" i="15"/>
  <c r="EU130" i="15" s="1"/>
  <c r="EX130" i="15" s="1"/>
  <c r="ET134" i="15"/>
  <c r="EU134" i="15" s="1"/>
  <c r="EX134" i="15" s="1"/>
  <c r="ET138" i="15"/>
  <c r="EU138" i="15" s="1"/>
  <c r="EX138" i="15" s="1"/>
  <c r="ET142" i="15"/>
  <c r="EU142" i="15" s="1"/>
  <c r="EX142" i="15" s="1"/>
  <c r="ET149" i="15"/>
  <c r="EU149" i="15" s="1"/>
  <c r="EX149" i="15" s="1"/>
  <c r="ET153" i="15"/>
  <c r="EU153" i="15" s="1"/>
  <c r="EX153" i="15" s="1"/>
  <c r="ET157" i="15"/>
  <c r="EU157" i="15" s="1"/>
  <c r="EX157" i="15" s="1"/>
  <c r="ET161" i="15"/>
  <c r="EU161" i="15" s="1"/>
  <c r="EX161" i="15" s="1"/>
  <c r="ET165" i="15"/>
  <c r="EU165" i="15" s="1"/>
  <c r="EX165" i="15" s="1"/>
  <c r="ET172" i="15"/>
  <c r="EU172" i="15" s="1"/>
  <c r="EX172" i="15" s="1"/>
  <c r="ET176" i="15"/>
  <c r="EU176" i="15" s="1"/>
  <c r="EX176" i="15" s="1"/>
  <c r="ET180" i="15"/>
  <c r="EU180" i="15" s="1"/>
  <c r="EX180" i="15" s="1"/>
  <c r="ET184" i="15"/>
  <c r="EU184" i="15" s="1"/>
  <c r="EX184" i="15" s="1"/>
  <c r="ET188" i="15"/>
  <c r="EU188" i="15" s="1"/>
  <c r="EX188" i="15" s="1"/>
  <c r="ET191" i="15"/>
  <c r="EU191" i="15" s="1"/>
  <c r="EX191" i="15" s="1"/>
  <c r="ET195" i="15"/>
  <c r="EU195" i="15" s="1"/>
  <c r="EX195" i="15" s="1"/>
  <c r="ET199" i="15"/>
  <c r="EU199" i="15" s="1"/>
  <c r="EX199" i="15" s="1"/>
  <c r="ET203" i="15"/>
  <c r="EU203" i="15" s="1"/>
  <c r="EX203" i="15" s="1"/>
  <c r="ET207" i="15"/>
  <c r="EU207" i="15" s="1"/>
  <c r="EX207" i="15" s="1"/>
  <c r="ET211" i="15"/>
  <c r="EU211" i="15" s="1"/>
  <c r="EX211" i="15" s="1"/>
  <c r="ET215" i="15"/>
  <c r="EU215" i="15" s="1"/>
  <c r="EX215" i="15" s="1"/>
  <c r="ET219" i="15"/>
  <c r="EU219" i="15" s="1"/>
  <c r="EX219" i="15" s="1"/>
  <c r="ET222" i="15"/>
  <c r="EU222" i="15" s="1"/>
  <c r="EX222" i="15" s="1"/>
  <c r="ET226" i="15"/>
  <c r="EU226" i="15" s="1"/>
  <c r="EX226" i="15" s="1"/>
  <c r="ET230" i="15"/>
  <c r="EU230" i="15" s="1"/>
  <c r="EX230" i="15" s="1"/>
  <c r="ET233" i="15"/>
  <c r="EU233" i="15" s="1"/>
  <c r="EX233" i="15" s="1"/>
  <c r="ET237" i="15"/>
  <c r="EU237" i="15" s="1"/>
  <c r="EX237" i="15" s="1"/>
  <c r="ET241" i="15"/>
  <c r="EU241" i="15" s="1"/>
  <c r="EX241" i="15" s="1"/>
  <c r="ET245" i="15"/>
  <c r="EU245" i="15" s="1"/>
  <c r="EX245" i="15" s="1"/>
  <c r="ET249" i="15"/>
  <c r="EU249" i="15" s="1"/>
  <c r="EX249" i="15" s="1"/>
  <c r="ET252" i="15"/>
  <c r="EU252" i="15" s="1"/>
  <c r="EX252" i="15" s="1"/>
  <c r="ET256" i="15"/>
  <c r="EU256" i="15" s="1"/>
  <c r="EX256" i="15" s="1"/>
  <c r="ET260" i="15"/>
  <c r="EU260" i="15" s="1"/>
  <c r="EX260" i="15" s="1"/>
  <c r="ET264" i="15"/>
  <c r="EU264" i="15" s="1"/>
  <c r="EX264" i="15" s="1"/>
  <c r="ET268" i="15"/>
  <c r="EU268" i="15" s="1"/>
  <c r="EX268" i="15" s="1"/>
  <c r="ET274" i="15"/>
  <c r="EU274" i="15" s="1"/>
  <c r="EX274" i="15" s="1"/>
  <c r="ET279" i="15"/>
  <c r="EU279" i="15" s="1"/>
  <c r="EX279" i="15" s="1"/>
  <c r="ET283" i="15"/>
  <c r="EU283" i="15" s="1"/>
  <c r="EX283" i="15" s="1"/>
  <c r="ET287" i="15"/>
  <c r="EU287" i="15" s="1"/>
  <c r="EX287" i="15" s="1"/>
  <c r="ET291" i="15"/>
  <c r="EU291" i="15" s="1"/>
  <c r="EX291" i="15" s="1"/>
  <c r="ET295" i="15"/>
  <c r="EU295" i="15" s="1"/>
  <c r="EX295" i="15" s="1"/>
  <c r="ET299" i="15"/>
  <c r="EU299" i="15" s="1"/>
  <c r="EX299" i="15" s="1"/>
  <c r="ET302" i="15"/>
  <c r="EU302" i="15" s="1"/>
  <c r="EX302" i="15" s="1"/>
  <c r="ET306" i="15"/>
  <c r="EU306" i="15" s="1"/>
  <c r="EX306" i="15" s="1"/>
  <c r="ET310" i="15"/>
  <c r="EU310" i="15" s="1"/>
  <c r="EX310" i="15" s="1"/>
  <c r="ET314" i="15"/>
  <c r="EU314" i="15" s="1"/>
  <c r="EX314" i="15" s="1"/>
  <c r="ET318" i="15"/>
  <c r="EU318" i="15" s="1"/>
  <c r="EX318" i="15" s="1"/>
  <c r="ET322" i="15"/>
  <c r="EU322" i="15" s="1"/>
  <c r="EX322" i="15" s="1"/>
  <c r="ET329" i="15"/>
  <c r="EU329" i="15" s="1"/>
  <c r="EX329" i="15" s="1"/>
  <c r="ET333" i="15"/>
  <c r="EU333" i="15" s="1"/>
  <c r="EX333" i="15" s="1"/>
  <c r="ET337" i="15"/>
  <c r="EU337" i="15" s="1"/>
  <c r="EX337" i="15" s="1"/>
  <c r="ET341" i="15"/>
  <c r="EU341" i="15" s="1"/>
  <c r="EX341" i="15" s="1"/>
  <c r="ET345" i="15"/>
  <c r="EU345" i="15" s="1"/>
  <c r="EX345" i="15" s="1"/>
  <c r="ET349" i="15"/>
  <c r="EU349" i="15" s="1"/>
  <c r="EX349" i="15" s="1"/>
  <c r="ET353" i="15"/>
  <c r="EU353" i="15" s="1"/>
  <c r="EX353" i="15" s="1"/>
  <c r="ET357" i="15"/>
  <c r="EU357" i="15" s="1"/>
  <c r="EX357" i="15" s="1"/>
  <c r="ET361" i="15"/>
  <c r="EU361" i="15" s="1"/>
  <c r="EX361" i="15" s="1"/>
  <c r="ET365" i="15"/>
  <c r="EU365" i="15" s="1"/>
  <c r="EX365" i="15" s="1"/>
  <c r="ET369" i="15"/>
  <c r="EU369" i="15" s="1"/>
  <c r="EX369" i="15" s="1"/>
  <c r="ET372" i="15"/>
  <c r="EU372" i="15" s="1"/>
  <c r="EX372" i="15" s="1"/>
  <c r="ET376" i="15"/>
  <c r="EU376" i="15" s="1"/>
  <c r="EX376" i="15" s="1"/>
  <c r="ET380" i="15"/>
  <c r="EU380" i="15" s="1"/>
  <c r="EX380" i="15" s="1"/>
  <c r="ET384" i="15"/>
  <c r="EU384" i="15" s="1"/>
  <c r="EX384" i="15" s="1"/>
  <c r="ET388" i="15"/>
  <c r="EU388" i="15" s="1"/>
  <c r="EX388" i="15" s="1"/>
  <c r="ET392" i="15"/>
  <c r="EU392" i="15" s="1"/>
  <c r="EX392" i="15" s="1"/>
  <c r="ET396" i="15"/>
  <c r="EU396" i="15" s="1"/>
  <c r="EX396" i="15" s="1"/>
  <c r="ET400" i="15"/>
  <c r="EU400" i="15" s="1"/>
  <c r="EX400" i="15" s="1"/>
  <c r="ET404" i="15"/>
  <c r="EU404" i="15" s="1"/>
  <c r="EX404" i="15" s="1"/>
  <c r="ET411" i="15"/>
  <c r="EU411" i="15" s="1"/>
  <c r="EX411" i="15" s="1"/>
  <c r="ET415" i="15"/>
  <c r="EU415" i="15" s="1"/>
  <c r="EX415" i="15" s="1"/>
  <c r="ET419" i="15"/>
  <c r="EU419" i="15" s="1"/>
  <c r="EX419" i="15" s="1"/>
  <c r="ET423" i="15"/>
  <c r="EU423" i="15" s="1"/>
  <c r="EX423" i="15" s="1"/>
  <c r="ET427" i="15"/>
  <c r="EU427" i="15" s="1"/>
  <c r="EX427" i="15" s="1"/>
  <c r="ET434" i="15"/>
  <c r="EU434" i="15" s="1"/>
  <c r="EX434" i="15" s="1"/>
  <c r="ET438" i="15"/>
  <c r="EU438" i="15" s="1"/>
  <c r="EX438" i="15" s="1"/>
  <c r="ET442" i="15"/>
  <c r="EU442" i="15" s="1"/>
  <c r="EX442" i="15" s="1"/>
  <c r="ET446" i="15"/>
  <c r="EU446" i="15" s="1"/>
  <c r="EX446" i="15" s="1"/>
  <c r="ET450" i="15"/>
  <c r="EU450" i="15" s="1"/>
  <c r="EX450" i="15" s="1"/>
  <c r="ET454" i="15"/>
  <c r="EU454" i="15" s="1"/>
  <c r="EX454" i="15" s="1"/>
  <c r="ET457" i="15"/>
  <c r="EU457" i="15" s="1"/>
  <c r="EX457" i="15" s="1"/>
  <c r="ET461" i="15"/>
  <c r="EU461" i="15" s="1"/>
  <c r="EX461" i="15" s="1"/>
  <c r="ET465" i="15"/>
  <c r="EU465" i="15" s="1"/>
  <c r="EX465" i="15" s="1"/>
  <c r="ET469" i="15"/>
  <c r="EU469" i="15" s="1"/>
  <c r="EX469" i="15" s="1"/>
  <c r="ET476" i="15"/>
  <c r="EU476" i="15" s="1"/>
  <c r="EX476" i="15" s="1"/>
  <c r="ET480" i="15"/>
  <c r="EU480" i="15" s="1"/>
  <c r="EX480" i="15" s="1"/>
  <c r="ET484" i="15"/>
  <c r="EU484" i="15" s="1"/>
  <c r="EX484" i="15" s="1"/>
  <c r="ET488" i="15"/>
  <c r="EU488" i="15" s="1"/>
  <c r="EX488" i="15" s="1"/>
  <c r="ET495" i="15"/>
  <c r="EU495" i="15" s="1"/>
  <c r="EX495" i="15" s="1"/>
  <c r="ET499" i="15"/>
  <c r="EU499" i="15" s="1"/>
  <c r="EX499" i="15" s="1"/>
  <c r="ET503" i="15"/>
  <c r="EU503" i="15" s="1"/>
  <c r="EX503" i="15" s="1"/>
  <c r="ET507" i="15"/>
  <c r="EU507" i="15" s="1"/>
  <c r="EX507" i="15" s="1"/>
  <c r="ET511" i="15"/>
  <c r="EU511" i="15" s="1"/>
  <c r="EX511" i="15" s="1"/>
  <c r="ET518" i="15"/>
  <c r="EU518" i="15" s="1"/>
  <c r="EX518" i="15" s="1"/>
  <c r="ET522" i="15"/>
  <c r="EU522" i="15" s="1"/>
  <c r="EX522" i="15" s="1"/>
  <c r="ET526" i="15"/>
  <c r="EU526" i="15" s="1"/>
  <c r="EX526" i="15" s="1"/>
  <c r="ET533" i="15"/>
  <c r="EU533" i="15" s="1"/>
  <c r="EX533" i="15" s="1"/>
  <c r="ET537" i="15"/>
  <c r="EU537" i="15" s="1"/>
  <c r="EX537" i="15" s="1"/>
  <c r="ET541" i="15"/>
  <c r="EU541" i="15" s="1"/>
  <c r="EX541" i="15" s="1"/>
  <c r="ET545" i="15"/>
  <c r="EU545" i="15" s="1"/>
  <c r="EX545" i="15" s="1"/>
  <c r="ET552" i="15"/>
  <c r="EU552" i="15" s="1"/>
  <c r="EX552" i="15" s="1"/>
  <c r="ET556" i="15"/>
  <c r="EU556" i="15" s="1"/>
  <c r="EX556" i="15" s="1"/>
  <c r="ET560" i="15"/>
  <c r="EU560" i="15" s="1"/>
  <c r="EX560" i="15" s="1"/>
  <c r="ET564" i="15"/>
  <c r="EU564" i="15" s="1"/>
  <c r="EX564" i="15" s="1"/>
  <c r="ET568" i="15"/>
  <c r="EU568" i="15" s="1"/>
  <c r="EX568" i="15" s="1"/>
  <c r="ET573" i="15"/>
  <c r="EU573" i="15" s="1"/>
  <c r="EX573" i="15" s="1"/>
  <c r="ET579" i="15"/>
  <c r="EU579" i="15" s="1"/>
  <c r="EX579" i="15" s="1"/>
  <c r="ET583" i="15"/>
  <c r="EU583" i="15" s="1"/>
  <c r="EX583" i="15" s="1"/>
  <c r="ET587" i="15"/>
  <c r="EU587" i="15" s="1"/>
  <c r="EX587" i="15" s="1"/>
  <c r="ET591" i="15"/>
  <c r="EU591" i="15" s="1"/>
  <c r="EX591" i="15" s="1"/>
  <c r="ET595" i="15"/>
  <c r="EU595" i="15" s="1"/>
  <c r="EX595" i="15" s="1"/>
  <c r="ET599" i="15"/>
  <c r="EU599" i="15" s="1"/>
  <c r="EX599" i="15" s="1"/>
  <c r="ET603" i="15"/>
  <c r="EU603" i="15" s="1"/>
  <c r="EX603" i="15" s="1"/>
  <c r="ET607" i="15"/>
  <c r="EU607" i="15" s="1"/>
  <c r="EX607" i="15" s="1"/>
  <c r="ET611" i="15"/>
  <c r="EU611" i="15" s="1"/>
  <c r="EX611" i="15" s="1"/>
  <c r="ET614" i="15"/>
  <c r="EU614" i="15" s="1"/>
  <c r="EX614" i="15" s="1"/>
  <c r="ET618" i="15"/>
  <c r="EU618" i="15" s="1"/>
  <c r="EX618" i="15" s="1"/>
  <c r="ET625" i="15"/>
  <c r="EU625" i="15" s="1"/>
  <c r="EX625" i="15" s="1"/>
  <c r="ET629" i="15"/>
  <c r="EU629" i="15" s="1"/>
  <c r="EX629" i="15" s="1"/>
  <c r="ET633" i="15"/>
  <c r="EU633" i="15" s="1"/>
  <c r="EX633" i="15" s="1"/>
  <c r="ET637" i="15"/>
  <c r="EU637" i="15" s="1"/>
  <c r="EX637" i="15" s="1"/>
  <c r="ET641" i="15"/>
  <c r="EU641" i="15" s="1"/>
  <c r="EX641" i="15" s="1"/>
  <c r="ET644" i="15"/>
  <c r="EU644" i="15" s="1"/>
  <c r="EX644" i="15" s="1"/>
  <c r="ET648" i="15"/>
  <c r="EU648" i="15" s="1"/>
  <c r="EX648" i="15" s="1"/>
  <c r="ET652" i="15"/>
  <c r="EU652" i="15" s="1"/>
  <c r="EX652" i="15" s="1"/>
  <c r="ET656" i="15"/>
  <c r="EU656" i="15" s="1"/>
  <c r="EX656" i="15" s="1"/>
  <c r="ET660" i="15"/>
  <c r="EU660" i="15" s="1"/>
  <c r="EX660" i="15" s="1"/>
  <c r="ET664" i="15"/>
  <c r="EU664" i="15" s="1"/>
  <c r="EX664" i="15" s="1"/>
  <c r="ET668" i="15"/>
  <c r="EU668" i="15" s="1"/>
  <c r="EX668" i="15" s="1"/>
  <c r="ET671" i="15"/>
  <c r="EU671" i="15" s="1"/>
  <c r="EX671" i="15" s="1"/>
  <c r="ET675" i="15"/>
  <c r="EU675" i="15" s="1"/>
  <c r="EX675" i="15" s="1"/>
  <c r="ET679" i="15"/>
  <c r="EU679" i="15" s="1"/>
  <c r="EX679" i="15" s="1"/>
  <c r="ET683" i="15"/>
  <c r="EU683" i="15" s="1"/>
  <c r="EX683" i="15" s="1"/>
  <c r="ET690" i="15"/>
  <c r="EU690" i="15" s="1"/>
  <c r="EX690" i="15" s="1"/>
  <c r="ET694" i="15"/>
  <c r="EU694" i="15" s="1"/>
  <c r="EX694" i="15" s="1"/>
  <c r="ET698" i="15"/>
  <c r="EU698" i="15" s="1"/>
  <c r="EX698" i="15" s="1"/>
  <c r="ET702" i="15"/>
  <c r="EU702" i="15" s="1"/>
  <c r="EX702" i="15" s="1"/>
  <c r="ET706" i="15"/>
  <c r="EU706" i="15" s="1"/>
  <c r="EX706" i="15" s="1"/>
  <c r="ET710" i="15"/>
  <c r="EU710" i="15" s="1"/>
  <c r="EX710" i="15" s="1"/>
  <c r="ET714" i="15"/>
  <c r="EU714" i="15" s="1"/>
  <c r="EX714" i="15" s="1"/>
  <c r="ET717" i="15"/>
  <c r="EU717" i="15" s="1"/>
  <c r="EX717" i="15" s="1"/>
  <c r="ET721" i="15"/>
  <c r="EU721" i="15" s="1"/>
  <c r="EX721" i="15" s="1"/>
  <c r="ET725" i="15"/>
  <c r="EU725" i="15" s="1"/>
  <c r="EX725" i="15" s="1"/>
  <c r="ET729" i="15"/>
  <c r="EU729" i="15" s="1"/>
  <c r="EX729" i="15" s="1"/>
  <c r="ET736" i="15"/>
  <c r="EU736" i="15" s="1"/>
  <c r="EX736" i="15" s="1"/>
  <c r="ET740" i="15"/>
  <c r="EU740" i="15" s="1"/>
  <c r="EX740" i="15" s="1"/>
  <c r="ET744" i="15"/>
  <c r="EU744" i="15" s="1"/>
  <c r="EX744" i="15" s="1"/>
  <c r="ET748" i="15"/>
  <c r="EU748" i="15" s="1"/>
  <c r="EX748" i="15" s="1"/>
  <c r="ET752" i="15"/>
  <c r="EU752" i="15" s="1"/>
  <c r="EX752" i="15" s="1"/>
  <c r="ET755" i="15"/>
  <c r="EU755" i="15" s="1"/>
  <c r="EX755" i="15" s="1"/>
  <c r="ET774" i="15"/>
  <c r="EU774" i="15" s="1"/>
  <c r="EX774" i="15" s="1"/>
  <c r="ET761" i="15"/>
  <c r="EU761" i="15" s="1"/>
  <c r="EX761" i="15" s="1"/>
  <c r="ET765" i="15"/>
  <c r="EU765" i="15" s="1"/>
  <c r="EX765" i="15" s="1"/>
  <c r="ET769" i="15"/>
  <c r="EU769" i="15" s="1"/>
  <c r="EX769" i="15" s="1"/>
  <c r="ET778" i="15"/>
  <c r="EU778" i="15" s="1"/>
  <c r="EX778" i="15" s="1"/>
  <c r="ET782" i="15"/>
  <c r="EU782" i="15" s="1"/>
  <c r="EX782" i="15" s="1"/>
  <c r="ET786" i="15"/>
  <c r="EU786" i="15" s="1"/>
  <c r="EX786" i="15" s="1"/>
  <c r="ET790" i="15"/>
  <c r="EU790" i="15" s="1"/>
  <c r="EX790" i="15" s="1"/>
  <c r="ET794" i="15"/>
  <c r="EU794" i="15" s="1"/>
  <c r="EX794" i="15" s="1"/>
  <c r="ET797" i="15"/>
  <c r="EU797" i="15" s="1"/>
  <c r="EX797" i="15" s="1"/>
  <c r="ET801" i="15"/>
  <c r="EU801" i="15" s="1"/>
  <c r="EX801" i="15" s="1"/>
  <c r="ET805" i="15"/>
  <c r="EU805" i="15" s="1"/>
  <c r="EX805" i="15" s="1"/>
  <c r="ET809" i="15"/>
  <c r="EU809" i="15" s="1"/>
  <c r="EX809" i="15" s="1"/>
  <c r="ET813" i="15"/>
  <c r="EU813" i="15" s="1"/>
  <c r="EX813" i="15" s="1"/>
  <c r="ET817" i="15"/>
  <c r="EU817" i="15" s="1"/>
  <c r="EX817" i="15" s="1"/>
  <c r="ET821" i="15"/>
  <c r="EU821" i="15" s="1"/>
  <c r="EX821" i="15" s="1"/>
  <c r="ET825" i="15"/>
  <c r="EU825" i="15" s="1"/>
  <c r="EX825" i="15" s="1"/>
  <c r="ET832" i="15"/>
  <c r="EU832" i="15" s="1"/>
  <c r="EX832" i="15" s="1"/>
  <c r="ET836" i="15"/>
  <c r="EU836" i="15" s="1"/>
  <c r="EX836" i="15" s="1"/>
  <c r="ET840" i="15"/>
  <c r="EU840" i="15" s="1"/>
  <c r="EX840" i="15" s="1"/>
  <c r="ET844" i="15"/>
  <c r="EU844" i="15" s="1"/>
  <c r="EX844" i="15" s="1"/>
  <c r="ET848" i="15"/>
  <c r="EU848" i="15" s="1"/>
  <c r="EX848" i="15" s="1"/>
  <c r="ET852" i="15"/>
  <c r="EU852" i="15" s="1"/>
  <c r="EX852" i="15" s="1"/>
  <c r="ET856" i="15"/>
  <c r="EU856" i="15" s="1"/>
  <c r="EX856" i="15" s="1"/>
  <c r="ET860" i="15"/>
  <c r="EU860" i="15" s="1"/>
  <c r="EX860" i="15" s="1"/>
  <c r="ET6" i="15"/>
  <c r="EU6" i="15" s="1"/>
  <c r="EX6" i="15" s="1"/>
  <c r="ET13" i="15"/>
  <c r="EU13" i="15" s="1"/>
  <c r="EX13" i="15" s="1"/>
  <c r="ET17" i="15"/>
  <c r="EU17" i="15" s="1"/>
  <c r="EX17" i="15" s="1"/>
  <c r="ET21" i="15"/>
  <c r="EU21" i="15" s="1"/>
  <c r="EX21" i="15" s="1"/>
  <c r="ET25" i="15"/>
  <c r="EU25" i="15" s="1"/>
  <c r="EX25" i="15" s="1"/>
  <c r="ET29" i="15"/>
  <c r="EU29" i="15" s="1"/>
  <c r="EX29" i="15" s="1"/>
  <c r="ET36" i="15"/>
  <c r="EU36" i="15" s="1"/>
  <c r="EX36" i="15" s="1"/>
  <c r="ET40" i="15"/>
  <c r="EU40" i="15" s="1"/>
  <c r="EX40" i="15" s="1"/>
  <c r="ET43" i="15"/>
  <c r="EU43" i="15" s="1"/>
  <c r="EX43" i="15" s="1"/>
  <c r="ET47" i="15"/>
  <c r="EU47" i="15" s="1"/>
  <c r="EX47" i="15" s="1"/>
  <c r="ET51" i="15"/>
  <c r="EU51" i="15" s="1"/>
  <c r="EX51" i="15" s="1"/>
  <c r="ET55" i="15"/>
  <c r="EU55" i="15" s="1"/>
  <c r="EX55" i="15" s="1"/>
  <c r="ET59" i="15"/>
  <c r="EU59" i="15" s="1"/>
  <c r="EX59" i="15" s="1"/>
  <c r="ET63" i="15"/>
  <c r="EU63" i="15" s="1"/>
  <c r="EX63" i="15" s="1"/>
  <c r="ET66" i="15"/>
  <c r="EU66" i="15" s="1"/>
  <c r="EX66" i="15" s="1"/>
  <c r="ET70" i="15"/>
  <c r="EU70" i="15" s="1"/>
  <c r="EX70" i="15" s="1"/>
  <c r="ET74" i="15"/>
  <c r="EU74" i="15" s="1"/>
  <c r="EX74" i="15" s="1"/>
  <c r="ET78" i="15"/>
  <c r="EU78" i="15" s="1"/>
  <c r="EX78" i="15" s="1"/>
  <c r="ET85" i="15"/>
  <c r="EU85" i="15" s="1"/>
  <c r="EX85" i="15" s="1"/>
  <c r="ET89" i="15"/>
  <c r="EU89" i="15" s="1"/>
  <c r="EX89" i="15" s="1"/>
  <c r="ET92" i="15"/>
  <c r="EU92" i="15" s="1"/>
  <c r="EX92" i="15" s="1"/>
  <c r="ET100" i="15"/>
  <c r="EU100" i="15" s="1"/>
  <c r="EX100" i="15" s="1"/>
  <c r="ET104" i="15"/>
  <c r="EU104" i="15" s="1"/>
  <c r="EX104" i="15" s="1"/>
  <c r="ET108" i="15"/>
  <c r="EU108" i="15" s="1"/>
  <c r="EX108" i="15" s="1"/>
  <c r="ET112" i="15"/>
  <c r="EU112" i="15" s="1"/>
  <c r="EX112" i="15" s="1"/>
  <c r="ET116" i="15"/>
  <c r="EU116" i="15" s="1"/>
  <c r="EX116" i="15" s="1"/>
  <c r="ET120" i="15"/>
  <c r="EU120" i="15" s="1"/>
  <c r="EX120" i="15" s="1"/>
  <c r="ET127" i="15"/>
  <c r="EU127" i="15" s="1"/>
  <c r="EX127" i="15" s="1"/>
  <c r="ET131" i="15"/>
  <c r="EU131" i="15" s="1"/>
  <c r="EX131" i="15" s="1"/>
  <c r="ET135" i="15"/>
  <c r="EU135" i="15" s="1"/>
  <c r="EX135" i="15" s="1"/>
  <c r="ET139" i="15"/>
  <c r="EU139" i="15" s="1"/>
  <c r="EX139" i="15" s="1"/>
  <c r="ET146" i="15"/>
  <c r="EU146" i="15" s="1"/>
  <c r="EX146" i="15" s="1"/>
  <c r="ET150" i="15"/>
  <c r="EU150" i="15" s="1"/>
  <c r="EX150" i="15" s="1"/>
  <c r="ET154" i="15"/>
  <c r="EU154" i="15" s="1"/>
  <c r="EX154" i="15" s="1"/>
  <c r="ET158" i="15"/>
  <c r="EU158" i="15" s="1"/>
  <c r="EX158" i="15" s="1"/>
  <c r="ET162" i="15"/>
  <c r="EU162" i="15" s="1"/>
  <c r="EX162" i="15" s="1"/>
  <c r="ET166" i="15"/>
  <c r="EU166" i="15" s="1"/>
  <c r="EX166" i="15" s="1"/>
  <c r="ET169" i="15"/>
  <c r="EU169" i="15" s="1"/>
  <c r="EX169" i="15" s="1"/>
  <c r="ET173" i="15"/>
  <c r="EU173" i="15" s="1"/>
  <c r="EX173" i="15" s="1"/>
  <c r="ET177" i="15"/>
  <c r="EU177" i="15" s="1"/>
  <c r="EX177" i="15" s="1"/>
  <c r="ET181" i="15"/>
  <c r="EU181" i="15" s="1"/>
  <c r="EX181" i="15" s="1"/>
  <c r="ET185" i="15"/>
  <c r="EU185" i="15" s="1"/>
  <c r="EX185" i="15" s="1"/>
  <c r="ET189" i="15"/>
  <c r="EU189" i="15" s="1"/>
  <c r="EX189" i="15" s="1"/>
  <c r="ET192" i="15"/>
  <c r="EU192" i="15" s="1"/>
  <c r="EX192" i="15" s="1"/>
  <c r="ET196" i="15"/>
  <c r="EU196" i="15" s="1"/>
  <c r="EX196" i="15" s="1"/>
  <c r="ET200" i="15"/>
  <c r="EU200" i="15" s="1"/>
  <c r="EX200" i="15" s="1"/>
  <c r="ET204" i="15"/>
  <c r="EU204" i="15" s="1"/>
  <c r="EX204" i="15" s="1"/>
  <c r="ET208" i="15"/>
  <c r="EU208" i="15" s="1"/>
  <c r="EX208" i="15" s="1"/>
  <c r="ET212" i="15"/>
  <c r="EU212" i="15" s="1"/>
  <c r="EX212" i="15" s="1"/>
  <c r="ET216" i="15"/>
  <c r="EU216" i="15" s="1"/>
  <c r="EX216" i="15" s="1"/>
  <c r="ET223" i="15"/>
  <c r="EU223" i="15" s="1"/>
  <c r="EX223" i="15" s="1"/>
  <c r="ET227" i="15"/>
  <c r="EU227" i="15" s="1"/>
  <c r="EX227" i="15" s="1"/>
  <c r="ET231" i="15"/>
  <c r="EU231" i="15" s="1"/>
  <c r="EX231" i="15" s="1"/>
  <c r="ET234" i="15"/>
  <c r="EU234" i="15" s="1"/>
  <c r="EX234" i="15" s="1"/>
  <c r="ET238" i="15"/>
  <c r="EU238" i="15" s="1"/>
  <c r="EX238" i="15" s="1"/>
  <c r="ET242" i="15"/>
  <c r="EU242" i="15" s="1"/>
  <c r="EX242" i="15" s="1"/>
  <c r="ET246" i="15"/>
  <c r="EU246" i="15" s="1"/>
  <c r="EX246" i="15" s="1"/>
  <c r="ET253" i="15"/>
  <c r="EU253" i="15" s="1"/>
  <c r="EX253" i="15" s="1"/>
  <c r="ET257" i="15"/>
  <c r="EU257" i="15" s="1"/>
  <c r="EX257" i="15" s="1"/>
  <c r="ET261" i="15"/>
  <c r="EU261" i="15" s="1"/>
  <c r="EX261" i="15" s="1"/>
  <c r="ET265" i="15"/>
  <c r="EU265" i="15" s="1"/>
  <c r="EX265" i="15" s="1"/>
  <c r="ET272" i="15"/>
  <c r="EU272" i="15" s="1"/>
  <c r="EX272" i="15" s="1"/>
  <c r="ET276" i="15"/>
  <c r="EU276" i="15" s="1"/>
  <c r="EX276" i="15" s="1"/>
  <c r="ET280" i="15"/>
  <c r="EU280" i="15" s="1"/>
  <c r="EX280" i="15" s="1"/>
  <c r="ET284" i="15"/>
  <c r="EU284" i="15" s="1"/>
  <c r="EX284" i="15" s="1"/>
  <c r="ET288" i="15"/>
  <c r="EU288" i="15" s="1"/>
  <c r="EX288" i="15" s="1"/>
  <c r="ET292" i="15"/>
  <c r="EU292" i="15" s="1"/>
  <c r="EX292" i="15" s="1"/>
  <c r="ET296" i="15"/>
  <c r="EU296" i="15" s="1"/>
  <c r="EX296" i="15" s="1"/>
  <c r="ET300" i="15"/>
  <c r="EU300" i="15" s="1"/>
  <c r="EX300" i="15" s="1"/>
  <c r="ET303" i="15"/>
  <c r="EU303" i="15" s="1"/>
  <c r="EX303" i="15" s="1"/>
  <c r="ET307" i="15"/>
  <c r="EU307" i="15" s="1"/>
  <c r="EX307" i="15" s="1"/>
  <c r="ET311" i="15"/>
  <c r="EU311" i="15" s="1"/>
  <c r="EX311" i="15" s="1"/>
  <c r="ET315" i="15"/>
  <c r="EU315" i="15" s="1"/>
  <c r="EX315" i="15" s="1"/>
  <c r="ET319" i="15"/>
  <c r="EU319" i="15" s="1"/>
  <c r="EX319" i="15" s="1"/>
  <c r="ET323" i="15"/>
  <c r="EU323" i="15" s="1"/>
  <c r="EX323" i="15" s="1"/>
  <c r="ET326" i="15"/>
  <c r="EU326" i="15" s="1"/>
  <c r="EX326" i="15" s="1"/>
  <c r="ET330" i="15"/>
  <c r="EU330" i="15" s="1"/>
  <c r="EX330" i="15" s="1"/>
  <c r="ET334" i="15"/>
  <c r="EU334" i="15" s="1"/>
  <c r="EX334" i="15" s="1"/>
  <c r="ET338" i="15"/>
  <c r="EU338" i="15" s="1"/>
  <c r="EX338" i="15" s="1"/>
  <c r="ET342" i="15"/>
  <c r="EU342" i="15" s="1"/>
  <c r="EX342" i="15" s="1"/>
  <c r="ET346" i="15"/>
  <c r="EU346" i="15" s="1"/>
  <c r="EX346" i="15" s="1"/>
  <c r="ET350" i="15"/>
  <c r="EU350" i="15" s="1"/>
  <c r="EX350" i="15" s="1"/>
  <c r="ET354" i="15"/>
  <c r="EU354" i="15" s="1"/>
  <c r="EX354" i="15" s="1"/>
  <c r="ET358" i="15"/>
  <c r="EU358" i="15" s="1"/>
  <c r="EX358" i="15" s="1"/>
  <c r="ET362" i="15"/>
  <c r="EU362" i="15" s="1"/>
  <c r="EX362" i="15" s="1"/>
  <c r="ET366" i="15"/>
  <c r="EU366" i="15" s="1"/>
  <c r="EX366" i="15" s="1"/>
  <c r="ET370" i="15"/>
  <c r="EU370" i="15" s="1"/>
  <c r="EX370" i="15" s="1"/>
  <c r="ET373" i="15"/>
  <c r="EU373" i="15" s="1"/>
  <c r="EX373" i="15" s="1"/>
  <c r="ET377" i="15"/>
  <c r="EU377" i="15" s="1"/>
  <c r="EX377" i="15" s="1"/>
  <c r="ET381" i="15"/>
  <c r="EU381" i="15" s="1"/>
  <c r="EX381" i="15" s="1"/>
  <c r="ET385" i="15"/>
  <c r="EU385" i="15" s="1"/>
  <c r="EX385" i="15" s="1"/>
  <c r="ET389" i="15"/>
  <c r="EU389" i="15" s="1"/>
  <c r="EX389" i="15" s="1"/>
  <c r="ET393" i="15"/>
  <c r="EU393" i="15" s="1"/>
  <c r="EX393" i="15" s="1"/>
  <c r="ET397" i="15"/>
  <c r="EU397" i="15" s="1"/>
  <c r="EX397" i="15" s="1"/>
  <c r="ET401" i="15"/>
  <c r="EU401" i="15" s="1"/>
  <c r="EX401" i="15" s="1"/>
  <c r="ET405" i="15"/>
  <c r="EU405" i="15" s="1"/>
  <c r="EX405" i="15" s="1"/>
  <c r="ET408" i="15"/>
  <c r="EU408" i="15" s="1"/>
  <c r="EX408" i="15" s="1"/>
  <c r="ET412" i="15"/>
  <c r="EU412" i="15" s="1"/>
  <c r="EX412" i="15" s="1"/>
  <c r="ET416" i="15"/>
  <c r="EU416" i="15" s="1"/>
  <c r="EX416" i="15" s="1"/>
  <c r="ET420" i="15"/>
  <c r="EU420" i="15" s="1"/>
  <c r="EX420" i="15" s="1"/>
  <c r="ET424" i="15"/>
  <c r="EU424" i="15" s="1"/>
  <c r="EX424" i="15" s="1"/>
  <c r="ET428" i="15"/>
  <c r="EU428" i="15" s="1"/>
  <c r="EX428" i="15" s="1"/>
  <c r="ET431" i="15"/>
  <c r="EU431" i="15" s="1"/>
  <c r="EX431" i="15" s="1"/>
  <c r="ET435" i="15"/>
  <c r="EU435" i="15" s="1"/>
  <c r="EX435" i="15" s="1"/>
  <c r="ET439" i="15"/>
  <c r="EU439" i="15" s="1"/>
  <c r="EX439" i="15" s="1"/>
  <c r="ET443" i="15"/>
  <c r="EU443" i="15" s="1"/>
  <c r="EX443" i="15" s="1"/>
  <c r="ET447" i="15"/>
  <c r="EU447" i="15" s="1"/>
  <c r="EX447" i="15" s="1"/>
  <c r="ET451" i="15"/>
  <c r="EU451" i="15" s="1"/>
  <c r="EX451" i="15" s="1"/>
  <c r="ET455" i="15"/>
  <c r="EU455" i="15" s="1"/>
  <c r="EX455" i="15" s="1"/>
  <c r="ET458" i="15"/>
  <c r="EU458" i="15" s="1"/>
  <c r="EX458" i="15" s="1"/>
  <c r="ET462" i="15"/>
  <c r="EU462" i="15" s="1"/>
  <c r="EX462" i="15" s="1"/>
  <c r="ET466" i="15"/>
  <c r="EU466" i="15" s="1"/>
  <c r="EX466" i="15" s="1"/>
  <c r="ET473" i="15"/>
  <c r="EU473" i="15" s="1"/>
  <c r="EX473" i="15" s="1"/>
  <c r="ET477" i="15"/>
  <c r="EU477" i="15" s="1"/>
  <c r="EX477" i="15" s="1"/>
  <c r="ET481" i="15"/>
  <c r="EU481" i="15" s="1"/>
  <c r="EX481" i="15" s="1"/>
  <c r="ET485" i="15"/>
  <c r="EU485" i="15" s="1"/>
  <c r="EX485" i="15" s="1"/>
  <c r="ET489" i="15"/>
  <c r="EU489" i="15" s="1"/>
  <c r="EX489" i="15" s="1"/>
  <c r="ET492" i="15"/>
  <c r="EU492" i="15" s="1"/>
  <c r="EX492" i="15" s="1"/>
  <c r="ET496" i="15"/>
  <c r="EU496" i="15" s="1"/>
  <c r="EX496" i="15" s="1"/>
  <c r="ET500" i="15"/>
  <c r="EU500" i="15" s="1"/>
  <c r="EX500" i="15" s="1"/>
  <c r="ET504" i="15"/>
  <c r="EU504" i="15" s="1"/>
  <c r="EX504" i="15" s="1"/>
  <c r="ET508" i="15"/>
  <c r="EU508" i="15" s="1"/>
  <c r="EX508" i="15" s="1"/>
  <c r="ET512" i="15"/>
  <c r="EU512" i="15" s="1"/>
  <c r="EX512" i="15" s="1"/>
  <c r="ET515" i="15"/>
  <c r="EU515" i="15" s="1"/>
  <c r="EX515" i="15" s="1"/>
  <c r="ET519" i="15"/>
  <c r="EU519" i="15" s="1"/>
  <c r="EX519" i="15" s="1"/>
  <c r="ET523" i="15"/>
  <c r="EU523" i="15" s="1"/>
  <c r="EX523" i="15" s="1"/>
  <c r="ET527" i="15"/>
  <c r="EU527" i="15" s="1"/>
  <c r="EX527" i="15" s="1"/>
  <c r="ET530" i="15"/>
  <c r="EU530" i="15" s="1"/>
  <c r="EX530" i="15" s="1"/>
  <c r="ET534" i="15"/>
  <c r="EU534" i="15" s="1"/>
  <c r="EX534" i="15" s="1"/>
  <c r="ET538" i="15"/>
  <c r="EU538" i="15" s="1"/>
  <c r="EX538" i="15" s="1"/>
  <c r="ET542" i="15"/>
  <c r="EU542" i="15" s="1"/>
  <c r="EX542" i="15" s="1"/>
  <c r="ET546" i="15"/>
  <c r="EU546" i="15" s="1"/>
  <c r="EX546" i="15" s="1"/>
  <c r="ET549" i="15"/>
  <c r="EU549" i="15" s="1"/>
  <c r="EX549" i="15" s="1"/>
  <c r="ET553" i="15"/>
  <c r="EU553" i="15" s="1"/>
  <c r="EX553" i="15" s="1"/>
  <c r="ET557" i="15"/>
  <c r="EU557" i="15" s="1"/>
  <c r="EX557" i="15" s="1"/>
  <c r="ET561" i="15"/>
  <c r="EU561" i="15" s="1"/>
  <c r="EX561" i="15" s="1"/>
  <c r="ET565" i="15"/>
  <c r="EU565" i="15" s="1"/>
  <c r="EX565" i="15" s="1"/>
  <c r="ET569" i="15"/>
  <c r="EU569" i="15" s="1"/>
  <c r="EX569" i="15" s="1"/>
  <c r="ET574" i="15"/>
  <c r="EU574" i="15" s="1"/>
  <c r="EX574" i="15" s="1"/>
  <c r="ET577" i="15"/>
  <c r="EU577" i="15" s="1"/>
  <c r="EX577" i="15" s="1"/>
  <c r="ET580" i="15"/>
  <c r="EU580" i="15" s="1"/>
  <c r="EX580" i="15" s="1"/>
  <c r="ET584" i="15"/>
  <c r="EU584" i="15" s="1"/>
  <c r="EX584" i="15" s="1"/>
  <c r="ET588" i="15"/>
  <c r="EU588" i="15" s="1"/>
  <c r="EX588" i="15" s="1"/>
  <c r="ET592" i="15"/>
  <c r="EU592" i="15" s="1"/>
  <c r="EX592" i="15" s="1"/>
  <c r="ET596" i="15"/>
  <c r="EU596" i="15" s="1"/>
  <c r="EX596" i="15" s="1"/>
  <c r="ET600" i="15"/>
  <c r="EU600" i="15" s="1"/>
  <c r="EX600" i="15" s="1"/>
  <c r="ET604" i="15"/>
  <c r="EU604" i="15" s="1"/>
  <c r="EX604" i="15" s="1"/>
  <c r="ET608" i="15"/>
  <c r="EU608" i="15" s="1"/>
  <c r="EX608" i="15" s="1"/>
  <c r="ET615" i="15"/>
  <c r="EU615" i="15" s="1"/>
  <c r="EX615" i="15" s="1"/>
  <c r="ET619" i="15"/>
  <c r="EU619" i="15" s="1"/>
  <c r="EX619" i="15" s="1"/>
  <c r="ET622" i="15"/>
  <c r="EU622" i="15" s="1"/>
  <c r="EX622" i="15" s="1"/>
  <c r="ET626" i="15"/>
  <c r="EU626" i="15" s="1"/>
  <c r="EX626" i="15" s="1"/>
  <c r="ET630" i="15"/>
  <c r="EU630" i="15" s="1"/>
  <c r="EX630" i="15" s="1"/>
  <c r="ET634" i="15"/>
  <c r="EU634" i="15" s="1"/>
  <c r="EX634" i="15" s="1"/>
  <c r="ET638" i="15"/>
  <c r="EU638" i="15" s="1"/>
  <c r="EX638" i="15" s="1"/>
  <c r="ET645" i="15"/>
  <c r="EU645" i="15" s="1"/>
  <c r="EX645" i="15" s="1"/>
  <c r="ET649" i="15"/>
  <c r="EU649" i="15" s="1"/>
  <c r="EX649" i="15" s="1"/>
  <c r="ET653" i="15"/>
  <c r="EU653" i="15" s="1"/>
  <c r="EX653" i="15" s="1"/>
  <c r="ET657" i="15"/>
  <c r="EU657" i="15" s="1"/>
  <c r="EX657" i="15" s="1"/>
  <c r="ET661" i="15"/>
  <c r="EU661" i="15" s="1"/>
  <c r="EX661" i="15" s="1"/>
  <c r="ET665" i="15"/>
  <c r="EU665" i="15" s="1"/>
  <c r="EX665" i="15" s="1"/>
  <c r="ET672" i="15"/>
  <c r="EU672" i="15" s="1"/>
  <c r="EX672" i="15" s="1"/>
  <c r="ET676" i="15"/>
  <c r="EU676" i="15" s="1"/>
  <c r="EX676" i="15" s="1"/>
  <c r="ET680" i="15"/>
  <c r="EU680" i="15" s="1"/>
  <c r="EX680" i="15" s="1"/>
  <c r="ET684" i="15"/>
  <c r="EU684" i="15" s="1"/>
  <c r="EX684" i="15" s="1"/>
  <c r="ET688" i="15"/>
  <c r="EU688" i="15" s="1"/>
  <c r="EX688" i="15" s="1"/>
  <c r="ET691" i="15"/>
  <c r="EU691" i="15" s="1"/>
  <c r="EX691" i="15" s="1"/>
  <c r="ET695" i="15"/>
  <c r="EU695" i="15" s="1"/>
  <c r="EX695" i="15" s="1"/>
  <c r="ET699" i="15"/>
  <c r="EU699" i="15" s="1"/>
  <c r="EX699" i="15" s="1"/>
  <c r="ET703" i="15"/>
  <c r="EU703" i="15" s="1"/>
  <c r="EX703" i="15" s="1"/>
  <c r="ET707" i="15"/>
  <c r="EU707" i="15" s="1"/>
  <c r="EX707" i="15" s="1"/>
  <c r="ET711" i="15"/>
  <c r="EU711" i="15" s="1"/>
  <c r="EX711" i="15" s="1"/>
  <c r="ET718" i="15"/>
  <c r="EU718" i="15" s="1"/>
  <c r="EX718" i="15" s="1"/>
  <c r="ET722" i="15"/>
  <c r="EU722" i="15" s="1"/>
  <c r="EX722" i="15" s="1"/>
  <c r="ET726" i="15"/>
  <c r="EU726" i="15" s="1"/>
  <c r="EX726" i="15" s="1"/>
  <c r="ET730" i="15"/>
  <c r="EU730" i="15" s="1"/>
  <c r="EX730" i="15" s="1"/>
  <c r="ET733" i="15"/>
  <c r="EU733" i="15" s="1"/>
  <c r="EX733" i="15" s="1"/>
  <c r="ET737" i="15"/>
  <c r="EU737" i="15" s="1"/>
  <c r="EX737" i="15" s="1"/>
  <c r="ET741" i="15"/>
  <c r="EU741" i="15" s="1"/>
  <c r="EX741" i="15" s="1"/>
  <c r="ET745" i="15"/>
  <c r="EU745" i="15" s="1"/>
  <c r="EX745" i="15" s="1"/>
  <c r="ET749" i="15"/>
  <c r="EU749" i="15" s="1"/>
  <c r="EX749" i="15" s="1"/>
  <c r="ET756" i="15"/>
  <c r="EU756" i="15" s="1"/>
  <c r="EX756" i="15" s="1"/>
  <c r="ET758" i="15"/>
  <c r="EU758" i="15" s="1"/>
  <c r="EX758" i="15" s="1"/>
  <c r="ET762" i="15"/>
  <c r="EU762" i="15" s="1"/>
  <c r="EX762" i="15" s="1"/>
  <c r="ET766" i="15"/>
  <c r="EU766" i="15" s="1"/>
  <c r="EX766" i="15" s="1"/>
  <c r="ET770" i="15"/>
  <c r="EU770" i="15" s="1"/>
  <c r="EX770" i="15" s="1"/>
  <c r="ET776" i="15"/>
  <c r="EU776" i="15" s="1"/>
  <c r="EX776" i="15" s="1"/>
  <c r="ET779" i="15"/>
  <c r="EU779" i="15" s="1"/>
  <c r="EX779" i="15" s="1"/>
  <c r="ET783" i="15"/>
  <c r="EU783" i="15" s="1"/>
  <c r="EX783" i="15" s="1"/>
  <c r="ET787" i="15"/>
  <c r="EU787" i="15" s="1"/>
  <c r="EX787" i="15" s="1"/>
  <c r="ET791" i="15"/>
  <c r="EU791" i="15" s="1"/>
  <c r="EX791" i="15" s="1"/>
  <c r="ET798" i="15"/>
  <c r="EU798" i="15" s="1"/>
  <c r="EX798" i="15" s="1"/>
  <c r="ET802" i="15"/>
  <c r="EU802" i="15" s="1"/>
  <c r="EX802" i="15" s="1"/>
  <c r="ET806" i="15"/>
  <c r="EU806" i="15" s="1"/>
  <c r="EX806" i="15" s="1"/>
  <c r="ET810" i="15"/>
  <c r="EU810" i="15" s="1"/>
  <c r="EX810" i="15" s="1"/>
  <c r="ET814" i="15"/>
  <c r="EU814" i="15" s="1"/>
  <c r="EX814" i="15" s="1"/>
  <c r="ET818" i="15"/>
  <c r="EU818" i="15" s="1"/>
  <c r="EX818" i="15" s="1"/>
  <c r="ET822" i="15"/>
  <c r="EU822" i="15" s="1"/>
  <c r="EX822" i="15" s="1"/>
  <c r="ET826" i="15"/>
  <c r="EU826" i="15" s="1"/>
  <c r="EX826" i="15" s="1"/>
  <c r="ET829" i="15"/>
  <c r="EU829" i="15" s="1"/>
  <c r="EX829" i="15" s="1"/>
  <c r="ET833" i="15"/>
  <c r="EU833" i="15" s="1"/>
  <c r="EX833" i="15" s="1"/>
  <c r="ET837" i="15"/>
  <c r="EU837" i="15" s="1"/>
  <c r="EX837" i="15" s="1"/>
  <c r="ET841" i="15"/>
  <c r="EU841" i="15" s="1"/>
  <c r="EX841" i="15" s="1"/>
  <c r="ET845" i="15"/>
  <c r="EU845" i="15" s="1"/>
  <c r="EX845" i="15" s="1"/>
  <c r="ET849" i="15"/>
  <c r="EU849" i="15" s="1"/>
  <c r="EX849" i="15" s="1"/>
  <c r="ET853" i="15"/>
  <c r="EU853" i="15" s="1"/>
  <c r="EX853" i="15" s="1"/>
  <c r="ET857" i="15"/>
  <c r="EU857" i="15" s="1"/>
  <c r="EX857" i="15" s="1"/>
  <c r="ET861" i="15"/>
  <c r="EU861" i="15" s="1"/>
  <c r="EX861" i="15" s="1"/>
  <c r="ET10" i="15"/>
  <c r="EU10" i="15" s="1"/>
  <c r="EX10" i="15" s="1"/>
  <c r="ET14" i="15"/>
  <c r="EU14" i="15" s="1"/>
  <c r="EX14" i="15" s="1"/>
  <c r="ET18" i="15"/>
  <c r="EU18" i="15" s="1"/>
  <c r="EX18" i="15" s="1"/>
  <c r="ET22" i="15"/>
  <c r="EU22" i="15" s="1"/>
  <c r="EX22" i="15" s="1"/>
  <c r="ET26" i="15"/>
  <c r="EU26" i="15" s="1"/>
  <c r="EX26" i="15" s="1"/>
  <c r="ET30" i="15"/>
  <c r="EU30" i="15" s="1"/>
  <c r="EX30" i="15" s="1"/>
  <c r="ET34" i="15"/>
  <c r="EU34" i="15" s="1"/>
  <c r="EX34" i="15" s="1"/>
  <c r="ET37" i="15"/>
  <c r="EU37" i="15" s="1"/>
  <c r="EX37" i="15" s="1"/>
  <c r="ET44" i="15"/>
  <c r="EU44" i="15" s="1"/>
  <c r="EX44" i="15" s="1"/>
  <c r="ET48" i="15"/>
  <c r="EU48" i="15" s="1"/>
  <c r="EX48" i="15" s="1"/>
  <c r="ET52" i="15"/>
  <c r="EU52" i="15" s="1"/>
  <c r="EX52" i="15" s="1"/>
  <c r="ET56" i="15"/>
  <c r="EU56" i="15" s="1"/>
  <c r="EX56" i="15" s="1"/>
  <c r="ET60" i="15"/>
  <c r="EU60" i="15" s="1"/>
  <c r="EX60" i="15" s="1"/>
  <c r="ET67" i="15"/>
  <c r="EU67" i="15" s="1"/>
  <c r="EX67" i="15" s="1"/>
  <c r="ET71" i="15"/>
  <c r="EU71" i="15" s="1"/>
  <c r="EX71" i="15" s="1"/>
  <c r="ET75" i="15"/>
  <c r="EU75" i="15" s="1"/>
  <c r="EX75" i="15" s="1"/>
  <c r="ET79" i="15"/>
  <c r="EU79" i="15" s="1"/>
  <c r="EX79" i="15" s="1"/>
  <c r="ET83" i="15"/>
  <c r="EU83" i="15" s="1"/>
  <c r="EX83" i="15" s="1"/>
  <c r="ET86" i="15"/>
  <c r="EU86" i="15" s="1"/>
  <c r="EX86" i="15" s="1"/>
  <c r="ET90" i="15"/>
  <c r="EU90" i="15" s="1"/>
  <c r="EX90" i="15" s="1"/>
  <c r="ET94" i="15"/>
  <c r="EU94" i="15" s="1"/>
  <c r="EX94" i="15" s="1"/>
  <c r="ET98" i="15"/>
  <c r="EU98" i="15" s="1"/>
  <c r="EX98" i="15" s="1"/>
  <c r="ET101" i="15"/>
  <c r="EU101" i="15" s="1"/>
  <c r="EX101" i="15" s="1"/>
  <c r="ET105" i="15"/>
  <c r="EU105" i="15" s="1"/>
  <c r="EX105" i="15" s="1"/>
  <c r="ET109" i="15"/>
  <c r="EU109" i="15" s="1"/>
  <c r="EX109" i="15" s="1"/>
  <c r="ET113" i="15"/>
  <c r="EU113" i="15" s="1"/>
  <c r="EX113" i="15" s="1"/>
  <c r="ET117" i="15"/>
  <c r="EU117" i="15" s="1"/>
  <c r="EX117" i="15" s="1"/>
  <c r="ET121" i="15"/>
  <c r="EU121" i="15" s="1"/>
  <c r="EX121" i="15" s="1"/>
  <c r="ET125" i="15"/>
  <c r="EU125" i="15" s="1"/>
  <c r="EX125" i="15" s="1"/>
  <c r="ET8" i="15"/>
  <c r="EU8" i="15" s="1"/>
  <c r="EX8" i="15" s="1"/>
  <c r="ET23" i="15"/>
  <c r="EU23" i="15" s="1"/>
  <c r="EX23" i="15" s="1"/>
  <c r="ET38" i="15"/>
  <c r="EU38" i="15" s="1"/>
  <c r="EX38" i="15" s="1"/>
  <c r="ET53" i="15"/>
  <c r="EU53" i="15" s="1"/>
  <c r="EX53" i="15" s="1"/>
  <c r="ET68" i="15"/>
  <c r="EU68" i="15" s="1"/>
  <c r="EX68" i="15" s="1"/>
  <c r="ET114" i="15"/>
  <c r="EU114" i="15" s="1"/>
  <c r="EX114" i="15" s="1"/>
  <c r="ET128" i="15"/>
  <c r="EU128" i="15" s="1"/>
  <c r="EX128" i="15" s="1"/>
  <c r="ET136" i="15"/>
  <c r="EU136" i="15" s="1"/>
  <c r="EX136" i="15" s="1"/>
  <c r="ET144" i="15"/>
  <c r="EU144" i="15" s="1"/>
  <c r="EX144" i="15" s="1"/>
  <c r="ET151" i="15"/>
  <c r="EU151" i="15" s="1"/>
  <c r="EX151" i="15" s="1"/>
  <c r="ET159" i="15"/>
  <c r="EU159" i="15" s="1"/>
  <c r="EX159" i="15" s="1"/>
  <c r="ET167" i="15"/>
  <c r="EU167" i="15" s="1"/>
  <c r="EX167" i="15" s="1"/>
  <c r="ET174" i="15"/>
  <c r="EU174" i="15" s="1"/>
  <c r="EX174" i="15" s="1"/>
  <c r="ET182" i="15"/>
  <c r="EU182" i="15" s="1"/>
  <c r="EX182" i="15" s="1"/>
  <c r="ET190" i="15"/>
  <c r="EU190" i="15" s="1"/>
  <c r="EX190" i="15" s="1"/>
  <c r="ET197" i="15"/>
  <c r="EU197" i="15" s="1"/>
  <c r="EX197" i="15" s="1"/>
  <c r="ET205" i="15"/>
  <c r="EU205" i="15" s="1"/>
  <c r="EX205" i="15" s="1"/>
  <c r="ET213" i="15"/>
  <c r="EU213" i="15" s="1"/>
  <c r="EX213" i="15" s="1"/>
  <c r="ET220" i="15"/>
  <c r="EU220" i="15" s="1"/>
  <c r="EX220" i="15" s="1"/>
  <c r="ET228" i="15"/>
  <c r="EU228" i="15" s="1"/>
  <c r="EX228" i="15" s="1"/>
  <c r="ET235" i="15"/>
  <c r="EU235" i="15" s="1"/>
  <c r="EX235" i="15" s="1"/>
  <c r="ET243" i="15"/>
  <c r="EU243" i="15" s="1"/>
  <c r="EX243" i="15" s="1"/>
  <c r="ET251" i="15"/>
  <c r="EU251" i="15" s="1"/>
  <c r="EX251" i="15" s="1"/>
  <c r="ET258" i="15"/>
  <c r="EU258" i="15" s="1"/>
  <c r="EX258" i="15" s="1"/>
  <c r="ET266" i="15"/>
  <c r="EU266" i="15" s="1"/>
  <c r="EX266" i="15" s="1"/>
  <c r="ET273" i="15"/>
  <c r="EU273" i="15" s="1"/>
  <c r="EX273" i="15" s="1"/>
  <c r="ET281" i="15"/>
  <c r="EU281" i="15" s="1"/>
  <c r="EX281" i="15" s="1"/>
  <c r="ET289" i="15"/>
  <c r="EU289" i="15" s="1"/>
  <c r="EX289" i="15" s="1"/>
  <c r="ET297" i="15"/>
  <c r="EU297" i="15" s="1"/>
  <c r="EX297" i="15" s="1"/>
  <c r="ET304" i="15"/>
  <c r="EU304" i="15" s="1"/>
  <c r="EX304" i="15" s="1"/>
  <c r="ET312" i="15"/>
  <c r="EU312" i="15" s="1"/>
  <c r="EX312" i="15" s="1"/>
  <c r="ET320" i="15"/>
  <c r="EU320" i="15" s="1"/>
  <c r="EX320" i="15" s="1"/>
  <c r="ET327" i="15"/>
  <c r="EU327" i="15" s="1"/>
  <c r="EX327" i="15" s="1"/>
  <c r="ET335" i="15"/>
  <c r="EU335" i="15" s="1"/>
  <c r="EX335" i="15" s="1"/>
  <c r="ET343" i="15"/>
  <c r="EU343" i="15" s="1"/>
  <c r="EX343" i="15" s="1"/>
  <c r="ET351" i="15"/>
  <c r="EU351" i="15" s="1"/>
  <c r="EX351" i="15" s="1"/>
  <c r="ET359" i="15"/>
  <c r="EU359" i="15" s="1"/>
  <c r="EX359" i="15" s="1"/>
  <c r="ET367" i="15"/>
  <c r="EU367" i="15" s="1"/>
  <c r="EX367" i="15" s="1"/>
  <c r="ET374" i="15"/>
  <c r="EU374" i="15" s="1"/>
  <c r="EX374" i="15" s="1"/>
  <c r="ET382" i="15"/>
  <c r="EU382" i="15" s="1"/>
  <c r="EX382" i="15" s="1"/>
  <c r="ET390" i="15"/>
  <c r="EU390" i="15" s="1"/>
  <c r="EX390" i="15" s="1"/>
  <c r="ET398" i="15"/>
  <c r="EU398" i="15" s="1"/>
  <c r="EX398" i="15" s="1"/>
  <c r="ET413" i="15"/>
  <c r="EU413" i="15" s="1"/>
  <c r="EX413" i="15" s="1"/>
  <c r="ET421" i="15"/>
  <c r="EU421" i="15" s="1"/>
  <c r="EX421" i="15" s="1"/>
  <c r="ET436" i="15"/>
  <c r="EU436" i="15" s="1"/>
  <c r="EX436" i="15" s="1"/>
  <c r="ET444" i="15"/>
  <c r="EU444" i="15" s="1"/>
  <c r="EX444" i="15" s="1"/>
  <c r="ET452" i="15"/>
  <c r="EU452" i="15" s="1"/>
  <c r="EX452" i="15" s="1"/>
  <c r="ET459" i="15"/>
  <c r="EU459" i="15" s="1"/>
  <c r="EX459" i="15" s="1"/>
  <c r="ET467" i="15"/>
  <c r="EU467" i="15" s="1"/>
  <c r="EX467" i="15" s="1"/>
  <c r="ET474" i="15"/>
  <c r="EU474" i="15" s="1"/>
  <c r="EX474" i="15" s="1"/>
  <c r="ET482" i="15"/>
  <c r="EU482" i="15" s="1"/>
  <c r="EX482" i="15" s="1"/>
  <c r="ET497" i="15"/>
  <c r="EU497" i="15" s="1"/>
  <c r="EX497" i="15" s="1"/>
  <c r="ET505" i="15"/>
  <c r="EU505" i="15" s="1"/>
  <c r="EX505" i="15" s="1"/>
  <c r="ET513" i="15"/>
  <c r="EU513" i="15" s="1"/>
  <c r="EX513" i="15" s="1"/>
  <c r="ET520" i="15"/>
  <c r="EU520" i="15" s="1"/>
  <c r="EX520" i="15" s="1"/>
  <c r="ET535" i="15"/>
  <c r="EU535" i="15" s="1"/>
  <c r="EX535" i="15" s="1"/>
  <c r="ET543" i="15"/>
  <c r="EU543" i="15" s="1"/>
  <c r="EX543" i="15" s="1"/>
  <c r="ET550" i="15"/>
  <c r="EU550" i="15" s="1"/>
  <c r="EX550" i="15" s="1"/>
  <c r="ET558" i="15"/>
  <c r="EU558" i="15" s="1"/>
  <c r="EX558" i="15" s="1"/>
  <c r="ET566" i="15"/>
  <c r="EU566" i="15" s="1"/>
  <c r="EX566" i="15" s="1"/>
  <c r="ET572" i="15"/>
  <c r="EU572" i="15" s="1"/>
  <c r="EX572" i="15" s="1"/>
  <c r="ET581" i="15"/>
  <c r="EU581" i="15" s="1"/>
  <c r="EX581" i="15" s="1"/>
  <c r="ET589" i="15"/>
  <c r="EU589" i="15" s="1"/>
  <c r="EX589" i="15" s="1"/>
  <c r="ET597" i="15"/>
  <c r="EU597" i="15" s="1"/>
  <c r="EX597" i="15" s="1"/>
  <c r="ET605" i="15"/>
  <c r="EU605" i="15" s="1"/>
  <c r="EX605" i="15" s="1"/>
  <c r="ET612" i="15"/>
  <c r="EU612" i="15" s="1"/>
  <c r="EX612" i="15" s="1"/>
  <c r="ET620" i="15"/>
  <c r="EU620" i="15" s="1"/>
  <c r="EX620" i="15" s="1"/>
  <c r="ET627" i="15"/>
  <c r="EU627" i="15" s="1"/>
  <c r="EX627" i="15" s="1"/>
  <c r="ET635" i="15"/>
  <c r="EU635" i="15" s="1"/>
  <c r="EX635" i="15" s="1"/>
  <c r="ET642" i="15"/>
  <c r="EU642" i="15" s="1"/>
  <c r="EX642" i="15" s="1"/>
  <c r="ET650" i="15"/>
  <c r="EU650" i="15" s="1"/>
  <c r="EX650" i="15" s="1"/>
  <c r="ET658" i="15"/>
  <c r="EU658" i="15" s="1"/>
  <c r="EX658" i="15" s="1"/>
  <c r="ET666" i="15"/>
  <c r="EU666" i="15" s="1"/>
  <c r="EX666" i="15" s="1"/>
  <c r="ET673" i="15"/>
  <c r="EU673" i="15" s="1"/>
  <c r="EX673" i="15" s="1"/>
  <c r="ET681" i="15"/>
  <c r="EU681" i="15" s="1"/>
  <c r="EX681" i="15" s="1"/>
  <c r="ET696" i="15"/>
  <c r="EU696" i="15" s="1"/>
  <c r="EX696" i="15" s="1"/>
  <c r="ET704" i="15"/>
  <c r="EU704" i="15" s="1"/>
  <c r="EX704" i="15" s="1"/>
  <c r="ET719" i="15"/>
  <c r="EU719" i="15" s="1"/>
  <c r="EX719" i="15" s="1"/>
  <c r="ET727" i="15"/>
  <c r="EU727" i="15" s="1"/>
  <c r="EX727" i="15" s="1"/>
  <c r="ET734" i="15"/>
  <c r="EU734" i="15" s="1"/>
  <c r="EX734" i="15" s="1"/>
  <c r="ET742" i="15"/>
  <c r="EU742" i="15" s="1"/>
  <c r="EX742" i="15" s="1"/>
  <c r="ET750" i="15"/>
  <c r="EU750" i="15" s="1"/>
  <c r="EX750" i="15" s="1"/>
  <c r="ET757" i="15"/>
  <c r="EU757" i="15" s="1"/>
  <c r="EX757" i="15" s="1"/>
  <c r="ET763" i="15"/>
  <c r="EU763" i="15" s="1"/>
  <c r="EX763" i="15" s="1"/>
  <c r="ET771" i="15"/>
  <c r="EU771" i="15" s="1"/>
  <c r="EX771" i="15" s="1"/>
  <c r="ET780" i="15"/>
  <c r="EU780" i="15" s="1"/>
  <c r="EX780" i="15" s="1"/>
  <c r="ET788" i="15"/>
  <c r="EU788" i="15" s="1"/>
  <c r="EX788" i="15" s="1"/>
  <c r="ET796" i="15"/>
  <c r="EU796" i="15" s="1"/>
  <c r="EX796" i="15" s="1"/>
  <c r="ET803" i="15"/>
  <c r="EU803" i="15" s="1"/>
  <c r="EX803" i="15" s="1"/>
  <c r="ET811" i="15"/>
  <c r="EU811" i="15" s="1"/>
  <c r="EX811" i="15" s="1"/>
  <c r="ET819" i="15"/>
  <c r="EU819" i="15" s="1"/>
  <c r="EX819" i="15" s="1"/>
  <c r="ET834" i="15"/>
  <c r="EU834" i="15" s="1"/>
  <c r="EX834" i="15" s="1"/>
  <c r="ET842" i="15"/>
  <c r="EU842" i="15" s="1"/>
  <c r="EX842" i="15" s="1"/>
  <c r="ET850" i="15"/>
  <c r="EU850" i="15" s="1"/>
  <c r="EX850" i="15" s="1"/>
  <c r="ET858" i="15"/>
  <c r="EU858" i="15" s="1"/>
  <c r="EX858" i="15" s="1"/>
  <c r="ET49" i="15"/>
  <c r="EU49" i="15" s="1"/>
  <c r="EX49" i="15" s="1"/>
  <c r="ET95" i="15"/>
  <c r="EU95" i="15" s="1"/>
  <c r="EX95" i="15" s="1"/>
  <c r="ET133" i="15"/>
  <c r="EU133" i="15" s="1"/>
  <c r="EX133" i="15" s="1"/>
  <c r="ET156" i="15"/>
  <c r="EU156" i="15" s="1"/>
  <c r="EX156" i="15" s="1"/>
  <c r="ET179" i="15"/>
  <c r="EU179" i="15" s="1"/>
  <c r="EX179" i="15" s="1"/>
  <c r="ET202" i="15"/>
  <c r="EU202" i="15" s="1"/>
  <c r="EX202" i="15" s="1"/>
  <c r="ET218" i="15"/>
  <c r="EU218" i="15" s="1"/>
  <c r="EX218" i="15" s="1"/>
  <c r="ET255" i="15"/>
  <c r="EU255" i="15" s="1"/>
  <c r="EX255" i="15" s="1"/>
  <c r="ET286" i="15"/>
  <c r="EU286" i="15" s="1"/>
  <c r="EX286" i="15" s="1"/>
  <c r="ET309" i="15"/>
  <c r="EU309" i="15" s="1"/>
  <c r="EX309" i="15" s="1"/>
  <c r="ET317" i="15"/>
  <c r="EU317" i="15" s="1"/>
  <c r="EX317" i="15" s="1"/>
  <c r="ET340" i="15"/>
  <c r="EU340" i="15" s="1"/>
  <c r="EX340" i="15" s="1"/>
  <c r="ET364" i="15"/>
  <c r="EU364" i="15" s="1"/>
  <c r="EX364" i="15" s="1"/>
  <c r="ET395" i="15"/>
  <c r="EU395" i="15" s="1"/>
  <c r="EX395" i="15" s="1"/>
  <c r="ET418" i="15"/>
  <c r="EU418" i="15" s="1"/>
  <c r="EX418" i="15" s="1"/>
  <c r="ET433" i="15"/>
  <c r="EU433" i="15" s="1"/>
  <c r="EX433" i="15" s="1"/>
  <c r="ET456" i="15"/>
  <c r="EU456" i="15" s="1"/>
  <c r="EX456" i="15" s="1"/>
  <c r="ET464" i="15"/>
  <c r="EU464" i="15" s="1"/>
  <c r="EX464" i="15" s="1"/>
  <c r="ET487" i="15"/>
  <c r="EU487" i="15" s="1"/>
  <c r="EX487" i="15" s="1"/>
  <c r="ET510" i="15"/>
  <c r="EU510" i="15" s="1"/>
  <c r="EX510" i="15" s="1"/>
  <c r="ET525" i="15"/>
  <c r="EU525" i="15" s="1"/>
  <c r="EX525" i="15" s="1"/>
  <c r="ET555" i="15"/>
  <c r="EU555" i="15" s="1"/>
  <c r="EX555" i="15" s="1"/>
  <c r="ET594" i="15"/>
  <c r="EU594" i="15" s="1"/>
  <c r="EX594" i="15" s="1"/>
  <c r="ET617" i="15"/>
  <c r="EU617" i="15" s="1"/>
  <c r="EX617" i="15" s="1"/>
  <c r="ET655" i="15"/>
  <c r="EU655" i="15" s="1"/>
  <c r="EX655" i="15" s="1"/>
  <c r="ET678" i="15"/>
  <c r="EU678" i="15" s="1"/>
  <c r="EX678" i="15" s="1"/>
  <c r="ET693" i="15"/>
  <c r="EU693" i="15" s="1"/>
  <c r="EX693" i="15" s="1"/>
  <c r="ET709" i="15"/>
  <c r="EU709" i="15" s="1"/>
  <c r="EX709" i="15" s="1"/>
  <c r="ET732" i="15"/>
  <c r="EU732" i="15" s="1"/>
  <c r="EX732" i="15" s="1"/>
  <c r="ET777" i="15"/>
  <c r="EU777" i="15" s="1"/>
  <c r="EX777" i="15" s="1"/>
  <c r="ET793" i="15"/>
  <c r="EU793" i="15" s="1"/>
  <c r="EX793" i="15" s="1"/>
  <c r="ET816" i="15"/>
  <c r="EU816" i="15" s="1"/>
  <c r="EX816" i="15" s="1"/>
  <c r="ET839" i="15"/>
  <c r="EU839" i="15" s="1"/>
  <c r="EX839" i="15" s="1"/>
  <c r="ET855" i="15"/>
  <c r="EU855" i="15" s="1"/>
  <c r="EX855" i="15" s="1"/>
  <c r="ET11" i="15"/>
  <c r="EU11" i="15" s="1"/>
  <c r="EX11" i="15" s="1"/>
  <c r="ET27" i="15"/>
  <c r="EU27" i="15" s="1"/>
  <c r="EX27" i="15" s="1"/>
  <c r="ET42" i="15"/>
  <c r="EU42" i="15" s="1"/>
  <c r="EX42" i="15" s="1"/>
  <c r="ET57" i="15"/>
  <c r="EU57" i="15" s="1"/>
  <c r="EX57" i="15" s="1"/>
  <c r="ET72" i="15"/>
  <c r="EU72" i="15" s="1"/>
  <c r="EX72" i="15" s="1"/>
  <c r="ET87" i="15"/>
  <c r="EU87" i="15" s="1"/>
  <c r="EX87" i="15" s="1"/>
  <c r="ET102" i="15"/>
  <c r="EU102" i="15" s="1"/>
  <c r="EX102" i="15" s="1"/>
  <c r="ET118" i="15"/>
  <c r="EU118" i="15" s="1"/>
  <c r="EX118" i="15" s="1"/>
  <c r="ET129" i="15"/>
  <c r="EU129" i="15" s="1"/>
  <c r="EX129" i="15" s="1"/>
  <c r="ET137" i="15"/>
  <c r="EU137" i="15" s="1"/>
  <c r="EX137" i="15" s="1"/>
  <c r="ET145" i="15"/>
  <c r="EU145" i="15" s="1"/>
  <c r="EX145" i="15" s="1"/>
  <c r="ET152" i="15"/>
  <c r="EU152" i="15" s="1"/>
  <c r="EX152" i="15" s="1"/>
  <c r="ET160" i="15"/>
  <c r="EU160" i="15" s="1"/>
  <c r="EX160" i="15" s="1"/>
  <c r="ET168" i="15"/>
  <c r="EU168" i="15" s="1"/>
  <c r="EX168" i="15" s="1"/>
  <c r="ET175" i="15"/>
  <c r="EU175" i="15" s="1"/>
  <c r="EX175" i="15" s="1"/>
  <c r="ET183" i="15"/>
  <c r="EU183" i="15" s="1"/>
  <c r="EX183" i="15" s="1"/>
  <c r="ET198" i="15"/>
  <c r="EU198" i="15" s="1"/>
  <c r="EX198" i="15" s="1"/>
  <c r="ET206" i="15"/>
  <c r="EU206" i="15" s="1"/>
  <c r="EX206" i="15" s="1"/>
  <c r="ET214" i="15"/>
  <c r="EU214" i="15" s="1"/>
  <c r="EX214" i="15" s="1"/>
  <c r="ET221" i="15"/>
  <c r="EU221" i="15" s="1"/>
  <c r="EX221" i="15" s="1"/>
  <c r="ET229" i="15"/>
  <c r="EU229" i="15" s="1"/>
  <c r="EX229" i="15" s="1"/>
  <c r="ET236" i="15"/>
  <c r="EU236" i="15" s="1"/>
  <c r="EX236" i="15" s="1"/>
  <c r="ET244" i="15"/>
  <c r="EU244" i="15" s="1"/>
  <c r="EX244" i="15" s="1"/>
  <c r="ET259" i="15"/>
  <c r="EU259" i="15" s="1"/>
  <c r="EX259" i="15" s="1"/>
  <c r="ET267" i="15"/>
  <c r="EU267" i="15" s="1"/>
  <c r="EX267" i="15" s="1"/>
  <c r="ET275" i="15"/>
  <c r="EU275" i="15" s="1"/>
  <c r="EX275" i="15" s="1"/>
  <c r="ET282" i="15"/>
  <c r="EU282" i="15" s="1"/>
  <c r="EX282" i="15" s="1"/>
  <c r="ET290" i="15"/>
  <c r="EU290" i="15" s="1"/>
  <c r="EX290" i="15" s="1"/>
  <c r="ET298" i="15"/>
  <c r="EU298" i="15" s="1"/>
  <c r="EX298" i="15" s="1"/>
  <c r="ET305" i="15"/>
  <c r="EU305" i="15" s="1"/>
  <c r="EX305" i="15" s="1"/>
  <c r="ET313" i="15"/>
  <c r="EU313" i="15" s="1"/>
  <c r="EX313" i="15" s="1"/>
  <c r="ET321" i="15"/>
  <c r="EU321" i="15" s="1"/>
  <c r="EX321" i="15" s="1"/>
  <c r="ET328" i="15"/>
  <c r="EU328" i="15" s="1"/>
  <c r="EX328" i="15" s="1"/>
  <c r="ET336" i="15"/>
  <c r="EU336" i="15" s="1"/>
  <c r="EX336" i="15" s="1"/>
  <c r="ET344" i="15"/>
  <c r="EU344" i="15" s="1"/>
  <c r="EX344" i="15" s="1"/>
  <c r="ET352" i="15"/>
  <c r="EU352" i="15" s="1"/>
  <c r="EX352" i="15" s="1"/>
  <c r="ET360" i="15"/>
  <c r="EU360" i="15" s="1"/>
  <c r="EX360" i="15" s="1"/>
  <c r="ET368" i="15"/>
  <c r="EU368" i="15" s="1"/>
  <c r="EX368" i="15" s="1"/>
  <c r="ET375" i="15"/>
  <c r="EU375" i="15" s="1"/>
  <c r="EX375" i="15" s="1"/>
  <c r="ET383" i="15"/>
  <c r="EU383" i="15" s="1"/>
  <c r="EX383" i="15" s="1"/>
  <c r="ET391" i="15"/>
  <c r="EU391" i="15" s="1"/>
  <c r="EX391" i="15" s="1"/>
  <c r="ET399" i="15"/>
  <c r="EU399" i="15" s="1"/>
  <c r="EX399" i="15" s="1"/>
  <c r="ET407" i="15"/>
  <c r="EU407" i="15" s="1"/>
  <c r="EX407" i="15" s="1"/>
  <c r="ET414" i="15"/>
  <c r="EU414" i="15" s="1"/>
  <c r="EX414" i="15" s="1"/>
  <c r="ET422" i="15"/>
  <c r="EU422" i="15" s="1"/>
  <c r="EX422" i="15" s="1"/>
  <c r="ET430" i="15"/>
  <c r="EU430" i="15" s="1"/>
  <c r="EX430" i="15" s="1"/>
  <c r="ET437" i="15"/>
  <c r="EU437" i="15" s="1"/>
  <c r="EX437" i="15" s="1"/>
  <c r="ET445" i="15"/>
  <c r="EU445" i="15" s="1"/>
  <c r="EX445" i="15" s="1"/>
  <c r="ET453" i="15"/>
  <c r="EU453" i="15" s="1"/>
  <c r="EX453" i="15" s="1"/>
  <c r="ET460" i="15"/>
  <c r="EU460" i="15" s="1"/>
  <c r="EX460" i="15" s="1"/>
  <c r="ET468" i="15"/>
  <c r="EU468" i="15" s="1"/>
  <c r="EX468" i="15" s="1"/>
  <c r="ET475" i="15"/>
  <c r="EU475" i="15" s="1"/>
  <c r="EX475" i="15" s="1"/>
  <c r="ET483" i="15"/>
  <c r="EU483" i="15" s="1"/>
  <c r="EX483" i="15" s="1"/>
  <c r="ET491" i="15"/>
  <c r="EU491" i="15" s="1"/>
  <c r="EX491" i="15" s="1"/>
  <c r="ET498" i="15"/>
  <c r="EU498" i="15" s="1"/>
  <c r="EX498" i="15" s="1"/>
  <c r="ET506" i="15"/>
  <c r="EU506" i="15" s="1"/>
  <c r="EX506" i="15" s="1"/>
  <c r="ET514" i="15"/>
  <c r="EU514" i="15" s="1"/>
  <c r="EX514" i="15" s="1"/>
  <c r="ET521" i="15"/>
  <c r="EU521" i="15" s="1"/>
  <c r="EX521" i="15" s="1"/>
  <c r="ET529" i="15"/>
  <c r="EU529" i="15" s="1"/>
  <c r="EX529" i="15" s="1"/>
  <c r="ET536" i="15"/>
  <c r="EU536" i="15" s="1"/>
  <c r="EX536" i="15" s="1"/>
  <c r="ET544" i="15"/>
  <c r="EU544" i="15" s="1"/>
  <c r="EX544" i="15" s="1"/>
  <c r="ET551" i="15"/>
  <c r="EU551" i="15" s="1"/>
  <c r="EX551" i="15" s="1"/>
  <c r="ET559" i="15"/>
  <c r="EU559" i="15" s="1"/>
  <c r="EX559" i="15" s="1"/>
  <c r="ET567" i="15"/>
  <c r="EU567" i="15" s="1"/>
  <c r="EX567" i="15" s="1"/>
  <c r="ET575" i="15"/>
  <c r="EU575" i="15" s="1"/>
  <c r="EX575" i="15" s="1"/>
  <c r="ET582" i="15"/>
  <c r="EU582" i="15" s="1"/>
  <c r="EX582" i="15" s="1"/>
  <c r="ET590" i="15"/>
  <c r="EU590" i="15" s="1"/>
  <c r="EX590" i="15" s="1"/>
  <c r="ET598" i="15"/>
  <c r="EU598" i="15" s="1"/>
  <c r="EX598" i="15" s="1"/>
  <c r="ET606" i="15"/>
  <c r="EU606" i="15" s="1"/>
  <c r="EX606" i="15" s="1"/>
  <c r="ET613" i="15"/>
  <c r="EU613" i="15" s="1"/>
  <c r="EX613" i="15" s="1"/>
  <c r="ET621" i="15"/>
  <c r="EU621" i="15" s="1"/>
  <c r="EX621" i="15" s="1"/>
  <c r="ET628" i="15"/>
  <c r="EU628" i="15" s="1"/>
  <c r="EX628" i="15" s="1"/>
  <c r="ET636" i="15"/>
  <c r="EU636" i="15" s="1"/>
  <c r="EX636" i="15" s="1"/>
  <c r="ET643" i="15"/>
  <c r="EU643" i="15" s="1"/>
  <c r="EX643" i="15" s="1"/>
  <c r="ET651" i="15"/>
  <c r="EU651" i="15" s="1"/>
  <c r="EX651" i="15" s="1"/>
  <c r="ET659" i="15"/>
  <c r="EU659" i="15" s="1"/>
  <c r="EX659" i="15" s="1"/>
  <c r="ET667" i="15"/>
  <c r="EU667" i="15" s="1"/>
  <c r="EX667" i="15" s="1"/>
  <c r="ET674" i="15"/>
  <c r="EU674" i="15" s="1"/>
  <c r="EX674" i="15" s="1"/>
  <c r="ET682" i="15"/>
  <c r="EU682" i="15" s="1"/>
  <c r="EX682" i="15" s="1"/>
  <c r="ET689" i="15"/>
  <c r="EU689" i="15" s="1"/>
  <c r="EX689" i="15" s="1"/>
  <c r="ET697" i="15"/>
  <c r="EU697" i="15" s="1"/>
  <c r="EX697" i="15" s="1"/>
  <c r="ET705" i="15"/>
  <c r="EU705" i="15" s="1"/>
  <c r="EX705" i="15" s="1"/>
  <c r="ET713" i="15"/>
  <c r="EU713" i="15" s="1"/>
  <c r="EX713" i="15" s="1"/>
  <c r="ET720" i="15"/>
  <c r="EU720" i="15" s="1"/>
  <c r="EX720" i="15" s="1"/>
  <c r="ET728" i="15"/>
  <c r="EU728" i="15" s="1"/>
  <c r="EX728" i="15" s="1"/>
  <c r="ET735" i="15"/>
  <c r="EU735" i="15" s="1"/>
  <c r="EX735" i="15" s="1"/>
  <c r="ET743" i="15"/>
  <c r="EU743" i="15" s="1"/>
  <c r="EX743" i="15" s="1"/>
  <c r="ET751" i="15"/>
  <c r="EU751" i="15" s="1"/>
  <c r="EX751" i="15" s="1"/>
  <c r="ET773" i="15"/>
  <c r="EU773" i="15" s="1"/>
  <c r="EX773" i="15" s="1"/>
  <c r="ET764" i="15"/>
  <c r="EU764" i="15" s="1"/>
  <c r="EX764" i="15" s="1"/>
  <c r="ET772" i="15"/>
  <c r="EU772" i="15" s="1"/>
  <c r="EX772" i="15" s="1"/>
  <c r="ET781" i="15"/>
  <c r="EU781" i="15" s="1"/>
  <c r="EX781" i="15" s="1"/>
  <c r="ET789" i="15"/>
  <c r="EU789" i="15" s="1"/>
  <c r="EX789" i="15" s="1"/>
  <c r="ET804" i="15"/>
  <c r="EU804" i="15" s="1"/>
  <c r="EX804" i="15" s="1"/>
  <c r="ET812" i="15"/>
  <c r="EU812" i="15" s="1"/>
  <c r="EX812" i="15" s="1"/>
  <c r="ET820" i="15"/>
  <c r="EU820" i="15" s="1"/>
  <c r="EX820" i="15" s="1"/>
  <c r="ET828" i="15"/>
  <c r="EU828" i="15" s="1"/>
  <c r="EX828" i="15" s="1"/>
  <c r="ET835" i="15"/>
  <c r="EU835" i="15" s="1"/>
  <c r="EX835" i="15" s="1"/>
  <c r="ET843" i="15"/>
  <c r="EU843" i="15" s="1"/>
  <c r="EX843" i="15" s="1"/>
  <c r="ET851" i="15"/>
  <c r="EU851" i="15" s="1"/>
  <c r="EX851" i="15" s="1"/>
  <c r="ET859" i="15"/>
  <c r="EU859" i="15" s="1"/>
  <c r="EX859" i="15" s="1"/>
  <c r="ET65" i="15"/>
  <c r="EU65" i="15" s="1"/>
  <c r="EX65" i="15" s="1"/>
  <c r="ET110" i="15"/>
  <c r="EU110" i="15" s="1"/>
  <c r="EX110" i="15" s="1"/>
  <c r="ET141" i="15"/>
  <c r="EU141" i="15" s="1"/>
  <c r="EX141" i="15" s="1"/>
  <c r="ET164" i="15"/>
  <c r="EU164" i="15" s="1"/>
  <c r="EX164" i="15" s="1"/>
  <c r="ET187" i="15"/>
  <c r="EU187" i="15" s="1"/>
  <c r="EX187" i="15" s="1"/>
  <c r="ET210" i="15"/>
  <c r="EU210" i="15" s="1"/>
  <c r="EX210" i="15" s="1"/>
  <c r="ET225" i="15"/>
  <c r="EU225" i="15" s="1"/>
  <c r="EX225" i="15" s="1"/>
  <c r="ET240" i="15"/>
  <c r="EU240" i="15" s="1"/>
  <c r="EX240" i="15" s="1"/>
  <c r="ET263" i="15"/>
  <c r="EU263" i="15" s="1"/>
  <c r="EX263" i="15" s="1"/>
  <c r="ET278" i="15"/>
  <c r="EU278" i="15" s="1"/>
  <c r="EX278" i="15" s="1"/>
  <c r="ET301" i="15"/>
  <c r="EU301" i="15" s="1"/>
  <c r="EX301" i="15" s="1"/>
  <c r="ET325" i="15"/>
  <c r="EU325" i="15" s="1"/>
  <c r="EX325" i="15" s="1"/>
  <c r="ET348" i="15"/>
  <c r="EU348" i="15" s="1"/>
  <c r="EX348" i="15" s="1"/>
  <c r="ET387" i="15"/>
  <c r="EU387" i="15" s="1"/>
  <c r="EX387" i="15" s="1"/>
  <c r="ET410" i="15"/>
  <c r="EU410" i="15" s="1"/>
  <c r="EX410" i="15" s="1"/>
  <c r="ET426" i="15"/>
  <c r="EU426" i="15" s="1"/>
  <c r="EX426" i="15" s="1"/>
  <c r="ET449" i="15"/>
  <c r="EU449" i="15" s="1"/>
  <c r="EX449" i="15" s="1"/>
  <c r="ET472" i="15"/>
  <c r="EU472" i="15" s="1"/>
  <c r="EX472" i="15" s="1"/>
  <c r="ET494" i="15"/>
  <c r="EU494" i="15" s="1"/>
  <c r="EX494" i="15" s="1"/>
  <c r="ET502" i="15"/>
  <c r="EU502" i="15" s="1"/>
  <c r="EX502" i="15" s="1"/>
  <c r="ET532" i="15"/>
  <c r="EU532" i="15" s="1"/>
  <c r="EX532" i="15" s="1"/>
  <c r="ET548" i="15"/>
  <c r="EU548" i="15" s="1"/>
  <c r="EX548" i="15" s="1"/>
  <c r="ET571" i="15"/>
  <c r="EU571" i="15" s="1"/>
  <c r="EX571" i="15" s="1"/>
  <c r="ET586" i="15"/>
  <c r="EU586" i="15" s="1"/>
  <c r="EX586" i="15" s="1"/>
  <c r="ET610" i="15"/>
  <c r="EU610" i="15" s="1"/>
  <c r="EX610" i="15" s="1"/>
  <c r="ET632" i="15"/>
  <c r="EU632" i="15" s="1"/>
  <c r="EX632" i="15" s="1"/>
  <c r="ET647" i="15"/>
  <c r="EU647" i="15" s="1"/>
  <c r="EX647" i="15" s="1"/>
  <c r="ET670" i="15"/>
  <c r="EU670" i="15" s="1"/>
  <c r="EX670" i="15" s="1"/>
  <c r="ET686" i="15"/>
  <c r="EU686" i="15" s="1"/>
  <c r="EX686" i="15" s="1"/>
  <c r="ET701" i="15"/>
  <c r="EU701" i="15" s="1"/>
  <c r="EX701" i="15" s="1"/>
  <c r="ET724" i="15"/>
  <c r="EU724" i="15" s="1"/>
  <c r="EX724" i="15" s="1"/>
  <c r="ET747" i="15"/>
  <c r="EU747" i="15" s="1"/>
  <c r="EX747" i="15" s="1"/>
  <c r="ET768" i="15"/>
  <c r="EU768" i="15" s="1"/>
  <c r="EX768" i="15" s="1"/>
  <c r="ET785" i="15"/>
  <c r="EU785" i="15" s="1"/>
  <c r="EX785" i="15" s="1"/>
  <c r="ET808" i="15"/>
  <c r="EU808" i="15" s="1"/>
  <c r="EX808" i="15" s="1"/>
  <c r="ET831" i="15"/>
  <c r="EU831" i="15" s="1"/>
  <c r="EX831" i="15" s="1"/>
  <c r="ET847" i="15"/>
  <c r="EU847" i="15" s="1"/>
  <c r="EX847" i="15" s="1"/>
  <c r="ET15" i="15"/>
  <c r="EU15" i="15" s="1"/>
  <c r="EX15" i="15" s="1"/>
  <c r="ET31" i="15"/>
  <c r="EU31" i="15" s="1"/>
  <c r="EX31" i="15" s="1"/>
  <c r="ET45" i="15"/>
  <c r="EU45" i="15" s="1"/>
  <c r="EX45" i="15" s="1"/>
  <c r="ET61" i="15"/>
  <c r="EU61" i="15" s="1"/>
  <c r="EX61" i="15" s="1"/>
  <c r="ET76" i="15"/>
  <c r="EU76" i="15" s="1"/>
  <c r="EX76" i="15" s="1"/>
  <c r="ET91" i="15"/>
  <c r="EU91" i="15" s="1"/>
  <c r="EX91" i="15" s="1"/>
  <c r="ET106" i="15"/>
  <c r="EU106" i="15" s="1"/>
  <c r="EX106" i="15" s="1"/>
  <c r="ET122" i="15"/>
  <c r="EU122" i="15" s="1"/>
  <c r="EX122" i="15" s="1"/>
  <c r="ET132" i="15"/>
  <c r="EU132" i="15" s="1"/>
  <c r="EX132" i="15" s="1"/>
  <c r="ET140" i="15"/>
  <c r="EU140" i="15" s="1"/>
  <c r="EX140" i="15" s="1"/>
  <c r="ET147" i="15"/>
  <c r="EU147" i="15" s="1"/>
  <c r="EX147" i="15" s="1"/>
  <c r="ET155" i="15"/>
  <c r="EU155" i="15" s="1"/>
  <c r="EX155" i="15" s="1"/>
  <c r="ET163" i="15"/>
  <c r="EU163" i="15" s="1"/>
  <c r="EX163" i="15" s="1"/>
  <c r="ET170" i="15"/>
  <c r="EU170" i="15" s="1"/>
  <c r="EX170" i="15" s="1"/>
  <c r="ET178" i="15"/>
  <c r="EU178" i="15" s="1"/>
  <c r="EX178" i="15" s="1"/>
  <c r="ET186" i="15"/>
  <c r="EU186" i="15" s="1"/>
  <c r="EX186" i="15" s="1"/>
  <c r="ET193" i="15"/>
  <c r="EU193" i="15" s="1"/>
  <c r="EX193" i="15" s="1"/>
  <c r="ET201" i="15"/>
  <c r="EU201" i="15" s="1"/>
  <c r="EX201" i="15" s="1"/>
  <c r="ET209" i="15"/>
  <c r="EU209" i="15" s="1"/>
  <c r="EX209" i="15" s="1"/>
  <c r="ET217" i="15"/>
  <c r="EU217" i="15" s="1"/>
  <c r="EX217" i="15" s="1"/>
  <c r="ET224" i="15"/>
  <c r="EU224" i="15" s="1"/>
  <c r="EX224" i="15" s="1"/>
  <c r="ET232" i="15"/>
  <c r="EU232" i="15" s="1"/>
  <c r="EX232" i="15" s="1"/>
  <c r="ET239" i="15"/>
  <c r="EU239" i="15" s="1"/>
  <c r="EX239" i="15" s="1"/>
  <c r="ET247" i="15"/>
  <c r="EU247" i="15" s="1"/>
  <c r="EX247" i="15" s="1"/>
  <c r="ET254" i="15"/>
  <c r="EU254" i="15" s="1"/>
  <c r="EX254" i="15" s="1"/>
  <c r="ET262" i="15"/>
  <c r="EU262" i="15" s="1"/>
  <c r="EX262" i="15" s="1"/>
  <c r="ET270" i="15"/>
  <c r="EU270" i="15" s="1"/>
  <c r="EX270" i="15" s="1"/>
  <c r="ET277" i="15"/>
  <c r="EU277" i="15" s="1"/>
  <c r="EX277" i="15" s="1"/>
  <c r="ET285" i="15"/>
  <c r="EU285" i="15" s="1"/>
  <c r="EX285" i="15" s="1"/>
  <c r="ET293" i="15"/>
  <c r="EU293" i="15" s="1"/>
  <c r="EX293" i="15" s="1"/>
  <c r="ET308" i="15"/>
  <c r="EU308" i="15" s="1"/>
  <c r="EX308" i="15" s="1"/>
  <c r="ET316" i="15"/>
  <c r="EU316" i="15" s="1"/>
  <c r="EX316" i="15" s="1"/>
  <c r="ET331" i="15"/>
  <c r="EU331" i="15" s="1"/>
  <c r="EX331" i="15" s="1"/>
  <c r="ET339" i="15"/>
  <c r="EU339" i="15" s="1"/>
  <c r="EX339" i="15" s="1"/>
  <c r="ET347" i="15"/>
  <c r="EU347" i="15" s="1"/>
  <c r="EX347" i="15" s="1"/>
  <c r="ET355" i="15"/>
  <c r="EU355" i="15" s="1"/>
  <c r="EX355" i="15" s="1"/>
  <c r="ET363" i="15"/>
  <c r="EU363" i="15" s="1"/>
  <c r="EX363" i="15" s="1"/>
  <c r="ET371" i="15"/>
  <c r="EU371" i="15" s="1"/>
  <c r="EX371" i="15" s="1"/>
  <c r="ET378" i="15"/>
  <c r="EU378" i="15" s="1"/>
  <c r="EX378" i="15" s="1"/>
  <c r="ET386" i="15"/>
  <c r="EU386" i="15" s="1"/>
  <c r="EX386" i="15" s="1"/>
  <c r="ET394" i="15"/>
  <c r="EU394" i="15" s="1"/>
  <c r="EX394" i="15" s="1"/>
  <c r="ET402" i="15"/>
  <c r="EU402" i="15" s="1"/>
  <c r="EX402" i="15" s="1"/>
  <c r="ET409" i="15"/>
  <c r="EU409" i="15" s="1"/>
  <c r="EX409" i="15" s="1"/>
  <c r="ET417" i="15"/>
  <c r="EU417" i="15" s="1"/>
  <c r="EX417" i="15" s="1"/>
  <c r="ET425" i="15"/>
  <c r="EU425" i="15" s="1"/>
  <c r="EX425" i="15" s="1"/>
  <c r="ET432" i="15"/>
  <c r="EU432" i="15" s="1"/>
  <c r="EX432" i="15" s="1"/>
  <c r="ET440" i="15"/>
  <c r="EU440" i="15" s="1"/>
  <c r="EX440" i="15" s="1"/>
  <c r="ET448" i="15"/>
  <c r="EU448" i="15" s="1"/>
  <c r="EX448" i="15" s="1"/>
  <c r="ET463" i="15"/>
  <c r="EU463" i="15" s="1"/>
  <c r="EX463" i="15" s="1"/>
  <c r="ET471" i="15"/>
  <c r="EU471" i="15" s="1"/>
  <c r="EX471" i="15" s="1"/>
  <c r="ET478" i="15"/>
  <c r="EU478" i="15" s="1"/>
  <c r="EX478" i="15" s="1"/>
  <c r="ET486" i="15"/>
  <c r="EU486" i="15" s="1"/>
  <c r="EX486" i="15" s="1"/>
  <c r="ET493" i="15"/>
  <c r="EU493" i="15" s="1"/>
  <c r="EX493" i="15" s="1"/>
  <c r="ET501" i="15"/>
  <c r="EU501" i="15" s="1"/>
  <c r="EX501" i="15" s="1"/>
  <c r="ET509" i="15"/>
  <c r="EU509" i="15" s="1"/>
  <c r="EX509" i="15" s="1"/>
  <c r="ET516" i="15"/>
  <c r="EU516" i="15" s="1"/>
  <c r="EX516" i="15" s="1"/>
  <c r="ET524" i="15"/>
  <c r="EU524" i="15" s="1"/>
  <c r="EX524" i="15" s="1"/>
  <c r="ET531" i="15"/>
  <c r="EU531" i="15" s="1"/>
  <c r="EX531" i="15" s="1"/>
  <c r="ET539" i="15"/>
  <c r="EU539" i="15" s="1"/>
  <c r="EX539" i="15" s="1"/>
  <c r="ET547" i="15"/>
  <c r="EU547" i="15" s="1"/>
  <c r="EX547" i="15" s="1"/>
  <c r="ET554" i="15"/>
  <c r="EU554" i="15" s="1"/>
  <c r="EX554" i="15" s="1"/>
  <c r="ET562" i="15"/>
  <c r="EU562" i="15" s="1"/>
  <c r="EX562" i="15" s="1"/>
  <c r="ET570" i="15"/>
  <c r="EU570" i="15" s="1"/>
  <c r="EX570" i="15" s="1"/>
  <c r="ET578" i="15"/>
  <c r="EU578" i="15" s="1"/>
  <c r="EX578" i="15" s="1"/>
  <c r="ET585" i="15"/>
  <c r="EU585" i="15" s="1"/>
  <c r="EX585" i="15" s="1"/>
  <c r="ET593" i="15"/>
  <c r="EU593" i="15" s="1"/>
  <c r="EX593" i="15" s="1"/>
  <c r="ET601" i="15"/>
  <c r="EU601" i="15" s="1"/>
  <c r="EX601" i="15" s="1"/>
  <c r="ET609" i="15"/>
  <c r="EU609" i="15" s="1"/>
  <c r="EX609" i="15" s="1"/>
  <c r="ET616" i="15"/>
  <c r="EU616" i="15" s="1"/>
  <c r="EX616" i="15" s="1"/>
  <c r="ET623" i="15"/>
  <c r="EU623" i="15" s="1"/>
  <c r="EX623" i="15" s="1"/>
  <c r="ET631" i="15"/>
  <c r="EU631" i="15" s="1"/>
  <c r="EX631" i="15" s="1"/>
  <c r="ET639" i="15"/>
  <c r="EU639" i="15" s="1"/>
  <c r="EX639" i="15" s="1"/>
  <c r="ET646" i="15"/>
  <c r="EU646" i="15" s="1"/>
  <c r="EX646" i="15" s="1"/>
  <c r="ET654" i="15"/>
  <c r="EU654" i="15" s="1"/>
  <c r="EX654" i="15" s="1"/>
  <c r="ET662" i="15"/>
  <c r="EU662" i="15" s="1"/>
  <c r="EX662" i="15" s="1"/>
  <c r="ET669" i="15"/>
  <c r="EU669" i="15" s="1"/>
  <c r="EX669" i="15" s="1"/>
  <c r="ET677" i="15"/>
  <c r="EU677" i="15" s="1"/>
  <c r="EX677" i="15" s="1"/>
  <c r="ET685" i="15"/>
  <c r="EU685" i="15" s="1"/>
  <c r="EX685" i="15" s="1"/>
  <c r="ET692" i="15"/>
  <c r="EU692" i="15" s="1"/>
  <c r="EX692" i="15" s="1"/>
  <c r="ET700" i="15"/>
  <c r="EU700" i="15" s="1"/>
  <c r="EX700" i="15" s="1"/>
  <c r="ET708" i="15"/>
  <c r="EU708" i="15" s="1"/>
  <c r="EX708" i="15" s="1"/>
  <c r="ET715" i="15"/>
  <c r="EU715" i="15" s="1"/>
  <c r="EX715" i="15" s="1"/>
  <c r="ET723" i="15"/>
  <c r="EU723" i="15" s="1"/>
  <c r="EX723" i="15" s="1"/>
  <c r="ET738" i="15"/>
  <c r="EU738" i="15" s="1"/>
  <c r="EX738" i="15" s="1"/>
  <c r="ET746" i="15"/>
  <c r="EU746" i="15" s="1"/>
  <c r="EX746" i="15" s="1"/>
  <c r="ET754" i="15"/>
  <c r="EU754" i="15" s="1"/>
  <c r="EX754" i="15" s="1"/>
  <c r="ET759" i="15"/>
  <c r="EU759" i="15" s="1"/>
  <c r="EX759" i="15" s="1"/>
  <c r="ET767" i="15"/>
  <c r="EU767" i="15" s="1"/>
  <c r="EX767" i="15" s="1"/>
  <c r="ET784" i="15"/>
  <c r="EU784" i="15" s="1"/>
  <c r="EX784" i="15" s="1"/>
  <c r="ET792" i="15"/>
  <c r="EU792" i="15" s="1"/>
  <c r="EX792" i="15" s="1"/>
  <c r="ET799" i="15"/>
  <c r="EU799" i="15" s="1"/>
  <c r="EX799" i="15" s="1"/>
  <c r="ET807" i="15"/>
  <c r="EU807" i="15" s="1"/>
  <c r="EX807" i="15" s="1"/>
  <c r="ET815" i="15"/>
  <c r="EU815" i="15" s="1"/>
  <c r="EX815" i="15" s="1"/>
  <c r="ET823" i="15"/>
  <c r="EU823" i="15" s="1"/>
  <c r="EX823" i="15" s="1"/>
  <c r="ET830" i="15"/>
  <c r="EU830" i="15" s="1"/>
  <c r="EX830" i="15" s="1"/>
  <c r="ET838" i="15"/>
  <c r="EU838" i="15" s="1"/>
  <c r="EX838" i="15" s="1"/>
  <c r="ET846" i="15"/>
  <c r="EU846" i="15" s="1"/>
  <c r="EX846" i="15" s="1"/>
  <c r="ET854" i="15"/>
  <c r="EU854" i="15" s="1"/>
  <c r="EX854" i="15" s="1"/>
  <c r="ET19" i="15"/>
  <c r="EU19" i="15" s="1"/>
  <c r="EX19" i="15" s="1"/>
  <c r="ET80" i="15"/>
  <c r="EU80" i="15" s="1"/>
  <c r="EX80" i="15" s="1"/>
  <c r="ET148" i="15"/>
  <c r="EU148" i="15" s="1"/>
  <c r="EX148" i="15" s="1"/>
  <c r="ET171" i="15"/>
  <c r="EU171" i="15" s="1"/>
  <c r="EX171" i="15" s="1"/>
  <c r="ET194" i="15"/>
  <c r="EU194" i="15" s="1"/>
  <c r="EX194" i="15" s="1"/>
  <c r="ET248" i="15"/>
  <c r="EU248" i="15" s="1"/>
  <c r="EX248" i="15" s="1"/>
  <c r="ET271" i="15"/>
  <c r="EU271" i="15" s="1"/>
  <c r="EX271" i="15" s="1"/>
  <c r="ET294" i="15"/>
  <c r="EU294" i="15" s="1"/>
  <c r="EX294" i="15" s="1"/>
  <c r="ET332" i="15"/>
  <c r="EU332" i="15" s="1"/>
  <c r="EX332" i="15" s="1"/>
  <c r="ET356" i="15"/>
  <c r="EU356" i="15" s="1"/>
  <c r="EX356" i="15" s="1"/>
  <c r="ET379" i="15"/>
  <c r="EU379" i="15" s="1"/>
  <c r="EX379" i="15" s="1"/>
  <c r="ET403" i="15"/>
  <c r="EU403" i="15" s="1"/>
  <c r="EX403" i="15" s="1"/>
  <c r="ET441" i="15"/>
  <c r="EU441" i="15" s="1"/>
  <c r="EX441" i="15" s="1"/>
  <c r="ET479" i="15"/>
  <c r="EU479" i="15" s="1"/>
  <c r="EX479" i="15" s="1"/>
  <c r="ET517" i="15"/>
  <c r="EU517" i="15" s="1"/>
  <c r="EX517" i="15" s="1"/>
  <c r="ET540" i="15"/>
  <c r="EU540" i="15" s="1"/>
  <c r="EX540" i="15" s="1"/>
  <c r="ET563" i="15"/>
  <c r="EU563" i="15" s="1"/>
  <c r="EX563" i="15" s="1"/>
  <c r="ET602" i="15"/>
  <c r="EU602" i="15" s="1"/>
  <c r="EX602" i="15" s="1"/>
  <c r="ET624" i="15"/>
  <c r="EU624" i="15" s="1"/>
  <c r="EX624" i="15" s="1"/>
  <c r="ET663" i="15"/>
  <c r="EU663" i="15" s="1"/>
  <c r="EX663" i="15" s="1"/>
  <c r="ET716" i="15"/>
  <c r="EU716" i="15" s="1"/>
  <c r="EX716" i="15" s="1"/>
  <c r="ET739" i="15"/>
  <c r="EU739" i="15" s="1"/>
  <c r="EX739" i="15" s="1"/>
  <c r="ET760" i="15"/>
  <c r="EU760" i="15" s="1"/>
  <c r="EX760" i="15" s="1"/>
  <c r="ET800" i="15"/>
  <c r="EU800" i="15" s="1"/>
  <c r="EX800" i="15" s="1"/>
  <c r="ET824" i="15"/>
  <c r="EU824" i="15" s="1"/>
  <c r="EX824" i="15" s="1"/>
  <c r="EO8" i="15"/>
  <c r="EP8" i="15" s="1"/>
  <c r="EO11" i="15"/>
  <c r="EP11" i="15" s="1"/>
  <c r="EO15" i="15"/>
  <c r="EP15" i="15" s="1"/>
  <c r="EO19" i="15"/>
  <c r="EP19" i="15" s="1"/>
  <c r="EO23" i="15"/>
  <c r="EP23" i="15" s="1"/>
  <c r="EO27" i="15"/>
  <c r="EP27" i="15" s="1"/>
  <c r="EO31" i="15"/>
  <c r="EP31" i="15" s="1"/>
  <c r="EO38" i="15"/>
  <c r="EP38" i="15" s="1"/>
  <c r="EO42" i="15"/>
  <c r="EP42" i="15" s="1"/>
  <c r="EO45" i="15"/>
  <c r="EP45" i="15" s="1"/>
  <c r="EO49" i="15"/>
  <c r="EP49" i="15" s="1"/>
  <c r="EO53" i="15"/>
  <c r="EP53" i="15" s="1"/>
  <c r="EO57" i="15"/>
  <c r="EP57" i="15" s="1"/>
  <c r="EO61" i="15"/>
  <c r="EP61" i="15" s="1"/>
  <c r="EO65" i="15"/>
  <c r="EP65" i="15" s="1"/>
  <c r="EO68" i="15"/>
  <c r="EP68" i="15" s="1"/>
  <c r="EO72" i="15"/>
  <c r="EP72" i="15" s="1"/>
  <c r="EO76" i="15"/>
  <c r="EP76" i="15" s="1"/>
  <c r="EO80" i="15"/>
  <c r="EP80" i="15" s="1"/>
  <c r="EO87" i="15"/>
  <c r="EP87" i="15" s="1"/>
  <c r="EO91" i="15"/>
  <c r="EP91" i="15" s="1"/>
  <c r="EO95" i="15"/>
  <c r="EP95" i="15" s="1"/>
  <c r="EO102" i="15"/>
  <c r="EP102" i="15" s="1"/>
  <c r="EO106" i="15"/>
  <c r="EP106" i="15" s="1"/>
  <c r="EO110" i="15"/>
  <c r="EP110" i="15" s="1"/>
  <c r="EO114" i="15"/>
  <c r="EP114" i="15" s="1"/>
  <c r="EO118" i="15"/>
  <c r="EP118" i="15" s="1"/>
  <c r="EO122" i="15"/>
  <c r="EP122" i="15" s="1"/>
  <c r="EO129" i="15"/>
  <c r="EP129" i="15" s="1"/>
  <c r="EO133" i="15"/>
  <c r="EP133" i="15" s="1"/>
  <c r="EO137" i="15"/>
  <c r="EP137" i="15" s="1"/>
  <c r="EO141" i="15"/>
  <c r="EP141" i="15" s="1"/>
  <c r="EO145" i="15"/>
  <c r="EP145" i="15" s="1"/>
  <c r="EO148" i="15"/>
  <c r="EP148" i="15" s="1"/>
  <c r="EO152" i="15"/>
  <c r="EP152" i="15" s="1"/>
  <c r="EO156" i="15"/>
  <c r="EP156" i="15" s="1"/>
  <c r="EO160" i="15"/>
  <c r="EP160" i="15" s="1"/>
  <c r="EO164" i="15"/>
  <c r="EP164" i="15" s="1"/>
  <c r="EO168" i="15"/>
  <c r="EP168" i="15" s="1"/>
  <c r="EO171" i="15"/>
  <c r="EP171" i="15" s="1"/>
  <c r="EO175" i="15"/>
  <c r="EP175" i="15" s="1"/>
  <c r="EO179" i="15"/>
  <c r="EP179" i="15" s="1"/>
  <c r="EO183" i="15"/>
  <c r="EP183" i="15" s="1"/>
  <c r="EO187" i="15"/>
  <c r="EP187" i="15" s="1"/>
  <c r="EO194" i="15"/>
  <c r="EP194" i="15" s="1"/>
  <c r="EO198" i="15"/>
  <c r="EP198" i="15" s="1"/>
  <c r="EO202" i="15"/>
  <c r="EP202" i="15" s="1"/>
  <c r="EO206" i="15"/>
  <c r="EP206" i="15" s="1"/>
  <c r="EO210" i="15"/>
  <c r="EP210" i="15" s="1"/>
  <c r="EO214" i="15"/>
  <c r="EP214" i="15" s="1"/>
  <c r="EO218" i="15"/>
  <c r="EP218" i="15" s="1"/>
  <c r="EO221" i="15"/>
  <c r="EP221" i="15" s="1"/>
  <c r="EO225" i="15"/>
  <c r="EP225" i="15" s="1"/>
  <c r="EO229" i="15"/>
  <c r="EP229" i="15" s="1"/>
  <c r="EO236" i="15"/>
  <c r="EP236" i="15" s="1"/>
  <c r="EO240" i="15"/>
  <c r="EP240" i="15" s="1"/>
  <c r="EO244" i="15"/>
  <c r="EP244" i="15" s="1"/>
  <c r="EO248" i="15"/>
  <c r="EP248" i="15" s="1"/>
  <c r="EO255" i="15"/>
  <c r="EP255" i="15" s="1"/>
  <c r="EO259" i="15"/>
  <c r="EP259" i="15" s="1"/>
  <c r="EO263" i="15"/>
  <c r="EP263" i="15" s="1"/>
  <c r="EO267" i="15"/>
  <c r="EP267" i="15" s="1"/>
  <c r="EO271" i="15"/>
  <c r="EP271" i="15" s="1"/>
  <c r="EO275" i="15"/>
  <c r="EP275" i="15" s="1"/>
  <c r="EO278" i="15"/>
  <c r="EP278" i="15" s="1"/>
  <c r="EO282" i="15"/>
  <c r="EP282" i="15" s="1"/>
  <c r="EO286" i="15"/>
  <c r="EP286" i="15" s="1"/>
  <c r="EO290" i="15"/>
  <c r="EP290" i="15" s="1"/>
  <c r="EO294" i="15"/>
  <c r="EP294" i="15" s="1"/>
  <c r="EO298" i="15"/>
  <c r="EP298" i="15" s="1"/>
  <c r="EO301" i="15"/>
  <c r="EP301" i="15" s="1"/>
  <c r="EO305" i="15"/>
  <c r="EP305" i="15" s="1"/>
  <c r="EO309" i="15"/>
  <c r="EP309" i="15" s="1"/>
  <c r="EO313" i="15"/>
  <c r="EP313" i="15" s="1"/>
  <c r="EO317" i="15"/>
  <c r="EP317" i="15" s="1"/>
  <c r="EO321" i="15"/>
  <c r="EP321" i="15" s="1"/>
  <c r="EO325" i="15"/>
  <c r="EP325" i="15" s="1"/>
  <c r="EO328" i="15"/>
  <c r="EP328" i="15" s="1"/>
  <c r="EO332" i="15"/>
  <c r="EP332" i="15" s="1"/>
  <c r="EO336" i="15"/>
  <c r="EP336" i="15" s="1"/>
  <c r="EO340" i="15"/>
  <c r="EP340" i="15" s="1"/>
  <c r="EO344" i="15"/>
  <c r="EP344" i="15" s="1"/>
  <c r="EO348" i="15"/>
  <c r="EP348" i="15" s="1"/>
  <c r="EO352" i="15"/>
  <c r="EP352" i="15" s="1"/>
  <c r="EO356" i="15"/>
  <c r="EP356" i="15" s="1"/>
  <c r="EO360" i="15"/>
  <c r="EP360" i="15" s="1"/>
  <c r="EO364" i="15"/>
  <c r="EP364" i="15" s="1"/>
  <c r="EO368" i="15"/>
  <c r="EP368" i="15" s="1"/>
  <c r="EO375" i="15"/>
  <c r="EP375" i="15" s="1"/>
  <c r="EO379" i="15"/>
  <c r="EP379" i="15" s="1"/>
  <c r="EO383" i="15"/>
  <c r="EP383" i="15" s="1"/>
  <c r="EO387" i="15"/>
  <c r="EP387" i="15" s="1"/>
  <c r="EO391" i="15"/>
  <c r="EP391" i="15" s="1"/>
  <c r="EO395" i="15"/>
  <c r="EP395" i="15" s="1"/>
  <c r="EO399" i="15"/>
  <c r="EP399" i="15" s="1"/>
  <c r="EO403" i="15"/>
  <c r="EP403" i="15" s="1"/>
  <c r="EO407" i="15"/>
  <c r="EP407" i="15" s="1"/>
  <c r="EO410" i="15"/>
  <c r="EP410" i="15" s="1"/>
  <c r="EO414" i="15"/>
  <c r="EP414" i="15" s="1"/>
  <c r="EO418" i="15"/>
  <c r="EP418" i="15" s="1"/>
  <c r="EO422" i="15"/>
  <c r="EP422" i="15" s="1"/>
  <c r="EO426" i="15"/>
  <c r="EP426" i="15" s="1"/>
  <c r="EO430" i="15"/>
  <c r="EP430" i="15" s="1"/>
  <c r="EO433" i="15"/>
  <c r="EP433" i="15" s="1"/>
  <c r="EO437" i="15"/>
  <c r="EP437" i="15" s="1"/>
  <c r="EO441" i="15"/>
  <c r="EP441" i="15" s="1"/>
  <c r="EO445" i="15"/>
  <c r="EP445" i="15" s="1"/>
  <c r="EO449" i="15"/>
  <c r="EP449" i="15" s="1"/>
  <c r="EO453" i="15"/>
  <c r="EP453" i="15" s="1"/>
  <c r="EO456" i="15"/>
  <c r="EP456" i="15" s="1"/>
  <c r="EO460" i="15"/>
  <c r="EP460" i="15" s="1"/>
  <c r="EO464" i="15"/>
  <c r="EP464" i="15" s="1"/>
  <c r="EO468" i="15"/>
  <c r="EP468" i="15" s="1"/>
  <c r="EO472" i="15"/>
  <c r="EP472" i="15" s="1"/>
  <c r="EO475" i="15"/>
  <c r="EP475" i="15" s="1"/>
  <c r="EO479" i="15"/>
  <c r="EP479" i="15" s="1"/>
  <c r="EO483" i="15"/>
  <c r="EP483" i="15" s="1"/>
  <c r="EO487" i="15"/>
  <c r="EP487" i="15" s="1"/>
  <c r="EO491" i="15"/>
  <c r="EP491" i="15" s="1"/>
  <c r="EO494" i="15"/>
  <c r="EP494" i="15" s="1"/>
  <c r="EO498" i="15"/>
  <c r="EP498" i="15" s="1"/>
  <c r="EO502" i="15"/>
  <c r="EP502" i="15" s="1"/>
  <c r="EO506" i="15"/>
  <c r="EP506" i="15" s="1"/>
  <c r="EO510" i="15"/>
  <c r="EP510" i="15" s="1"/>
  <c r="EO514" i="15"/>
  <c r="EP514" i="15" s="1"/>
  <c r="EO517" i="15"/>
  <c r="EP517" i="15" s="1"/>
  <c r="EO521" i="15"/>
  <c r="EP521" i="15" s="1"/>
  <c r="EO525" i="15"/>
  <c r="EP525" i="15" s="1"/>
  <c r="EO529" i="15"/>
  <c r="EP529" i="15" s="1"/>
  <c r="EO532" i="15"/>
  <c r="EP532" i="15" s="1"/>
  <c r="EO536" i="15"/>
  <c r="EP536" i="15" s="1"/>
  <c r="EO540" i="15"/>
  <c r="EP540" i="15" s="1"/>
  <c r="EO544" i="15"/>
  <c r="EP544" i="15" s="1"/>
  <c r="EO548" i="15"/>
  <c r="EP548" i="15" s="1"/>
  <c r="EO551" i="15"/>
  <c r="EP551" i="15" s="1"/>
  <c r="EO555" i="15"/>
  <c r="EP555" i="15" s="1"/>
  <c r="EO559" i="15"/>
  <c r="EP559" i="15" s="1"/>
  <c r="EO563" i="15"/>
  <c r="EP563" i="15" s="1"/>
  <c r="EO567" i="15"/>
  <c r="EP567" i="15" s="1"/>
  <c r="EO571" i="15"/>
  <c r="EP571" i="15" s="1"/>
  <c r="EO575" i="15"/>
  <c r="EP575" i="15" s="1"/>
  <c r="EO582" i="15"/>
  <c r="EP582" i="15" s="1"/>
  <c r="EO586" i="15"/>
  <c r="EP586" i="15" s="1"/>
  <c r="EO590" i="15"/>
  <c r="EP590" i="15" s="1"/>
  <c r="EO594" i="15"/>
  <c r="EP594" i="15" s="1"/>
  <c r="EO598" i="15"/>
  <c r="EP598" i="15" s="1"/>
  <c r="EO602" i="15"/>
  <c r="EP602" i="15" s="1"/>
  <c r="EO606" i="15"/>
  <c r="EP606" i="15" s="1"/>
  <c r="EO610" i="15"/>
  <c r="EP610" i="15" s="1"/>
  <c r="EO613" i="15"/>
  <c r="EP613" i="15" s="1"/>
  <c r="EO617" i="15"/>
  <c r="EP617" i="15" s="1"/>
  <c r="EO621" i="15"/>
  <c r="EP621" i="15" s="1"/>
  <c r="EO624" i="15"/>
  <c r="EP624" i="15" s="1"/>
  <c r="EO628" i="15"/>
  <c r="EP628" i="15" s="1"/>
  <c r="EO632" i="15"/>
  <c r="EP632" i="15" s="1"/>
  <c r="EO636" i="15"/>
  <c r="EP636" i="15" s="1"/>
  <c r="EO643" i="15"/>
  <c r="EP643" i="15" s="1"/>
  <c r="EO647" i="15"/>
  <c r="EP647" i="15" s="1"/>
  <c r="EO651" i="15"/>
  <c r="EP651" i="15" s="1"/>
  <c r="EO655" i="15"/>
  <c r="EP655" i="15" s="1"/>
  <c r="EO659" i="15"/>
  <c r="EP659" i="15" s="1"/>
  <c r="EO663" i="15"/>
  <c r="EP663" i="15" s="1"/>
  <c r="EO667" i="15"/>
  <c r="EP667" i="15" s="1"/>
  <c r="EO670" i="15"/>
  <c r="EP670" i="15" s="1"/>
  <c r="EO674" i="15"/>
  <c r="EP674" i="15" s="1"/>
  <c r="EO678" i="15"/>
  <c r="EP678" i="15" s="1"/>
  <c r="EO682" i="15"/>
  <c r="EP682" i="15" s="1"/>
  <c r="EO686" i="15"/>
  <c r="EP686" i="15" s="1"/>
  <c r="EO689" i="15"/>
  <c r="EP689" i="15" s="1"/>
  <c r="EO693" i="15"/>
  <c r="EP693" i="15" s="1"/>
  <c r="EO697" i="15"/>
  <c r="EP697" i="15" s="1"/>
  <c r="EO701" i="15"/>
  <c r="EP701" i="15" s="1"/>
  <c r="EO705" i="15"/>
  <c r="EP705" i="15" s="1"/>
  <c r="EO709" i="15"/>
  <c r="EP709" i="15" s="1"/>
  <c r="EO713" i="15"/>
  <c r="EP713" i="15" s="1"/>
  <c r="EO716" i="15"/>
  <c r="EP716" i="15" s="1"/>
  <c r="EO720" i="15"/>
  <c r="EP720" i="15" s="1"/>
  <c r="EO724" i="15"/>
  <c r="EP724" i="15" s="1"/>
  <c r="EO728" i="15"/>
  <c r="EP728" i="15" s="1"/>
  <c r="EO732" i="15"/>
  <c r="EP732" i="15" s="1"/>
  <c r="EO735" i="15"/>
  <c r="EP735" i="15" s="1"/>
  <c r="EO739" i="15"/>
  <c r="EP739" i="15" s="1"/>
  <c r="EO743" i="15"/>
  <c r="EP743" i="15" s="1"/>
  <c r="EO747" i="15"/>
  <c r="EP747" i="15" s="1"/>
  <c r="EO751" i="15"/>
  <c r="EP751" i="15" s="1"/>
  <c r="EO773" i="15"/>
  <c r="EP773" i="15" s="1"/>
  <c r="EO760" i="15"/>
  <c r="EP760" i="15" s="1"/>
  <c r="EO764" i="15"/>
  <c r="EP764" i="15" s="1"/>
  <c r="EO768" i="15"/>
  <c r="EP768" i="15" s="1"/>
  <c r="EO772" i="15"/>
  <c r="EP772" i="15" s="1"/>
  <c r="EO777" i="15"/>
  <c r="EP777" i="15" s="1"/>
  <c r="EO781" i="15"/>
  <c r="EP781" i="15" s="1"/>
  <c r="EO785" i="15"/>
  <c r="EP785" i="15" s="1"/>
  <c r="EO789" i="15"/>
  <c r="EP789" i="15" s="1"/>
  <c r="EO793" i="15"/>
  <c r="EP793" i="15" s="1"/>
  <c r="EO800" i="15"/>
  <c r="EP800" i="15" s="1"/>
  <c r="EO804" i="15"/>
  <c r="EP804" i="15" s="1"/>
  <c r="EO9" i="15"/>
  <c r="EP9" i="15" s="1"/>
  <c r="EO12" i="15"/>
  <c r="EP12" i="15" s="1"/>
  <c r="EO16" i="15"/>
  <c r="EP16" i="15" s="1"/>
  <c r="EO20" i="15"/>
  <c r="EP20" i="15" s="1"/>
  <c r="EO24" i="15"/>
  <c r="EP24" i="15" s="1"/>
  <c r="EO28" i="15"/>
  <c r="EP28" i="15" s="1"/>
  <c r="EO32" i="15"/>
  <c r="EP32" i="15" s="1"/>
  <c r="EO35" i="15"/>
  <c r="EP35" i="15" s="1"/>
  <c r="EO39" i="15"/>
  <c r="EP39" i="15" s="1"/>
  <c r="EO46" i="15"/>
  <c r="EP46" i="15" s="1"/>
  <c r="EO50" i="15"/>
  <c r="EP50" i="15" s="1"/>
  <c r="EO54" i="15"/>
  <c r="EP54" i="15" s="1"/>
  <c r="EO58" i="15"/>
  <c r="EP58" i="15" s="1"/>
  <c r="EO62" i="15"/>
  <c r="EP62" i="15" s="1"/>
  <c r="EO69" i="15"/>
  <c r="EP69" i="15" s="1"/>
  <c r="EO73" i="15"/>
  <c r="EP73" i="15" s="1"/>
  <c r="EO77" i="15"/>
  <c r="EP77" i="15" s="1"/>
  <c r="EO81" i="15"/>
  <c r="EP81" i="15" s="1"/>
  <c r="EO84" i="15"/>
  <c r="EP84" i="15" s="1"/>
  <c r="EO88" i="15"/>
  <c r="EP88" i="15" s="1"/>
  <c r="EO93" i="15"/>
  <c r="EP93" i="15" s="1"/>
  <c r="EO96" i="15"/>
  <c r="EP96" i="15" s="1"/>
  <c r="EO99" i="15"/>
  <c r="EP99" i="15" s="1"/>
  <c r="EO103" i="15"/>
  <c r="EP103" i="15" s="1"/>
  <c r="EO107" i="15"/>
  <c r="EP107" i="15" s="1"/>
  <c r="EO111" i="15"/>
  <c r="EP111" i="15" s="1"/>
  <c r="EO115" i="15"/>
  <c r="EP115" i="15" s="1"/>
  <c r="EO119" i="15"/>
  <c r="EP119" i="15" s="1"/>
  <c r="EO123" i="15"/>
  <c r="EP123" i="15" s="1"/>
  <c r="EO126" i="15"/>
  <c r="EP126" i="15" s="1"/>
  <c r="EO130" i="15"/>
  <c r="EP130" i="15" s="1"/>
  <c r="EO134" i="15"/>
  <c r="EP134" i="15" s="1"/>
  <c r="EO138" i="15"/>
  <c r="EP138" i="15" s="1"/>
  <c r="EO142" i="15"/>
  <c r="EP142" i="15" s="1"/>
  <c r="EO149" i="15"/>
  <c r="EP149" i="15" s="1"/>
  <c r="EO153" i="15"/>
  <c r="EP153" i="15" s="1"/>
  <c r="EO157" i="15"/>
  <c r="EP157" i="15" s="1"/>
  <c r="EO161" i="15"/>
  <c r="EP161" i="15" s="1"/>
  <c r="EO165" i="15"/>
  <c r="EP165" i="15" s="1"/>
  <c r="EO172" i="15"/>
  <c r="EP172" i="15" s="1"/>
  <c r="EO176" i="15"/>
  <c r="EP176" i="15" s="1"/>
  <c r="EO180" i="15"/>
  <c r="EP180" i="15" s="1"/>
  <c r="EO184" i="15"/>
  <c r="EP184" i="15" s="1"/>
  <c r="EO188" i="15"/>
  <c r="EP188" i="15" s="1"/>
  <c r="EO191" i="15"/>
  <c r="EP191" i="15" s="1"/>
  <c r="EO195" i="15"/>
  <c r="EP195" i="15" s="1"/>
  <c r="EO199" i="15"/>
  <c r="EP199" i="15" s="1"/>
  <c r="EO203" i="15"/>
  <c r="EP203" i="15" s="1"/>
  <c r="EO207" i="15"/>
  <c r="EP207" i="15" s="1"/>
  <c r="EO211" i="15"/>
  <c r="EP211" i="15" s="1"/>
  <c r="EO215" i="15"/>
  <c r="EP215" i="15" s="1"/>
  <c r="EO219" i="15"/>
  <c r="EP219" i="15" s="1"/>
  <c r="EO222" i="15"/>
  <c r="EP222" i="15" s="1"/>
  <c r="EO226" i="15"/>
  <c r="EP226" i="15" s="1"/>
  <c r="EO230" i="15"/>
  <c r="EP230" i="15" s="1"/>
  <c r="EO233" i="15"/>
  <c r="EP233" i="15" s="1"/>
  <c r="EO237" i="15"/>
  <c r="EP237" i="15" s="1"/>
  <c r="EO241" i="15"/>
  <c r="EP241" i="15" s="1"/>
  <c r="EO245" i="15"/>
  <c r="EP245" i="15" s="1"/>
  <c r="EO249" i="15"/>
  <c r="EP249" i="15" s="1"/>
  <c r="EO252" i="15"/>
  <c r="EP252" i="15" s="1"/>
  <c r="EO256" i="15"/>
  <c r="EP256" i="15" s="1"/>
  <c r="EO260" i="15"/>
  <c r="EP260" i="15" s="1"/>
  <c r="EO264" i="15"/>
  <c r="EP264" i="15" s="1"/>
  <c r="EO268" i="15"/>
  <c r="EP268" i="15" s="1"/>
  <c r="EO274" i="15"/>
  <c r="EP274" i="15" s="1"/>
  <c r="EO279" i="15"/>
  <c r="EP279" i="15" s="1"/>
  <c r="EO283" i="15"/>
  <c r="EP283" i="15" s="1"/>
  <c r="EO287" i="15"/>
  <c r="EP287" i="15" s="1"/>
  <c r="EO291" i="15"/>
  <c r="EP291" i="15" s="1"/>
  <c r="EO295" i="15"/>
  <c r="EP295" i="15" s="1"/>
  <c r="EO299" i="15"/>
  <c r="EP299" i="15" s="1"/>
  <c r="EO302" i="15"/>
  <c r="EP302" i="15" s="1"/>
  <c r="EO306" i="15"/>
  <c r="EP306" i="15" s="1"/>
  <c r="EO310" i="15"/>
  <c r="EP310" i="15" s="1"/>
  <c r="EO314" i="15"/>
  <c r="EP314" i="15" s="1"/>
  <c r="EO318" i="15"/>
  <c r="EP318" i="15" s="1"/>
  <c r="EO322" i="15"/>
  <c r="EP322" i="15" s="1"/>
  <c r="EO329" i="15"/>
  <c r="EP329" i="15" s="1"/>
  <c r="EO333" i="15"/>
  <c r="EP333" i="15" s="1"/>
  <c r="EO337" i="15"/>
  <c r="EP337" i="15" s="1"/>
  <c r="EO341" i="15"/>
  <c r="EP341" i="15" s="1"/>
  <c r="EO345" i="15"/>
  <c r="EP345" i="15" s="1"/>
  <c r="EO349" i="15"/>
  <c r="EP349" i="15" s="1"/>
  <c r="EO353" i="15"/>
  <c r="EP353" i="15" s="1"/>
  <c r="EO357" i="15"/>
  <c r="EP357" i="15" s="1"/>
  <c r="EO361" i="15"/>
  <c r="EP361" i="15" s="1"/>
  <c r="EO365" i="15"/>
  <c r="EP365" i="15" s="1"/>
  <c r="EO369" i="15"/>
  <c r="EP369" i="15" s="1"/>
  <c r="EO372" i="15"/>
  <c r="EP372" i="15" s="1"/>
  <c r="EO376" i="15"/>
  <c r="EP376" i="15" s="1"/>
  <c r="EO380" i="15"/>
  <c r="EP380" i="15" s="1"/>
  <c r="EO384" i="15"/>
  <c r="EP384" i="15" s="1"/>
  <c r="EO388" i="15"/>
  <c r="EP388" i="15" s="1"/>
  <c r="EO392" i="15"/>
  <c r="EP392" i="15" s="1"/>
  <c r="EO396" i="15"/>
  <c r="EP396" i="15" s="1"/>
  <c r="EO400" i="15"/>
  <c r="EP400" i="15" s="1"/>
  <c r="EO404" i="15"/>
  <c r="EP404" i="15" s="1"/>
  <c r="EO411" i="15"/>
  <c r="EP411" i="15" s="1"/>
  <c r="EO415" i="15"/>
  <c r="EP415" i="15" s="1"/>
  <c r="EO419" i="15"/>
  <c r="EP419" i="15" s="1"/>
  <c r="EO423" i="15"/>
  <c r="EP423" i="15" s="1"/>
  <c r="EO427" i="15"/>
  <c r="EP427" i="15" s="1"/>
  <c r="EO434" i="15"/>
  <c r="EP434" i="15" s="1"/>
  <c r="EO438" i="15"/>
  <c r="EP438" i="15" s="1"/>
  <c r="EO442" i="15"/>
  <c r="EP442" i="15" s="1"/>
  <c r="EO446" i="15"/>
  <c r="EP446" i="15" s="1"/>
  <c r="EO450" i="15"/>
  <c r="EP450" i="15" s="1"/>
  <c r="EO454" i="15"/>
  <c r="EP454" i="15" s="1"/>
  <c r="EO457" i="15"/>
  <c r="EP457" i="15" s="1"/>
  <c r="EO461" i="15"/>
  <c r="EP461" i="15" s="1"/>
  <c r="EO465" i="15"/>
  <c r="EP465" i="15" s="1"/>
  <c r="EO469" i="15"/>
  <c r="EP469" i="15" s="1"/>
  <c r="EO476" i="15"/>
  <c r="EP476" i="15" s="1"/>
  <c r="EO480" i="15"/>
  <c r="EP480" i="15" s="1"/>
  <c r="EO484" i="15"/>
  <c r="EP484" i="15" s="1"/>
  <c r="EO488" i="15"/>
  <c r="EP488" i="15" s="1"/>
  <c r="EO495" i="15"/>
  <c r="EP495" i="15" s="1"/>
  <c r="EO499" i="15"/>
  <c r="EP499" i="15" s="1"/>
  <c r="EO503" i="15"/>
  <c r="EP503" i="15" s="1"/>
  <c r="EO507" i="15"/>
  <c r="EP507" i="15" s="1"/>
  <c r="EO511" i="15"/>
  <c r="EP511" i="15" s="1"/>
  <c r="EO518" i="15"/>
  <c r="EP518" i="15" s="1"/>
  <c r="EO522" i="15"/>
  <c r="EP522" i="15" s="1"/>
  <c r="EO526" i="15"/>
  <c r="EP526" i="15" s="1"/>
  <c r="EO533" i="15"/>
  <c r="EP533" i="15" s="1"/>
  <c r="EO537" i="15"/>
  <c r="EP537" i="15" s="1"/>
  <c r="EO541" i="15"/>
  <c r="EP541" i="15" s="1"/>
  <c r="EO545" i="15"/>
  <c r="EP545" i="15" s="1"/>
  <c r="EO552" i="15"/>
  <c r="EP552" i="15" s="1"/>
  <c r="EO556" i="15"/>
  <c r="EP556" i="15" s="1"/>
  <c r="EO560" i="15"/>
  <c r="EP560" i="15" s="1"/>
  <c r="EO564" i="15"/>
  <c r="EP564" i="15" s="1"/>
  <c r="EO568" i="15"/>
  <c r="EP568" i="15" s="1"/>
  <c r="EO573" i="15"/>
  <c r="EP573" i="15" s="1"/>
  <c r="EO579" i="15"/>
  <c r="EP579" i="15" s="1"/>
  <c r="EO583" i="15"/>
  <c r="EP583" i="15" s="1"/>
  <c r="EO587" i="15"/>
  <c r="EP587" i="15" s="1"/>
  <c r="EO591" i="15"/>
  <c r="EP591" i="15" s="1"/>
  <c r="EO595" i="15"/>
  <c r="EP595" i="15" s="1"/>
  <c r="EO599" i="15"/>
  <c r="EP599" i="15" s="1"/>
  <c r="EO603" i="15"/>
  <c r="EP603" i="15" s="1"/>
  <c r="EO607" i="15"/>
  <c r="EP607" i="15" s="1"/>
  <c r="EO611" i="15"/>
  <c r="EP611" i="15" s="1"/>
  <c r="EO614" i="15"/>
  <c r="EP614" i="15" s="1"/>
  <c r="EO618" i="15"/>
  <c r="EP618" i="15" s="1"/>
  <c r="EO625" i="15"/>
  <c r="EP625" i="15" s="1"/>
  <c r="EO629" i="15"/>
  <c r="EP629" i="15" s="1"/>
  <c r="EO633" i="15"/>
  <c r="EP633" i="15" s="1"/>
  <c r="EO637" i="15"/>
  <c r="EP637" i="15" s="1"/>
  <c r="EO641" i="15"/>
  <c r="EP641" i="15" s="1"/>
  <c r="EO644" i="15"/>
  <c r="EP644" i="15" s="1"/>
  <c r="EO648" i="15"/>
  <c r="EP648" i="15" s="1"/>
  <c r="EO652" i="15"/>
  <c r="EP652" i="15" s="1"/>
  <c r="EO656" i="15"/>
  <c r="EP656" i="15" s="1"/>
  <c r="EO660" i="15"/>
  <c r="EP660" i="15" s="1"/>
  <c r="EO664" i="15"/>
  <c r="EP664" i="15" s="1"/>
  <c r="EO668" i="15"/>
  <c r="EP668" i="15" s="1"/>
  <c r="EO671" i="15"/>
  <c r="EP671" i="15" s="1"/>
  <c r="EO675" i="15"/>
  <c r="EP675" i="15" s="1"/>
  <c r="EO679" i="15"/>
  <c r="EP679" i="15" s="1"/>
  <c r="EO683" i="15"/>
  <c r="EP683" i="15" s="1"/>
  <c r="EO690" i="15"/>
  <c r="EP690" i="15" s="1"/>
  <c r="EO694" i="15"/>
  <c r="EP694" i="15" s="1"/>
  <c r="EO698" i="15"/>
  <c r="EP698" i="15" s="1"/>
  <c r="EO702" i="15"/>
  <c r="EP702" i="15" s="1"/>
  <c r="EO706" i="15"/>
  <c r="EP706" i="15" s="1"/>
  <c r="EO710" i="15"/>
  <c r="EP710" i="15" s="1"/>
  <c r="EO714" i="15"/>
  <c r="EP714" i="15" s="1"/>
  <c r="EO717" i="15"/>
  <c r="EP717" i="15" s="1"/>
  <c r="EO721" i="15"/>
  <c r="EP721" i="15" s="1"/>
  <c r="EO725" i="15"/>
  <c r="EP725" i="15" s="1"/>
  <c r="EO729" i="15"/>
  <c r="EP729" i="15" s="1"/>
  <c r="EO736" i="15"/>
  <c r="EP736" i="15" s="1"/>
  <c r="EO740" i="15"/>
  <c r="EP740" i="15" s="1"/>
  <c r="EO744" i="15"/>
  <c r="EP744" i="15" s="1"/>
  <c r="EO748" i="15"/>
  <c r="EP748" i="15" s="1"/>
  <c r="EO752" i="15"/>
  <c r="EP752" i="15" s="1"/>
  <c r="EO755" i="15"/>
  <c r="EP755" i="15" s="1"/>
  <c r="EO774" i="15"/>
  <c r="EP774" i="15" s="1"/>
  <c r="EO761" i="15"/>
  <c r="EP761" i="15" s="1"/>
  <c r="EO765" i="15"/>
  <c r="EP765" i="15" s="1"/>
  <c r="EO769" i="15"/>
  <c r="EP769" i="15" s="1"/>
  <c r="EO778" i="15"/>
  <c r="EP778" i="15" s="1"/>
  <c r="EO782" i="15"/>
  <c r="EP782" i="15" s="1"/>
  <c r="EO786" i="15"/>
  <c r="EP786" i="15" s="1"/>
  <c r="EO790" i="15"/>
  <c r="EP790" i="15" s="1"/>
  <c r="EO794" i="15"/>
  <c r="EP794" i="15" s="1"/>
  <c r="EO797" i="15"/>
  <c r="EP797" i="15" s="1"/>
  <c r="EO801" i="15"/>
  <c r="EP801" i="15" s="1"/>
  <c r="EO17" i="15"/>
  <c r="EP17" i="15" s="1"/>
  <c r="EO25" i="15"/>
  <c r="EP25" i="15" s="1"/>
  <c r="EO40" i="15"/>
  <c r="EP40" i="15" s="1"/>
  <c r="EO47" i="15"/>
  <c r="EP47" i="15" s="1"/>
  <c r="EO55" i="15"/>
  <c r="EP55" i="15" s="1"/>
  <c r="EO63" i="15"/>
  <c r="EP63" i="15" s="1"/>
  <c r="EO70" i="15"/>
  <c r="EP70" i="15" s="1"/>
  <c r="EO78" i="15"/>
  <c r="EP78" i="15" s="1"/>
  <c r="EO85" i="15"/>
  <c r="EP85" i="15" s="1"/>
  <c r="EO92" i="15"/>
  <c r="EP92" i="15" s="1"/>
  <c r="EO100" i="15"/>
  <c r="EP100" i="15" s="1"/>
  <c r="EO108" i="15"/>
  <c r="EP108" i="15" s="1"/>
  <c r="EO116" i="15"/>
  <c r="EP116" i="15" s="1"/>
  <c r="EO131" i="15"/>
  <c r="EP131" i="15" s="1"/>
  <c r="EO139" i="15"/>
  <c r="EP139" i="15" s="1"/>
  <c r="EO146" i="15"/>
  <c r="EP146" i="15" s="1"/>
  <c r="EO154" i="15"/>
  <c r="EP154" i="15" s="1"/>
  <c r="EO162" i="15"/>
  <c r="EP162" i="15" s="1"/>
  <c r="EO169" i="15"/>
  <c r="EP169" i="15" s="1"/>
  <c r="EO177" i="15"/>
  <c r="EP177" i="15" s="1"/>
  <c r="EO185" i="15"/>
  <c r="EP185" i="15" s="1"/>
  <c r="EO192" i="15"/>
  <c r="EP192" i="15" s="1"/>
  <c r="EO200" i="15"/>
  <c r="EP200" i="15" s="1"/>
  <c r="EO208" i="15"/>
  <c r="EP208" i="15" s="1"/>
  <c r="EO216" i="15"/>
  <c r="EP216" i="15" s="1"/>
  <c r="EO223" i="15"/>
  <c r="EP223" i="15" s="1"/>
  <c r="EO231" i="15"/>
  <c r="EP231" i="15" s="1"/>
  <c r="EO238" i="15"/>
  <c r="EP238" i="15" s="1"/>
  <c r="EO246" i="15"/>
  <c r="EP246" i="15" s="1"/>
  <c r="EO253" i="15"/>
  <c r="EP253" i="15" s="1"/>
  <c r="EO261" i="15"/>
  <c r="EP261" i="15" s="1"/>
  <c r="EO276" i="15"/>
  <c r="EP276" i="15" s="1"/>
  <c r="EO284" i="15"/>
  <c r="EP284" i="15" s="1"/>
  <c r="EO292" i="15"/>
  <c r="EP292" i="15" s="1"/>
  <c r="EO300" i="15"/>
  <c r="EP300" i="15" s="1"/>
  <c r="EO307" i="15"/>
  <c r="EP307" i="15" s="1"/>
  <c r="EO315" i="15"/>
  <c r="EP315" i="15" s="1"/>
  <c r="EO323" i="15"/>
  <c r="EP323" i="15" s="1"/>
  <c r="EO330" i="15"/>
  <c r="EP330" i="15" s="1"/>
  <c r="EO338" i="15"/>
  <c r="EP338" i="15" s="1"/>
  <c r="EO346" i="15"/>
  <c r="EP346" i="15" s="1"/>
  <c r="EO354" i="15"/>
  <c r="EP354" i="15" s="1"/>
  <c r="EO362" i="15"/>
  <c r="EP362" i="15" s="1"/>
  <c r="EO370" i="15"/>
  <c r="EP370" i="15" s="1"/>
  <c r="EO377" i="15"/>
  <c r="EP377" i="15" s="1"/>
  <c r="EO385" i="15"/>
  <c r="EP385" i="15" s="1"/>
  <c r="EO393" i="15"/>
  <c r="EP393" i="15" s="1"/>
  <c r="EO401" i="15"/>
  <c r="EP401" i="15" s="1"/>
  <c r="EO408" i="15"/>
  <c r="EP408" i="15" s="1"/>
  <c r="EO416" i="15"/>
  <c r="EP416" i="15" s="1"/>
  <c r="EO424" i="15"/>
  <c r="EP424" i="15" s="1"/>
  <c r="EO431" i="15"/>
  <c r="EP431" i="15" s="1"/>
  <c r="EO439" i="15"/>
  <c r="EP439" i="15" s="1"/>
  <c r="EO447" i="15"/>
  <c r="EP447" i="15" s="1"/>
  <c r="EO455" i="15"/>
  <c r="EP455" i="15" s="1"/>
  <c r="EO462" i="15"/>
  <c r="EP462" i="15" s="1"/>
  <c r="EO477" i="15"/>
  <c r="EP477" i="15" s="1"/>
  <c r="EO485" i="15"/>
  <c r="EP485" i="15" s="1"/>
  <c r="EO492" i="15"/>
  <c r="EP492" i="15" s="1"/>
  <c r="EO500" i="15"/>
  <c r="EP500" i="15" s="1"/>
  <c r="EO508" i="15"/>
  <c r="EP508" i="15" s="1"/>
  <c r="EO515" i="15"/>
  <c r="EP515" i="15" s="1"/>
  <c r="EO523" i="15"/>
  <c r="EP523" i="15" s="1"/>
  <c r="EO530" i="15"/>
  <c r="EP530" i="15" s="1"/>
  <c r="EO538" i="15"/>
  <c r="EP538" i="15" s="1"/>
  <c r="EO546" i="15"/>
  <c r="EP546" i="15" s="1"/>
  <c r="EO553" i="15"/>
  <c r="EP553" i="15" s="1"/>
  <c r="EO561" i="15"/>
  <c r="EP561" i="15" s="1"/>
  <c r="EO569" i="15"/>
  <c r="EP569" i="15" s="1"/>
  <c r="EO577" i="15"/>
  <c r="EP577" i="15" s="1"/>
  <c r="EO584" i="15"/>
  <c r="EP584" i="15" s="1"/>
  <c r="EO592" i="15"/>
  <c r="EP592" i="15" s="1"/>
  <c r="EO600" i="15"/>
  <c r="EP600" i="15" s="1"/>
  <c r="EO608" i="15"/>
  <c r="EP608" i="15" s="1"/>
  <c r="EO615" i="15"/>
  <c r="EP615" i="15" s="1"/>
  <c r="EO622" i="15"/>
  <c r="EP622" i="15" s="1"/>
  <c r="EO630" i="15"/>
  <c r="EP630" i="15" s="1"/>
  <c r="EO638" i="15"/>
  <c r="EP638" i="15" s="1"/>
  <c r="EO645" i="15"/>
  <c r="EP645" i="15" s="1"/>
  <c r="EO653" i="15"/>
  <c r="EP653" i="15" s="1"/>
  <c r="EO661" i="15"/>
  <c r="EP661" i="15" s="1"/>
  <c r="EO676" i="15"/>
  <c r="EP676" i="15" s="1"/>
  <c r="EO684" i="15"/>
  <c r="EP684" i="15" s="1"/>
  <c r="EO691" i="15"/>
  <c r="EP691" i="15" s="1"/>
  <c r="EO699" i="15"/>
  <c r="EP699" i="15" s="1"/>
  <c r="EO707" i="15"/>
  <c r="EP707" i="15" s="1"/>
  <c r="EO722" i="15"/>
  <c r="EP722" i="15" s="1"/>
  <c r="EO730" i="15"/>
  <c r="EP730" i="15" s="1"/>
  <c r="EO737" i="15"/>
  <c r="EP737" i="15" s="1"/>
  <c r="EO745" i="15"/>
  <c r="EP745" i="15" s="1"/>
  <c r="EO758" i="15"/>
  <c r="EP758" i="15" s="1"/>
  <c r="EO766" i="15"/>
  <c r="EP766" i="15" s="1"/>
  <c r="EO776" i="15"/>
  <c r="EP776" i="15" s="1"/>
  <c r="EO783" i="15"/>
  <c r="EP783" i="15" s="1"/>
  <c r="EO791" i="15"/>
  <c r="EP791" i="15" s="1"/>
  <c r="EO798" i="15"/>
  <c r="EP798" i="15" s="1"/>
  <c r="EO805" i="15"/>
  <c r="EP805" i="15" s="1"/>
  <c r="EO809" i="15"/>
  <c r="EP809" i="15" s="1"/>
  <c r="EO813" i="15"/>
  <c r="EP813" i="15" s="1"/>
  <c r="EO817" i="15"/>
  <c r="EP817" i="15" s="1"/>
  <c r="EO821" i="15"/>
  <c r="EP821" i="15" s="1"/>
  <c r="EO825" i="15"/>
  <c r="EP825" i="15" s="1"/>
  <c r="EO832" i="15"/>
  <c r="EP832" i="15" s="1"/>
  <c r="EO836" i="15"/>
  <c r="EP836" i="15" s="1"/>
  <c r="EO840" i="15"/>
  <c r="EP840" i="15" s="1"/>
  <c r="EO844" i="15"/>
  <c r="EP844" i="15" s="1"/>
  <c r="EO848" i="15"/>
  <c r="EP848" i="15" s="1"/>
  <c r="EO852" i="15"/>
  <c r="EP852" i="15" s="1"/>
  <c r="EO856" i="15"/>
  <c r="EP856" i="15" s="1"/>
  <c r="EO860" i="15"/>
  <c r="EP860" i="15" s="1"/>
  <c r="EO22" i="15"/>
  <c r="EP22" i="15" s="1"/>
  <c r="EO37" i="15"/>
  <c r="EP37" i="15" s="1"/>
  <c r="EO52" i="15"/>
  <c r="EP52" i="15" s="1"/>
  <c r="EO75" i="15"/>
  <c r="EP75" i="15" s="1"/>
  <c r="EO98" i="15"/>
  <c r="EP98" i="15" s="1"/>
  <c r="EO121" i="15"/>
  <c r="EP121" i="15" s="1"/>
  <c r="EO144" i="15"/>
  <c r="EP144" i="15" s="1"/>
  <c r="EO159" i="15"/>
  <c r="EP159" i="15" s="1"/>
  <c r="EO182" i="15"/>
  <c r="EP182" i="15" s="1"/>
  <c r="EO205" i="15"/>
  <c r="EP205" i="15" s="1"/>
  <c r="EO235" i="15"/>
  <c r="EP235" i="15" s="1"/>
  <c r="EO251" i="15"/>
  <c r="EP251" i="15" s="1"/>
  <c r="EO273" i="15"/>
  <c r="EP273" i="15" s="1"/>
  <c r="EO297" i="15"/>
  <c r="EP297" i="15" s="1"/>
  <c r="EO327" i="15"/>
  <c r="EP327" i="15" s="1"/>
  <c r="EO351" i="15"/>
  <c r="EP351" i="15" s="1"/>
  <c r="EO374" i="15"/>
  <c r="EP374" i="15" s="1"/>
  <c r="EO390" i="15"/>
  <c r="EP390" i="15" s="1"/>
  <c r="EO413" i="15"/>
  <c r="EP413" i="15" s="1"/>
  <c r="EO452" i="15"/>
  <c r="EP452" i="15" s="1"/>
  <c r="EO474" i="15"/>
  <c r="EP474" i="15" s="1"/>
  <c r="EO497" i="15"/>
  <c r="EP497" i="15" s="1"/>
  <c r="EO520" i="15"/>
  <c r="EP520" i="15" s="1"/>
  <c r="EO535" i="15"/>
  <c r="EP535" i="15" s="1"/>
  <c r="EO550" i="15"/>
  <c r="EP550" i="15" s="1"/>
  <c r="EO572" i="15"/>
  <c r="EP572" i="15" s="1"/>
  <c r="EO581" i="15"/>
  <c r="EP581" i="15" s="1"/>
  <c r="EO605" i="15"/>
  <c r="EP605" i="15" s="1"/>
  <c r="EO627" i="15"/>
  <c r="EP627" i="15" s="1"/>
  <c r="EO642" i="15"/>
  <c r="EP642" i="15" s="1"/>
  <c r="EO666" i="15"/>
  <c r="EP666" i="15" s="1"/>
  <c r="EO734" i="15"/>
  <c r="EP734" i="15" s="1"/>
  <c r="EO757" i="15"/>
  <c r="EP757" i="15" s="1"/>
  <c r="EO771" i="15"/>
  <c r="EP771" i="15" s="1"/>
  <c r="EO796" i="15"/>
  <c r="EP796" i="15" s="1"/>
  <c r="EO812" i="15"/>
  <c r="EP812" i="15" s="1"/>
  <c r="EO824" i="15"/>
  <c r="EP824" i="15" s="1"/>
  <c r="EO831" i="15"/>
  <c r="EP831" i="15" s="1"/>
  <c r="EO843" i="15"/>
  <c r="EP843" i="15" s="1"/>
  <c r="EO851" i="15"/>
  <c r="EP851" i="15" s="1"/>
  <c r="EO10" i="15"/>
  <c r="EP10" i="15" s="1"/>
  <c r="EO18" i="15"/>
  <c r="EP18" i="15" s="1"/>
  <c r="EO26" i="15"/>
  <c r="EP26" i="15" s="1"/>
  <c r="EO34" i="15"/>
  <c r="EP34" i="15" s="1"/>
  <c r="EO48" i="15"/>
  <c r="EP48" i="15" s="1"/>
  <c r="EO56" i="15"/>
  <c r="EP56" i="15" s="1"/>
  <c r="EO71" i="15"/>
  <c r="EP71" i="15" s="1"/>
  <c r="EO79" i="15"/>
  <c r="EP79" i="15" s="1"/>
  <c r="EO86" i="15"/>
  <c r="EP86" i="15" s="1"/>
  <c r="EO94" i="15"/>
  <c r="EP94" i="15" s="1"/>
  <c r="EO101" i="15"/>
  <c r="EP101" i="15" s="1"/>
  <c r="EO109" i="15"/>
  <c r="EP109" i="15" s="1"/>
  <c r="EO117" i="15"/>
  <c r="EP117" i="15" s="1"/>
  <c r="EO125" i="15"/>
  <c r="EP125" i="15" s="1"/>
  <c r="EO132" i="15"/>
  <c r="EP132" i="15" s="1"/>
  <c r="EO140" i="15"/>
  <c r="EP140" i="15" s="1"/>
  <c r="EO147" i="15"/>
  <c r="EP147" i="15" s="1"/>
  <c r="EO155" i="15"/>
  <c r="EP155" i="15" s="1"/>
  <c r="EO163" i="15"/>
  <c r="EP163" i="15" s="1"/>
  <c r="EO170" i="15"/>
  <c r="EP170" i="15" s="1"/>
  <c r="EO178" i="15"/>
  <c r="EP178" i="15" s="1"/>
  <c r="EO186" i="15"/>
  <c r="EP186" i="15" s="1"/>
  <c r="EO193" i="15"/>
  <c r="EP193" i="15" s="1"/>
  <c r="EO201" i="15"/>
  <c r="EP201" i="15" s="1"/>
  <c r="EO209" i="15"/>
  <c r="EP209" i="15" s="1"/>
  <c r="EO217" i="15"/>
  <c r="EP217" i="15" s="1"/>
  <c r="EO224" i="15"/>
  <c r="EP224" i="15" s="1"/>
  <c r="EO232" i="15"/>
  <c r="EP232" i="15" s="1"/>
  <c r="EO239" i="15"/>
  <c r="EP239" i="15" s="1"/>
  <c r="EO247" i="15"/>
  <c r="EP247" i="15" s="1"/>
  <c r="EO254" i="15"/>
  <c r="EP254" i="15" s="1"/>
  <c r="EO262" i="15"/>
  <c r="EP262" i="15" s="1"/>
  <c r="EO270" i="15"/>
  <c r="EP270" i="15" s="1"/>
  <c r="EO277" i="15"/>
  <c r="EP277" i="15" s="1"/>
  <c r="EO285" i="15"/>
  <c r="EP285" i="15" s="1"/>
  <c r="EO293" i="15"/>
  <c r="EP293" i="15" s="1"/>
  <c r="EO308" i="15"/>
  <c r="EP308" i="15" s="1"/>
  <c r="EO316" i="15"/>
  <c r="EP316" i="15" s="1"/>
  <c r="EO331" i="15"/>
  <c r="EP331" i="15" s="1"/>
  <c r="EO339" i="15"/>
  <c r="EP339" i="15" s="1"/>
  <c r="EO347" i="15"/>
  <c r="EP347" i="15" s="1"/>
  <c r="EO355" i="15"/>
  <c r="EP355" i="15" s="1"/>
  <c r="EO363" i="15"/>
  <c r="EP363" i="15" s="1"/>
  <c r="EO371" i="15"/>
  <c r="EP371" i="15" s="1"/>
  <c r="EO378" i="15"/>
  <c r="EP378" i="15" s="1"/>
  <c r="EO386" i="15"/>
  <c r="EP386" i="15" s="1"/>
  <c r="EO394" i="15"/>
  <c r="EP394" i="15" s="1"/>
  <c r="EO402" i="15"/>
  <c r="EP402" i="15" s="1"/>
  <c r="EO409" i="15"/>
  <c r="EP409" i="15" s="1"/>
  <c r="EO417" i="15"/>
  <c r="EP417" i="15" s="1"/>
  <c r="EO425" i="15"/>
  <c r="EP425" i="15" s="1"/>
  <c r="EO432" i="15"/>
  <c r="EP432" i="15" s="1"/>
  <c r="EO440" i="15"/>
  <c r="EP440" i="15" s="1"/>
  <c r="EO448" i="15"/>
  <c r="EP448" i="15" s="1"/>
  <c r="EO463" i="15"/>
  <c r="EP463" i="15" s="1"/>
  <c r="EO471" i="15"/>
  <c r="EP471" i="15" s="1"/>
  <c r="EO478" i="15"/>
  <c r="EP478" i="15" s="1"/>
  <c r="EO486" i="15"/>
  <c r="EP486" i="15" s="1"/>
  <c r="EO493" i="15"/>
  <c r="EP493" i="15" s="1"/>
  <c r="EO501" i="15"/>
  <c r="EP501" i="15" s="1"/>
  <c r="EO509" i="15"/>
  <c r="EP509" i="15" s="1"/>
  <c r="EO516" i="15"/>
  <c r="EP516" i="15" s="1"/>
  <c r="EO524" i="15"/>
  <c r="EP524" i="15" s="1"/>
  <c r="EO531" i="15"/>
  <c r="EP531" i="15" s="1"/>
  <c r="EO539" i="15"/>
  <c r="EP539" i="15" s="1"/>
  <c r="EO547" i="15"/>
  <c r="EP547" i="15" s="1"/>
  <c r="EO554" i="15"/>
  <c r="EP554" i="15" s="1"/>
  <c r="EO562" i="15"/>
  <c r="EP562" i="15" s="1"/>
  <c r="EO570" i="15"/>
  <c r="EP570" i="15" s="1"/>
  <c r="EO578" i="15"/>
  <c r="EP578" i="15" s="1"/>
  <c r="EO585" i="15"/>
  <c r="EP585" i="15" s="1"/>
  <c r="EO593" i="15"/>
  <c r="EP593" i="15" s="1"/>
  <c r="EO601" i="15"/>
  <c r="EP601" i="15" s="1"/>
  <c r="EO609" i="15"/>
  <c r="EP609" i="15" s="1"/>
  <c r="EO616" i="15"/>
  <c r="EP616" i="15" s="1"/>
  <c r="EO623" i="15"/>
  <c r="EP623" i="15" s="1"/>
  <c r="EO631" i="15"/>
  <c r="EP631" i="15" s="1"/>
  <c r="EO639" i="15"/>
  <c r="EP639" i="15" s="1"/>
  <c r="EO646" i="15"/>
  <c r="EP646" i="15" s="1"/>
  <c r="EO654" i="15"/>
  <c r="EP654" i="15" s="1"/>
  <c r="EO662" i="15"/>
  <c r="EP662" i="15" s="1"/>
  <c r="EO669" i="15"/>
  <c r="EP669" i="15" s="1"/>
  <c r="EO677" i="15"/>
  <c r="EP677" i="15" s="1"/>
  <c r="EO685" i="15"/>
  <c r="EP685" i="15" s="1"/>
  <c r="EO692" i="15"/>
  <c r="EP692" i="15" s="1"/>
  <c r="EO700" i="15"/>
  <c r="EP700" i="15" s="1"/>
  <c r="EO708" i="15"/>
  <c r="EP708" i="15" s="1"/>
  <c r="EO715" i="15"/>
  <c r="EP715" i="15" s="1"/>
  <c r="EO723" i="15"/>
  <c r="EP723" i="15" s="1"/>
  <c r="EO738" i="15"/>
  <c r="EP738" i="15" s="1"/>
  <c r="EO746" i="15"/>
  <c r="EP746" i="15" s="1"/>
  <c r="EO754" i="15"/>
  <c r="EP754" i="15" s="1"/>
  <c r="EO759" i="15"/>
  <c r="EP759" i="15" s="1"/>
  <c r="EO767" i="15"/>
  <c r="EP767" i="15" s="1"/>
  <c r="EO784" i="15"/>
  <c r="EP784" i="15" s="1"/>
  <c r="EO792" i="15"/>
  <c r="EP792" i="15" s="1"/>
  <c r="EO799" i="15"/>
  <c r="EP799" i="15" s="1"/>
  <c r="EO806" i="15"/>
  <c r="EP806" i="15" s="1"/>
  <c r="EO810" i="15"/>
  <c r="EP810" i="15" s="1"/>
  <c r="EO814" i="15"/>
  <c r="EP814" i="15" s="1"/>
  <c r="EO818" i="15"/>
  <c r="EP818" i="15" s="1"/>
  <c r="EO822" i="15"/>
  <c r="EP822" i="15" s="1"/>
  <c r="EO826" i="15"/>
  <c r="EP826" i="15" s="1"/>
  <c r="EO829" i="15"/>
  <c r="EP829" i="15" s="1"/>
  <c r="EO833" i="15"/>
  <c r="EP833" i="15" s="1"/>
  <c r="EO837" i="15"/>
  <c r="EP837" i="15" s="1"/>
  <c r="EO841" i="15"/>
  <c r="EP841" i="15" s="1"/>
  <c r="EO845" i="15"/>
  <c r="EP845" i="15" s="1"/>
  <c r="EO849" i="15"/>
  <c r="EP849" i="15" s="1"/>
  <c r="EO853" i="15"/>
  <c r="EP853" i="15" s="1"/>
  <c r="EO857" i="15"/>
  <c r="EP857" i="15" s="1"/>
  <c r="EO861" i="15"/>
  <c r="EP861" i="15" s="1"/>
  <c r="EO14" i="15"/>
  <c r="EP14" i="15" s="1"/>
  <c r="EO44" i="15"/>
  <c r="EP44" i="15" s="1"/>
  <c r="EO60" i="15"/>
  <c r="EP60" i="15" s="1"/>
  <c r="EO83" i="15"/>
  <c r="EP83" i="15" s="1"/>
  <c r="EO105" i="15"/>
  <c r="EP105" i="15" s="1"/>
  <c r="EO128" i="15"/>
  <c r="EP128" i="15" s="1"/>
  <c r="EO151" i="15"/>
  <c r="EP151" i="15" s="1"/>
  <c r="EO167" i="15"/>
  <c r="EP167" i="15" s="1"/>
  <c r="EO190" i="15"/>
  <c r="EP190" i="15" s="1"/>
  <c r="EO213" i="15"/>
  <c r="EP213" i="15" s="1"/>
  <c r="EO220" i="15"/>
  <c r="EP220" i="15" s="1"/>
  <c r="EO243" i="15"/>
  <c r="EP243" i="15" s="1"/>
  <c r="EO266" i="15"/>
  <c r="EP266" i="15" s="1"/>
  <c r="EO281" i="15"/>
  <c r="EP281" i="15" s="1"/>
  <c r="EO304" i="15"/>
  <c r="EP304" i="15" s="1"/>
  <c r="EO320" i="15"/>
  <c r="EP320" i="15" s="1"/>
  <c r="EO343" i="15"/>
  <c r="EP343" i="15" s="1"/>
  <c r="EO367" i="15"/>
  <c r="EP367" i="15" s="1"/>
  <c r="EO382" i="15"/>
  <c r="EP382" i="15" s="1"/>
  <c r="EO421" i="15"/>
  <c r="EP421" i="15" s="1"/>
  <c r="EO444" i="15"/>
  <c r="EP444" i="15" s="1"/>
  <c r="EO467" i="15"/>
  <c r="EP467" i="15" s="1"/>
  <c r="EO505" i="15"/>
  <c r="EP505" i="15" s="1"/>
  <c r="EO543" i="15"/>
  <c r="EP543" i="15" s="1"/>
  <c r="EO566" i="15"/>
  <c r="EP566" i="15" s="1"/>
  <c r="EO589" i="15"/>
  <c r="EP589" i="15" s="1"/>
  <c r="EO612" i="15"/>
  <c r="EP612" i="15" s="1"/>
  <c r="EO635" i="15"/>
  <c r="EP635" i="15" s="1"/>
  <c r="EO658" i="15"/>
  <c r="EP658" i="15" s="1"/>
  <c r="EO681" i="15"/>
  <c r="EP681" i="15" s="1"/>
  <c r="EO696" i="15"/>
  <c r="EP696" i="15" s="1"/>
  <c r="EO719" i="15"/>
  <c r="EP719" i="15" s="1"/>
  <c r="EO742" i="15"/>
  <c r="EP742" i="15" s="1"/>
  <c r="EO763" i="15"/>
  <c r="EP763" i="15" s="1"/>
  <c r="EO788" i="15"/>
  <c r="EP788" i="15" s="1"/>
  <c r="EO803" i="15"/>
  <c r="EP803" i="15" s="1"/>
  <c r="EO816" i="15"/>
  <c r="EP816" i="15" s="1"/>
  <c r="EO828" i="15"/>
  <c r="EP828" i="15" s="1"/>
  <c r="EO835" i="15"/>
  <c r="EP835" i="15" s="1"/>
  <c r="EO847" i="15"/>
  <c r="EP847" i="15" s="1"/>
  <c r="EO855" i="15"/>
  <c r="EP855" i="15" s="1"/>
  <c r="EO6" i="15"/>
  <c r="EP6" i="15" s="1"/>
  <c r="EO13" i="15"/>
  <c r="EP13" i="15" s="1"/>
  <c r="EO21" i="15"/>
  <c r="EP21" i="15" s="1"/>
  <c r="EO29" i="15"/>
  <c r="EP29" i="15" s="1"/>
  <c r="EO36" i="15"/>
  <c r="EP36" i="15" s="1"/>
  <c r="EO43" i="15"/>
  <c r="EP43" i="15" s="1"/>
  <c r="EO51" i="15"/>
  <c r="EP51" i="15" s="1"/>
  <c r="EO59" i="15"/>
  <c r="EP59" i="15" s="1"/>
  <c r="EO66" i="15"/>
  <c r="EP66" i="15" s="1"/>
  <c r="EO74" i="15"/>
  <c r="EP74" i="15" s="1"/>
  <c r="EO89" i="15"/>
  <c r="EP89" i="15" s="1"/>
  <c r="EO104" i="15"/>
  <c r="EP104" i="15" s="1"/>
  <c r="EO112" i="15"/>
  <c r="EP112" i="15" s="1"/>
  <c r="EO120" i="15"/>
  <c r="EP120" i="15" s="1"/>
  <c r="EO127" i="15"/>
  <c r="EP127" i="15" s="1"/>
  <c r="EO135" i="15"/>
  <c r="EP135" i="15" s="1"/>
  <c r="EO150" i="15"/>
  <c r="EP150" i="15" s="1"/>
  <c r="EO158" i="15"/>
  <c r="EP158" i="15" s="1"/>
  <c r="EO166" i="15"/>
  <c r="EP166" i="15" s="1"/>
  <c r="EO173" i="15"/>
  <c r="EP173" i="15" s="1"/>
  <c r="EO181" i="15"/>
  <c r="EP181" i="15" s="1"/>
  <c r="EO189" i="15"/>
  <c r="EP189" i="15" s="1"/>
  <c r="EO196" i="15"/>
  <c r="EP196" i="15" s="1"/>
  <c r="EO204" i="15"/>
  <c r="EP204" i="15" s="1"/>
  <c r="EO212" i="15"/>
  <c r="EP212" i="15" s="1"/>
  <c r="EO227" i="15"/>
  <c r="EP227" i="15" s="1"/>
  <c r="EO234" i="15"/>
  <c r="EP234" i="15" s="1"/>
  <c r="EO242" i="15"/>
  <c r="EP242" i="15" s="1"/>
  <c r="EO257" i="15"/>
  <c r="EP257" i="15" s="1"/>
  <c r="EO265" i="15"/>
  <c r="EP265" i="15" s="1"/>
  <c r="EO272" i="15"/>
  <c r="EP272" i="15" s="1"/>
  <c r="EO280" i="15"/>
  <c r="EP280" i="15" s="1"/>
  <c r="EO288" i="15"/>
  <c r="EP288" i="15" s="1"/>
  <c r="EO296" i="15"/>
  <c r="EP296" i="15" s="1"/>
  <c r="EO303" i="15"/>
  <c r="EP303" i="15" s="1"/>
  <c r="EO311" i="15"/>
  <c r="EP311" i="15" s="1"/>
  <c r="EO319" i="15"/>
  <c r="EP319" i="15" s="1"/>
  <c r="EO326" i="15"/>
  <c r="EP326" i="15" s="1"/>
  <c r="EO334" i="15"/>
  <c r="EP334" i="15" s="1"/>
  <c r="EO342" i="15"/>
  <c r="EP342" i="15" s="1"/>
  <c r="EO350" i="15"/>
  <c r="EP350" i="15" s="1"/>
  <c r="EO358" i="15"/>
  <c r="EP358" i="15" s="1"/>
  <c r="EO366" i="15"/>
  <c r="EP366" i="15" s="1"/>
  <c r="EO373" i="15"/>
  <c r="EP373" i="15" s="1"/>
  <c r="EO381" i="15"/>
  <c r="EP381" i="15" s="1"/>
  <c r="EO389" i="15"/>
  <c r="EP389" i="15" s="1"/>
  <c r="EO397" i="15"/>
  <c r="EP397" i="15" s="1"/>
  <c r="EO405" i="15"/>
  <c r="EP405" i="15" s="1"/>
  <c r="EO412" i="15"/>
  <c r="EP412" i="15" s="1"/>
  <c r="EO420" i="15"/>
  <c r="EP420" i="15" s="1"/>
  <c r="EO428" i="15"/>
  <c r="EP428" i="15" s="1"/>
  <c r="EO435" i="15"/>
  <c r="EP435" i="15" s="1"/>
  <c r="EO443" i="15"/>
  <c r="EP443" i="15" s="1"/>
  <c r="EO451" i="15"/>
  <c r="EP451" i="15" s="1"/>
  <c r="EO458" i="15"/>
  <c r="EP458" i="15" s="1"/>
  <c r="EO466" i="15"/>
  <c r="EP466" i="15" s="1"/>
  <c r="EO473" i="15"/>
  <c r="EP473" i="15" s="1"/>
  <c r="EO481" i="15"/>
  <c r="EP481" i="15" s="1"/>
  <c r="EO489" i="15"/>
  <c r="EP489" i="15" s="1"/>
  <c r="EO496" i="15"/>
  <c r="EP496" i="15" s="1"/>
  <c r="EO504" i="15"/>
  <c r="EP504" i="15" s="1"/>
  <c r="EO512" i="15"/>
  <c r="EP512" i="15" s="1"/>
  <c r="EO519" i="15"/>
  <c r="EP519" i="15" s="1"/>
  <c r="EO527" i="15"/>
  <c r="EP527" i="15" s="1"/>
  <c r="EO534" i="15"/>
  <c r="EP534" i="15" s="1"/>
  <c r="EO542" i="15"/>
  <c r="EP542" i="15" s="1"/>
  <c r="EO549" i="15"/>
  <c r="EP549" i="15" s="1"/>
  <c r="EO557" i="15"/>
  <c r="EP557" i="15" s="1"/>
  <c r="EO565" i="15"/>
  <c r="EP565" i="15" s="1"/>
  <c r="EO574" i="15"/>
  <c r="EP574" i="15" s="1"/>
  <c r="EO580" i="15"/>
  <c r="EP580" i="15" s="1"/>
  <c r="EO588" i="15"/>
  <c r="EP588" i="15" s="1"/>
  <c r="EO596" i="15"/>
  <c r="EP596" i="15" s="1"/>
  <c r="EO604" i="15"/>
  <c r="EP604" i="15" s="1"/>
  <c r="EO619" i="15"/>
  <c r="EP619" i="15" s="1"/>
  <c r="EO626" i="15"/>
  <c r="EP626" i="15" s="1"/>
  <c r="EO634" i="15"/>
  <c r="EP634" i="15" s="1"/>
  <c r="EO649" i="15"/>
  <c r="EP649" i="15" s="1"/>
  <c r="EO657" i="15"/>
  <c r="EP657" i="15" s="1"/>
  <c r="EO665" i="15"/>
  <c r="EP665" i="15" s="1"/>
  <c r="EO672" i="15"/>
  <c r="EP672" i="15" s="1"/>
  <c r="EO680" i="15"/>
  <c r="EP680" i="15" s="1"/>
  <c r="EO688" i="15"/>
  <c r="EP688" i="15" s="1"/>
  <c r="EO695" i="15"/>
  <c r="EP695" i="15" s="1"/>
  <c r="EO703" i="15"/>
  <c r="EP703" i="15" s="1"/>
  <c r="EO711" i="15"/>
  <c r="EP711" i="15" s="1"/>
  <c r="EO718" i="15"/>
  <c r="EP718" i="15" s="1"/>
  <c r="EO726" i="15"/>
  <c r="EP726" i="15" s="1"/>
  <c r="EO733" i="15"/>
  <c r="EP733" i="15" s="1"/>
  <c r="EO741" i="15"/>
  <c r="EP741" i="15" s="1"/>
  <c r="EO749" i="15"/>
  <c r="EP749" i="15" s="1"/>
  <c r="EO756" i="15"/>
  <c r="EP756" i="15" s="1"/>
  <c r="EO762" i="15"/>
  <c r="EP762" i="15" s="1"/>
  <c r="EO770" i="15"/>
  <c r="EP770" i="15" s="1"/>
  <c r="EO779" i="15"/>
  <c r="EP779" i="15" s="1"/>
  <c r="EO787" i="15"/>
  <c r="EP787" i="15" s="1"/>
  <c r="EO802" i="15"/>
  <c r="EP802" i="15" s="1"/>
  <c r="EO807" i="15"/>
  <c r="EP807" i="15" s="1"/>
  <c r="EO811" i="15"/>
  <c r="EP811" i="15" s="1"/>
  <c r="EO815" i="15"/>
  <c r="EP815" i="15" s="1"/>
  <c r="EO819" i="15"/>
  <c r="EP819" i="15" s="1"/>
  <c r="EO823" i="15"/>
  <c r="EP823" i="15" s="1"/>
  <c r="EO830" i="15"/>
  <c r="EP830" i="15" s="1"/>
  <c r="EO834" i="15"/>
  <c r="EP834" i="15" s="1"/>
  <c r="EO838" i="15"/>
  <c r="EP838" i="15" s="1"/>
  <c r="EO842" i="15"/>
  <c r="EP842" i="15" s="1"/>
  <c r="EO846" i="15"/>
  <c r="EP846" i="15" s="1"/>
  <c r="EO850" i="15"/>
  <c r="EP850" i="15" s="1"/>
  <c r="EO854" i="15"/>
  <c r="EP854" i="15" s="1"/>
  <c r="EO858" i="15"/>
  <c r="EP858" i="15" s="1"/>
  <c r="EO30" i="15"/>
  <c r="EP30" i="15" s="1"/>
  <c r="EO67" i="15"/>
  <c r="EP67" i="15" s="1"/>
  <c r="EO90" i="15"/>
  <c r="EP90" i="15" s="1"/>
  <c r="EO113" i="15"/>
  <c r="EP113" i="15" s="1"/>
  <c r="EO136" i="15"/>
  <c r="EP136" i="15" s="1"/>
  <c r="EO174" i="15"/>
  <c r="EP174" i="15" s="1"/>
  <c r="EO197" i="15"/>
  <c r="EP197" i="15" s="1"/>
  <c r="EO228" i="15"/>
  <c r="EP228" i="15" s="1"/>
  <c r="EO258" i="15"/>
  <c r="EP258" i="15" s="1"/>
  <c r="EO289" i="15"/>
  <c r="EP289" i="15" s="1"/>
  <c r="EO312" i="15"/>
  <c r="EP312" i="15" s="1"/>
  <c r="EO335" i="15"/>
  <c r="EP335" i="15" s="1"/>
  <c r="EO359" i="15"/>
  <c r="EP359" i="15" s="1"/>
  <c r="EO398" i="15"/>
  <c r="EP398" i="15" s="1"/>
  <c r="EO436" i="15"/>
  <c r="EP436" i="15" s="1"/>
  <c r="EO459" i="15"/>
  <c r="EP459" i="15" s="1"/>
  <c r="EO482" i="15"/>
  <c r="EP482" i="15" s="1"/>
  <c r="EO513" i="15"/>
  <c r="EP513" i="15" s="1"/>
  <c r="EO558" i="15"/>
  <c r="EP558" i="15" s="1"/>
  <c r="ES558" i="15" s="1"/>
  <c r="EO597" i="15"/>
  <c r="EP597" i="15" s="1"/>
  <c r="EO620" i="15"/>
  <c r="EP620" i="15" s="1"/>
  <c r="EO650" i="15"/>
  <c r="EP650" i="15" s="1"/>
  <c r="EO673" i="15"/>
  <c r="EP673" i="15" s="1"/>
  <c r="EO704" i="15"/>
  <c r="EP704" i="15" s="1"/>
  <c r="EO727" i="15"/>
  <c r="EP727" i="15" s="1"/>
  <c r="EO750" i="15"/>
  <c r="EP750" i="15" s="1"/>
  <c r="EO780" i="15"/>
  <c r="EP780" i="15" s="1"/>
  <c r="EO808" i="15"/>
  <c r="EP808" i="15" s="1"/>
  <c r="EO820" i="15"/>
  <c r="EP820" i="15" s="1"/>
  <c r="EO839" i="15"/>
  <c r="EP839" i="15" s="1"/>
  <c r="EO859" i="15"/>
  <c r="EP859" i="15" s="1"/>
  <c r="DU6" i="15"/>
  <c r="DV6" i="15" s="1"/>
  <c r="DU13" i="15"/>
  <c r="DV13" i="15" s="1"/>
  <c r="DU17" i="15"/>
  <c r="DV17" i="15" s="1"/>
  <c r="DU21" i="15"/>
  <c r="DV21" i="15" s="1"/>
  <c r="DU25" i="15"/>
  <c r="DV25" i="15" s="1"/>
  <c r="DU29" i="15"/>
  <c r="DV29" i="15" s="1"/>
  <c r="DU36" i="15"/>
  <c r="DV36" i="15" s="1"/>
  <c r="DU40" i="15"/>
  <c r="DV40" i="15" s="1"/>
  <c r="DU43" i="15"/>
  <c r="DV43" i="15" s="1"/>
  <c r="DU47" i="15"/>
  <c r="DV47" i="15" s="1"/>
  <c r="DU51" i="15"/>
  <c r="DV51" i="15" s="1"/>
  <c r="DU55" i="15"/>
  <c r="DV55" i="15" s="1"/>
  <c r="DU59" i="15"/>
  <c r="DV59" i="15" s="1"/>
  <c r="DU63" i="15"/>
  <c r="DV63" i="15" s="1"/>
  <c r="DU66" i="15"/>
  <c r="DV66" i="15" s="1"/>
  <c r="DU70" i="15"/>
  <c r="DV70" i="15" s="1"/>
  <c r="DU74" i="15"/>
  <c r="DV74" i="15" s="1"/>
  <c r="DU78" i="15"/>
  <c r="DV78" i="15" s="1"/>
  <c r="DU85" i="15"/>
  <c r="DV85" i="15" s="1"/>
  <c r="DU89" i="15"/>
  <c r="DV89" i="15" s="1"/>
  <c r="DU92" i="15"/>
  <c r="DV92" i="15" s="1"/>
  <c r="DU100" i="15"/>
  <c r="DV100" i="15" s="1"/>
  <c r="DU104" i="15"/>
  <c r="DV104" i="15" s="1"/>
  <c r="DU108" i="15"/>
  <c r="DV108" i="15" s="1"/>
  <c r="DU112" i="15"/>
  <c r="DV112" i="15" s="1"/>
  <c r="DU116" i="15"/>
  <c r="DV116" i="15" s="1"/>
  <c r="DU120" i="15"/>
  <c r="DV120" i="15" s="1"/>
  <c r="DU127" i="15"/>
  <c r="DV127" i="15" s="1"/>
  <c r="DU131" i="15"/>
  <c r="DV131" i="15" s="1"/>
  <c r="DU135" i="15"/>
  <c r="DV135" i="15" s="1"/>
  <c r="DU139" i="15"/>
  <c r="DV139" i="15" s="1"/>
  <c r="DU146" i="15"/>
  <c r="DV146" i="15" s="1"/>
  <c r="DU150" i="15"/>
  <c r="DV150" i="15" s="1"/>
  <c r="DU154" i="15"/>
  <c r="DV154" i="15" s="1"/>
  <c r="DU158" i="15"/>
  <c r="DV158" i="15" s="1"/>
  <c r="DU162" i="15"/>
  <c r="DV162" i="15" s="1"/>
  <c r="DU166" i="15"/>
  <c r="DV166" i="15" s="1"/>
  <c r="DU169" i="15"/>
  <c r="DV169" i="15" s="1"/>
  <c r="DU173" i="15"/>
  <c r="DV173" i="15" s="1"/>
  <c r="DU177" i="15"/>
  <c r="DV177" i="15" s="1"/>
  <c r="DU181" i="15"/>
  <c r="DV181" i="15" s="1"/>
  <c r="DU185" i="15"/>
  <c r="DV185" i="15" s="1"/>
  <c r="DU189" i="15"/>
  <c r="DV189" i="15" s="1"/>
  <c r="DU192" i="15"/>
  <c r="DV192" i="15" s="1"/>
  <c r="DU196" i="15"/>
  <c r="DV196" i="15" s="1"/>
  <c r="DU200" i="15"/>
  <c r="DV200" i="15" s="1"/>
  <c r="DU204" i="15"/>
  <c r="DV204" i="15" s="1"/>
  <c r="DU208" i="15"/>
  <c r="DV208" i="15" s="1"/>
  <c r="DU212" i="15"/>
  <c r="DV212" i="15" s="1"/>
  <c r="DU216" i="15"/>
  <c r="DV216" i="15" s="1"/>
  <c r="DU223" i="15"/>
  <c r="DV223" i="15" s="1"/>
  <c r="DU227" i="15"/>
  <c r="DV227" i="15" s="1"/>
  <c r="DU231" i="15"/>
  <c r="DV231" i="15" s="1"/>
  <c r="DU234" i="15"/>
  <c r="DV234" i="15" s="1"/>
  <c r="DU238" i="15"/>
  <c r="DV238" i="15" s="1"/>
  <c r="DU242" i="15"/>
  <c r="DV242" i="15" s="1"/>
  <c r="DU246" i="15"/>
  <c r="DV246" i="15" s="1"/>
  <c r="DU253" i="15"/>
  <c r="DV253" i="15" s="1"/>
  <c r="DU257" i="15"/>
  <c r="DV257" i="15" s="1"/>
  <c r="DU261" i="15"/>
  <c r="DV261" i="15" s="1"/>
  <c r="DU265" i="15"/>
  <c r="DV265" i="15" s="1"/>
  <c r="DU272" i="15"/>
  <c r="DV272" i="15" s="1"/>
  <c r="DU276" i="15"/>
  <c r="DV276" i="15" s="1"/>
  <c r="DU280" i="15"/>
  <c r="DV280" i="15" s="1"/>
  <c r="DU284" i="15"/>
  <c r="DV284" i="15" s="1"/>
  <c r="DU288" i="15"/>
  <c r="DV288" i="15" s="1"/>
  <c r="DU292" i="15"/>
  <c r="DV292" i="15" s="1"/>
  <c r="DU296" i="15"/>
  <c r="DV296" i="15" s="1"/>
  <c r="DU300" i="15"/>
  <c r="DV300" i="15" s="1"/>
  <c r="DU303" i="15"/>
  <c r="DV303" i="15" s="1"/>
  <c r="DU307" i="15"/>
  <c r="DV307" i="15" s="1"/>
  <c r="DU311" i="15"/>
  <c r="DV311" i="15" s="1"/>
  <c r="DU315" i="15"/>
  <c r="DV315" i="15" s="1"/>
  <c r="DU319" i="15"/>
  <c r="DV319" i="15" s="1"/>
  <c r="DU323" i="15"/>
  <c r="DV323" i="15" s="1"/>
  <c r="DU326" i="15"/>
  <c r="DV326" i="15" s="1"/>
  <c r="DU330" i="15"/>
  <c r="DV330" i="15" s="1"/>
  <c r="DU334" i="15"/>
  <c r="DV334" i="15" s="1"/>
  <c r="DU338" i="15"/>
  <c r="DV338" i="15" s="1"/>
  <c r="DU342" i="15"/>
  <c r="DV342" i="15" s="1"/>
  <c r="DU346" i="15"/>
  <c r="DV346" i="15" s="1"/>
  <c r="DU350" i="15"/>
  <c r="DV350" i="15" s="1"/>
  <c r="DU354" i="15"/>
  <c r="DV354" i="15" s="1"/>
  <c r="DU358" i="15"/>
  <c r="DV358" i="15" s="1"/>
  <c r="DU362" i="15"/>
  <c r="DV362" i="15" s="1"/>
  <c r="DU366" i="15"/>
  <c r="DV366" i="15" s="1"/>
  <c r="DU370" i="15"/>
  <c r="DV370" i="15" s="1"/>
  <c r="DU373" i="15"/>
  <c r="DV373" i="15" s="1"/>
  <c r="DU377" i="15"/>
  <c r="DV377" i="15" s="1"/>
  <c r="DU381" i="15"/>
  <c r="DV381" i="15" s="1"/>
  <c r="DU385" i="15"/>
  <c r="DV385" i="15" s="1"/>
  <c r="DU389" i="15"/>
  <c r="DV389" i="15" s="1"/>
  <c r="DU393" i="15"/>
  <c r="DV393" i="15" s="1"/>
  <c r="DU397" i="15"/>
  <c r="DV397" i="15" s="1"/>
  <c r="DU401" i="15"/>
  <c r="DV401" i="15" s="1"/>
  <c r="DU405" i="15"/>
  <c r="DV405" i="15" s="1"/>
  <c r="DU408" i="15"/>
  <c r="DV408" i="15" s="1"/>
  <c r="DU412" i="15"/>
  <c r="DV412" i="15" s="1"/>
  <c r="DU416" i="15"/>
  <c r="DV416" i="15" s="1"/>
  <c r="DU420" i="15"/>
  <c r="DV420" i="15" s="1"/>
  <c r="DU424" i="15"/>
  <c r="DV424" i="15" s="1"/>
  <c r="DU428" i="15"/>
  <c r="DV428" i="15" s="1"/>
  <c r="DU431" i="15"/>
  <c r="DV431" i="15" s="1"/>
  <c r="DU435" i="15"/>
  <c r="DV435" i="15" s="1"/>
  <c r="DU439" i="15"/>
  <c r="DV439" i="15" s="1"/>
  <c r="DU443" i="15"/>
  <c r="DV443" i="15" s="1"/>
  <c r="DU447" i="15"/>
  <c r="DV447" i="15" s="1"/>
  <c r="DU451" i="15"/>
  <c r="DV451" i="15" s="1"/>
  <c r="DU455" i="15"/>
  <c r="DV455" i="15" s="1"/>
  <c r="DU458" i="15"/>
  <c r="DV458" i="15" s="1"/>
  <c r="DU462" i="15"/>
  <c r="DV462" i="15" s="1"/>
  <c r="DU466" i="15"/>
  <c r="DV466" i="15" s="1"/>
  <c r="DU473" i="15"/>
  <c r="DV473" i="15" s="1"/>
  <c r="DU477" i="15"/>
  <c r="DV477" i="15" s="1"/>
  <c r="DU481" i="15"/>
  <c r="DV481" i="15" s="1"/>
  <c r="DU485" i="15"/>
  <c r="DV485" i="15" s="1"/>
  <c r="DU489" i="15"/>
  <c r="DV489" i="15" s="1"/>
  <c r="DU492" i="15"/>
  <c r="DV492" i="15" s="1"/>
  <c r="DU496" i="15"/>
  <c r="DV496" i="15" s="1"/>
  <c r="DU500" i="15"/>
  <c r="DV500" i="15" s="1"/>
  <c r="DU504" i="15"/>
  <c r="DV504" i="15" s="1"/>
  <c r="DU508" i="15"/>
  <c r="DV508" i="15" s="1"/>
  <c r="DU512" i="15"/>
  <c r="DV512" i="15" s="1"/>
  <c r="DU515" i="15"/>
  <c r="DV515" i="15" s="1"/>
  <c r="DU519" i="15"/>
  <c r="DV519" i="15" s="1"/>
  <c r="DU523" i="15"/>
  <c r="DV523" i="15" s="1"/>
  <c r="DU527" i="15"/>
  <c r="DV527" i="15" s="1"/>
  <c r="DU530" i="15"/>
  <c r="DV530" i="15" s="1"/>
  <c r="DU534" i="15"/>
  <c r="DV534" i="15" s="1"/>
  <c r="DU538" i="15"/>
  <c r="DV538" i="15" s="1"/>
  <c r="DU542" i="15"/>
  <c r="DV542" i="15" s="1"/>
  <c r="DU546" i="15"/>
  <c r="DV546" i="15" s="1"/>
  <c r="DU549" i="15"/>
  <c r="DV549" i="15" s="1"/>
  <c r="DU553" i="15"/>
  <c r="DV553" i="15" s="1"/>
  <c r="DU557" i="15"/>
  <c r="DV557" i="15" s="1"/>
  <c r="DU561" i="15"/>
  <c r="DV561" i="15" s="1"/>
  <c r="DU565" i="15"/>
  <c r="DV565" i="15" s="1"/>
  <c r="DU569" i="15"/>
  <c r="DV569" i="15" s="1"/>
  <c r="DU574" i="15"/>
  <c r="DV574" i="15" s="1"/>
  <c r="DU577" i="15"/>
  <c r="DV577" i="15" s="1"/>
  <c r="DU580" i="15"/>
  <c r="DV580" i="15" s="1"/>
  <c r="DU584" i="15"/>
  <c r="DV584" i="15" s="1"/>
  <c r="DU588" i="15"/>
  <c r="DV588" i="15" s="1"/>
  <c r="DU592" i="15"/>
  <c r="DV592" i="15" s="1"/>
  <c r="DU596" i="15"/>
  <c r="DV596" i="15" s="1"/>
  <c r="DU600" i="15"/>
  <c r="DV600" i="15" s="1"/>
  <c r="DU604" i="15"/>
  <c r="DV604" i="15" s="1"/>
  <c r="DU608" i="15"/>
  <c r="DV608" i="15" s="1"/>
  <c r="DU615" i="15"/>
  <c r="DV615" i="15" s="1"/>
  <c r="DU619" i="15"/>
  <c r="DV619" i="15" s="1"/>
  <c r="DU622" i="15"/>
  <c r="DV622" i="15" s="1"/>
  <c r="DU626" i="15"/>
  <c r="DV626" i="15" s="1"/>
  <c r="DU630" i="15"/>
  <c r="DV630" i="15" s="1"/>
  <c r="DU634" i="15"/>
  <c r="DV634" i="15" s="1"/>
  <c r="DU638" i="15"/>
  <c r="DV638" i="15" s="1"/>
  <c r="DU645" i="15"/>
  <c r="DV645" i="15" s="1"/>
  <c r="DU649" i="15"/>
  <c r="DV649" i="15" s="1"/>
  <c r="DU653" i="15"/>
  <c r="DV653" i="15" s="1"/>
  <c r="DU657" i="15"/>
  <c r="DV657" i="15" s="1"/>
  <c r="DU661" i="15"/>
  <c r="DV661" i="15" s="1"/>
  <c r="DU665" i="15"/>
  <c r="DV665" i="15" s="1"/>
  <c r="DU672" i="15"/>
  <c r="DV672" i="15" s="1"/>
  <c r="DU676" i="15"/>
  <c r="DV676" i="15" s="1"/>
  <c r="DU680" i="15"/>
  <c r="DV680" i="15" s="1"/>
  <c r="DU684" i="15"/>
  <c r="DV684" i="15" s="1"/>
  <c r="DU688" i="15"/>
  <c r="DV688" i="15" s="1"/>
  <c r="DU691" i="15"/>
  <c r="DV691" i="15" s="1"/>
  <c r="DU695" i="15"/>
  <c r="DV695" i="15" s="1"/>
  <c r="DU699" i="15"/>
  <c r="DV699" i="15" s="1"/>
  <c r="DU703" i="15"/>
  <c r="DV703" i="15" s="1"/>
  <c r="DU707" i="15"/>
  <c r="DV707" i="15" s="1"/>
  <c r="DU711" i="15"/>
  <c r="DV711" i="15" s="1"/>
  <c r="DU718" i="15"/>
  <c r="DV718" i="15" s="1"/>
  <c r="DU722" i="15"/>
  <c r="DV722" i="15" s="1"/>
  <c r="DU726" i="15"/>
  <c r="DV726" i="15" s="1"/>
  <c r="DU730" i="15"/>
  <c r="DV730" i="15" s="1"/>
  <c r="DU733" i="15"/>
  <c r="DV733" i="15" s="1"/>
  <c r="DU737" i="15"/>
  <c r="DV737" i="15" s="1"/>
  <c r="DU741" i="15"/>
  <c r="DV741" i="15" s="1"/>
  <c r="DU745" i="15"/>
  <c r="DV745" i="15" s="1"/>
  <c r="DU749" i="15"/>
  <c r="DV749" i="15" s="1"/>
  <c r="DU756" i="15"/>
  <c r="DV756" i="15" s="1"/>
  <c r="DU758" i="15"/>
  <c r="DV758" i="15" s="1"/>
  <c r="DU762" i="15"/>
  <c r="DV762" i="15" s="1"/>
  <c r="DU766" i="15"/>
  <c r="DV766" i="15" s="1"/>
  <c r="DU770" i="15"/>
  <c r="DV770" i="15" s="1"/>
  <c r="DU776" i="15"/>
  <c r="DV776" i="15" s="1"/>
  <c r="DU779" i="15"/>
  <c r="DV779" i="15" s="1"/>
  <c r="DU783" i="15"/>
  <c r="DV783" i="15" s="1"/>
  <c r="DU787" i="15"/>
  <c r="DV787" i="15" s="1"/>
  <c r="DU791" i="15"/>
  <c r="DV791" i="15" s="1"/>
  <c r="DU798" i="15"/>
  <c r="DV798" i="15" s="1"/>
  <c r="DU802" i="15"/>
  <c r="DV802" i="15" s="1"/>
  <c r="DU806" i="15"/>
  <c r="DV806" i="15" s="1"/>
  <c r="DU810" i="15"/>
  <c r="DV810" i="15" s="1"/>
  <c r="DU814" i="15"/>
  <c r="DV814" i="15" s="1"/>
  <c r="DU818" i="15"/>
  <c r="DV818" i="15" s="1"/>
  <c r="DU822" i="15"/>
  <c r="DV822" i="15" s="1"/>
  <c r="DU826" i="15"/>
  <c r="DV826" i="15" s="1"/>
  <c r="DU829" i="15"/>
  <c r="DV829" i="15" s="1"/>
  <c r="DU833" i="15"/>
  <c r="DV833" i="15" s="1"/>
  <c r="DU837" i="15"/>
  <c r="DV837" i="15" s="1"/>
  <c r="DU841" i="15"/>
  <c r="DV841" i="15" s="1"/>
  <c r="DU845" i="15"/>
  <c r="DV845" i="15" s="1"/>
  <c r="DU849" i="15"/>
  <c r="DV849" i="15" s="1"/>
  <c r="DU853" i="15"/>
  <c r="DV853" i="15" s="1"/>
  <c r="DU857" i="15"/>
  <c r="DV857" i="15" s="1"/>
  <c r="DU861" i="15"/>
  <c r="DV861" i="15" s="1"/>
  <c r="DU10" i="15"/>
  <c r="DV10" i="15" s="1"/>
  <c r="DU14" i="15"/>
  <c r="DV14" i="15" s="1"/>
  <c r="DU18" i="15"/>
  <c r="DV18" i="15" s="1"/>
  <c r="DU22" i="15"/>
  <c r="DV22" i="15" s="1"/>
  <c r="DU26" i="15"/>
  <c r="DV26" i="15" s="1"/>
  <c r="DU30" i="15"/>
  <c r="DV30" i="15" s="1"/>
  <c r="DU34" i="15"/>
  <c r="DV34" i="15" s="1"/>
  <c r="DU37" i="15"/>
  <c r="DV37" i="15" s="1"/>
  <c r="DU44" i="15"/>
  <c r="DV44" i="15" s="1"/>
  <c r="DU48" i="15"/>
  <c r="DV48" i="15" s="1"/>
  <c r="DU52" i="15"/>
  <c r="DV52" i="15" s="1"/>
  <c r="DU56" i="15"/>
  <c r="DV56" i="15" s="1"/>
  <c r="DU60" i="15"/>
  <c r="DV60" i="15" s="1"/>
  <c r="DU67" i="15"/>
  <c r="DV67" i="15" s="1"/>
  <c r="DU71" i="15"/>
  <c r="DV71" i="15" s="1"/>
  <c r="DU75" i="15"/>
  <c r="DV75" i="15" s="1"/>
  <c r="DU79" i="15"/>
  <c r="DV79" i="15" s="1"/>
  <c r="DU83" i="15"/>
  <c r="DV83" i="15" s="1"/>
  <c r="DU86" i="15"/>
  <c r="DV86" i="15" s="1"/>
  <c r="DU90" i="15"/>
  <c r="DV90" i="15" s="1"/>
  <c r="DU94" i="15"/>
  <c r="DV94" i="15" s="1"/>
  <c r="DU98" i="15"/>
  <c r="DV98" i="15" s="1"/>
  <c r="DU101" i="15"/>
  <c r="DV101" i="15" s="1"/>
  <c r="DU105" i="15"/>
  <c r="DV105" i="15" s="1"/>
  <c r="DU109" i="15"/>
  <c r="DV109" i="15" s="1"/>
  <c r="DU113" i="15"/>
  <c r="DV113" i="15" s="1"/>
  <c r="DU117" i="15"/>
  <c r="DV117" i="15" s="1"/>
  <c r="DU121" i="15"/>
  <c r="DV121" i="15" s="1"/>
  <c r="DU125" i="15"/>
  <c r="DV125" i="15" s="1"/>
  <c r="DU128" i="15"/>
  <c r="DV128" i="15" s="1"/>
  <c r="DU132" i="15"/>
  <c r="DV132" i="15" s="1"/>
  <c r="DU136" i="15"/>
  <c r="DV136" i="15" s="1"/>
  <c r="DU140" i="15"/>
  <c r="DV140" i="15" s="1"/>
  <c r="DU144" i="15"/>
  <c r="DV144" i="15" s="1"/>
  <c r="DU147" i="15"/>
  <c r="DV147" i="15" s="1"/>
  <c r="DU151" i="15"/>
  <c r="DV151" i="15" s="1"/>
  <c r="DU155" i="15"/>
  <c r="DV155" i="15" s="1"/>
  <c r="DU159" i="15"/>
  <c r="DV159" i="15" s="1"/>
  <c r="DU163" i="15"/>
  <c r="DV163" i="15" s="1"/>
  <c r="DU167" i="15"/>
  <c r="DV167" i="15" s="1"/>
  <c r="DU170" i="15"/>
  <c r="DV170" i="15" s="1"/>
  <c r="DU174" i="15"/>
  <c r="DV174" i="15" s="1"/>
  <c r="DU178" i="15"/>
  <c r="DV178" i="15" s="1"/>
  <c r="DU182" i="15"/>
  <c r="DV182" i="15" s="1"/>
  <c r="DU186" i="15"/>
  <c r="DV186" i="15" s="1"/>
  <c r="DU190" i="15"/>
  <c r="DV190" i="15" s="1"/>
  <c r="DU193" i="15"/>
  <c r="DV193" i="15" s="1"/>
  <c r="DU197" i="15"/>
  <c r="DV197" i="15" s="1"/>
  <c r="DU201" i="15"/>
  <c r="DV201" i="15" s="1"/>
  <c r="DU205" i="15"/>
  <c r="DV205" i="15" s="1"/>
  <c r="DU209" i="15"/>
  <c r="DV209" i="15" s="1"/>
  <c r="DU213" i="15"/>
  <c r="DV213" i="15" s="1"/>
  <c r="DU217" i="15"/>
  <c r="DV217" i="15" s="1"/>
  <c r="DU220" i="15"/>
  <c r="DV220" i="15" s="1"/>
  <c r="DU224" i="15"/>
  <c r="DV224" i="15" s="1"/>
  <c r="DU228" i="15"/>
  <c r="DV228" i="15" s="1"/>
  <c r="DU232" i="15"/>
  <c r="DV232" i="15" s="1"/>
  <c r="DU235" i="15"/>
  <c r="DV235" i="15" s="1"/>
  <c r="DU239" i="15"/>
  <c r="DV239" i="15" s="1"/>
  <c r="DU243" i="15"/>
  <c r="DV243" i="15" s="1"/>
  <c r="DU247" i="15"/>
  <c r="DV247" i="15" s="1"/>
  <c r="DU251" i="15"/>
  <c r="DV251" i="15" s="1"/>
  <c r="DU254" i="15"/>
  <c r="DV254" i="15" s="1"/>
  <c r="DU258" i="15"/>
  <c r="DV258" i="15" s="1"/>
  <c r="DU262" i="15"/>
  <c r="DV262" i="15" s="1"/>
  <c r="DU266" i="15"/>
  <c r="DV266" i="15" s="1"/>
  <c r="DU270" i="15"/>
  <c r="DV270" i="15" s="1"/>
  <c r="DU273" i="15"/>
  <c r="DV273" i="15" s="1"/>
  <c r="DU277" i="15"/>
  <c r="DV277" i="15" s="1"/>
  <c r="DU281" i="15"/>
  <c r="DV281" i="15" s="1"/>
  <c r="DU285" i="15"/>
  <c r="DV285" i="15" s="1"/>
  <c r="DU289" i="15"/>
  <c r="DV289" i="15" s="1"/>
  <c r="DU293" i="15"/>
  <c r="DV293" i="15" s="1"/>
  <c r="DU297" i="15"/>
  <c r="DV297" i="15" s="1"/>
  <c r="DU304" i="15"/>
  <c r="DV304" i="15" s="1"/>
  <c r="DU308" i="15"/>
  <c r="DV308" i="15" s="1"/>
  <c r="DU312" i="15"/>
  <c r="DV312" i="15" s="1"/>
  <c r="DU316" i="15"/>
  <c r="DV316" i="15" s="1"/>
  <c r="DU320" i="15"/>
  <c r="DV320" i="15" s="1"/>
  <c r="DU327" i="15"/>
  <c r="DV327" i="15" s="1"/>
  <c r="DU331" i="15"/>
  <c r="DV331" i="15" s="1"/>
  <c r="DU335" i="15"/>
  <c r="DV335" i="15" s="1"/>
  <c r="DU339" i="15"/>
  <c r="DV339" i="15" s="1"/>
  <c r="DU343" i="15"/>
  <c r="DV343" i="15" s="1"/>
  <c r="DU347" i="15"/>
  <c r="DV347" i="15" s="1"/>
  <c r="DU351" i="15"/>
  <c r="DV351" i="15" s="1"/>
  <c r="DU355" i="15"/>
  <c r="DV355" i="15" s="1"/>
  <c r="DU359" i="15"/>
  <c r="DV359" i="15" s="1"/>
  <c r="DU363" i="15"/>
  <c r="DV363" i="15" s="1"/>
  <c r="DU367" i="15"/>
  <c r="DV367" i="15" s="1"/>
  <c r="DU371" i="15"/>
  <c r="DV371" i="15" s="1"/>
  <c r="DU374" i="15"/>
  <c r="DV374" i="15" s="1"/>
  <c r="DU378" i="15"/>
  <c r="DV378" i="15" s="1"/>
  <c r="DU382" i="15"/>
  <c r="DV382" i="15" s="1"/>
  <c r="DU386" i="15"/>
  <c r="DV386" i="15" s="1"/>
  <c r="DU390" i="15"/>
  <c r="DV390" i="15" s="1"/>
  <c r="DU394" i="15"/>
  <c r="DV394" i="15" s="1"/>
  <c r="DU398" i="15"/>
  <c r="DV398" i="15" s="1"/>
  <c r="DU402" i="15"/>
  <c r="DV402" i="15" s="1"/>
  <c r="DU409" i="15"/>
  <c r="DV409" i="15" s="1"/>
  <c r="DU413" i="15"/>
  <c r="DV413" i="15" s="1"/>
  <c r="DU417" i="15"/>
  <c r="DV417" i="15" s="1"/>
  <c r="DU421" i="15"/>
  <c r="DV421" i="15" s="1"/>
  <c r="DU425" i="15"/>
  <c r="DV425" i="15" s="1"/>
  <c r="DU432" i="15"/>
  <c r="DV432" i="15" s="1"/>
  <c r="DU436" i="15"/>
  <c r="DV436" i="15" s="1"/>
  <c r="DU440" i="15"/>
  <c r="DV440" i="15" s="1"/>
  <c r="DU444" i="15"/>
  <c r="DV444" i="15" s="1"/>
  <c r="DU448" i="15"/>
  <c r="DV448" i="15" s="1"/>
  <c r="DU452" i="15"/>
  <c r="DV452" i="15" s="1"/>
  <c r="DU459" i="15"/>
  <c r="DV459" i="15" s="1"/>
  <c r="DU463" i="15"/>
  <c r="DV463" i="15" s="1"/>
  <c r="DU467" i="15"/>
  <c r="DV467" i="15" s="1"/>
  <c r="DU471" i="15"/>
  <c r="DV471" i="15" s="1"/>
  <c r="DU474" i="15"/>
  <c r="DV474" i="15" s="1"/>
  <c r="DU478" i="15"/>
  <c r="DV478" i="15" s="1"/>
  <c r="DU482" i="15"/>
  <c r="DV482" i="15" s="1"/>
  <c r="DU486" i="15"/>
  <c r="DV486" i="15" s="1"/>
  <c r="DU493" i="15"/>
  <c r="DV493" i="15" s="1"/>
  <c r="DU497" i="15"/>
  <c r="DV497" i="15" s="1"/>
  <c r="DU501" i="15"/>
  <c r="DV501" i="15" s="1"/>
  <c r="DU505" i="15"/>
  <c r="DV505" i="15" s="1"/>
  <c r="DU509" i="15"/>
  <c r="DV509" i="15" s="1"/>
  <c r="DU513" i="15"/>
  <c r="DV513" i="15" s="1"/>
  <c r="DU516" i="15"/>
  <c r="DV516" i="15" s="1"/>
  <c r="DU520" i="15"/>
  <c r="DV520" i="15" s="1"/>
  <c r="DU524" i="15"/>
  <c r="DV524" i="15" s="1"/>
  <c r="DU531" i="15"/>
  <c r="DV531" i="15" s="1"/>
  <c r="DU535" i="15"/>
  <c r="DV535" i="15" s="1"/>
  <c r="DU539" i="15"/>
  <c r="DV539" i="15" s="1"/>
  <c r="DU543" i="15"/>
  <c r="DV543" i="15" s="1"/>
  <c r="DU547" i="15"/>
  <c r="DV547" i="15" s="1"/>
  <c r="DU550" i="15"/>
  <c r="DV550" i="15" s="1"/>
  <c r="DU554" i="15"/>
  <c r="DV554" i="15" s="1"/>
  <c r="DU558" i="15"/>
  <c r="DV558" i="15" s="1"/>
  <c r="DU562" i="15"/>
  <c r="DV562" i="15" s="1"/>
  <c r="DU566" i="15"/>
  <c r="DV566" i="15" s="1"/>
  <c r="DU570" i="15"/>
  <c r="DV570" i="15" s="1"/>
  <c r="DU572" i="15"/>
  <c r="DV572" i="15" s="1"/>
  <c r="DU578" i="15"/>
  <c r="DV578" i="15" s="1"/>
  <c r="DU581" i="15"/>
  <c r="DV581" i="15" s="1"/>
  <c r="DU585" i="15"/>
  <c r="DV585" i="15" s="1"/>
  <c r="DU589" i="15"/>
  <c r="DV589" i="15" s="1"/>
  <c r="DU593" i="15"/>
  <c r="DV593" i="15" s="1"/>
  <c r="DU597" i="15"/>
  <c r="DV597" i="15" s="1"/>
  <c r="DU601" i="15"/>
  <c r="DV601" i="15" s="1"/>
  <c r="DU605" i="15"/>
  <c r="DV605" i="15" s="1"/>
  <c r="DU609" i="15"/>
  <c r="DV609" i="15" s="1"/>
  <c r="DU612" i="15"/>
  <c r="DV612" i="15" s="1"/>
  <c r="DU616" i="15"/>
  <c r="DV616" i="15" s="1"/>
  <c r="DU620" i="15"/>
  <c r="DV620" i="15" s="1"/>
  <c r="DU623" i="15"/>
  <c r="DV623" i="15" s="1"/>
  <c r="DU627" i="15"/>
  <c r="DV627" i="15" s="1"/>
  <c r="DU631" i="15"/>
  <c r="DV631" i="15" s="1"/>
  <c r="DU635" i="15"/>
  <c r="DV635" i="15" s="1"/>
  <c r="DU639" i="15"/>
  <c r="DV639" i="15" s="1"/>
  <c r="DU642" i="15"/>
  <c r="DV642" i="15" s="1"/>
  <c r="DU646" i="15"/>
  <c r="DV646" i="15" s="1"/>
  <c r="DU650" i="15"/>
  <c r="DV650" i="15" s="1"/>
  <c r="DU654" i="15"/>
  <c r="DV654" i="15" s="1"/>
  <c r="DU658" i="15"/>
  <c r="DV658" i="15" s="1"/>
  <c r="DU662" i="15"/>
  <c r="DV662" i="15" s="1"/>
  <c r="DU666" i="15"/>
  <c r="DV666" i="15" s="1"/>
  <c r="DU669" i="15"/>
  <c r="DV669" i="15" s="1"/>
  <c r="DU673" i="15"/>
  <c r="DV673" i="15" s="1"/>
  <c r="DU677" i="15"/>
  <c r="DV677" i="15" s="1"/>
  <c r="DU681" i="15"/>
  <c r="DV681" i="15" s="1"/>
  <c r="DU685" i="15"/>
  <c r="DV685" i="15" s="1"/>
  <c r="DU692" i="15"/>
  <c r="DV692" i="15" s="1"/>
  <c r="DU696" i="15"/>
  <c r="DV696" i="15" s="1"/>
  <c r="DU700" i="15"/>
  <c r="DV700" i="15" s="1"/>
  <c r="DU704" i="15"/>
  <c r="DV704" i="15" s="1"/>
  <c r="DU708" i="15"/>
  <c r="DV708" i="15" s="1"/>
  <c r="DU715" i="15"/>
  <c r="DV715" i="15" s="1"/>
  <c r="DU719" i="15"/>
  <c r="DV719" i="15" s="1"/>
  <c r="DU723" i="15"/>
  <c r="DV723" i="15" s="1"/>
  <c r="DU727" i="15"/>
  <c r="DV727" i="15" s="1"/>
  <c r="DU734" i="15"/>
  <c r="DV734" i="15" s="1"/>
  <c r="DU738" i="15"/>
  <c r="DV738" i="15" s="1"/>
  <c r="DU742" i="15"/>
  <c r="DV742" i="15" s="1"/>
  <c r="DU746" i="15"/>
  <c r="DV746" i="15" s="1"/>
  <c r="DU750" i="15"/>
  <c r="DV750" i="15" s="1"/>
  <c r="DU754" i="15"/>
  <c r="DV754" i="15" s="1"/>
  <c r="DU757" i="15"/>
  <c r="DV757" i="15" s="1"/>
  <c r="DU759" i="15"/>
  <c r="DV759" i="15" s="1"/>
  <c r="DU763" i="15"/>
  <c r="DV763" i="15" s="1"/>
  <c r="DU767" i="15"/>
  <c r="DV767" i="15" s="1"/>
  <c r="DU771" i="15"/>
  <c r="DV771" i="15" s="1"/>
  <c r="DU780" i="15"/>
  <c r="DV780" i="15" s="1"/>
  <c r="DU784" i="15"/>
  <c r="DV784" i="15" s="1"/>
  <c r="DU788" i="15"/>
  <c r="DV788" i="15" s="1"/>
  <c r="DU792" i="15"/>
  <c r="DV792" i="15" s="1"/>
  <c r="DU796" i="15"/>
  <c r="DV796" i="15" s="1"/>
  <c r="DU799" i="15"/>
  <c r="DV799" i="15" s="1"/>
  <c r="DU803" i="15"/>
  <c r="DV803" i="15" s="1"/>
  <c r="DU807" i="15"/>
  <c r="DV807" i="15" s="1"/>
  <c r="DU811" i="15"/>
  <c r="DV811" i="15" s="1"/>
  <c r="DU815" i="15"/>
  <c r="DV815" i="15" s="1"/>
  <c r="DU819" i="15"/>
  <c r="DV819" i="15" s="1"/>
  <c r="DU823" i="15"/>
  <c r="DV823" i="15" s="1"/>
  <c r="DU830" i="15"/>
  <c r="DV830" i="15" s="1"/>
  <c r="DU834" i="15"/>
  <c r="DV834" i="15" s="1"/>
  <c r="DU838" i="15"/>
  <c r="DV838" i="15" s="1"/>
  <c r="DU842" i="15"/>
  <c r="DV842" i="15" s="1"/>
  <c r="DU846" i="15"/>
  <c r="DV846" i="15" s="1"/>
  <c r="DU850" i="15"/>
  <c r="DV850" i="15" s="1"/>
  <c r="DU854" i="15"/>
  <c r="DV854" i="15" s="1"/>
  <c r="DU858" i="15"/>
  <c r="DV858" i="15" s="1"/>
  <c r="DU8" i="15"/>
  <c r="DU11" i="15"/>
  <c r="DV11" i="15" s="1"/>
  <c r="DU15" i="15"/>
  <c r="DV15" i="15" s="1"/>
  <c r="DU19" i="15"/>
  <c r="DV19" i="15" s="1"/>
  <c r="DU23" i="15"/>
  <c r="DV23" i="15" s="1"/>
  <c r="DU27" i="15"/>
  <c r="DV27" i="15" s="1"/>
  <c r="DU31" i="15"/>
  <c r="DV31" i="15" s="1"/>
  <c r="DU38" i="15"/>
  <c r="DV38" i="15" s="1"/>
  <c r="DU42" i="15"/>
  <c r="DV42" i="15" s="1"/>
  <c r="DU45" i="15"/>
  <c r="DV45" i="15" s="1"/>
  <c r="DU49" i="15"/>
  <c r="DV49" i="15" s="1"/>
  <c r="DU53" i="15"/>
  <c r="DV53" i="15" s="1"/>
  <c r="DU57" i="15"/>
  <c r="DV57" i="15" s="1"/>
  <c r="DU61" i="15"/>
  <c r="DV61" i="15" s="1"/>
  <c r="DU65" i="15"/>
  <c r="DV65" i="15" s="1"/>
  <c r="DU68" i="15"/>
  <c r="DV68" i="15" s="1"/>
  <c r="DU72" i="15"/>
  <c r="DV72" i="15" s="1"/>
  <c r="DU76" i="15"/>
  <c r="DV76" i="15" s="1"/>
  <c r="DU80" i="15"/>
  <c r="DV80" i="15" s="1"/>
  <c r="DU87" i="15"/>
  <c r="DV87" i="15" s="1"/>
  <c r="DU91" i="15"/>
  <c r="DV91" i="15" s="1"/>
  <c r="DU95" i="15"/>
  <c r="DV95" i="15" s="1"/>
  <c r="DU102" i="15"/>
  <c r="DV102" i="15" s="1"/>
  <c r="DU106" i="15"/>
  <c r="DV106" i="15" s="1"/>
  <c r="DU110" i="15"/>
  <c r="DV110" i="15" s="1"/>
  <c r="DU114" i="15"/>
  <c r="DV114" i="15" s="1"/>
  <c r="DU118" i="15"/>
  <c r="DV118" i="15" s="1"/>
  <c r="DU122" i="15"/>
  <c r="DV122" i="15" s="1"/>
  <c r="DU129" i="15"/>
  <c r="DV129" i="15" s="1"/>
  <c r="DU133" i="15"/>
  <c r="DV133" i="15" s="1"/>
  <c r="DU137" i="15"/>
  <c r="DV137" i="15" s="1"/>
  <c r="DU141" i="15"/>
  <c r="DV141" i="15" s="1"/>
  <c r="DU145" i="15"/>
  <c r="DV145" i="15" s="1"/>
  <c r="DU148" i="15"/>
  <c r="DV148" i="15" s="1"/>
  <c r="DU152" i="15"/>
  <c r="DV152" i="15" s="1"/>
  <c r="DU156" i="15"/>
  <c r="DV156" i="15" s="1"/>
  <c r="DU160" i="15"/>
  <c r="DV160" i="15" s="1"/>
  <c r="DU164" i="15"/>
  <c r="DV164" i="15" s="1"/>
  <c r="DU168" i="15"/>
  <c r="DV168" i="15" s="1"/>
  <c r="DU171" i="15"/>
  <c r="DV171" i="15" s="1"/>
  <c r="DU175" i="15"/>
  <c r="DV175" i="15" s="1"/>
  <c r="DU179" i="15"/>
  <c r="DV179" i="15" s="1"/>
  <c r="DU183" i="15"/>
  <c r="DV183" i="15" s="1"/>
  <c r="DU187" i="15"/>
  <c r="DV187" i="15" s="1"/>
  <c r="DU194" i="15"/>
  <c r="DV194" i="15" s="1"/>
  <c r="DU198" i="15"/>
  <c r="DV198" i="15" s="1"/>
  <c r="DU202" i="15"/>
  <c r="DV202" i="15" s="1"/>
  <c r="DU206" i="15"/>
  <c r="DV206" i="15" s="1"/>
  <c r="DU210" i="15"/>
  <c r="DV210" i="15" s="1"/>
  <c r="DU214" i="15"/>
  <c r="DV214" i="15" s="1"/>
  <c r="DU218" i="15"/>
  <c r="DV218" i="15" s="1"/>
  <c r="DU221" i="15"/>
  <c r="DV221" i="15" s="1"/>
  <c r="DU225" i="15"/>
  <c r="DV225" i="15" s="1"/>
  <c r="DU229" i="15"/>
  <c r="DV229" i="15" s="1"/>
  <c r="DU236" i="15"/>
  <c r="DV236" i="15" s="1"/>
  <c r="DU240" i="15"/>
  <c r="DV240" i="15" s="1"/>
  <c r="DU244" i="15"/>
  <c r="DV244" i="15" s="1"/>
  <c r="DU248" i="15"/>
  <c r="DV248" i="15" s="1"/>
  <c r="DU255" i="15"/>
  <c r="DV255" i="15" s="1"/>
  <c r="DU259" i="15"/>
  <c r="DV259" i="15" s="1"/>
  <c r="DU263" i="15"/>
  <c r="DV263" i="15" s="1"/>
  <c r="DU267" i="15"/>
  <c r="DV267" i="15" s="1"/>
  <c r="DU271" i="15"/>
  <c r="DV271" i="15" s="1"/>
  <c r="DU275" i="15"/>
  <c r="DV275" i="15" s="1"/>
  <c r="DU278" i="15"/>
  <c r="DV278" i="15" s="1"/>
  <c r="DU282" i="15"/>
  <c r="DV282" i="15" s="1"/>
  <c r="DU286" i="15"/>
  <c r="DV286" i="15" s="1"/>
  <c r="DU290" i="15"/>
  <c r="DV290" i="15" s="1"/>
  <c r="DU294" i="15"/>
  <c r="DV294" i="15" s="1"/>
  <c r="DU298" i="15"/>
  <c r="DV298" i="15" s="1"/>
  <c r="DU301" i="15"/>
  <c r="DV301" i="15" s="1"/>
  <c r="DU305" i="15"/>
  <c r="DV305" i="15" s="1"/>
  <c r="DU309" i="15"/>
  <c r="DV309" i="15" s="1"/>
  <c r="DU313" i="15"/>
  <c r="DV313" i="15" s="1"/>
  <c r="DU317" i="15"/>
  <c r="DV317" i="15" s="1"/>
  <c r="DU321" i="15"/>
  <c r="DV321" i="15" s="1"/>
  <c r="DU325" i="15"/>
  <c r="DV325" i="15" s="1"/>
  <c r="DU328" i="15"/>
  <c r="DV328" i="15" s="1"/>
  <c r="DU332" i="15"/>
  <c r="DV332" i="15" s="1"/>
  <c r="DU336" i="15"/>
  <c r="DV336" i="15" s="1"/>
  <c r="DU340" i="15"/>
  <c r="DV340" i="15" s="1"/>
  <c r="DU344" i="15"/>
  <c r="DV344" i="15" s="1"/>
  <c r="DU348" i="15"/>
  <c r="DV348" i="15" s="1"/>
  <c r="DU352" i="15"/>
  <c r="DV352" i="15" s="1"/>
  <c r="DU356" i="15"/>
  <c r="DV356" i="15" s="1"/>
  <c r="DU360" i="15"/>
  <c r="DV360" i="15" s="1"/>
  <c r="DU364" i="15"/>
  <c r="DV364" i="15" s="1"/>
  <c r="DU368" i="15"/>
  <c r="DV368" i="15" s="1"/>
  <c r="DU375" i="15"/>
  <c r="DV375" i="15" s="1"/>
  <c r="DU379" i="15"/>
  <c r="DV379" i="15" s="1"/>
  <c r="DU383" i="15"/>
  <c r="DV383" i="15" s="1"/>
  <c r="DU387" i="15"/>
  <c r="DV387" i="15" s="1"/>
  <c r="DU391" i="15"/>
  <c r="DV391" i="15" s="1"/>
  <c r="DU395" i="15"/>
  <c r="DV395" i="15" s="1"/>
  <c r="DU399" i="15"/>
  <c r="DV399" i="15" s="1"/>
  <c r="DU403" i="15"/>
  <c r="DV403" i="15" s="1"/>
  <c r="DU407" i="15"/>
  <c r="DV407" i="15" s="1"/>
  <c r="DU410" i="15"/>
  <c r="DV410" i="15" s="1"/>
  <c r="DU414" i="15"/>
  <c r="DV414" i="15" s="1"/>
  <c r="DU418" i="15"/>
  <c r="DV418" i="15" s="1"/>
  <c r="DU422" i="15"/>
  <c r="DV422" i="15" s="1"/>
  <c r="DU426" i="15"/>
  <c r="DV426" i="15" s="1"/>
  <c r="DU430" i="15"/>
  <c r="DV430" i="15" s="1"/>
  <c r="DU433" i="15"/>
  <c r="DV433" i="15" s="1"/>
  <c r="DU437" i="15"/>
  <c r="DV437" i="15" s="1"/>
  <c r="DU441" i="15"/>
  <c r="DV441" i="15" s="1"/>
  <c r="DU445" i="15"/>
  <c r="DV445" i="15" s="1"/>
  <c r="DU449" i="15"/>
  <c r="DV449" i="15" s="1"/>
  <c r="DU453" i="15"/>
  <c r="DV453" i="15" s="1"/>
  <c r="DU456" i="15"/>
  <c r="DV456" i="15" s="1"/>
  <c r="DU460" i="15"/>
  <c r="DV460" i="15" s="1"/>
  <c r="DU464" i="15"/>
  <c r="DV464" i="15" s="1"/>
  <c r="DU468" i="15"/>
  <c r="DV468" i="15" s="1"/>
  <c r="DU472" i="15"/>
  <c r="DV472" i="15" s="1"/>
  <c r="DU475" i="15"/>
  <c r="DV475" i="15" s="1"/>
  <c r="DU479" i="15"/>
  <c r="DV479" i="15" s="1"/>
  <c r="DU483" i="15"/>
  <c r="DV483" i="15" s="1"/>
  <c r="DU487" i="15"/>
  <c r="DV487" i="15" s="1"/>
  <c r="DU491" i="15"/>
  <c r="DV491" i="15" s="1"/>
  <c r="DU494" i="15"/>
  <c r="DV494" i="15" s="1"/>
  <c r="DU498" i="15"/>
  <c r="DV498" i="15" s="1"/>
  <c r="DU502" i="15"/>
  <c r="DV502" i="15" s="1"/>
  <c r="DU506" i="15"/>
  <c r="DV506" i="15" s="1"/>
  <c r="DU510" i="15"/>
  <c r="DV510" i="15" s="1"/>
  <c r="DU514" i="15"/>
  <c r="DV514" i="15" s="1"/>
  <c r="DU517" i="15"/>
  <c r="DV517" i="15" s="1"/>
  <c r="DU521" i="15"/>
  <c r="DV521" i="15" s="1"/>
  <c r="DU525" i="15"/>
  <c r="DV525" i="15" s="1"/>
  <c r="DU529" i="15"/>
  <c r="DV529" i="15" s="1"/>
  <c r="DU532" i="15"/>
  <c r="DV532" i="15" s="1"/>
  <c r="DU536" i="15"/>
  <c r="DV536" i="15" s="1"/>
  <c r="DU540" i="15"/>
  <c r="DV540" i="15" s="1"/>
  <c r="DU544" i="15"/>
  <c r="DV544" i="15" s="1"/>
  <c r="DU548" i="15"/>
  <c r="DV548" i="15" s="1"/>
  <c r="DU551" i="15"/>
  <c r="DV551" i="15" s="1"/>
  <c r="DU555" i="15"/>
  <c r="DV555" i="15" s="1"/>
  <c r="DU559" i="15"/>
  <c r="DV559" i="15" s="1"/>
  <c r="DU563" i="15"/>
  <c r="DV563" i="15" s="1"/>
  <c r="DU567" i="15"/>
  <c r="DV567" i="15" s="1"/>
  <c r="DU571" i="15"/>
  <c r="DV571" i="15" s="1"/>
  <c r="DU575" i="15"/>
  <c r="DV575" i="15" s="1"/>
  <c r="DU582" i="15"/>
  <c r="DV582" i="15" s="1"/>
  <c r="DU586" i="15"/>
  <c r="DV586" i="15" s="1"/>
  <c r="DU590" i="15"/>
  <c r="DV590" i="15" s="1"/>
  <c r="DU594" i="15"/>
  <c r="DV594" i="15" s="1"/>
  <c r="DU598" i="15"/>
  <c r="DV598" i="15" s="1"/>
  <c r="DU602" i="15"/>
  <c r="DV602" i="15" s="1"/>
  <c r="DU606" i="15"/>
  <c r="DV606" i="15" s="1"/>
  <c r="DU610" i="15"/>
  <c r="DV610" i="15" s="1"/>
  <c r="DU613" i="15"/>
  <c r="DV613" i="15" s="1"/>
  <c r="DU617" i="15"/>
  <c r="DV617" i="15" s="1"/>
  <c r="DU621" i="15"/>
  <c r="DV621" i="15" s="1"/>
  <c r="DU624" i="15"/>
  <c r="DV624" i="15" s="1"/>
  <c r="DU628" i="15"/>
  <c r="DV628" i="15" s="1"/>
  <c r="DU632" i="15"/>
  <c r="DV632" i="15" s="1"/>
  <c r="DU636" i="15"/>
  <c r="DV636" i="15" s="1"/>
  <c r="DU643" i="15"/>
  <c r="DV643" i="15" s="1"/>
  <c r="DU647" i="15"/>
  <c r="DV647" i="15" s="1"/>
  <c r="DU651" i="15"/>
  <c r="DV651" i="15" s="1"/>
  <c r="DU655" i="15"/>
  <c r="DV655" i="15" s="1"/>
  <c r="DU659" i="15"/>
  <c r="DV659" i="15" s="1"/>
  <c r="DU663" i="15"/>
  <c r="DV663" i="15" s="1"/>
  <c r="DU667" i="15"/>
  <c r="DV667" i="15" s="1"/>
  <c r="DU670" i="15"/>
  <c r="DV670" i="15" s="1"/>
  <c r="DU674" i="15"/>
  <c r="DV674" i="15" s="1"/>
  <c r="DU678" i="15"/>
  <c r="DV678" i="15" s="1"/>
  <c r="DU682" i="15"/>
  <c r="DV682" i="15" s="1"/>
  <c r="DU686" i="15"/>
  <c r="DV686" i="15" s="1"/>
  <c r="DU689" i="15"/>
  <c r="DV689" i="15" s="1"/>
  <c r="DU693" i="15"/>
  <c r="DV693" i="15" s="1"/>
  <c r="DU697" i="15"/>
  <c r="DV697" i="15" s="1"/>
  <c r="DU701" i="15"/>
  <c r="DV701" i="15" s="1"/>
  <c r="DU705" i="15"/>
  <c r="DV705" i="15" s="1"/>
  <c r="DU709" i="15"/>
  <c r="DV709" i="15" s="1"/>
  <c r="DU713" i="15"/>
  <c r="DV713" i="15" s="1"/>
  <c r="DU716" i="15"/>
  <c r="DV716" i="15" s="1"/>
  <c r="DU720" i="15"/>
  <c r="DV720" i="15" s="1"/>
  <c r="DU724" i="15"/>
  <c r="DV724" i="15" s="1"/>
  <c r="DU728" i="15"/>
  <c r="DV728" i="15" s="1"/>
  <c r="DU732" i="15"/>
  <c r="DV732" i="15" s="1"/>
  <c r="DU735" i="15"/>
  <c r="DV735" i="15" s="1"/>
  <c r="DU739" i="15"/>
  <c r="DV739" i="15" s="1"/>
  <c r="DU743" i="15"/>
  <c r="DV743" i="15" s="1"/>
  <c r="DU747" i="15"/>
  <c r="DV747" i="15" s="1"/>
  <c r="DU751" i="15"/>
  <c r="DV751" i="15" s="1"/>
  <c r="DU773" i="15"/>
  <c r="DV773" i="15" s="1"/>
  <c r="DU760" i="15"/>
  <c r="DV760" i="15" s="1"/>
  <c r="DU764" i="15"/>
  <c r="DV764" i="15" s="1"/>
  <c r="DU768" i="15"/>
  <c r="DV768" i="15" s="1"/>
  <c r="DU772" i="15"/>
  <c r="DV772" i="15" s="1"/>
  <c r="DU777" i="15"/>
  <c r="DV777" i="15" s="1"/>
  <c r="DU781" i="15"/>
  <c r="DV781" i="15" s="1"/>
  <c r="DU785" i="15"/>
  <c r="DV785" i="15" s="1"/>
  <c r="DU789" i="15"/>
  <c r="DV789" i="15" s="1"/>
  <c r="DU793" i="15"/>
  <c r="DV793" i="15" s="1"/>
  <c r="DU800" i="15"/>
  <c r="DV800" i="15" s="1"/>
  <c r="DU804" i="15"/>
  <c r="DV804" i="15" s="1"/>
  <c r="DU808" i="15"/>
  <c r="DV808" i="15" s="1"/>
  <c r="DU812" i="15"/>
  <c r="DV812" i="15" s="1"/>
  <c r="DU816" i="15"/>
  <c r="DV816" i="15" s="1"/>
  <c r="DU820" i="15"/>
  <c r="DV820" i="15" s="1"/>
  <c r="DU824" i="15"/>
  <c r="DV824" i="15" s="1"/>
  <c r="DU828" i="15"/>
  <c r="DV828" i="15" s="1"/>
  <c r="DU831" i="15"/>
  <c r="DV831" i="15" s="1"/>
  <c r="DU835" i="15"/>
  <c r="DV835" i="15" s="1"/>
  <c r="DU839" i="15"/>
  <c r="DV839" i="15" s="1"/>
  <c r="DU843" i="15"/>
  <c r="DV843" i="15" s="1"/>
  <c r="DU847" i="15"/>
  <c r="DV847" i="15" s="1"/>
  <c r="DU851" i="15"/>
  <c r="DV851" i="15" s="1"/>
  <c r="DU855" i="15"/>
  <c r="DV855" i="15" s="1"/>
  <c r="DU859" i="15"/>
  <c r="DV859" i="15" s="1"/>
  <c r="DU9" i="15"/>
  <c r="DU24" i="15"/>
  <c r="DV24" i="15" s="1"/>
  <c r="DU39" i="15"/>
  <c r="DV39" i="15" s="1"/>
  <c r="DU54" i="15"/>
  <c r="DV54" i="15" s="1"/>
  <c r="DU69" i="15"/>
  <c r="DV69" i="15" s="1"/>
  <c r="DU84" i="15"/>
  <c r="DV84" i="15" s="1"/>
  <c r="DU99" i="15"/>
  <c r="DV99" i="15" s="1"/>
  <c r="DU115" i="15"/>
  <c r="DV115" i="15" s="1"/>
  <c r="DU130" i="15"/>
  <c r="DV130" i="15" s="1"/>
  <c r="DU161" i="15"/>
  <c r="DV161" i="15" s="1"/>
  <c r="DU176" i="15"/>
  <c r="DV176" i="15" s="1"/>
  <c r="DU191" i="15"/>
  <c r="DV191" i="15" s="1"/>
  <c r="DU207" i="15"/>
  <c r="DV207" i="15" s="1"/>
  <c r="DU222" i="15"/>
  <c r="DV222" i="15" s="1"/>
  <c r="DU237" i="15"/>
  <c r="DV237" i="15" s="1"/>
  <c r="DU252" i="15"/>
  <c r="DV252" i="15" s="1"/>
  <c r="DU268" i="15"/>
  <c r="DV268" i="15" s="1"/>
  <c r="DU283" i="15"/>
  <c r="DV283" i="15" s="1"/>
  <c r="DU299" i="15"/>
  <c r="DV299" i="15" s="1"/>
  <c r="DU314" i="15"/>
  <c r="DV314" i="15" s="1"/>
  <c r="DU329" i="15"/>
  <c r="DV329" i="15" s="1"/>
  <c r="DU345" i="15"/>
  <c r="DV345" i="15" s="1"/>
  <c r="DU361" i="15"/>
  <c r="DV361" i="15" s="1"/>
  <c r="DU376" i="15"/>
  <c r="DV376" i="15" s="1"/>
  <c r="DU392" i="15"/>
  <c r="DV392" i="15" s="1"/>
  <c r="DU423" i="15"/>
  <c r="DV423" i="15" s="1"/>
  <c r="DU438" i="15"/>
  <c r="DV438" i="15" s="1"/>
  <c r="DU454" i="15"/>
  <c r="DV454" i="15" s="1"/>
  <c r="DU469" i="15"/>
  <c r="DV469" i="15" s="1"/>
  <c r="DU484" i="15"/>
  <c r="DV484" i="15" s="1"/>
  <c r="DU499" i="15"/>
  <c r="DV499" i="15" s="1"/>
  <c r="DU545" i="15"/>
  <c r="DV545" i="15" s="1"/>
  <c r="DU560" i="15"/>
  <c r="DV560" i="15" s="1"/>
  <c r="DU591" i="15"/>
  <c r="DV591" i="15" s="1"/>
  <c r="DU607" i="15"/>
  <c r="DV607" i="15" s="1"/>
  <c r="DU637" i="15"/>
  <c r="DV637" i="15" s="1"/>
  <c r="DU652" i="15"/>
  <c r="DV652" i="15" s="1"/>
  <c r="DU668" i="15"/>
  <c r="DV668" i="15" s="1"/>
  <c r="DU683" i="15"/>
  <c r="DV683" i="15" s="1"/>
  <c r="DU698" i="15"/>
  <c r="DV698" i="15" s="1"/>
  <c r="DU714" i="15"/>
  <c r="DV714" i="15" s="1"/>
  <c r="DU729" i="15"/>
  <c r="DV729" i="15" s="1"/>
  <c r="DU744" i="15"/>
  <c r="DV744" i="15" s="1"/>
  <c r="DU774" i="15"/>
  <c r="DV774" i="15" s="1"/>
  <c r="DU790" i="15"/>
  <c r="DV790" i="15" s="1"/>
  <c r="DU805" i="15"/>
  <c r="DV805" i="15" s="1"/>
  <c r="DU821" i="15"/>
  <c r="DV821" i="15" s="1"/>
  <c r="DU836" i="15"/>
  <c r="DV836" i="15" s="1"/>
  <c r="DU852" i="15"/>
  <c r="DV852" i="15" s="1"/>
  <c r="DU111" i="15"/>
  <c r="DV111" i="15" s="1"/>
  <c r="DU172" i="15"/>
  <c r="DV172" i="15" s="1"/>
  <c r="DU219" i="15"/>
  <c r="DV219" i="15" s="1"/>
  <c r="DU249" i="15"/>
  <c r="DV249" i="15" s="1"/>
  <c r="DU279" i="15"/>
  <c r="DV279" i="15" s="1"/>
  <c r="DU357" i="15"/>
  <c r="DV357" i="15" s="1"/>
  <c r="DU388" i="15"/>
  <c r="DV388" i="15" s="1"/>
  <c r="DU434" i="15"/>
  <c r="DV434" i="15" s="1"/>
  <c r="DU465" i="15"/>
  <c r="DV465" i="15" s="1"/>
  <c r="DU480" i="15"/>
  <c r="DV480" i="15" s="1"/>
  <c r="DU511" i="15"/>
  <c r="DV511" i="15" s="1"/>
  <c r="DU541" i="15"/>
  <c r="DV541" i="15" s="1"/>
  <c r="DU573" i="15"/>
  <c r="DV573" i="15" s="1"/>
  <c r="DU618" i="15"/>
  <c r="DV618" i="15" s="1"/>
  <c r="DU648" i="15"/>
  <c r="DV648" i="15" s="1"/>
  <c r="DU679" i="15"/>
  <c r="DV679" i="15" s="1"/>
  <c r="DU710" i="15"/>
  <c r="DV710" i="15" s="1"/>
  <c r="DU740" i="15"/>
  <c r="DV740" i="15" s="1"/>
  <c r="DU769" i="15"/>
  <c r="DV769" i="15" s="1"/>
  <c r="DU801" i="15"/>
  <c r="DV801" i="15" s="1"/>
  <c r="DU832" i="15"/>
  <c r="DV832" i="15" s="1"/>
  <c r="DU12" i="15"/>
  <c r="DV12" i="15" s="1"/>
  <c r="DU28" i="15"/>
  <c r="DV28" i="15" s="1"/>
  <c r="DU58" i="15"/>
  <c r="DV58" i="15" s="1"/>
  <c r="DU73" i="15"/>
  <c r="DV73" i="15" s="1"/>
  <c r="DU88" i="15"/>
  <c r="DV88" i="15" s="1"/>
  <c r="DU103" i="15"/>
  <c r="DV103" i="15" s="1"/>
  <c r="DU119" i="15"/>
  <c r="DV119" i="15" s="1"/>
  <c r="DU134" i="15"/>
  <c r="DV134" i="15" s="1"/>
  <c r="DU149" i="15"/>
  <c r="DV149" i="15" s="1"/>
  <c r="DU165" i="15"/>
  <c r="DV165" i="15" s="1"/>
  <c r="DU180" i="15"/>
  <c r="DV180" i="15" s="1"/>
  <c r="DU195" i="15"/>
  <c r="DV195" i="15" s="1"/>
  <c r="DU211" i="15"/>
  <c r="DV211" i="15" s="1"/>
  <c r="DU226" i="15"/>
  <c r="DV226" i="15" s="1"/>
  <c r="DU241" i="15"/>
  <c r="DV241" i="15" s="1"/>
  <c r="DU256" i="15"/>
  <c r="DV256" i="15" s="1"/>
  <c r="DU287" i="15"/>
  <c r="DV287" i="15" s="1"/>
  <c r="DU302" i="15"/>
  <c r="DV302" i="15" s="1"/>
  <c r="DU318" i="15"/>
  <c r="DV318" i="15" s="1"/>
  <c r="DU333" i="15"/>
  <c r="DV333" i="15" s="1"/>
  <c r="DU349" i="15"/>
  <c r="DV349" i="15" s="1"/>
  <c r="DU365" i="15"/>
  <c r="DV365" i="15" s="1"/>
  <c r="DU380" i="15"/>
  <c r="DV380" i="15" s="1"/>
  <c r="DU396" i="15"/>
  <c r="DV396" i="15" s="1"/>
  <c r="DU411" i="15"/>
  <c r="DV411" i="15" s="1"/>
  <c r="DU427" i="15"/>
  <c r="DV427" i="15" s="1"/>
  <c r="DU442" i="15"/>
  <c r="DV442" i="15" s="1"/>
  <c r="DU457" i="15"/>
  <c r="DV457" i="15" s="1"/>
  <c r="DU488" i="15"/>
  <c r="DV488" i="15" s="1"/>
  <c r="DU503" i="15"/>
  <c r="DV503" i="15" s="1"/>
  <c r="DU518" i="15"/>
  <c r="DV518" i="15" s="1"/>
  <c r="DU533" i="15"/>
  <c r="DV533" i="15" s="1"/>
  <c r="DU564" i="15"/>
  <c r="DV564" i="15" s="1"/>
  <c r="DU579" i="15"/>
  <c r="DV579" i="15" s="1"/>
  <c r="DU595" i="15"/>
  <c r="DV595" i="15" s="1"/>
  <c r="DU611" i="15"/>
  <c r="DV611" i="15" s="1"/>
  <c r="DU625" i="15"/>
  <c r="DV625" i="15" s="1"/>
  <c r="DU641" i="15"/>
  <c r="DV641" i="15" s="1"/>
  <c r="DU656" i="15"/>
  <c r="DV656" i="15" s="1"/>
  <c r="DU671" i="15"/>
  <c r="DV671" i="15" s="1"/>
  <c r="DU702" i="15"/>
  <c r="DV702" i="15" s="1"/>
  <c r="DU717" i="15"/>
  <c r="DV717" i="15" s="1"/>
  <c r="DU748" i="15"/>
  <c r="DV748" i="15" s="1"/>
  <c r="DU761" i="15"/>
  <c r="DV761" i="15" s="1"/>
  <c r="DU778" i="15"/>
  <c r="DV778" i="15" s="1"/>
  <c r="DU794" i="15"/>
  <c r="DV794" i="15" s="1"/>
  <c r="DU809" i="15"/>
  <c r="DV809" i="15" s="1"/>
  <c r="DU825" i="15"/>
  <c r="DV825" i="15" s="1"/>
  <c r="DU840" i="15"/>
  <c r="DV840" i="15" s="1"/>
  <c r="DU856" i="15"/>
  <c r="DV856" i="15" s="1"/>
  <c r="DU20" i="15"/>
  <c r="DV20" i="15" s="1"/>
  <c r="DU35" i="15"/>
  <c r="DV35" i="15" s="1"/>
  <c r="DU50" i="15"/>
  <c r="DV50" i="15" s="1"/>
  <c r="DU81" i="15"/>
  <c r="DV81" i="15" s="1"/>
  <c r="DU96" i="15"/>
  <c r="DV96" i="15" s="1"/>
  <c r="DU126" i="15"/>
  <c r="DV126" i="15" s="1"/>
  <c r="DU142" i="15"/>
  <c r="DV142" i="15" s="1"/>
  <c r="DU157" i="15"/>
  <c r="DV157" i="15" s="1"/>
  <c r="DU188" i="15"/>
  <c r="DV188" i="15" s="1"/>
  <c r="DU203" i="15"/>
  <c r="DV203" i="15" s="1"/>
  <c r="DU233" i="15"/>
  <c r="DV233" i="15" s="1"/>
  <c r="DU264" i="15"/>
  <c r="DV264" i="15" s="1"/>
  <c r="DU295" i="15"/>
  <c r="DV295" i="15" s="1"/>
  <c r="DU310" i="15"/>
  <c r="DV310" i="15" s="1"/>
  <c r="DU341" i="15"/>
  <c r="DV341" i="15" s="1"/>
  <c r="DU372" i="15"/>
  <c r="DV372" i="15" s="1"/>
  <c r="DU404" i="15"/>
  <c r="DV404" i="15" s="1"/>
  <c r="DU419" i="15"/>
  <c r="DV419" i="15" s="1"/>
  <c r="DU450" i="15"/>
  <c r="DV450" i="15" s="1"/>
  <c r="DU495" i="15"/>
  <c r="DV495" i="15" s="1"/>
  <c r="DU526" i="15"/>
  <c r="DV526" i="15" s="1"/>
  <c r="DU556" i="15"/>
  <c r="DV556" i="15" s="1"/>
  <c r="DU587" i="15"/>
  <c r="DV587" i="15" s="1"/>
  <c r="DU603" i="15"/>
  <c r="DV603" i="15" s="1"/>
  <c r="DU633" i="15"/>
  <c r="DV633" i="15" s="1"/>
  <c r="DU664" i="15"/>
  <c r="DV664" i="15" s="1"/>
  <c r="DU694" i="15"/>
  <c r="DV694" i="15" s="1"/>
  <c r="DU725" i="15"/>
  <c r="DV725" i="15" s="1"/>
  <c r="DU755" i="15"/>
  <c r="DV755" i="15" s="1"/>
  <c r="DU786" i="15"/>
  <c r="DV786" i="15" s="1"/>
  <c r="DU817" i="15"/>
  <c r="DV817" i="15" s="1"/>
  <c r="DU848" i="15"/>
  <c r="DV848" i="15" s="1"/>
  <c r="DU16" i="15"/>
  <c r="DV16" i="15" s="1"/>
  <c r="DU32" i="15"/>
  <c r="DV32" i="15" s="1"/>
  <c r="DU46" i="15"/>
  <c r="DV46" i="15" s="1"/>
  <c r="DU62" i="15"/>
  <c r="DV62" i="15" s="1"/>
  <c r="DU77" i="15"/>
  <c r="DV77" i="15" s="1"/>
  <c r="DU93" i="15"/>
  <c r="DV93" i="15" s="1"/>
  <c r="DU107" i="15"/>
  <c r="DV107" i="15" s="1"/>
  <c r="DU123" i="15"/>
  <c r="DV123" i="15" s="1"/>
  <c r="DU138" i="15"/>
  <c r="DV138" i="15" s="1"/>
  <c r="DU153" i="15"/>
  <c r="DV153" i="15" s="1"/>
  <c r="DU184" i="15"/>
  <c r="DV184" i="15" s="1"/>
  <c r="DU199" i="15"/>
  <c r="DV199" i="15" s="1"/>
  <c r="DU215" i="15"/>
  <c r="DV215" i="15" s="1"/>
  <c r="DU230" i="15"/>
  <c r="DV230" i="15" s="1"/>
  <c r="DU245" i="15"/>
  <c r="DV245" i="15" s="1"/>
  <c r="DU260" i="15"/>
  <c r="DV260" i="15" s="1"/>
  <c r="DU274" i="15"/>
  <c r="DV274" i="15" s="1"/>
  <c r="DU291" i="15"/>
  <c r="DV291" i="15" s="1"/>
  <c r="DU306" i="15"/>
  <c r="DV306" i="15" s="1"/>
  <c r="DU322" i="15"/>
  <c r="DV322" i="15" s="1"/>
  <c r="DU337" i="15"/>
  <c r="DV337" i="15" s="1"/>
  <c r="DU353" i="15"/>
  <c r="DV353" i="15" s="1"/>
  <c r="DU369" i="15"/>
  <c r="DV369" i="15" s="1"/>
  <c r="DU384" i="15"/>
  <c r="DV384" i="15" s="1"/>
  <c r="DU400" i="15"/>
  <c r="DV400" i="15" s="1"/>
  <c r="DU415" i="15"/>
  <c r="DV415" i="15" s="1"/>
  <c r="DU446" i="15"/>
  <c r="DV446" i="15" s="1"/>
  <c r="DU461" i="15"/>
  <c r="DV461" i="15" s="1"/>
  <c r="DU476" i="15"/>
  <c r="DV476" i="15" s="1"/>
  <c r="DU507" i="15"/>
  <c r="DV507" i="15" s="1"/>
  <c r="DU522" i="15"/>
  <c r="DV522" i="15" s="1"/>
  <c r="DU537" i="15"/>
  <c r="DV537" i="15" s="1"/>
  <c r="DU552" i="15"/>
  <c r="DV552" i="15" s="1"/>
  <c r="DU568" i="15"/>
  <c r="DV568" i="15" s="1"/>
  <c r="DU583" i="15"/>
  <c r="DV583" i="15" s="1"/>
  <c r="DU599" i="15"/>
  <c r="DV599" i="15" s="1"/>
  <c r="DU614" i="15"/>
  <c r="DV614" i="15" s="1"/>
  <c r="DU629" i="15"/>
  <c r="DV629" i="15" s="1"/>
  <c r="DU644" i="15"/>
  <c r="DV644" i="15" s="1"/>
  <c r="DU660" i="15"/>
  <c r="DV660" i="15" s="1"/>
  <c r="DU675" i="15"/>
  <c r="DV675" i="15" s="1"/>
  <c r="DU690" i="15"/>
  <c r="DV690" i="15" s="1"/>
  <c r="DU706" i="15"/>
  <c r="DV706" i="15" s="1"/>
  <c r="DU721" i="15"/>
  <c r="DV721" i="15" s="1"/>
  <c r="DU736" i="15"/>
  <c r="DV736" i="15" s="1"/>
  <c r="DU752" i="15"/>
  <c r="DV752" i="15" s="1"/>
  <c r="DU765" i="15"/>
  <c r="DV765" i="15" s="1"/>
  <c r="DU782" i="15"/>
  <c r="DV782" i="15" s="1"/>
  <c r="DU797" i="15"/>
  <c r="DV797" i="15" s="1"/>
  <c r="DU813" i="15"/>
  <c r="DV813" i="15" s="1"/>
  <c r="DU844" i="15"/>
  <c r="DV844" i="15" s="1"/>
  <c r="DU860" i="15"/>
  <c r="DV860" i="15" s="1"/>
  <c r="DW8" i="15"/>
  <c r="DW11" i="15"/>
  <c r="DX11" i="15" s="1"/>
  <c r="DW15" i="15"/>
  <c r="DX15" i="15" s="1"/>
  <c r="DW19" i="15"/>
  <c r="DX19" i="15" s="1"/>
  <c r="DW23" i="15"/>
  <c r="DX23" i="15" s="1"/>
  <c r="DW27" i="15"/>
  <c r="DX27" i="15" s="1"/>
  <c r="DW31" i="15"/>
  <c r="DX31" i="15" s="1"/>
  <c r="DW38" i="15"/>
  <c r="DX38" i="15" s="1"/>
  <c r="DW42" i="15"/>
  <c r="DX42" i="15" s="1"/>
  <c r="DW45" i="15"/>
  <c r="DX45" i="15" s="1"/>
  <c r="DW49" i="15"/>
  <c r="DX49" i="15" s="1"/>
  <c r="DW53" i="15"/>
  <c r="DX53" i="15" s="1"/>
  <c r="DW57" i="15"/>
  <c r="DX57" i="15" s="1"/>
  <c r="DW61" i="15"/>
  <c r="DX61" i="15" s="1"/>
  <c r="DW65" i="15"/>
  <c r="DX65" i="15" s="1"/>
  <c r="DW68" i="15"/>
  <c r="DX68" i="15" s="1"/>
  <c r="DW72" i="15"/>
  <c r="DX72" i="15" s="1"/>
  <c r="DW76" i="15"/>
  <c r="DX76" i="15" s="1"/>
  <c r="DW80" i="15"/>
  <c r="DX80" i="15" s="1"/>
  <c r="DW87" i="15"/>
  <c r="DX87" i="15" s="1"/>
  <c r="DW91" i="15"/>
  <c r="DX91" i="15" s="1"/>
  <c r="DW95" i="15"/>
  <c r="DX95" i="15" s="1"/>
  <c r="DW102" i="15"/>
  <c r="DX102" i="15" s="1"/>
  <c r="DW106" i="15"/>
  <c r="DX106" i="15" s="1"/>
  <c r="DW110" i="15"/>
  <c r="DX110" i="15" s="1"/>
  <c r="DW114" i="15"/>
  <c r="DX114" i="15" s="1"/>
  <c r="DW118" i="15"/>
  <c r="DX118" i="15" s="1"/>
  <c r="DW122" i="15"/>
  <c r="DX122" i="15" s="1"/>
  <c r="DW129" i="15"/>
  <c r="DX129" i="15" s="1"/>
  <c r="DW133" i="15"/>
  <c r="DX133" i="15" s="1"/>
  <c r="DW137" i="15"/>
  <c r="DX137" i="15" s="1"/>
  <c r="DW141" i="15"/>
  <c r="DX141" i="15" s="1"/>
  <c r="DW145" i="15"/>
  <c r="DX145" i="15" s="1"/>
  <c r="DW148" i="15"/>
  <c r="DX148" i="15" s="1"/>
  <c r="DW152" i="15"/>
  <c r="DX152" i="15" s="1"/>
  <c r="DW156" i="15"/>
  <c r="DX156" i="15" s="1"/>
  <c r="DW160" i="15"/>
  <c r="DX160" i="15" s="1"/>
  <c r="DW164" i="15"/>
  <c r="DX164" i="15" s="1"/>
  <c r="DW168" i="15"/>
  <c r="DX168" i="15" s="1"/>
  <c r="DW171" i="15"/>
  <c r="DX171" i="15" s="1"/>
  <c r="DW175" i="15"/>
  <c r="DX175" i="15" s="1"/>
  <c r="DW179" i="15"/>
  <c r="DX179" i="15" s="1"/>
  <c r="DW183" i="15"/>
  <c r="DX183" i="15" s="1"/>
  <c r="DW187" i="15"/>
  <c r="DX187" i="15" s="1"/>
  <c r="DW194" i="15"/>
  <c r="DX194" i="15" s="1"/>
  <c r="DW198" i="15"/>
  <c r="DX198" i="15" s="1"/>
  <c r="DW202" i="15"/>
  <c r="DX202" i="15" s="1"/>
  <c r="DW206" i="15"/>
  <c r="DX206" i="15" s="1"/>
  <c r="DW210" i="15"/>
  <c r="DX210" i="15" s="1"/>
  <c r="DW214" i="15"/>
  <c r="DX214" i="15" s="1"/>
  <c r="DW218" i="15"/>
  <c r="DX218" i="15" s="1"/>
  <c r="DW221" i="15"/>
  <c r="DX221" i="15" s="1"/>
  <c r="DW225" i="15"/>
  <c r="DX225" i="15" s="1"/>
  <c r="DW229" i="15"/>
  <c r="DX229" i="15" s="1"/>
  <c r="DW236" i="15"/>
  <c r="DX236" i="15" s="1"/>
  <c r="DW240" i="15"/>
  <c r="DX240" i="15" s="1"/>
  <c r="DW244" i="15"/>
  <c r="DX244" i="15" s="1"/>
  <c r="DW248" i="15"/>
  <c r="DX248" i="15" s="1"/>
  <c r="DW255" i="15"/>
  <c r="DX255" i="15" s="1"/>
  <c r="DW259" i="15"/>
  <c r="DX259" i="15" s="1"/>
  <c r="DW263" i="15"/>
  <c r="DX263" i="15" s="1"/>
  <c r="DW267" i="15"/>
  <c r="DX267" i="15" s="1"/>
  <c r="DW271" i="15"/>
  <c r="DX271" i="15" s="1"/>
  <c r="DW275" i="15"/>
  <c r="DX275" i="15" s="1"/>
  <c r="DW278" i="15"/>
  <c r="DX278" i="15" s="1"/>
  <c r="DW282" i="15"/>
  <c r="DX282" i="15" s="1"/>
  <c r="DW286" i="15"/>
  <c r="DX286" i="15" s="1"/>
  <c r="DW290" i="15"/>
  <c r="DX290" i="15" s="1"/>
  <c r="DW294" i="15"/>
  <c r="DX294" i="15" s="1"/>
  <c r="DW298" i="15"/>
  <c r="DX298" i="15" s="1"/>
  <c r="DW301" i="15"/>
  <c r="DX301" i="15" s="1"/>
  <c r="DW305" i="15"/>
  <c r="DX305" i="15" s="1"/>
  <c r="DW309" i="15"/>
  <c r="DX309" i="15" s="1"/>
  <c r="DW313" i="15"/>
  <c r="DX313" i="15" s="1"/>
  <c r="DW317" i="15"/>
  <c r="DX317" i="15" s="1"/>
  <c r="DW321" i="15"/>
  <c r="DX321" i="15" s="1"/>
  <c r="DW325" i="15"/>
  <c r="DX325" i="15" s="1"/>
  <c r="DW328" i="15"/>
  <c r="DX328" i="15" s="1"/>
  <c r="DW332" i="15"/>
  <c r="DX332" i="15" s="1"/>
  <c r="DW336" i="15"/>
  <c r="DX336" i="15" s="1"/>
  <c r="DW340" i="15"/>
  <c r="DX340" i="15" s="1"/>
  <c r="DW344" i="15"/>
  <c r="DX344" i="15" s="1"/>
  <c r="DW348" i="15"/>
  <c r="DX348" i="15" s="1"/>
  <c r="DW352" i="15"/>
  <c r="DX352" i="15" s="1"/>
  <c r="DW356" i="15"/>
  <c r="DX356" i="15" s="1"/>
  <c r="DW360" i="15"/>
  <c r="DX360" i="15" s="1"/>
  <c r="DW364" i="15"/>
  <c r="DX364" i="15" s="1"/>
  <c r="DW368" i="15"/>
  <c r="DX368" i="15" s="1"/>
  <c r="DW375" i="15"/>
  <c r="DX375" i="15" s="1"/>
  <c r="DW379" i="15"/>
  <c r="DX379" i="15" s="1"/>
  <c r="DW383" i="15"/>
  <c r="DX383" i="15" s="1"/>
  <c r="DW387" i="15"/>
  <c r="DX387" i="15" s="1"/>
  <c r="DW391" i="15"/>
  <c r="DX391" i="15" s="1"/>
  <c r="DW395" i="15"/>
  <c r="DX395" i="15" s="1"/>
  <c r="DW399" i="15"/>
  <c r="DX399" i="15" s="1"/>
  <c r="DW403" i="15"/>
  <c r="DX403" i="15" s="1"/>
  <c r="DW407" i="15"/>
  <c r="DX407" i="15" s="1"/>
  <c r="DW410" i="15"/>
  <c r="DX410" i="15" s="1"/>
  <c r="DW414" i="15"/>
  <c r="DX414" i="15" s="1"/>
  <c r="DW418" i="15"/>
  <c r="DX418" i="15" s="1"/>
  <c r="DW422" i="15"/>
  <c r="DX422" i="15" s="1"/>
  <c r="DW426" i="15"/>
  <c r="DX426" i="15" s="1"/>
  <c r="DW430" i="15"/>
  <c r="DX430" i="15" s="1"/>
  <c r="DW433" i="15"/>
  <c r="DX433" i="15" s="1"/>
  <c r="DW437" i="15"/>
  <c r="DX437" i="15" s="1"/>
  <c r="DW441" i="15"/>
  <c r="DX441" i="15" s="1"/>
  <c r="DW445" i="15"/>
  <c r="DX445" i="15" s="1"/>
  <c r="DW449" i="15"/>
  <c r="DX449" i="15" s="1"/>
  <c r="DW453" i="15"/>
  <c r="DX453" i="15" s="1"/>
  <c r="DW456" i="15"/>
  <c r="DX456" i="15" s="1"/>
  <c r="DW460" i="15"/>
  <c r="DX460" i="15" s="1"/>
  <c r="DW464" i="15"/>
  <c r="DX464" i="15" s="1"/>
  <c r="DW468" i="15"/>
  <c r="DX468" i="15" s="1"/>
  <c r="DW472" i="15"/>
  <c r="DX472" i="15" s="1"/>
  <c r="DW475" i="15"/>
  <c r="DX475" i="15" s="1"/>
  <c r="DW479" i="15"/>
  <c r="DX479" i="15" s="1"/>
  <c r="DW483" i="15"/>
  <c r="DX483" i="15" s="1"/>
  <c r="DW487" i="15"/>
  <c r="DX487" i="15" s="1"/>
  <c r="DW491" i="15"/>
  <c r="DX491" i="15" s="1"/>
  <c r="DW494" i="15"/>
  <c r="DX494" i="15" s="1"/>
  <c r="DW498" i="15"/>
  <c r="DX498" i="15" s="1"/>
  <c r="DW502" i="15"/>
  <c r="DX502" i="15" s="1"/>
  <c r="DW506" i="15"/>
  <c r="DX506" i="15" s="1"/>
  <c r="DW510" i="15"/>
  <c r="DX510" i="15" s="1"/>
  <c r="DW514" i="15"/>
  <c r="DX514" i="15" s="1"/>
  <c r="DW517" i="15"/>
  <c r="DX517" i="15" s="1"/>
  <c r="DW521" i="15"/>
  <c r="DX521" i="15" s="1"/>
  <c r="DW525" i="15"/>
  <c r="DX525" i="15" s="1"/>
  <c r="DW529" i="15"/>
  <c r="DX529" i="15" s="1"/>
  <c r="DW532" i="15"/>
  <c r="DX532" i="15" s="1"/>
  <c r="DW536" i="15"/>
  <c r="DX536" i="15" s="1"/>
  <c r="DW540" i="15"/>
  <c r="DX540" i="15" s="1"/>
  <c r="DW544" i="15"/>
  <c r="DX544" i="15" s="1"/>
  <c r="DW548" i="15"/>
  <c r="DX548" i="15" s="1"/>
  <c r="DW551" i="15"/>
  <c r="DX551" i="15" s="1"/>
  <c r="DW555" i="15"/>
  <c r="DX555" i="15" s="1"/>
  <c r="DW559" i="15"/>
  <c r="DX559" i="15" s="1"/>
  <c r="DW563" i="15"/>
  <c r="DX563" i="15" s="1"/>
  <c r="DW567" i="15"/>
  <c r="DX567" i="15" s="1"/>
  <c r="DW571" i="15"/>
  <c r="DX571" i="15" s="1"/>
  <c r="DW575" i="15"/>
  <c r="DX575" i="15" s="1"/>
  <c r="DW582" i="15"/>
  <c r="DX582" i="15" s="1"/>
  <c r="DW586" i="15"/>
  <c r="DX586" i="15" s="1"/>
  <c r="DW590" i="15"/>
  <c r="DX590" i="15" s="1"/>
  <c r="DW594" i="15"/>
  <c r="DX594" i="15" s="1"/>
  <c r="DW598" i="15"/>
  <c r="DX598" i="15" s="1"/>
  <c r="DW602" i="15"/>
  <c r="DX602" i="15" s="1"/>
  <c r="DW606" i="15"/>
  <c r="DX606" i="15" s="1"/>
  <c r="DW610" i="15"/>
  <c r="DX610" i="15" s="1"/>
  <c r="DW613" i="15"/>
  <c r="DX613" i="15" s="1"/>
  <c r="DW617" i="15"/>
  <c r="DX617" i="15" s="1"/>
  <c r="DW621" i="15"/>
  <c r="DX621" i="15" s="1"/>
  <c r="DW624" i="15"/>
  <c r="DX624" i="15" s="1"/>
  <c r="DW628" i="15"/>
  <c r="DX628" i="15" s="1"/>
  <c r="DW632" i="15"/>
  <c r="DX632" i="15" s="1"/>
  <c r="DW636" i="15"/>
  <c r="DX636" i="15" s="1"/>
  <c r="DW643" i="15"/>
  <c r="DX643" i="15" s="1"/>
  <c r="DW647" i="15"/>
  <c r="DX647" i="15" s="1"/>
  <c r="DW651" i="15"/>
  <c r="DX651" i="15" s="1"/>
  <c r="DW655" i="15"/>
  <c r="DX655" i="15" s="1"/>
  <c r="DW659" i="15"/>
  <c r="DX659" i="15" s="1"/>
  <c r="DW663" i="15"/>
  <c r="DX663" i="15" s="1"/>
  <c r="DW667" i="15"/>
  <c r="DX667" i="15" s="1"/>
  <c r="DW670" i="15"/>
  <c r="DX670" i="15" s="1"/>
  <c r="DW674" i="15"/>
  <c r="DX674" i="15" s="1"/>
  <c r="DW678" i="15"/>
  <c r="DX678" i="15" s="1"/>
  <c r="DW682" i="15"/>
  <c r="DX682" i="15" s="1"/>
  <c r="DW686" i="15"/>
  <c r="DX686" i="15" s="1"/>
  <c r="DW689" i="15"/>
  <c r="DX689" i="15" s="1"/>
  <c r="DW693" i="15"/>
  <c r="DX693" i="15" s="1"/>
  <c r="DW697" i="15"/>
  <c r="DX697" i="15" s="1"/>
  <c r="DW701" i="15"/>
  <c r="DX701" i="15" s="1"/>
  <c r="DW705" i="15"/>
  <c r="DX705" i="15" s="1"/>
  <c r="DW709" i="15"/>
  <c r="DX709" i="15" s="1"/>
  <c r="DW713" i="15"/>
  <c r="DX713" i="15" s="1"/>
  <c r="DW716" i="15"/>
  <c r="DX716" i="15" s="1"/>
  <c r="DW720" i="15"/>
  <c r="DX720" i="15" s="1"/>
  <c r="DW724" i="15"/>
  <c r="DX724" i="15" s="1"/>
  <c r="DW728" i="15"/>
  <c r="DX728" i="15" s="1"/>
  <c r="DW732" i="15"/>
  <c r="DX732" i="15" s="1"/>
  <c r="DW735" i="15"/>
  <c r="DX735" i="15" s="1"/>
  <c r="DW739" i="15"/>
  <c r="DX739" i="15" s="1"/>
  <c r="DW743" i="15"/>
  <c r="DX743" i="15" s="1"/>
  <c r="DW747" i="15"/>
  <c r="DX747" i="15" s="1"/>
  <c r="DW751" i="15"/>
  <c r="DX751" i="15" s="1"/>
  <c r="DW773" i="15"/>
  <c r="DX773" i="15" s="1"/>
  <c r="DW760" i="15"/>
  <c r="DX760" i="15" s="1"/>
  <c r="DW9" i="15"/>
  <c r="DW12" i="15"/>
  <c r="DX12" i="15" s="1"/>
  <c r="DW16" i="15"/>
  <c r="DX16" i="15" s="1"/>
  <c r="DW20" i="15"/>
  <c r="DX20" i="15" s="1"/>
  <c r="DW24" i="15"/>
  <c r="DX24" i="15" s="1"/>
  <c r="DW28" i="15"/>
  <c r="DX28" i="15" s="1"/>
  <c r="DW32" i="15"/>
  <c r="DX32" i="15" s="1"/>
  <c r="DW35" i="15"/>
  <c r="DX35" i="15" s="1"/>
  <c r="DW39" i="15"/>
  <c r="DX39" i="15" s="1"/>
  <c r="DW46" i="15"/>
  <c r="DX46" i="15" s="1"/>
  <c r="DW50" i="15"/>
  <c r="DX50" i="15" s="1"/>
  <c r="DW54" i="15"/>
  <c r="DX54" i="15" s="1"/>
  <c r="DW58" i="15"/>
  <c r="DX58" i="15" s="1"/>
  <c r="DW62" i="15"/>
  <c r="DX62" i="15" s="1"/>
  <c r="DW69" i="15"/>
  <c r="DX69" i="15" s="1"/>
  <c r="DW73" i="15"/>
  <c r="DX73" i="15" s="1"/>
  <c r="DW77" i="15"/>
  <c r="DX77" i="15" s="1"/>
  <c r="DW81" i="15"/>
  <c r="DX81" i="15" s="1"/>
  <c r="DW84" i="15"/>
  <c r="DX84" i="15" s="1"/>
  <c r="DW88" i="15"/>
  <c r="DX88" i="15" s="1"/>
  <c r="DW93" i="15"/>
  <c r="DX93" i="15" s="1"/>
  <c r="DW96" i="15"/>
  <c r="DX96" i="15" s="1"/>
  <c r="DW99" i="15"/>
  <c r="DX99" i="15" s="1"/>
  <c r="DW103" i="15"/>
  <c r="DX103" i="15" s="1"/>
  <c r="DW107" i="15"/>
  <c r="DX107" i="15" s="1"/>
  <c r="DW111" i="15"/>
  <c r="DX111" i="15" s="1"/>
  <c r="DW115" i="15"/>
  <c r="DX115" i="15" s="1"/>
  <c r="DW119" i="15"/>
  <c r="DX119" i="15" s="1"/>
  <c r="DW123" i="15"/>
  <c r="DX123" i="15" s="1"/>
  <c r="DW126" i="15"/>
  <c r="DX126" i="15" s="1"/>
  <c r="DW130" i="15"/>
  <c r="DX130" i="15" s="1"/>
  <c r="DW134" i="15"/>
  <c r="DX134" i="15" s="1"/>
  <c r="DW138" i="15"/>
  <c r="DX138" i="15" s="1"/>
  <c r="DW142" i="15"/>
  <c r="DX142" i="15" s="1"/>
  <c r="DW149" i="15"/>
  <c r="DX149" i="15" s="1"/>
  <c r="DW153" i="15"/>
  <c r="DX153" i="15" s="1"/>
  <c r="DW157" i="15"/>
  <c r="DX157" i="15" s="1"/>
  <c r="DW161" i="15"/>
  <c r="DX161" i="15" s="1"/>
  <c r="DW165" i="15"/>
  <c r="DX165" i="15" s="1"/>
  <c r="DW172" i="15"/>
  <c r="DX172" i="15" s="1"/>
  <c r="DW176" i="15"/>
  <c r="DX176" i="15" s="1"/>
  <c r="DW180" i="15"/>
  <c r="DX180" i="15" s="1"/>
  <c r="DW184" i="15"/>
  <c r="DX184" i="15" s="1"/>
  <c r="DW188" i="15"/>
  <c r="DX188" i="15" s="1"/>
  <c r="DW191" i="15"/>
  <c r="DX191" i="15" s="1"/>
  <c r="DW195" i="15"/>
  <c r="DX195" i="15" s="1"/>
  <c r="DW199" i="15"/>
  <c r="DX199" i="15" s="1"/>
  <c r="DW203" i="15"/>
  <c r="DX203" i="15" s="1"/>
  <c r="DW207" i="15"/>
  <c r="DX207" i="15" s="1"/>
  <c r="DW211" i="15"/>
  <c r="DX211" i="15" s="1"/>
  <c r="DW215" i="15"/>
  <c r="DX215" i="15" s="1"/>
  <c r="DW219" i="15"/>
  <c r="DX219" i="15" s="1"/>
  <c r="DW222" i="15"/>
  <c r="DX222" i="15" s="1"/>
  <c r="DW226" i="15"/>
  <c r="DX226" i="15" s="1"/>
  <c r="DW230" i="15"/>
  <c r="DX230" i="15" s="1"/>
  <c r="DW233" i="15"/>
  <c r="DX233" i="15" s="1"/>
  <c r="DW237" i="15"/>
  <c r="DX237" i="15" s="1"/>
  <c r="DW241" i="15"/>
  <c r="DX241" i="15" s="1"/>
  <c r="DW245" i="15"/>
  <c r="DX245" i="15" s="1"/>
  <c r="DW249" i="15"/>
  <c r="DX249" i="15" s="1"/>
  <c r="DW252" i="15"/>
  <c r="DX252" i="15" s="1"/>
  <c r="DW256" i="15"/>
  <c r="DX256" i="15" s="1"/>
  <c r="DW260" i="15"/>
  <c r="DX260" i="15" s="1"/>
  <c r="DW264" i="15"/>
  <c r="DX264" i="15" s="1"/>
  <c r="DW268" i="15"/>
  <c r="DX268" i="15" s="1"/>
  <c r="DW274" i="15"/>
  <c r="DX274" i="15" s="1"/>
  <c r="DW279" i="15"/>
  <c r="DX279" i="15" s="1"/>
  <c r="DW283" i="15"/>
  <c r="DX283" i="15" s="1"/>
  <c r="DW287" i="15"/>
  <c r="DX287" i="15" s="1"/>
  <c r="DW291" i="15"/>
  <c r="DX291" i="15" s="1"/>
  <c r="DW295" i="15"/>
  <c r="DX295" i="15" s="1"/>
  <c r="DW299" i="15"/>
  <c r="DX299" i="15" s="1"/>
  <c r="DW302" i="15"/>
  <c r="DX302" i="15" s="1"/>
  <c r="DW306" i="15"/>
  <c r="DX306" i="15" s="1"/>
  <c r="DW310" i="15"/>
  <c r="DX310" i="15" s="1"/>
  <c r="DW314" i="15"/>
  <c r="DX314" i="15" s="1"/>
  <c r="DW318" i="15"/>
  <c r="DX318" i="15" s="1"/>
  <c r="DW322" i="15"/>
  <c r="DX322" i="15" s="1"/>
  <c r="DW329" i="15"/>
  <c r="DX329" i="15" s="1"/>
  <c r="DW333" i="15"/>
  <c r="DX333" i="15" s="1"/>
  <c r="DW337" i="15"/>
  <c r="DX337" i="15" s="1"/>
  <c r="DW341" i="15"/>
  <c r="DX341" i="15" s="1"/>
  <c r="DW345" i="15"/>
  <c r="DX345" i="15" s="1"/>
  <c r="DW349" i="15"/>
  <c r="DX349" i="15" s="1"/>
  <c r="DW353" i="15"/>
  <c r="DX353" i="15" s="1"/>
  <c r="DW357" i="15"/>
  <c r="DX357" i="15" s="1"/>
  <c r="DW361" i="15"/>
  <c r="DX361" i="15" s="1"/>
  <c r="DW365" i="15"/>
  <c r="DX365" i="15" s="1"/>
  <c r="DW369" i="15"/>
  <c r="DX369" i="15" s="1"/>
  <c r="DW372" i="15"/>
  <c r="DX372" i="15" s="1"/>
  <c r="DW376" i="15"/>
  <c r="DX376" i="15" s="1"/>
  <c r="DW380" i="15"/>
  <c r="DX380" i="15" s="1"/>
  <c r="DW384" i="15"/>
  <c r="DX384" i="15" s="1"/>
  <c r="DW388" i="15"/>
  <c r="DX388" i="15" s="1"/>
  <c r="DW392" i="15"/>
  <c r="DX392" i="15" s="1"/>
  <c r="DW396" i="15"/>
  <c r="DX396" i="15" s="1"/>
  <c r="DW400" i="15"/>
  <c r="DX400" i="15" s="1"/>
  <c r="DW404" i="15"/>
  <c r="DX404" i="15" s="1"/>
  <c r="DW411" i="15"/>
  <c r="DX411" i="15" s="1"/>
  <c r="DW415" i="15"/>
  <c r="DX415" i="15" s="1"/>
  <c r="DW419" i="15"/>
  <c r="DX419" i="15" s="1"/>
  <c r="DW423" i="15"/>
  <c r="DX423" i="15" s="1"/>
  <c r="DW427" i="15"/>
  <c r="DX427" i="15" s="1"/>
  <c r="DW434" i="15"/>
  <c r="DX434" i="15" s="1"/>
  <c r="DW438" i="15"/>
  <c r="DX438" i="15" s="1"/>
  <c r="DW442" i="15"/>
  <c r="DX442" i="15" s="1"/>
  <c r="DW446" i="15"/>
  <c r="DX446" i="15" s="1"/>
  <c r="DW450" i="15"/>
  <c r="DX450" i="15" s="1"/>
  <c r="DW454" i="15"/>
  <c r="DX454" i="15" s="1"/>
  <c r="DW457" i="15"/>
  <c r="DX457" i="15" s="1"/>
  <c r="DW461" i="15"/>
  <c r="DX461" i="15" s="1"/>
  <c r="DW465" i="15"/>
  <c r="DX465" i="15" s="1"/>
  <c r="DW469" i="15"/>
  <c r="DX469" i="15" s="1"/>
  <c r="DW476" i="15"/>
  <c r="DX476" i="15" s="1"/>
  <c r="DW480" i="15"/>
  <c r="DX480" i="15" s="1"/>
  <c r="DW484" i="15"/>
  <c r="DX484" i="15" s="1"/>
  <c r="DW488" i="15"/>
  <c r="DX488" i="15" s="1"/>
  <c r="DW495" i="15"/>
  <c r="DX495" i="15" s="1"/>
  <c r="DW499" i="15"/>
  <c r="DX499" i="15" s="1"/>
  <c r="DW503" i="15"/>
  <c r="DX503" i="15" s="1"/>
  <c r="DW507" i="15"/>
  <c r="DX507" i="15" s="1"/>
  <c r="DW511" i="15"/>
  <c r="DX511" i="15" s="1"/>
  <c r="DW518" i="15"/>
  <c r="DX518" i="15" s="1"/>
  <c r="DW522" i="15"/>
  <c r="DX522" i="15" s="1"/>
  <c r="DW526" i="15"/>
  <c r="DX526" i="15" s="1"/>
  <c r="DW533" i="15"/>
  <c r="DX533" i="15" s="1"/>
  <c r="DW537" i="15"/>
  <c r="DX537" i="15" s="1"/>
  <c r="DW541" i="15"/>
  <c r="DX541" i="15" s="1"/>
  <c r="DW545" i="15"/>
  <c r="DX545" i="15" s="1"/>
  <c r="DW552" i="15"/>
  <c r="DX552" i="15" s="1"/>
  <c r="DW556" i="15"/>
  <c r="DX556" i="15" s="1"/>
  <c r="DW560" i="15"/>
  <c r="DX560" i="15" s="1"/>
  <c r="DW564" i="15"/>
  <c r="DX564" i="15" s="1"/>
  <c r="DW568" i="15"/>
  <c r="DX568" i="15" s="1"/>
  <c r="DW573" i="15"/>
  <c r="DX573" i="15" s="1"/>
  <c r="DW579" i="15"/>
  <c r="DX579" i="15" s="1"/>
  <c r="DW583" i="15"/>
  <c r="DX583" i="15" s="1"/>
  <c r="DW587" i="15"/>
  <c r="DX587" i="15" s="1"/>
  <c r="DW591" i="15"/>
  <c r="DX591" i="15" s="1"/>
  <c r="DW595" i="15"/>
  <c r="DX595" i="15" s="1"/>
  <c r="DW599" i="15"/>
  <c r="DX599" i="15" s="1"/>
  <c r="DW603" i="15"/>
  <c r="DX603" i="15" s="1"/>
  <c r="DW607" i="15"/>
  <c r="DX607" i="15" s="1"/>
  <c r="DW611" i="15"/>
  <c r="DX611" i="15" s="1"/>
  <c r="DW614" i="15"/>
  <c r="DX614" i="15" s="1"/>
  <c r="DW618" i="15"/>
  <c r="DX618" i="15" s="1"/>
  <c r="DW625" i="15"/>
  <c r="DX625" i="15" s="1"/>
  <c r="DW629" i="15"/>
  <c r="DX629" i="15" s="1"/>
  <c r="DW633" i="15"/>
  <c r="DX633" i="15" s="1"/>
  <c r="DW637" i="15"/>
  <c r="DX637" i="15" s="1"/>
  <c r="DW641" i="15"/>
  <c r="DX641" i="15" s="1"/>
  <c r="DW644" i="15"/>
  <c r="DX644" i="15" s="1"/>
  <c r="DW648" i="15"/>
  <c r="DX648" i="15" s="1"/>
  <c r="DW652" i="15"/>
  <c r="DX652" i="15" s="1"/>
  <c r="DW656" i="15"/>
  <c r="DX656" i="15" s="1"/>
  <c r="DW660" i="15"/>
  <c r="DX660" i="15" s="1"/>
  <c r="DW664" i="15"/>
  <c r="DX664" i="15" s="1"/>
  <c r="DW668" i="15"/>
  <c r="DX668" i="15" s="1"/>
  <c r="DW671" i="15"/>
  <c r="DX671" i="15" s="1"/>
  <c r="DW675" i="15"/>
  <c r="DX675" i="15" s="1"/>
  <c r="DW679" i="15"/>
  <c r="DX679" i="15" s="1"/>
  <c r="DW683" i="15"/>
  <c r="DX683" i="15" s="1"/>
  <c r="DW690" i="15"/>
  <c r="DX690" i="15" s="1"/>
  <c r="DW694" i="15"/>
  <c r="DX694" i="15" s="1"/>
  <c r="DW698" i="15"/>
  <c r="DX698" i="15" s="1"/>
  <c r="DW702" i="15"/>
  <c r="DX702" i="15" s="1"/>
  <c r="DW706" i="15"/>
  <c r="DX706" i="15" s="1"/>
  <c r="DW710" i="15"/>
  <c r="DX710" i="15" s="1"/>
  <c r="DW714" i="15"/>
  <c r="DX714" i="15" s="1"/>
  <c r="DW717" i="15"/>
  <c r="DX717" i="15" s="1"/>
  <c r="DW721" i="15"/>
  <c r="DX721" i="15" s="1"/>
  <c r="DW725" i="15"/>
  <c r="DX725" i="15" s="1"/>
  <c r="DW729" i="15"/>
  <c r="DX729" i="15" s="1"/>
  <c r="DW736" i="15"/>
  <c r="DX736" i="15" s="1"/>
  <c r="DW740" i="15"/>
  <c r="DX740" i="15" s="1"/>
  <c r="DW744" i="15"/>
  <c r="DX744" i="15" s="1"/>
  <c r="DW748" i="15"/>
  <c r="DX748" i="15" s="1"/>
  <c r="DW752" i="15"/>
  <c r="DX752" i="15" s="1"/>
  <c r="DW755" i="15"/>
  <c r="DX755" i="15" s="1"/>
  <c r="DW774" i="15"/>
  <c r="DX774" i="15" s="1"/>
  <c r="DW761" i="15"/>
  <c r="DX761" i="15" s="1"/>
  <c r="DW765" i="15"/>
  <c r="DX765" i="15" s="1"/>
  <c r="DW769" i="15"/>
  <c r="DX769" i="15" s="1"/>
  <c r="DW778" i="15"/>
  <c r="DX778" i="15" s="1"/>
  <c r="DW782" i="15"/>
  <c r="DX782" i="15" s="1"/>
  <c r="DW786" i="15"/>
  <c r="DX786" i="15" s="1"/>
  <c r="DW790" i="15"/>
  <c r="DX790" i="15" s="1"/>
  <c r="DW794" i="15"/>
  <c r="DX794" i="15" s="1"/>
  <c r="DW797" i="15"/>
  <c r="DX797" i="15" s="1"/>
  <c r="DW801" i="15"/>
  <c r="DX801" i="15" s="1"/>
  <c r="DW805" i="15"/>
  <c r="DX805" i="15" s="1"/>
  <c r="DW809" i="15"/>
  <c r="DX809" i="15" s="1"/>
  <c r="DW813" i="15"/>
  <c r="DX813" i="15" s="1"/>
  <c r="DW817" i="15"/>
  <c r="DX817" i="15" s="1"/>
  <c r="DW821" i="15"/>
  <c r="DX821" i="15" s="1"/>
  <c r="DW825" i="15"/>
  <c r="DX825" i="15" s="1"/>
  <c r="DW832" i="15"/>
  <c r="DX832" i="15" s="1"/>
  <c r="DW6" i="15"/>
  <c r="DX6" i="15" s="1"/>
  <c r="DW13" i="15"/>
  <c r="DX13" i="15" s="1"/>
  <c r="DW17" i="15"/>
  <c r="DX17" i="15" s="1"/>
  <c r="DW21" i="15"/>
  <c r="DX21" i="15" s="1"/>
  <c r="DW25" i="15"/>
  <c r="DX25" i="15" s="1"/>
  <c r="DW29" i="15"/>
  <c r="DX29" i="15" s="1"/>
  <c r="DW36" i="15"/>
  <c r="DX36" i="15" s="1"/>
  <c r="DW40" i="15"/>
  <c r="DX40" i="15" s="1"/>
  <c r="DW43" i="15"/>
  <c r="DX43" i="15" s="1"/>
  <c r="DW47" i="15"/>
  <c r="DX47" i="15" s="1"/>
  <c r="DW51" i="15"/>
  <c r="DX51" i="15" s="1"/>
  <c r="DW55" i="15"/>
  <c r="DX55" i="15" s="1"/>
  <c r="DW59" i="15"/>
  <c r="DX59" i="15" s="1"/>
  <c r="DW63" i="15"/>
  <c r="DX63" i="15" s="1"/>
  <c r="DW66" i="15"/>
  <c r="DX66" i="15" s="1"/>
  <c r="DW70" i="15"/>
  <c r="DX70" i="15" s="1"/>
  <c r="DW74" i="15"/>
  <c r="DX74" i="15" s="1"/>
  <c r="DW78" i="15"/>
  <c r="DX78" i="15" s="1"/>
  <c r="DW85" i="15"/>
  <c r="DX85" i="15" s="1"/>
  <c r="DW89" i="15"/>
  <c r="DX89" i="15" s="1"/>
  <c r="DW92" i="15"/>
  <c r="DX92" i="15" s="1"/>
  <c r="DW100" i="15"/>
  <c r="DX100" i="15" s="1"/>
  <c r="DW104" i="15"/>
  <c r="DX104" i="15" s="1"/>
  <c r="DW108" i="15"/>
  <c r="DX108" i="15" s="1"/>
  <c r="DW112" i="15"/>
  <c r="DX112" i="15" s="1"/>
  <c r="DW116" i="15"/>
  <c r="DX116" i="15" s="1"/>
  <c r="DW120" i="15"/>
  <c r="DX120" i="15" s="1"/>
  <c r="DW127" i="15"/>
  <c r="DX127" i="15" s="1"/>
  <c r="DW131" i="15"/>
  <c r="DX131" i="15" s="1"/>
  <c r="DW135" i="15"/>
  <c r="DX135" i="15" s="1"/>
  <c r="DW139" i="15"/>
  <c r="DX139" i="15" s="1"/>
  <c r="DW146" i="15"/>
  <c r="DX146" i="15" s="1"/>
  <c r="DW150" i="15"/>
  <c r="DX150" i="15" s="1"/>
  <c r="DW154" i="15"/>
  <c r="DX154" i="15" s="1"/>
  <c r="DW158" i="15"/>
  <c r="DX158" i="15" s="1"/>
  <c r="DW162" i="15"/>
  <c r="DX162" i="15" s="1"/>
  <c r="DW166" i="15"/>
  <c r="DX166" i="15" s="1"/>
  <c r="DW169" i="15"/>
  <c r="DX169" i="15" s="1"/>
  <c r="DW173" i="15"/>
  <c r="DX173" i="15" s="1"/>
  <c r="DW177" i="15"/>
  <c r="DX177" i="15" s="1"/>
  <c r="DW181" i="15"/>
  <c r="DX181" i="15" s="1"/>
  <c r="DW185" i="15"/>
  <c r="DX185" i="15" s="1"/>
  <c r="DW189" i="15"/>
  <c r="DX189" i="15" s="1"/>
  <c r="DW192" i="15"/>
  <c r="DX192" i="15" s="1"/>
  <c r="DW196" i="15"/>
  <c r="DX196" i="15" s="1"/>
  <c r="DW200" i="15"/>
  <c r="DX200" i="15" s="1"/>
  <c r="DW204" i="15"/>
  <c r="DX204" i="15" s="1"/>
  <c r="DW208" i="15"/>
  <c r="DX208" i="15" s="1"/>
  <c r="DW212" i="15"/>
  <c r="DX212" i="15" s="1"/>
  <c r="DW216" i="15"/>
  <c r="DX216" i="15" s="1"/>
  <c r="DW223" i="15"/>
  <c r="DX223" i="15" s="1"/>
  <c r="DW227" i="15"/>
  <c r="DX227" i="15" s="1"/>
  <c r="DW231" i="15"/>
  <c r="DX231" i="15" s="1"/>
  <c r="DW234" i="15"/>
  <c r="DX234" i="15" s="1"/>
  <c r="DW238" i="15"/>
  <c r="DX238" i="15" s="1"/>
  <c r="DW242" i="15"/>
  <c r="DX242" i="15" s="1"/>
  <c r="DW246" i="15"/>
  <c r="DX246" i="15" s="1"/>
  <c r="DW253" i="15"/>
  <c r="DX253" i="15" s="1"/>
  <c r="DW257" i="15"/>
  <c r="DX257" i="15" s="1"/>
  <c r="DW261" i="15"/>
  <c r="DX261" i="15" s="1"/>
  <c r="DW265" i="15"/>
  <c r="DX265" i="15" s="1"/>
  <c r="DW272" i="15"/>
  <c r="DX272" i="15" s="1"/>
  <c r="DW276" i="15"/>
  <c r="DX276" i="15" s="1"/>
  <c r="DW280" i="15"/>
  <c r="DX280" i="15" s="1"/>
  <c r="DW284" i="15"/>
  <c r="DX284" i="15" s="1"/>
  <c r="DW288" i="15"/>
  <c r="DX288" i="15" s="1"/>
  <c r="DW292" i="15"/>
  <c r="DX292" i="15" s="1"/>
  <c r="DW296" i="15"/>
  <c r="DX296" i="15" s="1"/>
  <c r="DW300" i="15"/>
  <c r="DX300" i="15" s="1"/>
  <c r="DW303" i="15"/>
  <c r="DX303" i="15" s="1"/>
  <c r="DW307" i="15"/>
  <c r="DX307" i="15" s="1"/>
  <c r="DW311" i="15"/>
  <c r="DX311" i="15" s="1"/>
  <c r="DW315" i="15"/>
  <c r="DX315" i="15" s="1"/>
  <c r="DW319" i="15"/>
  <c r="DX319" i="15" s="1"/>
  <c r="DW323" i="15"/>
  <c r="DX323" i="15" s="1"/>
  <c r="DW326" i="15"/>
  <c r="DX326" i="15" s="1"/>
  <c r="DW330" i="15"/>
  <c r="DX330" i="15" s="1"/>
  <c r="DW334" i="15"/>
  <c r="DX334" i="15" s="1"/>
  <c r="DW338" i="15"/>
  <c r="DX338" i="15" s="1"/>
  <c r="DW342" i="15"/>
  <c r="DX342" i="15" s="1"/>
  <c r="DW346" i="15"/>
  <c r="DX346" i="15" s="1"/>
  <c r="DW350" i="15"/>
  <c r="DX350" i="15" s="1"/>
  <c r="DW354" i="15"/>
  <c r="DX354" i="15" s="1"/>
  <c r="DW358" i="15"/>
  <c r="DX358" i="15" s="1"/>
  <c r="DW362" i="15"/>
  <c r="DX362" i="15" s="1"/>
  <c r="DW366" i="15"/>
  <c r="DX366" i="15" s="1"/>
  <c r="DW370" i="15"/>
  <c r="DX370" i="15" s="1"/>
  <c r="DW373" i="15"/>
  <c r="DX373" i="15" s="1"/>
  <c r="DW377" i="15"/>
  <c r="DX377" i="15" s="1"/>
  <c r="DW381" i="15"/>
  <c r="DX381" i="15" s="1"/>
  <c r="DW385" i="15"/>
  <c r="DX385" i="15" s="1"/>
  <c r="DW389" i="15"/>
  <c r="DX389" i="15" s="1"/>
  <c r="DW393" i="15"/>
  <c r="DX393" i="15" s="1"/>
  <c r="DW397" i="15"/>
  <c r="DX397" i="15" s="1"/>
  <c r="DW401" i="15"/>
  <c r="DX401" i="15" s="1"/>
  <c r="DW405" i="15"/>
  <c r="DX405" i="15" s="1"/>
  <c r="DW408" i="15"/>
  <c r="DX408" i="15" s="1"/>
  <c r="DW412" i="15"/>
  <c r="DX412" i="15" s="1"/>
  <c r="DW416" i="15"/>
  <c r="DX416" i="15" s="1"/>
  <c r="DW420" i="15"/>
  <c r="DX420" i="15" s="1"/>
  <c r="DW424" i="15"/>
  <c r="DX424" i="15" s="1"/>
  <c r="DW428" i="15"/>
  <c r="DX428" i="15" s="1"/>
  <c r="DW431" i="15"/>
  <c r="DX431" i="15" s="1"/>
  <c r="DW435" i="15"/>
  <c r="DX435" i="15" s="1"/>
  <c r="DW439" i="15"/>
  <c r="DX439" i="15" s="1"/>
  <c r="DW443" i="15"/>
  <c r="DX443" i="15" s="1"/>
  <c r="DW447" i="15"/>
  <c r="DX447" i="15" s="1"/>
  <c r="DW451" i="15"/>
  <c r="DX451" i="15" s="1"/>
  <c r="DW455" i="15"/>
  <c r="DX455" i="15" s="1"/>
  <c r="DW458" i="15"/>
  <c r="DX458" i="15" s="1"/>
  <c r="DW462" i="15"/>
  <c r="DX462" i="15" s="1"/>
  <c r="DW466" i="15"/>
  <c r="DX466" i="15" s="1"/>
  <c r="DW473" i="15"/>
  <c r="DX473" i="15" s="1"/>
  <c r="DW477" i="15"/>
  <c r="DX477" i="15" s="1"/>
  <c r="DW481" i="15"/>
  <c r="DX481" i="15" s="1"/>
  <c r="DW485" i="15"/>
  <c r="DX485" i="15" s="1"/>
  <c r="DW489" i="15"/>
  <c r="DX489" i="15" s="1"/>
  <c r="DW492" i="15"/>
  <c r="DX492" i="15" s="1"/>
  <c r="DW496" i="15"/>
  <c r="DX496" i="15" s="1"/>
  <c r="DW500" i="15"/>
  <c r="DX500" i="15" s="1"/>
  <c r="DW504" i="15"/>
  <c r="DX504" i="15" s="1"/>
  <c r="DW508" i="15"/>
  <c r="DX508" i="15" s="1"/>
  <c r="DW512" i="15"/>
  <c r="DX512" i="15" s="1"/>
  <c r="DW515" i="15"/>
  <c r="DX515" i="15" s="1"/>
  <c r="DW519" i="15"/>
  <c r="DX519" i="15" s="1"/>
  <c r="DW523" i="15"/>
  <c r="DX523" i="15" s="1"/>
  <c r="DW527" i="15"/>
  <c r="DX527" i="15" s="1"/>
  <c r="DW530" i="15"/>
  <c r="DX530" i="15" s="1"/>
  <c r="DW534" i="15"/>
  <c r="DX534" i="15" s="1"/>
  <c r="DW538" i="15"/>
  <c r="DX538" i="15" s="1"/>
  <c r="DW542" i="15"/>
  <c r="DX542" i="15" s="1"/>
  <c r="DW546" i="15"/>
  <c r="DX546" i="15" s="1"/>
  <c r="DW549" i="15"/>
  <c r="DX549" i="15" s="1"/>
  <c r="DW553" i="15"/>
  <c r="DX553" i="15" s="1"/>
  <c r="DW557" i="15"/>
  <c r="DX557" i="15" s="1"/>
  <c r="DW561" i="15"/>
  <c r="DX561" i="15" s="1"/>
  <c r="DW565" i="15"/>
  <c r="DX565" i="15" s="1"/>
  <c r="DW569" i="15"/>
  <c r="DX569" i="15" s="1"/>
  <c r="DW574" i="15"/>
  <c r="DX574" i="15" s="1"/>
  <c r="DW577" i="15"/>
  <c r="DX577" i="15" s="1"/>
  <c r="DW580" i="15"/>
  <c r="DX580" i="15" s="1"/>
  <c r="DW584" i="15"/>
  <c r="DX584" i="15" s="1"/>
  <c r="DW588" i="15"/>
  <c r="DX588" i="15" s="1"/>
  <c r="DW592" i="15"/>
  <c r="DX592" i="15" s="1"/>
  <c r="DW596" i="15"/>
  <c r="DX596" i="15" s="1"/>
  <c r="DW600" i="15"/>
  <c r="DX600" i="15" s="1"/>
  <c r="DW604" i="15"/>
  <c r="DX604" i="15" s="1"/>
  <c r="DW608" i="15"/>
  <c r="DX608" i="15" s="1"/>
  <c r="DW615" i="15"/>
  <c r="DX615" i="15" s="1"/>
  <c r="DW619" i="15"/>
  <c r="DX619" i="15" s="1"/>
  <c r="DW622" i="15"/>
  <c r="DX622" i="15" s="1"/>
  <c r="DW626" i="15"/>
  <c r="DX626" i="15" s="1"/>
  <c r="DW630" i="15"/>
  <c r="DX630" i="15" s="1"/>
  <c r="DW634" i="15"/>
  <c r="DX634" i="15" s="1"/>
  <c r="DW638" i="15"/>
  <c r="DX638" i="15" s="1"/>
  <c r="DW645" i="15"/>
  <c r="DX645" i="15" s="1"/>
  <c r="DW649" i="15"/>
  <c r="DX649" i="15" s="1"/>
  <c r="DW653" i="15"/>
  <c r="DX653" i="15" s="1"/>
  <c r="DW657" i="15"/>
  <c r="DX657" i="15" s="1"/>
  <c r="DW661" i="15"/>
  <c r="DX661" i="15" s="1"/>
  <c r="DW665" i="15"/>
  <c r="DX665" i="15" s="1"/>
  <c r="DW672" i="15"/>
  <c r="DX672" i="15" s="1"/>
  <c r="DW676" i="15"/>
  <c r="DX676" i="15" s="1"/>
  <c r="DW680" i="15"/>
  <c r="DX680" i="15" s="1"/>
  <c r="DW684" i="15"/>
  <c r="DX684" i="15" s="1"/>
  <c r="DW688" i="15"/>
  <c r="DX688" i="15" s="1"/>
  <c r="DW691" i="15"/>
  <c r="DX691" i="15" s="1"/>
  <c r="DW695" i="15"/>
  <c r="DX695" i="15" s="1"/>
  <c r="DW699" i="15"/>
  <c r="DX699" i="15" s="1"/>
  <c r="DW703" i="15"/>
  <c r="DX703" i="15" s="1"/>
  <c r="DW707" i="15"/>
  <c r="DX707" i="15" s="1"/>
  <c r="DW711" i="15"/>
  <c r="DX711" i="15" s="1"/>
  <c r="DW718" i="15"/>
  <c r="DX718" i="15" s="1"/>
  <c r="DW722" i="15"/>
  <c r="DX722" i="15" s="1"/>
  <c r="DW726" i="15"/>
  <c r="DX726" i="15" s="1"/>
  <c r="DW730" i="15"/>
  <c r="DX730" i="15" s="1"/>
  <c r="DW733" i="15"/>
  <c r="DX733" i="15" s="1"/>
  <c r="DW737" i="15"/>
  <c r="DX737" i="15" s="1"/>
  <c r="DW741" i="15"/>
  <c r="DX741" i="15" s="1"/>
  <c r="DW745" i="15"/>
  <c r="DX745" i="15" s="1"/>
  <c r="DW749" i="15"/>
  <c r="DX749" i="15" s="1"/>
  <c r="DW756" i="15"/>
  <c r="DX756" i="15" s="1"/>
  <c r="DW758" i="15"/>
  <c r="DX758" i="15" s="1"/>
  <c r="DW762" i="15"/>
  <c r="DX762" i="15" s="1"/>
  <c r="DW766" i="15"/>
  <c r="DX766" i="15" s="1"/>
  <c r="DW770" i="15"/>
  <c r="DX770" i="15" s="1"/>
  <c r="DW776" i="15"/>
  <c r="DX776" i="15" s="1"/>
  <c r="DW779" i="15"/>
  <c r="DX779" i="15" s="1"/>
  <c r="DW783" i="15"/>
  <c r="DX783" i="15" s="1"/>
  <c r="DW787" i="15"/>
  <c r="DX787" i="15" s="1"/>
  <c r="DW791" i="15"/>
  <c r="DX791" i="15" s="1"/>
  <c r="DW798" i="15"/>
  <c r="DX798" i="15" s="1"/>
  <c r="DW802" i="15"/>
  <c r="DX802" i="15" s="1"/>
  <c r="DW806" i="15"/>
  <c r="DX806" i="15" s="1"/>
  <c r="DW810" i="15"/>
  <c r="DX810" i="15" s="1"/>
  <c r="DW814" i="15"/>
  <c r="DX814" i="15" s="1"/>
  <c r="DW818" i="15"/>
  <c r="DX818" i="15" s="1"/>
  <c r="DW822" i="15"/>
  <c r="DX822" i="15" s="1"/>
  <c r="DW826" i="15"/>
  <c r="DX826" i="15" s="1"/>
  <c r="DW829" i="15"/>
  <c r="DX829" i="15" s="1"/>
  <c r="DW833" i="15"/>
  <c r="DX833" i="15" s="1"/>
  <c r="DW18" i="15"/>
  <c r="DX18" i="15" s="1"/>
  <c r="DW34" i="15"/>
  <c r="DX34" i="15" s="1"/>
  <c r="DW48" i="15"/>
  <c r="DX48" i="15" s="1"/>
  <c r="DW79" i="15"/>
  <c r="DX79" i="15" s="1"/>
  <c r="DW94" i="15"/>
  <c r="DX94" i="15" s="1"/>
  <c r="DW109" i="15"/>
  <c r="DX109" i="15" s="1"/>
  <c r="DW125" i="15"/>
  <c r="DX125" i="15" s="1"/>
  <c r="DW140" i="15"/>
  <c r="DX140" i="15" s="1"/>
  <c r="DW155" i="15"/>
  <c r="DX155" i="15" s="1"/>
  <c r="DW170" i="15"/>
  <c r="DX170" i="15" s="1"/>
  <c r="DW186" i="15"/>
  <c r="DX186" i="15" s="1"/>
  <c r="DW201" i="15"/>
  <c r="DX201" i="15" s="1"/>
  <c r="DW217" i="15"/>
  <c r="DX217" i="15" s="1"/>
  <c r="DW232" i="15"/>
  <c r="DX232" i="15" s="1"/>
  <c r="DW247" i="15"/>
  <c r="DX247" i="15" s="1"/>
  <c r="DW262" i="15"/>
  <c r="DX262" i="15" s="1"/>
  <c r="DW277" i="15"/>
  <c r="DX277" i="15" s="1"/>
  <c r="DW293" i="15"/>
  <c r="DX293" i="15" s="1"/>
  <c r="DW308" i="15"/>
  <c r="DX308" i="15" s="1"/>
  <c r="DW339" i="15"/>
  <c r="DX339" i="15" s="1"/>
  <c r="DW355" i="15"/>
  <c r="DX355" i="15" s="1"/>
  <c r="DW371" i="15"/>
  <c r="DX371" i="15" s="1"/>
  <c r="DW386" i="15"/>
  <c r="DX386" i="15" s="1"/>
  <c r="DW402" i="15"/>
  <c r="DX402" i="15" s="1"/>
  <c r="DW417" i="15"/>
  <c r="DX417" i="15" s="1"/>
  <c r="DW432" i="15"/>
  <c r="DX432" i="15" s="1"/>
  <c r="DW448" i="15"/>
  <c r="DX448" i="15" s="1"/>
  <c r="DW463" i="15"/>
  <c r="DX463" i="15" s="1"/>
  <c r="DW478" i="15"/>
  <c r="DX478" i="15" s="1"/>
  <c r="DW493" i="15"/>
  <c r="DX493" i="15" s="1"/>
  <c r="DW509" i="15"/>
  <c r="DX509" i="15" s="1"/>
  <c r="DW524" i="15"/>
  <c r="DX524" i="15" s="1"/>
  <c r="DW539" i="15"/>
  <c r="DX539" i="15" s="1"/>
  <c r="DW554" i="15"/>
  <c r="DX554" i="15" s="1"/>
  <c r="DW570" i="15"/>
  <c r="DX570" i="15" s="1"/>
  <c r="DW585" i="15"/>
  <c r="DX585" i="15" s="1"/>
  <c r="DW601" i="15"/>
  <c r="DX601" i="15" s="1"/>
  <c r="DW616" i="15"/>
  <c r="DX616" i="15" s="1"/>
  <c r="DW631" i="15"/>
  <c r="DX631" i="15" s="1"/>
  <c r="DW646" i="15"/>
  <c r="DX646" i="15" s="1"/>
  <c r="DW662" i="15"/>
  <c r="DX662" i="15" s="1"/>
  <c r="DW677" i="15"/>
  <c r="DX677" i="15" s="1"/>
  <c r="DW692" i="15"/>
  <c r="DX692" i="15" s="1"/>
  <c r="DW708" i="15"/>
  <c r="DX708" i="15" s="1"/>
  <c r="DW723" i="15"/>
  <c r="DX723" i="15" s="1"/>
  <c r="DW738" i="15"/>
  <c r="DX738" i="15" s="1"/>
  <c r="DW754" i="15"/>
  <c r="DX754" i="15" s="1"/>
  <c r="DW764" i="15"/>
  <c r="DX764" i="15" s="1"/>
  <c r="DW772" i="15"/>
  <c r="DX772" i="15" s="1"/>
  <c r="DW781" i="15"/>
  <c r="DX781" i="15" s="1"/>
  <c r="DW789" i="15"/>
  <c r="DX789" i="15" s="1"/>
  <c r="DW804" i="15"/>
  <c r="DX804" i="15" s="1"/>
  <c r="DW812" i="15"/>
  <c r="DX812" i="15" s="1"/>
  <c r="DW820" i="15"/>
  <c r="DX820" i="15" s="1"/>
  <c r="DW828" i="15"/>
  <c r="DX828" i="15" s="1"/>
  <c r="DW835" i="15"/>
  <c r="DX835" i="15" s="1"/>
  <c r="DW839" i="15"/>
  <c r="DX839" i="15" s="1"/>
  <c r="DW843" i="15"/>
  <c r="DX843" i="15" s="1"/>
  <c r="DW847" i="15"/>
  <c r="DX847" i="15" s="1"/>
  <c r="DW851" i="15"/>
  <c r="DX851" i="15" s="1"/>
  <c r="DW855" i="15"/>
  <c r="DX855" i="15" s="1"/>
  <c r="DW859" i="15"/>
  <c r="DX859" i="15" s="1"/>
  <c r="DW30" i="15"/>
  <c r="DX30" i="15" s="1"/>
  <c r="DW75" i="15"/>
  <c r="DX75" i="15" s="1"/>
  <c r="DW105" i="15"/>
  <c r="DX105" i="15" s="1"/>
  <c r="DW136" i="15"/>
  <c r="DX136" i="15" s="1"/>
  <c r="DW167" i="15"/>
  <c r="DX167" i="15" s="1"/>
  <c r="DW213" i="15"/>
  <c r="DX213" i="15" s="1"/>
  <c r="DW22" i="15"/>
  <c r="DX22" i="15" s="1"/>
  <c r="DW37" i="15"/>
  <c r="DX37" i="15" s="1"/>
  <c r="DW52" i="15"/>
  <c r="DX52" i="15" s="1"/>
  <c r="DW67" i="15"/>
  <c r="DX67" i="15" s="1"/>
  <c r="DW83" i="15"/>
  <c r="DX83" i="15" s="1"/>
  <c r="DW98" i="15"/>
  <c r="DX98" i="15" s="1"/>
  <c r="DW113" i="15"/>
  <c r="DX113" i="15" s="1"/>
  <c r="DW128" i="15"/>
  <c r="DX128" i="15" s="1"/>
  <c r="DW144" i="15"/>
  <c r="DX144" i="15" s="1"/>
  <c r="DW159" i="15"/>
  <c r="DX159" i="15" s="1"/>
  <c r="DW174" i="15"/>
  <c r="DX174" i="15" s="1"/>
  <c r="DW190" i="15"/>
  <c r="DX190" i="15" s="1"/>
  <c r="DW205" i="15"/>
  <c r="DX205" i="15" s="1"/>
  <c r="DW220" i="15"/>
  <c r="DX220" i="15" s="1"/>
  <c r="DW235" i="15"/>
  <c r="DX235" i="15" s="1"/>
  <c r="DW251" i="15"/>
  <c r="DX251" i="15" s="1"/>
  <c r="DW266" i="15"/>
  <c r="DX266" i="15" s="1"/>
  <c r="DW281" i="15"/>
  <c r="DX281" i="15" s="1"/>
  <c r="DW297" i="15"/>
  <c r="DX297" i="15" s="1"/>
  <c r="DW312" i="15"/>
  <c r="DX312" i="15" s="1"/>
  <c r="DW327" i="15"/>
  <c r="DX327" i="15" s="1"/>
  <c r="DW343" i="15"/>
  <c r="DX343" i="15" s="1"/>
  <c r="DW359" i="15"/>
  <c r="DX359" i="15" s="1"/>
  <c r="DW374" i="15"/>
  <c r="DX374" i="15" s="1"/>
  <c r="DW390" i="15"/>
  <c r="DX390" i="15" s="1"/>
  <c r="DW421" i="15"/>
  <c r="DX421" i="15" s="1"/>
  <c r="DW436" i="15"/>
  <c r="DX436" i="15" s="1"/>
  <c r="DW452" i="15"/>
  <c r="DX452" i="15" s="1"/>
  <c r="DW467" i="15"/>
  <c r="DX467" i="15" s="1"/>
  <c r="DW482" i="15"/>
  <c r="DX482" i="15" s="1"/>
  <c r="DW497" i="15"/>
  <c r="DX497" i="15" s="1"/>
  <c r="DW513" i="15"/>
  <c r="DX513" i="15" s="1"/>
  <c r="DW543" i="15"/>
  <c r="DX543" i="15" s="1"/>
  <c r="DW558" i="15"/>
  <c r="DX558" i="15" s="1"/>
  <c r="DW572" i="15"/>
  <c r="DX572" i="15" s="1"/>
  <c r="DW589" i="15"/>
  <c r="DX589" i="15" s="1"/>
  <c r="DW605" i="15"/>
  <c r="DX605" i="15" s="1"/>
  <c r="DW620" i="15"/>
  <c r="DX620" i="15" s="1"/>
  <c r="DW635" i="15"/>
  <c r="DX635" i="15" s="1"/>
  <c r="DW650" i="15"/>
  <c r="DX650" i="15" s="1"/>
  <c r="DW666" i="15"/>
  <c r="DX666" i="15" s="1"/>
  <c r="DW681" i="15"/>
  <c r="DX681" i="15" s="1"/>
  <c r="DW696" i="15"/>
  <c r="DX696" i="15" s="1"/>
  <c r="DW727" i="15"/>
  <c r="DX727" i="15" s="1"/>
  <c r="DW742" i="15"/>
  <c r="DX742" i="15" s="1"/>
  <c r="DW757" i="15"/>
  <c r="DX757" i="15" s="1"/>
  <c r="DW767" i="15"/>
  <c r="DX767" i="15" s="1"/>
  <c r="DW784" i="15"/>
  <c r="DX784" i="15" s="1"/>
  <c r="DW792" i="15"/>
  <c r="DX792" i="15" s="1"/>
  <c r="DW799" i="15"/>
  <c r="DX799" i="15" s="1"/>
  <c r="DW807" i="15"/>
  <c r="DX807" i="15" s="1"/>
  <c r="DW815" i="15"/>
  <c r="DX815" i="15" s="1"/>
  <c r="DW823" i="15"/>
  <c r="DX823" i="15" s="1"/>
  <c r="DW830" i="15"/>
  <c r="DX830" i="15" s="1"/>
  <c r="DW836" i="15"/>
  <c r="DX836" i="15" s="1"/>
  <c r="DW840" i="15"/>
  <c r="DX840" i="15" s="1"/>
  <c r="DW844" i="15"/>
  <c r="DX844" i="15" s="1"/>
  <c r="DW848" i="15"/>
  <c r="DX848" i="15" s="1"/>
  <c r="DW852" i="15"/>
  <c r="DX852" i="15" s="1"/>
  <c r="DW856" i="15"/>
  <c r="DX856" i="15" s="1"/>
  <c r="DW860" i="15"/>
  <c r="DX860" i="15" s="1"/>
  <c r="DW14" i="15"/>
  <c r="DX14" i="15" s="1"/>
  <c r="DW44" i="15"/>
  <c r="DX44" i="15" s="1"/>
  <c r="DW90" i="15"/>
  <c r="DX90" i="15" s="1"/>
  <c r="DW121" i="15"/>
  <c r="DX121" i="15" s="1"/>
  <c r="DW151" i="15"/>
  <c r="DX151" i="15" s="1"/>
  <c r="DW182" i="15"/>
  <c r="DX182" i="15" s="1"/>
  <c r="DW228" i="15"/>
  <c r="DX228" i="15" s="1"/>
  <c r="DW10" i="15"/>
  <c r="DX10" i="15" s="1"/>
  <c r="DW26" i="15"/>
  <c r="DX26" i="15" s="1"/>
  <c r="DW56" i="15"/>
  <c r="DX56" i="15" s="1"/>
  <c r="DW71" i="15"/>
  <c r="DX71" i="15" s="1"/>
  <c r="DW86" i="15"/>
  <c r="DX86" i="15" s="1"/>
  <c r="DW101" i="15"/>
  <c r="DX101" i="15" s="1"/>
  <c r="DW117" i="15"/>
  <c r="DX117" i="15" s="1"/>
  <c r="DW132" i="15"/>
  <c r="DX132" i="15" s="1"/>
  <c r="DW147" i="15"/>
  <c r="DX147" i="15" s="1"/>
  <c r="DW163" i="15"/>
  <c r="DX163" i="15" s="1"/>
  <c r="DW178" i="15"/>
  <c r="DX178" i="15" s="1"/>
  <c r="DW193" i="15"/>
  <c r="DX193" i="15" s="1"/>
  <c r="DW209" i="15"/>
  <c r="DX209" i="15" s="1"/>
  <c r="DW224" i="15"/>
  <c r="DX224" i="15" s="1"/>
  <c r="DW239" i="15"/>
  <c r="DX239" i="15" s="1"/>
  <c r="DW254" i="15"/>
  <c r="DX254" i="15" s="1"/>
  <c r="DW270" i="15"/>
  <c r="DX270" i="15" s="1"/>
  <c r="DW285" i="15"/>
  <c r="DX285" i="15" s="1"/>
  <c r="DW316" i="15"/>
  <c r="DX316" i="15" s="1"/>
  <c r="DW331" i="15"/>
  <c r="DX331" i="15" s="1"/>
  <c r="DW347" i="15"/>
  <c r="DX347" i="15" s="1"/>
  <c r="DW363" i="15"/>
  <c r="DX363" i="15" s="1"/>
  <c r="DW378" i="15"/>
  <c r="DX378" i="15" s="1"/>
  <c r="DW394" i="15"/>
  <c r="DX394" i="15" s="1"/>
  <c r="DW409" i="15"/>
  <c r="DX409" i="15" s="1"/>
  <c r="DW425" i="15"/>
  <c r="DX425" i="15" s="1"/>
  <c r="DW440" i="15"/>
  <c r="DX440" i="15" s="1"/>
  <c r="DW471" i="15"/>
  <c r="DX471" i="15" s="1"/>
  <c r="DW486" i="15"/>
  <c r="DX486" i="15" s="1"/>
  <c r="DW501" i="15"/>
  <c r="DX501" i="15" s="1"/>
  <c r="DW516" i="15"/>
  <c r="DX516" i="15" s="1"/>
  <c r="DW531" i="15"/>
  <c r="DX531" i="15" s="1"/>
  <c r="DW547" i="15"/>
  <c r="DX547" i="15" s="1"/>
  <c r="DW562" i="15"/>
  <c r="DX562" i="15" s="1"/>
  <c r="DW578" i="15"/>
  <c r="DX578" i="15" s="1"/>
  <c r="DW593" i="15"/>
  <c r="DX593" i="15" s="1"/>
  <c r="DW609" i="15"/>
  <c r="DX609" i="15" s="1"/>
  <c r="DW623" i="15"/>
  <c r="DX623" i="15" s="1"/>
  <c r="DW639" i="15"/>
  <c r="DX639" i="15" s="1"/>
  <c r="DW654" i="15"/>
  <c r="DX654" i="15" s="1"/>
  <c r="DW669" i="15"/>
  <c r="DX669" i="15" s="1"/>
  <c r="DW685" i="15"/>
  <c r="DX685" i="15" s="1"/>
  <c r="DW700" i="15"/>
  <c r="DX700" i="15" s="1"/>
  <c r="DW715" i="15"/>
  <c r="DX715" i="15" s="1"/>
  <c r="DW746" i="15"/>
  <c r="DX746" i="15" s="1"/>
  <c r="DW759" i="15"/>
  <c r="DX759" i="15" s="1"/>
  <c r="DW768" i="15"/>
  <c r="DX768" i="15" s="1"/>
  <c r="DW777" i="15"/>
  <c r="DX777" i="15" s="1"/>
  <c r="DW785" i="15"/>
  <c r="DX785" i="15" s="1"/>
  <c r="DW793" i="15"/>
  <c r="DX793" i="15" s="1"/>
  <c r="DW800" i="15"/>
  <c r="DX800" i="15" s="1"/>
  <c r="DW808" i="15"/>
  <c r="DX808" i="15" s="1"/>
  <c r="DW816" i="15"/>
  <c r="DX816" i="15" s="1"/>
  <c r="DW824" i="15"/>
  <c r="DX824" i="15" s="1"/>
  <c r="DW831" i="15"/>
  <c r="DX831" i="15" s="1"/>
  <c r="DW837" i="15"/>
  <c r="DX837" i="15" s="1"/>
  <c r="DW841" i="15"/>
  <c r="DX841" i="15" s="1"/>
  <c r="DW845" i="15"/>
  <c r="DX845" i="15" s="1"/>
  <c r="DW849" i="15"/>
  <c r="DX849" i="15" s="1"/>
  <c r="DW853" i="15"/>
  <c r="DX853" i="15" s="1"/>
  <c r="DW857" i="15"/>
  <c r="DX857" i="15" s="1"/>
  <c r="DW861" i="15"/>
  <c r="DX861" i="15" s="1"/>
  <c r="DW60" i="15"/>
  <c r="DX60" i="15" s="1"/>
  <c r="DW197" i="15"/>
  <c r="DX197" i="15" s="1"/>
  <c r="DW289" i="15"/>
  <c r="DX289" i="15" s="1"/>
  <c r="DW351" i="15"/>
  <c r="DX351" i="15" s="1"/>
  <c r="DW413" i="15"/>
  <c r="DX413" i="15" s="1"/>
  <c r="DW474" i="15"/>
  <c r="DX474" i="15" s="1"/>
  <c r="DW535" i="15"/>
  <c r="DX535" i="15" s="1"/>
  <c r="DW597" i="15"/>
  <c r="DX597" i="15" s="1"/>
  <c r="DW658" i="15"/>
  <c r="DX658" i="15" s="1"/>
  <c r="DW719" i="15"/>
  <c r="DX719" i="15" s="1"/>
  <c r="DW771" i="15"/>
  <c r="DX771" i="15" s="1"/>
  <c r="DW803" i="15"/>
  <c r="DX803" i="15" s="1"/>
  <c r="DW834" i="15"/>
  <c r="DX834" i="15" s="1"/>
  <c r="DW850" i="15"/>
  <c r="DX850" i="15" s="1"/>
  <c r="DW273" i="15"/>
  <c r="DX273" i="15" s="1"/>
  <c r="DW243" i="15"/>
  <c r="DX243" i="15" s="1"/>
  <c r="DW304" i="15"/>
  <c r="DX304" i="15" s="1"/>
  <c r="DW367" i="15"/>
  <c r="DX367" i="15" s="1"/>
  <c r="DW550" i="15"/>
  <c r="DX550" i="15" s="1"/>
  <c r="DW612" i="15"/>
  <c r="DX612" i="15" s="1"/>
  <c r="DW673" i="15"/>
  <c r="DX673" i="15" s="1"/>
  <c r="DW734" i="15"/>
  <c r="DX734" i="15" s="1"/>
  <c r="DW780" i="15"/>
  <c r="DX780" i="15" s="1"/>
  <c r="DW811" i="15"/>
  <c r="DX811" i="15" s="1"/>
  <c r="DW838" i="15"/>
  <c r="DX838" i="15" s="1"/>
  <c r="DW854" i="15"/>
  <c r="DX854" i="15" s="1"/>
  <c r="DW398" i="15"/>
  <c r="DX398" i="15" s="1"/>
  <c r="DW520" i="15"/>
  <c r="DX520" i="15" s="1"/>
  <c r="DW642" i="15"/>
  <c r="DX642" i="15" s="1"/>
  <c r="DW704" i="15"/>
  <c r="DX704" i="15" s="1"/>
  <c r="DW796" i="15"/>
  <c r="DX796" i="15" s="1"/>
  <c r="DW846" i="15"/>
  <c r="DX846" i="15" s="1"/>
  <c r="DW258" i="15"/>
  <c r="DX258" i="15" s="1"/>
  <c r="DW320" i="15"/>
  <c r="DX320" i="15" s="1"/>
  <c r="DW382" i="15"/>
  <c r="DX382" i="15" s="1"/>
  <c r="DW444" i="15"/>
  <c r="DX444" i="15" s="1"/>
  <c r="DW505" i="15"/>
  <c r="DX505" i="15" s="1"/>
  <c r="DW566" i="15"/>
  <c r="DX566" i="15" s="1"/>
  <c r="DW627" i="15"/>
  <c r="DX627" i="15" s="1"/>
  <c r="DW750" i="15"/>
  <c r="DX750" i="15" s="1"/>
  <c r="DW788" i="15"/>
  <c r="DX788" i="15" s="1"/>
  <c r="DW819" i="15"/>
  <c r="DX819" i="15" s="1"/>
  <c r="DW842" i="15"/>
  <c r="DX842" i="15" s="1"/>
  <c r="DW858" i="15"/>
  <c r="DX858" i="15" s="1"/>
  <c r="DW335" i="15"/>
  <c r="DX335" i="15" s="1"/>
  <c r="DW459" i="15"/>
  <c r="DX459" i="15" s="1"/>
  <c r="DW581" i="15"/>
  <c r="DX581" i="15" s="1"/>
  <c r="DW763" i="15"/>
  <c r="DX763" i="15" s="1"/>
  <c r="DZ8" i="15"/>
  <c r="EA8" i="15" s="1"/>
  <c r="DZ12" i="15"/>
  <c r="EA12" i="15" s="1"/>
  <c r="DZ16" i="15"/>
  <c r="EA16" i="15" s="1"/>
  <c r="DZ20" i="15"/>
  <c r="EA20" i="15" s="1"/>
  <c r="DZ24" i="15"/>
  <c r="EA24" i="15" s="1"/>
  <c r="DZ28" i="15"/>
  <c r="EA28" i="15" s="1"/>
  <c r="DZ32" i="15"/>
  <c r="EA32" i="15" s="1"/>
  <c r="DZ37" i="15"/>
  <c r="EA37" i="15" s="1"/>
  <c r="DZ45" i="15"/>
  <c r="EA45" i="15" s="1"/>
  <c r="DZ49" i="15"/>
  <c r="EA49" i="15" s="1"/>
  <c r="DZ53" i="15"/>
  <c r="EA53" i="15" s="1"/>
  <c r="DZ57" i="15"/>
  <c r="EA57" i="15" s="1"/>
  <c r="DZ61" i="15"/>
  <c r="EA61" i="15" s="1"/>
  <c r="DZ66" i="15"/>
  <c r="EA66" i="15" s="1"/>
  <c r="DZ70" i="15"/>
  <c r="EA70" i="15" s="1"/>
  <c r="DZ74" i="15"/>
  <c r="EA74" i="15" s="1"/>
  <c r="DZ78" i="15"/>
  <c r="EA78" i="15" s="1"/>
  <c r="DZ83" i="15"/>
  <c r="EA83" i="15" s="1"/>
  <c r="DZ87" i="15"/>
  <c r="EA87" i="15" s="1"/>
  <c r="DZ91" i="15"/>
  <c r="EA91" i="15" s="1"/>
  <c r="DZ95" i="15"/>
  <c r="EA95" i="15" s="1"/>
  <c r="DZ100" i="15"/>
  <c r="EA100" i="15" s="1"/>
  <c r="DZ104" i="15"/>
  <c r="EA104" i="15" s="1"/>
  <c r="DZ108" i="15"/>
  <c r="EA108" i="15" s="1"/>
  <c r="DZ112" i="15"/>
  <c r="EA112" i="15" s="1"/>
  <c r="DZ116" i="15"/>
  <c r="EA116" i="15" s="1"/>
  <c r="DZ120" i="15"/>
  <c r="EA120" i="15" s="1"/>
  <c r="DZ125" i="15"/>
  <c r="EA125" i="15" s="1"/>
  <c r="DZ129" i="15"/>
  <c r="EA129" i="15" s="1"/>
  <c r="DZ133" i="15"/>
  <c r="EA133" i="15" s="1"/>
  <c r="DZ137" i="15"/>
  <c r="EA137" i="15" s="1"/>
  <c r="DZ141" i="15"/>
  <c r="EA141" i="15" s="1"/>
  <c r="DZ146" i="15"/>
  <c r="EA146" i="15" s="1"/>
  <c r="DZ150" i="15"/>
  <c r="EA150" i="15" s="1"/>
  <c r="DZ154" i="15"/>
  <c r="EA154" i="15" s="1"/>
  <c r="DZ158" i="15"/>
  <c r="EA158" i="15" s="1"/>
  <c r="DZ162" i="15"/>
  <c r="EA162" i="15" s="1"/>
  <c r="DZ166" i="15"/>
  <c r="EA166" i="15" s="1"/>
  <c r="DZ171" i="15"/>
  <c r="EA171" i="15" s="1"/>
  <c r="DZ175" i="15"/>
  <c r="EA175" i="15" s="1"/>
  <c r="DZ179" i="15"/>
  <c r="EA179" i="15" s="1"/>
  <c r="DZ183" i="15"/>
  <c r="EA183" i="15" s="1"/>
  <c r="DZ187" i="15"/>
  <c r="EA187" i="15" s="1"/>
  <c r="DZ192" i="15"/>
  <c r="EA192" i="15" s="1"/>
  <c r="DZ196" i="15"/>
  <c r="EA196" i="15" s="1"/>
  <c r="DZ200" i="15"/>
  <c r="EA200" i="15" s="1"/>
  <c r="DZ204" i="15"/>
  <c r="EA204" i="15" s="1"/>
  <c r="DZ208" i="15"/>
  <c r="EA208" i="15" s="1"/>
  <c r="DZ212" i="15"/>
  <c r="EA212" i="15" s="1"/>
  <c r="DZ216" i="15"/>
  <c r="EA216" i="15" s="1"/>
  <c r="DZ221" i="15"/>
  <c r="EA221" i="15" s="1"/>
  <c r="DZ225" i="15"/>
  <c r="EA225" i="15" s="1"/>
  <c r="DZ9" i="15"/>
  <c r="EA9" i="15" s="1"/>
  <c r="DZ13" i="15"/>
  <c r="EA13" i="15" s="1"/>
  <c r="DZ17" i="15"/>
  <c r="EA17" i="15" s="1"/>
  <c r="DZ21" i="15"/>
  <c r="EA21" i="15" s="1"/>
  <c r="DZ25" i="15"/>
  <c r="EA25" i="15" s="1"/>
  <c r="DZ29" i="15"/>
  <c r="EA29" i="15" s="1"/>
  <c r="DZ34" i="15"/>
  <c r="EA34" i="15" s="1"/>
  <c r="DZ38" i="15"/>
  <c r="EA38" i="15" s="1"/>
  <c r="DZ42" i="15"/>
  <c r="EA42" i="15" s="1"/>
  <c r="DZ46" i="15"/>
  <c r="EA46" i="15" s="1"/>
  <c r="DZ50" i="15"/>
  <c r="EA50" i="15" s="1"/>
  <c r="DZ54" i="15"/>
  <c r="EA54" i="15" s="1"/>
  <c r="DZ58" i="15"/>
  <c r="EA58" i="15" s="1"/>
  <c r="DZ62" i="15"/>
  <c r="EA62" i="15" s="1"/>
  <c r="DZ67" i="15"/>
  <c r="EA67" i="15" s="1"/>
  <c r="DZ71" i="15"/>
  <c r="EA71" i="15" s="1"/>
  <c r="DZ75" i="15"/>
  <c r="EA75" i="15" s="1"/>
  <c r="DZ79" i="15"/>
  <c r="EA79" i="15" s="1"/>
  <c r="DZ84" i="15"/>
  <c r="EA84" i="15" s="1"/>
  <c r="DZ88" i="15"/>
  <c r="EA88" i="15" s="1"/>
  <c r="DZ93" i="15"/>
  <c r="EA93" i="15" s="1"/>
  <c r="DZ96" i="15"/>
  <c r="EA96" i="15" s="1"/>
  <c r="DZ101" i="15"/>
  <c r="EA101" i="15" s="1"/>
  <c r="DZ105" i="15"/>
  <c r="EA105" i="15" s="1"/>
  <c r="DZ109" i="15"/>
  <c r="EA109" i="15" s="1"/>
  <c r="DZ113" i="15"/>
  <c r="EA113" i="15" s="1"/>
  <c r="DZ117" i="15"/>
  <c r="EA117" i="15" s="1"/>
  <c r="DZ121" i="15"/>
  <c r="EA121" i="15" s="1"/>
  <c r="DZ126" i="15"/>
  <c r="EA126" i="15" s="1"/>
  <c r="DZ130" i="15"/>
  <c r="EA130" i="15" s="1"/>
  <c r="DZ134" i="15"/>
  <c r="EA134" i="15" s="1"/>
  <c r="DZ138" i="15"/>
  <c r="EA138" i="15" s="1"/>
  <c r="DZ142" i="15"/>
  <c r="EA142" i="15" s="1"/>
  <c r="DZ147" i="15"/>
  <c r="EA147" i="15" s="1"/>
  <c r="DZ151" i="15"/>
  <c r="EA151" i="15" s="1"/>
  <c r="DZ155" i="15"/>
  <c r="EA155" i="15" s="1"/>
  <c r="DZ159" i="15"/>
  <c r="EA159" i="15" s="1"/>
  <c r="DZ163" i="15"/>
  <c r="EA163" i="15" s="1"/>
  <c r="DZ168" i="15"/>
  <c r="EA168" i="15" s="1"/>
  <c r="DZ172" i="15"/>
  <c r="EA172" i="15" s="1"/>
  <c r="DZ176" i="15"/>
  <c r="EA176" i="15" s="1"/>
  <c r="DZ180" i="15"/>
  <c r="EA180" i="15" s="1"/>
  <c r="DZ184" i="15"/>
  <c r="EA184" i="15" s="1"/>
  <c r="DZ188" i="15"/>
  <c r="EA188" i="15" s="1"/>
  <c r="DZ193" i="15"/>
  <c r="EA193" i="15" s="1"/>
  <c r="DZ197" i="15"/>
  <c r="EA197" i="15" s="1"/>
  <c r="DZ201" i="15"/>
  <c r="EA201" i="15" s="1"/>
  <c r="DZ205" i="15"/>
  <c r="EA205" i="15" s="1"/>
  <c r="DZ209" i="15"/>
  <c r="EA209" i="15" s="1"/>
  <c r="DZ213" i="15"/>
  <c r="EA213" i="15" s="1"/>
  <c r="DZ217" i="15"/>
  <c r="EA217" i="15" s="1"/>
  <c r="DZ222" i="15"/>
  <c r="EA222" i="15" s="1"/>
  <c r="DZ226" i="15"/>
  <c r="EA226" i="15" s="1"/>
  <c r="DZ230" i="15"/>
  <c r="EA230" i="15" s="1"/>
  <c r="DZ235" i="15"/>
  <c r="EA235" i="15" s="1"/>
  <c r="DZ10" i="15"/>
  <c r="EA10" i="15" s="1"/>
  <c r="DZ14" i="15"/>
  <c r="EA14" i="15" s="1"/>
  <c r="DZ18" i="15"/>
  <c r="EA18" i="15" s="1"/>
  <c r="DZ22" i="15"/>
  <c r="EA22" i="15" s="1"/>
  <c r="DZ26" i="15"/>
  <c r="EA26" i="15" s="1"/>
  <c r="DZ30" i="15"/>
  <c r="EA30" i="15" s="1"/>
  <c r="DZ35" i="15"/>
  <c r="EA35" i="15" s="1"/>
  <c r="DZ39" i="15"/>
  <c r="EA39" i="15" s="1"/>
  <c r="DZ43" i="15"/>
  <c r="EA43" i="15" s="1"/>
  <c r="DZ47" i="15"/>
  <c r="EA47" i="15" s="1"/>
  <c r="DZ51" i="15"/>
  <c r="EA51" i="15" s="1"/>
  <c r="DZ55" i="15"/>
  <c r="EA55" i="15" s="1"/>
  <c r="DZ59" i="15"/>
  <c r="EA59" i="15" s="1"/>
  <c r="DZ63" i="15"/>
  <c r="EA63" i="15" s="1"/>
  <c r="DZ68" i="15"/>
  <c r="EA68" i="15" s="1"/>
  <c r="DZ72" i="15"/>
  <c r="EA72" i="15" s="1"/>
  <c r="DZ76" i="15"/>
  <c r="EA76" i="15" s="1"/>
  <c r="DZ80" i="15"/>
  <c r="EA80" i="15" s="1"/>
  <c r="DZ85" i="15"/>
  <c r="EA85" i="15" s="1"/>
  <c r="DZ89" i="15"/>
  <c r="EA89" i="15" s="1"/>
  <c r="DZ92" i="15"/>
  <c r="EA92" i="15" s="1"/>
  <c r="DZ98" i="15"/>
  <c r="EA98" i="15" s="1"/>
  <c r="DZ102" i="15"/>
  <c r="EA102" i="15" s="1"/>
  <c r="DZ106" i="15"/>
  <c r="EA106" i="15" s="1"/>
  <c r="DZ110" i="15"/>
  <c r="EA110" i="15" s="1"/>
  <c r="DZ114" i="15"/>
  <c r="EA114" i="15" s="1"/>
  <c r="DZ118" i="15"/>
  <c r="EA118" i="15" s="1"/>
  <c r="DZ122" i="15"/>
  <c r="EA122" i="15" s="1"/>
  <c r="DZ127" i="15"/>
  <c r="EA127" i="15" s="1"/>
  <c r="DZ131" i="15"/>
  <c r="EA131" i="15" s="1"/>
  <c r="DZ135" i="15"/>
  <c r="EA135" i="15" s="1"/>
  <c r="DZ139" i="15"/>
  <c r="EA139" i="15" s="1"/>
  <c r="DZ144" i="15"/>
  <c r="EA144" i="15" s="1"/>
  <c r="DZ148" i="15"/>
  <c r="EA148" i="15" s="1"/>
  <c r="DZ152" i="15"/>
  <c r="EA152" i="15" s="1"/>
  <c r="DZ156" i="15"/>
  <c r="EA156" i="15" s="1"/>
  <c r="DZ160" i="15"/>
  <c r="EA160" i="15" s="1"/>
  <c r="DZ164" i="15"/>
  <c r="EA164" i="15" s="1"/>
  <c r="DZ169" i="15"/>
  <c r="EA169" i="15" s="1"/>
  <c r="DZ173" i="15"/>
  <c r="EA173" i="15" s="1"/>
  <c r="DZ177" i="15"/>
  <c r="EA177" i="15" s="1"/>
  <c r="DZ181" i="15"/>
  <c r="EA181" i="15" s="1"/>
  <c r="DZ185" i="15"/>
  <c r="EA185" i="15" s="1"/>
  <c r="DZ190" i="15"/>
  <c r="EA190" i="15" s="1"/>
  <c r="DZ194" i="15"/>
  <c r="EA194" i="15" s="1"/>
  <c r="DZ198" i="15"/>
  <c r="EA198" i="15" s="1"/>
  <c r="DZ202" i="15"/>
  <c r="EA202" i="15" s="1"/>
  <c r="DZ206" i="15"/>
  <c r="EA206" i="15" s="1"/>
  <c r="DZ210" i="15"/>
  <c r="EA210" i="15" s="1"/>
  <c r="DZ214" i="15"/>
  <c r="EA214" i="15" s="1"/>
  <c r="DZ219" i="15"/>
  <c r="EA219" i="15" s="1"/>
  <c r="DZ223" i="15"/>
  <c r="EA223" i="15" s="1"/>
  <c r="DZ227" i="15"/>
  <c r="EA227" i="15" s="1"/>
  <c r="DZ232" i="15"/>
  <c r="EA232" i="15" s="1"/>
  <c r="DZ236" i="15"/>
  <c r="EA236" i="15" s="1"/>
  <c r="DZ11" i="15"/>
  <c r="EA11" i="15" s="1"/>
  <c r="DZ27" i="15"/>
  <c r="EA27" i="15" s="1"/>
  <c r="DZ44" i="15"/>
  <c r="EA44" i="15" s="1"/>
  <c r="DZ60" i="15"/>
  <c r="EA60" i="15" s="1"/>
  <c r="DZ77" i="15"/>
  <c r="EA77" i="15" s="1"/>
  <c r="DZ94" i="15"/>
  <c r="EA94" i="15" s="1"/>
  <c r="DZ111" i="15"/>
  <c r="EA111" i="15" s="1"/>
  <c r="DZ128" i="15"/>
  <c r="EA128" i="15" s="1"/>
  <c r="DZ145" i="15"/>
  <c r="EA145" i="15" s="1"/>
  <c r="DZ161" i="15"/>
  <c r="EA161" i="15" s="1"/>
  <c r="DZ178" i="15"/>
  <c r="EA178" i="15" s="1"/>
  <c r="DZ195" i="15"/>
  <c r="EA195" i="15" s="1"/>
  <c r="DZ211" i="15"/>
  <c r="EA211" i="15" s="1"/>
  <c r="DZ228" i="15"/>
  <c r="EA228" i="15" s="1"/>
  <c r="DZ237" i="15"/>
  <c r="EA237" i="15" s="1"/>
  <c r="DZ241" i="15"/>
  <c r="EA241" i="15" s="1"/>
  <c r="DZ245" i="15"/>
  <c r="EA245" i="15" s="1"/>
  <c r="DZ249" i="15"/>
  <c r="EA249" i="15" s="1"/>
  <c r="DZ254" i="15"/>
  <c r="EA254" i="15" s="1"/>
  <c r="DZ258" i="15"/>
  <c r="EA258" i="15" s="1"/>
  <c r="DZ262" i="15"/>
  <c r="EA262" i="15" s="1"/>
  <c r="DZ266" i="15"/>
  <c r="EA266" i="15" s="1"/>
  <c r="DZ271" i="15"/>
  <c r="EA271" i="15" s="1"/>
  <c r="DZ274" i="15"/>
  <c r="EA274" i="15" s="1"/>
  <c r="DZ279" i="15"/>
  <c r="EA279" i="15" s="1"/>
  <c r="DZ283" i="15"/>
  <c r="EA283" i="15" s="1"/>
  <c r="DZ287" i="15"/>
  <c r="EA287" i="15" s="1"/>
  <c r="DZ291" i="15"/>
  <c r="EA291" i="15" s="1"/>
  <c r="DZ295" i="15"/>
  <c r="EA295" i="15" s="1"/>
  <c r="DZ300" i="15"/>
  <c r="EA300" i="15" s="1"/>
  <c r="DZ304" i="15"/>
  <c r="EA304" i="15" s="1"/>
  <c r="DZ308" i="15"/>
  <c r="EA308" i="15" s="1"/>
  <c r="DZ312" i="15"/>
  <c r="EA312" i="15" s="1"/>
  <c r="DZ316" i="15"/>
  <c r="EA316" i="15" s="1"/>
  <c r="DZ320" i="15"/>
  <c r="EA320" i="15" s="1"/>
  <c r="DZ325" i="15"/>
  <c r="EA325" i="15" s="1"/>
  <c r="DZ329" i="15"/>
  <c r="EA329" i="15" s="1"/>
  <c r="DZ333" i="15"/>
  <c r="EA333" i="15" s="1"/>
  <c r="DZ337" i="15"/>
  <c r="EA337" i="15" s="1"/>
  <c r="DZ341" i="15"/>
  <c r="EA341" i="15" s="1"/>
  <c r="DZ345" i="15"/>
  <c r="EA345" i="15" s="1"/>
  <c r="DZ349" i="15"/>
  <c r="EA349" i="15" s="1"/>
  <c r="DZ353" i="15"/>
  <c r="EA353" i="15" s="1"/>
  <c r="DZ357" i="15"/>
  <c r="EA357" i="15" s="1"/>
  <c r="DZ361" i="15"/>
  <c r="EA361" i="15" s="1"/>
  <c r="DZ365" i="15"/>
  <c r="EA365" i="15" s="1"/>
  <c r="DZ369" i="15"/>
  <c r="EA369" i="15" s="1"/>
  <c r="DZ374" i="15"/>
  <c r="EA374" i="15" s="1"/>
  <c r="DZ378" i="15"/>
  <c r="EA378" i="15" s="1"/>
  <c r="DZ382" i="15"/>
  <c r="EA382" i="15" s="1"/>
  <c r="DZ386" i="15"/>
  <c r="EA386" i="15" s="1"/>
  <c r="DZ390" i="15"/>
  <c r="EA390" i="15" s="1"/>
  <c r="DZ394" i="15"/>
  <c r="EA394" i="15" s="1"/>
  <c r="DZ398" i="15"/>
  <c r="EA398" i="15" s="1"/>
  <c r="DZ402" i="15"/>
  <c r="EA402" i="15" s="1"/>
  <c r="DZ407" i="15"/>
  <c r="EA407" i="15" s="1"/>
  <c r="DZ411" i="15"/>
  <c r="EA411" i="15" s="1"/>
  <c r="DZ415" i="15"/>
  <c r="EA415" i="15" s="1"/>
  <c r="DZ419" i="15"/>
  <c r="EA419" i="15" s="1"/>
  <c r="DZ423" i="15"/>
  <c r="EA423" i="15" s="1"/>
  <c r="DZ427" i="15"/>
  <c r="EA427" i="15" s="1"/>
  <c r="DZ432" i="15"/>
  <c r="EA432" i="15" s="1"/>
  <c r="DZ436" i="15"/>
  <c r="EA436" i="15" s="1"/>
  <c r="DZ440" i="15"/>
  <c r="EA440" i="15" s="1"/>
  <c r="DZ444" i="15"/>
  <c r="EA444" i="15" s="1"/>
  <c r="DZ448" i="15"/>
  <c r="EA448" i="15" s="1"/>
  <c r="DZ452" i="15"/>
  <c r="EA452" i="15" s="1"/>
  <c r="DZ457" i="15"/>
  <c r="EA457" i="15" s="1"/>
  <c r="DZ461" i="15"/>
  <c r="EA461" i="15" s="1"/>
  <c r="DZ465" i="15"/>
  <c r="EA465" i="15" s="1"/>
  <c r="DZ469" i="15"/>
  <c r="EA469" i="15" s="1"/>
  <c r="DZ474" i="15"/>
  <c r="EA474" i="15" s="1"/>
  <c r="DZ478" i="15"/>
  <c r="EA478" i="15" s="1"/>
  <c r="DZ482" i="15"/>
  <c r="EA482" i="15" s="1"/>
  <c r="DZ486" i="15"/>
  <c r="EA486" i="15" s="1"/>
  <c r="DZ491" i="15"/>
  <c r="EA491" i="15" s="1"/>
  <c r="DZ495" i="15"/>
  <c r="EA495" i="15" s="1"/>
  <c r="DZ499" i="15"/>
  <c r="EA499" i="15" s="1"/>
  <c r="DZ503" i="15"/>
  <c r="EA503" i="15" s="1"/>
  <c r="DZ507" i="15"/>
  <c r="EA507" i="15" s="1"/>
  <c r="DZ511" i="15"/>
  <c r="EA511" i="15" s="1"/>
  <c r="DZ516" i="15"/>
  <c r="EA516" i="15" s="1"/>
  <c r="DZ520" i="15"/>
  <c r="EA520" i="15" s="1"/>
  <c r="DZ524" i="15"/>
  <c r="EA524" i="15" s="1"/>
  <c r="DZ529" i="15"/>
  <c r="EA529" i="15" s="1"/>
  <c r="DZ533" i="15"/>
  <c r="EA533" i="15" s="1"/>
  <c r="DZ537" i="15"/>
  <c r="EA537" i="15" s="1"/>
  <c r="DZ541" i="15"/>
  <c r="EA541" i="15" s="1"/>
  <c r="DZ545" i="15"/>
  <c r="EA545" i="15" s="1"/>
  <c r="DZ550" i="15"/>
  <c r="EA550" i="15" s="1"/>
  <c r="DZ554" i="15"/>
  <c r="EA554" i="15" s="1"/>
  <c r="DZ558" i="15"/>
  <c r="EA558" i="15" s="1"/>
  <c r="DZ562" i="15"/>
  <c r="EA562" i="15" s="1"/>
  <c r="DZ566" i="15"/>
  <c r="EA566" i="15" s="1"/>
  <c r="DZ570" i="15"/>
  <c r="EA570" i="15" s="1"/>
  <c r="DZ572" i="15"/>
  <c r="EA572" i="15" s="1"/>
  <c r="DZ579" i="15"/>
  <c r="EA579" i="15" s="1"/>
  <c r="DZ583" i="15"/>
  <c r="EA583" i="15" s="1"/>
  <c r="DZ587" i="15"/>
  <c r="EA587" i="15" s="1"/>
  <c r="DZ591" i="15"/>
  <c r="EA591" i="15" s="1"/>
  <c r="DZ595" i="15"/>
  <c r="EA595" i="15" s="1"/>
  <c r="DZ599" i="15"/>
  <c r="EA599" i="15" s="1"/>
  <c r="DZ603" i="15"/>
  <c r="EA603" i="15" s="1"/>
  <c r="DZ607" i="15"/>
  <c r="EA607" i="15" s="1"/>
  <c r="DZ612" i="15"/>
  <c r="EA612" i="15" s="1"/>
  <c r="DZ616" i="15"/>
  <c r="EA616" i="15" s="1"/>
  <c r="DZ621" i="15"/>
  <c r="EA621" i="15" s="1"/>
  <c r="DZ625" i="15"/>
  <c r="EA625" i="15" s="1"/>
  <c r="DZ629" i="15"/>
  <c r="EA629" i="15" s="1"/>
  <c r="DZ633" i="15"/>
  <c r="EA633" i="15" s="1"/>
  <c r="DZ637" i="15"/>
  <c r="EA637" i="15" s="1"/>
  <c r="DZ642" i="15"/>
  <c r="EA642" i="15" s="1"/>
  <c r="DZ646" i="15"/>
  <c r="EA646" i="15" s="1"/>
  <c r="DZ650" i="15"/>
  <c r="EA650" i="15" s="1"/>
  <c r="DZ654" i="15"/>
  <c r="EA654" i="15" s="1"/>
  <c r="DZ658" i="15"/>
  <c r="EA658" i="15" s="1"/>
  <c r="DZ662" i="15"/>
  <c r="EA662" i="15" s="1"/>
  <c r="DZ666" i="15"/>
  <c r="EA666" i="15" s="1"/>
  <c r="DZ671" i="15"/>
  <c r="EA671" i="15" s="1"/>
  <c r="DZ675" i="15"/>
  <c r="EA675" i="15" s="1"/>
  <c r="DZ679" i="15"/>
  <c r="EA679" i="15" s="1"/>
  <c r="DZ683" i="15"/>
  <c r="EA683" i="15" s="1"/>
  <c r="DZ688" i="15"/>
  <c r="EA688" i="15" s="1"/>
  <c r="DZ692" i="15"/>
  <c r="EA692" i="15" s="1"/>
  <c r="DZ696" i="15"/>
  <c r="EA696" i="15" s="1"/>
  <c r="DZ700" i="15"/>
  <c r="EA700" i="15" s="1"/>
  <c r="DZ704" i="15"/>
  <c r="EA704" i="15" s="1"/>
  <c r="DZ708" i="15"/>
  <c r="EA708" i="15" s="1"/>
  <c r="DZ713" i="15"/>
  <c r="EA713" i="15" s="1"/>
  <c r="DZ717" i="15"/>
  <c r="EA717" i="15" s="1"/>
  <c r="DZ721" i="15"/>
  <c r="EA721" i="15" s="1"/>
  <c r="DZ725" i="15"/>
  <c r="EA725" i="15" s="1"/>
  <c r="DZ729" i="15"/>
  <c r="EA729" i="15" s="1"/>
  <c r="DZ734" i="15"/>
  <c r="EA734" i="15" s="1"/>
  <c r="DZ738" i="15"/>
  <c r="EA738" i="15" s="1"/>
  <c r="DZ742" i="15"/>
  <c r="EA742" i="15" s="1"/>
  <c r="DZ746" i="15"/>
  <c r="EA746" i="15" s="1"/>
  <c r="DZ750" i="15"/>
  <c r="EA750" i="15" s="1"/>
  <c r="DZ755" i="15"/>
  <c r="EA755" i="15" s="1"/>
  <c r="DZ774" i="15"/>
  <c r="EA774" i="15" s="1"/>
  <c r="DZ761" i="15"/>
  <c r="EA761" i="15" s="1"/>
  <c r="DZ765" i="15"/>
  <c r="EA765" i="15" s="1"/>
  <c r="DZ15" i="15"/>
  <c r="EA15" i="15" s="1"/>
  <c r="DZ31" i="15"/>
  <c r="EA31" i="15" s="1"/>
  <c r="DZ48" i="15"/>
  <c r="EA48" i="15" s="1"/>
  <c r="DZ65" i="15"/>
  <c r="EA65" i="15" s="1"/>
  <c r="DZ81" i="15"/>
  <c r="EA81" i="15" s="1"/>
  <c r="DZ99" i="15"/>
  <c r="EA99" i="15" s="1"/>
  <c r="DZ115" i="15"/>
  <c r="EA115" i="15" s="1"/>
  <c r="DZ132" i="15"/>
  <c r="EA132" i="15" s="1"/>
  <c r="DZ149" i="15"/>
  <c r="EA149" i="15" s="1"/>
  <c r="DZ165" i="15"/>
  <c r="EA165" i="15" s="1"/>
  <c r="DZ182" i="15"/>
  <c r="EA182" i="15" s="1"/>
  <c r="DZ199" i="15"/>
  <c r="EA199" i="15" s="1"/>
  <c r="DZ215" i="15"/>
  <c r="EA215" i="15" s="1"/>
  <c r="DZ229" i="15"/>
  <c r="EA229" i="15" s="1"/>
  <c r="DZ238" i="15"/>
  <c r="EA238" i="15" s="1"/>
  <c r="DZ242" i="15"/>
  <c r="EA242" i="15" s="1"/>
  <c r="DZ246" i="15"/>
  <c r="EA246" i="15" s="1"/>
  <c r="DZ251" i="15"/>
  <c r="EA251" i="15" s="1"/>
  <c r="DZ255" i="15"/>
  <c r="EA255" i="15" s="1"/>
  <c r="DZ259" i="15"/>
  <c r="EA259" i="15" s="1"/>
  <c r="DZ263" i="15"/>
  <c r="EA263" i="15" s="1"/>
  <c r="DZ267" i="15"/>
  <c r="EA267" i="15" s="1"/>
  <c r="DZ272" i="15"/>
  <c r="EA272" i="15" s="1"/>
  <c r="DZ276" i="15"/>
  <c r="EA276" i="15" s="1"/>
  <c r="DZ280" i="15"/>
  <c r="EA280" i="15" s="1"/>
  <c r="DZ284" i="15"/>
  <c r="EA284" i="15" s="1"/>
  <c r="DZ288" i="15"/>
  <c r="EA288" i="15" s="1"/>
  <c r="DZ292" i="15"/>
  <c r="EA292" i="15" s="1"/>
  <c r="DZ296" i="15"/>
  <c r="EA296" i="15" s="1"/>
  <c r="DZ301" i="15"/>
  <c r="EA301" i="15" s="1"/>
  <c r="DZ305" i="15"/>
  <c r="EA305" i="15" s="1"/>
  <c r="DZ309" i="15"/>
  <c r="EA309" i="15" s="1"/>
  <c r="DZ313" i="15"/>
  <c r="EA313" i="15" s="1"/>
  <c r="DZ317" i="15"/>
  <c r="EA317" i="15" s="1"/>
  <c r="DZ321" i="15"/>
  <c r="EA321" i="15" s="1"/>
  <c r="DZ326" i="15"/>
  <c r="EA326" i="15" s="1"/>
  <c r="DZ330" i="15"/>
  <c r="EA330" i="15" s="1"/>
  <c r="DZ334" i="15"/>
  <c r="EA334" i="15" s="1"/>
  <c r="DZ338" i="15"/>
  <c r="EA338" i="15" s="1"/>
  <c r="DZ342" i="15"/>
  <c r="EA342" i="15" s="1"/>
  <c r="DZ346" i="15"/>
  <c r="EA346" i="15" s="1"/>
  <c r="DZ350" i="15"/>
  <c r="EA350" i="15" s="1"/>
  <c r="DZ354" i="15"/>
  <c r="EA354" i="15" s="1"/>
  <c r="DZ358" i="15"/>
  <c r="EA358" i="15" s="1"/>
  <c r="DZ362" i="15"/>
  <c r="EA362" i="15" s="1"/>
  <c r="DZ366" i="15"/>
  <c r="EA366" i="15" s="1"/>
  <c r="DZ371" i="15"/>
  <c r="EA371" i="15" s="1"/>
  <c r="DZ375" i="15"/>
  <c r="EA375" i="15" s="1"/>
  <c r="DZ379" i="15"/>
  <c r="EA379" i="15" s="1"/>
  <c r="DZ383" i="15"/>
  <c r="EA383" i="15" s="1"/>
  <c r="DZ387" i="15"/>
  <c r="EA387" i="15" s="1"/>
  <c r="DZ391" i="15"/>
  <c r="EA391" i="15" s="1"/>
  <c r="DZ395" i="15"/>
  <c r="EA395" i="15" s="1"/>
  <c r="DZ399" i="15"/>
  <c r="EA399" i="15" s="1"/>
  <c r="DZ403" i="15"/>
  <c r="EA403" i="15" s="1"/>
  <c r="DZ408" i="15"/>
  <c r="EA408" i="15" s="1"/>
  <c r="DZ412" i="15"/>
  <c r="EA412" i="15" s="1"/>
  <c r="DZ416" i="15"/>
  <c r="EA416" i="15" s="1"/>
  <c r="DZ420" i="15"/>
  <c r="EA420" i="15" s="1"/>
  <c r="DZ424" i="15"/>
  <c r="EA424" i="15" s="1"/>
  <c r="DZ428" i="15"/>
  <c r="EA428" i="15" s="1"/>
  <c r="DZ433" i="15"/>
  <c r="EA433" i="15" s="1"/>
  <c r="DZ437" i="15"/>
  <c r="EA437" i="15" s="1"/>
  <c r="DZ441" i="15"/>
  <c r="EA441" i="15" s="1"/>
  <c r="DZ445" i="15"/>
  <c r="EA445" i="15" s="1"/>
  <c r="DZ449" i="15"/>
  <c r="EA449" i="15" s="1"/>
  <c r="DZ453" i="15"/>
  <c r="EA453" i="15" s="1"/>
  <c r="DZ458" i="15"/>
  <c r="EA458" i="15" s="1"/>
  <c r="DZ462" i="15"/>
  <c r="EA462" i="15" s="1"/>
  <c r="DZ466" i="15"/>
  <c r="EA466" i="15" s="1"/>
  <c r="DZ471" i="15"/>
  <c r="EA471" i="15" s="1"/>
  <c r="DZ475" i="15"/>
  <c r="EA475" i="15" s="1"/>
  <c r="DZ479" i="15"/>
  <c r="EA479" i="15" s="1"/>
  <c r="DZ483" i="15"/>
  <c r="EA483" i="15" s="1"/>
  <c r="DZ487" i="15"/>
  <c r="EA487" i="15" s="1"/>
  <c r="DZ492" i="15"/>
  <c r="EA492" i="15" s="1"/>
  <c r="DZ496" i="15"/>
  <c r="EA496" i="15" s="1"/>
  <c r="DZ500" i="15"/>
  <c r="EA500" i="15" s="1"/>
  <c r="DZ504" i="15"/>
  <c r="EA504" i="15" s="1"/>
  <c r="DZ508" i="15"/>
  <c r="EA508" i="15" s="1"/>
  <c r="DZ512" i="15"/>
  <c r="EA512" i="15" s="1"/>
  <c r="DZ517" i="15"/>
  <c r="EA517" i="15" s="1"/>
  <c r="DZ521" i="15"/>
  <c r="EA521" i="15" s="1"/>
  <c r="DZ525" i="15"/>
  <c r="EA525" i="15" s="1"/>
  <c r="DZ530" i="15"/>
  <c r="EA530" i="15" s="1"/>
  <c r="DZ534" i="15"/>
  <c r="EA534" i="15" s="1"/>
  <c r="DZ538" i="15"/>
  <c r="EA538" i="15" s="1"/>
  <c r="DZ542" i="15"/>
  <c r="EA542" i="15" s="1"/>
  <c r="DZ546" i="15"/>
  <c r="EA546" i="15" s="1"/>
  <c r="DZ551" i="15"/>
  <c r="EA551" i="15" s="1"/>
  <c r="DZ555" i="15"/>
  <c r="EA555" i="15" s="1"/>
  <c r="DZ559" i="15"/>
  <c r="EA559" i="15" s="1"/>
  <c r="DZ563" i="15"/>
  <c r="EA563" i="15" s="1"/>
  <c r="DZ567" i="15"/>
  <c r="EA567" i="15" s="1"/>
  <c r="DZ571" i="15"/>
  <c r="EA571" i="15" s="1"/>
  <c r="DZ575" i="15"/>
  <c r="EA575" i="15" s="1"/>
  <c r="DZ580" i="15"/>
  <c r="EA580" i="15" s="1"/>
  <c r="DZ584" i="15"/>
  <c r="EA584" i="15" s="1"/>
  <c r="DZ588" i="15"/>
  <c r="EA588" i="15" s="1"/>
  <c r="DZ592" i="15"/>
  <c r="EA592" i="15" s="1"/>
  <c r="DZ596" i="15"/>
  <c r="EA596" i="15" s="1"/>
  <c r="DZ600" i="15"/>
  <c r="EA600" i="15" s="1"/>
  <c r="DZ604" i="15"/>
  <c r="EA604" i="15" s="1"/>
  <c r="DZ608" i="15"/>
  <c r="EA608" i="15" s="1"/>
  <c r="DZ613" i="15"/>
  <c r="EA613" i="15" s="1"/>
  <c r="DZ617" i="15"/>
  <c r="EA617" i="15" s="1"/>
  <c r="DZ622" i="15"/>
  <c r="EA622" i="15" s="1"/>
  <c r="DZ626" i="15"/>
  <c r="EA626" i="15" s="1"/>
  <c r="DZ630" i="15"/>
  <c r="EA630" i="15" s="1"/>
  <c r="DZ634" i="15"/>
  <c r="EA634" i="15" s="1"/>
  <c r="DZ638" i="15"/>
  <c r="EA638" i="15" s="1"/>
  <c r="DZ643" i="15"/>
  <c r="EA643" i="15" s="1"/>
  <c r="DZ647" i="15"/>
  <c r="EA647" i="15" s="1"/>
  <c r="DZ651" i="15"/>
  <c r="EA651" i="15" s="1"/>
  <c r="DZ655" i="15"/>
  <c r="EA655" i="15" s="1"/>
  <c r="DZ659" i="15"/>
  <c r="EA659" i="15" s="1"/>
  <c r="DZ663" i="15"/>
  <c r="EA663" i="15" s="1"/>
  <c r="DZ668" i="15"/>
  <c r="EA668" i="15" s="1"/>
  <c r="DZ672" i="15"/>
  <c r="EA672" i="15" s="1"/>
  <c r="DZ676" i="15"/>
  <c r="EA676" i="15" s="1"/>
  <c r="DZ680" i="15"/>
  <c r="EA680" i="15" s="1"/>
  <c r="DZ684" i="15"/>
  <c r="EA684" i="15" s="1"/>
  <c r="DZ689" i="15"/>
  <c r="EA689" i="15" s="1"/>
  <c r="DZ693" i="15"/>
  <c r="EA693" i="15" s="1"/>
  <c r="DZ697" i="15"/>
  <c r="EA697" i="15" s="1"/>
  <c r="DZ701" i="15"/>
  <c r="EA701" i="15" s="1"/>
  <c r="DZ705" i="15"/>
  <c r="EA705" i="15" s="1"/>
  <c r="DZ709" i="15"/>
  <c r="EA709" i="15" s="1"/>
  <c r="DZ714" i="15"/>
  <c r="EA714" i="15" s="1"/>
  <c r="DZ718" i="15"/>
  <c r="EA718" i="15" s="1"/>
  <c r="DZ722" i="15"/>
  <c r="EA722" i="15" s="1"/>
  <c r="DZ726" i="15"/>
  <c r="EA726" i="15" s="1"/>
  <c r="DZ730" i="15"/>
  <c r="EA730" i="15" s="1"/>
  <c r="DZ735" i="15"/>
  <c r="EA735" i="15" s="1"/>
  <c r="DZ739" i="15"/>
  <c r="EA739" i="15" s="1"/>
  <c r="DZ743" i="15"/>
  <c r="EA743" i="15" s="1"/>
  <c r="DZ747" i="15"/>
  <c r="EA747" i="15" s="1"/>
  <c r="DZ751" i="15"/>
  <c r="EA751" i="15" s="1"/>
  <c r="DZ756" i="15"/>
  <c r="EA756" i="15" s="1"/>
  <c r="DZ758" i="15"/>
  <c r="EA758" i="15" s="1"/>
  <c r="DZ762" i="15"/>
  <c r="EA762" i="15" s="1"/>
  <c r="DZ766" i="15"/>
  <c r="EA766" i="15" s="1"/>
  <c r="DZ19" i="15"/>
  <c r="EA19" i="15" s="1"/>
  <c r="DZ36" i="15"/>
  <c r="EA36" i="15" s="1"/>
  <c r="DZ52" i="15"/>
  <c r="EA52" i="15" s="1"/>
  <c r="DZ69" i="15"/>
  <c r="EA69" i="15" s="1"/>
  <c r="DZ86" i="15"/>
  <c r="EA86" i="15" s="1"/>
  <c r="DZ103" i="15"/>
  <c r="EA103" i="15" s="1"/>
  <c r="DZ119" i="15"/>
  <c r="EA119" i="15" s="1"/>
  <c r="DZ136" i="15"/>
  <c r="EA136" i="15" s="1"/>
  <c r="DZ153" i="15"/>
  <c r="EA153" i="15" s="1"/>
  <c r="DZ170" i="15"/>
  <c r="EA170" i="15" s="1"/>
  <c r="DZ186" i="15"/>
  <c r="EA186" i="15" s="1"/>
  <c r="DZ203" i="15"/>
  <c r="EA203" i="15" s="1"/>
  <c r="DZ220" i="15"/>
  <c r="EA220" i="15" s="1"/>
  <c r="DZ233" i="15"/>
  <c r="EA233" i="15" s="1"/>
  <c r="DZ239" i="15"/>
  <c r="EA239" i="15" s="1"/>
  <c r="DZ243" i="15"/>
  <c r="EA243" i="15" s="1"/>
  <c r="DZ247" i="15"/>
  <c r="EA247" i="15" s="1"/>
  <c r="DZ252" i="15"/>
  <c r="EA252" i="15" s="1"/>
  <c r="DZ256" i="15"/>
  <c r="EA256" i="15" s="1"/>
  <c r="DZ260" i="15"/>
  <c r="EA260" i="15" s="1"/>
  <c r="DZ264" i="15"/>
  <c r="EA264" i="15" s="1"/>
  <c r="DZ268" i="15"/>
  <c r="EA268" i="15" s="1"/>
  <c r="DZ273" i="15"/>
  <c r="EA273" i="15" s="1"/>
  <c r="DZ277" i="15"/>
  <c r="EA277" i="15" s="1"/>
  <c r="DZ281" i="15"/>
  <c r="EA281" i="15" s="1"/>
  <c r="DZ285" i="15"/>
  <c r="EA285" i="15" s="1"/>
  <c r="DZ289" i="15"/>
  <c r="EA289" i="15" s="1"/>
  <c r="DZ293" i="15"/>
  <c r="EA293" i="15" s="1"/>
  <c r="DZ297" i="15"/>
  <c r="EA297" i="15" s="1"/>
  <c r="DZ302" i="15"/>
  <c r="EA302" i="15" s="1"/>
  <c r="DZ306" i="15"/>
  <c r="EA306" i="15" s="1"/>
  <c r="DZ310" i="15"/>
  <c r="EA310" i="15" s="1"/>
  <c r="DZ314" i="15"/>
  <c r="EA314" i="15" s="1"/>
  <c r="DZ318" i="15"/>
  <c r="EA318" i="15" s="1"/>
  <c r="DZ322" i="15"/>
  <c r="EA322" i="15" s="1"/>
  <c r="DZ327" i="15"/>
  <c r="EA327" i="15" s="1"/>
  <c r="DZ331" i="15"/>
  <c r="EA331" i="15" s="1"/>
  <c r="DZ335" i="15"/>
  <c r="EA335" i="15" s="1"/>
  <c r="DZ339" i="15"/>
  <c r="EA339" i="15" s="1"/>
  <c r="DZ343" i="15"/>
  <c r="EA343" i="15" s="1"/>
  <c r="DZ347" i="15"/>
  <c r="EA347" i="15" s="1"/>
  <c r="DZ351" i="15"/>
  <c r="EA351" i="15" s="1"/>
  <c r="DZ355" i="15"/>
  <c r="EA355" i="15" s="1"/>
  <c r="DZ359" i="15"/>
  <c r="EA359" i="15" s="1"/>
  <c r="DZ363" i="15"/>
  <c r="EA363" i="15" s="1"/>
  <c r="DZ367" i="15"/>
  <c r="EA367" i="15" s="1"/>
  <c r="DZ372" i="15"/>
  <c r="EA372" i="15" s="1"/>
  <c r="DZ376" i="15"/>
  <c r="EA376" i="15" s="1"/>
  <c r="DZ380" i="15"/>
  <c r="EA380" i="15" s="1"/>
  <c r="DZ384" i="15"/>
  <c r="EA384" i="15" s="1"/>
  <c r="DZ388" i="15"/>
  <c r="EA388" i="15" s="1"/>
  <c r="DZ392" i="15"/>
  <c r="EA392" i="15" s="1"/>
  <c r="DZ396" i="15"/>
  <c r="EA396" i="15" s="1"/>
  <c r="DZ400" i="15"/>
  <c r="EA400" i="15" s="1"/>
  <c r="DZ404" i="15"/>
  <c r="EA404" i="15" s="1"/>
  <c r="DZ409" i="15"/>
  <c r="EA409" i="15" s="1"/>
  <c r="DZ413" i="15"/>
  <c r="EA413" i="15" s="1"/>
  <c r="DZ417" i="15"/>
  <c r="EA417" i="15" s="1"/>
  <c r="DZ421" i="15"/>
  <c r="EA421" i="15" s="1"/>
  <c r="DZ425" i="15"/>
  <c r="EA425" i="15" s="1"/>
  <c r="DZ430" i="15"/>
  <c r="EA430" i="15" s="1"/>
  <c r="DZ434" i="15"/>
  <c r="EA434" i="15" s="1"/>
  <c r="DZ438" i="15"/>
  <c r="EA438" i="15" s="1"/>
  <c r="DZ442" i="15"/>
  <c r="EA442" i="15" s="1"/>
  <c r="DZ446" i="15"/>
  <c r="EA446" i="15" s="1"/>
  <c r="DZ450" i="15"/>
  <c r="EA450" i="15" s="1"/>
  <c r="DZ455" i="15"/>
  <c r="EA455" i="15" s="1"/>
  <c r="DZ459" i="15"/>
  <c r="EA459" i="15" s="1"/>
  <c r="DZ463" i="15"/>
  <c r="EA463" i="15" s="1"/>
  <c r="DZ467" i="15"/>
  <c r="EA467" i="15" s="1"/>
  <c r="DZ472" i="15"/>
  <c r="EA472" i="15" s="1"/>
  <c r="DZ476" i="15"/>
  <c r="EA476" i="15" s="1"/>
  <c r="DZ480" i="15"/>
  <c r="EA480" i="15" s="1"/>
  <c r="DZ484" i="15"/>
  <c r="EA484" i="15" s="1"/>
  <c r="DZ488" i="15"/>
  <c r="EA488" i="15" s="1"/>
  <c r="DZ493" i="15"/>
  <c r="EA493" i="15" s="1"/>
  <c r="DZ497" i="15"/>
  <c r="EA497" i="15" s="1"/>
  <c r="DZ501" i="15"/>
  <c r="EA501" i="15" s="1"/>
  <c r="DZ505" i="15"/>
  <c r="EA505" i="15" s="1"/>
  <c r="DZ509" i="15"/>
  <c r="EA509" i="15" s="1"/>
  <c r="DZ514" i="15"/>
  <c r="EA514" i="15" s="1"/>
  <c r="DZ518" i="15"/>
  <c r="EA518" i="15" s="1"/>
  <c r="DZ522" i="15"/>
  <c r="EA522" i="15" s="1"/>
  <c r="DZ526" i="15"/>
  <c r="EA526" i="15" s="1"/>
  <c r="DZ531" i="15"/>
  <c r="EA531" i="15" s="1"/>
  <c r="DZ535" i="15"/>
  <c r="EA535" i="15" s="1"/>
  <c r="DZ539" i="15"/>
  <c r="EA539" i="15" s="1"/>
  <c r="DZ543" i="15"/>
  <c r="EA543" i="15" s="1"/>
  <c r="DZ548" i="15"/>
  <c r="EA548" i="15" s="1"/>
  <c r="DZ552" i="15"/>
  <c r="EA552" i="15" s="1"/>
  <c r="DZ556" i="15"/>
  <c r="EA556" i="15" s="1"/>
  <c r="DZ560" i="15"/>
  <c r="EA560" i="15" s="1"/>
  <c r="DZ564" i="15"/>
  <c r="EA564" i="15" s="1"/>
  <c r="DZ568" i="15"/>
  <c r="EA568" i="15" s="1"/>
  <c r="DZ573" i="15"/>
  <c r="EA573" i="15" s="1"/>
  <c r="DZ577" i="15"/>
  <c r="EA577" i="15" s="1"/>
  <c r="DZ581" i="15"/>
  <c r="EA581" i="15" s="1"/>
  <c r="DZ585" i="15"/>
  <c r="EA585" i="15" s="1"/>
  <c r="DZ589" i="15"/>
  <c r="EA589" i="15" s="1"/>
  <c r="DZ593" i="15"/>
  <c r="EA593" i="15" s="1"/>
  <c r="DZ597" i="15"/>
  <c r="EA597" i="15" s="1"/>
  <c r="DZ601" i="15"/>
  <c r="EA601" i="15" s="1"/>
  <c r="DZ605" i="15"/>
  <c r="EA605" i="15" s="1"/>
  <c r="DZ609" i="15"/>
  <c r="EA609" i="15" s="1"/>
  <c r="DZ614" i="15"/>
  <c r="EA614" i="15" s="1"/>
  <c r="DZ618" i="15"/>
  <c r="EA618" i="15" s="1"/>
  <c r="DZ623" i="15"/>
  <c r="EA623" i="15" s="1"/>
  <c r="DZ627" i="15"/>
  <c r="EA627" i="15" s="1"/>
  <c r="DZ631" i="15"/>
  <c r="EA631" i="15" s="1"/>
  <c r="DZ635" i="15"/>
  <c r="EA635" i="15" s="1"/>
  <c r="DZ639" i="15"/>
  <c r="EA639" i="15" s="1"/>
  <c r="DZ644" i="15"/>
  <c r="EA644" i="15" s="1"/>
  <c r="DZ648" i="15"/>
  <c r="EA648" i="15" s="1"/>
  <c r="DZ652" i="15"/>
  <c r="EA652" i="15" s="1"/>
  <c r="DZ656" i="15"/>
  <c r="EA656" i="15" s="1"/>
  <c r="DZ660" i="15"/>
  <c r="EA660" i="15" s="1"/>
  <c r="DZ664" i="15"/>
  <c r="EA664" i="15" s="1"/>
  <c r="DZ669" i="15"/>
  <c r="EA669" i="15" s="1"/>
  <c r="DZ673" i="15"/>
  <c r="EA673" i="15" s="1"/>
  <c r="DZ677" i="15"/>
  <c r="EA677" i="15" s="1"/>
  <c r="DZ681" i="15"/>
  <c r="EA681" i="15" s="1"/>
  <c r="DZ685" i="15"/>
  <c r="EA685" i="15" s="1"/>
  <c r="DZ690" i="15"/>
  <c r="EA690" i="15" s="1"/>
  <c r="DZ694" i="15"/>
  <c r="EA694" i="15" s="1"/>
  <c r="DZ698" i="15"/>
  <c r="EA698" i="15" s="1"/>
  <c r="DZ702" i="15"/>
  <c r="EA702" i="15" s="1"/>
  <c r="DZ706" i="15"/>
  <c r="EA706" i="15" s="1"/>
  <c r="DZ710" i="15"/>
  <c r="EA710" i="15" s="1"/>
  <c r="DZ715" i="15"/>
  <c r="EA715" i="15" s="1"/>
  <c r="DZ719" i="15"/>
  <c r="EA719" i="15" s="1"/>
  <c r="DZ723" i="15"/>
  <c r="EA723" i="15" s="1"/>
  <c r="DZ727" i="15"/>
  <c r="EA727" i="15" s="1"/>
  <c r="DZ732" i="15"/>
  <c r="EA732" i="15" s="1"/>
  <c r="DZ736" i="15"/>
  <c r="EA736" i="15" s="1"/>
  <c r="DZ740" i="15"/>
  <c r="EA740" i="15" s="1"/>
  <c r="DZ744" i="15"/>
  <c r="EA744" i="15" s="1"/>
  <c r="DZ748" i="15"/>
  <c r="EA748" i="15" s="1"/>
  <c r="DZ752" i="15"/>
  <c r="EA752" i="15" s="1"/>
  <c r="DZ757" i="15"/>
  <c r="EA757" i="15" s="1"/>
  <c r="DZ759" i="15"/>
  <c r="EA759" i="15" s="1"/>
  <c r="DZ763" i="15"/>
  <c r="EA763" i="15" s="1"/>
  <c r="DZ767" i="15"/>
  <c r="EA767" i="15" s="1"/>
  <c r="DZ771" i="15"/>
  <c r="EA771" i="15" s="1"/>
  <c r="DZ778" i="15"/>
  <c r="EA778" i="15" s="1"/>
  <c r="DZ782" i="15"/>
  <c r="EA782" i="15" s="1"/>
  <c r="DZ786" i="15"/>
  <c r="EA786" i="15" s="1"/>
  <c r="DZ790" i="15"/>
  <c r="EA790" i="15" s="1"/>
  <c r="DZ794" i="15"/>
  <c r="EA794" i="15" s="1"/>
  <c r="DZ799" i="15"/>
  <c r="EA799" i="15" s="1"/>
  <c r="DZ803" i="15"/>
  <c r="EA803" i="15" s="1"/>
  <c r="DZ807" i="15"/>
  <c r="EA807" i="15" s="1"/>
  <c r="DZ811" i="15"/>
  <c r="EA811" i="15" s="1"/>
  <c r="DZ815" i="15"/>
  <c r="EA815" i="15" s="1"/>
  <c r="DZ819" i="15"/>
  <c r="EA819" i="15" s="1"/>
  <c r="DZ823" i="15"/>
  <c r="EA823" i="15" s="1"/>
  <c r="DZ828" i="15"/>
  <c r="EA828" i="15" s="1"/>
  <c r="DZ832" i="15"/>
  <c r="EA832" i="15" s="1"/>
  <c r="DZ836" i="15"/>
  <c r="EA836" i="15" s="1"/>
  <c r="DZ840" i="15"/>
  <c r="EA840" i="15" s="1"/>
  <c r="DZ844" i="15"/>
  <c r="EA844" i="15" s="1"/>
  <c r="DZ848" i="15"/>
  <c r="EA848" i="15" s="1"/>
  <c r="DZ852" i="15"/>
  <c r="EA852" i="15" s="1"/>
  <c r="DZ856" i="15"/>
  <c r="EA856" i="15" s="1"/>
  <c r="DZ860" i="15"/>
  <c r="EA860" i="15" s="1"/>
  <c r="DZ56" i="15"/>
  <c r="EA56" i="15" s="1"/>
  <c r="DZ123" i="15"/>
  <c r="EA123" i="15" s="1"/>
  <c r="DZ191" i="15"/>
  <c r="EA191" i="15" s="1"/>
  <c r="DZ240" i="15"/>
  <c r="EA240" i="15" s="1"/>
  <c r="DZ257" i="15"/>
  <c r="EA257" i="15" s="1"/>
  <c r="DZ275" i="15"/>
  <c r="EA275" i="15" s="1"/>
  <c r="DZ290" i="15"/>
  <c r="EA290" i="15" s="1"/>
  <c r="DZ307" i="15"/>
  <c r="EA307" i="15" s="1"/>
  <c r="DZ323" i="15"/>
  <c r="EA323" i="15" s="1"/>
  <c r="DZ340" i="15"/>
  <c r="EA340" i="15" s="1"/>
  <c r="DZ356" i="15"/>
  <c r="EA356" i="15" s="1"/>
  <c r="DZ373" i="15"/>
  <c r="EA373" i="15" s="1"/>
  <c r="DZ389" i="15"/>
  <c r="EA389" i="15" s="1"/>
  <c r="DZ405" i="15"/>
  <c r="EA405" i="15" s="1"/>
  <c r="DZ422" i="15"/>
  <c r="EA422" i="15" s="1"/>
  <c r="DZ439" i="15"/>
  <c r="EA439" i="15" s="1"/>
  <c r="DZ456" i="15"/>
  <c r="EA456" i="15" s="1"/>
  <c r="DZ473" i="15"/>
  <c r="EA473" i="15" s="1"/>
  <c r="DZ489" i="15"/>
  <c r="EA489" i="15" s="1"/>
  <c r="DZ506" i="15"/>
  <c r="EA506" i="15" s="1"/>
  <c r="DZ523" i="15"/>
  <c r="EA523" i="15" s="1"/>
  <c r="DZ540" i="15"/>
  <c r="EA540" i="15" s="1"/>
  <c r="DZ557" i="15"/>
  <c r="EA557" i="15" s="1"/>
  <c r="DZ574" i="15"/>
  <c r="EA574" i="15" s="1"/>
  <c r="DZ590" i="15"/>
  <c r="EA590" i="15" s="1"/>
  <c r="DZ606" i="15"/>
  <c r="EA606" i="15" s="1"/>
  <c r="DZ624" i="15"/>
  <c r="EA624" i="15" s="1"/>
  <c r="DZ641" i="15"/>
  <c r="EA641" i="15" s="1"/>
  <c r="DZ657" i="15"/>
  <c r="EA657" i="15" s="1"/>
  <c r="DZ674" i="15"/>
  <c r="EA674" i="15" s="1"/>
  <c r="DZ691" i="15"/>
  <c r="EA691" i="15" s="1"/>
  <c r="DZ707" i="15"/>
  <c r="EA707" i="15" s="1"/>
  <c r="DZ724" i="15"/>
  <c r="EA724" i="15" s="1"/>
  <c r="DZ741" i="15"/>
  <c r="EA741" i="15" s="1"/>
  <c r="DZ773" i="15"/>
  <c r="EA773" i="15" s="1"/>
  <c r="DZ769" i="15"/>
  <c r="EA769" i="15" s="1"/>
  <c r="DZ777" i="15"/>
  <c r="EA777" i="15" s="1"/>
  <c r="DZ783" i="15"/>
  <c r="EA783" i="15" s="1"/>
  <c r="DZ788" i="15"/>
  <c r="EA788" i="15" s="1"/>
  <c r="DZ793" i="15"/>
  <c r="EA793" i="15" s="1"/>
  <c r="DZ800" i="15"/>
  <c r="EA800" i="15" s="1"/>
  <c r="DZ805" i="15"/>
  <c r="EA805" i="15" s="1"/>
  <c r="DZ810" i="15"/>
  <c r="EA810" i="15" s="1"/>
  <c r="DZ816" i="15"/>
  <c r="EA816" i="15" s="1"/>
  <c r="DZ821" i="15"/>
  <c r="EA821" i="15" s="1"/>
  <c r="DZ826" i="15"/>
  <c r="EA826" i="15" s="1"/>
  <c r="DZ833" i="15"/>
  <c r="EA833" i="15" s="1"/>
  <c r="DZ838" i="15"/>
  <c r="EA838" i="15" s="1"/>
  <c r="DZ843" i="15"/>
  <c r="EA843" i="15" s="1"/>
  <c r="DZ849" i="15"/>
  <c r="EA849" i="15" s="1"/>
  <c r="DZ854" i="15"/>
  <c r="EA854" i="15" s="1"/>
  <c r="DZ859" i="15"/>
  <c r="EA859" i="15" s="1"/>
  <c r="DZ40" i="15"/>
  <c r="EA40" i="15" s="1"/>
  <c r="DZ107" i="15"/>
  <c r="EA107" i="15" s="1"/>
  <c r="DZ174" i="15"/>
  <c r="EA174" i="15" s="1"/>
  <c r="DZ234" i="15"/>
  <c r="EA234" i="15" s="1"/>
  <c r="DZ253" i="15"/>
  <c r="EA253" i="15" s="1"/>
  <c r="ED253" i="15" s="1"/>
  <c r="DZ270" i="15"/>
  <c r="EA270" i="15" s="1"/>
  <c r="DZ286" i="15"/>
  <c r="EA286" i="15" s="1"/>
  <c r="DZ303" i="15"/>
  <c r="EA303" i="15" s="1"/>
  <c r="DZ319" i="15"/>
  <c r="EA319" i="15" s="1"/>
  <c r="DZ336" i="15"/>
  <c r="EA336" i="15" s="1"/>
  <c r="DZ385" i="15"/>
  <c r="EA385" i="15" s="1"/>
  <c r="DZ401" i="15"/>
  <c r="EA401" i="15" s="1"/>
  <c r="DZ418" i="15"/>
  <c r="EA418" i="15" s="1"/>
  <c r="DZ435" i="15"/>
  <c r="EA435" i="15" s="1"/>
  <c r="DZ451" i="15"/>
  <c r="EA451" i="15" s="1"/>
  <c r="DZ468" i="15"/>
  <c r="EA468" i="15" s="1"/>
  <c r="DZ485" i="15"/>
  <c r="EA485" i="15" s="1"/>
  <c r="DZ502" i="15"/>
  <c r="EA502" i="15" s="1"/>
  <c r="DZ519" i="15"/>
  <c r="EA519" i="15" s="1"/>
  <c r="DZ553" i="15"/>
  <c r="EA553" i="15" s="1"/>
  <c r="DZ586" i="15"/>
  <c r="EA586" i="15" s="1"/>
  <c r="DZ636" i="15"/>
  <c r="EA636" i="15" s="1"/>
  <c r="DZ686" i="15"/>
  <c r="EA686" i="15" s="1"/>
  <c r="DZ754" i="15"/>
  <c r="EA754" i="15" s="1"/>
  <c r="DZ787" i="15"/>
  <c r="EA787" i="15" s="1"/>
  <c r="DZ804" i="15"/>
  <c r="EA804" i="15" s="1"/>
  <c r="DZ820" i="15"/>
  <c r="EA820" i="15" s="1"/>
  <c r="DZ837" i="15"/>
  <c r="EA837" i="15" s="1"/>
  <c r="DZ853" i="15"/>
  <c r="EA853" i="15" s="1"/>
  <c r="DZ6" i="15"/>
  <c r="EA6" i="15" s="1"/>
  <c r="DZ73" i="15"/>
  <c r="EA73" i="15" s="1"/>
  <c r="DZ140" i="15"/>
  <c r="EA140" i="15" s="1"/>
  <c r="DZ207" i="15"/>
  <c r="EA207" i="15" s="1"/>
  <c r="DZ244" i="15"/>
  <c r="EA244" i="15" s="1"/>
  <c r="DZ261" i="15"/>
  <c r="EA261" i="15" s="1"/>
  <c r="ED261" i="15" s="1"/>
  <c r="DZ278" i="15"/>
  <c r="EA278" i="15" s="1"/>
  <c r="DZ294" i="15"/>
  <c r="EA294" i="15" s="1"/>
  <c r="DZ311" i="15"/>
  <c r="EA311" i="15" s="1"/>
  <c r="DZ328" i="15"/>
  <c r="EA328" i="15" s="1"/>
  <c r="DZ344" i="15"/>
  <c r="EA344" i="15" s="1"/>
  <c r="DZ360" i="15"/>
  <c r="EA360" i="15" s="1"/>
  <c r="DZ377" i="15"/>
  <c r="EA377" i="15" s="1"/>
  <c r="DZ393" i="15"/>
  <c r="EA393" i="15" s="1"/>
  <c r="DZ410" i="15"/>
  <c r="EA410" i="15" s="1"/>
  <c r="DZ426" i="15"/>
  <c r="EA426" i="15" s="1"/>
  <c r="DZ443" i="15"/>
  <c r="EA443" i="15" s="1"/>
  <c r="DZ460" i="15"/>
  <c r="EA460" i="15" s="1"/>
  <c r="DZ477" i="15"/>
  <c r="EA477" i="15" s="1"/>
  <c r="DZ494" i="15"/>
  <c r="EA494" i="15" s="1"/>
  <c r="DZ510" i="15"/>
  <c r="EA510" i="15" s="1"/>
  <c r="DZ527" i="15"/>
  <c r="EA527" i="15" s="1"/>
  <c r="DZ544" i="15"/>
  <c r="EA544" i="15" s="1"/>
  <c r="DZ561" i="15"/>
  <c r="EA561" i="15" s="1"/>
  <c r="DZ578" i="15"/>
  <c r="EA578" i="15" s="1"/>
  <c r="DZ594" i="15"/>
  <c r="EA594" i="15" s="1"/>
  <c r="DZ611" i="15"/>
  <c r="EA611" i="15" s="1"/>
  <c r="DZ628" i="15"/>
  <c r="EA628" i="15" s="1"/>
  <c r="DZ645" i="15"/>
  <c r="EA645" i="15" s="1"/>
  <c r="DZ661" i="15"/>
  <c r="EA661" i="15" s="1"/>
  <c r="DZ678" i="15"/>
  <c r="EA678" i="15" s="1"/>
  <c r="DZ695" i="15"/>
  <c r="EA695" i="15" s="1"/>
  <c r="DZ711" i="15"/>
  <c r="EA711" i="15" s="1"/>
  <c r="DZ728" i="15"/>
  <c r="EA728" i="15" s="1"/>
  <c r="DZ745" i="15"/>
  <c r="EA745" i="15" s="1"/>
  <c r="DZ760" i="15"/>
  <c r="EA760" i="15" s="1"/>
  <c r="DZ770" i="15"/>
  <c r="EA770" i="15" s="1"/>
  <c r="DZ779" i="15"/>
  <c r="EA779" i="15" s="1"/>
  <c r="DZ784" i="15"/>
  <c r="EA784" i="15" s="1"/>
  <c r="DZ789" i="15"/>
  <c r="EA789" i="15" s="1"/>
  <c r="DZ796" i="15"/>
  <c r="EA796" i="15" s="1"/>
  <c r="DZ801" i="15"/>
  <c r="EA801" i="15" s="1"/>
  <c r="DZ806" i="15"/>
  <c r="EA806" i="15" s="1"/>
  <c r="DZ812" i="15"/>
  <c r="EA812" i="15" s="1"/>
  <c r="DZ817" i="15"/>
  <c r="EA817" i="15" s="1"/>
  <c r="DZ822" i="15"/>
  <c r="EA822" i="15" s="1"/>
  <c r="DZ829" i="15"/>
  <c r="EA829" i="15" s="1"/>
  <c r="DZ834" i="15"/>
  <c r="EA834" i="15" s="1"/>
  <c r="DZ839" i="15"/>
  <c r="EA839" i="15" s="1"/>
  <c r="DZ845" i="15"/>
  <c r="EA845" i="15" s="1"/>
  <c r="DZ850" i="15"/>
  <c r="EA850" i="15" s="1"/>
  <c r="DZ855" i="15"/>
  <c r="EA855" i="15" s="1"/>
  <c r="DZ861" i="15"/>
  <c r="EA861" i="15" s="1"/>
  <c r="DZ368" i="15"/>
  <c r="EA368" i="15" s="1"/>
  <c r="DZ536" i="15"/>
  <c r="EA536" i="15" s="1"/>
  <c r="DZ602" i="15"/>
  <c r="EA602" i="15" s="1"/>
  <c r="DZ670" i="15"/>
  <c r="EA670" i="15" s="1"/>
  <c r="DZ720" i="15"/>
  <c r="EA720" i="15" s="1"/>
  <c r="DZ737" i="15"/>
  <c r="EA737" i="15" s="1"/>
  <c r="DZ776" i="15"/>
  <c r="EA776" i="15" s="1"/>
  <c r="DZ792" i="15"/>
  <c r="EA792" i="15" s="1"/>
  <c r="DZ809" i="15"/>
  <c r="EA809" i="15" s="1"/>
  <c r="DZ831" i="15"/>
  <c r="EA831" i="15" s="1"/>
  <c r="DZ847" i="15"/>
  <c r="EA847" i="15" s="1"/>
  <c r="DZ23" i="15"/>
  <c r="EA23" i="15" s="1"/>
  <c r="DZ90" i="15"/>
  <c r="EA90" i="15" s="1"/>
  <c r="DZ157" i="15"/>
  <c r="EA157" i="15" s="1"/>
  <c r="DZ224" i="15"/>
  <c r="EA224" i="15" s="1"/>
  <c r="DZ248" i="15"/>
  <c r="EA248" i="15" s="1"/>
  <c r="DZ265" i="15"/>
  <c r="EA265" i="15" s="1"/>
  <c r="DZ282" i="15"/>
  <c r="EA282" i="15" s="1"/>
  <c r="DZ298" i="15"/>
  <c r="EA298" i="15" s="1"/>
  <c r="DZ315" i="15"/>
  <c r="EA315" i="15" s="1"/>
  <c r="DZ332" i="15"/>
  <c r="EA332" i="15" s="1"/>
  <c r="DZ348" i="15"/>
  <c r="EA348" i="15" s="1"/>
  <c r="DZ364" i="15"/>
  <c r="EA364" i="15" s="1"/>
  <c r="DZ381" i="15"/>
  <c r="EA381" i="15" s="1"/>
  <c r="DZ397" i="15"/>
  <c r="EA397" i="15" s="1"/>
  <c r="DZ414" i="15"/>
  <c r="EA414" i="15" s="1"/>
  <c r="DZ431" i="15"/>
  <c r="EA431" i="15" s="1"/>
  <c r="DZ447" i="15"/>
  <c r="EA447" i="15" s="1"/>
  <c r="DZ464" i="15"/>
  <c r="EA464" i="15" s="1"/>
  <c r="DZ481" i="15"/>
  <c r="EA481" i="15" s="1"/>
  <c r="DZ498" i="15"/>
  <c r="EA498" i="15" s="1"/>
  <c r="DZ515" i="15"/>
  <c r="EA515" i="15" s="1"/>
  <c r="DZ532" i="15"/>
  <c r="EA532" i="15" s="1"/>
  <c r="DZ549" i="15"/>
  <c r="EA549" i="15" s="1"/>
  <c r="DZ565" i="15"/>
  <c r="EA565" i="15" s="1"/>
  <c r="DZ582" i="15"/>
  <c r="EA582" i="15" s="1"/>
  <c r="DZ598" i="15"/>
  <c r="EA598" i="15" s="1"/>
  <c r="DZ615" i="15"/>
  <c r="EA615" i="15" s="1"/>
  <c r="DZ632" i="15"/>
  <c r="EA632" i="15" s="1"/>
  <c r="DZ649" i="15"/>
  <c r="EA649" i="15" s="1"/>
  <c r="DZ665" i="15"/>
  <c r="EA665" i="15" s="1"/>
  <c r="DZ682" i="15"/>
  <c r="EA682" i="15" s="1"/>
  <c r="DZ699" i="15"/>
  <c r="EA699" i="15" s="1"/>
  <c r="DZ716" i="15"/>
  <c r="EA716" i="15" s="1"/>
  <c r="DZ733" i="15"/>
  <c r="EA733" i="15" s="1"/>
  <c r="DZ749" i="15"/>
  <c r="EA749" i="15" s="1"/>
  <c r="DZ764" i="15"/>
  <c r="EA764" i="15" s="1"/>
  <c r="DZ772" i="15"/>
  <c r="EA772" i="15" s="1"/>
  <c r="DZ780" i="15"/>
  <c r="EA780" i="15" s="1"/>
  <c r="DZ785" i="15"/>
  <c r="EA785" i="15" s="1"/>
  <c r="DZ791" i="15"/>
  <c r="EA791" i="15" s="1"/>
  <c r="DZ797" i="15"/>
  <c r="EA797" i="15" s="1"/>
  <c r="DZ802" i="15"/>
  <c r="EA802" i="15" s="1"/>
  <c r="DZ808" i="15"/>
  <c r="EA808" i="15" s="1"/>
  <c r="DZ813" i="15"/>
  <c r="EA813" i="15" s="1"/>
  <c r="DZ818" i="15"/>
  <c r="EA818" i="15" s="1"/>
  <c r="DZ824" i="15"/>
  <c r="EA824" i="15" s="1"/>
  <c r="DZ830" i="15"/>
  <c r="EA830" i="15" s="1"/>
  <c r="DZ835" i="15"/>
  <c r="EA835" i="15" s="1"/>
  <c r="DZ841" i="15"/>
  <c r="EA841" i="15" s="1"/>
  <c r="DZ846" i="15"/>
  <c r="EA846" i="15" s="1"/>
  <c r="DZ851" i="15"/>
  <c r="EA851" i="15" s="1"/>
  <c r="DZ857" i="15"/>
  <c r="EA857" i="15" s="1"/>
  <c r="DZ352" i="15"/>
  <c r="EA352" i="15" s="1"/>
  <c r="DZ569" i="15"/>
  <c r="EA569" i="15" s="1"/>
  <c r="DZ619" i="15"/>
  <c r="EA619" i="15" s="1"/>
  <c r="DZ653" i="15"/>
  <c r="EA653" i="15" s="1"/>
  <c r="DZ703" i="15"/>
  <c r="EA703" i="15" s="1"/>
  <c r="DZ768" i="15"/>
  <c r="EA768" i="15" s="1"/>
  <c r="DZ781" i="15"/>
  <c r="EA781" i="15" s="1"/>
  <c r="DZ798" i="15"/>
  <c r="EA798" i="15" s="1"/>
  <c r="DZ814" i="15"/>
  <c r="EA814" i="15" s="1"/>
  <c r="DZ825" i="15"/>
  <c r="EA825" i="15" s="1"/>
  <c r="DZ842" i="15"/>
  <c r="EA842" i="15" s="1"/>
  <c r="DZ858" i="15"/>
  <c r="EA858" i="15" s="1"/>
  <c r="AI511" i="1"/>
  <c r="AI522" i="1"/>
  <c r="AI420" i="1"/>
  <c r="AI460" i="1"/>
  <c r="AI605" i="1"/>
  <c r="AI442" i="1"/>
  <c r="AI559" i="1"/>
  <c r="AI551" i="1"/>
  <c r="AI612" i="1"/>
  <c r="AI440" i="1"/>
  <c r="AI382" i="1"/>
  <c r="AI473" i="1"/>
  <c r="AI456" i="1"/>
  <c r="AI487" i="1"/>
  <c r="AI108" i="1"/>
  <c r="AI490" i="1"/>
  <c r="AI458" i="1"/>
  <c r="AI409" i="1"/>
  <c r="AI569" i="1"/>
  <c r="AI614" i="1"/>
  <c r="AI508" i="1"/>
  <c r="AI552" i="1"/>
  <c r="AI401" i="1"/>
  <c r="AI466" i="1"/>
  <c r="AI610" i="1"/>
  <c r="AI351" i="1"/>
  <c r="AI376" i="1"/>
  <c r="AI602" i="1"/>
  <c r="AI480" i="1"/>
  <c r="AI507" i="1"/>
  <c r="AI562" i="1"/>
  <c r="AI353" i="1"/>
  <c r="AI558" i="1"/>
  <c r="AI510" i="1"/>
  <c r="AI609" i="1"/>
  <c r="AI553" i="1"/>
  <c r="AI560" i="1"/>
  <c r="AI591" i="1"/>
  <c r="AI514" i="1"/>
  <c r="AI413" i="1"/>
  <c r="AI377" i="1"/>
  <c r="AI352" i="1"/>
  <c r="AI375" i="1"/>
  <c r="AI548" i="1"/>
  <c r="AI603" i="1"/>
  <c r="AI479" i="1"/>
  <c r="AI462" i="1"/>
  <c r="AI105" i="1"/>
  <c r="AC108" i="1"/>
  <c r="AI500" i="1"/>
  <c r="AC490" i="1"/>
  <c r="AI550" i="1"/>
  <c r="AC500" i="1"/>
  <c r="AI472" i="1"/>
  <c r="AI494" i="1"/>
  <c r="AC548" i="1"/>
  <c r="AI492" i="1"/>
  <c r="AI303" i="1"/>
  <c r="AI484" i="1"/>
  <c r="AI439" i="1"/>
  <c r="AI381" i="1"/>
  <c r="AC380" i="1"/>
  <c r="AC461" i="1"/>
  <c r="AC492" i="1"/>
  <c r="AI599" i="1"/>
  <c r="AI503" i="1"/>
  <c r="AI383" i="1"/>
  <c r="AI486" i="1"/>
  <c r="AI425" i="1"/>
  <c r="AI546" i="1"/>
  <c r="AI547" i="1"/>
  <c r="AC424" i="1"/>
  <c r="AI461" i="1"/>
  <c r="AC599" i="1"/>
  <c r="AI544" i="1"/>
  <c r="AI331" i="1"/>
  <c r="AI502" i="1"/>
  <c r="AI600" i="1"/>
  <c r="AI451" i="1"/>
  <c r="AI400" i="1"/>
  <c r="AI499" i="1"/>
  <c r="AI497" i="1"/>
  <c r="AI454" i="1"/>
  <c r="AI491" i="1"/>
  <c r="AC493" i="1"/>
  <c r="AD493" i="1"/>
  <c r="AI424" i="1"/>
  <c r="AC470" i="1"/>
  <c r="AI589" i="1"/>
  <c r="AI485" i="1"/>
  <c r="AI397" i="1"/>
  <c r="AI535" i="1"/>
  <c r="AI483" i="1"/>
  <c r="AI534" i="1"/>
  <c r="AI436" i="1"/>
  <c r="AI542" i="1"/>
  <c r="AI435" i="1"/>
  <c r="AI601" i="1"/>
  <c r="AI488" i="1"/>
  <c r="AI457" i="1"/>
  <c r="AI343" i="1"/>
  <c r="AI496" i="1"/>
  <c r="AI342" i="1"/>
  <c r="AI350" i="1"/>
  <c r="AI412" i="1"/>
  <c r="AI450" i="1"/>
  <c r="AI426" i="1"/>
  <c r="AI411" i="1"/>
  <c r="AI498" i="1"/>
  <c r="AI505" i="1"/>
  <c r="AI580" i="1"/>
  <c r="AI590" i="1"/>
  <c r="AI380" i="1"/>
  <c r="AI470" i="1"/>
  <c r="AC503" i="1"/>
  <c r="AI116" i="1"/>
  <c r="AC116" i="1"/>
  <c r="AI114" i="1"/>
  <c r="AC16" i="1"/>
  <c r="AC299" i="1"/>
  <c r="AC106" i="1"/>
  <c r="AI16" i="1"/>
  <c r="AI299" i="1"/>
  <c r="AI106" i="1"/>
  <c r="AC114" i="1"/>
  <c r="ED238" i="15" l="1"/>
  <c r="ED223" i="15"/>
  <c r="ED246" i="15"/>
  <c r="ED181" i="15"/>
  <c r="ED212" i="15"/>
  <c r="ED196" i="15"/>
  <c r="EI408" i="15"/>
  <c r="EI346" i="15"/>
  <c r="EI284" i="15"/>
  <c r="EI204" i="15"/>
  <c r="EI223" i="15"/>
  <c r="EI592" i="15"/>
  <c r="EI530" i="15"/>
  <c r="EI177" i="15"/>
  <c r="FK16" i="15"/>
  <c r="FL16" i="15" s="1"/>
  <c r="FK23" i="15"/>
  <c r="FL23" i="15" s="1"/>
  <c r="FK30" i="15"/>
  <c r="FL30" i="15" s="1"/>
  <c r="FK14" i="15"/>
  <c r="FL14" i="15" s="1"/>
  <c r="FK17" i="15"/>
  <c r="FL17" i="15" s="1"/>
  <c r="FK28" i="15"/>
  <c r="FL28" i="15" s="1"/>
  <c r="FK39" i="15"/>
  <c r="FL39" i="15" s="1"/>
  <c r="FK38" i="15"/>
  <c r="FL38" i="15" s="1"/>
  <c r="FK19" i="15"/>
  <c r="FL19" i="15" s="1"/>
  <c r="FK26" i="15"/>
  <c r="FL26" i="15" s="1"/>
  <c r="FK10" i="15"/>
  <c r="FL10" i="15" s="1"/>
  <c r="FK29" i="15"/>
  <c r="FL29" i="15" s="1"/>
  <c r="FK13" i="15"/>
  <c r="FL13" i="15" s="1"/>
  <c r="FK35" i="15"/>
  <c r="FL35" i="15" s="1"/>
  <c r="FK32" i="15"/>
  <c r="FL32" i="15" s="1"/>
  <c r="FK12" i="15"/>
  <c r="FL12" i="15" s="1"/>
  <c r="FK24" i="15"/>
  <c r="FL24" i="15" s="1"/>
  <c r="FK31" i="15"/>
  <c r="FL31" i="15" s="1"/>
  <c r="FK15" i="15"/>
  <c r="FL15" i="15" s="1"/>
  <c r="FK37" i="15"/>
  <c r="FL37" i="15" s="1"/>
  <c r="FK22" i="15"/>
  <c r="FL22" i="15" s="1"/>
  <c r="FK40" i="15"/>
  <c r="FL40" i="15" s="1"/>
  <c r="FK25" i="15"/>
  <c r="FL25" i="15" s="1"/>
  <c r="FK20" i="15"/>
  <c r="FL20" i="15" s="1"/>
  <c r="FK27" i="15"/>
  <c r="FL27" i="15" s="1"/>
  <c r="FK11" i="15"/>
  <c r="FL11" i="15" s="1"/>
  <c r="FK18" i="15"/>
  <c r="FL18" i="15" s="1"/>
  <c r="FK36" i="15"/>
  <c r="FL36" i="15" s="1"/>
  <c r="FK21" i="15"/>
  <c r="FL21" i="15" s="1"/>
  <c r="ED637" i="15"/>
  <c r="ED63" i="15"/>
  <c r="ED47" i="15"/>
  <c r="ED78" i="15"/>
  <c r="ED363" i="15"/>
  <c r="ED347" i="15"/>
  <c r="ED331" i="15"/>
  <c r="ED247" i="15"/>
  <c r="EI711" i="15"/>
  <c r="EI466" i="15"/>
  <c r="EI405" i="15"/>
  <c r="EI342" i="15"/>
  <c r="EI280" i="15"/>
  <c r="ED394" i="15"/>
  <c r="ED378" i="15"/>
  <c r="ED312" i="15"/>
  <c r="ED262" i="15"/>
  <c r="ED217" i="15"/>
  <c r="ED201" i="15"/>
  <c r="ED385" i="15"/>
  <c r="ED605" i="15"/>
  <c r="ED589" i="15"/>
  <c r="ED421" i="15"/>
  <c r="ED239" i="15"/>
  <c r="ED52" i="15"/>
  <c r="ED462" i="15"/>
  <c r="ED254" i="15"/>
  <c r="ED178" i="15"/>
  <c r="ED209" i="15"/>
  <c r="ED193" i="15"/>
  <c r="EI51" i="15"/>
  <c r="ED579" i="15"/>
  <c r="ED595" i="15"/>
  <c r="ED543" i="15"/>
  <c r="ED509" i="15"/>
  <c r="ED493" i="15"/>
  <c r="ED459" i="15"/>
  <c r="ED572" i="15"/>
  <c r="ED558" i="15"/>
  <c r="ED524" i="15"/>
  <c r="ED474" i="15"/>
  <c r="ED440" i="15"/>
  <c r="ED18" i="15"/>
  <c r="ED163" i="15"/>
  <c r="ED147" i="15"/>
  <c r="ED764" i="15"/>
  <c r="ED485" i="15"/>
  <c r="ED564" i="15"/>
  <c r="ED305" i="15"/>
  <c r="ED798" i="15"/>
  <c r="ED561" i="15"/>
  <c r="ED207" i="15"/>
  <c r="ED590" i="15"/>
  <c r="ED732" i="15"/>
  <c r="ED655" i="15"/>
  <c r="ED321" i="15"/>
  <c r="ED545" i="15"/>
  <c r="ED206" i="15"/>
  <c r="ED221" i="15"/>
  <c r="ED609" i="15"/>
  <c r="ED593" i="15"/>
  <c r="ED425" i="15"/>
  <c r="ED409" i="15"/>
  <c r="ED359" i="15"/>
  <c r="ED343" i="15"/>
  <c r="ED327" i="15"/>
  <c r="ED243" i="15"/>
  <c r="ED136" i="15"/>
  <c r="ED390" i="15"/>
  <c r="ED374" i="15"/>
  <c r="ED308" i="15"/>
  <c r="ED258" i="15"/>
  <c r="ED213" i="15"/>
  <c r="ED197" i="15"/>
  <c r="EI40" i="15"/>
  <c r="EI588" i="15"/>
  <c r="EI527" i="15"/>
  <c r="ED784" i="15"/>
  <c r="ED229" i="15"/>
  <c r="ED472" i="15"/>
  <c r="ED613" i="15"/>
  <c r="ED563" i="15"/>
  <c r="ED395" i="15"/>
  <c r="ED379" i="15"/>
  <c r="ED149" i="15"/>
  <c r="ED688" i="15"/>
  <c r="ED214" i="15"/>
  <c r="ED198" i="15"/>
  <c r="ED164" i="15"/>
  <c r="ED148" i="15"/>
  <c r="ED114" i="15"/>
  <c r="ED179" i="15"/>
  <c r="ED95" i="15"/>
  <c r="ED61" i="15"/>
  <c r="ED45" i="15"/>
  <c r="ED267" i="15"/>
  <c r="ED569" i="15"/>
  <c r="ED824" i="15"/>
  <c r="ED598" i="15"/>
  <c r="ED532" i="15"/>
  <c r="ED282" i="15"/>
  <c r="ED850" i="15"/>
  <c r="ED133" i="15"/>
  <c r="ES742" i="15"/>
  <c r="ES178" i="15"/>
  <c r="ES10" i="15"/>
  <c r="EI665" i="15"/>
  <c r="EN196" i="15"/>
  <c r="EI619" i="15"/>
  <c r="ES147" i="15"/>
  <c r="ES675" i="15"/>
  <c r="ES660" i="15"/>
  <c r="ES644" i="15"/>
  <c r="ES629" i="15"/>
  <c r="ES507" i="15"/>
  <c r="ES400" i="15"/>
  <c r="ES384" i="15"/>
  <c r="ES369" i="15"/>
  <c r="ES353" i="15"/>
  <c r="ES337" i="15"/>
  <c r="ES138" i="15"/>
  <c r="ES123" i="15"/>
  <c r="ES107" i="15"/>
  <c r="ES93" i="15"/>
  <c r="ES77" i="15"/>
  <c r="ES58" i="15"/>
  <c r="EN47" i="15"/>
  <c r="EN120" i="15"/>
  <c r="EN652" i="15"/>
  <c r="ES708" i="15"/>
  <c r="ES646" i="15"/>
  <c r="ES585" i="15"/>
  <c r="ES524" i="15"/>
  <c r="ES463" i="15"/>
  <c r="ES765" i="15"/>
  <c r="ES752" i="15"/>
  <c r="ES736" i="15"/>
  <c r="ES537" i="15"/>
  <c r="ES461" i="15"/>
  <c r="ES446" i="15"/>
  <c r="ES260" i="15"/>
  <c r="ES245" i="15"/>
  <c r="ES230" i="15"/>
  <c r="ES215" i="15"/>
  <c r="ES199" i="15"/>
  <c r="ES184" i="15"/>
  <c r="EN43" i="15"/>
  <c r="EN488" i="15"/>
  <c r="EN190" i="15"/>
  <c r="EN679" i="15"/>
  <c r="ES251" i="15"/>
  <c r="EI85" i="15"/>
  <c r="EI574" i="15"/>
  <c r="EI512" i="15"/>
  <c r="EI451" i="15"/>
  <c r="EI389" i="15"/>
  <c r="EI326" i="15"/>
  <c r="EI265" i="15"/>
  <c r="EI763" i="15"/>
  <c r="EI750" i="15"/>
  <c r="EI734" i="15"/>
  <c r="EI474" i="15"/>
  <c r="EI459" i="15"/>
  <c r="EI320" i="15"/>
  <c r="EI304" i="15"/>
  <c r="EN108" i="15"/>
  <c r="EN173" i="15"/>
  <c r="EN89" i="15"/>
  <c r="EN70" i="15"/>
  <c r="EI557" i="15"/>
  <c r="EI496" i="15"/>
  <c r="EI435" i="15"/>
  <c r="EI373" i="15"/>
  <c r="EI311" i="15"/>
  <c r="EI248" i="15"/>
  <c r="EI721" i="15"/>
  <c r="EI706" i="15"/>
  <c r="EI690" i="15"/>
  <c r="EI522" i="15"/>
  <c r="EI415" i="15"/>
  <c r="EI153" i="15"/>
  <c r="EI604" i="15"/>
  <c r="EI542" i="15"/>
  <c r="EI481" i="15"/>
  <c r="EI420" i="15"/>
  <c r="EI358" i="15"/>
  <c r="EI296" i="15"/>
  <c r="EI234" i="15"/>
  <c r="EI169" i="15"/>
  <c r="EI17" i="15"/>
  <c r="ED381" i="15"/>
  <c r="ED23" i="15"/>
  <c r="ED443" i="15"/>
  <c r="ED244" i="15"/>
  <c r="ED6" i="15"/>
  <c r="ED804" i="15"/>
  <c r="ED783" i="15"/>
  <c r="ED674" i="15"/>
  <c r="ED473" i="15"/>
  <c r="ED601" i="15"/>
  <c r="ED585" i="15"/>
  <c r="ED417" i="15"/>
  <c r="ED659" i="15"/>
  <c r="ED643" i="15"/>
  <c r="ED575" i="15"/>
  <c r="ED559" i="15"/>
  <c r="ED458" i="15"/>
  <c r="ED391" i="15"/>
  <c r="ED375" i="15"/>
  <c r="ED242" i="15"/>
  <c r="ED633" i="15"/>
  <c r="ED616" i="15"/>
  <c r="ED533" i="15"/>
  <c r="ED316" i="15"/>
  <c r="ED266" i="15"/>
  <c r="ED161" i="15"/>
  <c r="ED227" i="15"/>
  <c r="ED210" i="15"/>
  <c r="ED194" i="15"/>
  <c r="ED177" i="15"/>
  <c r="ED160" i="15"/>
  <c r="ED144" i="15"/>
  <c r="ED110" i="15"/>
  <c r="ED92" i="15"/>
  <c r="ED59" i="15"/>
  <c r="ED43" i="15"/>
  <c r="ED205" i="15"/>
  <c r="ED225" i="15"/>
  <c r="ED208" i="15"/>
  <c r="ED192" i="15"/>
  <c r="ED175" i="15"/>
  <c r="ED91" i="15"/>
  <c r="ED57" i="15"/>
  <c r="ES715" i="15"/>
  <c r="ES531" i="15"/>
  <c r="ES501" i="15"/>
  <c r="ES627" i="15"/>
  <c r="ES721" i="15"/>
  <c r="ES706" i="15"/>
  <c r="ES690" i="15"/>
  <c r="ES522" i="15"/>
  <c r="ES415" i="15"/>
  <c r="ES153" i="15"/>
  <c r="ED682" i="15"/>
  <c r="ED481" i="15"/>
  <c r="ED414" i="15"/>
  <c r="ED348" i="15"/>
  <c r="ED536" i="15"/>
  <c r="ED754" i="15"/>
  <c r="ED234" i="15"/>
  <c r="ED859" i="15"/>
  <c r="ED838" i="15"/>
  <c r="ED793" i="15"/>
  <c r="ED769" i="15"/>
  <c r="ED707" i="15"/>
  <c r="ED641" i="15"/>
  <c r="ED574" i="15"/>
  <c r="ED506" i="15"/>
  <c r="ED373" i="15"/>
  <c r="ED828" i="15"/>
  <c r="ED560" i="15"/>
  <c r="ED203" i="15"/>
  <c r="ED651" i="15"/>
  <c r="ED617" i="15"/>
  <c r="ED567" i="15"/>
  <c r="ED551" i="15"/>
  <c r="ED466" i="15"/>
  <c r="ED399" i="15"/>
  <c r="ED383" i="15"/>
  <c r="ED317" i="15"/>
  <c r="ED301" i="15"/>
  <c r="ED31" i="15"/>
  <c r="ED625" i="15"/>
  <c r="ED607" i="15"/>
  <c r="ED591" i="15"/>
  <c r="ED541" i="15"/>
  <c r="ED491" i="15"/>
  <c r="ED236" i="15"/>
  <c r="ED219" i="15"/>
  <c r="ED202" i="15"/>
  <c r="ED185" i="15"/>
  <c r="ED169" i="15"/>
  <c r="ED152" i="15"/>
  <c r="ED118" i="15"/>
  <c r="ED102" i="15"/>
  <c r="ED85" i="15"/>
  <c r="ED51" i="15"/>
  <c r="ED35" i="15"/>
  <c r="ED216" i="15"/>
  <c r="ED200" i="15"/>
  <c r="ED183" i="15"/>
  <c r="ED66" i="15"/>
  <c r="ED49" i="15"/>
  <c r="ES797" i="15"/>
  <c r="ES782" i="15"/>
  <c r="ES614" i="15"/>
  <c r="ES599" i="15"/>
  <c r="ES583" i="15"/>
  <c r="ES568" i="15"/>
  <c r="ES552" i="15"/>
  <c r="ES476" i="15"/>
  <c r="ES322" i="15"/>
  <c r="ES306" i="15"/>
  <c r="ES291" i="15"/>
  <c r="ES274" i="15"/>
  <c r="ED814" i="15"/>
  <c r="ED352" i="15"/>
  <c r="ED716" i="15"/>
  <c r="ED515" i="15"/>
  <c r="ED315" i="15"/>
  <c r="ED792" i="15"/>
  <c r="ED670" i="15"/>
  <c r="ED861" i="15"/>
  <c r="ED645" i="15"/>
  <c r="ED377" i="15"/>
  <c r="ED636" i="15"/>
  <c r="ED336" i="15"/>
  <c r="ED606" i="15"/>
  <c r="ED275" i="15"/>
  <c r="ED501" i="15"/>
  <c r="ED467" i="15"/>
  <c r="ED318" i="15"/>
  <c r="ED302" i="15"/>
  <c r="ED268" i="15"/>
  <c r="ED252" i="15"/>
  <c r="ED170" i="15"/>
  <c r="ED626" i="15"/>
  <c r="ED608" i="15"/>
  <c r="ED592" i="15"/>
  <c r="ED424" i="15"/>
  <c r="ED408" i="15"/>
  <c r="ED259" i="15"/>
  <c r="ED516" i="15"/>
  <c r="ED482" i="15"/>
  <c r="ED448" i="15"/>
  <c r="ED432" i="15"/>
  <c r="ED300" i="15"/>
  <c r="ED94" i="15"/>
  <c r="ED26" i="15"/>
  <c r="ED10" i="15"/>
  <c r="ED222" i="15"/>
  <c r="ED155" i="15"/>
  <c r="ED125" i="15"/>
  <c r="ES67" i="15"/>
  <c r="ES854" i="15"/>
  <c r="ES402" i="15"/>
  <c r="ES339" i="15"/>
  <c r="ES374" i="15"/>
  <c r="EI112" i="15"/>
  <c r="EI43" i="15"/>
  <c r="ED841" i="15"/>
  <c r="ED578" i="15"/>
  <c r="ED826" i="15"/>
  <c r="ED805" i="15"/>
  <c r="ED819" i="15"/>
  <c r="ED803" i="15"/>
  <c r="ED767" i="15"/>
  <c r="ED685" i="15"/>
  <c r="ED669" i="15"/>
  <c r="ED857" i="15"/>
  <c r="ED791" i="15"/>
  <c r="ED364" i="15"/>
  <c r="ED776" i="15"/>
  <c r="ED812" i="15"/>
  <c r="ED760" i="15"/>
  <c r="ED843" i="15"/>
  <c r="ED821" i="15"/>
  <c r="ED777" i="15"/>
  <c r="ED657" i="15"/>
  <c r="ED531" i="15"/>
  <c r="ED497" i="15"/>
  <c r="ED463" i="15"/>
  <c r="ED430" i="15"/>
  <c r="ED396" i="15"/>
  <c r="ED380" i="15"/>
  <c r="ED314" i="15"/>
  <c r="ED264" i="15"/>
  <c r="ED638" i="15"/>
  <c r="ED622" i="15"/>
  <c r="ED521" i="15"/>
  <c r="ED255" i="15"/>
  <c r="ED713" i="15"/>
  <c r="ED562" i="15"/>
  <c r="ED478" i="15"/>
  <c r="ED139" i="15"/>
  <c r="ED332" i="15"/>
  <c r="ED460" i="15"/>
  <c r="ED73" i="15"/>
  <c r="ED286" i="15"/>
  <c r="ED854" i="15"/>
  <c r="ED810" i="15"/>
  <c r="ED788" i="15"/>
  <c r="ED691" i="15"/>
  <c r="ED856" i="15"/>
  <c r="ED840" i="15"/>
  <c r="ED790" i="15"/>
  <c r="ED656" i="15"/>
  <c r="ED639" i="15"/>
  <c r="ED623" i="15"/>
  <c r="ED484" i="15"/>
  <c r="ED450" i="15"/>
  <c r="ED434" i="15"/>
  <c r="ED233" i="15"/>
  <c r="ED103" i="15"/>
  <c r="ED36" i="15"/>
  <c r="ED758" i="15"/>
  <c r="ED743" i="15"/>
  <c r="ED676" i="15"/>
  <c r="ED475" i="15"/>
  <c r="ED65" i="15"/>
  <c r="ED465" i="15"/>
  <c r="ED365" i="15"/>
  <c r="ED349" i="15"/>
  <c r="ED333" i="15"/>
  <c r="ED283" i="15"/>
  <c r="ED249" i="15"/>
  <c r="ED188" i="15"/>
  <c r="ED172" i="15"/>
  <c r="ED88" i="15"/>
  <c r="ED54" i="15"/>
  <c r="ED20" i="15"/>
  <c r="ES320" i="15"/>
  <c r="ES813" i="15"/>
  <c r="ES804" i="15"/>
  <c r="ES624" i="15"/>
  <c r="ES610" i="15"/>
  <c r="ES594" i="15"/>
  <c r="ES575" i="15"/>
  <c r="ES559" i="15"/>
  <c r="ES544" i="15"/>
  <c r="ES529" i="15"/>
  <c r="ES514" i="15"/>
  <c r="ES498" i="15"/>
  <c r="ES483" i="15"/>
  <c r="ES468" i="15"/>
  <c r="ES453" i="15"/>
  <c r="ES437" i="15"/>
  <c r="ES422" i="15"/>
  <c r="ES407" i="15"/>
  <c r="ES391" i="15"/>
  <c r="ES375" i="15"/>
  <c r="ES225" i="15"/>
  <c r="ES210" i="15"/>
  <c r="ES194" i="15"/>
  <c r="ES175" i="15"/>
  <c r="ES160" i="15"/>
  <c r="ES145" i="15"/>
  <c r="ES129" i="15"/>
  <c r="ES72" i="15"/>
  <c r="ES57" i="15"/>
  <c r="ES42" i="15"/>
  <c r="ES23" i="15"/>
  <c r="ES8" i="15"/>
  <c r="EI837" i="15"/>
  <c r="EI776" i="15"/>
  <c r="EI70" i="15"/>
  <c r="EI680" i="15"/>
  <c r="EI173" i="15"/>
  <c r="EI21" i="15"/>
  <c r="EI737" i="15"/>
  <c r="EI108" i="15"/>
  <c r="EI826" i="15"/>
  <c r="EI749" i="15"/>
  <c r="EI860" i="15"/>
  <c r="EI844" i="15"/>
  <c r="EI675" i="15"/>
  <c r="EI660" i="15"/>
  <c r="EI644" i="15"/>
  <c r="EI629" i="15"/>
  <c r="EI507" i="15"/>
  <c r="EI400" i="15"/>
  <c r="EI384" i="15"/>
  <c r="EI369" i="15"/>
  <c r="EI353" i="15"/>
  <c r="EI337" i="15"/>
  <c r="EI138" i="15"/>
  <c r="EI123" i="15"/>
  <c r="EI107" i="15"/>
  <c r="EI93" i="15"/>
  <c r="EI77" i="15"/>
  <c r="EI58" i="15"/>
  <c r="EI39" i="15"/>
  <c r="EI24" i="15"/>
  <c r="EI8" i="15"/>
  <c r="ED168" i="15"/>
  <c r="ED134" i="15"/>
  <c r="ED17" i="15"/>
  <c r="ED154" i="15"/>
  <c r="ED137" i="15"/>
  <c r="ED120" i="15"/>
  <c r="ED104" i="15"/>
  <c r="ES74" i="15"/>
  <c r="ES43" i="15"/>
  <c r="ES835" i="15"/>
  <c r="ES696" i="15"/>
  <c r="ES224" i="15"/>
  <c r="ES71" i="15"/>
  <c r="ES26" i="15"/>
  <c r="EI608" i="15"/>
  <c r="EI546" i="15"/>
  <c r="EI485" i="15"/>
  <c r="EI424" i="15"/>
  <c r="EI362" i="15"/>
  <c r="EI300" i="15"/>
  <c r="EI238" i="15"/>
  <c r="EI55" i="15"/>
  <c r="EI158" i="15"/>
  <c r="EI661" i="15"/>
  <c r="EI89" i="15"/>
  <c r="ED119" i="15"/>
  <c r="ED445" i="15"/>
  <c r="ED15" i="15"/>
  <c r="ED671" i="15"/>
  <c r="ED654" i="15"/>
  <c r="ED503" i="15"/>
  <c r="ED271" i="15"/>
  <c r="ED80" i="15"/>
  <c r="ES436" i="15"/>
  <c r="ES409" i="15"/>
  <c r="ES497" i="15"/>
  <c r="ES92" i="15"/>
  <c r="EI695" i="15"/>
  <c r="EI189" i="15"/>
  <c r="EI127" i="15"/>
  <c r="EI743" i="15"/>
  <c r="EI728" i="15"/>
  <c r="EI713" i="15"/>
  <c r="EI697" i="15"/>
  <c r="EI682" i="15"/>
  <c r="EI667" i="15"/>
  <c r="EI651" i="15"/>
  <c r="EI632" i="15"/>
  <c r="EI617" i="15"/>
  <c r="EI602" i="15"/>
  <c r="EI586" i="15"/>
  <c r="EI218" i="15"/>
  <c r="EI202" i="15"/>
  <c r="EI719" i="15"/>
  <c r="EI704" i="15"/>
  <c r="EI444" i="15"/>
  <c r="EI289" i="15"/>
  <c r="EI273" i="15"/>
  <c r="EI258" i="15"/>
  <c r="EI243" i="15"/>
  <c r="EI228" i="15"/>
  <c r="EI213" i="15"/>
  <c r="EI197" i="15"/>
  <c r="EI182" i="15"/>
  <c r="EI167" i="15"/>
  <c r="EI151" i="15"/>
  <c r="EI136" i="15"/>
  <c r="EI121" i="15"/>
  <c r="EI105" i="15"/>
  <c r="EI90" i="15"/>
  <c r="EI75" i="15"/>
  <c r="EI56" i="15"/>
  <c r="EI37" i="15"/>
  <c r="EI22" i="15"/>
  <c r="ED257" i="15"/>
  <c r="ED748" i="15"/>
  <c r="ED698" i="15"/>
  <c r="ED648" i="15"/>
  <c r="ED281" i="15"/>
  <c r="ED220" i="15"/>
  <c r="ED437" i="15"/>
  <c r="ED272" i="15"/>
  <c r="ED761" i="15"/>
  <c r="ED696" i="15"/>
  <c r="ED646" i="15"/>
  <c r="ED495" i="15"/>
  <c r="ED145" i="15"/>
  <c r="ED72" i="15"/>
  <c r="ED235" i="15"/>
  <c r="ED699" i="15"/>
  <c r="ED498" i="15"/>
  <c r="ED832" i="15"/>
  <c r="ED631" i="15"/>
  <c r="ED705" i="15"/>
  <c r="ED504" i="15"/>
  <c r="ED471" i="15"/>
  <c r="ED288" i="15"/>
  <c r="ED48" i="15"/>
  <c r="ED729" i="15"/>
  <c r="ED679" i="15"/>
  <c r="ED511" i="15"/>
  <c r="ED835" i="15"/>
  <c r="ED565" i="15"/>
  <c r="ED319" i="15"/>
  <c r="ED848" i="15"/>
  <c r="ED664" i="15"/>
  <c r="ED514" i="15"/>
  <c r="ED297" i="15"/>
  <c r="ED689" i="15"/>
  <c r="ED453" i="15"/>
  <c r="ED746" i="15"/>
  <c r="ED662" i="15"/>
  <c r="ED529" i="15"/>
  <c r="ED211" i="15"/>
  <c r="ED190" i="15"/>
  <c r="ED67" i="15"/>
  <c r="EN357" i="15"/>
  <c r="EN341" i="15"/>
  <c r="EN322" i="15"/>
  <c r="EN306" i="15"/>
  <c r="EN291" i="15"/>
  <c r="EN274" i="15"/>
  <c r="EN142" i="15"/>
  <c r="EN126" i="15"/>
  <c r="EN96" i="15"/>
  <c r="EN81" i="15"/>
  <c r="EN62" i="15"/>
  <c r="EN46" i="15"/>
  <c r="EN239" i="15"/>
  <c r="EN178" i="15"/>
  <c r="EN117" i="15"/>
  <c r="ED842" i="15"/>
  <c r="ED781" i="15"/>
  <c r="ED851" i="15"/>
  <c r="ED830" i="15"/>
  <c r="ED785" i="15"/>
  <c r="ED749" i="15"/>
  <c r="ED615" i="15"/>
  <c r="ED549" i="15"/>
  <c r="ED157" i="15"/>
  <c r="ED831" i="15"/>
  <c r="ED829" i="15"/>
  <c r="ED745" i="15"/>
  <c r="ED611" i="15"/>
  <c r="ED544" i="15"/>
  <c r="ED278" i="15"/>
  <c r="ED140" i="15"/>
  <c r="ED468" i="15"/>
  <c r="ED303" i="15"/>
  <c r="ED816" i="15"/>
  <c r="ED439" i="15"/>
  <c r="ED240" i="15"/>
  <c r="ED860" i="15"/>
  <c r="ED844" i="15"/>
  <c r="ED811" i="15"/>
  <c r="ED794" i="15"/>
  <c r="ED778" i="15"/>
  <c r="ED759" i="15"/>
  <c r="ED744" i="15"/>
  <c r="ED727" i="15"/>
  <c r="ED710" i="15"/>
  <c r="ED694" i="15"/>
  <c r="ED677" i="15"/>
  <c r="ED660" i="15"/>
  <c r="ED644" i="15"/>
  <c r="ED627" i="15"/>
  <c r="ED577" i="15"/>
  <c r="ED526" i="15"/>
  <c r="ED476" i="15"/>
  <c r="ED442" i="15"/>
  <c r="ED293" i="15"/>
  <c r="ED277" i="15"/>
  <c r="ED766" i="15"/>
  <c r="ED751" i="15"/>
  <c r="ED735" i="15"/>
  <c r="ED718" i="15"/>
  <c r="ED701" i="15"/>
  <c r="ED684" i="15"/>
  <c r="ED534" i="15"/>
  <c r="ED500" i="15"/>
  <c r="ED483" i="15"/>
  <c r="ED449" i="15"/>
  <c r="ED433" i="15"/>
  <c r="ED366" i="15"/>
  <c r="ED825" i="15"/>
  <c r="ED733" i="15"/>
  <c r="ED397" i="15"/>
  <c r="ED809" i="15"/>
  <c r="ED720" i="15"/>
  <c r="ED368" i="15"/>
  <c r="ED845" i="15"/>
  <c r="ED779" i="15"/>
  <c r="ED661" i="15"/>
  <c r="ED594" i="15"/>
  <c r="ED686" i="15"/>
  <c r="ED519" i="15"/>
  <c r="ED174" i="15"/>
  <c r="ED624" i="15"/>
  <c r="ED489" i="15"/>
  <c r="ED290" i="15"/>
  <c r="ED191" i="15"/>
  <c r="ED823" i="15"/>
  <c r="ED807" i="15"/>
  <c r="ED771" i="15"/>
  <c r="ED757" i="15"/>
  <c r="ED488" i="15"/>
  <c r="ED438" i="15"/>
  <c r="ED256" i="15"/>
  <c r="ED762" i="15"/>
  <c r="ED747" i="15"/>
  <c r="ED714" i="15"/>
  <c r="ED630" i="15"/>
  <c r="ED596" i="15"/>
  <c r="ED580" i="15"/>
  <c r="ED428" i="15"/>
  <c r="ED412" i="15"/>
  <c r="ED486" i="15"/>
  <c r="ED469" i="15"/>
  <c r="ED452" i="15"/>
  <c r="ED436" i="15"/>
  <c r="ED287" i="15"/>
  <c r="ED237" i="15"/>
  <c r="ED98" i="15"/>
  <c r="ED30" i="15"/>
  <c r="ED14" i="15"/>
  <c r="ED226" i="15"/>
  <c r="ED176" i="15"/>
  <c r="ED159" i="15"/>
  <c r="ED350" i="15"/>
  <c r="ED334" i="15"/>
  <c r="ED284" i="15"/>
  <c r="ED251" i="15"/>
  <c r="ED774" i="15"/>
  <c r="ED742" i="15"/>
  <c r="ED725" i="15"/>
  <c r="ED708" i="15"/>
  <c r="ED692" i="15"/>
  <c r="ED675" i="15"/>
  <c r="ED658" i="15"/>
  <c r="ED642" i="15"/>
  <c r="ED507" i="15"/>
  <c r="ED457" i="15"/>
  <c r="ED423" i="15"/>
  <c r="ED407" i="15"/>
  <c r="ED357" i="15"/>
  <c r="ED341" i="15"/>
  <c r="ED325" i="15"/>
  <c r="ED291" i="15"/>
  <c r="ED274" i="15"/>
  <c r="ED241" i="15"/>
  <c r="ED195" i="15"/>
  <c r="ED128" i="15"/>
  <c r="ED60" i="15"/>
  <c r="ED68" i="15"/>
  <c r="ED180" i="15"/>
  <c r="ED113" i="15"/>
  <c r="ED96" i="15"/>
  <c r="ED79" i="15"/>
  <c r="ED62" i="15"/>
  <c r="ED46" i="15"/>
  <c r="ED83" i="15"/>
  <c r="ED28" i="15"/>
  <c r="ED12" i="15"/>
  <c r="ES128" i="15"/>
  <c r="ES767" i="15"/>
  <c r="ES669" i="15"/>
  <c r="EI162" i="15"/>
  <c r="EI649" i="15"/>
  <c r="EI847" i="15"/>
  <c r="EI831" i="15"/>
  <c r="EI816" i="15"/>
  <c r="EI800" i="15"/>
  <c r="EI636" i="15"/>
  <c r="EI621" i="15"/>
  <c r="EI606" i="15"/>
  <c r="EI590" i="15"/>
  <c r="EI571" i="15"/>
  <c r="EI555" i="15"/>
  <c r="EI540" i="15"/>
  <c r="EI525" i="15"/>
  <c r="EI510" i="15"/>
  <c r="EI494" i="15"/>
  <c r="EI479" i="15"/>
  <c r="EI464" i="15"/>
  <c r="EI449" i="15"/>
  <c r="EI433" i="15"/>
  <c r="EI418" i="15"/>
  <c r="EI403" i="15"/>
  <c r="EI387" i="15"/>
  <c r="EI187" i="15"/>
  <c r="EI171" i="15"/>
  <c r="EI156" i="15"/>
  <c r="EI141" i="15"/>
  <c r="EI122" i="15"/>
  <c r="EI106" i="15"/>
  <c r="EI87" i="15"/>
  <c r="EI68" i="15"/>
  <c r="EI53" i="15"/>
  <c r="EI38" i="15"/>
  <c r="EI19" i="15"/>
  <c r="EI858" i="15"/>
  <c r="EI842" i="15"/>
  <c r="EI673" i="15"/>
  <c r="EI658" i="15"/>
  <c r="EI642" i="15"/>
  <c r="EI627" i="15"/>
  <c r="EI612" i="15"/>
  <c r="EI597" i="15"/>
  <c r="EI581" i="15"/>
  <c r="EI566" i="15"/>
  <c r="EI550" i="15"/>
  <c r="EI535" i="15"/>
  <c r="EI413" i="15"/>
  <c r="ES312" i="15"/>
  <c r="ES807" i="15"/>
  <c r="ES190" i="15"/>
  <c r="ES440" i="15"/>
  <c r="ES209" i="15"/>
  <c r="ES789" i="15"/>
  <c r="ES772" i="15"/>
  <c r="ES773" i="15"/>
  <c r="ES563" i="15"/>
  <c r="ES548" i="15"/>
  <c r="ES532" i="15"/>
  <c r="ES517" i="15"/>
  <c r="ES502" i="15"/>
  <c r="ES487" i="15"/>
  <c r="ES472" i="15"/>
  <c r="ES456" i="15"/>
  <c r="ES441" i="15"/>
  <c r="ES426" i="15"/>
  <c r="ES410" i="15"/>
  <c r="ES395" i="15"/>
  <c r="ES379" i="15"/>
  <c r="ES360" i="15"/>
  <c r="ES344" i="15"/>
  <c r="ES328" i="15"/>
  <c r="ES313" i="15"/>
  <c r="ES298" i="15"/>
  <c r="ES282" i="15"/>
  <c r="ES267" i="15"/>
  <c r="ES179" i="15"/>
  <c r="ES164" i="15"/>
  <c r="ES148" i="15"/>
  <c r="ES133" i="15"/>
  <c r="ES114" i="15"/>
  <c r="ES27" i="15"/>
  <c r="ES11" i="15"/>
  <c r="EI853" i="15"/>
  <c r="EI791" i="15"/>
  <c r="EI730" i="15"/>
  <c r="EI762" i="15"/>
  <c r="EI549" i="15"/>
  <c r="EI489" i="15"/>
  <c r="EI428" i="15"/>
  <c r="EI366" i="15"/>
  <c r="EI303" i="15"/>
  <c r="EI242" i="15"/>
  <c r="EI813" i="15"/>
  <c r="EI797" i="15"/>
  <c r="EI782" i="15"/>
  <c r="EI614" i="15"/>
  <c r="EI599" i="15"/>
  <c r="EI583" i="15"/>
  <c r="EI568" i="15"/>
  <c r="EI552" i="15"/>
  <c r="EI476" i="15"/>
  <c r="EI322" i="15"/>
  <c r="EI306" i="15"/>
  <c r="EI291" i="15"/>
  <c r="EI274" i="15"/>
  <c r="ED270" i="15"/>
  <c r="ED635" i="15"/>
  <c r="ED285" i="15"/>
  <c r="ED132" i="15"/>
  <c r="ED700" i="15"/>
  <c r="ED666" i="15"/>
  <c r="ED650" i="15"/>
  <c r="ED27" i="15"/>
  <c r="ED76" i="15"/>
  <c r="ED71" i="15"/>
  <c r="EI789" i="15"/>
  <c r="EI772" i="15"/>
  <c r="EI773" i="15"/>
  <c r="EI739" i="15"/>
  <c r="EI724" i="15"/>
  <c r="EI709" i="15"/>
  <c r="EI693" i="15"/>
  <c r="EI678" i="15"/>
  <c r="EI663" i="15"/>
  <c r="EI647" i="15"/>
  <c r="ED298" i="15"/>
  <c r="ED224" i="15"/>
  <c r="ED834" i="15"/>
  <c r="ED815" i="15"/>
  <c r="ED799" i="15"/>
  <c r="ED715" i="15"/>
  <c r="ED681" i="15"/>
  <c r="ED86" i="15"/>
  <c r="ED371" i="15"/>
  <c r="ED11" i="15"/>
  <c r="ED117" i="15"/>
  <c r="ED101" i="15"/>
  <c r="ED34" i="15"/>
  <c r="EN752" i="15"/>
  <c r="EI822" i="15"/>
  <c r="EI758" i="15"/>
  <c r="EI861" i="15"/>
  <c r="EI798" i="15"/>
  <c r="EI722" i="15"/>
  <c r="EI810" i="15"/>
  <c r="EI833" i="15"/>
  <c r="EI770" i="15"/>
  <c r="ES857" i="15"/>
  <c r="ES841" i="15"/>
  <c r="ES826" i="15"/>
  <c r="ES810" i="15"/>
  <c r="ES254" i="15"/>
  <c r="EI600" i="15"/>
  <c r="EI538" i="15"/>
  <c r="EI477" i="15"/>
  <c r="EI416" i="15"/>
  <c r="EI354" i="15"/>
  <c r="EI292" i="15"/>
  <c r="EI231" i="15"/>
  <c r="EI672" i="15"/>
  <c r="ES846" i="15"/>
  <c r="ES700" i="15"/>
  <c r="ES639" i="15"/>
  <c r="ES277" i="15"/>
  <c r="ES217" i="15"/>
  <c r="ES155" i="15"/>
  <c r="ES94" i="15"/>
  <c r="ES413" i="15"/>
  <c r="ES793" i="15"/>
  <c r="ES777" i="15"/>
  <c r="ES760" i="15"/>
  <c r="ES743" i="15"/>
  <c r="ES728" i="15"/>
  <c r="ES713" i="15"/>
  <c r="ES697" i="15"/>
  <c r="ES682" i="15"/>
  <c r="ES667" i="15"/>
  <c r="ES651" i="15"/>
  <c r="ES364" i="15"/>
  <c r="ES348" i="15"/>
  <c r="ES332" i="15"/>
  <c r="ES317" i="15"/>
  <c r="ES301" i="15"/>
  <c r="ES286" i="15"/>
  <c r="ES271" i="15"/>
  <c r="ES255" i="15"/>
  <c r="ES236" i="15"/>
  <c r="ES118" i="15"/>
  <c r="ES102" i="15"/>
  <c r="EI806" i="15"/>
  <c r="EI745" i="15"/>
  <c r="EI653" i="15"/>
  <c r="EI78" i="15"/>
  <c r="EI765" i="15"/>
  <c r="EI752" i="15"/>
  <c r="EI736" i="15"/>
  <c r="EI537" i="15"/>
  <c r="EI461" i="15"/>
  <c r="EI446" i="15"/>
  <c r="EI260" i="15"/>
  <c r="EI245" i="15"/>
  <c r="EI230" i="15"/>
  <c r="EI215" i="15"/>
  <c r="EI199" i="15"/>
  <c r="EI184" i="15"/>
  <c r="ES104" i="15"/>
  <c r="ES566" i="15"/>
  <c r="ES390" i="15"/>
  <c r="ES205" i="15"/>
  <c r="EI634" i="15"/>
  <c r="EI181" i="15"/>
  <c r="EN376" i="15"/>
  <c r="EN310" i="15"/>
  <c r="EN295" i="15"/>
  <c r="EN279" i="15"/>
  <c r="EN260" i="15"/>
  <c r="EN245" i="15"/>
  <c r="EN230" i="15"/>
  <c r="EN215" i="15"/>
  <c r="EN199" i="15"/>
  <c r="EN184" i="15"/>
  <c r="EN50" i="15"/>
  <c r="EN32" i="15"/>
  <c r="EN16" i="15"/>
  <c r="EI851" i="15"/>
  <c r="EI835" i="15"/>
  <c r="EI820" i="15"/>
  <c r="EI804" i="15"/>
  <c r="EI785" i="15"/>
  <c r="EI768" i="15"/>
  <c r="EI575" i="15"/>
  <c r="EI559" i="15"/>
  <c r="EI544" i="15"/>
  <c r="EI529" i="15"/>
  <c r="EI514" i="15"/>
  <c r="EI498" i="15"/>
  <c r="EI356" i="15"/>
  <c r="EI340" i="15"/>
  <c r="EI325" i="15"/>
  <c r="EI309" i="15"/>
  <c r="EI294" i="15"/>
  <c r="EI278" i="15"/>
  <c r="EI263" i="15"/>
  <c r="EI811" i="15"/>
  <c r="EI796" i="15"/>
  <c r="EI780" i="15"/>
  <c r="EI520" i="15"/>
  <c r="EI505" i="15"/>
  <c r="EI398" i="15"/>
  <c r="EI382" i="15"/>
  <c r="EI367" i="15"/>
  <c r="EI351" i="15"/>
  <c r="EI335" i="15"/>
  <c r="EI845" i="15"/>
  <c r="EI783" i="15"/>
  <c r="EI818" i="15"/>
  <c r="EI756" i="15"/>
  <c r="EN825" i="15"/>
  <c r="EN821" i="15"/>
  <c r="EN159" i="15"/>
  <c r="EN258" i="15"/>
  <c r="EN197" i="15"/>
  <c r="EN136" i="15"/>
  <c r="EN75" i="15"/>
  <c r="ED703" i="15"/>
  <c r="ED582" i="15"/>
  <c r="ED817" i="15"/>
  <c r="ED852" i="15"/>
  <c r="ED618" i="15"/>
  <c r="ED441" i="15"/>
  <c r="ED717" i="15"/>
  <c r="ES89" i="15"/>
  <c r="ES803" i="15"/>
  <c r="ES719" i="15"/>
  <c r="ES243" i="15"/>
  <c r="ES861" i="15"/>
  <c r="ES845" i="15"/>
  <c r="ES829" i="15"/>
  <c r="ES814" i="15"/>
  <c r="EN369" i="15"/>
  <c r="EN353" i="15"/>
  <c r="EN337" i="15"/>
  <c r="EN157" i="15"/>
  <c r="EN138" i="15"/>
  <c r="EN123" i="15"/>
  <c r="EN107" i="15"/>
  <c r="EN93" i="15"/>
  <c r="EN77" i="15"/>
  <c r="ED502" i="15"/>
  <c r="ED836" i="15"/>
  <c r="ED786" i="15"/>
  <c r="ED702" i="15"/>
  <c r="ED652" i="15"/>
  <c r="ED518" i="15"/>
  <c r="ED508" i="15"/>
  <c r="ED292" i="15"/>
  <c r="ED683" i="15"/>
  <c r="ED499" i="15"/>
  <c r="ED653" i="15"/>
  <c r="ED431" i="15"/>
  <c r="ED855" i="15"/>
  <c r="ED789" i="15"/>
  <c r="ED628" i="15"/>
  <c r="ED426" i="15"/>
  <c r="ED360" i="15"/>
  <c r="ED853" i="15"/>
  <c r="ED523" i="15"/>
  <c r="ED456" i="15"/>
  <c r="ED323" i="15"/>
  <c r="ED548" i="15"/>
  <c r="ED480" i="15"/>
  <c r="ED722" i="15"/>
  <c r="ED672" i="15"/>
  <c r="ED538" i="15"/>
  <c r="ED487" i="15"/>
  <c r="ED354" i="15"/>
  <c r="ED338" i="15"/>
  <c r="ED115" i="15"/>
  <c r="ED427" i="15"/>
  <c r="ED411" i="15"/>
  <c r="ED361" i="15"/>
  <c r="ED345" i="15"/>
  <c r="ED329" i="15"/>
  <c r="ED295" i="15"/>
  <c r="ED279" i="15"/>
  <c r="ED84" i="15"/>
  <c r="ED50" i="15"/>
  <c r="ED32" i="15"/>
  <c r="ED16" i="15"/>
  <c r="ES620" i="15"/>
  <c r="ES746" i="15"/>
  <c r="ES363" i="15"/>
  <c r="ES860" i="15"/>
  <c r="ES844" i="15"/>
  <c r="ES108" i="15"/>
  <c r="ES747" i="15"/>
  <c r="ES732" i="15"/>
  <c r="ES716" i="15"/>
  <c r="ES701" i="15"/>
  <c r="ES686" i="15"/>
  <c r="ES670" i="15"/>
  <c r="ES655" i="15"/>
  <c r="ES636" i="15"/>
  <c r="ES621" i="15"/>
  <c r="ES606" i="15"/>
  <c r="ES590" i="15"/>
  <c r="ES240" i="15"/>
  <c r="ES221" i="15"/>
  <c r="ES206" i="15"/>
  <c r="ES87" i="15"/>
  <c r="ES68" i="15"/>
  <c r="ES53" i="15"/>
  <c r="ES38" i="15"/>
  <c r="EN264" i="15"/>
  <c r="EN249" i="15"/>
  <c r="EN233" i="15"/>
  <c r="EN219" i="15"/>
  <c r="EN203" i="15"/>
  <c r="EN188" i="15"/>
  <c r="EN172" i="15"/>
  <c r="EN153" i="15"/>
  <c r="EN35" i="15"/>
  <c r="EN20" i="15"/>
  <c r="EN363" i="15"/>
  <c r="ED772" i="15"/>
  <c r="ED447" i="15"/>
  <c r="ED839" i="15"/>
  <c r="ED492" i="15"/>
  <c r="ED276" i="15"/>
  <c r="ED619" i="15"/>
  <c r="ED808" i="15"/>
  <c r="ED737" i="15"/>
  <c r="ED806" i="15"/>
  <c r="ED678" i="15"/>
  <c r="ED477" i="15"/>
  <c r="ED410" i="15"/>
  <c r="ED344" i="15"/>
  <c r="ED837" i="15"/>
  <c r="ED553" i="15"/>
  <c r="ED401" i="15"/>
  <c r="ED307" i="15"/>
  <c r="ED392" i="15"/>
  <c r="ED376" i="15"/>
  <c r="ED310" i="15"/>
  <c r="ED260" i="15"/>
  <c r="ED69" i="15"/>
  <c r="ED668" i="15"/>
  <c r="ED634" i="15"/>
  <c r="ED600" i="15"/>
  <c r="ED584" i="15"/>
  <c r="ED517" i="15"/>
  <c r="ED416" i="15"/>
  <c r="ED165" i="15"/>
  <c r="ED99" i="15"/>
  <c r="ED135" i="15"/>
  <c r="ED230" i="15"/>
  <c r="ED130" i="15"/>
  <c r="ED29" i="15"/>
  <c r="ED13" i="15"/>
  <c r="ED166" i="15"/>
  <c r="ED150" i="15"/>
  <c r="ED116" i="15"/>
  <c r="ED100" i="15"/>
  <c r="ES681" i="15"/>
  <c r="ES516" i="15"/>
  <c r="EN276" i="15"/>
  <c r="EN246" i="15"/>
  <c r="EN797" i="15"/>
  <c r="EN359" i="15"/>
  <c r="EN111" i="15"/>
  <c r="ES727" i="15"/>
  <c r="ES482" i="15"/>
  <c r="ES359" i="15"/>
  <c r="ES850" i="15"/>
  <c r="ES304" i="15"/>
  <c r="ES60" i="15"/>
  <c r="ES734" i="15"/>
  <c r="ES235" i="15"/>
  <c r="ES52" i="15"/>
  <c r="ES856" i="15"/>
  <c r="ES840" i="15"/>
  <c r="ES825" i="15"/>
  <c r="ES809" i="15"/>
  <c r="ES783" i="15"/>
  <c r="ES722" i="15"/>
  <c r="ES691" i="15"/>
  <c r="ES661" i="15"/>
  <c r="ES630" i="15"/>
  <c r="ES600" i="15"/>
  <c r="ES569" i="15"/>
  <c r="ES538" i="15"/>
  <c r="ES508" i="15"/>
  <c r="ES477" i="15"/>
  <c r="ES447" i="15"/>
  <c r="ES416" i="15"/>
  <c r="ES385" i="15"/>
  <c r="ES354" i="15"/>
  <c r="ES323" i="15"/>
  <c r="ES292" i="15"/>
  <c r="ES261" i="15"/>
  <c r="ES231" i="15"/>
  <c r="ES200" i="15"/>
  <c r="ES169" i="15"/>
  <c r="ES139" i="15"/>
  <c r="EN370" i="15"/>
  <c r="EN261" i="15"/>
  <c r="EN782" i="15"/>
  <c r="EN476" i="15"/>
  <c r="EN461" i="15"/>
  <c r="EN446" i="15"/>
  <c r="EN415" i="15"/>
  <c r="EN400" i="15"/>
  <c r="EN384" i="15"/>
  <c r="EN55" i="15"/>
  <c r="EN629" i="15"/>
  <c r="EN87" i="15"/>
  <c r="EN68" i="15"/>
  <c r="EN53" i="15"/>
  <c r="EN38" i="15"/>
  <c r="EN189" i="15"/>
  <c r="EI699" i="15"/>
  <c r="EI638" i="15"/>
  <c r="EI577" i="15"/>
  <c r="EI515" i="15"/>
  <c r="EI455" i="15"/>
  <c r="EI393" i="15"/>
  <c r="EI330" i="15"/>
  <c r="EI208" i="15"/>
  <c r="EI146" i="15"/>
  <c r="EI25" i="15"/>
  <c r="EI92" i="15"/>
  <c r="EI74" i="15"/>
  <c r="ES815" i="15"/>
  <c r="ES120" i="15"/>
  <c r="ES612" i="15"/>
  <c r="ES367" i="15"/>
  <c r="ES471" i="15"/>
  <c r="ES843" i="15"/>
  <c r="ES796" i="15"/>
  <c r="ES550" i="15"/>
  <c r="ES121" i="15"/>
  <c r="ES794" i="15"/>
  <c r="ES778" i="15"/>
  <c r="ES761" i="15"/>
  <c r="ES748" i="15"/>
  <c r="ES717" i="15"/>
  <c r="ES702" i="15"/>
  <c r="ES671" i="15"/>
  <c r="ES656" i="15"/>
  <c r="ES641" i="15"/>
  <c r="ES625" i="15"/>
  <c r="ES611" i="15"/>
  <c r="ES595" i="15"/>
  <c r="ES579" i="15"/>
  <c r="ES564" i="15"/>
  <c r="ES533" i="15"/>
  <c r="ES518" i="15"/>
  <c r="ES503" i="15"/>
  <c r="ES488" i="15"/>
  <c r="ES457" i="15"/>
  <c r="ES442" i="15"/>
  <c r="ES427" i="15"/>
  <c r="ES411" i="15"/>
  <c r="ES396" i="15"/>
  <c r="ES380" i="15"/>
  <c r="ES365" i="15"/>
  <c r="ES349" i="15"/>
  <c r="ES333" i="15"/>
  <c r="ES318" i="15"/>
  <c r="ES302" i="15"/>
  <c r="ES287" i="15"/>
  <c r="ES256" i="15"/>
  <c r="ES241" i="15"/>
  <c r="ES226" i="15"/>
  <c r="ES211" i="15"/>
  <c r="ES195" i="15"/>
  <c r="ES180" i="15"/>
  <c r="ES165" i="15"/>
  <c r="ES149" i="15"/>
  <c r="ES134" i="15"/>
  <c r="ES119" i="15"/>
  <c r="ES103" i="15"/>
  <c r="ES88" i="15"/>
  <c r="ES73" i="15"/>
  <c r="EN354" i="15"/>
  <c r="EN185" i="15"/>
  <c r="EI684" i="15"/>
  <c r="EI622" i="15"/>
  <c r="EI561" i="15"/>
  <c r="EI500" i="15"/>
  <c r="EI439" i="15"/>
  <c r="EI377" i="15"/>
  <c r="EI315" i="15"/>
  <c r="EI253" i="15"/>
  <c r="EI192" i="15"/>
  <c r="EI131" i="15"/>
  <c r="EI9" i="15"/>
  <c r="EI59" i="15"/>
  <c r="ES673" i="15"/>
  <c r="ES858" i="15"/>
  <c r="ES421" i="15"/>
  <c r="ES182" i="15"/>
  <c r="ES798" i="15"/>
  <c r="ES766" i="15"/>
  <c r="ES737" i="15"/>
  <c r="ES707" i="15"/>
  <c r="ES676" i="15"/>
  <c r="ES645" i="15"/>
  <c r="ES615" i="15"/>
  <c r="ES584" i="15"/>
  <c r="ES553" i="15"/>
  <c r="ES523" i="15"/>
  <c r="ES492" i="15"/>
  <c r="ES462" i="15"/>
  <c r="ES431" i="15"/>
  <c r="ES401" i="15"/>
  <c r="ES370" i="15"/>
  <c r="ES338" i="15"/>
  <c r="ES307" i="15"/>
  <c r="ES276" i="15"/>
  <c r="ES246" i="15"/>
  <c r="ES216" i="15"/>
  <c r="ES185" i="15"/>
  <c r="ES154" i="15"/>
  <c r="ES17" i="15"/>
  <c r="EI483" i="15"/>
  <c r="EI468" i="15"/>
  <c r="EI453" i="15"/>
  <c r="EI437" i="15"/>
  <c r="EI422" i="15"/>
  <c r="EI407" i="15"/>
  <c r="EI391" i="15"/>
  <c r="EI375" i="15"/>
  <c r="EI360" i="15"/>
  <c r="EI344" i="15"/>
  <c r="EI328" i="15"/>
  <c r="EI313" i="15"/>
  <c r="EI298" i="15"/>
  <c r="EI282" i="15"/>
  <c r="EI267" i="15"/>
  <c r="EI236" i="15"/>
  <c r="EI221" i="15"/>
  <c r="EI206" i="15"/>
  <c r="EI175" i="15"/>
  <c r="EI160" i="15"/>
  <c r="EI145" i="15"/>
  <c r="EI129" i="15"/>
  <c r="EI110" i="15"/>
  <c r="EI91" i="15"/>
  <c r="EI72" i="15"/>
  <c r="EI57" i="15"/>
  <c r="EI42" i="15"/>
  <c r="EI23" i="15"/>
  <c r="EI846" i="15"/>
  <c r="EI830" i="15"/>
  <c r="EI815" i="15"/>
  <c r="EI799" i="15"/>
  <c r="EI784" i="15"/>
  <c r="EI767" i="15"/>
  <c r="EI754" i="15"/>
  <c r="EI738" i="15"/>
  <c r="EI723" i="15"/>
  <c r="EI708" i="15"/>
  <c r="EI692" i="15"/>
  <c r="EI677" i="15"/>
  <c r="EI662" i="15"/>
  <c r="EI646" i="15"/>
  <c r="EI631" i="15"/>
  <c r="EI616" i="15"/>
  <c r="EI601" i="15"/>
  <c r="EI585" i="15"/>
  <c r="EI570" i="15"/>
  <c r="EI554" i="15"/>
  <c r="EI539" i="15"/>
  <c r="EI524" i="15"/>
  <c r="EI509" i="15"/>
  <c r="EI493" i="15"/>
  <c r="EI478" i="15"/>
  <c r="EI463" i="15"/>
  <c r="EI448" i="15"/>
  <c r="EI432" i="15"/>
  <c r="EI417" i="15"/>
  <c r="EI402" i="15"/>
  <c r="EI386" i="15"/>
  <c r="EI371" i="15"/>
  <c r="EI355" i="15"/>
  <c r="EI339" i="15"/>
  <c r="EI308" i="15"/>
  <c r="EI293" i="15"/>
  <c r="EI277" i="15"/>
  <c r="EI262" i="15"/>
  <c r="EI247" i="15"/>
  <c r="EI232" i="15"/>
  <c r="EI217" i="15"/>
  <c r="EI201" i="15"/>
  <c r="EI186" i="15"/>
  <c r="EI170" i="15"/>
  <c r="EI155" i="15"/>
  <c r="EI140" i="15"/>
  <c r="EI125" i="15"/>
  <c r="EI109" i="15"/>
  <c r="EI94" i="15"/>
  <c r="EI79" i="15"/>
  <c r="EI60" i="15"/>
  <c r="EI44" i="15"/>
  <c r="EI26" i="15"/>
  <c r="EI10" i="15"/>
  <c r="EI6" i="15"/>
  <c r="EI848" i="15"/>
  <c r="EI832" i="15"/>
  <c r="EI817" i="15"/>
  <c r="EI801" i="15"/>
  <c r="EI786" i="15"/>
  <c r="EI769" i="15"/>
  <c r="EI755" i="15"/>
  <c r="EI740" i="15"/>
  <c r="EI725" i="15"/>
  <c r="EI710" i="15"/>
  <c r="EI694" i="15"/>
  <c r="EI679" i="15"/>
  <c r="EI664" i="15"/>
  <c r="EI648" i="15"/>
  <c r="EI633" i="15"/>
  <c r="EI618" i="15"/>
  <c r="EI603" i="15"/>
  <c r="EI587" i="15"/>
  <c r="EI573" i="15"/>
  <c r="EI556" i="15"/>
  <c r="EI541" i="15"/>
  <c r="EI526" i="15"/>
  <c r="EI511" i="15"/>
  <c r="EI495" i="15"/>
  <c r="EI480" i="15"/>
  <c r="EI465" i="15"/>
  <c r="EI450" i="15"/>
  <c r="EI434" i="15"/>
  <c r="EI419" i="15"/>
  <c r="EI404" i="15"/>
  <c r="EI388" i="15"/>
  <c r="EI372" i="15"/>
  <c r="EI357" i="15"/>
  <c r="EI341" i="15"/>
  <c r="EI310" i="15"/>
  <c r="EI295" i="15"/>
  <c r="EI279" i="15"/>
  <c r="EI264" i="15"/>
  <c r="EI249" i="15"/>
  <c r="EI233" i="15"/>
  <c r="EI219" i="15"/>
  <c r="EI203" i="15"/>
  <c r="EI188" i="15"/>
  <c r="EI172" i="15"/>
  <c r="EI157" i="15"/>
  <c r="EI142" i="15"/>
  <c r="EI126" i="15"/>
  <c r="EI111" i="15"/>
  <c r="EI96" i="15"/>
  <c r="EI81" i="15"/>
  <c r="EI62" i="15"/>
  <c r="EI46" i="15"/>
  <c r="EI28" i="15"/>
  <c r="EI12" i="15"/>
  <c r="ED818" i="15"/>
  <c r="ED649" i="15"/>
  <c r="ED248" i="15"/>
  <c r="ED770" i="15"/>
  <c r="ED797" i="15"/>
  <c r="ED796" i="15"/>
  <c r="ED711" i="15"/>
  <c r="ED510" i="15"/>
  <c r="ED311" i="15"/>
  <c r="ED435" i="15"/>
  <c r="ED107" i="15"/>
  <c r="ED768" i="15"/>
  <c r="ED802" i="15"/>
  <c r="ED780" i="15"/>
  <c r="ED665" i="15"/>
  <c r="ED464" i="15"/>
  <c r="ED265" i="15"/>
  <c r="ED90" i="15"/>
  <c r="ED527" i="15"/>
  <c r="ED451" i="15"/>
  <c r="ED833" i="15"/>
  <c r="ED557" i="15"/>
  <c r="ED356" i="15"/>
  <c r="ED706" i="15"/>
  <c r="ED690" i="15"/>
  <c r="ED673" i="15"/>
  <c r="ED522" i="15"/>
  <c r="ED505" i="15"/>
  <c r="ED322" i="15"/>
  <c r="ED306" i="15"/>
  <c r="ED289" i="15"/>
  <c r="ED273" i="15"/>
  <c r="ED680" i="15"/>
  <c r="ED663" i="15"/>
  <c r="ED647" i="15"/>
  <c r="ED512" i="15"/>
  <c r="ED496" i="15"/>
  <c r="ED479" i="15"/>
  <c r="ED296" i="15"/>
  <c r="ED280" i="15"/>
  <c r="ED263" i="15"/>
  <c r="ED215" i="15"/>
  <c r="ED721" i="15"/>
  <c r="ED704" i="15"/>
  <c r="ED537" i="15"/>
  <c r="ED520" i="15"/>
  <c r="ED369" i="15"/>
  <c r="ED353" i="15"/>
  <c r="ED337" i="15"/>
  <c r="ED320" i="15"/>
  <c r="ED304" i="15"/>
  <c r="ED93" i="15"/>
  <c r="ED75" i="15"/>
  <c r="ED58" i="15"/>
  <c r="ED24" i="15"/>
  <c r="ED8" i="15"/>
  <c r="ED540" i="15"/>
  <c r="ED405" i="15"/>
  <c r="ED752" i="15"/>
  <c r="ED719" i="15"/>
  <c r="ED552" i="15"/>
  <c r="ED367" i="15"/>
  <c r="ED335" i="15"/>
  <c r="ED709" i="15"/>
  <c r="ED525" i="15"/>
  <c r="ED326" i="15"/>
  <c r="ED765" i="15"/>
  <c r="ED750" i="15"/>
  <c r="ED599" i="15"/>
  <c r="ED583" i="15"/>
  <c r="ED566" i="15"/>
  <c r="ED550" i="15"/>
  <c r="ED415" i="15"/>
  <c r="ED398" i="15"/>
  <c r="ED382" i="15"/>
  <c r="ED228" i="15"/>
  <c r="ED127" i="15"/>
  <c r="ED138" i="15"/>
  <c r="ED121" i="15"/>
  <c r="ED105" i="15"/>
  <c r="ED38" i="15"/>
  <c r="ED21" i="15"/>
  <c r="ED158" i="15"/>
  <c r="ED141" i="15"/>
  <c r="ED108" i="15"/>
  <c r="ED37" i="15"/>
  <c r="ED849" i="15"/>
  <c r="ED741" i="15"/>
  <c r="ED340" i="15"/>
  <c r="ED123" i="15"/>
  <c r="ED736" i="15"/>
  <c r="ED568" i="15"/>
  <c r="ED535" i="15"/>
  <c r="ED400" i="15"/>
  <c r="ED384" i="15"/>
  <c r="ED351" i="15"/>
  <c r="ED726" i="15"/>
  <c r="ED693" i="15"/>
  <c r="ED542" i="15"/>
  <c r="ED358" i="15"/>
  <c r="ED342" i="15"/>
  <c r="ED309" i="15"/>
  <c r="ED199" i="15"/>
  <c r="ED734" i="15"/>
  <c r="ED858" i="15"/>
  <c r="ED813" i="15"/>
  <c r="ED632" i="15"/>
  <c r="ED847" i="15"/>
  <c r="ED602" i="15"/>
  <c r="ED695" i="15"/>
  <c r="ED494" i="15"/>
  <c r="ED294" i="15"/>
  <c r="ED787" i="15"/>
  <c r="ED586" i="15"/>
  <c r="ED418" i="15"/>
  <c r="ED40" i="15"/>
  <c r="ED800" i="15"/>
  <c r="ED724" i="15"/>
  <c r="ED389" i="15"/>
  <c r="ED56" i="15"/>
  <c r="ED782" i="15"/>
  <c r="ED763" i="15"/>
  <c r="ED614" i="15"/>
  <c r="ED597" i="15"/>
  <c r="ED581" i="15"/>
  <c r="ED446" i="15"/>
  <c r="ED413" i="15"/>
  <c r="ED153" i="15"/>
  <c r="ED19" i="15"/>
  <c r="ED756" i="15"/>
  <c r="ED739" i="15"/>
  <c r="ED604" i="15"/>
  <c r="ED588" i="15"/>
  <c r="ED571" i="15"/>
  <c r="ED555" i="15"/>
  <c r="ED420" i="15"/>
  <c r="ED403" i="15"/>
  <c r="ED387" i="15"/>
  <c r="ED182" i="15"/>
  <c r="ED629" i="15"/>
  <c r="ED612" i="15"/>
  <c r="ED461" i="15"/>
  <c r="ED444" i="15"/>
  <c r="ED245" i="15"/>
  <c r="ED77" i="15"/>
  <c r="ED173" i="15"/>
  <c r="ED156" i="15"/>
  <c r="ED122" i="15"/>
  <c r="ED106" i="15"/>
  <c r="ED89" i="15"/>
  <c r="ED55" i="15"/>
  <c r="ED39" i="15"/>
  <c r="ED22" i="15"/>
  <c r="ED184" i="15"/>
  <c r="ED151" i="15"/>
  <c r="ED204" i="15"/>
  <c r="ED187" i="15"/>
  <c r="ED171" i="15"/>
  <c r="ED87" i="15"/>
  <c r="ED70" i="15"/>
  <c r="ED53" i="15"/>
  <c r="ES820" i="15"/>
  <c r="EN847" i="15"/>
  <c r="EN663" i="15"/>
  <c r="EN602" i="15"/>
  <c r="EN433" i="15"/>
  <c r="EN857" i="15"/>
  <c r="EN814" i="15"/>
  <c r="EN569" i="15"/>
  <c r="EN523" i="15"/>
  <c r="ES763" i="15"/>
  <c r="ES266" i="15"/>
  <c r="ES452" i="15"/>
  <c r="ES22" i="15"/>
  <c r="EN774" i="15"/>
  <c r="EN469" i="15"/>
  <c r="EN454" i="15"/>
  <c r="EN438" i="15"/>
  <c r="EN423" i="15"/>
  <c r="EN392" i="15"/>
  <c r="EN852" i="15"/>
  <c r="EN805" i="15"/>
  <c r="EN729" i="15"/>
  <c r="EN824" i="15"/>
  <c r="EN777" i="15"/>
  <c r="EN732" i="15"/>
  <c r="EN610" i="15"/>
  <c r="EN364" i="15"/>
  <c r="EN348" i="15"/>
  <c r="EN332" i="15"/>
  <c r="EN317" i="15"/>
  <c r="EN301" i="15"/>
  <c r="EN286" i="15"/>
  <c r="EN271" i="15"/>
  <c r="EN255" i="15"/>
  <c r="EN240" i="15"/>
  <c r="EN225" i="15"/>
  <c r="EN210" i="15"/>
  <c r="EN194" i="15"/>
  <c r="EN179" i="15"/>
  <c r="EN164" i="15"/>
  <c r="EN148" i="15"/>
  <c r="EN133" i="15"/>
  <c r="EN114" i="15"/>
  <c r="EN11" i="15"/>
  <c r="EN25" i="15"/>
  <c r="EI116" i="15"/>
  <c r="EI849" i="15"/>
  <c r="EI787" i="15"/>
  <c r="EI726" i="15"/>
  <c r="EI814" i="15"/>
  <c r="EI63" i="15"/>
  <c r="EI841" i="15"/>
  <c r="EI779" i="15"/>
  <c r="EI718" i="15"/>
  <c r="EI657" i="15"/>
  <c r="EI596" i="15"/>
  <c r="EI534" i="15"/>
  <c r="EI473" i="15"/>
  <c r="EI412" i="15"/>
  <c r="EI350" i="15"/>
  <c r="EI288" i="15"/>
  <c r="EI227" i="15"/>
  <c r="EI166" i="15"/>
  <c r="EI855" i="15"/>
  <c r="EI839" i="15"/>
  <c r="EI824" i="15"/>
  <c r="EI808" i="15"/>
  <c r="EI793" i="15"/>
  <c r="EI777" i="15"/>
  <c r="EI760" i="15"/>
  <c r="EI747" i="15"/>
  <c r="EI732" i="15"/>
  <c r="EI716" i="15"/>
  <c r="EI701" i="15"/>
  <c r="EI686" i="15"/>
  <c r="EI670" i="15"/>
  <c r="EI655" i="15"/>
  <c r="EI624" i="15"/>
  <c r="EI610" i="15"/>
  <c r="EI594" i="15"/>
  <c r="EI563" i="15"/>
  <c r="EI548" i="15"/>
  <c r="EI532" i="15"/>
  <c r="EI517" i="15"/>
  <c r="EI502" i="15"/>
  <c r="EI487" i="15"/>
  <c r="ES513" i="15"/>
  <c r="ES59" i="15"/>
  <c r="ES83" i="15"/>
  <c r="ES578" i="15"/>
  <c r="ES757" i="15"/>
  <c r="ES62" i="15"/>
  <c r="ES46" i="15"/>
  <c r="ES28" i="15"/>
  <c r="ES12" i="15"/>
  <c r="EN92" i="15"/>
  <c r="EN13" i="15"/>
  <c r="EN637" i="15"/>
  <c r="EI100" i="15"/>
  <c r="EI47" i="15"/>
  <c r="EI703" i="15"/>
  <c r="EI580" i="15"/>
  <c r="EI519" i="15"/>
  <c r="EI458" i="15"/>
  <c r="EI397" i="15"/>
  <c r="EI334" i="15"/>
  <c r="EI272" i="15"/>
  <c r="EI212" i="15"/>
  <c r="EI150" i="15"/>
  <c r="ES30" i="15"/>
  <c r="ES819" i="15"/>
  <c r="ES635" i="15"/>
  <c r="ES784" i="15"/>
  <c r="ES723" i="15"/>
  <c r="ES662" i="15"/>
  <c r="ES601" i="15"/>
  <c r="ES539" i="15"/>
  <c r="ES478" i="15"/>
  <c r="ES417" i="15"/>
  <c r="ES355" i="15"/>
  <c r="ES293" i="15"/>
  <c r="ES232" i="15"/>
  <c r="ES170" i="15"/>
  <c r="ES109" i="15"/>
  <c r="ES34" i="15"/>
  <c r="ES851" i="15"/>
  <c r="ES642" i="15"/>
  <c r="ES572" i="15"/>
  <c r="ES327" i="15"/>
  <c r="ES144" i="15"/>
  <c r="EN758" i="15"/>
  <c r="EN638" i="15"/>
  <c r="EN530" i="15"/>
  <c r="EN424" i="15"/>
  <c r="EN74" i="15"/>
  <c r="EN591" i="15"/>
  <c r="EN560" i="15"/>
  <c r="EN545" i="15"/>
  <c r="EN499" i="15"/>
  <c r="EN791" i="15"/>
  <c r="EN577" i="15"/>
  <c r="EN408" i="15"/>
  <c r="EN647" i="15"/>
  <c r="EN571" i="15"/>
  <c r="EN525" i="15"/>
  <c r="EN339" i="15"/>
  <c r="EN277" i="15"/>
  <c r="EN217" i="15"/>
  <c r="EN155" i="15"/>
  <c r="EN94" i="15"/>
  <c r="EI688" i="15"/>
  <c r="EI626" i="15"/>
  <c r="EI565" i="15"/>
  <c r="EI504" i="15"/>
  <c r="EI443" i="15"/>
  <c r="EI381" i="15"/>
  <c r="EI319" i="15"/>
  <c r="EI257" i="15"/>
  <c r="EI196" i="15"/>
  <c r="EI135" i="15"/>
  <c r="EI472" i="15"/>
  <c r="EI456" i="15"/>
  <c r="EI441" i="15"/>
  <c r="EI426" i="15"/>
  <c r="EI410" i="15"/>
  <c r="EI395" i="15"/>
  <c r="EI379" i="15"/>
  <c r="EI364" i="15"/>
  <c r="EI348" i="15"/>
  <c r="EI332" i="15"/>
  <c r="EI317" i="15"/>
  <c r="EI301" i="15"/>
  <c r="EI286" i="15"/>
  <c r="EI271" i="15"/>
  <c r="EI255" i="15"/>
  <c r="EI240" i="15"/>
  <c r="EI225" i="15"/>
  <c r="EI210" i="15"/>
  <c r="EI194" i="15"/>
  <c r="EI179" i="15"/>
  <c r="EI164" i="15"/>
  <c r="EI148" i="15"/>
  <c r="EI133" i="15"/>
  <c r="EI114" i="15"/>
  <c r="EI95" i="15"/>
  <c r="EI76" i="15"/>
  <c r="EI61" i="15"/>
  <c r="EI45" i="15"/>
  <c r="EI27" i="15"/>
  <c r="EI11" i="15"/>
  <c r="EI850" i="15"/>
  <c r="EI834" i="15"/>
  <c r="EI819" i="15"/>
  <c r="EI803" i="15"/>
  <c r="EI788" i="15"/>
  <c r="EI771" i="15"/>
  <c r="EI757" i="15"/>
  <c r="EI742" i="15"/>
  <c r="EI727" i="15"/>
  <c r="EI696" i="15"/>
  <c r="EI681" i="15"/>
  <c r="EI666" i="15"/>
  <c r="EI650" i="15"/>
  <c r="EI635" i="15"/>
  <c r="EI620" i="15"/>
  <c r="EI605" i="15"/>
  <c r="EI589" i="15"/>
  <c r="EI572" i="15"/>
  <c r="EI558" i="15"/>
  <c r="EI543" i="15"/>
  <c r="EI513" i="15"/>
  <c r="EI497" i="15"/>
  <c r="EI482" i="15"/>
  <c r="EI467" i="15"/>
  <c r="EI452" i="15"/>
  <c r="EI436" i="15"/>
  <c r="EI421" i="15"/>
  <c r="EI390" i="15"/>
  <c r="EI374" i="15"/>
  <c r="EI359" i="15"/>
  <c r="EI343" i="15"/>
  <c r="EI327" i="15"/>
  <c r="EI312" i="15"/>
  <c r="EI297" i="15"/>
  <c r="EI281" i="15"/>
  <c r="EI266" i="15"/>
  <c r="EI251" i="15"/>
  <c r="EI235" i="15"/>
  <c r="EI220" i="15"/>
  <c r="EI205" i="15"/>
  <c r="EI190" i="15"/>
  <c r="EI174" i="15"/>
  <c r="EI159" i="15"/>
  <c r="EI144" i="15"/>
  <c r="EI128" i="15"/>
  <c r="EI113" i="15"/>
  <c r="EI98" i="15"/>
  <c r="EI83" i="15"/>
  <c r="EI67" i="15"/>
  <c r="EI48" i="15"/>
  <c r="EI30" i="15"/>
  <c r="EI14" i="15"/>
  <c r="EI29" i="15"/>
  <c r="EI852" i="15"/>
  <c r="EI836" i="15"/>
  <c r="EI821" i="15"/>
  <c r="EI805" i="15"/>
  <c r="EI790" i="15"/>
  <c r="EI774" i="15"/>
  <c r="EI744" i="15"/>
  <c r="EI729" i="15"/>
  <c r="EI714" i="15"/>
  <c r="EI698" i="15"/>
  <c r="EI683" i="15"/>
  <c r="EI668" i="15"/>
  <c r="EI652" i="15"/>
  <c r="EI637" i="15"/>
  <c r="EI607" i="15"/>
  <c r="EI591" i="15"/>
  <c r="EI560" i="15"/>
  <c r="EI545" i="15"/>
  <c r="EI499" i="15"/>
  <c r="EI484" i="15"/>
  <c r="EI469" i="15"/>
  <c r="EI454" i="15"/>
  <c r="EI438" i="15"/>
  <c r="EI423" i="15"/>
  <c r="EI392" i="15"/>
  <c r="EI376" i="15"/>
  <c r="EI361" i="15"/>
  <c r="EI345" i="15"/>
  <c r="EI329" i="15"/>
  <c r="EI314" i="15"/>
  <c r="EI299" i="15"/>
  <c r="EI283" i="15"/>
  <c r="EI268" i="15"/>
  <c r="EI252" i="15"/>
  <c r="EI237" i="15"/>
  <c r="EI222" i="15"/>
  <c r="EI207" i="15"/>
  <c r="EI191" i="15"/>
  <c r="EI176" i="15"/>
  <c r="EI161" i="15"/>
  <c r="EI130" i="15"/>
  <c r="EI115" i="15"/>
  <c r="EI99" i="15"/>
  <c r="EI84" i="15"/>
  <c r="EI69" i="15"/>
  <c r="EI50" i="15"/>
  <c r="EI32" i="15"/>
  <c r="EI16" i="15"/>
  <c r="EI13" i="15"/>
  <c r="EN401" i="15"/>
  <c r="EN22" i="15"/>
  <c r="ES808" i="15"/>
  <c r="ES597" i="15"/>
  <c r="ES228" i="15"/>
  <c r="ES762" i="15"/>
  <c r="ES733" i="15"/>
  <c r="ES703" i="15"/>
  <c r="ES672" i="15"/>
  <c r="ES580" i="15"/>
  <c r="ES549" i="15"/>
  <c r="ES519" i="15"/>
  <c r="ES489" i="15"/>
  <c r="ES458" i="15"/>
  <c r="ES428" i="15"/>
  <c r="ES397" i="15"/>
  <c r="ES366" i="15"/>
  <c r="ES334" i="15"/>
  <c r="ES303" i="15"/>
  <c r="ES272" i="15"/>
  <c r="ES242" i="15"/>
  <c r="ES212" i="15"/>
  <c r="ES181" i="15"/>
  <c r="ES150" i="15"/>
  <c r="ES13" i="15"/>
  <c r="ES44" i="15"/>
  <c r="ES63" i="15"/>
  <c r="EI691" i="15"/>
  <c r="EI630" i="15"/>
  <c r="EI569" i="15"/>
  <c r="EI508" i="15"/>
  <c r="EI447" i="15"/>
  <c r="EI385" i="15"/>
  <c r="EI323" i="15"/>
  <c r="EI261" i="15"/>
  <c r="EI200" i="15"/>
  <c r="EI139" i="15"/>
  <c r="EI104" i="15"/>
  <c r="EI856" i="15"/>
  <c r="EI840" i="15"/>
  <c r="EI825" i="15"/>
  <c r="EI809" i="15"/>
  <c r="EI794" i="15"/>
  <c r="EI778" i="15"/>
  <c r="EI761" i="15"/>
  <c r="EI748" i="15"/>
  <c r="EI717" i="15"/>
  <c r="EI702" i="15"/>
  <c r="EI671" i="15"/>
  <c r="EI656" i="15"/>
  <c r="EI641" i="15"/>
  <c r="EI625" i="15"/>
  <c r="EI611" i="15"/>
  <c r="EI595" i="15"/>
  <c r="EI579" i="15"/>
  <c r="EI564" i="15"/>
  <c r="EI533" i="15"/>
  <c r="EI518" i="15"/>
  <c r="EI503" i="15"/>
  <c r="EI488" i="15"/>
  <c r="EI457" i="15"/>
  <c r="EI442" i="15"/>
  <c r="EI427" i="15"/>
  <c r="EI411" i="15"/>
  <c r="EI396" i="15"/>
  <c r="EI380" i="15"/>
  <c r="EI365" i="15"/>
  <c r="EI349" i="15"/>
  <c r="EI333" i="15"/>
  <c r="EI318" i="15"/>
  <c r="EI302" i="15"/>
  <c r="EI287" i="15"/>
  <c r="EI256" i="15"/>
  <c r="EI241" i="15"/>
  <c r="EI226" i="15"/>
  <c r="EI211" i="15"/>
  <c r="EI195" i="15"/>
  <c r="EI180" i="15"/>
  <c r="EI165" i="15"/>
  <c r="EI149" i="15"/>
  <c r="EI134" i="15"/>
  <c r="EI119" i="15"/>
  <c r="EI103" i="15"/>
  <c r="EI88" i="15"/>
  <c r="EI73" i="15"/>
  <c r="EI54" i="15"/>
  <c r="EI35" i="15"/>
  <c r="EI20" i="15"/>
  <c r="ED74" i="15"/>
  <c r="EN358" i="15"/>
  <c r="ES37" i="15"/>
  <c r="EN320" i="15"/>
  <c r="ES593" i="15"/>
  <c r="ES101" i="15"/>
  <c r="ES474" i="15"/>
  <c r="ED846" i="15"/>
  <c r="ED822" i="15"/>
  <c r="ED801" i="15"/>
  <c r="ED728" i="15"/>
  <c r="ED393" i="15"/>
  <c r="ED328" i="15"/>
  <c r="ED820" i="15"/>
  <c r="ES839" i="15"/>
  <c r="ES289" i="15"/>
  <c r="ES779" i="15"/>
  <c r="ES749" i="15"/>
  <c r="ES718" i="15"/>
  <c r="ES688" i="15"/>
  <c r="ES657" i="15"/>
  <c r="ES626" i="15"/>
  <c r="ES596" i="15"/>
  <c r="ES565" i="15"/>
  <c r="ES534" i="15"/>
  <c r="ES504" i="15"/>
  <c r="ES473" i="15"/>
  <c r="ES443" i="15"/>
  <c r="ES412" i="15"/>
  <c r="ES381" i="15"/>
  <c r="ES350" i="15"/>
  <c r="ES319" i="15"/>
  <c r="ES288" i="15"/>
  <c r="ES257" i="15"/>
  <c r="ES227" i="15"/>
  <c r="ES196" i="15"/>
  <c r="ES166" i="15"/>
  <c r="ES135" i="15"/>
  <c r="ES29" i="15"/>
  <c r="ES855" i="15"/>
  <c r="ES658" i="15"/>
  <c r="ES167" i="15"/>
  <c r="ES792" i="15"/>
  <c r="ES759" i="15"/>
  <c r="ES547" i="15"/>
  <c r="ES425" i="15"/>
  <c r="ES270" i="15"/>
  <c r="ES117" i="15"/>
  <c r="ES86" i="15"/>
  <c r="ES48" i="15"/>
  <c r="ES824" i="15"/>
  <c r="ES351" i="15"/>
  <c r="ES78" i="15"/>
  <c r="ES47" i="15"/>
  <c r="ED773" i="15"/>
  <c r="ED422" i="15"/>
  <c r="ED740" i="15"/>
  <c r="ED723" i="15"/>
  <c r="ED573" i="15"/>
  <c r="ED556" i="15"/>
  <c r="ED539" i="15"/>
  <c r="ED455" i="15"/>
  <c r="ED404" i="15"/>
  <c r="ED388" i="15"/>
  <c r="ED372" i="15"/>
  <c r="ED355" i="15"/>
  <c r="ED339" i="15"/>
  <c r="ED186" i="15"/>
  <c r="ED730" i="15"/>
  <c r="ED697" i="15"/>
  <c r="ED546" i="15"/>
  <c r="ED530" i="15"/>
  <c r="ED362" i="15"/>
  <c r="ED346" i="15"/>
  <c r="ED330" i="15"/>
  <c r="ED313" i="15"/>
  <c r="ED81" i="15"/>
  <c r="ED755" i="15"/>
  <c r="ED738" i="15"/>
  <c r="ED621" i="15"/>
  <c r="ED603" i="15"/>
  <c r="ED587" i="15"/>
  <c r="ED570" i="15"/>
  <c r="ED554" i="15"/>
  <c r="ED419" i="15"/>
  <c r="ED402" i="15"/>
  <c r="ED386" i="15"/>
  <c r="ED111" i="15"/>
  <c r="ED44" i="15"/>
  <c r="ED232" i="15"/>
  <c r="ED131" i="15"/>
  <c r="ED142" i="15"/>
  <c r="ED126" i="15"/>
  <c r="ED109" i="15"/>
  <c r="ED42" i="15"/>
  <c r="ED25" i="15"/>
  <c r="ED9" i="15"/>
  <c r="ED162" i="15"/>
  <c r="ED146" i="15"/>
  <c r="ED129" i="15"/>
  <c r="ED112" i="15"/>
  <c r="ES780" i="15"/>
  <c r="ES842" i="15"/>
  <c r="ES105" i="15"/>
  <c r="ES799" i="15"/>
  <c r="ES738" i="15"/>
  <c r="ES677" i="15"/>
  <c r="ES616" i="15"/>
  <c r="ES554" i="15"/>
  <c r="ES493" i="15"/>
  <c r="ES432" i="15"/>
  <c r="ES371" i="15"/>
  <c r="ES308" i="15"/>
  <c r="ES247" i="15"/>
  <c r="ES186" i="15"/>
  <c r="ES125" i="15"/>
  <c r="ES535" i="15"/>
  <c r="ES32" i="15"/>
  <c r="ES16" i="15"/>
  <c r="EN783" i="15"/>
  <c r="EN676" i="15"/>
  <c r="EN615" i="15"/>
  <c r="EN338" i="15"/>
  <c r="EN292" i="15"/>
  <c r="EN169" i="15"/>
  <c r="EN766" i="15"/>
  <c r="EN600" i="15"/>
  <c r="EN553" i="15"/>
  <c r="EN385" i="15"/>
  <c r="EN855" i="15"/>
  <c r="EN808" i="15"/>
  <c r="EN760" i="15"/>
  <c r="EN686" i="15"/>
  <c r="EN670" i="15"/>
  <c r="EN563" i="15"/>
  <c r="EN548" i="15"/>
  <c r="EN410" i="15"/>
  <c r="EN592" i="15"/>
  <c r="EN546" i="15"/>
  <c r="EN810" i="15"/>
  <c r="EN688" i="15"/>
  <c r="EN626" i="15"/>
  <c r="EN466" i="15"/>
  <c r="EN405" i="15"/>
  <c r="EN303" i="15"/>
  <c r="EN181" i="15"/>
  <c r="EN135" i="15"/>
  <c r="EN63" i="15"/>
  <c r="EN641" i="15"/>
  <c r="EN457" i="15"/>
  <c r="EN442" i="15"/>
  <c r="EN427" i="15"/>
  <c r="EN411" i="15"/>
  <c r="EN396" i="15"/>
  <c r="EN380" i="15"/>
  <c r="EN481" i="15"/>
  <c r="EN435" i="15"/>
  <c r="EN350" i="15"/>
  <c r="EN227" i="15"/>
  <c r="EN100" i="15"/>
  <c r="EN778" i="15"/>
  <c r="EN702" i="15"/>
  <c r="EN656" i="15"/>
  <c r="EN536" i="15"/>
  <c r="EN521" i="15"/>
  <c r="EN491" i="15"/>
  <c r="EN475" i="15"/>
  <c r="EN445" i="15"/>
  <c r="EN118" i="15"/>
  <c r="EN102" i="15"/>
  <c r="EN762" i="15"/>
  <c r="EN519" i="15"/>
  <c r="EN473" i="15"/>
  <c r="EN56" i="15"/>
  <c r="EI802" i="15"/>
  <c r="EI741" i="15"/>
  <c r="EI36" i="15"/>
  <c r="EI829" i="15"/>
  <c r="EI766" i="15"/>
  <c r="EI707" i="15"/>
  <c r="EI645" i="15"/>
  <c r="EI584" i="15"/>
  <c r="EI523" i="15"/>
  <c r="EI462" i="15"/>
  <c r="EI401" i="15"/>
  <c r="EI338" i="15"/>
  <c r="EI276" i="15"/>
  <c r="EI216" i="15"/>
  <c r="EI154" i="15"/>
  <c r="EI857" i="15"/>
  <c r="EI733" i="15"/>
  <c r="EI120" i="15"/>
  <c r="EI859" i="15"/>
  <c r="EI843" i="15"/>
  <c r="EI828" i="15"/>
  <c r="EI812" i="15"/>
  <c r="EI781" i="15"/>
  <c r="EI764" i="15"/>
  <c r="EI751" i="15"/>
  <c r="EI735" i="15"/>
  <c r="EI720" i="15"/>
  <c r="EI705" i="15"/>
  <c r="EI689" i="15"/>
  <c r="EI674" i="15"/>
  <c r="EI659" i="15"/>
  <c r="EI643" i="15"/>
  <c r="EI628" i="15"/>
  <c r="EI613" i="15"/>
  <c r="EI598" i="15"/>
  <c r="EI582" i="15"/>
  <c r="EI567" i="15"/>
  <c r="EI551" i="15"/>
  <c r="EI536" i="15"/>
  <c r="EI521" i="15"/>
  <c r="EI506" i="15"/>
  <c r="EI491" i="15"/>
  <c r="EN166" i="15"/>
  <c r="EN34" i="15"/>
  <c r="EN718" i="15"/>
  <c r="EN657" i="15"/>
  <c r="EN596" i="15"/>
  <c r="EN489" i="15"/>
  <c r="EN443" i="15"/>
  <c r="EN381" i="15"/>
  <c r="EN212" i="15"/>
  <c r="EN801" i="15"/>
  <c r="EN595" i="15"/>
  <c r="EN579" i="15"/>
  <c r="EN564" i="15"/>
  <c r="EN533" i="15"/>
  <c r="EN518" i="15"/>
  <c r="EN503" i="15"/>
  <c r="EN480" i="15"/>
  <c r="EN465" i="15"/>
  <c r="EN450" i="15"/>
  <c r="EN434" i="15"/>
  <c r="EN419" i="15"/>
  <c r="EN404" i="15"/>
  <c r="EN388" i="15"/>
  <c r="EN12" i="15"/>
  <c r="EN549" i="15"/>
  <c r="EN458" i="15"/>
  <c r="EN334" i="15"/>
  <c r="EN288" i="15"/>
  <c r="EN29" i="15"/>
  <c r="EN755" i="15"/>
  <c r="EN636" i="15"/>
  <c r="EN514" i="15"/>
  <c r="EN468" i="15"/>
  <c r="EN453" i="15"/>
  <c r="EN407" i="15"/>
  <c r="EN360" i="15"/>
  <c r="EN344" i="15"/>
  <c r="EN328" i="15"/>
  <c r="EN313" i="15"/>
  <c r="EN298" i="15"/>
  <c r="EN282" i="15"/>
  <c r="EN267" i="15"/>
  <c r="EN236" i="15"/>
  <c r="EN221" i="15"/>
  <c r="EN206" i="15"/>
  <c r="EN175" i="15"/>
  <c r="EN160" i="15"/>
  <c r="EN145" i="15"/>
  <c r="EN129" i="15"/>
  <c r="EN72" i="15"/>
  <c r="EN57" i="15"/>
  <c r="EN42" i="15"/>
  <c r="EN23" i="15"/>
  <c r="EN8" i="15"/>
  <c r="EN496" i="15"/>
  <c r="EN451" i="15"/>
  <c r="EN297" i="15"/>
  <c r="EN128" i="15"/>
  <c r="EN14" i="15"/>
  <c r="EI66" i="15"/>
  <c r="EI676" i="15"/>
  <c r="EI615" i="15"/>
  <c r="EI553" i="15"/>
  <c r="EI492" i="15"/>
  <c r="EI431" i="15"/>
  <c r="EI370" i="15"/>
  <c r="EI307" i="15"/>
  <c r="EI246" i="15"/>
  <c r="EI185" i="15"/>
  <c r="EI475" i="15"/>
  <c r="EI460" i="15"/>
  <c r="EI445" i="15"/>
  <c r="EI430" i="15"/>
  <c r="EI414" i="15"/>
  <c r="EI399" i="15"/>
  <c r="EI383" i="15"/>
  <c r="EI368" i="15"/>
  <c r="EI352" i="15"/>
  <c r="EI336" i="15"/>
  <c r="EI321" i="15"/>
  <c r="EI305" i="15"/>
  <c r="EI290" i="15"/>
  <c r="EI275" i="15"/>
  <c r="EI259" i="15"/>
  <c r="EI244" i="15"/>
  <c r="EI229" i="15"/>
  <c r="EI214" i="15"/>
  <c r="EI198" i="15"/>
  <c r="EI183" i="15"/>
  <c r="EI168" i="15"/>
  <c r="EI152" i="15"/>
  <c r="EI137" i="15"/>
  <c r="EI118" i="15"/>
  <c r="EI102" i="15"/>
  <c r="EI80" i="15"/>
  <c r="EI65" i="15"/>
  <c r="EI49" i="15"/>
  <c r="EI31" i="15"/>
  <c r="EI15" i="15"/>
  <c r="EI854" i="15"/>
  <c r="EI838" i="15"/>
  <c r="EI823" i="15"/>
  <c r="EI807" i="15"/>
  <c r="EI792" i="15"/>
  <c r="EI759" i="15"/>
  <c r="EI746" i="15"/>
  <c r="EI715" i="15"/>
  <c r="EI700" i="15"/>
  <c r="EI685" i="15"/>
  <c r="EI669" i="15"/>
  <c r="EI654" i="15"/>
  <c r="EI639" i="15"/>
  <c r="EI623" i="15"/>
  <c r="EI609" i="15"/>
  <c r="EI593" i="15"/>
  <c r="EI578" i="15"/>
  <c r="EI562" i="15"/>
  <c r="EI547" i="15"/>
  <c r="EI531" i="15"/>
  <c r="EI516" i="15"/>
  <c r="EI501" i="15"/>
  <c r="EI486" i="15"/>
  <c r="EI471" i="15"/>
  <c r="EI440" i="15"/>
  <c r="EI425" i="15"/>
  <c r="EI409" i="15"/>
  <c r="EI394" i="15"/>
  <c r="EI378" i="15"/>
  <c r="EI363" i="15"/>
  <c r="EI347" i="15"/>
  <c r="EI331" i="15"/>
  <c r="EI316" i="15"/>
  <c r="EI285" i="15"/>
  <c r="EI270" i="15"/>
  <c r="EI254" i="15"/>
  <c r="EI239" i="15"/>
  <c r="EI224" i="15"/>
  <c r="EI209" i="15"/>
  <c r="EI193" i="15"/>
  <c r="EI178" i="15"/>
  <c r="EI163" i="15"/>
  <c r="EI147" i="15"/>
  <c r="EI132" i="15"/>
  <c r="EI117" i="15"/>
  <c r="EI101" i="15"/>
  <c r="EI86" i="15"/>
  <c r="EI71" i="15"/>
  <c r="EI52" i="15"/>
  <c r="EI34" i="15"/>
  <c r="EI18" i="15"/>
  <c r="EN10" i="15"/>
  <c r="EN741" i="15"/>
  <c r="EN574" i="15"/>
  <c r="EN512" i="15"/>
  <c r="EN649" i="15"/>
  <c r="EN527" i="15"/>
  <c r="EN735" i="15"/>
  <c r="EN430" i="15"/>
  <c r="EN621" i="15"/>
  <c r="EN498" i="15"/>
  <c r="EN787" i="15"/>
  <c r="EN665" i="15"/>
  <c r="EN779" i="15"/>
  <c r="EN565" i="15"/>
  <c r="EN397" i="15"/>
  <c r="EN840" i="15"/>
  <c r="EN794" i="15"/>
  <c r="FE794" i="15" s="1"/>
  <c r="FG794" i="15" s="1"/>
  <c r="EN743" i="15"/>
  <c r="EN200" i="15"/>
  <c r="EN809" i="15"/>
  <c r="EN761" i="15"/>
  <c r="EN717" i="15"/>
  <c r="EN366" i="15"/>
  <c r="EN319" i="15"/>
  <c r="EN272" i="15"/>
  <c r="EN242" i="15"/>
  <c r="EN150" i="15"/>
  <c r="EN104" i="15"/>
  <c r="ES258" i="15"/>
  <c r="ES136" i="15"/>
  <c r="ES834" i="15"/>
  <c r="ES802" i="15"/>
  <c r="ES770" i="15"/>
  <c r="ES741" i="15"/>
  <c r="FE741" i="15" s="1"/>
  <c r="FG741" i="15" s="1"/>
  <c r="ES711" i="15"/>
  <c r="ES680" i="15"/>
  <c r="ES649" i="15"/>
  <c r="ES619" i="15"/>
  <c r="ES859" i="15"/>
  <c r="ES197" i="15"/>
  <c r="ES811" i="15"/>
  <c r="ES787" i="15"/>
  <c r="ES756" i="15"/>
  <c r="ES726" i="15"/>
  <c r="ES695" i="15"/>
  <c r="ES665" i="15"/>
  <c r="ES634" i="15"/>
  <c r="ES604" i="15"/>
  <c r="ES574" i="15"/>
  <c r="ES542" i="15"/>
  <c r="ES512" i="15"/>
  <c r="ES481" i="15"/>
  <c r="ES451" i="15"/>
  <c r="ES420" i="15"/>
  <c r="ES389" i="15"/>
  <c r="ES358" i="15"/>
  <c r="ES588" i="15"/>
  <c r="ES557" i="15"/>
  <c r="ES527" i="15"/>
  <c r="ES496" i="15"/>
  <c r="ES466" i="15"/>
  <c r="ES435" i="15"/>
  <c r="ES405" i="15"/>
  <c r="ES373" i="15"/>
  <c r="ES342" i="15"/>
  <c r="ES311" i="15"/>
  <c r="ES280" i="15"/>
  <c r="ES189" i="15"/>
  <c r="ES158" i="15"/>
  <c r="ES127" i="15"/>
  <c r="ES66" i="15"/>
  <c r="ES36" i="15"/>
  <c r="ES6" i="15"/>
  <c r="ES828" i="15"/>
  <c r="ES589" i="15"/>
  <c r="ES505" i="15"/>
  <c r="ES343" i="15"/>
  <c r="ES14" i="15"/>
  <c r="ES849" i="15"/>
  <c r="ES833" i="15"/>
  <c r="ES818" i="15"/>
  <c r="ES812" i="15"/>
  <c r="ES781" i="15"/>
  <c r="ES764" i="15"/>
  <c r="ES751" i="15"/>
  <c r="ES735" i="15"/>
  <c r="ES720" i="15"/>
  <c r="ES705" i="15"/>
  <c r="ES689" i="15"/>
  <c r="ES674" i="15"/>
  <c r="ES659" i="15"/>
  <c r="ES643" i="15"/>
  <c r="ES628" i="15"/>
  <c r="ES613" i="15"/>
  <c r="ES598" i="15"/>
  <c r="ES582" i="15"/>
  <c r="ES567" i="15"/>
  <c r="ES551" i="15"/>
  <c r="ES536" i="15"/>
  <c r="ES521" i="15"/>
  <c r="ES506" i="15"/>
  <c r="ES491" i="15"/>
  <c r="ES475" i="15"/>
  <c r="ES460" i="15"/>
  <c r="ES445" i="15"/>
  <c r="ES430" i="15"/>
  <c r="ES414" i="15"/>
  <c r="ES399" i="15"/>
  <c r="ES383" i="15"/>
  <c r="ES368" i="15"/>
  <c r="ES352" i="15"/>
  <c r="ES336" i="15"/>
  <c r="ES321" i="15"/>
  <c r="ES305" i="15"/>
  <c r="ES290" i="15"/>
  <c r="ES275" i="15"/>
  <c r="ES259" i="15"/>
  <c r="ES244" i="15"/>
  <c r="ES229" i="15"/>
  <c r="ES214" i="15"/>
  <c r="ES198" i="15"/>
  <c r="ES183" i="15"/>
  <c r="ES168" i="15"/>
  <c r="ES152" i="15"/>
  <c r="ES137" i="15"/>
  <c r="ES122" i="15"/>
  <c r="ES106" i="15"/>
  <c r="ES91" i="15"/>
  <c r="ES76" i="15"/>
  <c r="ES61" i="15"/>
  <c r="ES45" i="15"/>
  <c r="ES31" i="15"/>
  <c r="ES15" i="15"/>
  <c r="EN234" i="15"/>
  <c r="ES326" i="15"/>
  <c r="ES296" i="15"/>
  <c r="ES265" i="15"/>
  <c r="ES234" i="15"/>
  <c r="ES204" i="15"/>
  <c r="ES173" i="15"/>
  <c r="ES112" i="15"/>
  <c r="ES51" i="15"/>
  <c r="ES21" i="15"/>
  <c r="ES467" i="15"/>
  <c r="ES382" i="15"/>
  <c r="ES220" i="15"/>
  <c r="ES754" i="15"/>
  <c r="ES692" i="15"/>
  <c r="ES631" i="15"/>
  <c r="ES570" i="15"/>
  <c r="ES509" i="15"/>
  <c r="ES448" i="15"/>
  <c r="ES386" i="15"/>
  <c r="ES262" i="15"/>
  <c r="ES201" i="15"/>
  <c r="ES140" i="15"/>
  <c r="ES79" i="15"/>
  <c r="ES18" i="15"/>
  <c r="ES771" i="15"/>
  <c r="ES98" i="15"/>
  <c r="ES848" i="15"/>
  <c r="ES832" i="15"/>
  <c r="ES817" i="15"/>
  <c r="ES801" i="15"/>
  <c r="ES786" i="15"/>
  <c r="ES769" i="15"/>
  <c r="ES755" i="15"/>
  <c r="ES740" i="15"/>
  <c r="ES725" i="15"/>
  <c r="ES710" i="15"/>
  <c r="ES694" i="15"/>
  <c r="ES679" i="15"/>
  <c r="ES664" i="15"/>
  <c r="ES648" i="15"/>
  <c r="ES633" i="15"/>
  <c r="ES618" i="15"/>
  <c r="ES603" i="15"/>
  <c r="ES587" i="15"/>
  <c r="ES573" i="15"/>
  <c r="ES556" i="15"/>
  <c r="ES541" i="15"/>
  <c r="ES526" i="15"/>
  <c r="ES511" i="15"/>
  <c r="ES495" i="15"/>
  <c r="ES480" i="15"/>
  <c r="ES465" i="15"/>
  <c r="ES450" i="15"/>
  <c r="ES434" i="15"/>
  <c r="ES419" i="15"/>
  <c r="ES404" i="15"/>
  <c r="ES388" i="15"/>
  <c r="ES372" i="15"/>
  <c r="ES357" i="15"/>
  <c r="ES341" i="15"/>
  <c r="ES310" i="15"/>
  <c r="ES295" i="15"/>
  <c r="ES279" i="15"/>
  <c r="ES264" i="15"/>
  <c r="ES249" i="15"/>
  <c r="ES233" i="15"/>
  <c r="ES219" i="15"/>
  <c r="ES203" i="15"/>
  <c r="ES188" i="15"/>
  <c r="ES172" i="15"/>
  <c r="ES157" i="15"/>
  <c r="ES142" i="15"/>
  <c r="ES126" i="15"/>
  <c r="ES111" i="15"/>
  <c r="ES96" i="15"/>
  <c r="ES81" i="15"/>
  <c r="ES50" i="15"/>
  <c r="ES35" i="15"/>
  <c r="ES20" i="15"/>
  <c r="EN736" i="15"/>
  <c r="EN651" i="15"/>
  <c r="EN575" i="15"/>
  <c r="EN422" i="15"/>
  <c r="EN580" i="15"/>
  <c r="EN534" i="15"/>
  <c r="EN412" i="15"/>
  <c r="EN331" i="15"/>
  <c r="EN270" i="15"/>
  <c r="EN209" i="15"/>
  <c r="EN147" i="15"/>
  <c r="EN86" i="15"/>
  <c r="EN26" i="15"/>
  <c r="EN820" i="15"/>
  <c r="EN772" i="15"/>
  <c r="EN682" i="15"/>
  <c r="EN559" i="15"/>
  <c r="EN826" i="15"/>
  <c r="EN683" i="15"/>
  <c r="EN372" i="15"/>
  <c r="EN861" i="15"/>
  <c r="EN822" i="15"/>
  <c r="EN608" i="15"/>
  <c r="EN728" i="15"/>
  <c r="EN529" i="15"/>
  <c r="EN437" i="15"/>
  <c r="EN391" i="15"/>
  <c r="EN375" i="15"/>
  <c r="EN730" i="15"/>
  <c r="EN561" i="15"/>
  <c r="EN500" i="15"/>
  <c r="EN455" i="15"/>
  <c r="EN393" i="15"/>
  <c r="EN368" i="15"/>
  <c r="EN352" i="15"/>
  <c r="EN336" i="15"/>
  <c r="EN321" i="15"/>
  <c r="EN305" i="15"/>
  <c r="EN290" i="15"/>
  <c r="EN275" i="15"/>
  <c r="EN259" i="15"/>
  <c r="EN244" i="15"/>
  <c r="EN229" i="15"/>
  <c r="EN214" i="15"/>
  <c r="EN198" i="15"/>
  <c r="EN183" i="15"/>
  <c r="EN168" i="15"/>
  <c r="EN152" i="15"/>
  <c r="EN137" i="15"/>
  <c r="EN122" i="15"/>
  <c r="EN106" i="15"/>
  <c r="EN91" i="15"/>
  <c r="EN76" i="15"/>
  <c r="EN61" i="15"/>
  <c r="EN45" i="15"/>
  <c r="EN31" i="15"/>
  <c r="EN15" i="15"/>
  <c r="ES750" i="15"/>
  <c r="ES650" i="15"/>
  <c r="ES444" i="15"/>
  <c r="ES281" i="15"/>
  <c r="ES685" i="15"/>
  <c r="ES623" i="15"/>
  <c r="ES347" i="15"/>
  <c r="ES316" i="15"/>
  <c r="ES285" i="15"/>
  <c r="ES193" i="15"/>
  <c r="ES159" i="15"/>
  <c r="ES75" i="15"/>
  <c r="EN39" i="15"/>
  <c r="EN24" i="15"/>
  <c r="EN745" i="15"/>
  <c r="EN699" i="15"/>
  <c r="EN622" i="15"/>
  <c r="EN607" i="15"/>
  <c r="EN854" i="15"/>
  <c r="EN838" i="15"/>
  <c r="EN823" i="15"/>
  <c r="EN807" i="15"/>
  <c r="EN792" i="15"/>
  <c r="EN759" i="15"/>
  <c r="EN746" i="15"/>
  <c r="EN715" i="15"/>
  <c r="EN700" i="15"/>
  <c r="EN685" i="15"/>
  <c r="EN669" i="15"/>
  <c r="EN654" i="15"/>
  <c r="EN639" i="15"/>
  <c r="EN623" i="15"/>
  <c r="EN609" i="15"/>
  <c r="EN593" i="15"/>
  <c r="EN578" i="15"/>
  <c r="EN562" i="15"/>
  <c r="EN547" i="15"/>
  <c r="EN531" i="15"/>
  <c r="EN516" i="15"/>
  <c r="EN501" i="15"/>
  <c r="EN486" i="15"/>
  <c r="EN471" i="15"/>
  <c r="EN440" i="15"/>
  <c r="EN425" i="15"/>
  <c r="EN409" i="15"/>
  <c r="EN394" i="15"/>
  <c r="EN316" i="15"/>
  <c r="EN254" i="15"/>
  <c r="EN193" i="15"/>
  <c r="EN132" i="15"/>
  <c r="EN71" i="15"/>
  <c r="EN684" i="15"/>
  <c r="EN515" i="15"/>
  <c r="EN668" i="15"/>
  <c r="EN484" i="15"/>
  <c r="EN724" i="15"/>
  <c r="EN632" i="15"/>
  <c r="EN586" i="15"/>
  <c r="EN510" i="15"/>
  <c r="EN479" i="15"/>
  <c r="EN464" i="15"/>
  <c r="EN418" i="15"/>
  <c r="EN776" i="15"/>
  <c r="EN653" i="15"/>
  <c r="EN485" i="15"/>
  <c r="EN439" i="15"/>
  <c r="EN59" i="15"/>
  <c r="EN836" i="15"/>
  <c r="EN714" i="15"/>
  <c r="EN374" i="15"/>
  <c r="EN281" i="15"/>
  <c r="EN266" i="15"/>
  <c r="EN205" i="15"/>
  <c r="EN113" i="15"/>
  <c r="EN52" i="15"/>
  <c r="EN37" i="15"/>
  <c r="EN841" i="15"/>
  <c r="EN828" i="15"/>
  <c r="EN781" i="15"/>
  <c r="EN689" i="15"/>
  <c r="EN643" i="15"/>
  <c r="EN628" i="15"/>
  <c r="EN567" i="15"/>
  <c r="EN506" i="15"/>
  <c r="EN460" i="15"/>
  <c r="EN806" i="15"/>
  <c r="EN257" i="15"/>
  <c r="EN790" i="15"/>
  <c r="EN744" i="15"/>
  <c r="EN698" i="15"/>
  <c r="EN262" i="15"/>
  <c r="EN201" i="15"/>
  <c r="EN140" i="15"/>
  <c r="EN79" i="15"/>
  <c r="EN18" i="15"/>
  <c r="EN737" i="15"/>
  <c r="EN691" i="15"/>
  <c r="EN311" i="15"/>
  <c r="EN265" i="15"/>
  <c r="EN21" i="15"/>
  <c r="EN721" i="15"/>
  <c r="EN675" i="15"/>
  <c r="EN599" i="15"/>
  <c r="EN851" i="15"/>
  <c r="EN835" i="15"/>
  <c r="EN804" i="15"/>
  <c r="EN789" i="15"/>
  <c r="EN773" i="15"/>
  <c r="EN713" i="15"/>
  <c r="EN697" i="15"/>
  <c r="EN667" i="15"/>
  <c r="EN606" i="15"/>
  <c r="EN590" i="15"/>
  <c r="EN544" i="15"/>
  <c r="EN483" i="15"/>
  <c r="EN844" i="15"/>
  <c r="EN644" i="15"/>
  <c r="EN378" i="15"/>
  <c r="EN347" i="15"/>
  <c r="EN285" i="15"/>
  <c r="EN224" i="15"/>
  <c r="EN163" i="15"/>
  <c r="EN101" i="15"/>
  <c r="EN849" i="15"/>
  <c r="EN428" i="15"/>
  <c r="EN216" i="15"/>
  <c r="EN748" i="15"/>
  <c r="EN831" i="15"/>
  <c r="EN785" i="15"/>
  <c r="EN739" i="15"/>
  <c r="EN693" i="15"/>
  <c r="EN617" i="15"/>
  <c r="EN403" i="15"/>
  <c r="EN387" i="15"/>
  <c r="EN733" i="15"/>
  <c r="EN307" i="15"/>
  <c r="EN231" i="15"/>
  <c r="EN139" i="15"/>
  <c r="EN17" i="15"/>
  <c r="EN671" i="15"/>
  <c r="EN312" i="15"/>
  <c r="EN144" i="15"/>
  <c r="EN703" i="15"/>
  <c r="EN625" i="15"/>
  <c r="EN833" i="15"/>
  <c r="EN749" i="15"/>
  <c r="EN323" i="15"/>
  <c r="EN154" i="15"/>
  <c r="EN611" i="15"/>
  <c r="EN839" i="15"/>
  <c r="EN793" i="15"/>
  <c r="EN701" i="15"/>
  <c r="EN655" i="15"/>
  <c r="EN594" i="15"/>
  <c r="EN517" i="15"/>
  <c r="EN472" i="15"/>
  <c r="EN379" i="15"/>
  <c r="EN27" i="15"/>
  <c r="EN672" i="15"/>
  <c r="EN504" i="15"/>
  <c r="EN78" i="15"/>
  <c r="EN856" i="15"/>
  <c r="EN335" i="15"/>
  <c r="EN273" i="15"/>
  <c r="EN213" i="15"/>
  <c r="ES704" i="15"/>
  <c r="ES459" i="15"/>
  <c r="ES335" i="15"/>
  <c r="ES113" i="15"/>
  <c r="ES830" i="15"/>
  <c r="ES816" i="15"/>
  <c r="ES609" i="15"/>
  <c r="ES486" i="15"/>
  <c r="ES394" i="15"/>
  <c r="ES331" i="15"/>
  <c r="ES90" i="15"/>
  <c r="ES847" i="15"/>
  <c r="ES543" i="15"/>
  <c r="ES151" i="15"/>
  <c r="ES831" i="15"/>
  <c r="ES605" i="15"/>
  <c r="ES273" i="15"/>
  <c r="ES398" i="15"/>
  <c r="ES174" i="15"/>
  <c r="ES838" i="15"/>
  <c r="ES823" i="15"/>
  <c r="ES788" i="15"/>
  <c r="ES213" i="15"/>
  <c r="ES853" i="15"/>
  <c r="ES837" i="15"/>
  <c r="ES822" i="15"/>
  <c r="ES806" i="15"/>
  <c r="ES654" i="15"/>
  <c r="ES562" i="15"/>
  <c r="ES378" i="15"/>
  <c r="ES239" i="15"/>
  <c r="ES56" i="15"/>
  <c r="ES297" i="15"/>
  <c r="ES852" i="15"/>
  <c r="ES836" i="15"/>
  <c r="ES821" i="15"/>
  <c r="ES805" i="15"/>
  <c r="ES776" i="15"/>
  <c r="ES745" i="15"/>
  <c r="ES684" i="15"/>
  <c r="ES653" i="15"/>
  <c r="ES622" i="15"/>
  <c r="ES592" i="15"/>
  <c r="ES561" i="15"/>
  <c r="ES530" i="15"/>
  <c r="ES500" i="15"/>
  <c r="ES439" i="15"/>
  <c r="ES408" i="15"/>
  <c r="ES377" i="15"/>
  <c r="ES346" i="15"/>
  <c r="ES315" i="15"/>
  <c r="ES284" i="15"/>
  <c r="ES253" i="15"/>
  <c r="ES223" i="15"/>
  <c r="ES192" i="15"/>
  <c r="ES162" i="15"/>
  <c r="ES131" i="15"/>
  <c r="ES100" i="15"/>
  <c r="ES70" i="15"/>
  <c r="ES40" i="15"/>
  <c r="ES790" i="15"/>
  <c r="ES774" i="15"/>
  <c r="ES744" i="15"/>
  <c r="ES729" i="15"/>
  <c r="ES714" i="15"/>
  <c r="ES698" i="15"/>
  <c r="ES683" i="15"/>
  <c r="ES668" i="15"/>
  <c r="ES652" i="15"/>
  <c r="ES637" i="15"/>
  <c r="ES607" i="15"/>
  <c r="ES591" i="15"/>
  <c r="ES560" i="15"/>
  <c r="ES545" i="15"/>
  <c r="ES499" i="15"/>
  <c r="ES484" i="15"/>
  <c r="ES469" i="15"/>
  <c r="ES454" i="15"/>
  <c r="ES438" i="15"/>
  <c r="ES423" i="15"/>
  <c r="ES392" i="15"/>
  <c r="ES376" i="15"/>
  <c r="ES361" i="15"/>
  <c r="ES345" i="15"/>
  <c r="ES329" i="15"/>
  <c r="ES314" i="15"/>
  <c r="ES299" i="15"/>
  <c r="ES283" i="15"/>
  <c r="ES268" i="15"/>
  <c r="ES252" i="15"/>
  <c r="ES237" i="15"/>
  <c r="ES222" i="15"/>
  <c r="ES207" i="15"/>
  <c r="ES191" i="15"/>
  <c r="ES176" i="15"/>
  <c r="ES161" i="15"/>
  <c r="ES130" i="15"/>
  <c r="ES115" i="15"/>
  <c r="ES99" i="15"/>
  <c r="ES84" i="15"/>
  <c r="ES69" i="15"/>
  <c r="ES54" i="15"/>
  <c r="ES39" i="15"/>
  <c r="ES24" i="15"/>
  <c r="ES9" i="15"/>
  <c r="EN223" i="15"/>
  <c r="ES163" i="15"/>
  <c r="ES132" i="15"/>
  <c r="ES666" i="15"/>
  <c r="ES581" i="15"/>
  <c r="ES520" i="15"/>
  <c r="ES791" i="15"/>
  <c r="ES758" i="15"/>
  <c r="ES730" i="15"/>
  <c r="ES699" i="15"/>
  <c r="ES638" i="15"/>
  <c r="ES608" i="15"/>
  <c r="ES577" i="15"/>
  <c r="ES546" i="15"/>
  <c r="ES515" i="15"/>
  <c r="ES485" i="15"/>
  <c r="ES455" i="15"/>
  <c r="ES424" i="15"/>
  <c r="ES393" i="15"/>
  <c r="ES362" i="15"/>
  <c r="ES330" i="15"/>
  <c r="ES300" i="15"/>
  <c r="ES238" i="15"/>
  <c r="ES208" i="15"/>
  <c r="ES177" i="15"/>
  <c r="ES146" i="15"/>
  <c r="ES116" i="15"/>
  <c r="ES85" i="15"/>
  <c r="ES55" i="15"/>
  <c r="ES25" i="15"/>
  <c r="ES800" i="15"/>
  <c r="ES785" i="15"/>
  <c r="ES768" i="15"/>
  <c r="ES739" i="15"/>
  <c r="ES724" i="15"/>
  <c r="ES709" i="15"/>
  <c r="ES693" i="15"/>
  <c r="ES678" i="15"/>
  <c r="ES663" i="15"/>
  <c r="ES647" i="15"/>
  <c r="ES632" i="15"/>
  <c r="ES617" i="15"/>
  <c r="ES602" i="15"/>
  <c r="ES586" i="15"/>
  <c r="ES571" i="15"/>
  <c r="ES555" i="15"/>
  <c r="ES540" i="15"/>
  <c r="ES525" i="15"/>
  <c r="ES510" i="15"/>
  <c r="ES494" i="15"/>
  <c r="ES479" i="15"/>
  <c r="ES464" i="15"/>
  <c r="ES449" i="15"/>
  <c r="ES433" i="15"/>
  <c r="ES418" i="15"/>
  <c r="ES403" i="15"/>
  <c r="ES387" i="15"/>
  <c r="ES356" i="15"/>
  <c r="ES340" i="15"/>
  <c r="ES325" i="15"/>
  <c r="ES309" i="15"/>
  <c r="ES294" i="15"/>
  <c r="ES278" i="15"/>
  <c r="ES263" i="15"/>
  <c r="ES248" i="15"/>
  <c r="ES218" i="15"/>
  <c r="ES202" i="15"/>
  <c r="ES187" i="15"/>
  <c r="ES171" i="15"/>
  <c r="ES156" i="15"/>
  <c r="ES141" i="15"/>
  <c r="ES110" i="15"/>
  <c r="ES95" i="15"/>
  <c r="ES80" i="15"/>
  <c r="ES65" i="15"/>
  <c r="ES49" i="15"/>
  <c r="ES19" i="15"/>
  <c r="EN829" i="15"/>
  <c r="EN326" i="15"/>
  <c r="EN158" i="15"/>
  <c r="EN51" i="15"/>
  <c r="EN706" i="15"/>
  <c r="EN630" i="15"/>
  <c r="EN508" i="15"/>
  <c r="EN416" i="15"/>
  <c r="EN373" i="15"/>
  <c r="EN204" i="15"/>
  <c r="EN860" i="15"/>
  <c r="EN813" i="15"/>
  <c r="EN705" i="15"/>
  <c r="EN414" i="15"/>
  <c r="EN399" i="15"/>
  <c r="EN845" i="15"/>
  <c r="EN722" i="15"/>
  <c r="EN645" i="15"/>
  <c r="EN431" i="15"/>
  <c r="EN342" i="15"/>
  <c r="EN296" i="15"/>
  <c r="EN127" i="15"/>
  <c r="EN660" i="15"/>
  <c r="EN584" i="15"/>
  <c r="EN477" i="15"/>
  <c r="EN583" i="15"/>
  <c r="EN568" i="15"/>
  <c r="EN552" i="15"/>
  <c r="EN537" i="15"/>
  <c r="EN522" i="15"/>
  <c r="EN507" i="15"/>
  <c r="EN361" i="15"/>
  <c r="EN345" i="15"/>
  <c r="EN329" i="15"/>
  <c r="EN314" i="15"/>
  <c r="EN299" i="15"/>
  <c r="EN283" i="15"/>
  <c r="EN268" i="15"/>
  <c r="EN252" i="15"/>
  <c r="EN237" i="15"/>
  <c r="EN222" i="15"/>
  <c r="EN207" i="15"/>
  <c r="EN191" i="15"/>
  <c r="EN176" i="15"/>
  <c r="EN161" i="15"/>
  <c r="EN130" i="15"/>
  <c r="EN115" i="15"/>
  <c r="EN99" i="15"/>
  <c r="EN84" i="15"/>
  <c r="EN69" i="15"/>
  <c r="EN54" i="15"/>
  <c r="EN707" i="15"/>
  <c r="EN661" i="15"/>
  <c r="EN538" i="15"/>
  <c r="EN492" i="15"/>
  <c r="EN447" i="15"/>
  <c r="EN280" i="15"/>
  <c r="EN112" i="15"/>
  <c r="EN66" i="15"/>
  <c r="EN765" i="15"/>
  <c r="EN747" i="15"/>
  <c r="EN624" i="15"/>
  <c r="EN532" i="15"/>
  <c r="EN502" i="15"/>
  <c r="EN487" i="15"/>
  <c r="EN456" i="15"/>
  <c r="EN441" i="15"/>
  <c r="EN798" i="15"/>
  <c r="EN462" i="15"/>
  <c r="EN36" i="15"/>
  <c r="EN690" i="15"/>
  <c r="EN614" i="15"/>
  <c r="EN351" i="15"/>
  <c r="EN289" i="15"/>
  <c r="EN228" i="15"/>
  <c r="EN105" i="15"/>
  <c r="EN44" i="15"/>
  <c r="EN327" i="15"/>
  <c r="EN251" i="15"/>
  <c r="EN98" i="15"/>
  <c r="EN83" i="15"/>
  <c r="EN858" i="15"/>
  <c r="EN842" i="15"/>
  <c r="EN811" i="15"/>
  <c r="EN796" i="15"/>
  <c r="EN780" i="15"/>
  <c r="EN763" i="15"/>
  <c r="EN750" i="15"/>
  <c r="EN734" i="15"/>
  <c r="EN719" i="15"/>
  <c r="EN704" i="15"/>
  <c r="EN673" i="15"/>
  <c r="EN658" i="15"/>
  <c r="EN642" i="15"/>
  <c r="EN627" i="15"/>
  <c r="EN612" i="15"/>
  <c r="EN597" i="15"/>
  <c r="EN581" i="15"/>
  <c r="EN566" i="15"/>
  <c r="EN550" i="15"/>
  <c r="EN535" i="15"/>
  <c r="EN520" i="15"/>
  <c r="EN505" i="15"/>
  <c r="EN474" i="15"/>
  <c r="EN459" i="15"/>
  <c r="EN444" i="15"/>
  <c r="EN413" i="15"/>
  <c r="EN398" i="15"/>
  <c r="EN382" i="15"/>
  <c r="EN151" i="15"/>
  <c r="EN90" i="15"/>
  <c r="EN30" i="15"/>
  <c r="EN848" i="15"/>
  <c r="EN725" i="15"/>
  <c r="EN664" i="15"/>
  <c r="EN853" i="15"/>
  <c r="EN802" i="15"/>
  <c r="EN726" i="15"/>
  <c r="EN346" i="15"/>
  <c r="EN300" i="15"/>
  <c r="EN253" i="15"/>
  <c r="EN131" i="15"/>
  <c r="EN786" i="15"/>
  <c r="EN710" i="15"/>
  <c r="EN816" i="15"/>
  <c r="EN800" i="15"/>
  <c r="EN768" i="15"/>
  <c r="EN709" i="15"/>
  <c r="EN678" i="15"/>
  <c r="EN555" i="15"/>
  <c r="EN540" i="15"/>
  <c r="EN494" i="15"/>
  <c r="EN449" i="15"/>
  <c r="EN356" i="15"/>
  <c r="EN340" i="15"/>
  <c r="EN325" i="15"/>
  <c r="EN309" i="15"/>
  <c r="EN294" i="15"/>
  <c r="EN278" i="15"/>
  <c r="EN263" i="15"/>
  <c r="EN248" i="15"/>
  <c r="EN218" i="15"/>
  <c r="EN202" i="15"/>
  <c r="EN187" i="15"/>
  <c r="EN171" i="15"/>
  <c r="EN156" i="15"/>
  <c r="EN141" i="15"/>
  <c r="EN110" i="15"/>
  <c r="EN95" i="15"/>
  <c r="EN80" i="15"/>
  <c r="EN65" i="15"/>
  <c r="EN49" i="15"/>
  <c r="EN19" i="15"/>
  <c r="EN770" i="15"/>
  <c r="EN542" i="15"/>
  <c r="EN832" i="15"/>
  <c r="EN769" i="15"/>
  <c r="EN587" i="15"/>
  <c r="EN573" i="15"/>
  <c r="EN556" i="15"/>
  <c r="EN541" i="15"/>
  <c r="EN526" i="15"/>
  <c r="EN511" i="15"/>
  <c r="EN495" i="15"/>
  <c r="EN365" i="15"/>
  <c r="EN349" i="15"/>
  <c r="EN333" i="15"/>
  <c r="EN318" i="15"/>
  <c r="EN302" i="15"/>
  <c r="EN287" i="15"/>
  <c r="EN818" i="15"/>
  <c r="EN315" i="15"/>
  <c r="EN146" i="15"/>
  <c r="EN817" i="15"/>
  <c r="EN694" i="15"/>
  <c r="EN695" i="15"/>
  <c r="EN633" i="15"/>
  <c r="EN603" i="15"/>
  <c r="EN850" i="15"/>
  <c r="EN834" i="15"/>
  <c r="EN819" i="15"/>
  <c r="EN803" i="15"/>
  <c r="EN788" i="15"/>
  <c r="EN771" i="15"/>
  <c r="EN757" i="15"/>
  <c r="EN742" i="15"/>
  <c r="EN727" i="15"/>
  <c r="EN696" i="15"/>
  <c r="EN681" i="15"/>
  <c r="EN666" i="15"/>
  <c r="EN650" i="15"/>
  <c r="EN635" i="15"/>
  <c r="EN620" i="15"/>
  <c r="EN605" i="15"/>
  <c r="EN589" i="15"/>
  <c r="EN572" i="15"/>
  <c r="EN558" i="15"/>
  <c r="FE558" i="15" s="1"/>
  <c r="FG558" i="15" s="1"/>
  <c r="EN543" i="15"/>
  <c r="EN513" i="15"/>
  <c r="EN497" i="15"/>
  <c r="EN482" i="15"/>
  <c r="EN467" i="15"/>
  <c r="EN452" i="15"/>
  <c r="EN436" i="15"/>
  <c r="EN421" i="15"/>
  <c r="EN390" i="15"/>
  <c r="EN343" i="15"/>
  <c r="EN235" i="15"/>
  <c r="EN220" i="15"/>
  <c r="EN174" i="15"/>
  <c r="EN67" i="15"/>
  <c r="EN256" i="15"/>
  <c r="EN241" i="15"/>
  <c r="EN226" i="15"/>
  <c r="EN211" i="15"/>
  <c r="EN195" i="15"/>
  <c r="EN180" i="15"/>
  <c r="EN165" i="15"/>
  <c r="EN149" i="15"/>
  <c r="EN134" i="15"/>
  <c r="EN119" i="15"/>
  <c r="EN103" i="15"/>
  <c r="EN88" i="15"/>
  <c r="EN73" i="15"/>
  <c r="EN58" i="15"/>
  <c r="EN28" i="15"/>
  <c r="EN588" i="15"/>
  <c r="EN162" i="15"/>
  <c r="EN40" i="15"/>
  <c r="EN740" i="15"/>
  <c r="EN618" i="15"/>
  <c r="EN859" i="15"/>
  <c r="EN843" i="15"/>
  <c r="EN812" i="15"/>
  <c r="EN764" i="15"/>
  <c r="EN751" i="15"/>
  <c r="EN720" i="15"/>
  <c r="EN674" i="15"/>
  <c r="EN659" i="15"/>
  <c r="EN613" i="15"/>
  <c r="EN598" i="15"/>
  <c r="EN582" i="15"/>
  <c r="EN551" i="15"/>
  <c r="EN383" i="15"/>
  <c r="EN680" i="15"/>
  <c r="EN604" i="15"/>
  <c r="EN557" i="15"/>
  <c r="EN389" i="15"/>
  <c r="EN177" i="15"/>
  <c r="EN85" i="15"/>
  <c r="EN6" i="15"/>
  <c r="EN846" i="15"/>
  <c r="EN830" i="15"/>
  <c r="EN815" i="15"/>
  <c r="EN799" i="15"/>
  <c r="EN784" i="15"/>
  <c r="EN767" i="15"/>
  <c r="EN754" i="15"/>
  <c r="EN738" i="15"/>
  <c r="EN723" i="15"/>
  <c r="EN708" i="15"/>
  <c r="EN692" i="15"/>
  <c r="EN677" i="15"/>
  <c r="EN662" i="15"/>
  <c r="EN646" i="15"/>
  <c r="EN631" i="15"/>
  <c r="EN616" i="15"/>
  <c r="EN601" i="15"/>
  <c r="EN585" i="15"/>
  <c r="EN570" i="15"/>
  <c r="EN554" i="15"/>
  <c r="EN539" i="15"/>
  <c r="EN524" i="15"/>
  <c r="EN509" i="15"/>
  <c r="EN493" i="15"/>
  <c r="EN478" i="15"/>
  <c r="EN463" i="15"/>
  <c r="EN448" i="15"/>
  <c r="EN432" i="15"/>
  <c r="EN417" i="15"/>
  <c r="EN402" i="15"/>
  <c r="EN386" i="15"/>
  <c r="EN371" i="15"/>
  <c r="EN355" i="15"/>
  <c r="EN308" i="15"/>
  <c r="EN293" i="15"/>
  <c r="EN247" i="15"/>
  <c r="EN232" i="15"/>
  <c r="EN186" i="15"/>
  <c r="EN170" i="15"/>
  <c r="EN125" i="15"/>
  <c r="EN109" i="15"/>
  <c r="EN48" i="15"/>
  <c r="EN9" i="15"/>
  <c r="EN619" i="15"/>
  <c r="EN362" i="15"/>
  <c r="EN238" i="15"/>
  <c r="EN192" i="15"/>
  <c r="EN648" i="15"/>
  <c r="EN716" i="15"/>
  <c r="EN426" i="15"/>
  <c r="EN395" i="15"/>
  <c r="EN837" i="15"/>
  <c r="EN756" i="15"/>
  <c r="EN711" i="15"/>
  <c r="EN634" i="15"/>
  <c r="EN420" i="15"/>
  <c r="EN377" i="15"/>
  <c r="EN330" i="15"/>
  <c r="EN284" i="15"/>
  <c r="EN208" i="15"/>
  <c r="EN116" i="15"/>
  <c r="EN367" i="15"/>
  <c r="EN304" i="15"/>
  <c r="EN243" i="15"/>
  <c r="EN182" i="15"/>
  <c r="EN167" i="15"/>
  <c r="EN121" i="15"/>
  <c r="EN60" i="15"/>
  <c r="CS6" i="15"/>
  <c r="CT6" i="15" s="1"/>
  <c r="CS13" i="15"/>
  <c r="CT13" i="15" s="1"/>
  <c r="CS17" i="15"/>
  <c r="CT17" i="15" s="1"/>
  <c r="CS21" i="15"/>
  <c r="CT21" i="15" s="1"/>
  <c r="CS25" i="15"/>
  <c r="CT25" i="15" s="1"/>
  <c r="CS29" i="15"/>
  <c r="CT29" i="15" s="1"/>
  <c r="CS36" i="15"/>
  <c r="CT36" i="15" s="1"/>
  <c r="CS40" i="15"/>
  <c r="CT40" i="15" s="1"/>
  <c r="CS43" i="15"/>
  <c r="CT43" i="15" s="1"/>
  <c r="CS47" i="15"/>
  <c r="CT47" i="15" s="1"/>
  <c r="CS51" i="15"/>
  <c r="CT51" i="15" s="1"/>
  <c r="CS55" i="15"/>
  <c r="CT55" i="15" s="1"/>
  <c r="CS59" i="15"/>
  <c r="CT59" i="15" s="1"/>
  <c r="CS63" i="15"/>
  <c r="CT63" i="15" s="1"/>
  <c r="CS66" i="15"/>
  <c r="CT66" i="15" s="1"/>
  <c r="CS70" i="15"/>
  <c r="CT70" i="15" s="1"/>
  <c r="CS74" i="15"/>
  <c r="CT74" i="15" s="1"/>
  <c r="CS78" i="15"/>
  <c r="CT78" i="15" s="1"/>
  <c r="CS85" i="15"/>
  <c r="CT85" i="15" s="1"/>
  <c r="CS89" i="15"/>
  <c r="CT89" i="15" s="1"/>
  <c r="CS92" i="15"/>
  <c r="CT92" i="15" s="1"/>
  <c r="CS100" i="15"/>
  <c r="CT100" i="15" s="1"/>
  <c r="CS104" i="15"/>
  <c r="CT104" i="15" s="1"/>
  <c r="CS108" i="15"/>
  <c r="CT108" i="15" s="1"/>
  <c r="CS112" i="15"/>
  <c r="CT112" i="15" s="1"/>
  <c r="CS116" i="15"/>
  <c r="CT116" i="15" s="1"/>
  <c r="CS120" i="15"/>
  <c r="CT120" i="15" s="1"/>
  <c r="CS127" i="15"/>
  <c r="CT127" i="15" s="1"/>
  <c r="CS131" i="15"/>
  <c r="CT131" i="15" s="1"/>
  <c r="CS135" i="15"/>
  <c r="CT135" i="15" s="1"/>
  <c r="CS139" i="15"/>
  <c r="CT139" i="15" s="1"/>
  <c r="CS146" i="15"/>
  <c r="CT146" i="15" s="1"/>
  <c r="CS150" i="15"/>
  <c r="CT150" i="15" s="1"/>
  <c r="CS154" i="15"/>
  <c r="CT154" i="15" s="1"/>
  <c r="CS158" i="15"/>
  <c r="CT158" i="15" s="1"/>
  <c r="CS162" i="15"/>
  <c r="CT162" i="15" s="1"/>
  <c r="CS166" i="15"/>
  <c r="CT166" i="15" s="1"/>
  <c r="CS10" i="15"/>
  <c r="CT10" i="15" s="1"/>
  <c r="CS14" i="15"/>
  <c r="CT14" i="15" s="1"/>
  <c r="CS18" i="15"/>
  <c r="CT18" i="15" s="1"/>
  <c r="CS22" i="15"/>
  <c r="CT22" i="15" s="1"/>
  <c r="CS26" i="15"/>
  <c r="CT26" i="15" s="1"/>
  <c r="CS30" i="15"/>
  <c r="CT30" i="15" s="1"/>
  <c r="CS34" i="15"/>
  <c r="CT34" i="15" s="1"/>
  <c r="CS37" i="15"/>
  <c r="CT37" i="15" s="1"/>
  <c r="CS44" i="15"/>
  <c r="CT44" i="15" s="1"/>
  <c r="CS48" i="15"/>
  <c r="CT48" i="15" s="1"/>
  <c r="CS52" i="15"/>
  <c r="CT52" i="15" s="1"/>
  <c r="CS56" i="15"/>
  <c r="CT56" i="15" s="1"/>
  <c r="CS60" i="15"/>
  <c r="CT60" i="15" s="1"/>
  <c r="CS67" i="15"/>
  <c r="CT67" i="15" s="1"/>
  <c r="CS71" i="15"/>
  <c r="CT71" i="15" s="1"/>
  <c r="CS75" i="15"/>
  <c r="CT75" i="15" s="1"/>
  <c r="CS79" i="15"/>
  <c r="CT79" i="15" s="1"/>
  <c r="CS83" i="15"/>
  <c r="CT83" i="15" s="1"/>
  <c r="CS86" i="15"/>
  <c r="CT86" i="15" s="1"/>
  <c r="CS90" i="15"/>
  <c r="CT90" i="15" s="1"/>
  <c r="CS94" i="15"/>
  <c r="CT94" i="15" s="1"/>
  <c r="CS98" i="15"/>
  <c r="CT98" i="15" s="1"/>
  <c r="CS101" i="15"/>
  <c r="CT101" i="15" s="1"/>
  <c r="CS105" i="15"/>
  <c r="CT105" i="15" s="1"/>
  <c r="CS109" i="15"/>
  <c r="CT109" i="15" s="1"/>
  <c r="CS113" i="15"/>
  <c r="CT113" i="15" s="1"/>
  <c r="CS117" i="15"/>
  <c r="CT117" i="15" s="1"/>
  <c r="CS121" i="15"/>
  <c r="CT121" i="15" s="1"/>
  <c r="CS125" i="15"/>
  <c r="CT125" i="15" s="1"/>
  <c r="CS128" i="15"/>
  <c r="CT128" i="15" s="1"/>
  <c r="CS132" i="15"/>
  <c r="CT132" i="15" s="1"/>
  <c r="CS136" i="15"/>
  <c r="CT136" i="15" s="1"/>
  <c r="CS140" i="15"/>
  <c r="CT140" i="15" s="1"/>
  <c r="CS144" i="15"/>
  <c r="CT144" i="15" s="1"/>
  <c r="CS147" i="15"/>
  <c r="CT147" i="15" s="1"/>
  <c r="CS151" i="15"/>
  <c r="CT151" i="15" s="1"/>
  <c r="CS155" i="15"/>
  <c r="CT155" i="15" s="1"/>
  <c r="CS159" i="15"/>
  <c r="CT159" i="15" s="1"/>
  <c r="CS163" i="15"/>
  <c r="CT163" i="15" s="1"/>
  <c r="CS8" i="15"/>
  <c r="CT8" i="15" s="1"/>
  <c r="CS11" i="15"/>
  <c r="CT11" i="15" s="1"/>
  <c r="CS15" i="15"/>
  <c r="CT15" i="15" s="1"/>
  <c r="CS19" i="15"/>
  <c r="CT19" i="15" s="1"/>
  <c r="CS23" i="15"/>
  <c r="CT23" i="15" s="1"/>
  <c r="CS27" i="15"/>
  <c r="CT27" i="15" s="1"/>
  <c r="CS31" i="15"/>
  <c r="CT31" i="15" s="1"/>
  <c r="CS38" i="15"/>
  <c r="CT38" i="15" s="1"/>
  <c r="CS42" i="15"/>
  <c r="CT42" i="15" s="1"/>
  <c r="CS45" i="15"/>
  <c r="CT45" i="15" s="1"/>
  <c r="CS49" i="15"/>
  <c r="CT49" i="15" s="1"/>
  <c r="CS53" i="15"/>
  <c r="CT53" i="15" s="1"/>
  <c r="CS57" i="15"/>
  <c r="CT57" i="15" s="1"/>
  <c r="CS61" i="15"/>
  <c r="CT61" i="15" s="1"/>
  <c r="CS65" i="15"/>
  <c r="CT65" i="15" s="1"/>
  <c r="CS68" i="15"/>
  <c r="CT68" i="15" s="1"/>
  <c r="CS72" i="15"/>
  <c r="CT72" i="15" s="1"/>
  <c r="CS76" i="15"/>
  <c r="CT76" i="15" s="1"/>
  <c r="CS80" i="15"/>
  <c r="CT80" i="15" s="1"/>
  <c r="CS87" i="15"/>
  <c r="CT87" i="15" s="1"/>
  <c r="CS91" i="15"/>
  <c r="CT91" i="15" s="1"/>
  <c r="CS95" i="15"/>
  <c r="CT95" i="15" s="1"/>
  <c r="CS102" i="15"/>
  <c r="CT102" i="15" s="1"/>
  <c r="CS106" i="15"/>
  <c r="CT106" i="15" s="1"/>
  <c r="CS110" i="15"/>
  <c r="CT110" i="15" s="1"/>
  <c r="CS114" i="15"/>
  <c r="CT114" i="15" s="1"/>
  <c r="CS118" i="15"/>
  <c r="CT118" i="15" s="1"/>
  <c r="CS122" i="15"/>
  <c r="CT122" i="15" s="1"/>
  <c r="CS129" i="15"/>
  <c r="CT129" i="15" s="1"/>
  <c r="CS133" i="15"/>
  <c r="CT133" i="15" s="1"/>
  <c r="CS137" i="15"/>
  <c r="CT137" i="15" s="1"/>
  <c r="CS141" i="15"/>
  <c r="CT141" i="15" s="1"/>
  <c r="CS145" i="15"/>
  <c r="CT145" i="15" s="1"/>
  <c r="CS148" i="15"/>
  <c r="CT148" i="15" s="1"/>
  <c r="CS152" i="15"/>
  <c r="CT152" i="15" s="1"/>
  <c r="CS156" i="15"/>
  <c r="CT156" i="15" s="1"/>
  <c r="CS160" i="15"/>
  <c r="CT160" i="15" s="1"/>
  <c r="CS164" i="15"/>
  <c r="CT164" i="15" s="1"/>
  <c r="CS168" i="15"/>
  <c r="CT168" i="15" s="1"/>
  <c r="CS171" i="15"/>
  <c r="CT171" i="15" s="1"/>
  <c r="CS175" i="15"/>
  <c r="CT175" i="15" s="1"/>
  <c r="CS179" i="15"/>
  <c r="CT179" i="15" s="1"/>
  <c r="CS183" i="15"/>
  <c r="CT183" i="15" s="1"/>
  <c r="CS187" i="15"/>
  <c r="CT187" i="15" s="1"/>
  <c r="CS194" i="15"/>
  <c r="CT194" i="15" s="1"/>
  <c r="CS198" i="15"/>
  <c r="CT198" i="15" s="1"/>
  <c r="CS202" i="15"/>
  <c r="CT202" i="15" s="1"/>
  <c r="CS206" i="15"/>
  <c r="CT206" i="15" s="1"/>
  <c r="CS210" i="15"/>
  <c r="CT210" i="15" s="1"/>
  <c r="CS214" i="15"/>
  <c r="CT214" i="15" s="1"/>
  <c r="CS218" i="15"/>
  <c r="CT218" i="15" s="1"/>
  <c r="CX218" i="15" s="1"/>
  <c r="CS221" i="15"/>
  <c r="CT221" i="15" s="1"/>
  <c r="CS225" i="15"/>
  <c r="CT225" i="15" s="1"/>
  <c r="CS229" i="15"/>
  <c r="CT229" i="15" s="1"/>
  <c r="CS236" i="15"/>
  <c r="CT236" i="15" s="1"/>
  <c r="CS240" i="15"/>
  <c r="CT240" i="15" s="1"/>
  <c r="CS244" i="15"/>
  <c r="CT244" i="15" s="1"/>
  <c r="CS248" i="15"/>
  <c r="CT248" i="15" s="1"/>
  <c r="CS255" i="15"/>
  <c r="CT255" i="15" s="1"/>
  <c r="CS259" i="15"/>
  <c r="CT259" i="15" s="1"/>
  <c r="CS263" i="15"/>
  <c r="CT263" i="15" s="1"/>
  <c r="CS267" i="15"/>
  <c r="CT267" i="15" s="1"/>
  <c r="CS271" i="15"/>
  <c r="CT271" i="15" s="1"/>
  <c r="CS275" i="15"/>
  <c r="CT275" i="15" s="1"/>
  <c r="CS278" i="15"/>
  <c r="CT278" i="15" s="1"/>
  <c r="CS282" i="15"/>
  <c r="CT282" i="15" s="1"/>
  <c r="CS286" i="15"/>
  <c r="CT286" i="15" s="1"/>
  <c r="CS290" i="15"/>
  <c r="CT290" i="15" s="1"/>
  <c r="CS9" i="15"/>
  <c r="CT9" i="15" s="1"/>
  <c r="CS12" i="15"/>
  <c r="CT12" i="15" s="1"/>
  <c r="CS16" i="15"/>
  <c r="CT16" i="15" s="1"/>
  <c r="CS20" i="15"/>
  <c r="CT20" i="15" s="1"/>
  <c r="CS24" i="15"/>
  <c r="CT24" i="15" s="1"/>
  <c r="CS28" i="15"/>
  <c r="CT28" i="15" s="1"/>
  <c r="CS32" i="15"/>
  <c r="CT32" i="15" s="1"/>
  <c r="CS35" i="15"/>
  <c r="CT35" i="15" s="1"/>
  <c r="CS39" i="15"/>
  <c r="CT39" i="15" s="1"/>
  <c r="CS46" i="15"/>
  <c r="CT46" i="15" s="1"/>
  <c r="CS50" i="15"/>
  <c r="CT50" i="15" s="1"/>
  <c r="CS54" i="15"/>
  <c r="CT54" i="15" s="1"/>
  <c r="CS58" i="15"/>
  <c r="CT58" i="15" s="1"/>
  <c r="CS62" i="15"/>
  <c r="CT62" i="15" s="1"/>
  <c r="CS69" i="15"/>
  <c r="CT69" i="15" s="1"/>
  <c r="CS73" i="15"/>
  <c r="CT73" i="15" s="1"/>
  <c r="CS77" i="15"/>
  <c r="CT77" i="15" s="1"/>
  <c r="CS81" i="15"/>
  <c r="CT81" i="15" s="1"/>
  <c r="CS84" i="15"/>
  <c r="CT84" i="15" s="1"/>
  <c r="CS88" i="15"/>
  <c r="CT88" i="15" s="1"/>
  <c r="CS93" i="15"/>
  <c r="CT93" i="15" s="1"/>
  <c r="CS96" i="15"/>
  <c r="CT96" i="15" s="1"/>
  <c r="CS99" i="15"/>
  <c r="CT99" i="15" s="1"/>
  <c r="CS103" i="15"/>
  <c r="CT103" i="15" s="1"/>
  <c r="CS107" i="15"/>
  <c r="CT107" i="15" s="1"/>
  <c r="CS111" i="15"/>
  <c r="CT111" i="15" s="1"/>
  <c r="CS115" i="15"/>
  <c r="CT115" i="15" s="1"/>
  <c r="CS119" i="15"/>
  <c r="CT119" i="15" s="1"/>
  <c r="CS123" i="15"/>
  <c r="CT123" i="15" s="1"/>
  <c r="CS126" i="15"/>
  <c r="CT126" i="15" s="1"/>
  <c r="CS130" i="15"/>
  <c r="CT130" i="15" s="1"/>
  <c r="CS134" i="15"/>
  <c r="CT134" i="15" s="1"/>
  <c r="CS138" i="15"/>
  <c r="CT138" i="15" s="1"/>
  <c r="CS142" i="15"/>
  <c r="CT142" i="15" s="1"/>
  <c r="CS149" i="15"/>
  <c r="CT149" i="15" s="1"/>
  <c r="CS153" i="15"/>
  <c r="CT153" i="15" s="1"/>
  <c r="CS157" i="15"/>
  <c r="CT157" i="15" s="1"/>
  <c r="CS161" i="15"/>
  <c r="CT161" i="15" s="1"/>
  <c r="CS165" i="15"/>
  <c r="CT165" i="15" s="1"/>
  <c r="CS172" i="15"/>
  <c r="CT172" i="15" s="1"/>
  <c r="CS176" i="15"/>
  <c r="CT176" i="15" s="1"/>
  <c r="CS180" i="15"/>
  <c r="CT180" i="15" s="1"/>
  <c r="CS184" i="15"/>
  <c r="CT184" i="15" s="1"/>
  <c r="CS188" i="15"/>
  <c r="CT188" i="15" s="1"/>
  <c r="CS191" i="15"/>
  <c r="CT191" i="15" s="1"/>
  <c r="CS195" i="15"/>
  <c r="CT195" i="15" s="1"/>
  <c r="CS199" i="15"/>
  <c r="CT199" i="15" s="1"/>
  <c r="CS203" i="15"/>
  <c r="CT203" i="15" s="1"/>
  <c r="CS207" i="15"/>
  <c r="CT207" i="15" s="1"/>
  <c r="CS211" i="15"/>
  <c r="CT211" i="15" s="1"/>
  <c r="CS215" i="15"/>
  <c r="CT215" i="15" s="1"/>
  <c r="CS219" i="15"/>
  <c r="CT219" i="15" s="1"/>
  <c r="CS222" i="15"/>
  <c r="CT222" i="15" s="1"/>
  <c r="CS226" i="15"/>
  <c r="CT226" i="15" s="1"/>
  <c r="CS230" i="15"/>
  <c r="CT230" i="15" s="1"/>
  <c r="CS233" i="15"/>
  <c r="CT233" i="15" s="1"/>
  <c r="CS237" i="15"/>
  <c r="CT237" i="15" s="1"/>
  <c r="CS241" i="15"/>
  <c r="CT241" i="15" s="1"/>
  <c r="CS245" i="15"/>
  <c r="CT245" i="15" s="1"/>
  <c r="CS249" i="15"/>
  <c r="CT249" i="15" s="1"/>
  <c r="CS252" i="15"/>
  <c r="CT252" i="15" s="1"/>
  <c r="CS256" i="15"/>
  <c r="CT256" i="15" s="1"/>
  <c r="CS260" i="15"/>
  <c r="CT260" i="15" s="1"/>
  <c r="CS264" i="15"/>
  <c r="CT264" i="15" s="1"/>
  <c r="CS268" i="15"/>
  <c r="CT268" i="15" s="1"/>
  <c r="CS274" i="15"/>
  <c r="CT274" i="15" s="1"/>
  <c r="CS279" i="15"/>
  <c r="CT279" i="15" s="1"/>
  <c r="CS283" i="15"/>
  <c r="CT283" i="15" s="1"/>
  <c r="CS287" i="15"/>
  <c r="CT287" i="15" s="1"/>
  <c r="CS173" i="15"/>
  <c r="CT173" i="15" s="1"/>
  <c r="CS181" i="15"/>
  <c r="CT181" i="15" s="1"/>
  <c r="CS189" i="15"/>
  <c r="CT189" i="15" s="1"/>
  <c r="CX189" i="15" s="1"/>
  <c r="CS196" i="15"/>
  <c r="CT196" i="15" s="1"/>
  <c r="CS204" i="15"/>
  <c r="CT204" i="15" s="1"/>
  <c r="CS212" i="15"/>
  <c r="CT212" i="15" s="1"/>
  <c r="CS227" i="15"/>
  <c r="CT227" i="15" s="1"/>
  <c r="CS234" i="15"/>
  <c r="CT234" i="15" s="1"/>
  <c r="CS242" i="15"/>
  <c r="CT242" i="15" s="1"/>
  <c r="CS257" i="15"/>
  <c r="CT257" i="15" s="1"/>
  <c r="CS265" i="15"/>
  <c r="CT265" i="15" s="1"/>
  <c r="CS272" i="15"/>
  <c r="CT272" i="15" s="1"/>
  <c r="CS280" i="15"/>
  <c r="CT280" i="15" s="1"/>
  <c r="CS288" i="15"/>
  <c r="CT288" i="15" s="1"/>
  <c r="CS293" i="15"/>
  <c r="CT293" i="15" s="1"/>
  <c r="CS297" i="15"/>
  <c r="CT297" i="15" s="1"/>
  <c r="CS304" i="15"/>
  <c r="CT304" i="15" s="1"/>
  <c r="CS308" i="15"/>
  <c r="CT308" i="15" s="1"/>
  <c r="CS312" i="15"/>
  <c r="CT312" i="15" s="1"/>
  <c r="CS316" i="15"/>
  <c r="CT316" i="15" s="1"/>
  <c r="CS320" i="15"/>
  <c r="CT320" i="15" s="1"/>
  <c r="CS327" i="15"/>
  <c r="CT327" i="15" s="1"/>
  <c r="CS331" i="15"/>
  <c r="CT331" i="15" s="1"/>
  <c r="CS335" i="15"/>
  <c r="CT335" i="15" s="1"/>
  <c r="CS339" i="15"/>
  <c r="CT339" i="15" s="1"/>
  <c r="CS343" i="15"/>
  <c r="CT343" i="15" s="1"/>
  <c r="CS347" i="15"/>
  <c r="CT347" i="15" s="1"/>
  <c r="CS351" i="15"/>
  <c r="CT351" i="15" s="1"/>
  <c r="CS355" i="15"/>
  <c r="CT355" i="15" s="1"/>
  <c r="CS359" i="15"/>
  <c r="CT359" i="15" s="1"/>
  <c r="CS363" i="15"/>
  <c r="CT363" i="15" s="1"/>
  <c r="CS367" i="15"/>
  <c r="CT367" i="15" s="1"/>
  <c r="CS371" i="15"/>
  <c r="CT371" i="15" s="1"/>
  <c r="CS374" i="15"/>
  <c r="CT374" i="15" s="1"/>
  <c r="CS378" i="15"/>
  <c r="CT378" i="15" s="1"/>
  <c r="CS382" i="15"/>
  <c r="CT382" i="15" s="1"/>
  <c r="CS386" i="15"/>
  <c r="CT386" i="15" s="1"/>
  <c r="CS390" i="15"/>
  <c r="CT390" i="15" s="1"/>
  <c r="CS394" i="15"/>
  <c r="CT394" i="15" s="1"/>
  <c r="CS398" i="15"/>
  <c r="CT398" i="15" s="1"/>
  <c r="CS402" i="15"/>
  <c r="CT402" i="15" s="1"/>
  <c r="CS409" i="15"/>
  <c r="CT409" i="15" s="1"/>
  <c r="CS413" i="15"/>
  <c r="CT413" i="15" s="1"/>
  <c r="CS417" i="15"/>
  <c r="CT417" i="15" s="1"/>
  <c r="CS421" i="15"/>
  <c r="CT421" i="15" s="1"/>
  <c r="CS425" i="15"/>
  <c r="CT425" i="15" s="1"/>
  <c r="CS432" i="15"/>
  <c r="CT432" i="15" s="1"/>
  <c r="CS436" i="15"/>
  <c r="CT436" i="15" s="1"/>
  <c r="CS440" i="15"/>
  <c r="CT440" i="15" s="1"/>
  <c r="CS444" i="15"/>
  <c r="CT444" i="15" s="1"/>
  <c r="CS448" i="15"/>
  <c r="CT448" i="15" s="1"/>
  <c r="CS452" i="15"/>
  <c r="CT452" i="15" s="1"/>
  <c r="CS459" i="15"/>
  <c r="CT459" i="15" s="1"/>
  <c r="CS463" i="15"/>
  <c r="CT463" i="15" s="1"/>
  <c r="CS467" i="15"/>
  <c r="CT467" i="15" s="1"/>
  <c r="CS471" i="15"/>
  <c r="CT471" i="15" s="1"/>
  <c r="CS474" i="15"/>
  <c r="CT474" i="15" s="1"/>
  <c r="CS478" i="15"/>
  <c r="CT478" i="15" s="1"/>
  <c r="CS482" i="15"/>
  <c r="CT482" i="15" s="1"/>
  <c r="CS486" i="15"/>
  <c r="CT486" i="15" s="1"/>
  <c r="CS493" i="15"/>
  <c r="CT493" i="15" s="1"/>
  <c r="CS497" i="15"/>
  <c r="CT497" i="15" s="1"/>
  <c r="CS501" i="15"/>
  <c r="CT501" i="15" s="1"/>
  <c r="CS505" i="15"/>
  <c r="CT505" i="15" s="1"/>
  <c r="CS509" i="15"/>
  <c r="CT509" i="15" s="1"/>
  <c r="CS513" i="15"/>
  <c r="CT513" i="15" s="1"/>
  <c r="CX513" i="15" s="1"/>
  <c r="CS516" i="15"/>
  <c r="CT516" i="15" s="1"/>
  <c r="CS520" i="15"/>
  <c r="CT520" i="15" s="1"/>
  <c r="CS524" i="15"/>
  <c r="CT524" i="15" s="1"/>
  <c r="CS531" i="15"/>
  <c r="CT531" i="15" s="1"/>
  <c r="CS535" i="15"/>
  <c r="CT535" i="15" s="1"/>
  <c r="CS539" i="15"/>
  <c r="CT539" i="15" s="1"/>
  <c r="CS543" i="15"/>
  <c r="CT543" i="15" s="1"/>
  <c r="CS547" i="15"/>
  <c r="CT547" i="15" s="1"/>
  <c r="CX547" i="15" s="1"/>
  <c r="CS550" i="15"/>
  <c r="CT550" i="15" s="1"/>
  <c r="CS554" i="15"/>
  <c r="CT554" i="15" s="1"/>
  <c r="CS558" i="15"/>
  <c r="CT558" i="15" s="1"/>
  <c r="CS562" i="15"/>
  <c r="CT562" i="15" s="1"/>
  <c r="CS566" i="15"/>
  <c r="CT566" i="15" s="1"/>
  <c r="CS570" i="15"/>
  <c r="CT570" i="15" s="1"/>
  <c r="CS572" i="15"/>
  <c r="CT572" i="15" s="1"/>
  <c r="CS578" i="15"/>
  <c r="CT578" i="15" s="1"/>
  <c r="CS581" i="15"/>
  <c r="CT581" i="15" s="1"/>
  <c r="CS585" i="15"/>
  <c r="CT585" i="15" s="1"/>
  <c r="CS589" i="15"/>
  <c r="CT589" i="15" s="1"/>
  <c r="CS593" i="15"/>
  <c r="CT593" i="15" s="1"/>
  <c r="CS597" i="15"/>
  <c r="CT597" i="15" s="1"/>
  <c r="CS601" i="15"/>
  <c r="CT601" i="15" s="1"/>
  <c r="CS605" i="15"/>
  <c r="CT605" i="15" s="1"/>
  <c r="CS609" i="15"/>
  <c r="CT609" i="15" s="1"/>
  <c r="CS612" i="15"/>
  <c r="CT612" i="15" s="1"/>
  <c r="CS616" i="15"/>
  <c r="CT616" i="15" s="1"/>
  <c r="CS620" i="15"/>
  <c r="CT620" i="15" s="1"/>
  <c r="CX620" i="15" s="1"/>
  <c r="CS623" i="15"/>
  <c r="CT623" i="15" s="1"/>
  <c r="CS627" i="15"/>
  <c r="CT627" i="15" s="1"/>
  <c r="CS631" i="15"/>
  <c r="CT631" i="15" s="1"/>
  <c r="CS635" i="15"/>
  <c r="CT635" i="15" s="1"/>
  <c r="CS639" i="15"/>
  <c r="CT639" i="15" s="1"/>
  <c r="CS642" i="15"/>
  <c r="CT642" i="15" s="1"/>
  <c r="CS646" i="15"/>
  <c r="CT646" i="15" s="1"/>
  <c r="CS650" i="15"/>
  <c r="CT650" i="15" s="1"/>
  <c r="CS654" i="15"/>
  <c r="CT654" i="15" s="1"/>
  <c r="CS658" i="15"/>
  <c r="CT658" i="15" s="1"/>
  <c r="CS662" i="15"/>
  <c r="CT662" i="15" s="1"/>
  <c r="CS666" i="15"/>
  <c r="CT666" i="15" s="1"/>
  <c r="CS669" i="15"/>
  <c r="CT669" i="15" s="1"/>
  <c r="CS673" i="15"/>
  <c r="CT673" i="15" s="1"/>
  <c r="CS677" i="15"/>
  <c r="CT677" i="15" s="1"/>
  <c r="CS681" i="15"/>
  <c r="CT681" i="15" s="1"/>
  <c r="CS685" i="15"/>
  <c r="CT685" i="15" s="1"/>
  <c r="CS692" i="15"/>
  <c r="CT692" i="15" s="1"/>
  <c r="CS696" i="15"/>
  <c r="CT696" i="15" s="1"/>
  <c r="CS700" i="15"/>
  <c r="CT700" i="15" s="1"/>
  <c r="CS704" i="15"/>
  <c r="CT704" i="15" s="1"/>
  <c r="CS708" i="15"/>
  <c r="CT708" i="15" s="1"/>
  <c r="CS715" i="15"/>
  <c r="CT715" i="15" s="1"/>
  <c r="CS719" i="15"/>
  <c r="CT719" i="15" s="1"/>
  <c r="CS723" i="15"/>
  <c r="CT723" i="15" s="1"/>
  <c r="CS727" i="15"/>
  <c r="CT727" i="15" s="1"/>
  <c r="CS734" i="15"/>
  <c r="CT734" i="15" s="1"/>
  <c r="CS738" i="15"/>
  <c r="CT738" i="15" s="1"/>
  <c r="CS742" i="15"/>
  <c r="CT742" i="15" s="1"/>
  <c r="CS746" i="15"/>
  <c r="CT746" i="15" s="1"/>
  <c r="CS750" i="15"/>
  <c r="CT750" i="15" s="1"/>
  <c r="CS754" i="15"/>
  <c r="CT754" i="15" s="1"/>
  <c r="CS757" i="15"/>
  <c r="CT757" i="15" s="1"/>
  <c r="CS759" i="15"/>
  <c r="CT759" i="15" s="1"/>
  <c r="CS763" i="15"/>
  <c r="CT763" i="15" s="1"/>
  <c r="CS767" i="15"/>
  <c r="CT767" i="15" s="1"/>
  <c r="CS771" i="15"/>
  <c r="CT771" i="15" s="1"/>
  <c r="CS780" i="15"/>
  <c r="CT780" i="15" s="1"/>
  <c r="CS784" i="15"/>
  <c r="CT784" i="15" s="1"/>
  <c r="CS788" i="15"/>
  <c r="CT788" i="15" s="1"/>
  <c r="CS792" i="15"/>
  <c r="CT792" i="15" s="1"/>
  <c r="CS796" i="15"/>
  <c r="CT796" i="15" s="1"/>
  <c r="CS799" i="15"/>
  <c r="CT799" i="15" s="1"/>
  <c r="CS803" i="15"/>
  <c r="CT803" i="15" s="1"/>
  <c r="CS807" i="15"/>
  <c r="CT807" i="15" s="1"/>
  <c r="CS811" i="15"/>
  <c r="CT811" i="15" s="1"/>
  <c r="CS815" i="15"/>
  <c r="CT815" i="15" s="1"/>
  <c r="CS819" i="15"/>
  <c r="CT819" i="15" s="1"/>
  <c r="CS823" i="15"/>
  <c r="CT823" i="15" s="1"/>
  <c r="CS830" i="15"/>
  <c r="CT830" i="15" s="1"/>
  <c r="CS834" i="15"/>
  <c r="CT834" i="15" s="1"/>
  <c r="CS838" i="15"/>
  <c r="CT838" i="15" s="1"/>
  <c r="CS842" i="15"/>
  <c r="CT842" i="15" s="1"/>
  <c r="CS846" i="15"/>
  <c r="CT846" i="15" s="1"/>
  <c r="CS850" i="15"/>
  <c r="CT850" i="15" s="1"/>
  <c r="CS854" i="15"/>
  <c r="CT854" i="15" s="1"/>
  <c r="CS858" i="15"/>
  <c r="CT858" i="15" s="1"/>
  <c r="CS167" i="15"/>
  <c r="CT167" i="15" s="1"/>
  <c r="CX167" i="15" s="1"/>
  <c r="CS174" i="15"/>
  <c r="CT174" i="15" s="1"/>
  <c r="CS182" i="15"/>
  <c r="CT182" i="15" s="1"/>
  <c r="CS190" i="15"/>
  <c r="CT190" i="15" s="1"/>
  <c r="CS197" i="15"/>
  <c r="CT197" i="15" s="1"/>
  <c r="CS205" i="15"/>
  <c r="CT205" i="15" s="1"/>
  <c r="CS213" i="15"/>
  <c r="CT213" i="15" s="1"/>
  <c r="CS220" i="15"/>
  <c r="CT220" i="15" s="1"/>
  <c r="CS228" i="15"/>
  <c r="CT228" i="15" s="1"/>
  <c r="CS235" i="15"/>
  <c r="CT235" i="15" s="1"/>
  <c r="CS243" i="15"/>
  <c r="CT243" i="15" s="1"/>
  <c r="CS251" i="15"/>
  <c r="CT251" i="15" s="1"/>
  <c r="CS258" i="15"/>
  <c r="CT258" i="15" s="1"/>
  <c r="CS266" i="15"/>
  <c r="CT266" i="15" s="1"/>
  <c r="CS273" i="15"/>
  <c r="CT273" i="15" s="1"/>
  <c r="CS281" i="15"/>
  <c r="CT281" i="15" s="1"/>
  <c r="CS289" i="15"/>
  <c r="CT289" i="15" s="1"/>
  <c r="CS294" i="15"/>
  <c r="CT294" i="15" s="1"/>
  <c r="CS298" i="15"/>
  <c r="CT298" i="15" s="1"/>
  <c r="CS301" i="15"/>
  <c r="CT301" i="15" s="1"/>
  <c r="CS305" i="15"/>
  <c r="CT305" i="15" s="1"/>
  <c r="CS309" i="15"/>
  <c r="CT309" i="15" s="1"/>
  <c r="CS313" i="15"/>
  <c r="CT313" i="15" s="1"/>
  <c r="CS317" i="15"/>
  <c r="CT317" i="15" s="1"/>
  <c r="CS321" i="15"/>
  <c r="CT321" i="15" s="1"/>
  <c r="CS325" i="15"/>
  <c r="CT325" i="15" s="1"/>
  <c r="CS328" i="15"/>
  <c r="CT328" i="15" s="1"/>
  <c r="CS332" i="15"/>
  <c r="CT332" i="15" s="1"/>
  <c r="CS336" i="15"/>
  <c r="CT336" i="15" s="1"/>
  <c r="CS340" i="15"/>
  <c r="CT340" i="15" s="1"/>
  <c r="CS344" i="15"/>
  <c r="CT344" i="15" s="1"/>
  <c r="CS348" i="15"/>
  <c r="CT348" i="15" s="1"/>
  <c r="CS352" i="15"/>
  <c r="CT352" i="15" s="1"/>
  <c r="CS356" i="15"/>
  <c r="CT356" i="15" s="1"/>
  <c r="CS360" i="15"/>
  <c r="CT360" i="15" s="1"/>
  <c r="CS364" i="15"/>
  <c r="CT364" i="15" s="1"/>
  <c r="CS368" i="15"/>
  <c r="CT368" i="15" s="1"/>
  <c r="CS375" i="15"/>
  <c r="CT375" i="15" s="1"/>
  <c r="CS379" i="15"/>
  <c r="CT379" i="15" s="1"/>
  <c r="CS383" i="15"/>
  <c r="CT383" i="15" s="1"/>
  <c r="CS387" i="15"/>
  <c r="CT387" i="15" s="1"/>
  <c r="CS391" i="15"/>
  <c r="CT391" i="15" s="1"/>
  <c r="CS395" i="15"/>
  <c r="CT395" i="15" s="1"/>
  <c r="CS399" i="15"/>
  <c r="CT399" i="15" s="1"/>
  <c r="CS403" i="15"/>
  <c r="CT403" i="15" s="1"/>
  <c r="CS407" i="15"/>
  <c r="CT407" i="15" s="1"/>
  <c r="CS410" i="15"/>
  <c r="CT410" i="15" s="1"/>
  <c r="CS414" i="15"/>
  <c r="CT414" i="15" s="1"/>
  <c r="CS418" i="15"/>
  <c r="CT418" i="15" s="1"/>
  <c r="CS422" i="15"/>
  <c r="CT422" i="15" s="1"/>
  <c r="CS426" i="15"/>
  <c r="CT426" i="15" s="1"/>
  <c r="CS430" i="15"/>
  <c r="CT430" i="15" s="1"/>
  <c r="CS433" i="15"/>
  <c r="CT433" i="15" s="1"/>
  <c r="CS437" i="15"/>
  <c r="CT437" i="15" s="1"/>
  <c r="CS441" i="15"/>
  <c r="CT441" i="15" s="1"/>
  <c r="CS445" i="15"/>
  <c r="CT445" i="15" s="1"/>
  <c r="CS449" i="15"/>
  <c r="CT449" i="15" s="1"/>
  <c r="CS453" i="15"/>
  <c r="CT453" i="15" s="1"/>
  <c r="CS456" i="15"/>
  <c r="CT456" i="15" s="1"/>
  <c r="CS460" i="15"/>
  <c r="CT460" i="15" s="1"/>
  <c r="CS464" i="15"/>
  <c r="CT464" i="15" s="1"/>
  <c r="CS468" i="15"/>
  <c r="CT468" i="15" s="1"/>
  <c r="CS472" i="15"/>
  <c r="CT472" i="15" s="1"/>
  <c r="CS475" i="15"/>
  <c r="CT475" i="15" s="1"/>
  <c r="CS479" i="15"/>
  <c r="CT479" i="15" s="1"/>
  <c r="CS483" i="15"/>
  <c r="CT483" i="15" s="1"/>
  <c r="CS487" i="15"/>
  <c r="CT487" i="15" s="1"/>
  <c r="CS491" i="15"/>
  <c r="CT491" i="15" s="1"/>
  <c r="CS494" i="15"/>
  <c r="CT494" i="15" s="1"/>
  <c r="CS498" i="15"/>
  <c r="CT498" i="15" s="1"/>
  <c r="CS502" i="15"/>
  <c r="CT502" i="15" s="1"/>
  <c r="CS506" i="15"/>
  <c r="CT506" i="15" s="1"/>
  <c r="CS510" i="15"/>
  <c r="CT510" i="15" s="1"/>
  <c r="CS514" i="15"/>
  <c r="CT514" i="15" s="1"/>
  <c r="CS517" i="15"/>
  <c r="CT517" i="15" s="1"/>
  <c r="CS521" i="15"/>
  <c r="CT521" i="15" s="1"/>
  <c r="CS525" i="15"/>
  <c r="CT525" i="15" s="1"/>
  <c r="CS529" i="15"/>
  <c r="CT529" i="15" s="1"/>
  <c r="CS532" i="15"/>
  <c r="CT532" i="15" s="1"/>
  <c r="CS536" i="15"/>
  <c r="CT536" i="15" s="1"/>
  <c r="CS540" i="15"/>
  <c r="CT540" i="15" s="1"/>
  <c r="CS544" i="15"/>
  <c r="CT544" i="15" s="1"/>
  <c r="CS548" i="15"/>
  <c r="CT548" i="15" s="1"/>
  <c r="CS551" i="15"/>
  <c r="CT551" i="15" s="1"/>
  <c r="CS555" i="15"/>
  <c r="CT555" i="15" s="1"/>
  <c r="CS559" i="15"/>
  <c r="CT559" i="15" s="1"/>
  <c r="CS563" i="15"/>
  <c r="CT563" i="15" s="1"/>
  <c r="CS567" i="15"/>
  <c r="CT567" i="15" s="1"/>
  <c r="CS571" i="15"/>
  <c r="CT571" i="15" s="1"/>
  <c r="CS575" i="15"/>
  <c r="CT575" i="15" s="1"/>
  <c r="CS582" i="15"/>
  <c r="CT582" i="15" s="1"/>
  <c r="CS586" i="15"/>
  <c r="CT586" i="15" s="1"/>
  <c r="CS590" i="15"/>
  <c r="CT590" i="15" s="1"/>
  <c r="CS594" i="15"/>
  <c r="CT594" i="15" s="1"/>
  <c r="CS598" i="15"/>
  <c r="CT598" i="15" s="1"/>
  <c r="CS602" i="15"/>
  <c r="CT602" i="15" s="1"/>
  <c r="CS606" i="15"/>
  <c r="CT606" i="15" s="1"/>
  <c r="CS610" i="15"/>
  <c r="CT610" i="15" s="1"/>
  <c r="CX610" i="15" s="1"/>
  <c r="CS613" i="15"/>
  <c r="CT613" i="15" s="1"/>
  <c r="CS617" i="15"/>
  <c r="CT617" i="15" s="1"/>
  <c r="CS621" i="15"/>
  <c r="CT621" i="15" s="1"/>
  <c r="CS624" i="15"/>
  <c r="CT624" i="15" s="1"/>
  <c r="CS628" i="15"/>
  <c r="CT628" i="15" s="1"/>
  <c r="CS632" i="15"/>
  <c r="CT632" i="15" s="1"/>
  <c r="CS636" i="15"/>
  <c r="CT636" i="15" s="1"/>
  <c r="CS643" i="15"/>
  <c r="CT643" i="15" s="1"/>
  <c r="CS647" i="15"/>
  <c r="CT647" i="15" s="1"/>
  <c r="CS651" i="15"/>
  <c r="CT651" i="15" s="1"/>
  <c r="CS655" i="15"/>
  <c r="CT655" i="15" s="1"/>
  <c r="CS659" i="15"/>
  <c r="CT659" i="15" s="1"/>
  <c r="CS663" i="15"/>
  <c r="CT663" i="15" s="1"/>
  <c r="CS667" i="15"/>
  <c r="CT667" i="15" s="1"/>
  <c r="CX667" i="15" s="1"/>
  <c r="CS670" i="15"/>
  <c r="CT670" i="15" s="1"/>
  <c r="CS674" i="15"/>
  <c r="CT674" i="15" s="1"/>
  <c r="CS678" i="15"/>
  <c r="CT678" i="15" s="1"/>
  <c r="CS682" i="15"/>
  <c r="CT682" i="15" s="1"/>
  <c r="CS686" i="15"/>
  <c r="CT686" i="15" s="1"/>
  <c r="CS689" i="15"/>
  <c r="CT689" i="15" s="1"/>
  <c r="CS693" i="15"/>
  <c r="CT693" i="15" s="1"/>
  <c r="CS697" i="15"/>
  <c r="CT697" i="15" s="1"/>
  <c r="CS701" i="15"/>
  <c r="CT701" i="15" s="1"/>
  <c r="CS705" i="15"/>
  <c r="CT705" i="15" s="1"/>
  <c r="CS709" i="15"/>
  <c r="CT709" i="15" s="1"/>
  <c r="CS713" i="15"/>
  <c r="CT713" i="15" s="1"/>
  <c r="CS716" i="15"/>
  <c r="CT716" i="15" s="1"/>
  <c r="CS720" i="15"/>
  <c r="CT720" i="15" s="1"/>
  <c r="CS724" i="15"/>
  <c r="CT724" i="15" s="1"/>
  <c r="CS728" i="15"/>
  <c r="CT728" i="15" s="1"/>
  <c r="CS732" i="15"/>
  <c r="CT732" i="15" s="1"/>
  <c r="CS735" i="15"/>
  <c r="CT735" i="15" s="1"/>
  <c r="CS739" i="15"/>
  <c r="CT739" i="15" s="1"/>
  <c r="CS743" i="15"/>
  <c r="CT743" i="15" s="1"/>
  <c r="CS747" i="15"/>
  <c r="CT747" i="15" s="1"/>
  <c r="CS751" i="15"/>
  <c r="CT751" i="15" s="1"/>
  <c r="CS773" i="15"/>
  <c r="CT773" i="15" s="1"/>
  <c r="CS760" i="15"/>
  <c r="CT760" i="15" s="1"/>
  <c r="CS764" i="15"/>
  <c r="CT764" i="15" s="1"/>
  <c r="CS768" i="15"/>
  <c r="CT768" i="15" s="1"/>
  <c r="CS772" i="15"/>
  <c r="CT772" i="15" s="1"/>
  <c r="CS777" i="15"/>
  <c r="CT777" i="15" s="1"/>
  <c r="CS781" i="15"/>
  <c r="CT781" i="15" s="1"/>
  <c r="CS785" i="15"/>
  <c r="CT785" i="15" s="1"/>
  <c r="CS789" i="15"/>
  <c r="CT789" i="15" s="1"/>
  <c r="CS793" i="15"/>
  <c r="CT793" i="15" s="1"/>
  <c r="CS800" i="15"/>
  <c r="CT800" i="15" s="1"/>
  <c r="CS804" i="15"/>
  <c r="CT804" i="15" s="1"/>
  <c r="CS808" i="15"/>
  <c r="CT808" i="15" s="1"/>
  <c r="CS812" i="15"/>
  <c r="CT812" i="15" s="1"/>
  <c r="CS816" i="15"/>
  <c r="CT816" i="15" s="1"/>
  <c r="CS820" i="15"/>
  <c r="CT820" i="15" s="1"/>
  <c r="CS824" i="15"/>
  <c r="CT824" i="15" s="1"/>
  <c r="CS828" i="15"/>
  <c r="CT828" i="15" s="1"/>
  <c r="CS831" i="15"/>
  <c r="CT831" i="15" s="1"/>
  <c r="CS835" i="15"/>
  <c r="CT835" i="15" s="1"/>
  <c r="CS839" i="15"/>
  <c r="CT839" i="15" s="1"/>
  <c r="CS843" i="15"/>
  <c r="CT843" i="15" s="1"/>
  <c r="CS847" i="15"/>
  <c r="CT847" i="15" s="1"/>
  <c r="CS851" i="15"/>
  <c r="CT851" i="15" s="1"/>
  <c r="CS855" i="15"/>
  <c r="CT855" i="15" s="1"/>
  <c r="CS859" i="15"/>
  <c r="CT859" i="15" s="1"/>
  <c r="CS169" i="15"/>
  <c r="CT169" i="15" s="1"/>
  <c r="CS177" i="15"/>
  <c r="CT177" i="15" s="1"/>
  <c r="CS185" i="15"/>
  <c r="CT185" i="15" s="1"/>
  <c r="CS192" i="15"/>
  <c r="CT192" i="15" s="1"/>
  <c r="CS200" i="15"/>
  <c r="CT200" i="15" s="1"/>
  <c r="CS208" i="15"/>
  <c r="CT208" i="15" s="1"/>
  <c r="CS216" i="15"/>
  <c r="CT216" i="15" s="1"/>
  <c r="CS223" i="15"/>
  <c r="CT223" i="15" s="1"/>
  <c r="CS231" i="15"/>
  <c r="CT231" i="15" s="1"/>
  <c r="CX231" i="15" s="1"/>
  <c r="CS238" i="15"/>
  <c r="CT238" i="15" s="1"/>
  <c r="CS246" i="15"/>
  <c r="CT246" i="15" s="1"/>
  <c r="CS253" i="15"/>
  <c r="CT253" i="15" s="1"/>
  <c r="CS261" i="15"/>
  <c r="CT261" i="15" s="1"/>
  <c r="CS276" i="15"/>
  <c r="CT276" i="15" s="1"/>
  <c r="CS284" i="15"/>
  <c r="CT284" i="15" s="1"/>
  <c r="CS291" i="15"/>
  <c r="CT291" i="15" s="1"/>
  <c r="CS295" i="15"/>
  <c r="CT295" i="15" s="1"/>
  <c r="CS299" i="15"/>
  <c r="CT299" i="15" s="1"/>
  <c r="CX299" i="15" s="1"/>
  <c r="CS302" i="15"/>
  <c r="CT302" i="15" s="1"/>
  <c r="CS306" i="15"/>
  <c r="CT306" i="15" s="1"/>
  <c r="CS310" i="15"/>
  <c r="CT310" i="15" s="1"/>
  <c r="CS314" i="15"/>
  <c r="CT314" i="15" s="1"/>
  <c r="CS318" i="15"/>
  <c r="CT318" i="15" s="1"/>
  <c r="CS322" i="15"/>
  <c r="CT322" i="15" s="1"/>
  <c r="CS329" i="15"/>
  <c r="CT329" i="15" s="1"/>
  <c r="CS333" i="15"/>
  <c r="CT333" i="15" s="1"/>
  <c r="CS337" i="15"/>
  <c r="CT337" i="15" s="1"/>
  <c r="CS341" i="15"/>
  <c r="CT341" i="15" s="1"/>
  <c r="CS345" i="15"/>
  <c r="CT345" i="15" s="1"/>
  <c r="CS349" i="15"/>
  <c r="CT349" i="15" s="1"/>
  <c r="CS353" i="15"/>
  <c r="CT353" i="15" s="1"/>
  <c r="CS357" i="15"/>
  <c r="CT357" i="15" s="1"/>
  <c r="CS361" i="15"/>
  <c r="CT361" i="15" s="1"/>
  <c r="CS365" i="15"/>
  <c r="CT365" i="15" s="1"/>
  <c r="CS369" i="15"/>
  <c r="CT369" i="15" s="1"/>
  <c r="CS372" i="15"/>
  <c r="CT372" i="15" s="1"/>
  <c r="CS376" i="15"/>
  <c r="CT376" i="15" s="1"/>
  <c r="CS380" i="15"/>
  <c r="CT380" i="15" s="1"/>
  <c r="CS384" i="15"/>
  <c r="CT384" i="15" s="1"/>
  <c r="CS388" i="15"/>
  <c r="CT388" i="15" s="1"/>
  <c r="CS392" i="15"/>
  <c r="CT392" i="15" s="1"/>
  <c r="CS396" i="15"/>
  <c r="CT396" i="15" s="1"/>
  <c r="CS400" i="15"/>
  <c r="CT400" i="15" s="1"/>
  <c r="CS404" i="15"/>
  <c r="CT404" i="15" s="1"/>
  <c r="CS411" i="15"/>
  <c r="CT411" i="15" s="1"/>
  <c r="CS415" i="15"/>
  <c r="CT415" i="15" s="1"/>
  <c r="CS419" i="15"/>
  <c r="CT419" i="15" s="1"/>
  <c r="CS423" i="15"/>
  <c r="CT423" i="15" s="1"/>
  <c r="CS427" i="15"/>
  <c r="CT427" i="15" s="1"/>
  <c r="CS434" i="15"/>
  <c r="CT434" i="15" s="1"/>
  <c r="CS438" i="15"/>
  <c r="CT438" i="15" s="1"/>
  <c r="CS442" i="15"/>
  <c r="CT442" i="15" s="1"/>
  <c r="CS446" i="15"/>
  <c r="CT446" i="15" s="1"/>
  <c r="CS450" i="15"/>
  <c r="CT450" i="15" s="1"/>
  <c r="CS454" i="15"/>
  <c r="CT454" i="15" s="1"/>
  <c r="CX454" i="15" s="1"/>
  <c r="CS457" i="15"/>
  <c r="CT457" i="15" s="1"/>
  <c r="CS461" i="15"/>
  <c r="CT461" i="15" s="1"/>
  <c r="CS465" i="15"/>
  <c r="CT465" i="15" s="1"/>
  <c r="CS469" i="15"/>
  <c r="CT469" i="15" s="1"/>
  <c r="CS476" i="15"/>
  <c r="CT476" i="15" s="1"/>
  <c r="CS480" i="15"/>
  <c r="CT480" i="15" s="1"/>
  <c r="CS484" i="15"/>
  <c r="CT484" i="15" s="1"/>
  <c r="CS488" i="15"/>
  <c r="CT488" i="15" s="1"/>
  <c r="CS495" i="15"/>
  <c r="CT495" i="15" s="1"/>
  <c r="CS499" i="15"/>
  <c r="CT499" i="15" s="1"/>
  <c r="CS503" i="15"/>
  <c r="CT503" i="15" s="1"/>
  <c r="CS507" i="15"/>
  <c r="CT507" i="15" s="1"/>
  <c r="CS511" i="15"/>
  <c r="CT511" i="15" s="1"/>
  <c r="CS518" i="15"/>
  <c r="CT518" i="15" s="1"/>
  <c r="CS522" i="15"/>
  <c r="CT522" i="15" s="1"/>
  <c r="CS526" i="15"/>
  <c r="CT526" i="15" s="1"/>
  <c r="CS533" i="15"/>
  <c r="CT533" i="15" s="1"/>
  <c r="CS537" i="15"/>
  <c r="CT537" i="15" s="1"/>
  <c r="CS541" i="15"/>
  <c r="CT541" i="15" s="1"/>
  <c r="CS545" i="15"/>
  <c r="CT545" i="15" s="1"/>
  <c r="CS552" i="15"/>
  <c r="CT552" i="15" s="1"/>
  <c r="CS556" i="15"/>
  <c r="CT556" i="15" s="1"/>
  <c r="CS560" i="15"/>
  <c r="CT560" i="15" s="1"/>
  <c r="CS564" i="15"/>
  <c r="CT564" i="15" s="1"/>
  <c r="CS568" i="15"/>
  <c r="CT568" i="15" s="1"/>
  <c r="CS573" i="15"/>
  <c r="CT573" i="15" s="1"/>
  <c r="CS579" i="15"/>
  <c r="CT579" i="15" s="1"/>
  <c r="CS583" i="15"/>
  <c r="CT583" i="15" s="1"/>
  <c r="CS587" i="15"/>
  <c r="CT587" i="15" s="1"/>
  <c r="CS591" i="15"/>
  <c r="CT591" i="15" s="1"/>
  <c r="CS595" i="15"/>
  <c r="CT595" i="15" s="1"/>
  <c r="CS599" i="15"/>
  <c r="CT599" i="15" s="1"/>
  <c r="CS603" i="15"/>
  <c r="CT603" i="15" s="1"/>
  <c r="CS607" i="15"/>
  <c r="CT607" i="15" s="1"/>
  <c r="CS611" i="15"/>
  <c r="CT611" i="15" s="1"/>
  <c r="CS614" i="15"/>
  <c r="CT614" i="15" s="1"/>
  <c r="CS618" i="15"/>
  <c r="CT618" i="15" s="1"/>
  <c r="CS625" i="15"/>
  <c r="CT625" i="15" s="1"/>
  <c r="CS629" i="15"/>
  <c r="CT629" i="15" s="1"/>
  <c r="CS633" i="15"/>
  <c r="CT633" i="15" s="1"/>
  <c r="CS637" i="15"/>
  <c r="CT637" i="15" s="1"/>
  <c r="CS641" i="15"/>
  <c r="CT641" i="15" s="1"/>
  <c r="CS644" i="15"/>
  <c r="CT644" i="15" s="1"/>
  <c r="CS648" i="15"/>
  <c r="CT648" i="15" s="1"/>
  <c r="CS652" i="15"/>
  <c r="CT652" i="15" s="1"/>
  <c r="CS656" i="15"/>
  <c r="CT656" i="15" s="1"/>
  <c r="CS660" i="15"/>
  <c r="CT660" i="15" s="1"/>
  <c r="CS664" i="15"/>
  <c r="CT664" i="15" s="1"/>
  <c r="CS668" i="15"/>
  <c r="CT668" i="15" s="1"/>
  <c r="CS671" i="15"/>
  <c r="CT671" i="15" s="1"/>
  <c r="CS675" i="15"/>
  <c r="CT675" i="15" s="1"/>
  <c r="CS679" i="15"/>
  <c r="CT679" i="15" s="1"/>
  <c r="CS683" i="15"/>
  <c r="CT683" i="15" s="1"/>
  <c r="CS690" i="15"/>
  <c r="CT690" i="15" s="1"/>
  <c r="CS694" i="15"/>
  <c r="CT694" i="15" s="1"/>
  <c r="CS698" i="15"/>
  <c r="CT698" i="15" s="1"/>
  <c r="CS702" i="15"/>
  <c r="CT702" i="15" s="1"/>
  <c r="CS706" i="15"/>
  <c r="CT706" i="15" s="1"/>
  <c r="CS710" i="15"/>
  <c r="CT710" i="15" s="1"/>
  <c r="CS714" i="15"/>
  <c r="CT714" i="15" s="1"/>
  <c r="CS717" i="15"/>
  <c r="CT717" i="15" s="1"/>
  <c r="CS721" i="15"/>
  <c r="CT721" i="15" s="1"/>
  <c r="CS725" i="15"/>
  <c r="CT725" i="15" s="1"/>
  <c r="CS729" i="15"/>
  <c r="CT729" i="15" s="1"/>
  <c r="CS736" i="15"/>
  <c r="CT736" i="15" s="1"/>
  <c r="CS740" i="15"/>
  <c r="CT740" i="15" s="1"/>
  <c r="CS744" i="15"/>
  <c r="CT744" i="15" s="1"/>
  <c r="CS748" i="15"/>
  <c r="CT748" i="15" s="1"/>
  <c r="CS752" i="15"/>
  <c r="CT752" i="15" s="1"/>
  <c r="CS755" i="15"/>
  <c r="CT755" i="15" s="1"/>
  <c r="CS774" i="15"/>
  <c r="CT774" i="15" s="1"/>
  <c r="CS761" i="15"/>
  <c r="CT761" i="15" s="1"/>
  <c r="CS765" i="15"/>
  <c r="CT765" i="15" s="1"/>
  <c r="CS769" i="15"/>
  <c r="CT769" i="15" s="1"/>
  <c r="CS778" i="15"/>
  <c r="CT778" i="15" s="1"/>
  <c r="CS782" i="15"/>
  <c r="CT782" i="15" s="1"/>
  <c r="CS786" i="15"/>
  <c r="CT786" i="15" s="1"/>
  <c r="CS790" i="15"/>
  <c r="CT790" i="15" s="1"/>
  <c r="CS794" i="15"/>
  <c r="CT794" i="15" s="1"/>
  <c r="CS797" i="15"/>
  <c r="CT797" i="15" s="1"/>
  <c r="CS801" i="15"/>
  <c r="CT801" i="15" s="1"/>
  <c r="CS805" i="15"/>
  <c r="CT805" i="15" s="1"/>
  <c r="CS809" i="15"/>
  <c r="CT809" i="15" s="1"/>
  <c r="CS813" i="15"/>
  <c r="CT813" i="15" s="1"/>
  <c r="CS817" i="15"/>
  <c r="CT817" i="15" s="1"/>
  <c r="CS821" i="15"/>
  <c r="CT821" i="15" s="1"/>
  <c r="CS825" i="15"/>
  <c r="CT825" i="15" s="1"/>
  <c r="CS832" i="15"/>
  <c r="CT832" i="15" s="1"/>
  <c r="CS836" i="15"/>
  <c r="CT836" i="15" s="1"/>
  <c r="CS840" i="15"/>
  <c r="CT840" i="15" s="1"/>
  <c r="CS844" i="15"/>
  <c r="CT844" i="15" s="1"/>
  <c r="CS848" i="15"/>
  <c r="CT848" i="15" s="1"/>
  <c r="CS852" i="15"/>
  <c r="CT852" i="15" s="1"/>
  <c r="CS856" i="15"/>
  <c r="CT856" i="15" s="1"/>
  <c r="CS860" i="15"/>
  <c r="CT860" i="15" s="1"/>
  <c r="CS170" i="15"/>
  <c r="CT170" i="15" s="1"/>
  <c r="CS178" i="15"/>
  <c r="CT178" i="15" s="1"/>
  <c r="CS186" i="15"/>
  <c r="CT186" i="15" s="1"/>
  <c r="CS193" i="15"/>
  <c r="CT193" i="15" s="1"/>
  <c r="CS201" i="15"/>
  <c r="CT201" i="15" s="1"/>
  <c r="CS209" i="15"/>
  <c r="CT209" i="15" s="1"/>
  <c r="CS217" i="15"/>
  <c r="CT217" i="15" s="1"/>
  <c r="CS224" i="15"/>
  <c r="CT224" i="15" s="1"/>
  <c r="CS232" i="15"/>
  <c r="CT232" i="15" s="1"/>
  <c r="CS239" i="15"/>
  <c r="CT239" i="15" s="1"/>
  <c r="CS247" i="15"/>
  <c r="CT247" i="15" s="1"/>
  <c r="CS254" i="15"/>
  <c r="CT254" i="15" s="1"/>
  <c r="CS262" i="15"/>
  <c r="CT262" i="15" s="1"/>
  <c r="CS270" i="15"/>
  <c r="CT270" i="15" s="1"/>
  <c r="CS277" i="15"/>
  <c r="CT277" i="15" s="1"/>
  <c r="CS285" i="15"/>
  <c r="CT285" i="15" s="1"/>
  <c r="CS292" i="15"/>
  <c r="CT292" i="15" s="1"/>
  <c r="CS296" i="15"/>
  <c r="CT296" i="15" s="1"/>
  <c r="CS300" i="15"/>
  <c r="CT300" i="15" s="1"/>
  <c r="CS303" i="15"/>
  <c r="CT303" i="15" s="1"/>
  <c r="CS307" i="15"/>
  <c r="CT307" i="15" s="1"/>
  <c r="CS311" i="15"/>
  <c r="CT311" i="15" s="1"/>
  <c r="CS315" i="15"/>
  <c r="CT315" i="15" s="1"/>
  <c r="CS319" i="15"/>
  <c r="CT319" i="15" s="1"/>
  <c r="CS323" i="15"/>
  <c r="CT323" i="15" s="1"/>
  <c r="CS326" i="15"/>
  <c r="CT326" i="15" s="1"/>
  <c r="CS330" i="15"/>
  <c r="CT330" i="15" s="1"/>
  <c r="CS334" i="15"/>
  <c r="CT334" i="15" s="1"/>
  <c r="CS338" i="15"/>
  <c r="CT338" i="15" s="1"/>
  <c r="CS342" i="15"/>
  <c r="CT342" i="15" s="1"/>
  <c r="CS346" i="15"/>
  <c r="CT346" i="15" s="1"/>
  <c r="CS350" i="15"/>
  <c r="CT350" i="15" s="1"/>
  <c r="CS354" i="15"/>
  <c r="CT354" i="15" s="1"/>
  <c r="CS358" i="15"/>
  <c r="CT358" i="15" s="1"/>
  <c r="CS362" i="15"/>
  <c r="CT362" i="15" s="1"/>
  <c r="CS366" i="15"/>
  <c r="CT366" i="15" s="1"/>
  <c r="CS370" i="15"/>
  <c r="CT370" i="15" s="1"/>
  <c r="CX370" i="15" s="1"/>
  <c r="CS373" i="15"/>
  <c r="CT373" i="15" s="1"/>
  <c r="CS377" i="15"/>
  <c r="CT377" i="15" s="1"/>
  <c r="CS381" i="15"/>
  <c r="CT381" i="15" s="1"/>
  <c r="CS385" i="15"/>
  <c r="CT385" i="15" s="1"/>
  <c r="CS389" i="15"/>
  <c r="CT389" i="15" s="1"/>
  <c r="CS393" i="15"/>
  <c r="CT393" i="15" s="1"/>
  <c r="CS397" i="15"/>
  <c r="CT397" i="15" s="1"/>
  <c r="CS401" i="15"/>
  <c r="CT401" i="15" s="1"/>
  <c r="CS405" i="15"/>
  <c r="CT405" i="15" s="1"/>
  <c r="CS408" i="15"/>
  <c r="CT408" i="15" s="1"/>
  <c r="CS412" i="15"/>
  <c r="CT412" i="15" s="1"/>
  <c r="CS416" i="15"/>
  <c r="CT416" i="15" s="1"/>
  <c r="CS420" i="15"/>
  <c r="CT420" i="15" s="1"/>
  <c r="CS424" i="15"/>
  <c r="CT424" i="15" s="1"/>
  <c r="CS428" i="15"/>
  <c r="CT428" i="15" s="1"/>
  <c r="CS431" i="15"/>
  <c r="CT431" i="15" s="1"/>
  <c r="CS435" i="15"/>
  <c r="CT435" i="15" s="1"/>
  <c r="CS439" i="15"/>
  <c r="CT439" i="15" s="1"/>
  <c r="CS443" i="15"/>
  <c r="CT443" i="15" s="1"/>
  <c r="CS447" i="15"/>
  <c r="CT447" i="15" s="1"/>
  <c r="CS451" i="15"/>
  <c r="CT451" i="15" s="1"/>
  <c r="CS455" i="15"/>
  <c r="CT455" i="15" s="1"/>
  <c r="CS458" i="15"/>
  <c r="CT458" i="15" s="1"/>
  <c r="CS462" i="15"/>
  <c r="CT462" i="15" s="1"/>
  <c r="CS466" i="15"/>
  <c r="CT466" i="15" s="1"/>
  <c r="CS473" i="15"/>
  <c r="CT473" i="15" s="1"/>
  <c r="CS477" i="15"/>
  <c r="CT477" i="15" s="1"/>
  <c r="CS481" i="15"/>
  <c r="CT481" i="15" s="1"/>
  <c r="CS485" i="15"/>
  <c r="CT485" i="15" s="1"/>
  <c r="CS489" i="15"/>
  <c r="CT489" i="15" s="1"/>
  <c r="CS492" i="15"/>
  <c r="CT492" i="15" s="1"/>
  <c r="CS496" i="15"/>
  <c r="CT496" i="15" s="1"/>
  <c r="CS500" i="15"/>
  <c r="CT500" i="15" s="1"/>
  <c r="CS504" i="15"/>
  <c r="CT504" i="15" s="1"/>
  <c r="CS508" i="15"/>
  <c r="CT508" i="15" s="1"/>
  <c r="CS512" i="15"/>
  <c r="CT512" i="15" s="1"/>
  <c r="CS515" i="15"/>
  <c r="CT515" i="15" s="1"/>
  <c r="CS519" i="15"/>
  <c r="CT519" i="15" s="1"/>
  <c r="CS523" i="15"/>
  <c r="CT523" i="15" s="1"/>
  <c r="CS527" i="15"/>
  <c r="CT527" i="15" s="1"/>
  <c r="CS530" i="15"/>
  <c r="CT530" i="15" s="1"/>
  <c r="CS534" i="15"/>
  <c r="CT534" i="15" s="1"/>
  <c r="CS538" i="15"/>
  <c r="CT538" i="15" s="1"/>
  <c r="CS542" i="15"/>
  <c r="CT542" i="15" s="1"/>
  <c r="CS546" i="15"/>
  <c r="CT546" i="15" s="1"/>
  <c r="CS549" i="15"/>
  <c r="CT549" i="15" s="1"/>
  <c r="CS553" i="15"/>
  <c r="CT553" i="15" s="1"/>
  <c r="CS557" i="15"/>
  <c r="CT557" i="15" s="1"/>
  <c r="CS561" i="15"/>
  <c r="CT561" i="15" s="1"/>
  <c r="CS565" i="15"/>
  <c r="CT565" i="15" s="1"/>
  <c r="CS569" i="15"/>
  <c r="CT569" i="15" s="1"/>
  <c r="CS574" i="15"/>
  <c r="CT574" i="15" s="1"/>
  <c r="CS577" i="15"/>
  <c r="CT577" i="15" s="1"/>
  <c r="CS580" i="15"/>
  <c r="CT580" i="15" s="1"/>
  <c r="CS584" i="15"/>
  <c r="CT584" i="15" s="1"/>
  <c r="CS588" i="15"/>
  <c r="CT588" i="15" s="1"/>
  <c r="CS592" i="15"/>
  <c r="CT592" i="15" s="1"/>
  <c r="CS596" i="15"/>
  <c r="CT596" i="15" s="1"/>
  <c r="CS600" i="15"/>
  <c r="CT600" i="15" s="1"/>
  <c r="CS604" i="15"/>
  <c r="CT604" i="15" s="1"/>
  <c r="CS608" i="15"/>
  <c r="CT608" i="15" s="1"/>
  <c r="CS615" i="15"/>
  <c r="CT615" i="15" s="1"/>
  <c r="CS619" i="15"/>
  <c r="CT619" i="15" s="1"/>
  <c r="CS622" i="15"/>
  <c r="CT622" i="15" s="1"/>
  <c r="CS626" i="15"/>
  <c r="CT626" i="15" s="1"/>
  <c r="CS630" i="15"/>
  <c r="CT630" i="15" s="1"/>
  <c r="CS634" i="15"/>
  <c r="CT634" i="15" s="1"/>
  <c r="CS638" i="15"/>
  <c r="CT638" i="15" s="1"/>
  <c r="CS645" i="15"/>
  <c r="CT645" i="15" s="1"/>
  <c r="CS649" i="15"/>
  <c r="CT649" i="15" s="1"/>
  <c r="CS653" i="15"/>
  <c r="CT653" i="15" s="1"/>
  <c r="CS657" i="15"/>
  <c r="CT657" i="15" s="1"/>
  <c r="CS661" i="15"/>
  <c r="CT661" i="15" s="1"/>
  <c r="CS665" i="15"/>
  <c r="CT665" i="15" s="1"/>
  <c r="CS672" i="15"/>
  <c r="CT672" i="15" s="1"/>
  <c r="CS676" i="15"/>
  <c r="CT676" i="15" s="1"/>
  <c r="CS680" i="15"/>
  <c r="CT680" i="15" s="1"/>
  <c r="CS684" i="15"/>
  <c r="CT684" i="15" s="1"/>
  <c r="CS688" i="15"/>
  <c r="CT688" i="15" s="1"/>
  <c r="CS691" i="15"/>
  <c r="CT691" i="15" s="1"/>
  <c r="CS695" i="15"/>
  <c r="CT695" i="15" s="1"/>
  <c r="CS699" i="15"/>
  <c r="CT699" i="15" s="1"/>
  <c r="CS703" i="15"/>
  <c r="CT703" i="15" s="1"/>
  <c r="CS707" i="15"/>
  <c r="CT707" i="15" s="1"/>
  <c r="CS711" i="15"/>
  <c r="CT711" i="15" s="1"/>
  <c r="CS718" i="15"/>
  <c r="CT718" i="15" s="1"/>
  <c r="CS722" i="15"/>
  <c r="CT722" i="15" s="1"/>
  <c r="CS726" i="15"/>
  <c r="CT726" i="15" s="1"/>
  <c r="CS730" i="15"/>
  <c r="CT730" i="15" s="1"/>
  <c r="CS733" i="15"/>
  <c r="CT733" i="15" s="1"/>
  <c r="CS737" i="15"/>
  <c r="CT737" i="15" s="1"/>
  <c r="CS741" i="15"/>
  <c r="CT741" i="15" s="1"/>
  <c r="CS745" i="15"/>
  <c r="CT745" i="15" s="1"/>
  <c r="CS749" i="15"/>
  <c r="CT749" i="15" s="1"/>
  <c r="CS756" i="15"/>
  <c r="CT756" i="15" s="1"/>
  <c r="CS758" i="15"/>
  <c r="CT758" i="15" s="1"/>
  <c r="CS762" i="15"/>
  <c r="CT762" i="15" s="1"/>
  <c r="CS766" i="15"/>
  <c r="CT766" i="15" s="1"/>
  <c r="CS770" i="15"/>
  <c r="CT770" i="15" s="1"/>
  <c r="CS776" i="15"/>
  <c r="CT776" i="15" s="1"/>
  <c r="CS779" i="15"/>
  <c r="CT779" i="15" s="1"/>
  <c r="CS783" i="15"/>
  <c r="CT783" i="15" s="1"/>
  <c r="CS787" i="15"/>
  <c r="CT787" i="15" s="1"/>
  <c r="CS791" i="15"/>
  <c r="CT791" i="15" s="1"/>
  <c r="CS798" i="15"/>
  <c r="CT798" i="15" s="1"/>
  <c r="CS802" i="15"/>
  <c r="CT802" i="15" s="1"/>
  <c r="CS806" i="15"/>
  <c r="CT806" i="15" s="1"/>
  <c r="CS810" i="15"/>
  <c r="CT810" i="15" s="1"/>
  <c r="CS814" i="15"/>
  <c r="CT814" i="15" s="1"/>
  <c r="CS818" i="15"/>
  <c r="CT818" i="15" s="1"/>
  <c r="CS822" i="15"/>
  <c r="CT822" i="15" s="1"/>
  <c r="CS826" i="15"/>
  <c r="CT826" i="15" s="1"/>
  <c r="CS829" i="15"/>
  <c r="CT829" i="15" s="1"/>
  <c r="CS833" i="15"/>
  <c r="CT833" i="15" s="1"/>
  <c r="CS837" i="15"/>
  <c r="CT837" i="15" s="1"/>
  <c r="CS841" i="15"/>
  <c r="CT841" i="15" s="1"/>
  <c r="CS845" i="15"/>
  <c r="CT845" i="15" s="1"/>
  <c r="CS849" i="15"/>
  <c r="CT849" i="15" s="1"/>
  <c r="CS853" i="15"/>
  <c r="CT853" i="15" s="1"/>
  <c r="CS857" i="15"/>
  <c r="CT857" i="15" s="1"/>
  <c r="CS861" i="15"/>
  <c r="CT861" i="15" s="1"/>
  <c r="DX9" i="15"/>
  <c r="DX8" i="15" s="1"/>
  <c r="DY844" i="15"/>
  <c r="DY782" i="15"/>
  <c r="DY721" i="15"/>
  <c r="DY660" i="15"/>
  <c r="DY599" i="15"/>
  <c r="DY537" i="15"/>
  <c r="DY476" i="15"/>
  <c r="DY415" i="15"/>
  <c r="DY353" i="15"/>
  <c r="DY291" i="15"/>
  <c r="DY230" i="15"/>
  <c r="DY107" i="15"/>
  <c r="DY46" i="15"/>
  <c r="DY817" i="15"/>
  <c r="DY694" i="15"/>
  <c r="DY587" i="15"/>
  <c r="DY450" i="15"/>
  <c r="DY341" i="15"/>
  <c r="DY233" i="15"/>
  <c r="DY142" i="15"/>
  <c r="DY856" i="15"/>
  <c r="DY794" i="15"/>
  <c r="DY671" i="15"/>
  <c r="DY611" i="15"/>
  <c r="DY488" i="15"/>
  <c r="DY427" i="15"/>
  <c r="DY365" i="15"/>
  <c r="DY302" i="15"/>
  <c r="DY241" i="15"/>
  <c r="DY180" i="15"/>
  <c r="DY119" i="15"/>
  <c r="DY58" i="15"/>
  <c r="DY832" i="15"/>
  <c r="DY710" i="15"/>
  <c r="DY573" i="15"/>
  <c r="DY465" i="15"/>
  <c r="DY172" i="15"/>
  <c r="DY821" i="15"/>
  <c r="DY774" i="15"/>
  <c r="DY698" i="15"/>
  <c r="DY637" i="15"/>
  <c r="DY454" i="15"/>
  <c r="DY392" i="15"/>
  <c r="DY329" i="15"/>
  <c r="DY268" i="15"/>
  <c r="DY207" i="15"/>
  <c r="DY84" i="15"/>
  <c r="DY24" i="15"/>
  <c r="DY851" i="15"/>
  <c r="DY835" i="15"/>
  <c r="DY820" i="15"/>
  <c r="DY804" i="15"/>
  <c r="DY789" i="15"/>
  <c r="DY772" i="15"/>
  <c r="DY773" i="15"/>
  <c r="DY743" i="15"/>
  <c r="DY728" i="15"/>
  <c r="DY713" i="15"/>
  <c r="DY697" i="15"/>
  <c r="DY682" i="15"/>
  <c r="DY667" i="15"/>
  <c r="DY651" i="15"/>
  <c r="DY636" i="15"/>
  <c r="DY621" i="15"/>
  <c r="DY606" i="15"/>
  <c r="DY590" i="15"/>
  <c r="DY575" i="15"/>
  <c r="DY559" i="15"/>
  <c r="DY544" i="15"/>
  <c r="DY529" i="15"/>
  <c r="DY514" i="15"/>
  <c r="DY498" i="15"/>
  <c r="DY483" i="15"/>
  <c r="DY468" i="15"/>
  <c r="DY453" i="15"/>
  <c r="DY437" i="15"/>
  <c r="DY422" i="15"/>
  <c r="DY407" i="15"/>
  <c r="DY391" i="15"/>
  <c r="DY375" i="15"/>
  <c r="DY360" i="15"/>
  <c r="DY344" i="15"/>
  <c r="DY328" i="15"/>
  <c r="DY313" i="15"/>
  <c r="DY298" i="15"/>
  <c r="DY282" i="15"/>
  <c r="DY267" i="15"/>
  <c r="DY236" i="15"/>
  <c r="DY221" i="15"/>
  <c r="DY206" i="15"/>
  <c r="DY175" i="15"/>
  <c r="DY160" i="15"/>
  <c r="DY145" i="15"/>
  <c r="DY129" i="15"/>
  <c r="DY114" i="15"/>
  <c r="DY68" i="15"/>
  <c r="DY53" i="15"/>
  <c r="DY38" i="15"/>
  <c r="DY23" i="15"/>
  <c r="DY846" i="15"/>
  <c r="DY830" i="15"/>
  <c r="DY815" i="15"/>
  <c r="DY799" i="15"/>
  <c r="DY784" i="15"/>
  <c r="DY767" i="15"/>
  <c r="DY754" i="15"/>
  <c r="DY738" i="15"/>
  <c r="DY723" i="15"/>
  <c r="DY708" i="15"/>
  <c r="DY692" i="15"/>
  <c r="DY677" i="15"/>
  <c r="DY662" i="15"/>
  <c r="DY646" i="15"/>
  <c r="DY631" i="15"/>
  <c r="DY616" i="15"/>
  <c r="DY601" i="15"/>
  <c r="DY585" i="15"/>
  <c r="DY570" i="15"/>
  <c r="DY554" i="15"/>
  <c r="DY539" i="15"/>
  <c r="DY524" i="15"/>
  <c r="DY509" i="15"/>
  <c r="DY493" i="15"/>
  <c r="DY478" i="15"/>
  <c r="DY463" i="15"/>
  <c r="DY765" i="15"/>
  <c r="DY706" i="15"/>
  <c r="DY644" i="15"/>
  <c r="DY583" i="15"/>
  <c r="DY522" i="15"/>
  <c r="DY461" i="15"/>
  <c r="DY400" i="15"/>
  <c r="DY337" i="15"/>
  <c r="DY274" i="15"/>
  <c r="DY215" i="15"/>
  <c r="DY153" i="15"/>
  <c r="DY93" i="15"/>
  <c r="DY32" i="15"/>
  <c r="DY786" i="15"/>
  <c r="DY664" i="15"/>
  <c r="DY556" i="15"/>
  <c r="DY419" i="15"/>
  <c r="DY310" i="15"/>
  <c r="DY203" i="15"/>
  <c r="DY126" i="15"/>
  <c r="DY50" i="15"/>
  <c r="DY840" i="15"/>
  <c r="DY778" i="15"/>
  <c r="DY717" i="15"/>
  <c r="DY656" i="15"/>
  <c r="DY595" i="15"/>
  <c r="DY533" i="15"/>
  <c r="DY411" i="15"/>
  <c r="DY349" i="15"/>
  <c r="DY287" i="15"/>
  <c r="DY226" i="15"/>
  <c r="DY165" i="15"/>
  <c r="DY103" i="15"/>
  <c r="DY801" i="15"/>
  <c r="DY679" i="15"/>
  <c r="DY541" i="15"/>
  <c r="DY434" i="15"/>
  <c r="DY279" i="15"/>
  <c r="DY111" i="15"/>
  <c r="DY805" i="15"/>
  <c r="DY744" i="15"/>
  <c r="DY683" i="15"/>
  <c r="DY560" i="15"/>
  <c r="DY499" i="15"/>
  <c r="DY438" i="15"/>
  <c r="DY376" i="15"/>
  <c r="DY314" i="15"/>
  <c r="DY252" i="15"/>
  <c r="DY191" i="15"/>
  <c r="DY130" i="15"/>
  <c r="DY69" i="15"/>
  <c r="DY847" i="15"/>
  <c r="DY831" i="15"/>
  <c r="DY816" i="15"/>
  <c r="DY800" i="15"/>
  <c r="DY785" i="15"/>
  <c r="DY768" i="15"/>
  <c r="DY739" i="15"/>
  <c r="DY724" i="15"/>
  <c r="DY709" i="15"/>
  <c r="DY693" i="15"/>
  <c r="DY678" i="15"/>
  <c r="DY663" i="15"/>
  <c r="DY647" i="15"/>
  <c r="DY632" i="15"/>
  <c r="DY617" i="15"/>
  <c r="DY602" i="15"/>
  <c r="DY586" i="15"/>
  <c r="DY571" i="15"/>
  <c r="DY555" i="15"/>
  <c r="DY540" i="15"/>
  <c r="DY525" i="15"/>
  <c r="DY510" i="15"/>
  <c r="DY494" i="15"/>
  <c r="DY479" i="15"/>
  <c r="DY464" i="15"/>
  <c r="DY449" i="15"/>
  <c r="DY433" i="15"/>
  <c r="DY418" i="15"/>
  <c r="DY403" i="15"/>
  <c r="DY387" i="15"/>
  <c r="DY356" i="15"/>
  <c r="DY340" i="15"/>
  <c r="DY325" i="15"/>
  <c r="DY309" i="15"/>
  <c r="DY294" i="15"/>
  <c r="DY278" i="15"/>
  <c r="DY263" i="15"/>
  <c r="DY248" i="15"/>
  <c r="DY218" i="15"/>
  <c r="DY202" i="15"/>
  <c r="DY187" i="15"/>
  <c r="DY171" i="15"/>
  <c r="DY156" i="15"/>
  <c r="DY141" i="15"/>
  <c r="DY110" i="15"/>
  <c r="DY95" i="15"/>
  <c r="DY80" i="15"/>
  <c r="DY65" i="15"/>
  <c r="DY49" i="15"/>
  <c r="DY19" i="15"/>
  <c r="DY858" i="15"/>
  <c r="DY842" i="15"/>
  <c r="DY811" i="15"/>
  <c r="DY796" i="15"/>
  <c r="DY780" i="15"/>
  <c r="DY763" i="15"/>
  <c r="DY750" i="15"/>
  <c r="DY734" i="15"/>
  <c r="DY719" i="15"/>
  <c r="DY704" i="15"/>
  <c r="DY673" i="15"/>
  <c r="DY658" i="15"/>
  <c r="DY642" i="15"/>
  <c r="DY627" i="15"/>
  <c r="DY612" i="15"/>
  <c r="DY597" i="15"/>
  <c r="DY581" i="15"/>
  <c r="DY566" i="15"/>
  <c r="DY550" i="15"/>
  <c r="DY535" i="15"/>
  <c r="DY520" i="15"/>
  <c r="DY505" i="15"/>
  <c r="DY474" i="15"/>
  <c r="DY459" i="15"/>
  <c r="DY444" i="15"/>
  <c r="DY413" i="15"/>
  <c r="DY398" i="15"/>
  <c r="DY382" i="15"/>
  <c r="DY367" i="15"/>
  <c r="DY351" i="15"/>
  <c r="DY335" i="15"/>
  <c r="DY320" i="15"/>
  <c r="DY813" i="15"/>
  <c r="DY752" i="15"/>
  <c r="DY690" i="15"/>
  <c r="DY629" i="15"/>
  <c r="DY568" i="15"/>
  <c r="DY507" i="15"/>
  <c r="DY446" i="15"/>
  <c r="DY384" i="15"/>
  <c r="DY322" i="15"/>
  <c r="DY260" i="15"/>
  <c r="DY199" i="15"/>
  <c r="DY138" i="15"/>
  <c r="DY77" i="15"/>
  <c r="DY16" i="15"/>
  <c r="DY755" i="15"/>
  <c r="DY633" i="15"/>
  <c r="DY526" i="15"/>
  <c r="DY404" i="15"/>
  <c r="DY295" i="15"/>
  <c r="DY188" i="15"/>
  <c r="DY96" i="15"/>
  <c r="DY35" i="15"/>
  <c r="DY825" i="15"/>
  <c r="DY761" i="15"/>
  <c r="DY702" i="15"/>
  <c r="DY641" i="15"/>
  <c r="DY579" i="15"/>
  <c r="DY518" i="15"/>
  <c r="DY457" i="15"/>
  <c r="DY396" i="15"/>
  <c r="DY333" i="15"/>
  <c r="DY211" i="15"/>
  <c r="DY149" i="15"/>
  <c r="DY88" i="15"/>
  <c r="DY28" i="15"/>
  <c r="DY769" i="15"/>
  <c r="DY648" i="15"/>
  <c r="DY511" i="15"/>
  <c r="DY388" i="15"/>
  <c r="DY249" i="15"/>
  <c r="DY852" i="15"/>
  <c r="DY790" i="15"/>
  <c r="DY729" i="15"/>
  <c r="DY668" i="15"/>
  <c r="DY607" i="15"/>
  <c r="DY545" i="15"/>
  <c r="DY484" i="15"/>
  <c r="DY423" i="15"/>
  <c r="DY361" i="15"/>
  <c r="DY299" i="15"/>
  <c r="DY237" i="15"/>
  <c r="DY176" i="15"/>
  <c r="DY115" i="15"/>
  <c r="DY54" i="15"/>
  <c r="DY859" i="15"/>
  <c r="DY843" i="15"/>
  <c r="DY828" i="15"/>
  <c r="DY812" i="15"/>
  <c r="DY781" i="15"/>
  <c r="DY764" i="15"/>
  <c r="DY751" i="15"/>
  <c r="DY735" i="15"/>
  <c r="DY720" i="15"/>
  <c r="DY705" i="15"/>
  <c r="DY689" i="15"/>
  <c r="DY674" i="15"/>
  <c r="DY659" i="15"/>
  <c r="DY643" i="15"/>
  <c r="DY628" i="15"/>
  <c r="DY613" i="15"/>
  <c r="DY598" i="15"/>
  <c r="DY582" i="15"/>
  <c r="DY567" i="15"/>
  <c r="DY551" i="15"/>
  <c r="DY536" i="15"/>
  <c r="DY521" i="15"/>
  <c r="DY506" i="15"/>
  <c r="DY491" i="15"/>
  <c r="DY475" i="15"/>
  <c r="DY460" i="15"/>
  <c r="DY445" i="15"/>
  <c r="DY430" i="15"/>
  <c r="DY414" i="15"/>
  <c r="DY399" i="15"/>
  <c r="DY383" i="15"/>
  <c r="DY368" i="15"/>
  <c r="DY352" i="15"/>
  <c r="DY336" i="15"/>
  <c r="DY321" i="15"/>
  <c r="DY305" i="15"/>
  <c r="DY290" i="15"/>
  <c r="DY275" i="15"/>
  <c r="DY259" i="15"/>
  <c r="DY244" i="15"/>
  <c r="DY229" i="15"/>
  <c r="DY214" i="15"/>
  <c r="DY198" i="15"/>
  <c r="DY183" i="15"/>
  <c r="DY168" i="15"/>
  <c r="DY152" i="15"/>
  <c r="DY137" i="15"/>
  <c r="DY122" i="15"/>
  <c r="DY106" i="15"/>
  <c r="DY91" i="15"/>
  <c r="DY76" i="15"/>
  <c r="DY61" i="15"/>
  <c r="DY45" i="15"/>
  <c r="DY31" i="15"/>
  <c r="DY15" i="15"/>
  <c r="DY854" i="15"/>
  <c r="DY838" i="15"/>
  <c r="DY823" i="15"/>
  <c r="DY807" i="15"/>
  <c r="DY792" i="15"/>
  <c r="DY759" i="15"/>
  <c r="DY746" i="15"/>
  <c r="DY715" i="15"/>
  <c r="DY700" i="15"/>
  <c r="DY685" i="15"/>
  <c r="DY669" i="15"/>
  <c r="DY654" i="15"/>
  <c r="DY639" i="15"/>
  <c r="DY623" i="15"/>
  <c r="DY609" i="15"/>
  <c r="DY593" i="15"/>
  <c r="DY578" i="15"/>
  <c r="DY562" i="15"/>
  <c r="DY547" i="15"/>
  <c r="DY531" i="15"/>
  <c r="DY516" i="15"/>
  <c r="DY501" i="15"/>
  <c r="DY486" i="15"/>
  <c r="DY471" i="15"/>
  <c r="DY860" i="15"/>
  <c r="DY797" i="15"/>
  <c r="DY736" i="15"/>
  <c r="DY675" i="15"/>
  <c r="DY614" i="15"/>
  <c r="DY552" i="15"/>
  <c r="DY369" i="15"/>
  <c r="DY306" i="15"/>
  <c r="DY245" i="15"/>
  <c r="DY184" i="15"/>
  <c r="DY123" i="15"/>
  <c r="DY62" i="15"/>
  <c r="DY848" i="15"/>
  <c r="DY725" i="15"/>
  <c r="DY603" i="15"/>
  <c r="DY495" i="15"/>
  <c r="DY372" i="15"/>
  <c r="DY264" i="15"/>
  <c r="DY157" i="15"/>
  <c r="DY81" i="15"/>
  <c r="DY20" i="15"/>
  <c r="DY809" i="15"/>
  <c r="DY748" i="15"/>
  <c r="DY625" i="15"/>
  <c r="DY564" i="15"/>
  <c r="DY503" i="15"/>
  <c r="DY442" i="15"/>
  <c r="DY380" i="15"/>
  <c r="DY318" i="15"/>
  <c r="DY256" i="15"/>
  <c r="DY195" i="15"/>
  <c r="DY134" i="15"/>
  <c r="DY73" i="15"/>
  <c r="DY12" i="15"/>
  <c r="DY740" i="15"/>
  <c r="DY618" i="15"/>
  <c r="DY480" i="15"/>
  <c r="DY357" i="15"/>
  <c r="DY219" i="15"/>
  <c r="DY836" i="15"/>
  <c r="DY714" i="15"/>
  <c r="DY652" i="15"/>
  <c r="DY591" i="15"/>
  <c r="DY469" i="15"/>
  <c r="DY345" i="15"/>
  <c r="DY283" i="15"/>
  <c r="DY222" i="15"/>
  <c r="DY161" i="15"/>
  <c r="DY99" i="15"/>
  <c r="DY39" i="15"/>
  <c r="DY855" i="15"/>
  <c r="DY839" i="15"/>
  <c r="DY824" i="15"/>
  <c r="DY808" i="15"/>
  <c r="DY793" i="15"/>
  <c r="DY777" i="15"/>
  <c r="DY760" i="15"/>
  <c r="DY747" i="15"/>
  <c r="DY732" i="15"/>
  <c r="DY716" i="15"/>
  <c r="DY701" i="15"/>
  <c r="DY686" i="15"/>
  <c r="DY670" i="15"/>
  <c r="DY655" i="15"/>
  <c r="DY624" i="15"/>
  <c r="DY610" i="15"/>
  <c r="DY594" i="15"/>
  <c r="DY563" i="15"/>
  <c r="DY548" i="15"/>
  <c r="DY532" i="15"/>
  <c r="DY517" i="15"/>
  <c r="DY502" i="15"/>
  <c r="DY487" i="15"/>
  <c r="DY472" i="15"/>
  <c r="DY456" i="15"/>
  <c r="DY441" i="15"/>
  <c r="DY426" i="15"/>
  <c r="DY410" i="15"/>
  <c r="DY395" i="15"/>
  <c r="DY379" i="15"/>
  <c r="DY364" i="15"/>
  <c r="DY348" i="15"/>
  <c r="DY332" i="15"/>
  <c r="DY317" i="15"/>
  <c r="DY301" i="15"/>
  <c r="DY286" i="15"/>
  <c r="DY271" i="15"/>
  <c r="DY255" i="15"/>
  <c r="DY240" i="15"/>
  <c r="DY225" i="15"/>
  <c r="DY210" i="15"/>
  <c r="DY194" i="15"/>
  <c r="DY179" i="15"/>
  <c r="DY164" i="15"/>
  <c r="DY148" i="15"/>
  <c r="DY133" i="15"/>
  <c r="DY118" i="15"/>
  <c r="DY102" i="15"/>
  <c r="DY87" i="15"/>
  <c r="DY72" i="15"/>
  <c r="DY57" i="15"/>
  <c r="DY42" i="15"/>
  <c r="DY27" i="15"/>
  <c r="DY11" i="15"/>
  <c r="DY850" i="15"/>
  <c r="DY834" i="15"/>
  <c r="DY819" i="15"/>
  <c r="DY803" i="15"/>
  <c r="DY788" i="15"/>
  <c r="DY771" i="15"/>
  <c r="DY757" i="15"/>
  <c r="DY742" i="15"/>
  <c r="DY727" i="15"/>
  <c r="DY696" i="15"/>
  <c r="DY681" i="15"/>
  <c r="DY666" i="15"/>
  <c r="DY650" i="15"/>
  <c r="DY635" i="15"/>
  <c r="DY620" i="15"/>
  <c r="DY605" i="15"/>
  <c r="DY589" i="15"/>
  <c r="DY572" i="15"/>
  <c r="DY558" i="15"/>
  <c r="DY543" i="15"/>
  <c r="DY513" i="15"/>
  <c r="DY497" i="15"/>
  <c r="DY482" i="15"/>
  <c r="DY467" i="15"/>
  <c r="DY452" i="15"/>
  <c r="DY436" i="15"/>
  <c r="DY421" i="15"/>
  <c r="DY390" i="15"/>
  <c r="DY374" i="15"/>
  <c r="DY359" i="15"/>
  <c r="DY343" i="15"/>
  <c r="DY327" i="15"/>
  <c r="DY448" i="15"/>
  <c r="DY432" i="15"/>
  <c r="DY417" i="15"/>
  <c r="DY402" i="15"/>
  <c r="DY386" i="15"/>
  <c r="DY371" i="15"/>
  <c r="DY355" i="15"/>
  <c r="DY339" i="15"/>
  <c r="DY308" i="15"/>
  <c r="DY293" i="15"/>
  <c r="DY277" i="15"/>
  <c r="DY262" i="15"/>
  <c r="DY247" i="15"/>
  <c r="DY232" i="15"/>
  <c r="DY217" i="15"/>
  <c r="DY201" i="15"/>
  <c r="DY186" i="15"/>
  <c r="DY170" i="15"/>
  <c r="DY155" i="15"/>
  <c r="DY140" i="15"/>
  <c r="DY125" i="15"/>
  <c r="DY109" i="15"/>
  <c r="DY94" i="15"/>
  <c r="DY79" i="15"/>
  <c r="DY48" i="15"/>
  <c r="DY34" i="15"/>
  <c r="DY18" i="15"/>
  <c r="DY861" i="15"/>
  <c r="DY845" i="15"/>
  <c r="DY829" i="15"/>
  <c r="DY814" i="15"/>
  <c r="DY798" i="15"/>
  <c r="DY783" i="15"/>
  <c r="DY766" i="15"/>
  <c r="DY737" i="15"/>
  <c r="DY722" i="15"/>
  <c r="DY707" i="15"/>
  <c r="DY691" i="15"/>
  <c r="DY676" i="15"/>
  <c r="DY661" i="15"/>
  <c r="DY645" i="15"/>
  <c r="DY630" i="15"/>
  <c r="DY615" i="15"/>
  <c r="DY600" i="15"/>
  <c r="DY584" i="15"/>
  <c r="DY569" i="15"/>
  <c r="DY553" i="15"/>
  <c r="DY538" i="15"/>
  <c r="DY523" i="15"/>
  <c r="DY508" i="15"/>
  <c r="DY492" i="15"/>
  <c r="DY477" i="15"/>
  <c r="DY462" i="15"/>
  <c r="DY447" i="15"/>
  <c r="DY431" i="15"/>
  <c r="DY416" i="15"/>
  <c r="DY401" i="15"/>
  <c r="DY385" i="15"/>
  <c r="DY370" i="15"/>
  <c r="DY354" i="15"/>
  <c r="DY338" i="15"/>
  <c r="DY323" i="15"/>
  <c r="DY307" i="15"/>
  <c r="DY292" i="15"/>
  <c r="DY276" i="15"/>
  <c r="DY261" i="15"/>
  <c r="DY246" i="15"/>
  <c r="DY231" i="15"/>
  <c r="DY216" i="15"/>
  <c r="DY200" i="15"/>
  <c r="DY185" i="15"/>
  <c r="DY169" i="15"/>
  <c r="DY154" i="15"/>
  <c r="DY139" i="15"/>
  <c r="DY108" i="15"/>
  <c r="DY92" i="15"/>
  <c r="DY78" i="15"/>
  <c r="DY63" i="15"/>
  <c r="DY47" i="15"/>
  <c r="DY17" i="15"/>
  <c r="DY304" i="15"/>
  <c r="DY289" i="15"/>
  <c r="DY273" i="15"/>
  <c r="DY258" i="15"/>
  <c r="DY243" i="15"/>
  <c r="DY228" i="15"/>
  <c r="DY213" i="15"/>
  <c r="DY197" i="15"/>
  <c r="DY182" i="15"/>
  <c r="DY167" i="15"/>
  <c r="DY151" i="15"/>
  <c r="DY136" i="15"/>
  <c r="DY121" i="15"/>
  <c r="DY105" i="15"/>
  <c r="DY90" i="15"/>
  <c r="DY75" i="15"/>
  <c r="DY60" i="15"/>
  <c r="DY44" i="15"/>
  <c r="DY30" i="15"/>
  <c r="DY14" i="15"/>
  <c r="DY857" i="15"/>
  <c r="DY841" i="15"/>
  <c r="DY826" i="15"/>
  <c r="DY810" i="15"/>
  <c r="DY779" i="15"/>
  <c r="DY762" i="15"/>
  <c r="DY749" i="15"/>
  <c r="DY733" i="15"/>
  <c r="DY718" i="15"/>
  <c r="DY703" i="15"/>
  <c r="DY688" i="15"/>
  <c r="DY672" i="15"/>
  <c r="DY657" i="15"/>
  <c r="DY626" i="15"/>
  <c r="DY596" i="15"/>
  <c r="DY580" i="15"/>
  <c r="DY565" i="15"/>
  <c r="DY549" i="15"/>
  <c r="DY534" i="15"/>
  <c r="DY519" i="15"/>
  <c r="DY504" i="15"/>
  <c r="DY489" i="15"/>
  <c r="DY473" i="15"/>
  <c r="DY458" i="15"/>
  <c r="DY443" i="15"/>
  <c r="DY428" i="15"/>
  <c r="DY412" i="15"/>
  <c r="DY397" i="15"/>
  <c r="DY381" i="15"/>
  <c r="DY366" i="15"/>
  <c r="DY350" i="15"/>
  <c r="DY334" i="15"/>
  <c r="DY319" i="15"/>
  <c r="DY303" i="15"/>
  <c r="DY288" i="15"/>
  <c r="DY272" i="15"/>
  <c r="DY257" i="15"/>
  <c r="DY242" i="15"/>
  <c r="DY227" i="15"/>
  <c r="DY212" i="15"/>
  <c r="DY196" i="15"/>
  <c r="DY181" i="15"/>
  <c r="DY166" i="15"/>
  <c r="DY150" i="15"/>
  <c r="DY135" i="15"/>
  <c r="DY120" i="15"/>
  <c r="DY104" i="15"/>
  <c r="DY89" i="15"/>
  <c r="DY74" i="15"/>
  <c r="DY59" i="15"/>
  <c r="DY43" i="15"/>
  <c r="DY29" i="15"/>
  <c r="DY13" i="15"/>
  <c r="DY440" i="15"/>
  <c r="DY425" i="15"/>
  <c r="DY409" i="15"/>
  <c r="DY394" i="15"/>
  <c r="DY378" i="15"/>
  <c r="DY363" i="15"/>
  <c r="DY347" i="15"/>
  <c r="DY331" i="15"/>
  <c r="DY316" i="15"/>
  <c r="DY285" i="15"/>
  <c r="DY270" i="15"/>
  <c r="DY254" i="15"/>
  <c r="DY239" i="15"/>
  <c r="DY224" i="15"/>
  <c r="DY209" i="15"/>
  <c r="DY193" i="15"/>
  <c r="DY178" i="15"/>
  <c r="DY163" i="15"/>
  <c r="DY147" i="15"/>
  <c r="DY132" i="15"/>
  <c r="DY117" i="15"/>
  <c r="DY101" i="15"/>
  <c r="DY86" i="15"/>
  <c r="DY71" i="15"/>
  <c r="DY56" i="15"/>
  <c r="DY26" i="15"/>
  <c r="DY10" i="15"/>
  <c r="DV9" i="15"/>
  <c r="DY853" i="15"/>
  <c r="DY837" i="15"/>
  <c r="DY822" i="15"/>
  <c r="DY806" i="15"/>
  <c r="DY791" i="15"/>
  <c r="DY776" i="15"/>
  <c r="DY758" i="15"/>
  <c r="DY745" i="15"/>
  <c r="DY730" i="15"/>
  <c r="DY699" i="15"/>
  <c r="DY684" i="15"/>
  <c r="DY653" i="15"/>
  <c r="DY638" i="15"/>
  <c r="DY622" i="15"/>
  <c r="DY608" i="15"/>
  <c r="DY592" i="15"/>
  <c r="DY577" i="15"/>
  <c r="DY561" i="15"/>
  <c r="DY546" i="15"/>
  <c r="DY530" i="15"/>
  <c r="DY515" i="15"/>
  <c r="DY500" i="15"/>
  <c r="DY485" i="15"/>
  <c r="DY455" i="15"/>
  <c r="DY439" i="15"/>
  <c r="DY424" i="15"/>
  <c r="DY408" i="15"/>
  <c r="DY393" i="15"/>
  <c r="DY377" i="15"/>
  <c r="DY362" i="15"/>
  <c r="DY346" i="15"/>
  <c r="DY330" i="15"/>
  <c r="DY315" i="15"/>
  <c r="DY300" i="15"/>
  <c r="DY284" i="15"/>
  <c r="DY253" i="15"/>
  <c r="DY238" i="15"/>
  <c r="DY223" i="15"/>
  <c r="DY208" i="15"/>
  <c r="DY192" i="15"/>
  <c r="DY177" i="15"/>
  <c r="DY162" i="15"/>
  <c r="DY146" i="15"/>
  <c r="DY131" i="15"/>
  <c r="DY116" i="15"/>
  <c r="DY100" i="15"/>
  <c r="DY85" i="15"/>
  <c r="DY70" i="15"/>
  <c r="DY55" i="15"/>
  <c r="DY40" i="15"/>
  <c r="DY25" i="15"/>
  <c r="DY312" i="15"/>
  <c r="DY297" i="15"/>
  <c r="DY281" i="15"/>
  <c r="DY266" i="15"/>
  <c r="DY251" i="15"/>
  <c r="DY235" i="15"/>
  <c r="DY220" i="15"/>
  <c r="DY205" i="15"/>
  <c r="DY190" i="15"/>
  <c r="DY174" i="15"/>
  <c r="DY159" i="15"/>
  <c r="DY144" i="15"/>
  <c r="DY128" i="15"/>
  <c r="DY113" i="15"/>
  <c r="DY98" i="15"/>
  <c r="DY83" i="15"/>
  <c r="DY67" i="15"/>
  <c r="DY52" i="15"/>
  <c r="DY37" i="15"/>
  <c r="DY22" i="15"/>
  <c r="DY849" i="15"/>
  <c r="DY833" i="15"/>
  <c r="DY818" i="15"/>
  <c r="DY802" i="15"/>
  <c r="DY787" i="15"/>
  <c r="DY770" i="15"/>
  <c r="DY756" i="15"/>
  <c r="DY741" i="15"/>
  <c r="DY726" i="15"/>
  <c r="DY711" i="15"/>
  <c r="DY695" i="15"/>
  <c r="DY680" i="15"/>
  <c r="DY665" i="15"/>
  <c r="DY649" i="15"/>
  <c r="DY634" i="15"/>
  <c r="DY619" i="15"/>
  <c r="DY604" i="15"/>
  <c r="DY588" i="15"/>
  <c r="DY574" i="15"/>
  <c r="DY557" i="15"/>
  <c r="DY542" i="15"/>
  <c r="DY527" i="15"/>
  <c r="DY512" i="15"/>
  <c r="DY496" i="15"/>
  <c r="DY481" i="15"/>
  <c r="DY466" i="15"/>
  <c r="DY451" i="15"/>
  <c r="DY435" i="15"/>
  <c r="DY420" i="15"/>
  <c r="DY405" i="15"/>
  <c r="DY389" i="15"/>
  <c r="DY373" i="15"/>
  <c r="DY358" i="15"/>
  <c r="DY342" i="15"/>
  <c r="DY326" i="15"/>
  <c r="DY311" i="15"/>
  <c r="DY296" i="15"/>
  <c r="DY280" i="15"/>
  <c r="DY265" i="15"/>
  <c r="DY234" i="15"/>
  <c r="DY204" i="15"/>
  <c r="DY189" i="15"/>
  <c r="DY173" i="15"/>
  <c r="DY158" i="15"/>
  <c r="DY127" i="15"/>
  <c r="DY112" i="15"/>
  <c r="DY66" i="15"/>
  <c r="DY51" i="15"/>
  <c r="DY36" i="15"/>
  <c r="DY21" i="15"/>
  <c r="DY6" i="15"/>
  <c r="AI493" i="1"/>
  <c r="AC325" i="1"/>
  <c r="AC324" i="1"/>
  <c r="AI324" i="1"/>
  <c r="AI325" i="1"/>
  <c r="FE153" i="15" l="1"/>
  <c r="FG153" i="15" s="1"/>
  <c r="FE553" i="15"/>
  <c r="FG553" i="15" s="1"/>
  <c r="FE338" i="15"/>
  <c r="FG338" i="15" s="1"/>
  <c r="FE615" i="15"/>
  <c r="FG615" i="15" s="1"/>
  <c r="FE166" i="15"/>
  <c r="FG166" i="15" s="1"/>
  <c r="FE363" i="15"/>
  <c r="FG363" i="15" s="1"/>
  <c r="FE227" i="15"/>
  <c r="FG227" i="15" s="1"/>
  <c r="FE523" i="15"/>
  <c r="FG523" i="15" s="1"/>
  <c r="GB370" i="15"/>
  <c r="GD370" i="15" s="1"/>
  <c r="GB454" i="15"/>
  <c r="GD454" i="15" s="1"/>
  <c r="GB620" i="15"/>
  <c r="GD620" i="15" s="1"/>
  <c r="GB299" i="15"/>
  <c r="GD299" i="15" s="1"/>
  <c r="GB610" i="15"/>
  <c r="GD610" i="15" s="1"/>
  <c r="GB189" i="15"/>
  <c r="GD189" i="15" s="1"/>
  <c r="GB547" i="15"/>
  <c r="GD547" i="15" s="1"/>
  <c r="GB513" i="15"/>
  <c r="GD513" i="15" s="1"/>
  <c r="GB218" i="15"/>
  <c r="GD218" i="15" s="1"/>
  <c r="FE517" i="15"/>
  <c r="FG517" i="15" s="1"/>
  <c r="FE599" i="15"/>
  <c r="FG599" i="15" s="1"/>
  <c r="FE627" i="15"/>
  <c r="FG627" i="15" s="1"/>
  <c r="FE652" i="15"/>
  <c r="FG652" i="15" s="1"/>
  <c r="FE703" i="15"/>
  <c r="FG703" i="15" s="1"/>
  <c r="FE797" i="15"/>
  <c r="FG797" i="15" s="1"/>
  <c r="FE190" i="15"/>
  <c r="FG190" i="15" s="1"/>
  <c r="FE125" i="15"/>
  <c r="FG125" i="15" s="1"/>
  <c r="FE371" i="15"/>
  <c r="FG371" i="15" s="1"/>
  <c r="FE616" i="15"/>
  <c r="FG616" i="15" s="1"/>
  <c r="FE88" i="15"/>
  <c r="FG88" i="15" s="1"/>
  <c r="FE149" i="15"/>
  <c r="FG149" i="15" s="1"/>
  <c r="FE211" i="15"/>
  <c r="FG211" i="15" s="1"/>
  <c r="FE452" i="15"/>
  <c r="FG452" i="15" s="1"/>
  <c r="FE727" i="15"/>
  <c r="FG727" i="15" s="1"/>
  <c r="FE629" i="15"/>
  <c r="FG629" i="15" s="1"/>
  <c r="FE108" i="15"/>
  <c r="FG108" i="15" s="1"/>
  <c r="FE539" i="15"/>
  <c r="FG539" i="15" s="1"/>
  <c r="FE784" i="15"/>
  <c r="FG784" i="15" s="1"/>
  <c r="FE73" i="15"/>
  <c r="FG73" i="15" s="1"/>
  <c r="FE134" i="15"/>
  <c r="FG134" i="15" s="1"/>
  <c r="FE195" i="15"/>
  <c r="FG195" i="15" s="1"/>
  <c r="FE756" i="15"/>
  <c r="FG756" i="15" s="1"/>
  <c r="FE389" i="15"/>
  <c r="FG389" i="15" s="1"/>
  <c r="FE859" i="15"/>
  <c r="FG859" i="15" s="1"/>
  <c r="FE100" i="15"/>
  <c r="FG100" i="15" s="1"/>
  <c r="FE6" i="15"/>
  <c r="FG6" i="15" s="1"/>
  <c r="FE804" i="15"/>
  <c r="FG804" i="15" s="1"/>
  <c r="FE170" i="15"/>
  <c r="FG170" i="15" s="1"/>
  <c r="FE103" i="15"/>
  <c r="FG103" i="15" s="1"/>
  <c r="FE165" i="15"/>
  <c r="FG165" i="15" s="1"/>
  <c r="FE226" i="15"/>
  <c r="FG226" i="15" s="1"/>
  <c r="FE585" i="15"/>
  <c r="FG585" i="15" s="1"/>
  <c r="FE729" i="15"/>
  <c r="FG729" i="15" s="1"/>
  <c r="FE231" i="15"/>
  <c r="FG231" i="15" s="1"/>
  <c r="FE119" i="15"/>
  <c r="FG119" i="15" s="1"/>
  <c r="FE180" i="15"/>
  <c r="FG180" i="15" s="1"/>
  <c r="FE241" i="15"/>
  <c r="FG241" i="15" s="1"/>
  <c r="FE421" i="15"/>
  <c r="FG421" i="15" s="1"/>
  <c r="FE661" i="15"/>
  <c r="FG661" i="15" s="1"/>
  <c r="FE537" i="15"/>
  <c r="FG537" i="15" s="1"/>
  <c r="FE625" i="15"/>
  <c r="FG625" i="15" s="1"/>
  <c r="FE307" i="15"/>
  <c r="FG307" i="15" s="1"/>
  <c r="FE476" i="15"/>
  <c r="FG476" i="15" s="1"/>
  <c r="FE369" i="15"/>
  <c r="FG369" i="15" s="1"/>
  <c r="FE501" i="15"/>
  <c r="FG501" i="15" s="1"/>
  <c r="FE736" i="15"/>
  <c r="FG736" i="15" s="1"/>
  <c r="FE846" i="15"/>
  <c r="FG846" i="15" s="1"/>
  <c r="FE696" i="15"/>
  <c r="FG696" i="15" s="1"/>
  <c r="FE706" i="15"/>
  <c r="FG706" i="15" s="1"/>
  <c r="FE468" i="15"/>
  <c r="FG468" i="15" s="1"/>
  <c r="FE763" i="15"/>
  <c r="FG763" i="15" s="1"/>
  <c r="FE516" i="15"/>
  <c r="FG516" i="15" s="1"/>
  <c r="FE728" i="15"/>
  <c r="FG728" i="15" s="1"/>
  <c r="FE219" i="15"/>
  <c r="FG219" i="15" s="1"/>
  <c r="FE196" i="15"/>
  <c r="FG196" i="15" s="1"/>
  <c r="FE742" i="15"/>
  <c r="FG742" i="15" s="1"/>
  <c r="FE568" i="15"/>
  <c r="FG568" i="15" s="1"/>
  <c r="FE660" i="15"/>
  <c r="FG660" i="15" s="1"/>
  <c r="FE860" i="15"/>
  <c r="FG860" i="15" s="1"/>
  <c r="FE531" i="15"/>
  <c r="FG531" i="15" s="1"/>
  <c r="FE120" i="15"/>
  <c r="FG120" i="15" s="1"/>
  <c r="FE446" i="15"/>
  <c r="FG446" i="15" s="1"/>
  <c r="FE210" i="15"/>
  <c r="FG210" i="15" s="1"/>
  <c r="FE337" i="15"/>
  <c r="FG337" i="15" s="1"/>
  <c r="FE364" i="15"/>
  <c r="FG364" i="15" s="1"/>
  <c r="FE304" i="15"/>
  <c r="FG304" i="15" s="1"/>
  <c r="FE395" i="15"/>
  <c r="FG395" i="15" s="1"/>
  <c r="FE147" i="15"/>
  <c r="FG147" i="15" s="1"/>
  <c r="FE679" i="15"/>
  <c r="FG679" i="15" s="1"/>
  <c r="FE10" i="15"/>
  <c r="FG10" i="15" s="1"/>
  <c r="FE236" i="15"/>
  <c r="FG236" i="15" s="1"/>
  <c r="FE636" i="15"/>
  <c r="FG636" i="15" s="1"/>
  <c r="FE240" i="15"/>
  <c r="FG240" i="15" s="1"/>
  <c r="FE301" i="15"/>
  <c r="FG301" i="15" s="1"/>
  <c r="FE814" i="15"/>
  <c r="FG814" i="15" s="1"/>
  <c r="FE463" i="15"/>
  <c r="FG463" i="15" s="1"/>
  <c r="FE708" i="15"/>
  <c r="FG708" i="15" s="1"/>
  <c r="FE58" i="15"/>
  <c r="FG58" i="15" s="1"/>
  <c r="FE796" i="15"/>
  <c r="FG796" i="15" s="1"/>
  <c r="FE522" i="15"/>
  <c r="FG522" i="15" s="1"/>
  <c r="FE602" i="15"/>
  <c r="FG602" i="15" s="1"/>
  <c r="FE746" i="15"/>
  <c r="FG746" i="15" s="1"/>
  <c r="FE437" i="15"/>
  <c r="FG437" i="15" s="1"/>
  <c r="FE188" i="15"/>
  <c r="FG188" i="15" s="1"/>
  <c r="FE249" i="15"/>
  <c r="FG249" i="15" s="1"/>
  <c r="FE328" i="15"/>
  <c r="FG328" i="15" s="1"/>
  <c r="FE94" i="15"/>
  <c r="FG94" i="15" s="1"/>
  <c r="FE123" i="15"/>
  <c r="FG123" i="15" s="1"/>
  <c r="FE184" i="15"/>
  <c r="FG184" i="15" s="1"/>
  <c r="FE245" i="15"/>
  <c r="FG245" i="15" s="1"/>
  <c r="FE507" i="15"/>
  <c r="FG507" i="15" s="1"/>
  <c r="FE583" i="15"/>
  <c r="FG583" i="15" s="1"/>
  <c r="FE858" i="15"/>
  <c r="FG858" i="15" s="1"/>
  <c r="FE327" i="15"/>
  <c r="FG327" i="15" s="1"/>
  <c r="FE675" i="15"/>
  <c r="FG675" i="15" s="1"/>
  <c r="FE715" i="15"/>
  <c r="FG715" i="15" s="1"/>
  <c r="FE172" i="15"/>
  <c r="FG172" i="15" s="1"/>
  <c r="FE233" i="15"/>
  <c r="FG233" i="15" s="1"/>
  <c r="FE107" i="15"/>
  <c r="FG107" i="15" s="1"/>
  <c r="FE630" i="15"/>
  <c r="FG630" i="15" s="1"/>
  <c r="FE611" i="15"/>
  <c r="FG611" i="15" s="1"/>
  <c r="FE47" i="15"/>
  <c r="FG47" i="15" s="1"/>
  <c r="FE353" i="15"/>
  <c r="FG353" i="15" s="1"/>
  <c r="FE60" i="15"/>
  <c r="FG60" i="15" s="1"/>
  <c r="FE743" i="15"/>
  <c r="FG743" i="15" s="1"/>
  <c r="FE225" i="15"/>
  <c r="FG225" i="15" s="1"/>
  <c r="FE194" i="15"/>
  <c r="FG194" i="15" s="1"/>
  <c r="FE221" i="15"/>
  <c r="FG221" i="15" s="1"/>
  <c r="FE524" i="15"/>
  <c r="FG524" i="15" s="1"/>
  <c r="FE644" i="15"/>
  <c r="FG644" i="15" s="1"/>
  <c r="FE197" i="15"/>
  <c r="FG197" i="15" s="1"/>
  <c r="FE104" i="15"/>
  <c r="FG104" i="15" s="1"/>
  <c r="FE128" i="15"/>
  <c r="FG128" i="15" s="1"/>
  <c r="FE453" i="15"/>
  <c r="FG453" i="15" s="1"/>
  <c r="FE384" i="15"/>
  <c r="FG384" i="15" s="1"/>
  <c r="FE462" i="15"/>
  <c r="FG462" i="15" s="1"/>
  <c r="FE203" i="15"/>
  <c r="FG203" i="15" s="1"/>
  <c r="FE77" i="15"/>
  <c r="FG77" i="15" s="1"/>
  <c r="FE138" i="15"/>
  <c r="FG138" i="15" s="1"/>
  <c r="FE178" i="15"/>
  <c r="FG178" i="15" s="1"/>
  <c r="FE690" i="15"/>
  <c r="FG690" i="15" s="1"/>
  <c r="FE447" i="15"/>
  <c r="FG447" i="15" s="1"/>
  <c r="FE552" i="15"/>
  <c r="FG552" i="15" s="1"/>
  <c r="FE55" i="15"/>
  <c r="FG55" i="15" s="1"/>
  <c r="FE695" i="15"/>
  <c r="FG695" i="15" s="1"/>
  <c r="FE155" i="15"/>
  <c r="FG155" i="15" s="1"/>
  <c r="FE317" i="15"/>
  <c r="FG317" i="15" s="1"/>
  <c r="FE400" i="15"/>
  <c r="FG400" i="15" s="1"/>
  <c r="FE89" i="15"/>
  <c r="FG89" i="15" s="1"/>
  <c r="FE488" i="15"/>
  <c r="FG488" i="15" s="1"/>
  <c r="FE93" i="15"/>
  <c r="FG93" i="15" s="1"/>
  <c r="FE215" i="15"/>
  <c r="FG215" i="15" s="1"/>
  <c r="FE752" i="15"/>
  <c r="FG752" i="15" s="1"/>
  <c r="FE206" i="15"/>
  <c r="FG206" i="15" s="1"/>
  <c r="FE271" i="15"/>
  <c r="FG271" i="15" s="1"/>
  <c r="FE332" i="15"/>
  <c r="FG332" i="15" s="1"/>
  <c r="FE732" i="15"/>
  <c r="FG732" i="15" s="1"/>
  <c r="FE217" i="15"/>
  <c r="FG217" i="15" s="1"/>
  <c r="FE424" i="15"/>
  <c r="FG424" i="15" s="1"/>
  <c r="FE387" i="15"/>
  <c r="FG387" i="15" s="1"/>
  <c r="FE144" i="15"/>
  <c r="FG144" i="15" s="1"/>
  <c r="FE18" i="15"/>
  <c r="FG18" i="15" s="1"/>
  <c r="FE281" i="15"/>
  <c r="FG281" i="15" s="1"/>
  <c r="FE86" i="15"/>
  <c r="FG86" i="15" s="1"/>
  <c r="FE783" i="15"/>
  <c r="FG783" i="15" s="1"/>
  <c r="FE286" i="15"/>
  <c r="FG286" i="15" s="1"/>
  <c r="FE348" i="15"/>
  <c r="FG348" i="15" s="1"/>
  <c r="FE277" i="15"/>
  <c r="FG277" i="15" s="1"/>
  <c r="FE22" i="15"/>
  <c r="FG22" i="15" s="1"/>
  <c r="FE199" i="15"/>
  <c r="FG199" i="15" s="1"/>
  <c r="FE43" i="15"/>
  <c r="FG43" i="15" s="1"/>
  <c r="FE646" i="15"/>
  <c r="FG646" i="15" s="1"/>
  <c r="FE765" i="15"/>
  <c r="FG765" i="15" s="1"/>
  <c r="FE415" i="15"/>
  <c r="FG415" i="15" s="1"/>
  <c r="FE173" i="15"/>
  <c r="FG173" i="15" s="1"/>
  <c r="FE402" i="15"/>
  <c r="FG402" i="15" s="1"/>
  <c r="FE251" i="15"/>
  <c r="FG251" i="15" s="1"/>
  <c r="FE230" i="15"/>
  <c r="FG230" i="15" s="1"/>
  <c r="FE721" i="15"/>
  <c r="FG721" i="15" s="1"/>
  <c r="FE461" i="15"/>
  <c r="FG461" i="15" s="1"/>
  <c r="FE322" i="15"/>
  <c r="FG322" i="15" s="1"/>
  <c r="FE825" i="15"/>
  <c r="FG825" i="15" s="1"/>
  <c r="FE70" i="15"/>
  <c r="FG70" i="15" s="1"/>
  <c r="FE359" i="15"/>
  <c r="FG359" i="15" s="1"/>
  <c r="FE306" i="15"/>
  <c r="FG306" i="15" s="1"/>
  <c r="FE42" i="15"/>
  <c r="FG42" i="15" s="1"/>
  <c r="FE145" i="15"/>
  <c r="FG145" i="15" s="1"/>
  <c r="FE117" i="15"/>
  <c r="FG117" i="15" s="1"/>
  <c r="FE62" i="15"/>
  <c r="FG62" i="15" s="1"/>
  <c r="FE164" i="15"/>
  <c r="FG164" i="15" s="1"/>
  <c r="FE409" i="15"/>
  <c r="FG409" i="15" s="1"/>
  <c r="FE407" i="15"/>
  <c r="FG407" i="15" s="1"/>
  <c r="FE339" i="15"/>
  <c r="FG339" i="15" s="1"/>
  <c r="FE782" i="15"/>
  <c r="FG782" i="15" s="1"/>
  <c r="FE813" i="15"/>
  <c r="FG813" i="15" s="1"/>
  <c r="FE594" i="15"/>
  <c r="FG594" i="15" s="1"/>
  <c r="FE529" i="15"/>
  <c r="FG529" i="15" s="1"/>
  <c r="FE142" i="15"/>
  <c r="FG142" i="15" s="1"/>
  <c r="FE350" i="15"/>
  <c r="FG350" i="15" s="1"/>
  <c r="FE396" i="15"/>
  <c r="FG396" i="15" s="1"/>
  <c r="FE716" i="15"/>
  <c r="FG716" i="15" s="1"/>
  <c r="FE235" i="15"/>
  <c r="FG235" i="15" s="1"/>
  <c r="FE497" i="15"/>
  <c r="FG497" i="15" s="1"/>
  <c r="FE719" i="15"/>
  <c r="FG719" i="15" s="1"/>
  <c r="FE532" i="15"/>
  <c r="FG532" i="15" s="1"/>
  <c r="FE492" i="15"/>
  <c r="FG492" i="15" s="1"/>
  <c r="FE224" i="15"/>
  <c r="FG224" i="15" s="1"/>
  <c r="FE713" i="15"/>
  <c r="FG713" i="15" s="1"/>
  <c r="FE374" i="15"/>
  <c r="FG374" i="15" s="1"/>
  <c r="FE700" i="15"/>
  <c r="FG700" i="15" s="1"/>
  <c r="FE23" i="15"/>
  <c r="FG23" i="15" s="1"/>
  <c r="FE129" i="15"/>
  <c r="FG129" i="15" s="1"/>
  <c r="FE282" i="15"/>
  <c r="FG282" i="15" s="1"/>
  <c r="FE344" i="15"/>
  <c r="FG344" i="15" s="1"/>
  <c r="FE410" i="15"/>
  <c r="FG410" i="15" s="1"/>
  <c r="FE67" i="15"/>
  <c r="FG67" i="15" s="1"/>
  <c r="FE472" i="15"/>
  <c r="FG472" i="15" s="1"/>
  <c r="FE391" i="15"/>
  <c r="FG391" i="15" s="1"/>
  <c r="FE772" i="15"/>
  <c r="FG772" i="15" s="1"/>
  <c r="FE575" i="15"/>
  <c r="FG575" i="15" s="1"/>
  <c r="FE295" i="15"/>
  <c r="FG295" i="15" s="1"/>
  <c r="FE514" i="15"/>
  <c r="FG514" i="15" s="1"/>
  <c r="FE121" i="15"/>
  <c r="FG121" i="15" s="1"/>
  <c r="FE815" i="15"/>
  <c r="FG815" i="15" s="1"/>
  <c r="FE850" i="15"/>
  <c r="FG850" i="15" s="1"/>
  <c r="FE318" i="15"/>
  <c r="FG318" i="15" s="1"/>
  <c r="FE614" i="15"/>
  <c r="FG614" i="15" s="1"/>
  <c r="FE829" i="15"/>
  <c r="FG829" i="15" s="1"/>
  <c r="FE323" i="15"/>
  <c r="FG323" i="15" s="1"/>
  <c r="FE826" i="15"/>
  <c r="FG826" i="15" s="1"/>
  <c r="FE651" i="15"/>
  <c r="FG651" i="15" s="1"/>
  <c r="FE50" i="15"/>
  <c r="FG50" i="15" s="1"/>
  <c r="FE126" i="15"/>
  <c r="FG126" i="15" s="1"/>
  <c r="FE74" i="15"/>
  <c r="FG74" i="15" s="1"/>
  <c r="FE291" i="15"/>
  <c r="FG291" i="15" s="1"/>
  <c r="FE274" i="15"/>
  <c r="FG274" i="15" s="1"/>
  <c r="FE655" i="15"/>
  <c r="FG655" i="15" s="1"/>
  <c r="FE590" i="15"/>
  <c r="FG590" i="15" s="1"/>
  <c r="FE844" i="15"/>
  <c r="FG844" i="15" s="1"/>
  <c r="FE691" i="15"/>
  <c r="FG691" i="15" s="1"/>
  <c r="FE471" i="15"/>
  <c r="FG471" i="15" s="1"/>
  <c r="FE35" i="15"/>
  <c r="FG35" i="15" s="1"/>
  <c r="FE111" i="15"/>
  <c r="FG111" i="15" s="1"/>
  <c r="FE380" i="15"/>
  <c r="FG380" i="15" s="1"/>
  <c r="FE135" i="15"/>
  <c r="FG135" i="15" s="1"/>
  <c r="FE808" i="15"/>
  <c r="FG808" i="15" s="1"/>
  <c r="FE475" i="15"/>
  <c r="FG475" i="15" s="1"/>
  <c r="FE824" i="15"/>
  <c r="FG824" i="15" s="1"/>
  <c r="FE52" i="15"/>
  <c r="FG52" i="15" s="1"/>
  <c r="FE246" i="15"/>
  <c r="FG246" i="15" s="1"/>
  <c r="FE133" i="15"/>
  <c r="FG133" i="15" s="1"/>
  <c r="FE72" i="15"/>
  <c r="FG72" i="15" s="1"/>
  <c r="FE767" i="15"/>
  <c r="FG767" i="15" s="1"/>
  <c r="FE843" i="15"/>
  <c r="FG843" i="15" s="1"/>
  <c r="FE566" i="15"/>
  <c r="FG566" i="15" s="1"/>
  <c r="FE707" i="15"/>
  <c r="FG707" i="15" s="1"/>
  <c r="FE584" i="15"/>
  <c r="FG584" i="15" s="1"/>
  <c r="FE416" i="15"/>
  <c r="FG416" i="15" s="1"/>
  <c r="FE697" i="15"/>
  <c r="FG697" i="15" s="1"/>
  <c r="FE559" i="15"/>
  <c r="FG559" i="15" s="1"/>
  <c r="FE8" i="15"/>
  <c r="FG8" i="15" s="1"/>
  <c r="FE175" i="15"/>
  <c r="FG175" i="15" s="1"/>
  <c r="FE71" i="15"/>
  <c r="FG71" i="15" s="1"/>
  <c r="FE440" i="15"/>
  <c r="FG440" i="15" s="1"/>
  <c r="FE639" i="15"/>
  <c r="FG639" i="15" s="1"/>
  <c r="FE854" i="15"/>
  <c r="FG854" i="15" s="1"/>
  <c r="FE375" i="15"/>
  <c r="FG375" i="15" s="1"/>
  <c r="FE96" i="15"/>
  <c r="FG96" i="15" s="1"/>
  <c r="FE279" i="15"/>
  <c r="FG279" i="15" s="1"/>
  <c r="FE357" i="15"/>
  <c r="FG357" i="15" s="1"/>
  <c r="FE243" i="15"/>
  <c r="FG243" i="15" s="1"/>
  <c r="FE456" i="15"/>
  <c r="FG456" i="15" s="1"/>
  <c r="FE624" i="15"/>
  <c r="FG624" i="15" s="1"/>
  <c r="FE239" i="15"/>
  <c r="FG239" i="15" s="1"/>
  <c r="FE773" i="15"/>
  <c r="FG773" i="15" s="1"/>
  <c r="FE498" i="15"/>
  <c r="FG498" i="15" s="1"/>
  <c r="FE92" i="15"/>
  <c r="FG92" i="15" s="1"/>
  <c r="FE810" i="15"/>
  <c r="FG810" i="15" s="1"/>
  <c r="FE760" i="15"/>
  <c r="FG760" i="15" s="1"/>
  <c r="FE292" i="15"/>
  <c r="FG292" i="15" s="1"/>
  <c r="FE32" i="15"/>
  <c r="FG32" i="15" s="1"/>
  <c r="FE28" i="15"/>
  <c r="FG28" i="15" s="1"/>
  <c r="FE17" i="15"/>
  <c r="FG17" i="15" s="1"/>
  <c r="FE748" i="15"/>
  <c r="FG748" i="15" s="1"/>
  <c r="FE483" i="15"/>
  <c r="FG483" i="15" s="1"/>
  <c r="FE737" i="15"/>
  <c r="FG737" i="15" s="1"/>
  <c r="FE57" i="15"/>
  <c r="FG57" i="15" s="1"/>
  <c r="FE160" i="15"/>
  <c r="FG160" i="15" s="1"/>
  <c r="FE518" i="15"/>
  <c r="FG518" i="15" s="1"/>
  <c r="FE595" i="15"/>
  <c r="FG595" i="15" s="1"/>
  <c r="FE656" i="15"/>
  <c r="FG656" i="15" s="1"/>
  <c r="FE442" i="15"/>
  <c r="FG442" i="15" s="1"/>
  <c r="FE320" i="15"/>
  <c r="FG320" i="15" s="1"/>
  <c r="FE544" i="15"/>
  <c r="FG544" i="15" s="1"/>
  <c r="FE26" i="15"/>
  <c r="FG26" i="15" s="1"/>
  <c r="FE232" i="15"/>
  <c r="FG232" i="15" s="1"/>
  <c r="FE478" i="15"/>
  <c r="FG478" i="15" s="1"/>
  <c r="FE723" i="15"/>
  <c r="FG723" i="15" s="1"/>
  <c r="FE436" i="15"/>
  <c r="FG436" i="15" s="1"/>
  <c r="FE835" i="15"/>
  <c r="FG835" i="15" s="1"/>
  <c r="FE422" i="15"/>
  <c r="FG422" i="15" s="1"/>
  <c r="FE200" i="15"/>
  <c r="FG200" i="15" s="1"/>
  <c r="FE247" i="15"/>
  <c r="FG247" i="15" s="1"/>
  <c r="FE493" i="15"/>
  <c r="FG493" i="15" s="1"/>
  <c r="FE738" i="15"/>
  <c r="FG738" i="15" s="1"/>
  <c r="FE637" i="15"/>
  <c r="FG637" i="15" s="1"/>
  <c r="FE774" i="15"/>
  <c r="FG774" i="15" s="1"/>
  <c r="FE717" i="15"/>
  <c r="FG717" i="15" s="1"/>
  <c r="FE12" i="15"/>
  <c r="FG12" i="15" s="1"/>
  <c r="FE519" i="15"/>
  <c r="FG519" i="15" s="1"/>
  <c r="FE427" i="15"/>
  <c r="FG427" i="15" s="1"/>
  <c r="FE11" i="15"/>
  <c r="FG11" i="15" s="1"/>
  <c r="FE777" i="15"/>
  <c r="FG777" i="15" s="1"/>
  <c r="FE569" i="15"/>
  <c r="FG569" i="15" s="1"/>
  <c r="FE46" i="15"/>
  <c r="FG46" i="15" s="1"/>
  <c r="FE148" i="15"/>
  <c r="FG148" i="15" s="1"/>
  <c r="FE397" i="15"/>
  <c r="FG397" i="15" s="1"/>
  <c r="FE641" i="15"/>
  <c r="FG641" i="15" s="1"/>
  <c r="FE560" i="15"/>
  <c r="FG560" i="15" s="1"/>
  <c r="FE592" i="15"/>
  <c r="FG592" i="15" s="1"/>
  <c r="FE851" i="15"/>
  <c r="FG851" i="15" s="1"/>
  <c r="FE381" i="15"/>
  <c r="FG381" i="15" s="1"/>
  <c r="FE63" i="15"/>
  <c r="FG63" i="15" s="1"/>
  <c r="FE30" i="15"/>
  <c r="FG30" i="15" s="1"/>
  <c r="FE423" i="15"/>
  <c r="FG423" i="15" s="1"/>
  <c r="FE733" i="15"/>
  <c r="FG733" i="15" s="1"/>
  <c r="FE37" i="15"/>
  <c r="FG37" i="15" s="1"/>
  <c r="FE525" i="15"/>
  <c r="FG525" i="15" s="1"/>
  <c r="FE577" i="15"/>
  <c r="FG577" i="15" s="1"/>
  <c r="FE847" i="15"/>
  <c r="FG847" i="15" s="1"/>
  <c r="FE428" i="15"/>
  <c r="FG428" i="15" s="1"/>
  <c r="FE578" i="15"/>
  <c r="FG578" i="15" s="1"/>
  <c r="FE276" i="15"/>
  <c r="FG276" i="15" s="1"/>
  <c r="FE87" i="15"/>
  <c r="FG87" i="15" s="1"/>
  <c r="FE185" i="15"/>
  <c r="FG185" i="15" s="1"/>
  <c r="FE857" i="15"/>
  <c r="FG857" i="15" s="1"/>
  <c r="FE209" i="15"/>
  <c r="FG209" i="15" s="1"/>
  <c r="FE366" i="15"/>
  <c r="FG366" i="15" s="1"/>
  <c r="FE489" i="15"/>
  <c r="FG489" i="15" s="1"/>
  <c r="FE702" i="15"/>
  <c r="FG702" i="15" s="1"/>
  <c r="FE53" i="15"/>
  <c r="FG53" i="15" s="1"/>
  <c r="FE16" i="15"/>
  <c r="FG16" i="15" s="1"/>
  <c r="FE114" i="15"/>
  <c r="FG114" i="15" s="1"/>
  <c r="FE179" i="15"/>
  <c r="FG179" i="15" s="1"/>
  <c r="FE313" i="15"/>
  <c r="FG313" i="15" s="1"/>
  <c r="FE563" i="15"/>
  <c r="FG563" i="15" s="1"/>
  <c r="FE669" i="15"/>
  <c r="FG669" i="15" s="1"/>
  <c r="FE502" i="15"/>
  <c r="FG502" i="15" s="1"/>
  <c r="FE81" i="15"/>
  <c r="FG81" i="15" s="1"/>
  <c r="FE341" i="15"/>
  <c r="FG341" i="15" s="1"/>
  <c r="FE441" i="15"/>
  <c r="FG441" i="15" s="1"/>
  <c r="FE379" i="15"/>
  <c r="FG379" i="15" s="1"/>
  <c r="FE312" i="15"/>
  <c r="FG312" i="15" s="1"/>
  <c r="FE564" i="15"/>
  <c r="FG564" i="15" s="1"/>
  <c r="FE600" i="15"/>
  <c r="FG600" i="15" s="1"/>
  <c r="FE102" i="15"/>
  <c r="FG102" i="15" s="1"/>
  <c r="FE548" i="15"/>
  <c r="FG548" i="15" s="1"/>
  <c r="FE841" i="15"/>
  <c r="FG841" i="15" s="1"/>
  <c r="FE205" i="15"/>
  <c r="FG205" i="15" s="1"/>
  <c r="FE807" i="15"/>
  <c r="FG807" i="15" s="1"/>
  <c r="FE298" i="15"/>
  <c r="FG298" i="15" s="1"/>
  <c r="FE360" i="15"/>
  <c r="FG360" i="15" s="1"/>
  <c r="FE503" i="15"/>
  <c r="FG503" i="15" s="1"/>
  <c r="FE579" i="15"/>
  <c r="FG579" i="15" s="1"/>
  <c r="FE487" i="15"/>
  <c r="FG487" i="15" s="1"/>
  <c r="FE793" i="15"/>
  <c r="FG793" i="15" s="1"/>
  <c r="FE667" i="15"/>
  <c r="FG667" i="15" s="1"/>
  <c r="FE789" i="15"/>
  <c r="FG789" i="15" s="1"/>
  <c r="FE310" i="15"/>
  <c r="FG310" i="15" s="1"/>
  <c r="FE426" i="15"/>
  <c r="FG426" i="15" s="1"/>
  <c r="FE27" i="15"/>
  <c r="FG27" i="15" s="1"/>
  <c r="FE458" i="15"/>
  <c r="FG458" i="15" s="1"/>
  <c r="FE726" i="15"/>
  <c r="FG726" i="15" s="1"/>
  <c r="FE665" i="15"/>
  <c r="FG665" i="15" s="1"/>
  <c r="FE832" i="15"/>
  <c r="FG832" i="15" s="1"/>
  <c r="FE536" i="15"/>
  <c r="FG536" i="15" s="1"/>
  <c r="FE109" i="15"/>
  <c r="FG109" i="15" s="1"/>
  <c r="FE355" i="15"/>
  <c r="FG355" i="15" s="1"/>
  <c r="FE601" i="15"/>
  <c r="FG601" i="15" s="1"/>
  <c r="FE572" i="15"/>
  <c r="FG572" i="15" s="1"/>
  <c r="FE635" i="15"/>
  <c r="FG635" i="15" s="1"/>
  <c r="FE287" i="15"/>
  <c r="FG287" i="15" s="1"/>
  <c r="FE349" i="15"/>
  <c r="FG349" i="15" s="1"/>
  <c r="FE289" i="15"/>
  <c r="FG289" i="15" s="1"/>
  <c r="FE431" i="15"/>
  <c r="FG431" i="15" s="1"/>
  <c r="FE508" i="15"/>
  <c r="FG508" i="15" s="1"/>
  <c r="FE647" i="15"/>
  <c r="FG647" i="15" s="1"/>
  <c r="FE376" i="15"/>
  <c r="FG376" i="15" s="1"/>
  <c r="FE159" i="15"/>
  <c r="FG159" i="15" s="1"/>
  <c r="FE682" i="15"/>
  <c r="FG682" i="15" s="1"/>
  <c r="FE405" i="15"/>
  <c r="FG405" i="15" s="1"/>
  <c r="FE527" i="15"/>
  <c r="FG527" i="15" s="1"/>
  <c r="FE118" i="15"/>
  <c r="FG118" i="15" s="1"/>
  <c r="FE778" i="15"/>
  <c r="FG778" i="15" s="1"/>
  <c r="FE411" i="15"/>
  <c r="FG411" i="15" s="1"/>
  <c r="FE686" i="15"/>
  <c r="FG686" i="15" s="1"/>
  <c r="FE385" i="15"/>
  <c r="FG385" i="15" s="1"/>
  <c r="FE676" i="15"/>
  <c r="FG676" i="15" s="1"/>
  <c r="FE448" i="15"/>
  <c r="FG448" i="15" s="1"/>
  <c r="FE692" i="15"/>
  <c r="FG692" i="15" s="1"/>
  <c r="FE390" i="15"/>
  <c r="FG390" i="15" s="1"/>
  <c r="FE612" i="15"/>
  <c r="FG612" i="15" s="1"/>
  <c r="FE673" i="15"/>
  <c r="FG673" i="15" s="1"/>
  <c r="FE105" i="15"/>
  <c r="FG105" i="15" s="1"/>
  <c r="FE747" i="15"/>
  <c r="FG747" i="15" s="1"/>
  <c r="FE638" i="15"/>
  <c r="FG638" i="15" s="1"/>
  <c r="FE852" i="15"/>
  <c r="FG852" i="15" s="1"/>
  <c r="FE672" i="15"/>
  <c r="FG672" i="15" s="1"/>
  <c r="FE621" i="15"/>
  <c r="FG621" i="15" s="1"/>
  <c r="FE443" i="15"/>
  <c r="FG443" i="15" s="1"/>
  <c r="FE482" i="15"/>
  <c r="FG482" i="15" s="1"/>
  <c r="FE681" i="15"/>
  <c r="FG681" i="15" s="1"/>
  <c r="FE413" i="15"/>
  <c r="FG413" i="15" s="1"/>
  <c r="FE798" i="15"/>
  <c r="FG798" i="15" s="1"/>
  <c r="FE499" i="15"/>
  <c r="FG499" i="15" s="1"/>
  <c r="FE591" i="15"/>
  <c r="FG591" i="15" s="1"/>
  <c r="FE856" i="15"/>
  <c r="FG856" i="15" s="1"/>
  <c r="FE139" i="15"/>
  <c r="FG139" i="15" s="1"/>
  <c r="FE59" i="15"/>
  <c r="FG59" i="15" s="1"/>
  <c r="FE623" i="15"/>
  <c r="FG623" i="15" s="1"/>
  <c r="FE75" i="15"/>
  <c r="FG75" i="15" s="1"/>
  <c r="FE861" i="15"/>
  <c r="FG861" i="15" s="1"/>
  <c r="FE481" i="15"/>
  <c r="FG481" i="15" s="1"/>
  <c r="FE855" i="15"/>
  <c r="FG855" i="15" s="1"/>
  <c r="FE302" i="15"/>
  <c r="FG302" i="15" s="1"/>
  <c r="FE365" i="15"/>
  <c r="FG365" i="15" s="1"/>
  <c r="FE597" i="15"/>
  <c r="FG597" i="15" s="1"/>
  <c r="FE538" i="15"/>
  <c r="FG538" i="15" s="1"/>
  <c r="FE663" i="15"/>
  <c r="FG663" i="15" s="1"/>
  <c r="FE758" i="15"/>
  <c r="FG758" i="15" s="1"/>
  <c r="FE392" i="15"/>
  <c r="FG392" i="15" s="1"/>
  <c r="FE469" i="15"/>
  <c r="FG469" i="15" s="1"/>
  <c r="FE701" i="15"/>
  <c r="FG701" i="15" s="1"/>
  <c r="FE285" i="15"/>
  <c r="FG285" i="15" s="1"/>
  <c r="FE136" i="15"/>
  <c r="FG136" i="15" s="1"/>
  <c r="FE842" i="15"/>
  <c r="FG842" i="15" s="1"/>
  <c r="FE546" i="15"/>
  <c r="FG546" i="15" s="1"/>
  <c r="FE408" i="15"/>
  <c r="FG408" i="15" s="1"/>
  <c r="FE839" i="15"/>
  <c r="FG839" i="15" s="1"/>
  <c r="FE216" i="15"/>
  <c r="FG216" i="15" s="1"/>
  <c r="FE809" i="15"/>
  <c r="FG809" i="15" s="1"/>
  <c r="FE182" i="15"/>
  <c r="FG182" i="15" s="1"/>
  <c r="FE417" i="15"/>
  <c r="FG417" i="15" s="1"/>
  <c r="FE662" i="15"/>
  <c r="FG662" i="15" s="1"/>
  <c r="FE757" i="15"/>
  <c r="FG757" i="15" s="1"/>
  <c r="FE819" i="15"/>
  <c r="FG819" i="15" s="1"/>
  <c r="FE642" i="15"/>
  <c r="FG642" i="15" s="1"/>
  <c r="FE545" i="15"/>
  <c r="FG545" i="15" s="1"/>
  <c r="FE821" i="15"/>
  <c r="FG821" i="15" s="1"/>
  <c r="FE20" i="15"/>
  <c r="FG20" i="15" s="1"/>
  <c r="FE157" i="15"/>
  <c r="FG157" i="15" s="1"/>
  <c r="FE150" i="15"/>
  <c r="FG150" i="15" s="1"/>
  <c r="FE596" i="15"/>
  <c r="FG596" i="15" s="1"/>
  <c r="FE169" i="15"/>
  <c r="FG169" i="15" s="1"/>
  <c r="FE68" i="15"/>
  <c r="FG68" i="15" s="1"/>
  <c r="FE419" i="15"/>
  <c r="FG419" i="15" s="1"/>
  <c r="FE534" i="15"/>
  <c r="FG534" i="15" s="1"/>
  <c r="FE657" i="15"/>
  <c r="FG657" i="15" s="1"/>
  <c r="FE762" i="15"/>
  <c r="FG762" i="15" s="1"/>
  <c r="FE13" i="15"/>
  <c r="FG13" i="15" s="1"/>
  <c r="FE820" i="15"/>
  <c r="FG820" i="15" s="1"/>
  <c r="FE401" i="15"/>
  <c r="FG401" i="15" s="1"/>
  <c r="FE457" i="15"/>
  <c r="FG457" i="15" s="1"/>
  <c r="FE354" i="15"/>
  <c r="FG354" i="15" s="1"/>
  <c r="FE38" i="15"/>
  <c r="FG38" i="15" s="1"/>
  <c r="FE670" i="15"/>
  <c r="FG670" i="15" s="1"/>
  <c r="FE554" i="15"/>
  <c r="FG554" i="15" s="1"/>
  <c r="FE799" i="15"/>
  <c r="FG799" i="15" s="1"/>
  <c r="FE834" i="15"/>
  <c r="FG834" i="15" s="1"/>
  <c r="FE658" i="15"/>
  <c r="FG658" i="15" s="1"/>
  <c r="FE734" i="15"/>
  <c r="FG734" i="15" s="1"/>
  <c r="FE83" i="15"/>
  <c r="FG83" i="15" s="1"/>
  <c r="FE645" i="15"/>
  <c r="FG645" i="15" s="1"/>
  <c r="FE154" i="15"/>
  <c r="FG154" i="15" s="1"/>
  <c r="FE671" i="15"/>
  <c r="FG671" i="15" s="1"/>
  <c r="FE606" i="15"/>
  <c r="FG606" i="15" s="1"/>
  <c r="FE293" i="15"/>
  <c r="FG293" i="15" s="1"/>
  <c r="FE812" i="15"/>
  <c r="FG812" i="15" s="1"/>
  <c r="FE550" i="15"/>
  <c r="FG550" i="15" s="1"/>
  <c r="FE280" i="15"/>
  <c r="FG280" i="15" s="1"/>
  <c r="FE477" i="15"/>
  <c r="FG477" i="15" s="1"/>
  <c r="FE722" i="15"/>
  <c r="FG722" i="15" s="1"/>
  <c r="FE433" i="15"/>
  <c r="FG433" i="15" s="1"/>
  <c r="FE25" i="15"/>
  <c r="FG25" i="15" s="1"/>
  <c r="FE791" i="15"/>
  <c r="FG791" i="15" s="1"/>
  <c r="FE761" i="15"/>
  <c r="FG761" i="15" s="1"/>
  <c r="FE367" i="15"/>
  <c r="FG367" i="15" s="1"/>
  <c r="FE711" i="15"/>
  <c r="FG711" i="15" s="1"/>
  <c r="FE803" i="15"/>
  <c r="FG803" i="15" s="1"/>
  <c r="FE333" i="15"/>
  <c r="FG333" i="15" s="1"/>
  <c r="FE786" i="15"/>
  <c r="FG786" i="15" s="1"/>
  <c r="FE664" i="15"/>
  <c r="FG664" i="15" s="1"/>
  <c r="FE845" i="15"/>
  <c r="FG845" i="15" s="1"/>
  <c r="FE571" i="15"/>
  <c r="FG571" i="15" s="1"/>
  <c r="FE438" i="15"/>
  <c r="FG438" i="15" s="1"/>
  <c r="FE530" i="15"/>
  <c r="FG530" i="15" s="1"/>
  <c r="FE805" i="15"/>
  <c r="FG805" i="15" s="1"/>
  <c r="FE580" i="15"/>
  <c r="FG580" i="15" s="1"/>
  <c r="FE840" i="15"/>
  <c r="FG840" i="15" s="1"/>
  <c r="FE533" i="15"/>
  <c r="FG533" i="15" s="1"/>
  <c r="FE34" i="15"/>
  <c r="FG34" i="15" s="1"/>
  <c r="FE766" i="15"/>
  <c r="FG766" i="15" s="1"/>
  <c r="FE388" i="15"/>
  <c r="FG388" i="15" s="1"/>
  <c r="FE450" i="15"/>
  <c r="FG450" i="15" s="1"/>
  <c r="FE755" i="15"/>
  <c r="FG755" i="15" s="1"/>
  <c r="FE466" i="15"/>
  <c r="FG466" i="15" s="1"/>
  <c r="FE451" i="15"/>
  <c r="FG451" i="15" s="1"/>
  <c r="FE779" i="15"/>
  <c r="FG779" i="15" s="1"/>
  <c r="FE549" i="15"/>
  <c r="FG549" i="15" s="1"/>
  <c r="FE181" i="15"/>
  <c r="FG181" i="15" s="1"/>
  <c r="FE284" i="15"/>
  <c r="FG284" i="15" s="1"/>
  <c r="FE634" i="15"/>
  <c r="FG634" i="15" s="1"/>
  <c r="FE9" i="15"/>
  <c r="FG9" i="15" s="1"/>
  <c r="FE509" i="15"/>
  <c r="FG509" i="15" s="1"/>
  <c r="FE754" i="15"/>
  <c r="FG754" i="15" s="1"/>
  <c r="FE603" i="15"/>
  <c r="FG603" i="15" s="1"/>
  <c r="FE351" i="15"/>
  <c r="FG351" i="15" s="1"/>
  <c r="FE158" i="15"/>
  <c r="FG158" i="15" s="1"/>
  <c r="FE749" i="15"/>
  <c r="FG749" i="15" s="1"/>
  <c r="FE146" i="15"/>
  <c r="FG146" i="15" s="1"/>
  <c r="FE698" i="15"/>
  <c r="FG698" i="15" s="1"/>
  <c r="FE297" i="15"/>
  <c r="FG297" i="15" s="1"/>
  <c r="FE434" i="15"/>
  <c r="FG434" i="15" s="1"/>
  <c r="FE504" i="15"/>
  <c r="FG504" i="15" s="1"/>
  <c r="FE272" i="15"/>
  <c r="FG272" i="15" s="1"/>
  <c r="FE288" i="15"/>
  <c r="FG288" i="15" s="1"/>
  <c r="FE303" i="15"/>
  <c r="FG303" i="15" s="1"/>
  <c r="FE242" i="15"/>
  <c r="FG242" i="15" s="1"/>
  <c r="FE49" i="15"/>
  <c r="FG49" i="15" s="1"/>
  <c r="FE110" i="15"/>
  <c r="FG110" i="15" s="1"/>
  <c r="FE187" i="15"/>
  <c r="FG187" i="15" s="1"/>
  <c r="FE248" i="15"/>
  <c r="FG248" i="15" s="1"/>
  <c r="FE309" i="15"/>
  <c r="FG309" i="15" s="1"/>
  <c r="FE555" i="15"/>
  <c r="FG555" i="15" s="1"/>
  <c r="FE800" i="15"/>
  <c r="FG800" i="15" s="1"/>
  <c r="FE131" i="15"/>
  <c r="FG131" i="15" s="1"/>
  <c r="FE54" i="15"/>
  <c r="FG54" i="15" s="1"/>
  <c r="FE115" i="15"/>
  <c r="FG115" i="15" s="1"/>
  <c r="FE176" i="15"/>
  <c r="FG176" i="15" s="1"/>
  <c r="FE237" i="15"/>
  <c r="FG237" i="15" s="1"/>
  <c r="FE361" i="15"/>
  <c r="FG361" i="15" s="1"/>
  <c r="FE29" i="15"/>
  <c r="FG29" i="15" s="1"/>
  <c r="FE430" i="15"/>
  <c r="FG430" i="15" s="1"/>
  <c r="FE735" i="15"/>
  <c r="FG735" i="15" s="1"/>
  <c r="FE574" i="15"/>
  <c r="FG574" i="15" s="1"/>
  <c r="FE718" i="15"/>
  <c r="FG718" i="15" s="1"/>
  <c r="FE473" i="15"/>
  <c r="FG473" i="15" s="1"/>
  <c r="FE626" i="15"/>
  <c r="FG626" i="15" s="1"/>
  <c r="FE565" i="15"/>
  <c r="FG565" i="15" s="1"/>
  <c r="FE212" i="15"/>
  <c r="FG212" i="15" s="1"/>
  <c r="FE334" i="15"/>
  <c r="FG334" i="15" s="1"/>
  <c r="FE228" i="15"/>
  <c r="FG228" i="15" s="1"/>
  <c r="FE44" i="15"/>
  <c r="FG44" i="15" s="1"/>
  <c r="FE14" i="15"/>
  <c r="FG14" i="15" s="1"/>
  <c r="FE319" i="15"/>
  <c r="FG319" i="15" s="1"/>
  <c r="FE512" i="15"/>
  <c r="FG512" i="15" s="1"/>
  <c r="FE480" i="15"/>
  <c r="FG480" i="15" s="1"/>
  <c r="FE445" i="15"/>
  <c r="FG445" i="15" s="1"/>
  <c r="FE688" i="15"/>
  <c r="FG688" i="15" s="1"/>
  <c r="FE649" i="15"/>
  <c r="FG649" i="15" s="1"/>
  <c r="FE631" i="15"/>
  <c r="FG631" i="15" s="1"/>
  <c r="FE674" i="15"/>
  <c r="FG674" i="15" s="1"/>
  <c r="FE573" i="15"/>
  <c r="FG573" i="15" s="1"/>
  <c r="FE382" i="15"/>
  <c r="FG382" i="15" s="1"/>
  <c r="FE140" i="15"/>
  <c r="FG140" i="15" s="1"/>
  <c r="FE404" i="15"/>
  <c r="FG404" i="15" s="1"/>
  <c r="FE465" i="15"/>
  <c r="FG465" i="15" s="1"/>
  <c r="FE167" i="15"/>
  <c r="FG167" i="15" s="1"/>
  <c r="FE48" i="15"/>
  <c r="FG48" i="15" s="1"/>
  <c r="FE308" i="15"/>
  <c r="FG308" i="15" s="1"/>
  <c r="FE174" i="15"/>
  <c r="FG174" i="15" s="1"/>
  <c r="FE633" i="15"/>
  <c r="FG633" i="15" s="1"/>
  <c r="FE817" i="15"/>
  <c r="FG817" i="15" s="1"/>
  <c r="FE770" i="15"/>
  <c r="FG770" i="15" s="1"/>
  <c r="FE710" i="15"/>
  <c r="FG710" i="15" s="1"/>
  <c r="FE342" i="15"/>
  <c r="FG342" i="15" s="1"/>
  <c r="FE201" i="15"/>
  <c r="FG201" i="15" s="1"/>
  <c r="FE628" i="15"/>
  <c r="FG628" i="15" s="1"/>
  <c r="FE828" i="15"/>
  <c r="FG828" i="15" s="1"/>
  <c r="FE593" i="15"/>
  <c r="FG593" i="15" s="1"/>
  <c r="FE521" i="15"/>
  <c r="FG521" i="15" s="1"/>
  <c r="FE386" i="15"/>
  <c r="FG386" i="15" s="1"/>
  <c r="FE694" i="15"/>
  <c r="FG694" i="15" s="1"/>
  <c r="FE511" i="15"/>
  <c r="FG511" i="15" s="1"/>
  <c r="FE383" i="15"/>
  <c r="FG383" i="15" s="1"/>
  <c r="FE751" i="15"/>
  <c r="FG751" i="15" s="1"/>
  <c r="FE19" i="15"/>
  <c r="FG19" i="15" s="1"/>
  <c r="FE95" i="15"/>
  <c r="FG95" i="15" s="1"/>
  <c r="FE171" i="15"/>
  <c r="FG171" i="15" s="1"/>
  <c r="FE294" i="15"/>
  <c r="FG294" i="15" s="1"/>
  <c r="FE356" i="15"/>
  <c r="FG356" i="15" s="1"/>
  <c r="FE540" i="15"/>
  <c r="FG540" i="15" s="1"/>
  <c r="FE346" i="15"/>
  <c r="FG346" i="15" s="1"/>
  <c r="FE474" i="15"/>
  <c r="FG474" i="15" s="1"/>
  <c r="FE535" i="15"/>
  <c r="FG535" i="15" s="1"/>
  <c r="FE780" i="15"/>
  <c r="FG780" i="15" s="1"/>
  <c r="FE78" i="15"/>
  <c r="FG78" i="15" s="1"/>
  <c r="FE425" i="15"/>
  <c r="FG425" i="15" s="1"/>
  <c r="FE792" i="15"/>
  <c r="FG792" i="15" s="1"/>
  <c r="FE801" i="15"/>
  <c r="FG801" i="15" s="1"/>
  <c r="FE435" i="15"/>
  <c r="FG435" i="15" s="1"/>
  <c r="FE432" i="15"/>
  <c r="FG432" i="15" s="1"/>
  <c r="FE677" i="15"/>
  <c r="FG677" i="15" s="1"/>
  <c r="FE659" i="15"/>
  <c r="FG659" i="15" s="1"/>
  <c r="FE543" i="15"/>
  <c r="FG543" i="15" s="1"/>
  <c r="FE315" i="15"/>
  <c r="FG315" i="15" s="1"/>
  <c r="FE36" i="15"/>
  <c r="FG36" i="15" s="1"/>
  <c r="FE414" i="15"/>
  <c r="FG414" i="15" s="1"/>
  <c r="FE56" i="15"/>
  <c r="FG56" i="15" s="1"/>
  <c r="FE79" i="15"/>
  <c r="FG79" i="15" s="1"/>
  <c r="FE270" i="15"/>
  <c r="FG270" i="15" s="1"/>
  <c r="FE491" i="15"/>
  <c r="FG491" i="15" s="1"/>
  <c r="FE65" i="15"/>
  <c r="FG65" i="15" s="1"/>
  <c r="FE141" i="15"/>
  <c r="FG141" i="15" s="1"/>
  <c r="FE202" i="15"/>
  <c r="FG202" i="15" s="1"/>
  <c r="FE325" i="15"/>
  <c r="FG325" i="15" s="1"/>
  <c r="FE449" i="15"/>
  <c r="FG449" i="15" s="1"/>
  <c r="FE505" i="15"/>
  <c r="FG505" i="15" s="1"/>
  <c r="FE69" i="15"/>
  <c r="FG69" i="15" s="1"/>
  <c r="FE204" i="15"/>
  <c r="FG204" i="15" s="1"/>
  <c r="FE781" i="15"/>
  <c r="FG781" i="15" s="1"/>
  <c r="FE759" i="15"/>
  <c r="FG759" i="15" s="1"/>
  <c r="FE358" i="15"/>
  <c r="FG358" i="15" s="1"/>
  <c r="FE186" i="15"/>
  <c r="FG186" i="15" s="1"/>
  <c r="FE598" i="15"/>
  <c r="FG598" i="15" s="1"/>
  <c r="FE720" i="15"/>
  <c r="FG720" i="15" s="1"/>
  <c r="FE80" i="15"/>
  <c r="FG80" i="15" s="1"/>
  <c r="FE156" i="15"/>
  <c r="FG156" i="15" s="1"/>
  <c r="FE278" i="15"/>
  <c r="FG278" i="15" s="1"/>
  <c r="FE340" i="15"/>
  <c r="FG340" i="15" s="1"/>
  <c r="FE709" i="15"/>
  <c r="FG709" i="15" s="1"/>
  <c r="FE300" i="15"/>
  <c r="FG300" i="15" s="1"/>
  <c r="FE84" i="15"/>
  <c r="FG84" i="15" s="1"/>
  <c r="FE207" i="15"/>
  <c r="FG207" i="15" s="1"/>
  <c r="FE329" i="15"/>
  <c r="FG329" i="15" s="1"/>
  <c r="FE326" i="15"/>
  <c r="FG326" i="15" s="1"/>
  <c r="FE833" i="15"/>
  <c r="FG833" i="15" s="1"/>
  <c r="FE101" i="15"/>
  <c r="FG101" i="15" s="1"/>
  <c r="FE45" i="15"/>
  <c r="FG45" i="15" s="1"/>
  <c r="FE106" i="15"/>
  <c r="FG106" i="15" s="1"/>
  <c r="FE168" i="15"/>
  <c r="FG168" i="15" s="1"/>
  <c r="FE229" i="15"/>
  <c r="FG229" i="15" s="1"/>
  <c r="FE290" i="15"/>
  <c r="FG290" i="15" s="1"/>
  <c r="FE352" i="15"/>
  <c r="FG352" i="15" s="1"/>
  <c r="FE412" i="15"/>
  <c r="FG412" i="15" s="1"/>
  <c r="FE99" i="15"/>
  <c r="FG99" i="15" s="1"/>
  <c r="FE161" i="15"/>
  <c r="FG161" i="15" s="1"/>
  <c r="FE222" i="15"/>
  <c r="FG222" i="15" s="1"/>
  <c r="FE283" i="15"/>
  <c r="FG283" i="15" s="1"/>
  <c r="FE345" i="15"/>
  <c r="FG345" i="15" s="1"/>
  <c r="FE787" i="15"/>
  <c r="FG787" i="15" s="1"/>
  <c r="FE130" i="15"/>
  <c r="FG130" i="15" s="1"/>
  <c r="FE191" i="15"/>
  <c r="FG191" i="15" s="1"/>
  <c r="FE314" i="15"/>
  <c r="FG314" i="15" s="1"/>
  <c r="FE496" i="15"/>
  <c r="FG496" i="15" s="1"/>
  <c r="FE684" i="15"/>
  <c r="FG684" i="15" s="1"/>
  <c r="FE244" i="15"/>
  <c r="FG244" i="15" s="1"/>
  <c r="FE234" i="15"/>
  <c r="FG234" i="15" s="1"/>
  <c r="FE725" i="15"/>
  <c r="FG725" i="15" s="1"/>
  <c r="FE506" i="15"/>
  <c r="FG506" i="15" s="1"/>
  <c r="FE689" i="15"/>
  <c r="FG689" i="15" s="1"/>
  <c r="FE588" i="15"/>
  <c r="FG588" i="15" s="1"/>
  <c r="FE541" i="15"/>
  <c r="FG541" i="15" s="1"/>
  <c r="FE848" i="15"/>
  <c r="FG848" i="15" s="1"/>
  <c r="FE811" i="15"/>
  <c r="FG811" i="15" s="1"/>
  <c r="FE567" i="15"/>
  <c r="FG567" i="15" s="1"/>
  <c r="FE542" i="15"/>
  <c r="FG542" i="15" s="1"/>
  <c r="FE61" i="15"/>
  <c r="FG61" i="15" s="1"/>
  <c r="FE122" i="15"/>
  <c r="FG122" i="15" s="1"/>
  <c r="FE183" i="15"/>
  <c r="FG183" i="15" s="1"/>
  <c r="FE305" i="15"/>
  <c r="FG305" i="15" s="1"/>
  <c r="FE368" i="15"/>
  <c r="FG368" i="15" s="1"/>
  <c r="FE420" i="15"/>
  <c r="FG420" i="15" s="1"/>
  <c r="FE648" i="15"/>
  <c r="FG648" i="15" s="1"/>
  <c r="FE619" i="15"/>
  <c r="FG619" i="15" s="1"/>
  <c r="FE613" i="15"/>
  <c r="FG613" i="15" s="1"/>
  <c r="FE526" i="15"/>
  <c r="FG526" i="15" s="1"/>
  <c r="FE587" i="15"/>
  <c r="FG587" i="15" s="1"/>
  <c r="FE66" i="15"/>
  <c r="FG66" i="15" s="1"/>
  <c r="FE849" i="15"/>
  <c r="FG849" i="15" s="1"/>
  <c r="FE311" i="15"/>
  <c r="FG311" i="15" s="1"/>
  <c r="FE15" i="15"/>
  <c r="FG15" i="15" s="1"/>
  <c r="FE76" i="15"/>
  <c r="FG76" i="15" s="1"/>
  <c r="FE137" i="15"/>
  <c r="FG137" i="15" s="1"/>
  <c r="FE198" i="15"/>
  <c r="FG198" i="15" s="1"/>
  <c r="FE321" i="15"/>
  <c r="FG321" i="15" s="1"/>
  <c r="FE557" i="15"/>
  <c r="FG557" i="15" s="1"/>
  <c r="FE551" i="15"/>
  <c r="FG551" i="15" s="1"/>
  <c r="FE467" i="15"/>
  <c r="FG467" i="15" s="1"/>
  <c r="FE589" i="15"/>
  <c r="FG589" i="15" s="1"/>
  <c r="FE650" i="15"/>
  <c r="FG650" i="15" s="1"/>
  <c r="FE771" i="15"/>
  <c r="FG771" i="15" s="1"/>
  <c r="FE769" i="15"/>
  <c r="FG769" i="15" s="1"/>
  <c r="FE112" i="15"/>
  <c r="FG112" i="15" s="1"/>
  <c r="FE515" i="15"/>
  <c r="FG515" i="15" s="1"/>
  <c r="FE21" i="15"/>
  <c r="FG21" i="15" s="1"/>
  <c r="FE214" i="15"/>
  <c r="FG214" i="15" s="1"/>
  <c r="FE373" i="15"/>
  <c r="FG373" i="15" s="1"/>
  <c r="FE764" i="15"/>
  <c r="FG764" i="15" s="1"/>
  <c r="FE618" i="15"/>
  <c r="FG618" i="15" s="1"/>
  <c r="FE220" i="15"/>
  <c r="FG220" i="15" s="1"/>
  <c r="FE802" i="15"/>
  <c r="FG802" i="15" s="1"/>
  <c r="FE296" i="15"/>
  <c r="FG296" i="15" s="1"/>
  <c r="FE705" i="15"/>
  <c r="FG705" i="15" s="1"/>
  <c r="FE51" i="15"/>
  <c r="FG51" i="15" s="1"/>
  <c r="FE31" i="15"/>
  <c r="FG31" i="15" s="1"/>
  <c r="FE91" i="15"/>
  <c r="FG91" i="15" s="1"/>
  <c r="FE152" i="15"/>
  <c r="FG152" i="15" s="1"/>
  <c r="FE275" i="15"/>
  <c r="FG275" i="15" s="1"/>
  <c r="FE336" i="15"/>
  <c r="FG336" i="15" s="1"/>
  <c r="FE372" i="15"/>
  <c r="FG372" i="15" s="1"/>
  <c r="FE570" i="15"/>
  <c r="FG570" i="15" s="1"/>
  <c r="FE604" i="15"/>
  <c r="FG604" i="15" s="1"/>
  <c r="FE582" i="15"/>
  <c r="FG582" i="15" s="1"/>
  <c r="FE740" i="15"/>
  <c r="FG740" i="15" s="1"/>
  <c r="FE495" i="15"/>
  <c r="FG495" i="15" s="1"/>
  <c r="FE556" i="15"/>
  <c r="FG556" i="15" s="1"/>
  <c r="FE98" i="15"/>
  <c r="FG98" i="15" s="1"/>
  <c r="FE562" i="15"/>
  <c r="FG562" i="15" s="1"/>
  <c r="FE680" i="15"/>
  <c r="FG680" i="15" s="1"/>
  <c r="FE343" i="15"/>
  <c r="FG343" i="15" s="1"/>
  <c r="FE818" i="15"/>
  <c r="FG818" i="15" s="1"/>
  <c r="FE127" i="15"/>
  <c r="FG127" i="15" s="1"/>
  <c r="FE399" i="15"/>
  <c r="FG399" i="15" s="1"/>
  <c r="FE460" i="15"/>
  <c r="FG460" i="15" s="1"/>
  <c r="FE643" i="15"/>
  <c r="FG643" i="15" s="1"/>
  <c r="FE788" i="15"/>
  <c r="FG788" i="15" s="1"/>
  <c r="FE398" i="15"/>
  <c r="FG398" i="15" s="1"/>
  <c r="FE632" i="15"/>
  <c r="FG632" i="15" s="1"/>
  <c r="FE394" i="15"/>
  <c r="FG394" i="15" s="1"/>
  <c r="FE666" i="15"/>
  <c r="FG666" i="15" s="1"/>
  <c r="FE464" i="15"/>
  <c r="FG464" i="15" s="1"/>
  <c r="FE132" i="15"/>
  <c r="FG132" i="15" s="1"/>
  <c r="FE823" i="15"/>
  <c r="FG823" i="15" s="1"/>
  <c r="FE331" i="15"/>
  <c r="FG331" i="15" s="1"/>
  <c r="FE455" i="15"/>
  <c r="FG455" i="15" s="1"/>
  <c r="FE162" i="15"/>
  <c r="FG162" i="15" s="1"/>
  <c r="FE151" i="15"/>
  <c r="FG151" i="15" s="1"/>
  <c r="FE739" i="15"/>
  <c r="FG739" i="15" s="1"/>
  <c r="FE485" i="15"/>
  <c r="FG485" i="15" s="1"/>
  <c r="FE622" i="15"/>
  <c r="FG622" i="15" s="1"/>
  <c r="FE273" i="15"/>
  <c r="FG273" i="15" s="1"/>
  <c r="FE403" i="15"/>
  <c r="FG403" i="15" s="1"/>
  <c r="FE653" i="15"/>
  <c r="FG653" i="15" s="1"/>
  <c r="FE683" i="15"/>
  <c r="FG683" i="15" s="1"/>
  <c r="FE837" i="15"/>
  <c r="FG837" i="15" s="1"/>
  <c r="FE608" i="15"/>
  <c r="FG608" i="15" s="1"/>
  <c r="FE500" i="15"/>
  <c r="FG500" i="15" s="1"/>
  <c r="FE836" i="15"/>
  <c r="FG836" i="15" s="1"/>
  <c r="FE806" i="15"/>
  <c r="FG806" i="15" s="1"/>
  <c r="FE192" i="15"/>
  <c r="FG192" i="15" s="1"/>
  <c r="FE177" i="15"/>
  <c r="FG177" i="15" s="1"/>
  <c r="FE768" i="15"/>
  <c r="FG768" i="15" s="1"/>
  <c r="FE479" i="15"/>
  <c r="FG479" i="15" s="1"/>
  <c r="FE724" i="15"/>
  <c r="FG724" i="15" s="1"/>
  <c r="FE699" i="15"/>
  <c r="FG699" i="15" s="1"/>
  <c r="FE693" i="15"/>
  <c r="FG693" i="15" s="1"/>
  <c r="FE790" i="15"/>
  <c r="FG790" i="15" s="1"/>
  <c r="FE586" i="15"/>
  <c r="FG586" i="15" s="1"/>
  <c r="FE668" i="15"/>
  <c r="FG668" i="15" s="1"/>
  <c r="FE730" i="15"/>
  <c r="FG730" i="15" s="1"/>
  <c r="FE444" i="15"/>
  <c r="FG444" i="15" s="1"/>
  <c r="FE393" i="15"/>
  <c r="FG393" i="15" s="1"/>
  <c r="FE744" i="15"/>
  <c r="FG744" i="15" s="1"/>
  <c r="FE776" i="15"/>
  <c r="FG776" i="15" s="1"/>
  <c r="FE510" i="15"/>
  <c r="FG510" i="15" s="1"/>
  <c r="FE609" i="15"/>
  <c r="FG609" i="15" s="1"/>
  <c r="FE347" i="15"/>
  <c r="FG347" i="15" s="1"/>
  <c r="FE561" i="15"/>
  <c r="FG561" i="15" s="1"/>
  <c r="FE822" i="15"/>
  <c r="FG822" i="15" s="1"/>
  <c r="FE484" i="15"/>
  <c r="FG484" i="15" s="1"/>
  <c r="FE745" i="15"/>
  <c r="FG745" i="15" s="1"/>
  <c r="FE831" i="15"/>
  <c r="FG831" i="15" s="1"/>
  <c r="FE486" i="15"/>
  <c r="FG486" i="15" s="1"/>
  <c r="FE750" i="15"/>
  <c r="FG750" i="15" s="1"/>
  <c r="FE213" i="15"/>
  <c r="FG213" i="15" s="1"/>
  <c r="FE316" i="15"/>
  <c r="FG316" i="15" s="1"/>
  <c r="FE685" i="15"/>
  <c r="FG685" i="15" s="1"/>
  <c r="FE193" i="15"/>
  <c r="FG193" i="15" s="1"/>
  <c r="FE494" i="15"/>
  <c r="FG494" i="15" s="1"/>
  <c r="FE678" i="15"/>
  <c r="FG678" i="15" s="1"/>
  <c r="FE581" i="15"/>
  <c r="FG581" i="15" s="1"/>
  <c r="FE377" i="15"/>
  <c r="FG377" i="15" s="1"/>
  <c r="FE704" i="15"/>
  <c r="FG704" i="15" s="1"/>
  <c r="FE113" i="15"/>
  <c r="FG113" i="15" s="1"/>
  <c r="FE439" i="15"/>
  <c r="FG439" i="15" s="1"/>
  <c r="FE607" i="15"/>
  <c r="FG607" i="15" s="1"/>
  <c r="FE24" i="15"/>
  <c r="FG24" i="15" s="1"/>
  <c r="FE40" i="15"/>
  <c r="FG40" i="15" s="1"/>
  <c r="FE90" i="15"/>
  <c r="FG90" i="15" s="1"/>
  <c r="FE785" i="15"/>
  <c r="FG785" i="15" s="1"/>
  <c r="FE520" i="15"/>
  <c r="FG520" i="15" s="1"/>
  <c r="FE39" i="15"/>
  <c r="FG39" i="15" s="1"/>
  <c r="FE714" i="15"/>
  <c r="FG714" i="15" s="1"/>
  <c r="FE654" i="15"/>
  <c r="FG654" i="15" s="1"/>
  <c r="FE838" i="15"/>
  <c r="FG838" i="15" s="1"/>
  <c r="FE335" i="15"/>
  <c r="FG335" i="15" s="1"/>
  <c r="FE238" i="15"/>
  <c r="FG238" i="15" s="1"/>
  <c r="FE116" i="15"/>
  <c r="FG116" i="15" s="1"/>
  <c r="FE362" i="15"/>
  <c r="FG362" i="15" s="1"/>
  <c r="FE830" i="15"/>
  <c r="FG830" i="15" s="1"/>
  <c r="FE418" i="15"/>
  <c r="FG418" i="15" s="1"/>
  <c r="FE208" i="15"/>
  <c r="FG208" i="15" s="1"/>
  <c r="FE223" i="15"/>
  <c r="FG223" i="15" s="1"/>
  <c r="FE605" i="15"/>
  <c r="FG605" i="15" s="1"/>
  <c r="FE816" i="15"/>
  <c r="FG816" i="15" s="1"/>
  <c r="FE459" i="15"/>
  <c r="FG459" i="15" s="1"/>
  <c r="FE617" i="15"/>
  <c r="FG617" i="15" s="1"/>
  <c r="FE163" i="15"/>
  <c r="FG163" i="15" s="1"/>
  <c r="FE378" i="15"/>
  <c r="FG378" i="15" s="1"/>
  <c r="FE330" i="15"/>
  <c r="FG330" i="15" s="1"/>
  <c r="FE85" i="15"/>
  <c r="FG85" i="15" s="1"/>
  <c r="FE853" i="15"/>
  <c r="FG853" i="15" s="1"/>
  <c r="DY9" i="15"/>
  <c r="DV8" i="15"/>
  <c r="DY8" i="15" s="1"/>
  <c r="X5" i="1"/>
  <c r="H3" i="7"/>
  <c r="G6" i="13"/>
  <c r="AF130" i="1"/>
  <c r="GB167" i="15" l="1"/>
  <c r="GD167" i="15" s="1"/>
  <c r="GB231" i="15"/>
  <c r="GD231" i="15" s="1"/>
  <c r="GB667" i="15"/>
  <c r="GD667" i="15" s="1"/>
  <c r="N18" i="13"/>
  <c r="Y47" i="1"/>
  <c r="Y46" i="1" s="1"/>
  <c r="Z47" i="1"/>
  <c r="Z46" i="1" s="1"/>
  <c r="AA47" i="1"/>
  <c r="AA46" i="1" s="1"/>
  <c r="AB47" i="1"/>
  <c r="AB46" i="1" s="1"/>
  <c r="X47" i="1"/>
  <c r="X46" i="1" s="1"/>
  <c r="Z99" i="1"/>
  <c r="AB99" i="1"/>
  <c r="AB181" i="1"/>
  <c r="Y182" i="1"/>
  <c r="AE182" i="1" s="1"/>
  <c r="X99" i="1"/>
  <c r="X181" i="1"/>
  <c r="Z182" i="1"/>
  <c r="AF182" i="1" s="1"/>
  <c r="AA182" i="1"/>
  <c r="AG182" i="1" s="1"/>
  <c r="Y181" i="1"/>
  <c r="AB182" i="1"/>
  <c r="AH182" i="1" s="1"/>
  <c r="Y99" i="1"/>
  <c r="AA99" i="1"/>
  <c r="X182" i="1"/>
  <c r="Z181" i="1"/>
  <c r="AA181" i="1"/>
  <c r="AB40" i="1"/>
  <c r="Y40" i="1"/>
  <c r="AA40" i="1"/>
  <c r="X40" i="1"/>
  <c r="Z40" i="1"/>
  <c r="Y41" i="1"/>
  <c r="AE41" i="1" s="1"/>
  <c r="AA41" i="1"/>
  <c r="AG41" i="1" s="1"/>
  <c r="X41" i="1"/>
  <c r="Z41" i="1"/>
  <c r="AF41" i="1" s="1"/>
  <c r="AB41" i="1"/>
  <c r="AH41" i="1" s="1"/>
  <c r="Y37" i="1"/>
  <c r="AE37" i="1" s="1"/>
  <c r="AB37" i="1"/>
  <c r="AH37" i="1" s="1"/>
  <c r="Z37" i="1"/>
  <c r="AF37" i="1" s="1"/>
  <c r="AA37" i="1"/>
  <c r="AG37" i="1" s="1"/>
  <c r="X37" i="1"/>
  <c r="AD37" i="1" s="1"/>
  <c r="N35" i="1"/>
  <c r="X35" i="1"/>
  <c r="AA35" i="1"/>
  <c r="AB35" i="1"/>
  <c r="Z35" i="1"/>
  <c r="Y35" i="1"/>
  <c r="X62" i="1"/>
  <c r="Y74" i="1"/>
  <c r="AB74" i="1"/>
  <c r="AH74" i="1" s="1"/>
  <c r="AA74" i="1"/>
  <c r="AG74" i="1" s="1"/>
  <c r="AA121" i="1"/>
  <c r="X74" i="1"/>
  <c r="AA62" i="1"/>
  <c r="AG62" i="1" s="1"/>
  <c r="X121" i="1"/>
  <c r="AB62" i="1"/>
  <c r="AH62" i="1" s="1"/>
  <c r="AB50" i="1"/>
  <c r="Z74" i="1"/>
  <c r="AF74" i="1" s="1"/>
  <c r="X28" i="1"/>
  <c r="Z28" i="1"/>
  <c r="AB28" i="1"/>
  <c r="AA50" i="1"/>
  <c r="Z121" i="1"/>
  <c r="Z50" i="1"/>
  <c r="Y62" i="1"/>
  <c r="AE62" i="1" s="1"/>
  <c r="Y50" i="1"/>
  <c r="AB121" i="1"/>
  <c r="Z62" i="1"/>
  <c r="AF62" i="1" s="1"/>
  <c r="X50" i="1"/>
  <c r="Y121" i="1"/>
  <c r="Y28" i="1"/>
  <c r="AA28" i="1"/>
  <c r="Z63" i="1"/>
  <c r="X118" i="1"/>
  <c r="X51" i="1"/>
  <c r="AB75" i="1"/>
  <c r="AH75" i="1" s="1"/>
  <c r="X127" i="1"/>
  <c r="AA63" i="1"/>
  <c r="AB132" i="1"/>
  <c r="AA75" i="1"/>
  <c r="AG75" i="1" s="1"/>
  <c r="Y136" i="1"/>
  <c r="Y135" i="1" s="1"/>
  <c r="AB63" i="1"/>
  <c r="Y118" i="1"/>
  <c r="Y132" i="1"/>
  <c r="Z51" i="1"/>
  <c r="AF51" i="1" s="1"/>
  <c r="Z75" i="1"/>
  <c r="AF75" i="1" s="1"/>
  <c r="Y127" i="1"/>
  <c r="AE127" i="1" s="1"/>
  <c r="Z136" i="1"/>
  <c r="Z135" i="1" s="1"/>
  <c r="X132" i="1"/>
  <c r="Y75" i="1"/>
  <c r="Z127" i="1"/>
  <c r="AF127" i="1" s="1"/>
  <c r="AA136" i="1"/>
  <c r="AA135" i="1" s="1"/>
  <c r="AB118" i="1"/>
  <c r="AA118" i="1"/>
  <c r="AA132" i="1"/>
  <c r="AB51" i="1"/>
  <c r="AH51" i="1" s="1"/>
  <c r="X75" i="1"/>
  <c r="AA127" i="1"/>
  <c r="AG127" i="1" s="1"/>
  <c r="AB136" i="1"/>
  <c r="AH136" i="1" s="1"/>
  <c r="Y51" i="1"/>
  <c r="AE51" i="1" s="1"/>
  <c r="X63" i="1"/>
  <c r="AB127" i="1"/>
  <c r="X136" i="1"/>
  <c r="X135" i="1" s="1"/>
  <c r="Y63" i="1"/>
  <c r="Z118" i="1"/>
  <c r="Z132" i="1"/>
  <c r="AA51" i="1"/>
  <c r="AG51" i="1" s="1"/>
  <c r="N32" i="1"/>
  <c r="AB32" i="1"/>
  <c r="AA32" i="1"/>
  <c r="Z32" i="1"/>
  <c r="Y32" i="1"/>
  <c r="X32" i="1"/>
  <c r="AA15" i="1"/>
  <c r="AG15" i="1" s="1"/>
  <c r="Z15" i="1"/>
  <c r="AF15" i="1" s="1"/>
  <c r="X15" i="1"/>
  <c r="AD15" i="1" s="1"/>
  <c r="AB15" i="1"/>
  <c r="AH15" i="1" s="1"/>
  <c r="Y15" i="1"/>
  <c r="AE15" i="1" s="1"/>
  <c r="AB101" i="1"/>
  <c r="AB100" i="1" s="1"/>
  <c r="X101" i="1"/>
  <c r="X100" i="1" s="1"/>
  <c r="Y101" i="1"/>
  <c r="Y100" i="1" s="1"/>
  <c r="Z101" i="1"/>
  <c r="Z100" i="1" s="1"/>
  <c r="AA101" i="1"/>
  <c r="AA100" i="1" s="1"/>
  <c r="AA33" i="1"/>
  <c r="Y33" i="1"/>
  <c r="X33" i="1"/>
  <c r="AB33" i="1"/>
  <c r="Z33" i="1"/>
  <c r="N184" i="1"/>
  <c r="Z184" i="1"/>
  <c r="AB184" i="1"/>
  <c r="Y184" i="1"/>
  <c r="X184" i="1"/>
  <c r="X183" i="1" s="1"/>
  <c r="AA184" i="1"/>
  <c r="AB34" i="1"/>
  <c r="X34" i="1"/>
  <c r="AA34" i="1"/>
  <c r="Y34" i="1"/>
  <c r="Z34" i="1"/>
  <c r="X39" i="1"/>
  <c r="Y39" i="1"/>
  <c r="AE39" i="1" s="1"/>
  <c r="Z39" i="1"/>
  <c r="AF39" i="1" s="1"/>
  <c r="AA39" i="1"/>
  <c r="AG39" i="1" s="1"/>
  <c r="AB39" i="1"/>
  <c r="AH39" i="1" s="1"/>
  <c r="AA43" i="1"/>
  <c r="X43" i="1"/>
  <c r="Z43" i="1"/>
  <c r="AB43" i="1"/>
  <c r="Y43" i="1"/>
  <c r="AA128" i="1"/>
  <c r="X128" i="1"/>
  <c r="AA71" i="1"/>
  <c r="AA83" i="1"/>
  <c r="X71" i="1"/>
  <c r="AB71" i="1"/>
  <c r="Y133" i="1"/>
  <c r="AE133" i="1" s="1"/>
  <c r="AA133" i="1"/>
  <c r="AG133" i="1" s="1"/>
  <c r="Z59" i="1"/>
  <c r="Z83" i="1"/>
  <c r="X133" i="1"/>
  <c r="Y83" i="1"/>
  <c r="Z128" i="1"/>
  <c r="X119" i="1"/>
  <c r="AB59" i="1"/>
  <c r="X83" i="1"/>
  <c r="Y119" i="1"/>
  <c r="Y59" i="1"/>
  <c r="AB128" i="1"/>
  <c r="Z119" i="1"/>
  <c r="Z133" i="1"/>
  <c r="AF133" i="1" s="1"/>
  <c r="AB133" i="1"/>
  <c r="AH133" i="1" s="1"/>
  <c r="Y128" i="1"/>
  <c r="Y71" i="1"/>
  <c r="AA119" i="1"/>
  <c r="AA59" i="1"/>
  <c r="Z71" i="1"/>
  <c r="AB119" i="1"/>
  <c r="X59" i="1"/>
  <c r="AB83" i="1"/>
  <c r="Z70" i="1"/>
  <c r="AF70" i="1" s="1"/>
  <c r="X70" i="1"/>
  <c r="AB58" i="1"/>
  <c r="AA82" i="1"/>
  <c r="AG82" i="1" s="1"/>
  <c r="AA58" i="1"/>
  <c r="X82" i="1"/>
  <c r="Z58" i="1"/>
  <c r="Y58" i="1"/>
  <c r="Z82" i="1"/>
  <c r="AF82" i="1" s="1"/>
  <c r="AB70" i="1"/>
  <c r="AH70" i="1" s="1"/>
  <c r="AA70" i="1"/>
  <c r="AG70" i="1" s="1"/>
  <c r="X58" i="1"/>
  <c r="Y70" i="1"/>
  <c r="AE70" i="1" s="1"/>
  <c r="AB82" i="1"/>
  <c r="AH82" i="1" s="1"/>
  <c r="Y82" i="1"/>
  <c r="AE82" i="1" s="1"/>
  <c r="Y64" i="1"/>
  <c r="Z76" i="1"/>
  <c r="AF76" i="1" s="1"/>
  <c r="AA120" i="1"/>
  <c r="AA64" i="1"/>
  <c r="X120" i="1"/>
  <c r="AB76" i="1"/>
  <c r="AH76" i="1" s="1"/>
  <c r="Z129" i="1"/>
  <c r="X64" i="1"/>
  <c r="Y52" i="1"/>
  <c r="AE52" i="1" s="1"/>
  <c r="AA52" i="1"/>
  <c r="AG52" i="1" s="1"/>
  <c r="Y76" i="1"/>
  <c r="AE76" i="1" s="1"/>
  <c r="Z120" i="1"/>
  <c r="AB129" i="1"/>
  <c r="Z64" i="1"/>
  <c r="AA76" i="1"/>
  <c r="AG76" i="1" s="1"/>
  <c r="Y129" i="1"/>
  <c r="AB120" i="1"/>
  <c r="X76" i="1"/>
  <c r="Y120" i="1"/>
  <c r="AB64" i="1"/>
  <c r="X52" i="1"/>
  <c r="Z52" i="1"/>
  <c r="AF52" i="1" s="1"/>
  <c r="AB52" i="1"/>
  <c r="AH52" i="1" s="1"/>
  <c r="X129" i="1"/>
  <c r="AA129" i="1"/>
  <c r="AB21" i="1"/>
  <c r="AH21" i="1" s="1"/>
  <c r="Y21" i="1"/>
  <c r="AE21" i="1" s="1"/>
  <c r="AA21" i="1"/>
  <c r="AG21" i="1" s="1"/>
  <c r="X21" i="1"/>
  <c r="Z21" i="1"/>
  <c r="AF21" i="1" s="1"/>
  <c r="AB42" i="1"/>
  <c r="AH42" i="1" s="1"/>
  <c r="AA42" i="1"/>
  <c r="AG42" i="1" s="1"/>
  <c r="Z42" i="1"/>
  <c r="AF42" i="1" s="1"/>
  <c r="Y42" i="1"/>
  <c r="AE42" i="1" s="1"/>
  <c r="X42" i="1"/>
  <c r="X45" i="1"/>
  <c r="Z45" i="1"/>
  <c r="AF45" i="1" s="1"/>
  <c r="AB45" i="1"/>
  <c r="AH45" i="1" s="1"/>
  <c r="Y45" i="1"/>
  <c r="AE45" i="1" s="1"/>
  <c r="AA45" i="1"/>
  <c r="AG45" i="1" s="1"/>
  <c r="AA36" i="1"/>
  <c r="AG36" i="1" s="1"/>
  <c r="AB36" i="1"/>
  <c r="AH36" i="1" s="1"/>
  <c r="Z36" i="1"/>
  <c r="AF36" i="1" s="1"/>
  <c r="Y36" i="1"/>
  <c r="X36" i="1"/>
  <c r="AD36" i="1" s="1"/>
  <c r="X44" i="1"/>
  <c r="Z44" i="1"/>
  <c r="AB44" i="1"/>
  <c r="Y44" i="1"/>
  <c r="AA44" i="1"/>
  <c r="X13" i="1"/>
  <c r="Z104" i="1"/>
  <c r="Z103" i="1" s="1"/>
  <c r="AF103" i="1" s="1"/>
  <c r="X19" i="1"/>
  <c r="AB19" i="1"/>
  <c r="Y104" i="1"/>
  <c r="Y103" i="1" s="1"/>
  <c r="AE103" i="1" s="1"/>
  <c r="X104" i="1"/>
  <c r="X103" i="1" s="1"/>
  <c r="Y19" i="1"/>
  <c r="AB13" i="1"/>
  <c r="AA13" i="1"/>
  <c r="Z19" i="1"/>
  <c r="Z13" i="1"/>
  <c r="AB104" i="1"/>
  <c r="AB103" i="1" s="1"/>
  <c r="AH103" i="1" s="1"/>
  <c r="Y13" i="1"/>
  <c r="AA104" i="1"/>
  <c r="AA103" i="1" s="1"/>
  <c r="AG103" i="1" s="1"/>
  <c r="AA19" i="1"/>
  <c r="N119" i="1"/>
  <c r="N128" i="1"/>
  <c r="N133" i="1"/>
  <c r="N64" i="1"/>
  <c r="N76" i="1"/>
  <c r="N120" i="1"/>
  <c r="N129" i="1"/>
  <c r="N104" i="1"/>
  <c r="N101" i="1"/>
  <c r="N39" i="1"/>
  <c r="N33" i="1"/>
  <c r="N34" i="1"/>
  <c r="N181" i="1"/>
  <c r="N182" i="1"/>
  <c r="N28" i="1"/>
  <c r="N74" i="1"/>
  <c r="N62" i="1"/>
  <c r="N127" i="1"/>
  <c r="N132" i="1"/>
  <c r="N136" i="1"/>
  <c r="N118" i="1"/>
  <c r="N75" i="1"/>
  <c r="N63" i="1"/>
  <c r="N37" i="1"/>
  <c r="N407" i="1"/>
  <c r="AG407" i="1"/>
  <c r="AH407" i="1"/>
  <c r="AF407" i="1"/>
  <c r="AE407" i="1"/>
  <c r="N43" i="1"/>
  <c r="N416" i="1"/>
  <c r="N365" i="1"/>
  <c r="AG365" i="1"/>
  <c r="AH365" i="1"/>
  <c r="AE365" i="1"/>
  <c r="AF365" i="1"/>
  <c r="N312" i="1"/>
  <c r="N123" i="1"/>
  <c r="N29" i="1"/>
  <c r="N51" i="1"/>
  <c r="N408" i="1"/>
  <c r="AF408" i="1"/>
  <c r="AG408" i="1"/>
  <c r="AE408" i="1"/>
  <c r="N373" i="1"/>
  <c r="N47" i="1"/>
  <c r="N15" i="1"/>
  <c r="N337" i="1"/>
  <c r="N453" i="1"/>
  <c r="N322" i="1"/>
  <c r="AG453" i="1"/>
  <c r="AF453" i="1"/>
  <c r="AE453" i="1"/>
  <c r="AH453" i="1"/>
  <c r="N55" i="1"/>
  <c r="N121" i="1"/>
  <c r="N441" i="1"/>
  <c r="N469" i="1"/>
  <c r="N517" i="1"/>
  <c r="N478" i="1"/>
  <c r="N323" i="1"/>
  <c r="N419" i="1"/>
  <c r="N571" i="1"/>
  <c r="N464" i="1"/>
  <c r="N568" i="1"/>
  <c r="N576" i="1"/>
  <c r="AE576" i="1"/>
  <c r="AG576" i="1"/>
  <c r="AH576" i="1"/>
  <c r="AF576" i="1"/>
  <c r="AF478" i="1"/>
  <c r="AH568" i="1"/>
  <c r="AG568" i="1"/>
  <c r="AF568" i="1"/>
  <c r="AG478" i="1"/>
  <c r="AE322" i="1"/>
  <c r="AE517" i="1"/>
  <c r="AH478" i="1"/>
  <c r="AF323" i="1"/>
  <c r="AF517" i="1"/>
  <c r="AH322" i="1"/>
  <c r="AG517" i="1"/>
  <c r="AG469" i="1"/>
  <c r="AG322" i="1"/>
  <c r="AH469" i="1"/>
  <c r="N58" i="1"/>
  <c r="N70" i="1"/>
  <c r="N82" i="1"/>
  <c r="N177" i="1"/>
  <c r="N385" i="1"/>
  <c r="N529" i="1"/>
  <c r="N541" i="1"/>
  <c r="N330" i="1"/>
  <c r="N394" i="1"/>
  <c r="N36" i="1"/>
  <c r="N423" i="1"/>
  <c r="N448" i="1"/>
  <c r="AD448" i="1"/>
  <c r="AF448" i="1"/>
  <c r="AG448" i="1"/>
  <c r="AH448" i="1"/>
  <c r="AE529" i="1"/>
  <c r="AF529" i="1"/>
  <c r="AG529" i="1"/>
  <c r="AH529" i="1"/>
  <c r="AE541" i="1"/>
  <c r="AE423" i="1"/>
  <c r="AH541" i="1"/>
  <c r="AF541" i="1"/>
  <c r="AG423" i="1"/>
  <c r="AG541" i="1"/>
  <c r="AH177" i="1"/>
  <c r="AG177" i="1"/>
  <c r="AF423" i="1"/>
  <c r="AE177" i="1"/>
  <c r="AH423" i="1"/>
  <c r="N405" i="1"/>
  <c r="N433" i="1"/>
  <c r="N445" i="1"/>
  <c r="N585" i="1"/>
  <c r="N59" i="1"/>
  <c r="N71" i="1"/>
  <c r="N83" i="1"/>
  <c r="N174" i="1"/>
  <c r="N430" i="1"/>
  <c r="N526" i="1"/>
  <c r="N538" i="1"/>
  <c r="N185" i="1"/>
  <c r="N327" i="1"/>
  <c r="N391" i="1"/>
  <c r="N583" i="1"/>
  <c r="AH433" i="1"/>
  <c r="AG433" i="1"/>
  <c r="AF433" i="1"/>
  <c r="AE433" i="1"/>
  <c r="AH185" i="1"/>
  <c r="AH405" i="1"/>
  <c r="AH585" i="1"/>
  <c r="AE585" i="1"/>
  <c r="AF585" i="1"/>
  <c r="AG585" i="1"/>
  <c r="N45" i="1"/>
  <c r="N428" i="1"/>
  <c r="N50" i="1"/>
  <c r="N40" i="1"/>
  <c r="N53" i="1"/>
  <c r="AF53" i="1"/>
  <c r="AH53" i="1"/>
  <c r="AG53" i="1"/>
  <c r="N67" i="1"/>
  <c r="N79" i="1"/>
  <c r="N96" i="1"/>
  <c r="N406" i="1"/>
  <c r="N446" i="1"/>
  <c r="N586" i="1"/>
  <c r="N175" i="1"/>
  <c r="N431" i="1"/>
  <c r="N527" i="1"/>
  <c r="N539" i="1"/>
  <c r="N186" i="1"/>
  <c r="N328" i="1"/>
  <c r="N392" i="1"/>
  <c r="N584" i="1"/>
  <c r="AH431" i="1"/>
  <c r="AF431" i="1"/>
  <c r="AG431" i="1"/>
  <c r="AD431" i="1"/>
  <c r="AE186" i="1"/>
  <c r="AF186" i="1"/>
  <c r="AG186" i="1"/>
  <c r="AH186" i="1"/>
  <c r="AG406" i="1"/>
  <c r="AE406" i="1"/>
  <c r="AH406" i="1"/>
  <c r="AF406" i="1"/>
  <c r="AE446" i="1"/>
  <c r="AH446" i="1"/>
  <c r="AF446" i="1"/>
  <c r="AG446" i="1"/>
  <c r="AE586" i="1"/>
  <c r="AF586" i="1"/>
  <c r="AF392" i="1"/>
  <c r="AD67" i="1"/>
  <c r="AF584" i="1"/>
  <c r="AG584" i="1"/>
  <c r="AG586" i="1"/>
  <c r="AG328" i="1"/>
  <c r="AE392" i="1"/>
  <c r="AG539" i="1"/>
  <c r="AH586" i="1"/>
  <c r="AF327" i="1"/>
  <c r="AH392" i="1"/>
  <c r="AF527" i="1"/>
  <c r="AF539" i="1"/>
  <c r="AH584" i="1"/>
  <c r="AH328" i="1"/>
  <c r="AE527" i="1"/>
  <c r="AE539" i="1"/>
  <c r="AG392" i="1"/>
  <c r="AH539" i="1"/>
  <c r="AE584" i="1"/>
  <c r="AE328" i="1"/>
  <c r="AG527" i="1"/>
  <c r="N44" i="1"/>
  <c r="N187" i="1"/>
  <c r="N329" i="1"/>
  <c r="N393" i="1"/>
  <c r="N60" i="1"/>
  <c r="N72" i="1"/>
  <c r="N84" i="1"/>
  <c r="N447" i="1"/>
  <c r="N587" i="1"/>
  <c r="N176" i="1"/>
  <c r="N432" i="1"/>
  <c r="N528" i="1"/>
  <c r="N540" i="1"/>
  <c r="N588" i="1"/>
  <c r="AE72" i="1"/>
  <c r="AG72" i="1"/>
  <c r="AF72" i="1"/>
  <c r="AH72" i="1"/>
  <c r="AE528" i="1"/>
  <c r="AG528" i="1"/>
  <c r="AH528" i="1"/>
  <c r="AF528" i="1"/>
  <c r="AF540" i="1"/>
  <c r="AH587" i="1"/>
  <c r="AE540" i="1"/>
  <c r="AG587" i="1"/>
  <c r="AE587" i="1"/>
  <c r="AH540" i="1"/>
  <c r="AF587" i="1"/>
  <c r="AG540" i="1"/>
  <c r="AE447" i="1"/>
  <c r="AH329" i="1"/>
  <c r="AH432" i="1"/>
  <c r="AH60" i="1"/>
  <c r="AE187" i="1"/>
  <c r="AE329" i="1"/>
  <c r="AG432" i="1"/>
  <c r="AE393" i="1"/>
  <c r="AE588" i="1"/>
  <c r="AG588" i="1"/>
  <c r="AE60" i="1"/>
  <c r="AG187" i="1"/>
  <c r="AG393" i="1"/>
  <c r="AH393" i="1"/>
  <c r="AH447" i="1"/>
  <c r="AE432" i="1"/>
  <c r="AF432" i="1"/>
  <c r="AH588" i="1"/>
  <c r="AG60" i="1"/>
  <c r="AF329" i="1"/>
  <c r="AF588" i="1"/>
  <c r="AF60" i="1"/>
  <c r="AF187" i="1"/>
  <c r="AF393" i="1"/>
  <c r="AG329" i="1"/>
  <c r="AF447" i="1"/>
  <c r="AG447" i="1"/>
  <c r="N21" i="1"/>
  <c r="N27" i="1"/>
  <c r="N48" i="1"/>
  <c r="N66" i="1"/>
  <c r="N78" i="1"/>
  <c r="N90" i="1"/>
  <c r="N302" i="1"/>
  <c r="AF78" i="1"/>
  <c r="AH78" i="1"/>
  <c r="AG66" i="1"/>
  <c r="AE78" i="1"/>
  <c r="AG78" i="1"/>
  <c r="AF302" i="1"/>
  <c r="AE302" i="1"/>
  <c r="AH302" i="1"/>
  <c r="AG302" i="1"/>
  <c r="N363" i="1"/>
  <c r="N364" i="1"/>
  <c r="AH364" i="1"/>
  <c r="AF364" i="1"/>
  <c r="AE364" i="1"/>
  <c r="AG364" i="1"/>
  <c r="N388" i="1"/>
  <c r="N598" i="1"/>
  <c r="N374" i="1"/>
  <c r="AH374" i="1"/>
  <c r="AG374" i="1"/>
  <c r="AE374" i="1"/>
  <c r="AF374" i="1"/>
  <c r="N41" i="1"/>
  <c r="N52" i="1"/>
  <c r="N42" i="1"/>
  <c r="N321" i="1"/>
  <c r="N341" i="1"/>
  <c r="N361" i="1"/>
  <c r="N477" i="1"/>
  <c r="N126" i="1"/>
  <c r="N318" i="1"/>
  <c r="N482" i="1"/>
  <c r="N13" i="1"/>
  <c r="N567" i="1"/>
  <c r="N575" i="1"/>
  <c r="N579" i="1"/>
  <c r="N19" i="1"/>
  <c r="N23" i="1"/>
  <c r="N468" i="1"/>
  <c r="N516" i="1"/>
  <c r="N520" i="1"/>
  <c r="AE23" i="1"/>
  <c r="AH23" i="1"/>
  <c r="AG23" i="1"/>
  <c r="AF23" i="1"/>
  <c r="N49" i="1"/>
  <c r="H18" i="13"/>
  <c r="AE29" i="1"/>
  <c r="AE389" i="1"/>
  <c r="AG389" i="1"/>
  <c r="AH389" i="1"/>
  <c r="AF389" i="1"/>
  <c r="AF65" i="1"/>
  <c r="AG65" i="1"/>
  <c r="AH65" i="1"/>
  <c r="AE65" i="1"/>
  <c r="AE53" i="1"/>
  <c r="AG348" i="1"/>
  <c r="AG358" i="1"/>
  <c r="AE348" i="1"/>
  <c r="AE358" i="1"/>
  <c r="AF358" i="1"/>
  <c r="AH348" i="1"/>
  <c r="AF348" i="1"/>
  <c r="AH358" i="1"/>
  <c r="AE77" i="1"/>
  <c r="AG77" i="1"/>
  <c r="AF77" i="1"/>
  <c r="AH77" i="1"/>
  <c r="AE31" i="1"/>
  <c r="AF349" i="1"/>
  <c r="AF359" i="1"/>
  <c r="AH349" i="1"/>
  <c r="AH359" i="1"/>
  <c r="AG349" i="1"/>
  <c r="AG359" i="1"/>
  <c r="AE349" i="1"/>
  <c r="AE359" i="1"/>
  <c r="AE334" i="1"/>
  <c r="AF334" i="1"/>
  <c r="AH334" i="1"/>
  <c r="AG334" i="1"/>
  <c r="AF314" i="1"/>
  <c r="AG314" i="1"/>
  <c r="AH314" i="1"/>
  <c r="AE314" i="1"/>
  <c r="AF308" i="1"/>
  <c r="AH308" i="1"/>
  <c r="AG308" i="1"/>
  <c r="AE308" i="1"/>
  <c r="AF85" i="1"/>
  <c r="AG85" i="1"/>
  <c r="AH85" i="1"/>
  <c r="AE85" i="1"/>
  <c r="AG347" i="1"/>
  <c r="AG357" i="1"/>
  <c r="AH347" i="1"/>
  <c r="AE357" i="1"/>
  <c r="AF347" i="1"/>
  <c r="AF357" i="1"/>
  <c r="AH357" i="1"/>
  <c r="AE347" i="1"/>
  <c r="AG130" i="1"/>
  <c r="H13" i="13"/>
  <c r="AD29" i="1"/>
  <c r="AD30" i="1"/>
  <c r="AF30" i="1"/>
  <c r="AH30" i="1"/>
  <c r="AE30" i="1"/>
  <c r="AG30" i="1"/>
  <c r="AG29" i="1"/>
  <c r="AE130" i="1"/>
  <c r="AD130" i="1"/>
  <c r="AH130" i="1"/>
  <c r="AD31" i="1"/>
  <c r="AF31" i="1"/>
  <c r="AH31" i="1"/>
  <c r="AG31" i="1"/>
  <c r="X18" i="1" l="1"/>
  <c r="AF47" i="1"/>
  <c r="AF136" i="1"/>
  <c r="AG47" i="1"/>
  <c r="AE47" i="1"/>
  <c r="AE136" i="1"/>
  <c r="AG136" i="1"/>
  <c r="Y18" i="1"/>
  <c r="AE18" i="1" s="1"/>
  <c r="Z9" i="1"/>
  <c r="AF9" i="1" s="1"/>
  <c r="Y9" i="1"/>
  <c r="AE9" i="1" s="1"/>
  <c r="AA9" i="1"/>
  <c r="AG9" i="1" s="1"/>
  <c r="X9" i="1"/>
  <c r="AB9" i="1"/>
  <c r="AH9" i="1" s="1"/>
  <c r="AH47" i="1"/>
  <c r="Z18" i="1"/>
  <c r="AF18" i="1" s="1"/>
  <c r="Z38" i="1"/>
  <c r="AF38" i="1" s="1"/>
  <c r="AB126" i="1"/>
  <c r="AH126" i="1" s="1"/>
  <c r="AG104" i="1"/>
  <c r="AA38" i="1"/>
  <c r="AG38" i="1" s="1"/>
  <c r="AA183" i="1"/>
  <c r="AA126" i="1"/>
  <c r="AG126" i="1" s="1"/>
  <c r="AA115" i="1"/>
  <c r="AA117" i="1"/>
  <c r="AA48" i="1"/>
  <c r="AA49" i="1"/>
  <c r="AA61" i="1"/>
  <c r="Y98" i="1"/>
  <c r="AE98" i="1" s="1"/>
  <c r="Y97" i="1"/>
  <c r="AE97" i="1" s="1"/>
  <c r="Y96" i="1"/>
  <c r="AB174" i="1"/>
  <c r="AB175" i="1"/>
  <c r="AB176" i="1"/>
  <c r="AA10" i="1"/>
  <c r="AA8" i="1"/>
  <c r="AA11" i="1"/>
  <c r="AA12" i="1"/>
  <c r="X8" i="1"/>
  <c r="X11" i="1"/>
  <c r="X10" i="1"/>
  <c r="X12" i="1"/>
  <c r="Y38" i="1"/>
  <c r="AE38" i="1" s="1"/>
  <c r="AB115" i="1"/>
  <c r="X126" i="1"/>
  <c r="AD126" i="1" s="1"/>
  <c r="X48" i="1"/>
  <c r="X49" i="1"/>
  <c r="AB22" i="1"/>
  <c r="AB27" i="1"/>
  <c r="X73" i="1"/>
  <c r="AB96" i="1"/>
  <c r="AB97" i="1"/>
  <c r="AH97" i="1" s="1"/>
  <c r="AB98" i="1"/>
  <c r="AH98" i="1" s="1"/>
  <c r="AB8" i="1"/>
  <c r="AB10" i="1"/>
  <c r="AB11" i="1"/>
  <c r="AB12" i="1"/>
  <c r="X38" i="1"/>
  <c r="AD38" i="1" s="1"/>
  <c r="Y183" i="1"/>
  <c r="Y117" i="1"/>
  <c r="Y131" i="1"/>
  <c r="AE131" i="1" s="1"/>
  <c r="Z61" i="1"/>
  <c r="Z22" i="1"/>
  <c r="Z27" i="1"/>
  <c r="Y174" i="1"/>
  <c r="Y175" i="1"/>
  <c r="Y176" i="1"/>
  <c r="Y180" i="1"/>
  <c r="Z98" i="1"/>
  <c r="AF98" i="1" s="1"/>
  <c r="Z96" i="1"/>
  <c r="Z97" i="1"/>
  <c r="AF97" i="1" s="1"/>
  <c r="AA18" i="1"/>
  <c r="AG18" i="1" s="1"/>
  <c r="AB18" i="1"/>
  <c r="AH18" i="1" s="1"/>
  <c r="AB180" i="1"/>
  <c r="AB135" i="1"/>
  <c r="AH135" i="1" s="1"/>
  <c r="AB117" i="1"/>
  <c r="AB183" i="1"/>
  <c r="Z126" i="1"/>
  <c r="AF126" i="1" s="1"/>
  <c r="Y115" i="1"/>
  <c r="X22" i="1"/>
  <c r="X27" i="1"/>
  <c r="AA73" i="1"/>
  <c r="AF104" i="1"/>
  <c r="AH127" i="1"/>
  <c r="Z183" i="1"/>
  <c r="Z131" i="1"/>
  <c r="AF131" i="1" s="1"/>
  <c r="X115" i="1"/>
  <c r="X117" i="1"/>
  <c r="Y48" i="1"/>
  <c r="Y49" i="1"/>
  <c r="Z73" i="1"/>
  <c r="AB73" i="1"/>
  <c r="AA174" i="1"/>
  <c r="AA176" i="1"/>
  <c r="AA175" i="1"/>
  <c r="AA180" i="1"/>
  <c r="Y8" i="1"/>
  <c r="Y10" i="1"/>
  <c r="Y11" i="1"/>
  <c r="Y12" i="1"/>
  <c r="Z115" i="1"/>
  <c r="Z117" i="1"/>
  <c r="X131" i="1"/>
  <c r="Y61" i="1"/>
  <c r="AB48" i="1"/>
  <c r="AB49" i="1"/>
  <c r="Y73" i="1"/>
  <c r="Z174" i="1"/>
  <c r="Z175" i="1"/>
  <c r="Z176" i="1"/>
  <c r="Z180" i="1"/>
  <c r="X174" i="1"/>
  <c r="X175" i="1"/>
  <c r="X176" i="1"/>
  <c r="X180" i="1"/>
  <c r="AD180" i="1" s="1"/>
  <c r="AB38" i="1"/>
  <c r="AH38" i="1" s="1"/>
  <c r="AA22" i="1"/>
  <c r="AA27" i="1"/>
  <c r="Z48" i="1"/>
  <c r="Z49" i="1"/>
  <c r="AB61" i="1"/>
  <c r="X61" i="1"/>
  <c r="X98" i="1"/>
  <c r="X96" i="1"/>
  <c r="X97" i="1"/>
  <c r="Z8" i="1"/>
  <c r="Z10" i="1"/>
  <c r="Z11" i="1"/>
  <c r="Z12" i="1"/>
  <c r="AA131" i="1"/>
  <c r="AG131" i="1" s="1"/>
  <c r="Y126" i="1"/>
  <c r="AB131" i="1"/>
  <c r="AH131" i="1" s="1"/>
  <c r="Y22" i="1"/>
  <c r="Y27" i="1"/>
  <c r="AA96" i="1"/>
  <c r="AA97" i="1"/>
  <c r="AG97" i="1" s="1"/>
  <c r="AA98" i="1"/>
  <c r="AG98" i="1" s="1"/>
  <c r="AH29" i="1"/>
  <c r="AF132" i="1"/>
  <c r="AD132" i="1"/>
  <c r="AC132" i="1"/>
  <c r="AF101" i="1"/>
  <c r="AF100" i="1"/>
  <c r="AE101" i="1"/>
  <c r="AE100" i="1"/>
  <c r="AE132" i="1"/>
  <c r="AH132" i="1"/>
  <c r="AG132" i="1"/>
  <c r="AD62" i="1"/>
  <c r="AC62" i="1"/>
  <c r="AG100" i="1"/>
  <c r="AG101" i="1"/>
  <c r="AD136" i="1"/>
  <c r="AC136" i="1"/>
  <c r="AC101" i="1"/>
  <c r="AD101" i="1"/>
  <c r="AD103" i="1"/>
  <c r="AC103" i="1"/>
  <c r="AD133" i="1"/>
  <c r="AC133" i="1"/>
  <c r="AH100" i="1"/>
  <c r="AH101" i="1"/>
  <c r="AD127" i="1"/>
  <c r="AC127" i="1"/>
  <c r="AF29" i="1"/>
  <c r="AH90" i="1"/>
  <c r="AH66" i="1"/>
  <c r="AF40" i="1"/>
  <c r="AF90" i="1"/>
  <c r="AF88" i="1"/>
  <c r="AG90" i="1"/>
  <c r="AG88" i="1"/>
  <c r="AE66" i="1"/>
  <c r="AE90" i="1"/>
  <c r="AE88" i="1"/>
  <c r="AF66" i="1"/>
  <c r="AG40" i="1"/>
  <c r="AE40" i="1"/>
  <c r="AD319" i="1"/>
  <c r="AH327" i="1"/>
  <c r="AF322" i="1"/>
  <c r="J13" i="13"/>
  <c r="J11" i="13"/>
  <c r="AD482" i="1"/>
  <c r="AC482" i="1"/>
  <c r="AD318" i="1"/>
  <c r="AD315" i="1"/>
  <c r="AC318" i="1"/>
  <c r="AE482" i="1"/>
  <c r="AE481" i="1"/>
  <c r="AH516" i="1"/>
  <c r="AH515" i="1"/>
  <c r="AH512" i="1"/>
  <c r="AF482" i="1"/>
  <c r="AF481" i="1"/>
  <c r="AE318" i="1"/>
  <c r="AE574" i="1"/>
  <c r="AE575" i="1"/>
  <c r="AE572" i="1"/>
  <c r="AC516" i="1"/>
  <c r="AD516" i="1"/>
  <c r="AG575" i="1"/>
  <c r="AG572" i="1"/>
  <c r="AG574" i="1"/>
  <c r="AH361" i="1"/>
  <c r="AH356" i="1"/>
  <c r="AH360" i="1"/>
  <c r="AG125" i="1"/>
  <c r="AH477" i="1"/>
  <c r="AH474" i="1"/>
  <c r="AH476" i="1"/>
  <c r="AH475" i="1"/>
  <c r="AD477" i="1"/>
  <c r="AC477" i="1"/>
  <c r="AE597" i="1"/>
  <c r="AE598" i="1"/>
  <c r="AD363" i="1"/>
  <c r="AC363" i="1"/>
  <c r="AC302" i="1"/>
  <c r="AD302" i="1"/>
  <c r="AD329" i="1"/>
  <c r="AC329" i="1"/>
  <c r="AD447" i="1"/>
  <c r="AC447" i="1"/>
  <c r="AD540" i="1"/>
  <c r="AC540" i="1"/>
  <c r="AF326" i="1"/>
  <c r="AF328" i="1"/>
  <c r="AD328" i="1"/>
  <c r="AC328" i="1"/>
  <c r="AH35" i="1"/>
  <c r="AH40" i="1"/>
  <c r="AG428" i="1"/>
  <c r="AG427" i="1"/>
  <c r="AG538" i="1"/>
  <c r="AG537" i="1"/>
  <c r="AE538" i="1"/>
  <c r="AE537" i="1"/>
  <c r="AF538" i="1"/>
  <c r="AF537" i="1"/>
  <c r="AG526" i="1"/>
  <c r="AG524" i="1"/>
  <c r="AG525" i="1"/>
  <c r="AE430" i="1"/>
  <c r="AE429" i="1"/>
  <c r="AE327" i="1"/>
  <c r="AE326" i="1"/>
  <c r="AD327" i="1"/>
  <c r="AG327" i="1"/>
  <c r="AG326" i="1"/>
  <c r="AH445" i="1"/>
  <c r="AH444" i="1"/>
  <c r="AH443" i="1"/>
  <c r="AE185" i="1"/>
  <c r="AG405" i="1"/>
  <c r="AG404" i="1"/>
  <c r="AG185" i="1"/>
  <c r="AE405" i="1"/>
  <c r="AE404" i="1"/>
  <c r="AG390" i="1"/>
  <c r="AF177" i="1"/>
  <c r="AD541" i="1"/>
  <c r="AC541" i="1"/>
  <c r="AC529" i="1"/>
  <c r="AD529" i="1"/>
  <c r="AF378" i="1"/>
  <c r="AF384" i="1"/>
  <c r="AF419" i="1"/>
  <c r="AF417" i="1"/>
  <c r="AF418" i="1"/>
  <c r="AC568" i="1"/>
  <c r="AD568" i="1"/>
  <c r="AC469" i="1"/>
  <c r="AD469" i="1"/>
  <c r="AE419" i="1"/>
  <c r="AE418" i="1"/>
  <c r="AE417" i="1"/>
  <c r="AC571" i="1"/>
  <c r="AD571" i="1"/>
  <c r="AE476" i="1"/>
  <c r="AE478" i="1"/>
  <c r="AC576" i="1"/>
  <c r="AD576" i="1"/>
  <c r="AF118" i="1"/>
  <c r="AF119" i="1"/>
  <c r="AD441" i="1"/>
  <c r="AC441" i="1"/>
  <c r="AH441" i="1"/>
  <c r="AH437" i="1"/>
  <c r="AE370" i="1"/>
  <c r="AE372" i="1"/>
  <c r="AE373" i="1"/>
  <c r="AF123" i="1"/>
  <c r="AF122" i="1"/>
  <c r="AE310" i="1"/>
  <c r="AE311" i="1"/>
  <c r="AC416" i="1"/>
  <c r="AD416" i="1"/>
  <c r="AE579" i="1"/>
  <c r="AE578" i="1"/>
  <c r="AG340" i="1"/>
  <c r="AG341" i="1"/>
  <c r="AF579" i="1"/>
  <c r="AF578" i="1"/>
  <c r="AE515" i="1"/>
  <c r="AE513" i="1"/>
  <c r="AE512" i="1"/>
  <c r="AE516" i="1"/>
  <c r="AF519" i="1"/>
  <c r="AF520" i="1"/>
  <c r="AD579" i="1"/>
  <c r="AC579" i="1"/>
  <c r="AD341" i="1"/>
  <c r="AC341" i="1"/>
  <c r="AH482" i="1"/>
  <c r="AH481" i="1"/>
  <c r="AD520" i="1"/>
  <c r="AC520" i="1"/>
  <c r="AG481" i="1"/>
  <c r="AG482" i="1"/>
  <c r="AE519" i="1"/>
  <c r="AE520" i="1"/>
  <c r="AF361" i="1"/>
  <c r="AF360" i="1"/>
  <c r="AF356" i="1"/>
  <c r="AF125" i="1"/>
  <c r="AE125" i="1"/>
  <c r="AH468" i="1"/>
  <c r="AH465" i="1"/>
  <c r="AH467" i="1"/>
  <c r="AE477" i="1"/>
  <c r="AE475" i="1"/>
  <c r="AE474" i="1"/>
  <c r="AD42" i="1"/>
  <c r="AC42" i="1"/>
  <c r="AD41" i="1"/>
  <c r="AC41" i="1"/>
  <c r="AH597" i="1"/>
  <c r="AH598" i="1"/>
  <c r="AG597" i="1"/>
  <c r="AG598" i="1"/>
  <c r="AF363" i="1"/>
  <c r="AF362" i="1"/>
  <c r="AE363" i="1"/>
  <c r="AE362" i="1"/>
  <c r="AD90" i="1"/>
  <c r="AC90" i="1"/>
  <c r="AD60" i="1"/>
  <c r="AC60" i="1"/>
  <c r="AC586" i="1"/>
  <c r="AD586" i="1"/>
  <c r="AE427" i="1"/>
  <c r="AE428" i="1"/>
  <c r="AH428" i="1"/>
  <c r="AH427" i="1"/>
  <c r="AH583" i="1"/>
  <c r="AH582" i="1"/>
  <c r="AH581" i="1"/>
  <c r="AD583" i="1"/>
  <c r="AC583" i="1"/>
  <c r="AF583" i="1"/>
  <c r="AF581" i="1"/>
  <c r="AF582" i="1"/>
  <c r="AD585" i="1"/>
  <c r="AC585" i="1"/>
  <c r="AG430" i="1"/>
  <c r="AG429" i="1"/>
  <c r="AE583" i="1"/>
  <c r="AE581" i="1"/>
  <c r="AE582" i="1"/>
  <c r="AE135" i="1"/>
  <c r="AH326" i="1"/>
  <c r="AG445" i="1"/>
  <c r="AG443" i="1"/>
  <c r="AG444" i="1"/>
  <c r="AF185" i="1"/>
  <c r="AD433" i="1"/>
  <c r="AC433" i="1"/>
  <c r="AE390" i="1"/>
  <c r="AE384" i="1"/>
  <c r="AE378" i="1"/>
  <c r="AE35" i="1"/>
  <c r="AG81" i="1"/>
  <c r="AG35" i="1"/>
  <c r="AF570" i="1"/>
  <c r="AF571" i="1"/>
  <c r="AH419" i="1"/>
  <c r="AH417" i="1"/>
  <c r="AH418" i="1"/>
  <c r="AD419" i="1"/>
  <c r="AC419" i="1"/>
  <c r="AF467" i="1"/>
  <c r="AF469" i="1"/>
  <c r="AG570" i="1"/>
  <c r="AG571" i="1"/>
  <c r="AF464" i="1"/>
  <c r="AF463" i="1"/>
  <c r="AD119" i="1"/>
  <c r="AE441" i="1"/>
  <c r="AE437" i="1"/>
  <c r="AD322" i="1"/>
  <c r="AD453" i="1"/>
  <c r="AC453" i="1"/>
  <c r="AC373" i="1"/>
  <c r="AD373" i="1"/>
  <c r="AG370" i="1"/>
  <c r="AG372" i="1"/>
  <c r="AG373" i="1"/>
  <c r="AH404" i="1"/>
  <c r="AH408" i="1"/>
  <c r="AD123" i="1"/>
  <c r="AC123" i="1"/>
  <c r="AG310" i="1"/>
  <c r="AG311" i="1"/>
  <c r="AF310" i="1"/>
  <c r="AF311" i="1"/>
  <c r="AE416" i="1"/>
  <c r="AE415" i="1"/>
  <c r="AH415" i="1"/>
  <c r="AH416" i="1"/>
  <c r="AC407" i="1"/>
  <c r="AD407" i="1"/>
  <c r="AH318" i="1"/>
  <c r="AH519" i="1"/>
  <c r="AH520" i="1"/>
  <c r="AE341" i="1"/>
  <c r="AE340" i="1"/>
  <c r="AH566" i="1"/>
  <c r="AH567" i="1"/>
  <c r="AH565" i="1"/>
  <c r="AH564" i="1"/>
  <c r="AG515" i="1"/>
  <c r="AG512" i="1"/>
  <c r="AG516" i="1"/>
  <c r="AG513" i="1"/>
  <c r="AH579" i="1"/>
  <c r="AH578" i="1"/>
  <c r="AD567" i="1"/>
  <c r="AC567" i="1"/>
  <c r="AG579" i="1"/>
  <c r="AG578" i="1"/>
  <c r="AG566" i="1"/>
  <c r="AG567" i="1"/>
  <c r="AG564" i="1"/>
  <c r="AG565" i="1"/>
  <c r="AG361" i="1"/>
  <c r="AG360" i="1"/>
  <c r="AD320" i="1"/>
  <c r="AG468" i="1"/>
  <c r="AG465" i="1"/>
  <c r="AG467" i="1"/>
  <c r="AC468" i="1"/>
  <c r="AD468" i="1"/>
  <c r="AF477" i="1"/>
  <c r="AF476" i="1"/>
  <c r="AF474" i="1"/>
  <c r="AF475" i="1"/>
  <c r="AD598" i="1"/>
  <c r="AC598" i="1"/>
  <c r="AH363" i="1"/>
  <c r="AH362" i="1"/>
  <c r="AC393" i="1"/>
  <c r="AD393" i="1"/>
  <c r="AC588" i="1"/>
  <c r="AD588" i="1"/>
  <c r="AC432" i="1"/>
  <c r="AD432" i="1"/>
  <c r="AD587" i="1"/>
  <c r="AC587" i="1"/>
  <c r="AH525" i="1"/>
  <c r="AH527" i="1"/>
  <c r="AC527" i="1"/>
  <c r="AD527" i="1"/>
  <c r="AC539" i="1"/>
  <c r="AD539" i="1"/>
  <c r="AD406" i="1"/>
  <c r="AC406" i="1"/>
  <c r="AC431" i="1"/>
  <c r="AE431" i="1"/>
  <c r="AD40" i="1"/>
  <c r="AC40" i="1"/>
  <c r="AF427" i="1"/>
  <c r="AF428" i="1"/>
  <c r="AG583" i="1"/>
  <c r="AG582" i="1"/>
  <c r="AG581" i="1"/>
  <c r="AF430" i="1"/>
  <c r="AF429" i="1"/>
  <c r="AH538" i="1"/>
  <c r="AH537" i="1"/>
  <c r="AE81" i="1"/>
  <c r="AD538" i="1"/>
  <c r="AC538" i="1"/>
  <c r="AF135" i="1"/>
  <c r="AE445" i="1"/>
  <c r="AE444" i="1"/>
  <c r="AE443" i="1"/>
  <c r="AF445" i="1"/>
  <c r="AF443" i="1"/>
  <c r="AF444" i="1"/>
  <c r="AD185" i="1"/>
  <c r="AD184" i="1"/>
  <c r="AC185" i="1"/>
  <c r="AF390" i="1"/>
  <c r="AH384" i="1"/>
  <c r="AH378" i="1"/>
  <c r="AG378" i="1"/>
  <c r="AG384" i="1"/>
  <c r="AH81" i="1"/>
  <c r="AF35" i="1"/>
  <c r="AC448" i="1"/>
  <c r="AE448" i="1"/>
  <c r="AH513" i="1"/>
  <c r="AH517" i="1"/>
  <c r="AE467" i="1"/>
  <c r="AE469" i="1"/>
  <c r="AC517" i="1"/>
  <c r="AD517" i="1"/>
  <c r="AE571" i="1"/>
  <c r="AE570" i="1"/>
  <c r="AG464" i="1"/>
  <c r="AG463" i="1"/>
  <c r="AH464" i="1"/>
  <c r="AH463" i="1"/>
  <c r="AE464" i="1"/>
  <c r="AE463" i="1"/>
  <c r="AG120" i="1"/>
  <c r="AG118" i="1"/>
  <c r="AF441" i="1"/>
  <c r="AF437" i="1"/>
  <c r="AH370" i="1"/>
  <c r="AH373" i="1"/>
  <c r="AH372" i="1"/>
  <c r="AG119" i="1"/>
  <c r="AG123" i="1"/>
  <c r="AG122" i="1"/>
  <c r="AG415" i="1"/>
  <c r="AG416" i="1"/>
  <c r="AF341" i="1"/>
  <c r="AF340" i="1"/>
  <c r="AE567" i="1"/>
  <c r="AE564" i="1"/>
  <c r="AE565" i="1"/>
  <c r="AF575" i="1"/>
  <c r="AF572" i="1"/>
  <c r="AF574" i="1"/>
  <c r="AF566" i="1"/>
  <c r="AF567" i="1"/>
  <c r="AF565" i="1"/>
  <c r="AF564" i="1"/>
  <c r="AH575" i="1"/>
  <c r="AH572" i="1"/>
  <c r="AH574" i="1"/>
  <c r="AH341" i="1"/>
  <c r="AH340" i="1"/>
  <c r="AG520" i="1"/>
  <c r="AG519" i="1"/>
  <c r="AD575" i="1"/>
  <c r="AC575" i="1"/>
  <c r="AF318" i="1"/>
  <c r="AF317" i="1"/>
  <c r="AF316" i="1"/>
  <c r="AF315" i="1"/>
  <c r="AF516" i="1"/>
  <c r="AF512" i="1"/>
  <c r="AF513" i="1"/>
  <c r="AF515" i="1"/>
  <c r="AG318" i="1"/>
  <c r="AE361" i="1"/>
  <c r="AE356" i="1"/>
  <c r="AE360" i="1"/>
  <c r="AD356" i="1"/>
  <c r="AC361" i="1"/>
  <c r="AD361" i="1"/>
  <c r="AH125" i="1"/>
  <c r="AF468" i="1"/>
  <c r="AF465" i="1"/>
  <c r="AE468" i="1"/>
  <c r="AE465" i="1"/>
  <c r="AG477" i="1"/>
  <c r="AG475" i="1"/>
  <c r="AG476" i="1"/>
  <c r="AG474" i="1"/>
  <c r="AD374" i="1"/>
  <c r="AC374" i="1"/>
  <c r="AF597" i="1"/>
  <c r="AF598" i="1"/>
  <c r="AD364" i="1"/>
  <c r="AC364" i="1"/>
  <c r="AG363" i="1"/>
  <c r="AG362" i="1"/>
  <c r="AD187" i="1"/>
  <c r="AC187" i="1"/>
  <c r="AH187" i="1"/>
  <c r="AD528" i="1"/>
  <c r="AC528" i="1"/>
  <c r="AC392" i="1"/>
  <c r="AD392" i="1"/>
  <c r="AC584" i="1"/>
  <c r="AD584" i="1"/>
  <c r="AD446" i="1"/>
  <c r="AC446" i="1"/>
  <c r="AD186" i="1"/>
  <c r="AC186" i="1"/>
  <c r="AC428" i="1"/>
  <c r="AD428" i="1"/>
  <c r="AD430" i="1"/>
  <c r="AC430" i="1"/>
  <c r="AE526" i="1"/>
  <c r="AE525" i="1"/>
  <c r="AE524" i="1"/>
  <c r="AH430" i="1"/>
  <c r="AH429" i="1"/>
  <c r="AH526" i="1"/>
  <c r="AH524" i="1"/>
  <c r="AC526" i="1"/>
  <c r="AD526" i="1"/>
  <c r="AF526" i="1"/>
  <c r="AF525" i="1"/>
  <c r="AF524" i="1"/>
  <c r="AG137" i="1"/>
  <c r="AC445" i="1"/>
  <c r="AD445" i="1"/>
  <c r="AF405" i="1"/>
  <c r="AF404" i="1"/>
  <c r="AD405" i="1"/>
  <c r="AC405" i="1"/>
  <c r="AH390" i="1"/>
  <c r="AC423" i="1"/>
  <c r="AD423" i="1"/>
  <c r="AD177" i="1"/>
  <c r="AC177" i="1"/>
  <c r="AF81" i="1"/>
  <c r="AD81" i="1"/>
  <c r="AD35" i="1"/>
  <c r="AG317" i="1"/>
  <c r="AG323" i="1"/>
  <c r="L11" i="13"/>
  <c r="AH323" i="1"/>
  <c r="AH570" i="1"/>
  <c r="AH571" i="1"/>
  <c r="AE323" i="1"/>
  <c r="AE566" i="1"/>
  <c r="AE568" i="1"/>
  <c r="AD323" i="1"/>
  <c r="AC323" i="1"/>
  <c r="AC478" i="1"/>
  <c r="AD478" i="1"/>
  <c r="AG419" i="1"/>
  <c r="AG418" i="1"/>
  <c r="AG417" i="1"/>
  <c r="AD464" i="1"/>
  <c r="AC464" i="1"/>
  <c r="AH120" i="1"/>
  <c r="AH118" i="1"/>
  <c r="AE120" i="1"/>
  <c r="AG441" i="1"/>
  <c r="AG437" i="1"/>
  <c r="AF373" i="1"/>
  <c r="AF370" i="1"/>
  <c r="AF372" i="1"/>
  <c r="AC408" i="1"/>
  <c r="AD408" i="1"/>
  <c r="AE119" i="1"/>
  <c r="AE123" i="1"/>
  <c r="AE122" i="1"/>
  <c r="AH119" i="1"/>
  <c r="AH123" i="1"/>
  <c r="AH122" i="1"/>
  <c r="AH310" i="1"/>
  <c r="AH311" i="1"/>
  <c r="AC365" i="1"/>
  <c r="AD365" i="1"/>
  <c r="AF416" i="1"/>
  <c r="AF415" i="1"/>
  <c r="AD68" i="1"/>
  <c r="AF55" i="1"/>
  <c r="AF54" i="1"/>
  <c r="AG55" i="1"/>
  <c r="AG54" i="1"/>
  <c r="AG301" i="1"/>
  <c r="AH301" i="1"/>
  <c r="AD52" i="1"/>
  <c r="AC52" i="1"/>
  <c r="AF44" i="1"/>
  <c r="AF43" i="1"/>
  <c r="AH44" i="1"/>
  <c r="AH43" i="1"/>
  <c r="AE19" i="1"/>
  <c r="AD75" i="1"/>
  <c r="AC75" i="1"/>
  <c r="AD346" i="1"/>
  <c r="AC346" i="1"/>
  <c r="AH346" i="1"/>
  <c r="AH336" i="1"/>
  <c r="AH337" i="1"/>
  <c r="AH344" i="1"/>
  <c r="AH345" i="1"/>
  <c r="AG64" i="1"/>
  <c r="AG63" i="1"/>
  <c r="AF64" i="1"/>
  <c r="AF63" i="1"/>
  <c r="AD334" i="1"/>
  <c r="AC334" i="1"/>
  <c r="AE391" i="1"/>
  <c r="AF391" i="1"/>
  <c r="AG121" i="1"/>
  <c r="AD112" i="1"/>
  <c r="AC112" i="1"/>
  <c r="AE84" i="1"/>
  <c r="AE83" i="1"/>
  <c r="AE87" i="1"/>
  <c r="AE86" i="1"/>
  <c r="AG87" i="1"/>
  <c r="AG86" i="1"/>
  <c r="AD77" i="1"/>
  <c r="AC77" i="1"/>
  <c r="AC358" i="1"/>
  <c r="AD358" i="1"/>
  <c r="AE181" i="1"/>
  <c r="AE59" i="1"/>
  <c r="AE58" i="1"/>
  <c r="AF99" i="1"/>
  <c r="AE99" i="1"/>
  <c r="AG50" i="1"/>
  <c r="AD21" i="1"/>
  <c r="AC21" i="1"/>
  <c r="AH306" i="1"/>
  <c r="AH307" i="1"/>
  <c r="AH305" i="1"/>
  <c r="AH333" i="1"/>
  <c r="AH330" i="1"/>
  <c r="AH321" i="1"/>
  <c r="AH332" i="1"/>
  <c r="AF388" i="1"/>
  <c r="AF385" i="1"/>
  <c r="AF386" i="1"/>
  <c r="AF387" i="1"/>
  <c r="AH396" i="1"/>
  <c r="AH394" i="1"/>
  <c r="AH395" i="1"/>
  <c r="AD396" i="1"/>
  <c r="AC396" i="1"/>
  <c r="AD45" i="1"/>
  <c r="AC45" i="1"/>
  <c r="AF113" i="1"/>
  <c r="AH80" i="1"/>
  <c r="AH79" i="1"/>
  <c r="AE399" i="1"/>
  <c r="AE398" i="1"/>
  <c r="AF399" i="1"/>
  <c r="AF398" i="1"/>
  <c r="AH399" i="1"/>
  <c r="AH398" i="1"/>
  <c r="AC347" i="1"/>
  <c r="AD347" i="1"/>
  <c r="AH55" i="1"/>
  <c r="AH54" i="1"/>
  <c r="AF301" i="1"/>
  <c r="AD39" i="1"/>
  <c r="AC39" i="1"/>
  <c r="AG44" i="1"/>
  <c r="AG43" i="1"/>
  <c r="AH19" i="1"/>
  <c r="AG346" i="1"/>
  <c r="AG336" i="1"/>
  <c r="AG337" i="1"/>
  <c r="AG344" i="1"/>
  <c r="AG345" i="1"/>
  <c r="AF355" i="1"/>
  <c r="AF354" i="1"/>
  <c r="AE354" i="1"/>
  <c r="AE355" i="1"/>
  <c r="AE64" i="1"/>
  <c r="AE63" i="1"/>
  <c r="AG391" i="1"/>
  <c r="AF121" i="1"/>
  <c r="AF120" i="1"/>
  <c r="AH121" i="1"/>
  <c r="AD359" i="1"/>
  <c r="AC359" i="1"/>
  <c r="AE112" i="1"/>
  <c r="AE110" i="1"/>
  <c r="AG84" i="1"/>
  <c r="AG83" i="1"/>
  <c r="AD87" i="1"/>
  <c r="AC87" i="1"/>
  <c r="AC348" i="1"/>
  <c r="AD348" i="1"/>
  <c r="AG181" i="1"/>
  <c r="AD59" i="1"/>
  <c r="AC59" i="1"/>
  <c r="AG99" i="1"/>
  <c r="AH50" i="1"/>
  <c r="AD53" i="1"/>
  <c r="AC53" i="1"/>
  <c r="AE313" i="1"/>
  <c r="AE312" i="1"/>
  <c r="AH313" i="1"/>
  <c r="AH312" i="1"/>
  <c r="AF313" i="1"/>
  <c r="AF312" i="1"/>
  <c r="AG333" i="1"/>
  <c r="AG330" i="1"/>
  <c r="AG321" i="1"/>
  <c r="AG332" i="1"/>
  <c r="AD82" i="1"/>
  <c r="AC82" i="1"/>
  <c r="AG396" i="1"/>
  <c r="AG394" i="1"/>
  <c r="AG395" i="1"/>
  <c r="AE396" i="1"/>
  <c r="AE395" i="1"/>
  <c r="AE394" i="1"/>
  <c r="AF396" i="1"/>
  <c r="AF394" i="1"/>
  <c r="AF395" i="1"/>
  <c r="AD74" i="1"/>
  <c r="AG113" i="1"/>
  <c r="AE113" i="1"/>
  <c r="AD80" i="1"/>
  <c r="AC80" i="1"/>
  <c r="AF80" i="1"/>
  <c r="AF79" i="1"/>
  <c r="AG399" i="1"/>
  <c r="AG398" i="1"/>
  <c r="AC357" i="1"/>
  <c r="AD357" i="1"/>
  <c r="AD55" i="1"/>
  <c r="AC55" i="1"/>
  <c r="AE301" i="1"/>
  <c r="AD85" i="1"/>
  <c r="AC85" i="1"/>
  <c r="AD44" i="1"/>
  <c r="AC44" i="1"/>
  <c r="AD19" i="1"/>
  <c r="AC19" i="1"/>
  <c r="AF19" i="1"/>
  <c r="AE75" i="1"/>
  <c r="AE74" i="1"/>
  <c r="AF346" i="1"/>
  <c r="AF336" i="1"/>
  <c r="AF337" i="1"/>
  <c r="AF344" i="1"/>
  <c r="AF345" i="1"/>
  <c r="AD308" i="1"/>
  <c r="AC308" i="1"/>
  <c r="AD64" i="1"/>
  <c r="AC64" i="1"/>
  <c r="AD314" i="1"/>
  <c r="AC314" i="1"/>
  <c r="AE121" i="1"/>
  <c r="AH110" i="1"/>
  <c r="AH112" i="1"/>
  <c r="AF110" i="1"/>
  <c r="AF112" i="1"/>
  <c r="AD84" i="1"/>
  <c r="AC84" i="1"/>
  <c r="AF84" i="1"/>
  <c r="AF83" i="1"/>
  <c r="AF87" i="1"/>
  <c r="AF86" i="1"/>
  <c r="AC182" i="1"/>
  <c r="AD182" i="1"/>
  <c r="AD181" i="1"/>
  <c r="AC181" i="1"/>
  <c r="AF181" i="1"/>
  <c r="AH59" i="1"/>
  <c r="AH58" i="1"/>
  <c r="AF59" i="1"/>
  <c r="AF58" i="1"/>
  <c r="AD99" i="1"/>
  <c r="AC99" i="1"/>
  <c r="AE50" i="1"/>
  <c r="AD50" i="1"/>
  <c r="AC50" i="1"/>
  <c r="AD47" i="1"/>
  <c r="AC47" i="1"/>
  <c r="AD65" i="1"/>
  <c r="AC65" i="1"/>
  <c r="AD313" i="1"/>
  <c r="AC313" i="1"/>
  <c r="AG305" i="1"/>
  <c r="AG306" i="1"/>
  <c r="AG307" i="1"/>
  <c r="AF306" i="1"/>
  <c r="AF307" i="1"/>
  <c r="AF305" i="1"/>
  <c r="AF333" i="1"/>
  <c r="AF330" i="1"/>
  <c r="AF332" i="1"/>
  <c r="AF321" i="1"/>
  <c r="AC333" i="1"/>
  <c r="AD333" i="1"/>
  <c r="AC388" i="1"/>
  <c r="AD388" i="1"/>
  <c r="AG388" i="1"/>
  <c r="AG385" i="1"/>
  <c r="AG386" i="1"/>
  <c r="AG387" i="1"/>
  <c r="AD51" i="1"/>
  <c r="AC51" i="1"/>
  <c r="AH113" i="1"/>
  <c r="AG80" i="1"/>
  <c r="AG79" i="1"/>
  <c r="AD76" i="1"/>
  <c r="AC76" i="1"/>
  <c r="AE55" i="1"/>
  <c r="AE54" i="1"/>
  <c r="AD301" i="1"/>
  <c r="AC301" i="1"/>
  <c r="AD23" i="1"/>
  <c r="AC23" i="1"/>
  <c r="AE44" i="1"/>
  <c r="AE43" i="1"/>
  <c r="AG19" i="1"/>
  <c r="AG356" i="1"/>
  <c r="AG354" i="1"/>
  <c r="AG355" i="1"/>
  <c r="AH354" i="1"/>
  <c r="AH355" i="1"/>
  <c r="AE346" i="1"/>
  <c r="AE336" i="1"/>
  <c r="AE337" i="1"/>
  <c r="AE344" i="1"/>
  <c r="AE345" i="1"/>
  <c r="AH64" i="1"/>
  <c r="AH63" i="1"/>
  <c r="AD391" i="1"/>
  <c r="AC391" i="1"/>
  <c r="AH391" i="1"/>
  <c r="AD121" i="1"/>
  <c r="AC121" i="1"/>
  <c r="AD78" i="1"/>
  <c r="AC78" i="1"/>
  <c r="AD349" i="1"/>
  <c r="AC349" i="1"/>
  <c r="AG110" i="1"/>
  <c r="AG112" i="1"/>
  <c r="AH84" i="1"/>
  <c r="AH83" i="1"/>
  <c r="AH87" i="1"/>
  <c r="AH86" i="1"/>
  <c r="AD72" i="1"/>
  <c r="AC72" i="1"/>
  <c r="AD66" i="1"/>
  <c r="AC66" i="1"/>
  <c r="AH181" i="1"/>
  <c r="AG59" i="1"/>
  <c r="AG58" i="1"/>
  <c r="AH99" i="1"/>
  <c r="AH88" i="1"/>
  <c r="AF50" i="1"/>
  <c r="AG313" i="1"/>
  <c r="AG312" i="1"/>
  <c r="AD70" i="1"/>
  <c r="AC70" i="1"/>
  <c r="AD307" i="1"/>
  <c r="AC307" i="1"/>
  <c r="AE307" i="1"/>
  <c r="AE306" i="1"/>
  <c r="AE305" i="1"/>
  <c r="AE333" i="1"/>
  <c r="AE330" i="1"/>
  <c r="AE321" i="1"/>
  <c r="AE332" i="1"/>
  <c r="AH388" i="1"/>
  <c r="AH385" i="1"/>
  <c r="AH387" i="1"/>
  <c r="AH386" i="1"/>
  <c r="AE388" i="1"/>
  <c r="AE385" i="1"/>
  <c r="AE386" i="1"/>
  <c r="AE387" i="1"/>
  <c r="AE80" i="1"/>
  <c r="AE79" i="1"/>
  <c r="AC399" i="1"/>
  <c r="AD399" i="1"/>
  <c r="AC389" i="1"/>
  <c r="AD389" i="1"/>
  <c r="AG128" i="1"/>
  <c r="AG34" i="1"/>
  <c r="AE36" i="1"/>
  <c r="AH34" i="1"/>
  <c r="AD34" i="1"/>
  <c r="AF34" i="1"/>
  <c r="AD71" i="1"/>
  <c r="AE34" i="1"/>
  <c r="AF129" i="1"/>
  <c r="AG124" i="1"/>
  <c r="AE67" i="1"/>
  <c r="AF128" i="1"/>
  <c r="AE68" i="1"/>
  <c r="AG129" i="1"/>
  <c r="AE71" i="1"/>
  <c r="AF124" i="1"/>
  <c r="AH14" i="1"/>
  <c r="AH104" i="1"/>
  <c r="I13" i="13"/>
  <c r="I12" i="13"/>
  <c r="P12" i="13"/>
  <c r="J12" i="13"/>
  <c r="AI37" i="1"/>
  <c r="AC37" i="1"/>
  <c r="L13" i="13"/>
  <c r="AC15" i="1"/>
  <c r="AD14" i="1"/>
  <c r="AC29" i="1"/>
  <c r="AD28" i="1"/>
  <c r="AD25" i="1"/>
  <c r="K13" i="13"/>
  <c r="AC36" i="1"/>
  <c r="H12" i="13"/>
  <c r="L12" i="13"/>
  <c r="AI31" i="1"/>
  <c r="AC31" i="1"/>
  <c r="AC130" i="1"/>
  <c r="H11" i="13"/>
  <c r="AD124" i="1"/>
  <c r="AD128" i="1"/>
  <c r="AE104" i="1"/>
  <c r="I11" i="13"/>
  <c r="K12" i="13"/>
  <c r="AI30" i="1"/>
  <c r="AC30" i="1"/>
  <c r="AD33" i="1"/>
  <c r="DR65" i="15" l="1"/>
  <c r="DR9" i="15"/>
  <c r="DR6" i="15"/>
  <c r="DS6" i="15" s="1"/>
  <c r="DR8" i="15"/>
  <c r="DR43" i="15"/>
  <c r="DS43" i="15" s="1"/>
  <c r="DT43" i="15" s="1"/>
  <c r="DR35" i="15"/>
  <c r="DS35" i="15" s="1"/>
  <c r="DT35" i="15" s="1"/>
  <c r="DR66" i="15"/>
  <c r="DS66" i="15" s="1"/>
  <c r="DT66" i="15" s="1"/>
  <c r="DR380" i="15"/>
  <c r="DS380" i="15" s="1"/>
  <c r="DT380" i="15" s="1"/>
  <c r="DR10" i="15"/>
  <c r="DS10" i="15" s="1"/>
  <c r="DT10" i="15" s="1"/>
  <c r="DR14" i="15"/>
  <c r="DS14" i="15" s="1"/>
  <c r="DT14" i="15" s="1"/>
  <c r="DR18" i="15"/>
  <c r="DS18" i="15" s="1"/>
  <c r="DT18" i="15" s="1"/>
  <c r="DR22" i="15"/>
  <c r="DS22" i="15" s="1"/>
  <c r="DT22" i="15" s="1"/>
  <c r="DR26" i="15"/>
  <c r="DS26" i="15" s="1"/>
  <c r="DT26" i="15" s="1"/>
  <c r="DR30" i="15"/>
  <c r="DS30" i="15" s="1"/>
  <c r="DT30" i="15" s="1"/>
  <c r="DR39" i="15"/>
  <c r="DS39" i="15" s="1"/>
  <c r="DT39" i="15" s="1"/>
  <c r="DR44" i="15"/>
  <c r="DS44" i="15" s="1"/>
  <c r="DT44" i="15" s="1"/>
  <c r="DR48" i="15"/>
  <c r="DS48" i="15" s="1"/>
  <c r="DT48" i="15" s="1"/>
  <c r="DR52" i="15"/>
  <c r="DS52" i="15" s="1"/>
  <c r="DT52" i="15" s="1"/>
  <c r="DR56" i="15"/>
  <c r="DS56" i="15" s="1"/>
  <c r="DT56" i="15" s="1"/>
  <c r="DR60" i="15"/>
  <c r="DS60" i="15" s="1"/>
  <c r="DT60" i="15" s="1"/>
  <c r="DR69" i="15"/>
  <c r="DS69" i="15" s="1"/>
  <c r="DT69" i="15" s="1"/>
  <c r="DR73" i="15"/>
  <c r="DS73" i="15" s="1"/>
  <c r="DT73" i="15" s="1"/>
  <c r="DR77" i="15"/>
  <c r="DS77" i="15" s="1"/>
  <c r="DT77" i="15" s="1"/>
  <c r="DR81" i="15"/>
  <c r="DS81" i="15" s="1"/>
  <c r="DT81" i="15" s="1"/>
  <c r="DR86" i="15"/>
  <c r="DS86" i="15" s="1"/>
  <c r="DT86" i="15" s="1"/>
  <c r="DR90" i="15"/>
  <c r="DS90" i="15" s="1"/>
  <c r="DT90" i="15" s="1"/>
  <c r="DR94" i="15"/>
  <c r="DS94" i="15" s="1"/>
  <c r="DT94" i="15" s="1"/>
  <c r="DR99" i="15"/>
  <c r="DS99" i="15" s="1"/>
  <c r="DT99" i="15" s="1"/>
  <c r="DR103" i="15"/>
  <c r="DS103" i="15" s="1"/>
  <c r="DT103" i="15" s="1"/>
  <c r="DR107" i="15"/>
  <c r="DS107" i="15" s="1"/>
  <c r="DT107" i="15" s="1"/>
  <c r="DR111" i="15"/>
  <c r="DS111" i="15" s="1"/>
  <c r="DT111" i="15" s="1"/>
  <c r="DR115" i="15"/>
  <c r="DS115" i="15" s="1"/>
  <c r="DT115" i="15" s="1"/>
  <c r="DR119" i="15"/>
  <c r="DS119" i="15" s="1"/>
  <c r="DT119" i="15" s="1"/>
  <c r="DR123" i="15"/>
  <c r="DS123" i="15" s="1"/>
  <c r="DT123" i="15" s="1"/>
  <c r="DR128" i="15"/>
  <c r="DS128" i="15" s="1"/>
  <c r="DT128" i="15" s="1"/>
  <c r="DR132" i="15"/>
  <c r="DS132" i="15" s="1"/>
  <c r="DT132" i="15" s="1"/>
  <c r="DR136" i="15"/>
  <c r="DS136" i="15" s="1"/>
  <c r="DT136" i="15" s="1"/>
  <c r="DR140" i="15"/>
  <c r="DS140" i="15" s="1"/>
  <c r="DT140" i="15" s="1"/>
  <c r="DR144" i="15"/>
  <c r="DR148" i="15"/>
  <c r="DS148" i="15" s="1"/>
  <c r="DT148" i="15" s="1"/>
  <c r="DR152" i="15"/>
  <c r="DS152" i="15" s="1"/>
  <c r="DT152" i="15" s="1"/>
  <c r="DR156" i="15"/>
  <c r="DS156" i="15" s="1"/>
  <c r="DT156" i="15" s="1"/>
  <c r="DR160" i="15"/>
  <c r="DS160" i="15" s="1"/>
  <c r="DT160" i="15" s="1"/>
  <c r="DR164" i="15"/>
  <c r="DS164" i="15" s="1"/>
  <c r="DT164" i="15" s="1"/>
  <c r="DR169" i="15"/>
  <c r="DS169" i="15" s="1"/>
  <c r="DR173" i="15"/>
  <c r="DS173" i="15" s="1"/>
  <c r="DT173" i="15" s="1"/>
  <c r="DR177" i="15"/>
  <c r="DS177" i="15" s="1"/>
  <c r="DT177" i="15" s="1"/>
  <c r="DR181" i="15"/>
  <c r="DS181" i="15" s="1"/>
  <c r="DT181" i="15" s="1"/>
  <c r="DR185" i="15"/>
  <c r="DS185" i="15" s="1"/>
  <c r="DT185" i="15" s="1"/>
  <c r="DR190" i="15"/>
  <c r="DR194" i="15"/>
  <c r="DS194" i="15" s="1"/>
  <c r="DT194" i="15" s="1"/>
  <c r="DR198" i="15"/>
  <c r="DS198" i="15" s="1"/>
  <c r="DT198" i="15" s="1"/>
  <c r="DR202" i="15"/>
  <c r="DS202" i="15" s="1"/>
  <c r="DT202" i="15" s="1"/>
  <c r="DR206" i="15"/>
  <c r="DS206" i="15" s="1"/>
  <c r="DT206" i="15" s="1"/>
  <c r="DR210" i="15"/>
  <c r="DS210" i="15" s="1"/>
  <c r="DT210" i="15" s="1"/>
  <c r="DR214" i="15"/>
  <c r="DS214" i="15" s="1"/>
  <c r="DT214" i="15" s="1"/>
  <c r="DR219" i="15"/>
  <c r="DR223" i="15"/>
  <c r="DS223" i="15" s="1"/>
  <c r="DT223" i="15" s="1"/>
  <c r="DR227" i="15"/>
  <c r="DS227" i="15" s="1"/>
  <c r="DT227" i="15" s="1"/>
  <c r="DR232" i="15"/>
  <c r="DR236" i="15"/>
  <c r="DS236" i="15" s="1"/>
  <c r="DT236" i="15" s="1"/>
  <c r="DR240" i="15"/>
  <c r="DS240" i="15" s="1"/>
  <c r="DT240" i="15" s="1"/>
  <c r="DR244" i="15"/>
  <c r="DS244" i="15" s="1"/>
  <c r="DT244" i="15" s="1"/>
  <c r="DR248" i="15"/>
  <c r="DS248" i="15" s="1"/>
  <c r="DT248" i="15" s="1"/>
  <c r="DR253" i="15"/>
  <c r="DS253" i="15" s="1"/>
  <c r="DT253" i="15" s="1"/>
  <c r="DR257" i="15"/>
  <c r="DS257" i="15" s="1"/>
  <c r="DT257" i="15" s="1"/>
  <c r="DR261" i="15"/>
  <c r="DS261" i="15" s="1"/>
  <c r="DT261" i="15" s="1"/>
  <c r="DR265" i="15"/>
  <c r="DS265" i="15" s="1"/>
  <c r="DT265" i="15" s="1"/>
  <c r="DR273" i="15"/>
  <c r="DS273" i="15" s="1"/>
  <c r="DT273" i="15" s="1"/>
  <c r="DR277" i="15"/>
  <c r="DS277" i="15" s="1"/>
  <c r="DT277" i="15" s="1"/>
  <c r="DR281" i="15"/>
  <c r="DS281" i="15" s="1"/>
  <c r="DT281" i="15" s="1"/>
  <c r="DR285" i="15"/>
  <c r="DS285" i="15" s="1"/>
  <c r="DT285" i="15" s="1"/>
  <c r="DR289" i="15"/>
  <c r="DS289" i="15" s="1"/>
  <c r="DT289" i="15" s="1"/>
  <c r="DR293" i="15"/>
  <c r="DS293" i="15" s="1"/>
  <c r="DT293" i="15" s="1"/>
  <c r="DR297" i="15"/>
  <c r="DS297" i="15" s="1"/>
  <c r="DT297" i="15" s="1"/>
  <c r="DR302" i="15"/>
  <c r="DS302" i="15" s="1"/>
  <c r="DT302" i="15" s="1"/>
  <c r="DR306" i="15"/>
  <c r="DS306" i="15" s="1"/>
  <c r="DT306" i="15" s="1"/>
  <c r="DR310" i="15"/>
  <c r="DS310" i="15" s="1"/>
  <c r="DT310" i="15" s="1"/>
  <c r="DR314" i="15"/>
  <c r="DS314" i="15" s="1"/>
  <c r="DT314" i="15" s="1"/>
  <c r="DR318" i="15"/>
  <c r="DS318" i="15" s="1"/>
  <c r="DT318" i="15" s="1"/>
  <c r="DR322" i="15"/>
  <c r="DS322" i="15" s="1"/>
  <c r="DT322" i="15" s="1"/>
  <c r="DR327" i="15"/>
  <c r="DS327" i="15" s="1"/>
  <c r="DT327" i="15" s="1"/>
  <c r="DR331" i="15"/>
  <c r="DS331" i="15" s="1"/>
  <c r="DT331" i="15" s="1"/>
  <c r="DR335" i="15"/>
  <c r="DS335" i="15" s="1"/>
  <c r="DT335" i="15" s="1"/>
  <c r="DR339" i="15"/>
  <c r="DS339" i="15" s="1"/>
  <c r="DT339" i="15" s="1"/>
  <c r="DR343" i="15"/>
  <c r="DS343" i="15" s="1"/>
  <c r="DT343" i="15" s="1"/>
  <c r="DR347" i="15"/>
  <c r="DS347" i="15" s="1"/>
  <c r="DT347" i="15" s="1"/>
  <c r="DR351" i="15"/>
  <c r="DS351" i="15" s="1"/>
  <c r="DT351" i="15" s="1"/>
  <c r="DR355" i="15"/>
  <c r="DS355" i="15" s="1"/>
  <c r="DT355" i="15" s="1"/>
  <c r="DR359" i="15"/>
  <c r="DS359" i="15" s="1"/>
  <c r="DT359" i="15" s="1"/>
  <c r="DR11" i="15"/>
  <c r="DS11" i="15" s="1"/>
  <c r="DT11" i="15" s="1"/>
  <c r="DR15" i="15"/>
  <c r="DS15" i="15" s="1"/>
  <c r="DT15" i="15" s="1"/>
  <c r="DR19" i="15"/>
  <c r="DS19" i="15" s="1"/>
  <c r="DT19" i="15" s="1"/>
  <c r="DR23" i="15"/>
  <c r="DS23" i="15" s="1"/>
  <c r="DT23" i="15" s="1"/>
  <c r="DR27" i="15"/>
  <c r="DS27" i="15" s="1"/>
  <c r="DT27" i="15" s="1"/>
  <c r="DR31" i="15"/>
  <c r="DS31" i="15" s="1"/>
  <c r="DT31" i="15" s="1"/>
  <c r="DR36" i="15"/>
  <c r="DS36" i="15" s="1"/>
  <c r="DT36" i="15" s="1"/>
  <c r="DR40" i="15"/>
  <c r="DS40" i="15" s="1"/>
  <c r="DT40" i="15" s="1"/>
  <c r="DR45" i="15"/>
  <c r="DS45" i="15" s="1"/>
  <c r="DT45" i="15" s="1"/>
  <c r="DR49" i="15"/>
  <c r="DS49" i="15" s="1"/>
  <c r="DT49" i="15" s="1"/>
  <c r="DR53" i="15"/>
  <c r="DS53" i="15" s="1"/>
  <c r="DT53" i="15" s="1"/>
  <c r="DR57" i="15"/>
  <c r="DS57" i="15" s="1"/>
  <c r="DT57" i="15" s="1"/>
  <c r="DR61" i="15"/>
  <c r="DS61" i="15" s="1"/>
  <c r="DT61" i="15" s="1"/>
  <c r="DR70" i="15"/>
  <c r="DS70" i="15" s="1"/>
  <c r="DT70" i="15" s="1"/>
  <c r="DR74" i="15"/>
  <c r="DS74" i="15" s="1"/>
  <c r="DT74" i="15" s="1"/>
  <c r="DR78" i="15"/>
  <c r="DS78" i="15" s="1"/>
  <c r="DT78" i="15" s="1"/>
  <c r="DR83" i="15"/>
  <c r="DR87" i="15"/>
  <c r="DS87" i="15" s="1"/>
  <c r="DT87" i="15" s="1"/>
  <c r="DR91" i="15"/>
  <c r="DS91" i="15" s="1"/>
  <c r="DT91" i="15" s="1"/>
  <c r="DR95" i="15"/>
  <c r="DS95" i="15" s="1"/>
  <c r="DT95" i="15" s="1"/>
  <c r="DR100" i="15"/>
  <c r="DS100" i="15" s="1"/>
  <c r="DT100" i="15" s="1"/>
  <c r="DR104" i="15"/>
  <c r="DS104" i="15" s="1"/>
  <c r="DT104" i="15" s="1"/>
  <c r="DR108" i="15"/>
  <c r="DS108" i="15" s="1"/>
  <c r="DT108" i="15" s="1"/>
  <c r="DR112" i="15"/>
  <c r="DS112" i="15" s="1"/>
  <c r="DT112" i="15" s="1"/>
  <c r="DR116" i="15"/>
  <c r="DS116" i="15" s="1"/>
  <c r="DT116" i="15" s="1"/>
  <c r="DR120" i="15"/>
  <c r="DS120" i="15" s="1"/>
  <c r="DT120" i="15" s="1"/>
  <c r="DR125" i="15"/>
  <c r="DR129" i="15"/>
  <c r="DS129" i="15" s="1"/>
  <c r="DT129" i="15" s="1"/>
  <c r="DR133" i="15"/>
  <c r="DS133" i="15" s="1"/>
  <c r="DT133" i="15" s="1"/>
  <c r="DR137" i="15"/>
  <c r="DS137" i="15" s="1"/>
  <c r="DT137" i="15" s="1"/>
  <c r="DR141" i="15"/>
  <c r="DS141" i="15" s="1"/>
  <c r="DT141" i="15" s="1"/>
  <c r="DR145" i="15"/>
  <c r="DR149" i="15"/>
  <c r="DS149" i="15" s="1"/>
  <c r="DT149" i="15" s="1"/>
  <c r="DR153" i="15"/>
  <c r="DS153" i="15" s="1"/>
  <c r="DT153" i="15" s="1"/>
  <c r="DR157" i="15"/>
  <c r="DS157" i="15" s="1"/>
  <c r="DT157" i="15" s="1"/>
  <c r="DR161" i="15"/>
  <c r="DS161" i="15" s="1"/>
  <c r="DT161" i="15" s="1"/>
  <c r="DR165" i="15"/>
  <c r="DS165" i="15" s="1"/>
  <c r="DT165" i="15" s="1"/>
  <c r="DR170" i="15"/>
  <c r="DS170" i="15" s="1"/>
  <c r="DT170" i="15" s="1"/>
  <c r="DR174" i="15"/>
  <c r="DS174" i="15" s="1"/>
  <c r="DT174" i="15" s="1"/>
  <c r="DR178" i="15"/>
  <c r="DS178" i="15" s="1"/>
  <c r="DT178" i="15" s="1"/>
  <c r="DR182" i="15"/>
  <c r="DS182" i="15" s="1"/>
  <c r="DT182" i="15" s="1"/>
  <c r="DR186" i="15"/>
  <c r="DS186" i="15" s="1"/>
  <c r="DT186" i="15" s="1"/>
  <c r="DR191" i="15"/>
  <c r="DS191" i="15" s="1"/>
  <c r="DR195" i="15"/>
  <c r="DS195" i="15" s="1"/>
  <c r="DT195" i="15" s="1"/>
  <c r="DR199" i="15"/>
  <c r="DS199" i="15" s="1"/>
  <c r="DT199" i="15" s="1"/>
  <c r="DR203" i="15"/>
  <c r="DS203" i="15" s="1"/>
  <c r="DT203" i="15" s="1"/>
  <c r="DR207" i="15"/>
  <c r="DS207" i="15" s="1"/>
  <c r="DT207" i="15" s="1"/>
  <c r="DR211" i="15"/>
  <c r="DS211" i="15" s="1"/>
  <c r="DT211" i="15" s="1"/>
  <c r="DR215" i="15"/>
  <c r="DS215" i="15" s="1"/>
  <c r="DT215" i="15" s="1"/>
  <c r="DR220" i="15"/>
  <c r="DS220" i="15" s="1"/>
  <c r="DR224" i="15"/>
  <c r="DS224" i="15" s="1"/>
  <c r="DT224" i="15" s="1"/>
  <c r="DR228" i="15"/>
  <c r="DS228" i="15" s="1"/>
  <c r="DT228" i="15" s="1"/>
  <c r="DR233" i="15"/>
  <c r="DS233" i="15" s="1"/>
  <c r="DR237" i="15"/>
  <c r="DS237" i="15" s="1"/>
  <c r="DT237" i="15" s="1"/>
  <c r="DR241" i="15"/>
  <c r="DS241" i="15" s="1"/>
  <c r="DT241" i="15" s="1"/>
  <c r="DR245" i="15"/>
  <c r="DS245" i="15" s="1"/>
  <c r="DT245" i="15" s="1"/>
  <c r="DR249" i="15"/>
  <c r="DS249" i="15" s="1"/>
  <c r="DT249" i="15" s="1"/>
  <c r="DR254" i="15"/>
  <c r="DS254" i="15" s="1"/>
  <c r="DT254" i="15" s="1"/>
  <c r="DR258" i="15"/>
  <c r="DS258" i="15" s="1"/>
  <c r="DT258" i="15" s="1"/>
  <c r="DR262" i="15"/>
  <c r="DS262" i="15" s="1"/>
  <c r="DT262" i="15" s="1"/>
  <c r="DR266" i="15"/>
  <c r="DS266" i="15" s="1"/>
  <c r="DT266" i="15" s="1"/>
  <c r="DR270" i="15"/>
  <c r="DR275" i="15"/>
  <c r="DS275" i="15" s="1"/>
  <c r="DT275" i="15" s="1"/>
  <c r="DR278" i="15"/>
  <c r="DS278" i="15" s="1"/>
  <c r="DT278" i="15" s="1"/>
  <c r="DR282" i="15"/>
  <c r="DS282" i="15" s="1"/>
  <c r="DT282" i="15" s="1"/>
  <c r="DR286" i="15"/>
  <c r="DS286" i="15" s="1"/>
  <c r="DT286" i="15" s="1"/>
  <c r="DR290" i="15"/>
  <c r="DS290" i="15" s="1"/>
  <c r="DT290" i="15" s="1"/>
  <c r="DR294" i="15"/>
  <c r="DS294" i="15" s="1"/>
  <c r="DT294" i="15" s="1"/>
  <c r="DR298" i="15"/>
  <c r="DS298" i="15" s="1"/>
  <c r="DT298" i="15" s="1"/>
  <c r="DR303" i="15"/>
  <c r="DS303" i="15" s="1"/>
  <c r="DT303" i="15" s="1"/>
  <c r="DR307" i="15"/>
  <c r="DS307" i="15" s="1"/>
  <c r="DT307" i="15" s="1"/>
  <c r="DR311" i="15"/>
  <c r="DS311" i="15" s="1"/>
  <c r="DT311" i="15" s="1"/>
  <c r="DR315" i="15"/>
  <c r="DS315" i="15" s="1"/>
  <c r="DT315" i="15" s="1"/>
  <c r="DR319" i="15"/>
  <c r="DS319" i="15" s="1"/>
  <c r="DT319" i="15" s="1"/>
  <c r="DR323" i="15"/>
  <c r="DS323" i="15" s="1"/>
  <c r="DT323" i="15" s="1"/>
  <c r="DR328" i="15"/>
  <c r="DS328" i="15" s="1"/>
  <c r="DT328" i="15" s="1"/>
  <c r="DR332" i="15"/>
  <c r="DS332" i="15" s="1"/>
  <c r="DT332" i="15" s="1"/>
  <c r="DR336" i="15"/>
  <c r="DS336" i="15" s="1"/>
  <c r="DT336" i="15" s="1"/>
  <c r="DR340" i="15"/>
  <c r="DS340" i="15" s="1"/>
  <c r="DT340" i="15" s="1"/>
  <c r="DR344" i="15"/>
  <c r="DS344" i="15" s="1"/>
  <c r="DT344" i="15" s="1"/>
  <c r="DR348" i="15"/>
  <c r="DS348" i="15" s="1"/>
  <c r="DT348" i="15" s="1"/>
  <c r="DR352" i="15"/>
  <c r="DS352" i="15" s="1"/>
  <c r="DT352" i="15" s="1"/>
  <c r="DR356" i="15"/>
  <c r="DS356" i="15" s="1"/>
  <c r="DT356" i="15" s="1"/>
  <c r="DR360" i="15"/>
  <c r="DS360" i="15" s="1"/>
  <c r="DT360" i="15" s="1"/>
  <c r="DR12" i="15"/>
  <c r="DS12" i="15" s="1"/>
  <c r="DT12" i="15" s="1"/>
  <c r="DR16" i="15"/>
  <c r="DS16" i="15" s="1"/>
  <c r="DT16" i="15" s="1"/>
  <c r="DR20" i="15"/>
  <c r="DS20" i="15" s="1"/>
  <c r="DT20" i="15" s="1"/>
  <c r="DR24" i="15"/>
  <c r="DS24" i="15" s="1"/>
  <c r="DT24" i="15" s="1"/>
  <c r="DR28" i="15"/>
  <c r="DS28" i="15" s="1"/>
  <c r="DT28" i="15" s="1"/>
  <c r="DR32" i="15"/>
  <c r="DS32" i="15" s="1"/>
  <c r="DT32" i="15" s="1"/>
  <c r="DR37" i="15"/>
  <c r="DS37" i="15" s="1"/>
  <c r="DT37" i="15" s="1"/>
  <c r="DR42" i="15"/>
  <c r="DR46" i="15"/>
  <c r="DS46" i="15" s="1"/>
  <c r="DT46" i="15" s="1"/>
  <c r="DR50" i="15"/>
  <c r="DS50" i="15" s="1"/>
  <c r="DT50" i="15" s="1"/>
  <c r="DR54" i="15"/>
  <c r="DS54" i="15" s="1"/>
  <c r="DT54" i="15" s="1"/>
  <c r="DR58" i="15"/>
  <c r="DS58" i="15" s="1"/>
  <c r="DT58" i="15" s="1"/>
  <c r="DR62" i="15"/>
  <c r="DS62" i="15" s="1"/>
  <c r="DT62" i="15" s="1"/>
  <c r="DR67" i="15"/>
  <c r="DS67" i="15" s="1"/>
  <c r="DT67" i="15" s="1"/>
  <c r="DR71" i="15"/>
  <c r="DS71" i="15" s="1"/>
  <c r="DT71" i="15" s="1"/>
  <c r="DR75" i="15"/>
  <c r="DS75" i="15" s="1"/>
  <c r="DT75" i="15" s="1"/>
  <c r="DR79" i="15"/>
  <c r="DS79" i="15" s="1"/>
  <c r="DT79" i="15" s="1"/>
  <c r="DR84" i="15"/>
  <c r="DS84" i="15" s="1"/>
  <c r="DT84" i="15" s="1"/>
  <c r="DR88" i="15"/>
  <c r="DS88" i="15" s="1"/>
  <c r="DT88" i="15" s="1"/>
  <c r="DR93" i="15"/>
  <c r="DS93" i="15" s="1"/>
  <c r="DT93" i="15" s="1"/>
  <c r="DR96" i="15"/>
  <c r="DS96" i="15" s="1"/>
  <c r="DT96" i="15" s="1"/>
  <c r="DR101" i="15"/>
  <c r="DS101" i="15" s="1"/>
  <c r="DT101" i="15" s="1"/>
  <c r="DR105" i="15"/>
  <c r="DS105" i="15" s="1"/>
  <c r="DT105" i="15" s="1"/>
  <c r="DR109" i="15"/>
  <c r="DS109" i="15" s="1"/>
  <c r="DT109" i="15" s="1"/>
  <c r="DR113" i="15"/>
  <c r="DS113" i="15" s="1"/>
  <c r="DT113" i="15" s="1"/>
  <c r="DR117" i="15"/>
  <c r="DS117" i="15" s="1"/>
  <c r="DT117" i="15" s="1"/>
  <c r="DR121" i="15"/>
  <c r="DS121" i="15" s="1"/>
  <c r="DT121" i="15" s="1"/>
  <c r="DR126" i="15"/>
  <c r="DS126" i="15" s="1"/>
  <c r="DT126" i="15" s="1"/>
  <c r="DR130" i="15"/>
  <c r="DS130" i="15" s="1"/>
  <c r="DT130" i="15" s="1"/>
  <c r="DR134" i="15"/>
  <c r="DS134" i="15" s="1"/>
  <c r="DT134" i="15" s="1"/>
  <c r="DR138" i="15"/>
  <c r="DS138" i="15" s="1"/>
  <c r="DT138" i="15" s="1"/>
  <c r="DR142" i="15"/>
  <c r="DS142" i="15" s="1"/>
  <c r="DT142" i="15" s="1"/>
  <c r="DR146" i="15"/>
  <c r="DS146" i="15" s="1"/>
  <c r="DT146" i="15" s="1"/>
  <c r="DR150" i="15"/>
  <c r="DS150" i="15" s="1"/>
  <c r="DT150" i="15" s="1"/>
  <c r="DR154" i="15"/>
  <c r="DS154" i="15" s="1"/>
  <c r="DT154" i="15" s="1"/>
  <c r="DR158" i="15"/>
  <c r="DS158" i="15" s="1"/>
  <c r="DT158" i="15" s="1"/>
  <c r="DR162" i="15"/>
  <c r="DS162" i="15" s="1"/>
  <c r="DT162" i="15" s="1"/>
  <c r="DR166" i="15"/>
  <c r="DS166" i="15" s="1"/>
  <c r="DT166" i="15" s="1"/>
  <c r="DR171" i="15"/>
  <c r="DS171" i="15" s="1"/>
  <c r="DT171" i="15" s="1"/>
  <c r="DR175" i="15"/>
  <c r="DS175" i="15" s="1"/>
  <c r="DT175" i="15" s="1"/>
  <c r="DR179" i="15"/>
  <c r="DS179" i="15" s="1"/>
  <c r="DT179" i="15" s="1"/>
  <c r="DR183" i="15"/>
  <c r="DS183" i="15" s="1"/>
  <c r="DT183" i="15" s="1"/>
  <c r="DR187" i="15"/>
  <c r="DS187" i="15" s="1"/>
  <c r="DT187" i="15" s="1"/>
  <c r="DR192" i="15"/>
  <c r="DS192" i="15" s="1"/>
  <c r="DT192" i="15" s="1"/>
  <c r="DR196" i="15"/>
  <c r="DS196" i="15" s="1"/>
  <c r="DT196" i="15" s="1"/>
  <c r="DR200" i="15"/>
  <c r="DS200" i="15" s="1"/>
  <c r="DT200" i="15" s="1"/>
  <c r="DR204" i="15"/>
  <c r="DS204" i="15" s="1"/>
  <c r="DT204" i="15" s="1"/>
  <c r="DR208" i="15"/>
  <c r="DS208" i="15" s="1"/>
  <c r="DT208" i="15" s="1"/>
  <c r="DR212" i="15"/>
  <c r="DS212" i="15" s="1"/>
  <c r="DT212" i="15" s="1"/>
  <c r="DR216" i="15"/>
  <c r="DS216" i="15" s="1"/>
  <c r="DT216" i="15" s="1"/>
  <c r="DR221" i="15"/>
  <c r="DS221" i="15" s="1"/>
  <c r="DT221" i="15" s="1"/>
  <c r="DR225" i="15"/>
  <c r="DS225" i="15" s="1"/>
  <c r="DT225" i="15" s="1"/>
  <c r="DR229" i="15"/>
  <c r="DS229" i="15" s="1"/>
  <c r="DT229" i="15" s="1"/>
  <c r="DR234" i="15"/>
  <c r="DS234" i="15" s="1"/>
  <c r="DT234" i="15" s="1"/>
  <c r="DR238" i="15"/>
  <c r="DS238" i="15" s="1"/>
  <c r="DT238" i="15" s="1"/>
  <c r="DR242" i="15"/>
  <c r="DS242" i="15" s="1"/>
  <c r="DT242" i="15" s="1"/>
  <c r="DR246" i="15"/>
  <c r="DS246" i="15" s="1"/>
  <c r="DT246" i="15" s="1"/>
  <c r="DR251" i="15"/>
  <c r="DR255" i="15"/>
  <c r="DS255" i="15" s="1"/>
  <c r="DT255" i="15" s="1"/>
  <c r="DR259" i="15"/>
  <c r="DS259" i="15" s="1"/>
  <c r="DT259" i="15" s="1"/>
  <c r="DR263" i="15"/>
  <c r="DS263" i="15" s="1"/>
  <c r="DT263" i="15" s="1"/>
  <c r="DR267" i="15"/>
  <c r="DS267" i="15" s="1"/>
  <c r="DT267" i="15" s="1"/>
  <c r="DR271" i="15"/>
  <c r="DR274" i="15"/>
  <c r="DS274" i="15" s="1"/>
  <c r="DT274" i="15" s="1"/>
  <c r="DR279" i="15"/>
  <c r="DS279" i="15" s="1"/>
  <c r="DT279" i="15" s="1"/>
  <c r="DR283" i="15"/>
  <c r="DS283" i="15" s="1"/>
  <c r="DT283" i="15" s="1"/>
  <c r="DR287" i="15"/>
  <c r="DS287" i="15" s="1"/>
  <c r="DT287" i="15" s="1"/>
  <c r="DR291" i="15"/>
  <c r="DS291" i="15" s="1"/>
  <c r="DT291" i="15" s="1"/>
  <c r="DR295" i="15"/>
  <c r="DS295" i="15" s="1"/>
  <c r="DT295" i="15" s="1"/>
  <c r="DR300" i="15"/>
  <c r="DR304" i="15"/>
  <c r="DS304" i="15" s="1"/>
  <c r="DT304" i="15" s="1"/>
  <c r="DR308" i="15"/>
  <c r="DS308" i="15" s="1"/>
  <c r="DT308" i="15" s="1"/>
  <c r="DR312" i="15"/>
  <c r="DS312" i="15" s="1"/>
  <c r="DT312" i="15" s="1"/>
  <c r="DR316" i="15"/>
  <c r="DS316" i="15" s="1"/>
  <c r="DT316" i="15" s="1"/>
  <c r="DR320" i="15"/>
  <c r="DS320" i="15" s="1"/>
  <c r="DT320" i="15" s="1"/>
  <c r="DR325" i="15"/>
  <c r="DR329" i="15"/>
  <c r="DS329" i="15" s="1"/>
  <c r="DT329" i="15" s="1"/>
  <c r="DR333" i="15"/>
  <c r="DS333" i="15" s="1"/>
  <c r="DT333" i="15" s="1"/>
  <c r="DR337" i="15"/>
  <c r="DS337" i="15" s="1"/>
  <c r="DT337" i="15" s="1"/>
  <c r="DR341" i="15"/>
  <c r="DS341" i="15" s="1"/>
  <c r="DT341" i="15" s="1"/>
  <c r="DR345" i="15"/>
  <c r="DS345" i="15" s="1"/>
  <c r="DT345" i="15" s="1"/>
  <c r="DR349" i="15"/>
  <c r="DS349" i="15" s="1"/>
  <c r="DT349" i="15" s="1"/>
  <c r="DR353" i="15"/>
  <c r="DS353" i="15" s="1"/>
  <c r="DT353" i="15" s="1"/>
  <c r="DR357" i="15"/>
  <c r="DS357" i="15" s="1"/>
  <c r="DT357" i="15" s="1"/>
  <c r="DR361" i="15"/>
  <c r="DS361" i="15" s="1"/>
  <c r="DT361" i="15" s="1"/>
  <c r="DR13" i="15"/>
  <c r="DS13" i="15" s="1"/>
  <c r="DT13" i="15" s="1"/>
  <c r="DR29" i="15"/>
  <c r="DS29" i="15" s="1"/>
  <c r="DT29" i="15" s="1"/>
  <c r="DR47" i="15"/>
  <c r="DS47" i="15" s="1"/>
  <c r="DT47" i="15" s="1"/>
  <c r="DR63" i="15"/>
  <c r="DS63" i="15" s="1"/>
  <c r="DT63" i="15" s="1"/>
  <c r="DR80" i="15"/>
  <c r="DS80" i="15" s="1"/>
  <c r="DT80" i="15" s="1"/>
  <c r="DR98" i="15"/>
  <c r="DR114" i="15"/>
  <c r="DS114" i="15" s="1"/>
  <c r="DT114" i="15" s="1"/>
  <c r="DR131" i="15"/>
  <c r="DS131" i="15" s="1"/>
  <c r="DT131" i="15" s="1"/>
  <c r="DR147" i="15"/>
  <c r="DS147" i="15" s="1"/>
  <c r="DT147" i="15" s="1"/>
  <c r="DR163" i="15"/>
  <c r="DS163" i="15" s="1"/>
  <c r="DT163" i="15" s="1"/>
  <c r="DR180" i="15"/>
  <c r="DS180" i="15" s="1"/>
  <c r="DT180" i="15" s="1"/>
  <c r="DR197" i="15"/>
  <c r="DS197" i="15" s="1"/>
  <c r="DT197" i="15" s="1"/>
  <c r="DR213" i="15"/>
  <c r="DS213" i="15" s="1"/>
  <c r="DT213" i="15" s="1"/>
  <c r="DR230" i="15"/>
  <c r="DS230" i="15" s="1"/>
  <c r="DT230" i="15" s="1"/>
  <c r="DR247" i="15"/>
  <c r="DS247" i="15" s="1"/>
  <c r="DT247" i="15" s="1"/>
  <c r="DR264" i="15"/>
  <c r="DS264" i="15" s="1"/>
  <c r="DT264" i="15" s="1"/>
  <c r="DR280" i="15"/>
  <c r="DS280" i="15" s="1"/>
  <c r="DT280" i="15" s="1"/>
  <c r="DR296" i="15"/>
  <c r="DS296" i="15" s="1"/>
  <c r="DT296" i="15" s="1"/>
  <c r="DR313" i="15"/>
  <c r="DS313" i="15" s="1"/>
  <c r="DT313" i="15" s="1"/>
  <c r="DR330" i="15"/>
  <c r="DS330" i="15" s="1"/>
  <c r="DT330" i="15" s="1"/>
  <c r="DR346" i="15"/>
  <c r="DS346" i="15" s="1"/>
  <c r="DT346" i="15" s="1"/>
  <c r="DR362" i="15"/>
  <c r="DS362" i="15" s="1"/>
  <c r="DT362" i="15" s="1"/>
  <c r="DR366" i="15"/>
  <c r="DS366" i="15" s="1"/>
  <c r="DT366" i="15" s="1"/>
  <c r="DR371" i="15"/>
  <c r="DR375" i="15"/>
  <c r="DS375" i="15" s="1"/>
  <c r="DT375" i="15" s="1"/>
  <c r="DR378" i="15"/>
  <c r="DS378" i="15" s="1"/>
  <c r="DT378" i="15" s="1"/>
  <c r="DR383" i="15"/>
  <c r="DS383" i="15" s="1"/>
  <c r="DT383" i="15" s="1"/>
  <c r="DR387" i="15"/>
  <c r="DS387" i="15" s="1"/>
  <c r="DT387" i="15" s="1"/>
  <c r="DR391" i="15"/>
  <c r="DS391" i="15" s="1"/>
  <c r="DT391" i="15" s="1"/>
  <c r="DR395" i="15"/>
  <c r="DS395" i="15" s="1"/>
  <c r="DT395" i="15" s="1"/>
  <c r="DR399" i="15"/>
  <c r="DS399" i="15" s="1"/>
  <c r="DT399" i="15" s="1"/>
  <c r="DR403" i="15"/>
  <c r="DS403" i="15" s="1"/>
  <c r="DT403" i="15" s="1"/>
  <c r="DR408" i="15"/>
  <c r="DS408" i="15" s="1"/>
  <c r="DR412" i="15"/>
  <c r="DS412" i="15" s="1"/>
  <c r="DT412" i="15" s="1"/>
  <c r="DR416" i="15"/>
  <c r="DS416" i="15" s="1"/>
  <c r="DT416" i="15" s="1"/>
  <c r="DR420" i="15"/>
  <c r="DS420" i="15" s="1"/>
  <c r="DT420" i="15" s="1"/>
  <c r="DR424" i="15"/>
  <c r="DS424" i="15" s="1"/>
  <c r="DT424" i="15" s="1"/>
  <c r="DR428" i="15"/>
  <c r="DS428" i="15" s="1"/>
  <c r="DT428" i="15" s="1"/>
  <c r="DR433" i="15"/>
  <c r="DS433" i="15" s="1"/>
  <c r="DT433" i="15" s="1"/>
  <c r="DR437" i="15"/>
  <c r="DS437" i="15" s="1"/>
  <c r="DT437" i="15" s="1"/>
  <c r="DR441" i="15"/>
  <c r="DS441" i="15" s="1"/>
  <c r="DT441" i="15" s="1"/>
  <c r="DR445" i="15"/>
  <c r="DS445" i="15" s="1"/>
  <c r="DT445" i="15" s="1"/>
  <c r="DR449" i="15"/>
  <c r="DS449" i="15" s="1"/>
  <c r="DT449" i="15" s="1"/>
  <c r="DR453" i="15"/>
  <c r="DS453" i="15" s="1"/>
  <c r="DT453" i="15" s="1"/>
  <c r="DR458" i="15"/>
  <c r="DS458" i="15" s="1"/>
  <c r="DT458" i="15" s="1"/>
  <c r="DR462" i="15"/>
  <c r="DS462" i="15" s="1"/>
  <c r="DT462" i="15" s="1"/>
  <c r="DR466" i="15"/>
  <c r="DS466" i="15" s="1"/>
  <c r="DT466" i="15" s="1"/>
  <c r="DR474" i="15"/>
  <c r="DS474" i="15" s="1"/>
  <c r="DT474" i="15" s="1"/>
  <c r="DR478" i="15"/>
  <c r="DS478" i="15" s="1"/>
  <c r="DT478" i="15" s="1"/>
  <c r="DR482" i="15"/>
  <c r="DS482" i="15" s="1"/>
  <c r="DT482" i="15" s="1"/>
  <c r="DR486" i="15"/>
  <c r="DS486" i="15" s="1"/>
  <c r="DT486" i="15" s="1"/>
  <c r="DR491" i="15"/>
  <c r="DR495" i="15"/>
  <c r="DS495" i="15" s="1"/>
  <c r="DT495" i="15" s="1"/>
  <c r="DR499" i="15"/>
  <c r="DS499" i="15" s="1"/>
  <c r="DT499" i="15" s="1"/>
  <c r="DR503" i="15"/>
  <c r="DS503" i="15" s="1"/>
  <c r="DT503" i="15" s="1"/>
  <c r="DR507" i="15"/>
  <c r="DS507" i="15" s="1"/>
  <c r="DT507" i="15" s="1"/>
  <c r="DR511" i="15"/>
  <c r="DS511" i="15" s="1"/>
  <c r="DT511" i="15" s="1"/>
  <c r="DR516" i="15"/>
  <c r="DS516" i="15" s="1"/>
  <c r="DT516" i="15" s="1"/>
  <c r="DR520" i="15"/>
  <c r="DS520" i="15" s="1"/>
  <c r="DT520" i="15" s="1"/>
  <c r="DR524" i="15"/>
  <c r="DS524" i="15" s="1"/>
  <c r="DT524" i="15" s="1"/>
  <c r="DR529" i="15"/>
  <c r="DR533" i="15"/>
  <c r="DS533" i="15" s="1"/>
  <c r="DT533" i="15" s="1"/>
  <c r="DR537" i="15"/>
  <c r="DS537" i="15" s="1"/>
  <c r="DT537" i="15" s="1"/>
  <c r="DR541" i="15"/>
  <c r="DS541" i="15" s="1"/>
  <c r="DT541" i="15" s="1"/>
  <c r="DR545" i="15"/>
  <c r="DS545" i="15" s="1"/>
  <c r="DT545" i="15" s="1"/>
  <c r="DR550" i="15"/>
  <c r="DS550" i="15" s="1"/>
  <c r="DT550" i="15" s="1"/>
  <c r="DR554" i="15"/>
  <c r="DS554" i="15" s="1"/>
  <c r="DT554" i="15" s="1"/>
  <c r="DR558" i="15"/>
  <c r="DS558" i="15" s="1"/>
  <c r="DT558" i="15" s="1"/>
  <c r="DR562" i="15"/>
  <c r="DS562" i="15" s="1"/>
  <c r="DT562" i="15" s="1"/>
  <c r="DR566" i="15"/>
  <c r="DS566" i="15" s="1"/>
  <c r="DT566" i="15" s="1"/>
  <c r="DR570" i="15"/>
  <c r="DS570" i="15" s="1"/>
  <c r="DT570" i="15" s="1"/>
  <c r="DR572" i="15"/>
  <c r="DS572" i="15" s="1"/>
  <c r="DT572" i="15" s="1"/>
  <c r="DR578" i="15"/>
  <c r="DR582" i="15"/>
  <c r="DS582" i="15" s="1"/>
  <c r="DT582" i="15" s="1"/>
  <c r="DR586" i="15"/>
  <c r="DS586" i="15" s="1"/>
  <c r="DT586" i="15" s="1"/>
  <c r="DR590" i="15"/>
  <c r="DS590" i="15" s="1"/>
  <c r="DT590" i="15" s="1"/>
  <c r="DR594" i="15"/>
  <c r="DS594" i="15" s="1"/>
  <c r="DT594" i="15" s="1"/>
  <c r="DR598" i="15"/>
  <c r="DS598" i="15" s="1"/>
  <c r="DT598" i="15" s="1"/>
  <c r="DR602" i="15"/>
  <c r="DS602" i="15" s="1"/>
  <c r="DT602" i="15" s="1"/>
  <c r="DR606" i="15"/>
  <c r="DS606" i="15" s="1"/>
  <c r="DT606" i="15" s="1"/>
  <c r="DR611" i="15"/>
  <c r="DR615" i="15"/>
  <c r="DS615" i="15" s="1"/>
  <c r="DT615" i="15" s="1"/>
  <c r="DR619" i="15"/>
  <c r="DS619" i="15" s="1"/>
  <c r="DT619" i="15" s="1"/>
  <c r="DR624" i="15"/>
  <c r="DS624" i="15" s="1"/>
  <c r="DT624" i="15" s="1"/>
  <c r="DR628" i="15"/>
  <c r="DS628" i="15" s="1"/>
  <c r="DT628" i="15" s="1"/>
  <c r="DR632" i="15"/>
  <c r="DS632" i="15" s="1"/>
  <c r="DT632" i="15" s="1"/>
  <c r="DR636" i="15"/>
  <c r="DS636" i="15" s="1"/>
  <c r="DT636" i="15" s="1"/>
  <c r="DR641" i="15"/>
  <c r="DR645" i="15"/>
  <c r="DS645" i="15" s="1"/>
  <c r="DT645" i="15" s="1"/>
  <c r="DR649" i="15"/>
  <c r="DS649" i="15" s="1"/>
  <c r="DT649" i="15" s="1"/>
  <c r="DR653" i="15"/>
  <c r="DS653" i="15" s="1"/>
  <c r="DT653" i="15" s="1"/>
  <c r="DR657" i="15"/>
  <c r="DS657" i="15" s="1"/>
  <c r="DT657" i="15" s="1"/>
  <c r="DR661" i="15"/>
  <c r="DS661" i="15" s="1"/>
  <c r="DT661" i="15" s="1"/>
  <c r="DR665" i="15"/>
  <c r="DS665" i="15" s="1"/>
  <c r="DT665" i="15" s="1"/>
  <c r="DR670" i="15"/>
  <c r="DS670" i="15" s="1"/>
  <c r="DT670" i="15" s="1"/>
  <c r="DR674" i="15"/>
  <c r="DS674" i="15" s="1"/>
  <c r="DT674" i="15" s="1"/>
  <c r="DR678" i="15"/>
  <c r="DS678" i="15" s="1"/>
  <c r="DT678" i="15" s="1"/>
  <c r="DR682" i="15"/>
  <c r="DS682" i="15" s="1"/>
  <c r="DT682" i="15" s="1"/>
  <c r="DR686" i="15"/>
  <c r="DS686" i="15" s="1"/>
  <c r="DT686" i="15" s="1"/>
  <c r="DR691" i="15"/>
  <c r="DS691" i="15" s="1"/>
  <c r="DT691" i="15" s="1"/>
  <c r="DR695" i="15"/>
  <c r="DS695" i="15" s="1"/>
  <c r="DT695" i="15" s="1"/>
  <c r="DR699" i="15"/>
  <c r="DS699" i="15" s="1"/>
  <c r="DT699" i="15" s="1"/>
  <c r="DR703" i="15"/>
  <c r="DS703" i="15" s="1"/>
  <c r="DT703" i="15" s="1"/>
  <c r="DR707" i="15"/>
  <c r="DS707" i="15" s="1"/>
  <c r="DT707" i="15" s="1"/>
  <c r="DR711" i="15"/>
  <c r="DS711" i="15" s="1"/>
  <c r="DT711" i="15" s="1"/>
  <c r="DR715" i="15"/>
  <c r="DS715" i="15" s="1"/>
  <c r="DR719" i="15"/>
  <c r="DS719" i="15" s="1"/>
  <c r="DT719" i="15" s="1"/>
  <c r="DR723" i="15"/>
  <c r="DS723" i="15" s="1"/>
  <c r="DT723" i="15" s="1"/>
  <c r="DR727" i="15"/>
  <c r="DS727" i="15" s="1"/>
  <c r="DT727" i="15" s="1"/>
  <c r="DR732" i="15"/>
  <c r="DR736" i="15"/>
  <c r="DS736" i="15" s="1"/>
  <c r="DT736" i="15" s="1"/>
  <c r="DR740" i="15"/>
  <c r="DS740" i="15" s="1"/>
  <c r="DT740" i="15" s="1"/>
  <c r="DR744" i="15"/>
  <c r="DS744" i="15" s="1"/>
  <c r="DT744" i="15" s="1"/>
  <c r="DR748" i="15"/>
  <c r="DS748" i="15" s="1"/>
  <c r="DT748" i="15" s="1"/>
  <c r="DR752" i="15"/>
  <c r="DS752" i="15" s="1"/>
  <c r="DT752" i="15" s="1"/>
  <c r="DR757" i="15"/>
  <c r="DS757" i="15" s="1"/>
  <c r="DT757" i="15" s="1"/>
  <c r="DR759" i="15"/>
  <c r="DS759" i="15" s="1"/>
  <c r="DT759" i="15" s="1"/>
  <c r="DR763" i="15"/>
  <c r="DS763" i="15" s="1"/>
  <c r="DT763" i="15" s="1"/>
  <c r="DR767" i="15"/>
  <c r="DS767" i="15" s="1"/>
  <c r="DT767" i="15" s="1"/>
  <c r="DR771" i="15"/>
  <c r="DS771" i="15" s="1"/>
  <c r="DT771" i="15" s="1"/>
  <c r="DR778" i="15"/>
  <c r="DS778" i="15" s="1"/>
  <c r="DT778" i="15" s="1"/>
  <c r="DR782" i="15"/>
  <c r="DS782" i="15" s="1"/>
  <c r="DT782" i="15" s="1"/>
  <c r="DR786" i="15"/>
  <c r="DS786" i="15" s="1"/>
  <c r="DT786" i="15" s="1"/>
  <c r="DR790" i="15"/>
  <c r="DS790" i="15" s="1"/>
  <c r="DT790" i="15" s="1"/>
  <c r="DR794" i="15"/>
  <c r="DS794" i="15" s="1"/>
  <c r="DT794" i="15" s="1"/>
  <c r="DR799" i="15"/>
  <c r="DS799" i="15" s="1"/>
  <c r="DT799" i="15" s="1"/>
  <c r="DR803" i="15"/>
  <c r="DS803" i="15" s="1"/>
  <c r="DT803" i="15" s="1"/>
  <c r="DR807" i="15"/>
  <c r="DS807" i="15" s="1"/>
  <c r="DT807" i="15" s="1"/>
  <c r="DR811" i="15"/>
  <c r="DS811" i="15" s="1"/>
  <c r="DT811" i="15" s="1"/>
  <c r="DR815" i="15"/>
  <c r="DS815" i="15" s="1"/>
  <c r="DT815" i="15" s="1"/>
  <c r="DR819" i="15"/>
  <c r="DS819" i="15" s="1"/>
  <c r="DT819" i="15" s="1"/>
  <c r="DR823" i="15"/>
  <c r="DS823" i="15" s="1"/>
  <c r="DT823" i="15" s="1"/>
  <c r="DR828" i="15"/>
  <c r="DR832" i="15"/>
  <c r="DS832" i="15" s="1"/>
  <c r="DT832" i="15" s="1"/>
  <c r="DR836" i="15"/>
  <c r="DS836" i="15" s="1"/>
  <c r="DT836" i="15" s="1"/>
  <c r="DR840" i="15"/>
  <c r="DS840" i="15" s="1"/>
  <c r="DT840" i="15" s="1"/>
  <c r="DR844" i="15"/>
  <c r="DS844" i="15" s="1"/>
  <c r="DT844" i="15" s="1"/>
  <c r="DR848" i="15"/>
  <c r="DS848" i="15" s="1"/>
  <c r="DT848" i="15" s="1"/>
  <c r="DR852" i="15"/>
  <c r="DS852" i="15" s="1"/>
  <c r="DT852" i="15" s="1"/>
  <c r="DR856" i="15"/>
  <c r="DS856" i="15" s="1"/>
  <c r="DT856" i="15" s="1"/>
  <c r="DR860" i="15"/>
  <c r="DS860" i="15" s="1"/>
  <c r="DT860" i="15" s="1"/>
  <c r="DR38" i="15"/>
  <c r="DS38" i="15" s="1"/>
  <c r="DT38" i="15" s="1"/>
  <c r="DR256" i="15"/>
  <c r="DS256" i="15" s="1"/>
  <c r="DT256" i="15" s="1"/>
  <c r="DR305" i="15"/>
  <c r="DS305" i="15" s="1"/>
  <c r="DT305" i="15" s="1"/>
  <c r="DR338" i="15"/>
  <c r="DS338" i="15" s="1"/>
  <c r="DT338" i="15" s="1"/>
  <c r="DR364" i="15"/>
  <c r="DS364" i="15" s="1"/>
  <c r="DT364" i="15" s="1"/>
  <c r="DR373" i="15"/>
  <c r="DS373" i="15" s="1"/>
  <c r="DT373" i="15" s="1"/>
  <c r="DR381" i="15"/>
  <c r="DS381" i="15" s="1"/>
  <c r="DT381" i="15" s="1"/>
  <c r="DR389" i="15"/>
  <c r="DS389" i="15" s="1"/>
  <c r="DT389" i="15" s="1"/>
  <c r="DR397" i="15"/>
  <c r="DS397" i="15" s="1"/>
  <c r="DT397" i="15" s="1"/>
  <c r="DR405" i="15"/>
  <c r="DS405" i="15" s="1"/>
  <c r="DT405" i="15" s="1"/>
  <c r="DR414" i="15"/>
  <c r="DS414" i="15" s="1"/>
  <c r="DT414" i="15" s="1"/>
  <c r="DR422" i="15"/>
  <c r="DS422" i="15" s="1"/>
  <c r="DT422" i="15" s="1"/>
  <c r="DR431" i="15"/>
  <c r="DS431" i="15" s="1"/>
  <c r="DR439" i="15"/>
  <c r="DS439" i="15" s="1"/>
  <c r="DT439" i="15" s="1"/>
  <c r="DR447" i="15"/>
  <c r="DS447" i="15" s="1"/>
  <c r="DT447" i="15" s="1"/>
  <c r="DR456" i="15"/>
  <c r="DS456" i="15" s="1"/>
  <c r="DR17" i="15"/>
  <c r="DS17" i="15" s="1"/>
  <c r="DT17" i="15" s="1"/>
  <c r="DR34" i="15"/>
  <c r="DR51" i="15"/>
  <c r="DS51" i="15" s="1"/>
  <c r="DT51" i="15" s="1"/>
  <c r="DR68" i="15"/>
  <c r="DS68" i="15" s="1"/>
  <c r="DT68" i="15" s="1"/>
  <c r="DR85" i="15"/>
  <c r="DS85" i="15" s="1"/>
  <c r="DT85" i="15" s="1"/>
  <c r="DR102" i="15"/>
  <c r="DS102" i="15" s="1"/>
  <c r="DT102" i="15" s="1"/>
  <c r="DR118" i="15"/>
  <c r="DS118" i="15" s="1"/>
  <c r="DT118" i="15" s="1"/>
  <c r="DR135" i="15"/>
  <c r="DS135" i="15" s="1"/>
  <c r="DT135" i="15" s="1"/>
  <c r="DR151" i="15"/>
  <c r="DS151" i="15" s="1"/>
  <c r="DT151" i="15" s="1"/>
  <c r="DR168" i="15"/>
  <c r="DR184" i="15"/>
  <c r="DS184" i="15" s="1"/>
  <c r="DT184" i="15" s="1"/>
  <c r="DR201" i="15"/>
  <c r="DS201" i="15" s="1"/>
  <c r="DT201" i="15" s="1"/>
  <c r="DR217" i="15"/>
  <c r="DS217" i="15" s="1"/>
  <c r="DT217" i="15" s="1"/>
  <c r="DR235" i="15"/>
  <c r="DS235" i="15" s="1"/>
  <c r="DT235" i="15" s="1"/>
  <c r="DR252" i="15"/>
  <c r="DS252" i="15" s="1"/>
  <c r="DR268" i="15"/>
  <c r="DS268" i="15" s="1"/>
  <c r="DT268" i="15" s="1"/>
  <c r="DR284" i="15"/>
  <c r="DS284" i="15" s="1"/>
  <c r="DT284" i="15" s="1"/>
  <c r="DR301" i="15"/>
  <c r="DS301" i="15" s="1"/>
  <c r="DT301" i="15" s="1"/>
  <c r="DR317" i="15"/>
  <c r="DS317" i="15" s="1"/>
  <c r="DT317" i="15" s="1"/>
  <c r="DR334" i="15"/>
  <c r="DS334" i="15" s="1"/>
  <c r="DT334" i="15" s="1"/>
  <c r="DR350" i="15"/>
  <c r="DS350" i="15" s="1"/>
  <c r="DT350" i="15" s="1"/>
  <c r="DR363" i="15"/>
  <c r="DS363" i="15" s="1"/>
  <c r="DT363" i="15" s="1"/>
  <c r="DR367" i="15"/>
  <c r="DS367" i="15" s="1"/>
  <c r="DT367" i="15" s="1"/>
  <c r="DR372" i="15"/>
  <c r="DS372" i="15" s="1"/>
  <c r="DR376" i="15"/>
  <c r="DS376" i="15" s="1"/>
  <c r="DT376" i="15" s="1"/>
  <c r="DR379" i="15"/>
  <c r="DS379" i="15" s="1"/>
  <c r="DT379" i="15" s="1"/>
  <c r="DR384" i="15"/>
  <c r="DS384" i="15" s="1"/>
  <c r="DT384" i="15" s="1"/>
  <c r="DR388" i="15"/>
  <c r="DS388" i="15" s="1"/>
  <c r="DT388" i="15" s="1"/>
  <c r="DR392" i="15"/>
  <c r="DS392" i="15" s="1"/>
  <c r="DT392" i="15" s="1"/>
  <c r="DR396" i="15"/>
  <c r="DS396" i="15" s="1"/>
  <c r="DT396" i="15" s="1"/>
  <c r="DR400" i="15"/>
  <c r="DS400" i="15" s="1"/>
  <c r="DT400" i="15" s="1"/>
  <c r="DR404" i="15"/>
  <c r="DS404" i="15" s="1"/>
  <c r="DT404" i="15" s="1"/>
  <c r="DR409" i="15"/>
  <c r="DS409" i="15" s="1"/>
  <c r="DT409" i="15" s="1"/>
  <c r="DR413" i="15"/>
  <c r="DS413" i="15" s="1"/>
  <c r="DT413" i="15" s="1"/>
  <c r="DR417" i="15"/>
  <c r="DS417" i="15" s="1"/>
  <c r="DT417" i="15" s="1"/>
  <c r="DR421" i="15"/>
  <c r="DS421" i="15" s="1"/>
  <c r="DT421" i="15" s="1"/>
  <c r="DR425" i="15"/>
  <c r="DS425" i="15" s="1"/>
  <c r="DT425" i="15" s="1"/>
  <c r="DR430" i="15"/>
  <c r="DR434" i="15"/>
  <c r="DS434" i="15" s="1"/>
  <c r="DT434" i="15" s="1"/>
  <c r="DR438" i="15"/>
  <c r="DS438" i="15" s="1"/>
  <c r="DT438" i="15" s="1"/>
  <c r="DR442" i="15"/>
  <c r="DS442" i="15" s="1"/>
  <c r="DT442" i="15" s="1"/>
  <c r="DR446" i="15"/>
  <c r="DS446" i="15" s="1"/>
  <c r="DT446" i="15" s="1"/>
  <c r="DR450" i="15"/>
  <c r="DS450" i="15" s="1"/>
  <c r="DT450" i="15" s="1"/>
  <c r="DR455" i="15"/>
  <c r="DR459" i="15"/>
  <c r="DS459" i="15" s="1"/>
  <c r="DT459" i="15" s="1"/>
  <c r="DR463" i="15"/>
  <c r="DS463" i="15" s="1"/>
  <c r="DT463" i="15" s="1"/>
  <c r="DR467" i="15"/>
  <c r="DS467" i="15" s="1"/>
  <c r="DT467" i="15" s="1"/>
  <c r="DR471" i="15"/>
  <c r="DR475" i="15"/>
  <c r="DS475" i="15" s="1"/>
  <c r="DT475" i="15" s="1"/>
  <c r="DR479" i="15"/>
  <c r="DS479" i="15" s="1"/>
  <c r="DT479" i="15" s="1"/>
  <c r="DR483" i="15"/>
  <c r="DS483" i="15" s="1"/>
  <c r="DT483" i="15" s="1"/>
  <c r="DR487" i="15"/>
  <c r="DS487" i="15" s="1"/>
  <c r="DT487" i="15" s="1"/>
  <c r="DR492" i="15"/>
  <c r="DS492" i="15" s="1"/>
  <c r="DR496" i="15"/>
  <c r="DS496" i="15" s="1"/>
  <c r="DT496" i="15" s="1"/>
  <c r="DR500" i="15"/>
  <c r="DS500" i="15" s="1"/>
  <c r="DT500" i="15" s="1"/>
  <c r="DR504" i="15"/>
  <c r="DS504" i="15" s="1"/>
  <c r="DT504" i="15" s="1"/>
  <c r="DR508" i="15"/>
  <c r="DS508" i="15" s="1"/>
  <c r="DT508" i="15" s="1"/>
  <c r="DR512" i="15"/>
  <c r="DS512" i="15" s="1"/>
  <c r="DT512" i="15" s="1"/>
  <c r="DR517" i="15"/>
  <c r="DS517" i="15" s="1"/>
  <c r="DT517" i="15" s="1"/>
  <c r="DR521" i="15"/>
  <c r="DS521" i="15" s="1"/>
  <c r="DT521" i="15" s="1"/>
  <c r="DR525" i="15"/>
  <c r="DS525" i="15" s="1"/>
  <c r="DT525" i="15" s="1"/>
  <c r="DR530" i="15"/>
  <c r="DS530" i="15" s="1"/>
  <c r="DR534" i="15"/>
  <c r="DS534" i="15" s="1"/>
  <c r="DT534" i="15" s="1"/>
  <c r="DR538" i="15"/>
  <c r="DS538" i="15" s="1"/>
  <c r="DT538" i="15" s="1"/>
  <c r="DR542" i="15"/>
  <c r="DS542" i="15" s="1"/>
  <c r="DT542" i="15" s="1"/>
  <c r="DR546" i="15"/>
  <c r="DS546" i="15" s="1"/>
  <c r="DT546" i="15" s="1"/>
  <c r="DR551" i="15"/>
  <c r="DS551" i="15" s="1"/>
  <c r="DT551" i="15" s="1"/>
  <c r="DR555" i="15"/>
  <c r="DS555" i="15" s="1"/>
  <c r="DT555" i="15" s="1"/>
  <c r="DR559" i="15"/>
  <c r="DS559" i="15" s="1"/>
  <c r="DT559" i="15" s="1"/>
  <c r="DR563" i="15"/>
  <c r="DS563" i="15" s="1"/>
  <c r="DT563" i="15" s="1"/>
  <c r="DR567" i="15"/>
  <c r="DS567" i="15" s="1"/>
  <c r="DT567" i="15" s="1"/>
  <c r="DR571" i="15"/>
  <c r="DS571" i="15" s="1"/>
  <c r="DT571" i="15" s="1"/>
  <c r="DR575" i="15"/>
  <c r="DS575" i="15" s="1"/>
  <c r="DT575" i="15" s="1"/>
  <c r="DR579" i="15"/>
  <c r="DS579" i="15" s="1"/>
  <c r="DR583" i="15"/>
  <c r="DS583" i="15" s="1"/>
  <c r="DT583" i="15" s="1"/>
  <c r="DR587" i="15"/>
  <c r="DS587" i="15" s="1"/>
  <c r="DT587" i="15" s="1"/>
  <c r="DR591" i="15"/>
  <c r="DS591" i="15" s="1"/>
  <c r="DT591" i="15" s="1"/>
  <c r="DR595" i="15"/>
  <c r="DS595" i="15" s="1"/>
  <c r="DT595" i="15" s="1"/>
  <c r="DR599" i="15"/>
  <c r="DS599" i="15" s="1"/>
  <c r="DT599" i="15" s="1"/>
  <c r="DR603" i="15"/>
  <c r="DS603" i="15" s="1"/>
  <c r="DT603" i="15" s="1"/>
  <c r="DR607" i="15"/>
  <c r="DS607" i="15" s="1"/>
  <c r="DT607" i="15" s="1"/>
  <c r="DR612" i="15"/>
  <c r="DS612" i="15" s="1"/>
  <c r="DR616" i="15"/>
  <c r="DS616" i="15" s="1"/>
  <c r="DT616" i="15" s="1"/>
  <c r="DR621" i="15"/>
  <c r="DR625" i="15"/>
  <c r="DS625" i="15" s="1"/>
  <c r="DT625" i="15" s="1"/>
  <c r="DR629" i="15"/>
  <c r="DS629" i="15" s="1"/>
  <c r="DT629" i="15" s="1"/>
  <c r="DR633" i="15"/>
  <c r="DS633" i="15" s="1"/>
  <c r="DT633" i="15" s="1"/>
  <c r="DR637" i="15"/>
  <c r="DS637" i="15" s="1"/>
  <c r="DT637" i="15" s="1"/>
  <c r="DR642" i="15"/>
  <c r="DS642" i="15" s="1"/>
  <c r="DR646" i="15"/>
  <c r="DS646" i="15" s="1"/>
  <c r="DT646" i="15" s="1"/>
  <c r="DR650" i="15"/>
  <c r="DS650" i="15" s="1"/>
  <c r="DT650" i="15" s="1"/>
  <c r="DR654" i="15"/>
  <c r="DS654" i="15" s="1"/>
  <c r="DT654" i="15" s="1"/>
  <c r="DR658" i="15"/>
  <c r="DS658" i="15" s="1"/>
  <c r="DT658" i="15" s="1"/>
  <c r="DR662" i="15"/>
  <c r="DS662" i="15" s="1"/>
  <c r="DT662" i="15" s="1"/>
  <c r="DR666" i="15"/>
  <c r="DS666" i="15" s="1"/>
  <c r="DT666" i="15" s="1"/>
  <c r="DR671" i="15"/>
  <c r="DS671" i="15" s="1"/>
  <c r="DT671" i="15" s="1"/>
  <c r="DR675" i="15"/>
  <c r="DS675" i="15" s="1"/>
  <c r="DT675" i="15" s="1"/>
  <c r="DR679" i="15"/>
  <c r="DS679" i="15" s="1"/>
  <c r="DT679" i="15" s="1"/>
  <c r="DR683" i="15"/>
  <c r="DS683" i="15" s="1"/>
  <c r="DT683" i="15" s="1"/>
  <c r="DR688" i="15"/>
  <c r="DR692" i="15"/>
  <c r="DS692" i="15" s="1"/>
  <c r="DT692" i="15" s="1"/>
  <c r="DR696" i="15"/>
  <c r="DS696" i="15" s="1"/>
  <c r="DT696" i="15" s="1"/>
  <c r="DR700" i="15"/>
  <c r="DS700" i="15" s="1"/>
  <c r="DT700" i="15" s="1"/>
  <c r="DR704" i="15"/>
  <c r="DS704" i="15" s="1"/>
  <c r="DT704" i="15" s="1"/>
  <c r="DR708" i="15"/>
  <c r="DS708" i="15" s="1"/>
  <c r="DT708" i="15" s="1"/>
  <c r="DR716" i="15"/>
  <c r="DS716" i="15" s="1"/>
  <c r="DT716" i="15" s="1"/>
  <c r="DR720" i="15"/>
  <c r="DS720" i="15" s="1"/>
  <c r="DT720" i="15" s="1"/>
  <c r="DR724" i="15"/>
  <c r="DS724" i="15" s="1"/>
  <c r="DT724" i="15" s="1"/>
  <c r="DR728" i="15"/>
  <c r="DS728" i="15" s="1"/>
  <c r="DT728" i="15" s="1"/>
  <c r="DR733" i="15"/>
  <c r="DS733" i="15" s="1"/>
  <c r="DR737" i="15"/>
  <c r="DS737" i="15" s="1"/>
  <c r="DT737" i="15" s="1"/>
  <c r="DR741" i="15"/>
  <c r="DS741" i="15" s="1"/>
  <c r="DT741" i="15" s="1"/>
  <c r="DR745" i="15"/>
  <c r="DS745" i="15" s="1"/>
  <c r="DT745" i="15" s="1"/>
  <c r="DR749" i="15"/>
  <c r="DS749" i="15" s="1"/>
  <c r="DT749" i="15" s="1"/>
  <c r="DR754" i="15"/>
  <c r="DR773" i="15"/>
  <c r="DS773" i="15" s="1"/>
  <c r="DT773" i="15" s="1"/>
  <c r="DR760" i="15"/>
  <c r="DS760" i="15" s="1"/>
  <c r="DT760" i="15" s="1"/>
  <c r="DR764" i="15"/>
  <c r="DS764" i="15" s="1"/>
  <c r="DT764" i="15" s="1"/>
  <c r="DR768" i="15"/>
  <c r="DS768" i="15" s="1"/>
  <c r="DT768" i="15" s="1"/>
  <c r="DR772" i="15"/>
  <c r="DS772" i="15" s="1"/>
  <c r="DT772" i="15" s="1"/>
  <c r="DR779" i="15"/>
  <c r="DS779" i="15" s="1"/>
  <c r="DT779" i="15" s="1"/>
  <c r="DR783" i="15"/>
  <c r="DS783" i="15" s="1"/>
  <c r="DT783" i="15" s="1"/>
  <c r="DR787" i="15"/>
  <c r="DS787" i="15" s="1"/>
  <c r="DT787" i="15" s="1"/>
  <c r="DR791" i="15"/>
  <c r="DS791" i="15" s="1"/>
  <c r="DT791" i="15" s="1"/>
  <c r="DR796" i="15"/>
  <c r="DR800" i="15"/>
  <c r="DS800" i="15" s="1"/>
  <c r="DT800" i="15" s="1"/>
  <c r="DR804" i="15"/>
  <c r="DS804" i="15" s="1"/>
  <c r="DT804" i="15" s="1"/>
  <c r="DR808" i="15"/>
  <c r="DS808" i="15" s="1"/>
  <c r="DT808" i="15" s="1"/>
  <c r="DR812" i="15"/>
  <c r="DS812" i="15" s="1"/>
  <c r="DT812" i="15" s="1"/>
  <c r="DR816" i="15"/>
  <c r="DS816" i="15" s="1"/>
  <c r="DT816" i="15" s="1"/>
  <c r="DR820" i="15"/>
  <c r="DS820" i="15" s="1"/>
  <c r="DT820" i="15" s="1"/>
  <c r="DR824" i="15"/>
  <c r="DS824" i="15" s="1"/>
  <c r="DT824" i="15" s="1"/>
  <c r="DR829" i="15"/>
  <c r="DS829" i="15" s="1"/>
  <c r="DR833" i="15"/>
  <c r="DS833" i="15" s="1"/>
  <c r="DT833" i="15" s="1"/>
  <c r="DR837" i="15"/>
  <c r="DS837" i="15" s="1"/>
  <c r="DT837" i="15" s="1"/>
  <c r="DR841" i="15"/>
  <c r="DS841" i="15" s="1"/>
  <c r="DT841" i="15" s="1"/>
  <c r="DR845" i="15"/>
  <c r="DS845" i="15" s="1"/>
  <c r="DT845" i="15" s="1"/>
  <c r="DR849" i="15"/>
  <c r="DS849" i="15" s="1"/>
  <c r="DT849" i="15" s="1"/>
  <c r="DR853" i="15"/>
  <c r="DS853" i="15" s="1"/>
  <c r="DT853" i="15" s="1"/>
  <c r="DR857" i="15"/>
  <c r="DS857" i="15" s="1"/>
  <c r="DT857" i="15" s="1"/>
  <c r="DR861" i="15"/>
  <c r="DS861" i="15" s="1"/>
  <c r="DT861" i="15" s="1"/>
  <c r="DR21" i="15"/>
  <c r="DS21" i="15" s="1"/>
  <c r="DT21" i="15" s="1"/>
  <c r="DR55" i="15"/>
  <c r="DS55" i="15" s="1"/>
  <c r="DT55" i="15" s="1"/>
  <c r="DR72" i="15"/>
  <c r="DS72" i="15" s="1"/>
  <c r="DT72" i="15" s="1"/>
  <c r="DR89" i="15"/>
  <c r="DS89" i="15" s="1"/>
  <c r="DT89" i="15" s="1"/>
  <c r="DR106" i="15"/>
  <c r="DS106" i="15" s="1"/>
  <c r="DT106" i="15" s="1"/>
  <c r="DR122" i="15"/>
  <c r="DS122" i="15" s="1"/>
  <c r="DT122" i="15" s="1"/>
  <c r="DR139" i="15"/>
  <c r="DS139" i="15" s="1"/>
  <c r="DT139" i="15" s="1"/>
  <c r="DR155" i="15"/>
  <c r="DS155" i="15" s="1"/>
  <c r="DT155" i="15" s="1"/>
  <c r="DR172" i="15"/>
  <c r="DS172" i="15" s="1"/>
  <c r="DT172" i="15" s="1"/>
  <c r="DR188" i="15"/>
  <c r="DS188" i="15" s="1"/>
  <c r="DT188" i="15" s="1"/>
  <c r="DR205" i="15"/>
  <c r="DS205" i="15" s="1"/>
  <c r="DT205" i="15" s="1"/>
  <c r="DR222" i="15"/>
  <c r="DS222" i="15" s="1"/>
  <c r="DT222" i="15" s="1"/>
  <c r="DR239" i="15"/>
  <c r="DS239" i="15" s="1"/>
  <c r="DT239" i="15" s="1"/>
  <c r="DR272" i="15"/>
  <c r="DS272" i="15" s="1"/>
  <c r="DT272" i="15" s="1"/>
  <c r="DR288" i="15"/>
  <c r="DS288" i="15" s="1"/>
  <c r="DT288" i="15" s="1"/>
  <c r="DR321" i="15"/>
  <c r="DS321" i="15" s="1"/>
  <c r="DT321" i="15" s="1"/>
  <c r="DR354" i="15"/>
  <c r="DS354" i="15" s="1"/>
  <c r="DT354" i="15" s="1"/>
  <c r="DR368" i="15"/>
  <c r="DS368" i="15" s="1"/>
  <c r="DT368" i="15" s="1"/>
  <c r="DR377" i="15"/>
  <c r="DS377" i="15" s="1"/>
  <c r="DT377" i="15" s="1"/>
  <c r="DR385" i="15"/>
  <c r="DS385" i="15" s="1"/>
  <c r="DT385" i="15" s="1"/>
  <c r="DR393" i="15"/>
  <c r="DS393" i="15" s="1"/>
  <c r="DT393" i="15" s="1"/>
  <c r="DR401" i="15"/>
  <c r="DS401" i="15" s="1"/>
  <c r="DT401" i="15" s="1"/>
  <c r="DR410" i="15"/>
  <c r="DS410" i="15" s="1"/>
  <c r="DT410" i="15" s="1"/>
  <c r="DR418" i="15"/>
  <c r="DS418" i="15" s="1"/>
  <c r="DT418" i="15" s="1"/>
  <c r="DR426" i="15"/>
  <c r="DS426" i="15" s="1"/>
  <c r="DT426" i="15" s="1"/>
  <c r="DR435" i="15"/>
  <c r="DS435" i="15" s="1"/>
  <c r="DT435" i="15" s="1"/>
  <c r="DR443" i="15"/>
  <c r="DS443" i="15" s="1"/>
  <c r="DT443" i="15" s="1"/>
  <c r="DR451" i="15"/>
  <c r="DS451" i="15" s="1"/>
  <c r="DT451" i="15" s="1"/>
  <c r="DR25" i="15"/>
  <c r="DS25" i="15" s="1"/>
  <c r="DT25" i="15" s="1"/>
  <c r="DR92" i="15"/>
  <c r="DS92" i="15" s="1"/>
  <c r="DT92" i="15" s="1"/>
  <c r="DR159" i="15"/>
  <c r="DS159" i="15" s="1"/>
  <c r="DT159" i="15" s="1"/>
  <c r="DR226" i="15"/>
  <c r="DS226" i="15" s="1"/>
  <c r="DT226" i="15" s="1"/>
  <c r="DR292" i="15"/>
  <c r="DS292" i="15" s="1"/>
  <c r="DT292" i="15" s="1"/>
  <c r="DR358" i="15"/>
  <c r="DS358" i="15" s="1"/>
  <c r="DT358" i="15" s="1"/>
  <c r="DR394" i="15"/>
  <c r="DS394" i="15" s="1"/>
  <c r="DT394" i="15" s="1"/>
  <c r="DR411" i="15"/>
  <c r="DS411" i="15" s="1"/>
  <c r="DT411" i="15" s="1"/>
  <c r="DR427" i="15"/>
  <c r="DS427" i="15" s="1"/>
  <c r="DT427" i="15" s="1"/>
  <c r="DR444" i="15"/>
  <c r="DS444" i="15" s="1"/>
  <c r="DT444" i="15" s="1"/>
  <c r="DR460" i="15"/>
  <c r="DS460" i="15" s="1"/>
  <c r="DT460" i="15" s="1"/>
  <c r="DR468" i="15"/>
  <c r="DS468" i="15" s="1"/>
  <c r="DT468" i="15" s="1"/>
  <c r="DR476" i="15"/>
  <c r="DS476" i="15" s="1"/>
  <c r="DT476" i="15" s="1"/>
  <c r="DR484" i="15"/>
  <c r="DS484" i="15" s="1"/>
  <c r="DT484" i="15" s="1"/>
  <c r="DR493" i="15"/>
  <c r="DS493" i="15" s="1"/>
  <c r="DT493" i="15" s="1"/>
  <c r="DR501" i="15"/>
  <c r="DS501" i="15" s="1"/>
  <c r="DT501" i="15" s="1"/>
  <c r="DR509" i="15"/>
  <c r="DS509" i="15" s="1"/>
  <c r="DT509" i="15" s="1"/>
  <c r="DR518" i="15"/>
  <c r="DS518" i="15" s="1"/>
  <c r="DT518" i="15" s="1"/>
  <c r="DR526" i="15"/>
  <c r="DS526" i="15" s="1"/>
  <c r="DT526" i="15" s="1"/>
  <c r="DR535" i="15"/>
  <c r="DS535" i="15" s="1"/>
  <c r="DT535" i="15" s="1"/>
  <c r="DR543" i="15"/>
  <c r="DS543" i="15" s="1"/>
  <c r="DT543" i="15" s="1"/>
  <c r="DR552" i="15"/>
  <c r="DS552" i="15" s="1"/>
  <c r="DT552" i="15" s="1"/>
  <c r="DR560" i="15"/>
  <c r="DS560" i="15" s="1"/>
  <c r="DT560" i="15" s="1"/>
  <c r="DR568" i="15"/>
  <c r="DS568" i="15" s="1"/>
  <c r="DT568" i="15" s="1"/>
  <c r="DR584" i="15"/>
  <c r="DS584" i="15" s="1"/>
  <c r="DT584" i="15" s="1"/>
  <c r="DR592" i="15"/>
  <c r="DS592" i="15" s="1"/>
  <c r="DT592" i="15" s="1"/>
  <c r="DR600" i="15"/>
  <c r="DS600" i="15" s="1"/>
  <c r="DT600" i="15" s="1"/>
  <c r="DR608" i="15"/>
  <c r="DS608" i="15" s="1"/>
  <c r="DT608" i="15" s="1"/>
  <c r="DR617" i="15"/>
  <c r="DS617" i="15" s="1"/>
  <c r="DT617" i="15" s="1"/>
  <c r="DR626" i="15"/>
  <c r="DS626" i="15" s="1"/>
  <c r="DT626" i="15" s="1"/>
  <c r="DR634" i="15"/>
  <c r="DS634" i="15" s="1"/>
  <c r="DT634" i="15" s="1"/>
  <c r="DR643" i="15"/>
  <c r="DS643" i="15" s="1"/>
  <c r="DT643" i="15" s="1"/>
  <c r="DR651" i="15"/>
  <c r="DS651" i="15" s="1"/>
  <c r="DT651" i="15" s="1"/>
  <c r="DR659" i="15"/>
  <c r="DS659" i="15" s="1"/>
  <c r="DT659" i="15" s="1"/>
  <c r="DR668" i="15"/>
  <c r="DR676" i="15"/>
  <c r="DS676" i="15" s="1"/>
  <c r="DT676" i="15" s="1"/>
  <c r="DR684" i="15"/>
  <c r="DS684" i="15" s="1"/>
  <c r="DT684" i="15" s="1"/>
  <c r="DR693" i="15"/>
  <c r="DS693" i="15" s="1"/>
  <c r="DT693" i="15" s="1"/>
  <c r="DR701" i="15"/>
  <c r="DS701" i="15" s="1"/>
  <c r="DT701" i="15" s="1"/>
  <c r="DR709" i="15"/>
  <c r="DS709" i="15" s="1"/>
  <c r="DT709" i="15" s="1"/>
  <c r="DR717" i="15"/>
  <c r="DS717" i="15" s="1"/>
  <c r="DT717" i="15" s="1"/>
  <c r="DR725" i="15"/>
  <c r="DS725" i="15" s="1"/>
  <c r="DT725" i="15" s="1"/>
  <c r="DR734" i="15"/>
  <c r="DS734" i="15" s="1"/>
  <c r="DT734" i="15" s="1"/>
  <c r="DR742" i="15"/>
  <c r="DS742" i="15" s="1"/>
  <c r="DT742" i="15" s="1"/>
  <c r="DR750" i="15"/>
  <c r="DS750" i="15" s="1"/>
  <c r="DT750" i="15" s="1"/>
  <c r="DR774" i="15"/>
  <c r="DS774" i="15" s="1"/>
  <c r="DT774" i="15" s="1"/>
  <c r="DR765" i="15"/>
  <c r="DS765" i="15" s="1"/>
  <c r="DT765" i="15" s="1"/>
  <c r="DR776" i="15"/>
  <c r="DR784" i="15"/>
  <c r="DS784" i="15" s="1"/>
  <c r="DT784" i="15" s="1"/>
  <c r="DR792" i="15"/>
  <c r="DS792" i="15" s="1"/>
  <c r="DT792" i="15" s="1"/>
  <c r="DR801" i="15"/>
  <c r="DS801" i="15" s="1"/>
  <c r="DT801" i="15" s="1"/>
  <c r="DR809" i="15"/>
  <c r="DS809" i="15" s="1"/>
  <c r="DT809" i="15" s="1"/>
  <c r="DR817" i="15"/>
  <c r="DS817" i="15" s="1"/>
  <c r="DT817" i="15" s="1"/>
  <c r="DR825" i="15"/>
  <c r="DS825" i="15" s="1"/>
  <c r="DT825" i="15" s="1"/>
  <c r="DR834" i="15"/>
  <c r="DS834" i="15" s="1"/>
  <c r="DT834" i="15" s="1"/>
  <c r="DR842" i="15"/>
  <c r="DS842" i="15" s="1"/>
  <c r="DT842" i="15" s="1"/>
  <c r="DR850" i="15"/>
  <c r="DS850" i="15" s="1"/>
  <c r="DT850" i="15" s="1"/>
  <c r="DR858" i="15"/>
  <c r="DS858" i="15" s="1"/>
  <c r="DT858" i="15" s="1"/>
  <c r="DR810" i="15"/>
  <c r="DS810" i="15" s="1"/>
  <c r="DT810" i="15" s="1"/>
  <c r="DR826" i="15"/>
  <c r="DS826" i="15" s="1"/>
  <c r="DT826" i="15" s="1"/>
  <c r="DR843" i="15"/>
  <c r="DS843" i="15" s="1"/>
  <c r="DT843" i="15" s="1"/>
  <c r="DR859" i="15"/>
  <c r="DS859" i="15" s="1"/>
  <c r="DT859" i="15" s="1"/>
  <c r="DR59" i="15"/>
  <c r="DS59" i="15" s="1"/>
  <c r="DT59" i="15" s="1"/>
  <c r="DR193" i="15"/>
  <c r="DS193" i="15" s="1"/>
  <c r="DT193" i="15" s="1"/>
  <c r="DR326" i="15"/>
  <c r="DS326" i="15" s="1"/>
  <c r="DT326" i="15" s="1"/>
  <c r="DR386" i="15"/>
  <c r="DS386" i="15" s="1"/>
  <c r="DT386" i="15" s="1"/>
  <c r="DR419" i="15"/>
  <c r="DS419" i="15" s="1"/>
  <c r="DT419" i="15" s="1"/>
  <c r="DR452" i="15"/>
  <c r="DS452" i="15" s="1"/>
  <c r="DT452" i="15" s="1"/>
  <c r="DR472" i="15"/>
  <c r="DR488" i="15"/>
  <c r="DS488" i="15" s="1"/>
  <c r="DT488" i="15" s="1"/>
  <c r="DR505" i="15"/>
  <c r="DS505" i="15" s="1"/>
  <c r="DT505" i="15" s="1"/>
  <c r="DR522" i="15"/>
  <c r="DS522" i="15" s="1"/>
  <c r="DT522" i="15" s="1"/>
  <c r="DR539" i="15"/>
  <c r="DS539" i="15" s="1"/>
  <c r="DT539" i="15" s="1"/>
  <c r="DR110" i="15"/>
  <c r="DS110" i="15" s="1"/>
  <c r="DT110" i="15" s="1"/>
  <c r="DR176" i="15"/>
  <c r="DS176" i="15" s="1"/>
  <c r="DT176" i="15" s="1"/>
  <c r="DR243" i="15"/>
  <c r="DS243" i="15" s="1"/>
  <c r="DT243" i="15" s="1"/>
  <c r="DR309" i="15"/>
  <c r="DS309" i="15" s="1"/>
  <c r="DT309" i="15" s="1"/>
  <c r="DR365" i="15"/>
  <c r="DS365" i="15" s="1"/>
  <c r="DT365" i="15" s="1"/>
  <c r="DR382" i="15"/>
  <c r="DS382" i="15" s="1"/>
  <c r="DT382" i="15" s="1"/>
  <c r="DR398" i="15"/>
  <c r="DS398" i="15" s="1"/>
  <c r="DT398" i="15" s="1"/>
  <c r="DR415" i="15"/>
  <c r="DS415" i="15" s="1"/>
  <c r="DT415" i="15" s="1"/>
  <c r="DR432" i="15"/>
  <c r="DS432" i="15" s="1"/>
  <c r="DT432" i="15" s="1"/>
  <c r="DR448" i="15"/>
  <c r="DS448" i="15" s="1"/>
  <c r="DT448" i="15" s="1"/>
  <c r="DR461" i="15"/>
  <c r="DS461" i="15" s="1"/>
  <c r="DT461" i="15" s="1"/>
  <c r="DR469" i="15"/>
  <c r="DS469" i="15" s="1"/>
  <c r="DT469" i="15" s="1"/>
  <c r="DR477" i="15"/>
  <c r="DS477" i="15" s="1"/>
  <c r="DT477" i="15" s="1"/>
  <c r="DR485" i="15"/>
  <c r="DS485" i="15" s="1"/>
  <c r="DT485" i="15" s="1"/>
  <c r="DR494" i="15"/>
  <c r="DS494" i="15" s="1"/>
  <c r="DT494" i="15" s="1"/>
  <c r="DR502" i="15"/>
  <c r="DS502" i="15" s="1"/>
  <c r="DT502" i="15" s="1"/>
  <c r="DR510" i="15"/>
  <c r="DS510" i="15" s="1"/>
  <c r="DT510" i="15" s="1"/>
  <c r="DR519" i="15"/>
  <c r="DS519" i="15" s="1"/>
  <c r="DT519" i="15" s="1"/>
  <c r="DR527" i="15"/>
  <c r="DS527" i="15" s="1"/>
  <c r="DT527" i="15" s="1"/>
  <c r="DR536" i="15"/>
  <c r="DS536" i="15" s="1"/>
  <c r="DT536" i="15" s="1"/>
  <c r="DR544" i="15"/>
  <c r="DS544" i="15" s="1"/>
  <c r="DT544" i="15" s="1"/>
  <c r="DR553" i="15"/>
  <c r="DS553" i="15" s="1"/>
  <c r="DT553" i="15" s="1"/>
  <c r="DR561" i="15"/>
  <c r="DS561" i="15" s="1"/>
  <c r="DT561" i="15" s="1"/>
  <c r="DR569" i="15"/>
  <c r="DS569" i="15" s="1"/>
  <c r="DT569" i="15" s="1"/>
  <c r="DR577" i="15"/>
  <c r="DR585" i="15"/>
  <c r="DS585" i="15" s="1"/>
  <c r="DT585" i="15" s="1"/>
  <c r="DR593" i="15"/>
  <c r="DS593" i="15" s="1"/>
  <c r="DT593" i="15" s="1"/>
  <c r="DR601" i="15"/>
  <c r="DS601" i="15" s="1"/>
  <c r="DT601" i="15" s="1"/>
  <c r="DR609" i="15"/>
  <c r="DS609" i="15" s="1"/>
  <c r="DT609" i="15" s="1"/>
  <c r="DR618" i="15"/>
  <c r="DS618" i="15" s="1"/>
  <c r="DT618" i="15" s="1"/>
  <c r="DR627" i="15"/>
  <c r="DS627" i="15" s="1"/>
  <c r="DT627" i="15" s="1"/>
  <c r="DR635" i="15"/>
  <c r="DS635" i="15" s="1"/>
  <c r="DT635" i="15" s="1"/>
  <c r="DR644" i="15"/>
  <c r="DS644" i="15" s="1"/>
  <c r="DT644" i="15" s="1"/>
  <c r="DR652" i="15"/>
  <c r="DS652" i="15" s="1"/>
  <c r="DT652" i="15" s="1"/>
  <c r="DR660" i="15"/>
  <c r="DS660" i="15" s="1"/>
  <c r="DT660" i="15" s="1"/>
  <c r="DR669" i="15"/>
  <c r="DS669" i="15" s="1"/>
  <c r="DR677" i="15"/>
  <c r="DS677" i="15" s="1"/>
  <c r="DT677" i="15" s="1"/>
  <c r="DR685" i="15"/>
  <c r="DS685" i="15" s="1"/>
  <c r="DT685" i="15" s="1"/>
  <c r="DR694" i="15"/>
  <c r="DS694" i="15" s="1"/>
  <c r="DT694" i="15" s="1"/>
  <c r="DR702" i="15"/>
  <c r="DS702" i="15" s="1"/>
  <c r="DT702" i="15" s="1"/>
  <c r="DR710" i="15"/>
  <c r="DS710" i="15" s="1"/>
  <c r="DT710" i="15" s="1"/>
  <c r="DR718" i="15"/>
  <c r="DS718" i="15" s="1"/>
  <c r="DT718" i="15" s="1"/>
  <c r="DR726" i="15"/>
  <c r="DS726" i="15" s="1"/>
  <c r="DT726" i="15" s="1"/>
  <c r="DR735" i="15"/>
  <c r="DS735" i="15" s="1"/>
  <c r="DT735" i="15" s="1"/>
  <c r="DR743" i="15"/>
  <c r="DS743" i="15" s="1"/>
  <c r="DT743" i="15" s="1"/>
  <c r="DR751" i="15"/>
  <c r="DS751" i="15" s="1"/>
  <c r="DT751" i="15" s="1"/>
  <c r="DR758" i="15"/>
  <c r="DS758" i="15" s="1"/>
  <c r="DT758" i="15" s="1"/>
  <c r="DR766" i="15"/>
  <c r="DS766" i="15" s="1"/>
  <c r="DT766" i="15" s="1"/>
  <c r="DR777" i="15"/>
  <c r="DS777" i="15" s="1"/>
  <c r="DR785" i="15"/>
  <c r="DS785" i="15" s="1"/>
  <c r="DT785" i="15" s="1"/>
  <c r="DR793" i="15"/>
  <c r="DS793" i="15" s="1"/>
  <c r="DT793" i="15" s="1"/>
  <c r="DR802" i="15"/>
  <c r="DS802" i="15" s="1"/>
  <c r="DT802" i="15" s="1"/>
  <c r="DR818" i="15"/>
  <c r="DS818" i="15" s="1"/>
  <c r="DT818" i="15" s="1"/>
  <c r="DR835" i="15"/>
  <c r="DS835" i="15" s="1"/>
  <c r="DT835" i="15" s="1"/>
  <c r="DR851" i="15"/>
  <c r="DS851" i="15" s="1"/>
  <c r="DT851" i="15" s="1"/>
  <c r="DR127" i="15"/>
  <c r="DS127" i="15" s="1"/>
  <c r="DT127" i="15" s="1"/>
  <c r="DR260" i="15"/>
  <c r="DS260" i="15" s="1"/>
  <c r="DT260" i="15" s="1"/>
  <c r="DR369" i="15"/>
  <c r="DS369" i="15" s="1"/>
  <c r="DT369" i="15" s="1"/>
  <c r="DR402" i="15"/>
  <c r="DS402" i="15" s="1"/>
  <c r="DT402" i="15" s="1"/>
  <c r="DR436" i="15"/>
  <c r="DS436" i="15" s="1"/>
  <c r="DT436" i="15" s="1"/>
  <c r="DR464" i="15"/>
  <c r="DS464" i="15" s="1"/>
  <c r="DT464" i="15" s="1"/>
  <c r="DR480" i="15"/>
  <c r="DS480" i="15" s="1"/>
  <c r="DT480" i="15" s="1"/>
  <c r="DR497" i="15"/>
  <c r="DS497" i="15" s="1"/>
  <c r="DT497" i="15" s="1"/>
  <c r="DR514" i="15"/>
  <c r="DR531" i="15"/>
  <c r="DS531" i="15" s="1"/>
  <c r="DT531" i="15" s="1"/>
  <c r="DR548" i="15"/>
  <c r="DR556" i="15"/>
  <c r="DS556" i="15" s="1"/>
  <c r="DT556" i="15" s="1"/>
  <c r="DR564" i="15"/>
  <c r="DS564" i="15" s="1"/>
  <c r="DT564" i="15" s="1"/>
  <c r="DR573" i="15"/>
  <c r="DS573" i="15" s="1"/>
  <c r="DT573" i="15" s="1"/>
  <c r="DR580" i="15"/>
  <c r="DS580" i="15" s="1"/>
  <c r="DT580" i="15" s="1"/>
  <c r="DR588" i="15"/>
  <c r="DS588" i="15" s="1"/>
  <c r="DT588" i="15" s="1"/>
  <c r="DR596" i="15"/>
  <c r="DS596" i="15" s="1"/>
  <c r="DT596" i="15" s="1"/>
  <c r="DR604" i="15"/>
  <c r="DS604" i="15" s="1"/>
  <c r="DT604" i="15" s="1"/>
  <c r="DR613" i="15"/>
  <c r="DS613" i="15" s="1"/>
  <c r="DT613" i="15" s="1"/>
  <c r="DR622" i="15"/>
  <c r="DS622" i="15" s="1"/>
  <c r="DR630" i="15"/>
  <c r="DS630" i="15" s="1"/>
  <c r="DT630" i="15" s="1"/>
  <c r="DR638" i="15"/>
  <c r="DS638" i="15" s="1"/>
  <c r="DT638" i="15" s="1"/>
  <c r="DR647" i="15"/>
  <c r="DS647" i="15" s="1"/>
  <c r="DT647" i="15" s="1"/>
  <c r="DR655" i="15"/>
  <c r="DS655" i="15" s="1"/>
  <c r="DT655" i="15" s="1"/>
  <c r="DR663" i="15"/>
  <c r="DS663" i="15" s="1"/>
  <c r="DT663" i="15" s="1"/>
  <c r="DR672" i="15"/>
  <c r="DS672" i="15" s="1"/>
  <c r="DT672" i="15" s="1"/>
  <c r="DR680" i="15"/>
  <c r="DS680" i="15" s="1"/>
  <c r="DT680" i="15" s="1"/>
  <c r="DR689" i="15"/>
  <c r="DS689" i="15" s="1"/>
  <c r="DR697" i="15"/>
  <c r="DS697" i="15" s="1"/>
  <c r="DT697" i="15" s="1"/>
  <c r="DR705" i="15"/>
  <c r="DS705" i="15" s="1"/>
  <c r="DT705" i="15" s="1"/>
  <c r="DR713" i="15"/>
  <c r="DR721" i="15"/>
  <c r="DS721" i="15" s="1"/>
  <c r="DT721" i="15" s="1"/>
  <c r="DR729" i="15"/>
  <c r="DS729" i="15" s="1"/>
  <c r="DT729" i="15" s="1"/>
  <c r="DR738" i="15"/>
  <c r="DS738" i="15" s="1"/>
  <c r="DT738" i="15" s="1"/>
  <c r="DR746" i="15"/>
  <c r="DS746" i="15" s="1"/>
  <c r="DT746" i="15" s="1"/>
  <c r="DR755" i="15"/>
  <c r="DS755" i="15" s="1"/>
  <c r="DR761" i="15"/>
  <c r="DS761" i="15" s="1"/>
  <c r="DT761" i="15" s="1"/>
  <c r="DR769" i="15"/>
  <c r="DS769" i="15" s="1"/>
  <c r="DT769" i="15" s="1"/>
  <c r="DR780" i="15"/>
  <c r="DS780" i="15" s="1"/>
  <c r="DT780" i="15" s="1"/>
  <c r="DR788" i="15"/>
  <c r="DS788" i="15" s="1"/>
  <c r="DT788" i="15" s="1"/>
  <c r="DR797" i="15"/>
  <c r="DS797" i="15" s="1"/>
  <c r="DR805" i="15"/>
  <c r="DS805" i="15" s="1"/>
  <c r="DT805" i="15" s="1"/>
  <c r="DR813" i="15"/>
  <c r="DS813" i="15" s="1"/>
  <c r="DT813" i="15" s="1"/>
  <c r="DR821" i="15"/>
  <c r="DS821" i="15" s="1"/>
  <c r="DT821" i="15" s="1"/>
  <c r="DR830" i="15"/>
  <c r="DS830" i="15" s="1"/>
  <c r="DT830" i="15" s="1"/>
  <c r="DR838" i="15"/>
  <c r="DS838" i="15" s="1"/>
  <c r="DT838" i="15" s="1"/>
  <c r="DR846" i="15"/>
  <c r="DS846" i="15" s="1"/>
  <c r="DT846" i="15" s="1"/>
  <c r="DR854" i="15"/>
  <c r="DS854" i="15" s="1"/>
  <c r="DT854" i="15" s="1"/>
  <c r="DR76" i="15"/>
  <c r="DS76" i="15" s="1"/>
  <c r="DT76" i="15" s="1"/>
  <c r="DR209" i="15"/>
  <c r="DS209" i="15" s="1"/>
  <c r="DT209" i="15" s="1"/>
  <c r="DR276" i="15"/>
  <c r="DS276" i="15" s="1"/>
  <c r="DT276" i="15" s="1"/>
  <c r="DR342" i="15"/>
  <c r="DS342" i="15" s="1"/>
  <c r="DT342" i="15" s="1"/>
  <c r="DR374" i="15"/>
  <c r="DS374" i="15" s="1"/>
  <c r="DT374" i="15" s="1"/>
  <c r="DR390" i="15"/>
  <c r="DS390" i="15" s="1"/>
  <c r="DT390" i="15" s="1"/>
  <c r="DR407" i="15"/>
  <c r="DR423" i="15"/>
  <c r="DS423" i="15" s="1"/>
  <c r="DT423" i="15" s="1"/>
  <c r="DR440" i="15"/>
  <c r="DS440" i="15" s="1"/>
  <c r="DT440" i="15" s="1"/>
  <c r="DR457" i="15"/>
  <c r="DS457" i="15" s="1"/>
  <c r="DT457" i="15" s="1"/>
  <c r="DR465" i="15"/>
  <c r="DS465" i="15" s="1"/>
  <c r="DT465" i="15" s="1"/>
  <c r="DR473" i="15"/>
  <c r="DS473" i="15" s="1"/>
  <c r="DR481" i="15"/>
  <c r="DS481" i="15" s="1"/>
  <c r="DT481" i="15" s="1"/>
  <c r="DR489" i="15"/>
  <c r="DS489" i="15" s="1"/>
  <c r="DT489" i="15" s="1"/>
  <c r="DR498" i="15"/>
  <c r="DS498" i="15" s="1"/>
  <c r="DT498" i="15" s="1"/>
  <c r="DR506" i="15"/>
  <c r="DS506" i="15" s="1"/>
  <c r="DT506" i="15" s="1"/>
  <c r="DR515" i="15"/>
  <c r="DS515" i="15" s="1"/>
  <c r="DR523" i="15"/>
  <c r="DS523" i="15" s="1"/>
  <c r="DT523" i="15" s="1"/>
  <c r="DR532" i="15"/>
  <c r="DS532" i="15" s="1"/>
  <c r="DT532" i="15" s="1"/>
  <c r="DR540" i="15"/>
  <c r="DS540" i="15" s="1"/>
  <c r="DT540" i="15" s="1"/>
  <c r="DR549" i="15"/>
  <c r="DS549" i="15" s="1"/>
  <c r="DR557" i="15"/>
  <c r="DS557" i="15" s="1"/>
  <c r="DT557" i="15" s="1"/>
  <c r="DR565" i="15"/>
  <c r="DS565" i="15" s="1"/>
  <c r="DT565" i="15" s="1"/>
  <c r="DR574" i="15"/>
  <c r="DS574" i="15" s="1"/>
  <c r="DT574" i="15" s="1"/>
  <c r="DR581" i="15"/>
  <c r="DS581" i="15" s="1"/>
  <c r="DT581" i="15" s="1"/>
  <c r="DR589" i="15"/>
  <c r="DS589" i="15" s="1"/>
  <c r="DT589" i="15" s="1"/>
  <c r="DR597" i="15"/>
  <c r="DS597" i="15" s="1"/>
  <c r="DT597" i="15" s="1"/>
  <c r="DR605" i="15"/>
  <c r="DS605" i="15" s="1"/>
  <c r="DT605" i="15" s="1"/>
  <c r="DR614" i="15"/>
  <c r="DS614" i="15" s="1"/>
  <c r="DT614" i="15" s="1"/>
  <c r="DR623" i="15"/>
  <c r="DS623" i="15" s="1"/>
  <c r="DT623" i="15" s="1"/>
  <c r="DR631" i="15"/>
  <c r="DS631" i="15" s="1"/>
  <c r="DT631" i="15" s="1"/>
  <c r="DR639" i="15"/>
  <c r="DS639" i="15" s="1"/>
  <c r="DT639" i="15" s="1"/>
  <c r="DR648" i="15"/>
  <c r="DS648" i="15" s="1"/>
  <c r="DT648" i="15" s="1"/>
  <c r="DR656" i="15"/>
  <c r="DS656" i="15" s="1"/>
  <c r="DT656" i="15" s="1"/>
  <c r="DR664" i="15"/>
  <c r="DS664" i="15" s="1"/>
  <c r="DT664" i="15" s="1"/>
  <c r="DR673" i="15"/>
  <c r="DS673" i="15" s="1"/>
  <c r="DT673" i="15" s="1"/>
  <c r="DR681" i="15"/>
  <c r="DS681" i="15" s="1"/>
  <c r="DT681" i="15" s="1"/>
  <c r="DR690" i="15"/>
  <c r="DS690" i="15" s="1"/>
  <c r="DT690" i="15" s="1"/>
  <c r="DR698" i="15"/>
  <c r="DS698" i="15" s="1"/>
  <c r="DT698" i="15" s="1"/>
  <c r="DR706" i="15"/>
  <c r="DS706" i="15" s="1"/>
  <c r="DT706" i="15" s="1"/>
  <c r="DR714" i="15"/>
  <c r="DR722" i="15"/>
  <c r="DS722" i="15" s="1"/>
  <c r="DT722" i="15" s="1"/>
  <c r="DR730" i="15"/>
  <c r="DS730" i="15" s="1"/>
  <c r="DT730" i="15" s="1"/>
  <c r="DR739" i="15"/>
  <c r="DS739" i="15" s="1"/>
  <c r="DT739" i="15" s="1"/>
  <c r="DR747" i="15"/>
  <c r="DS747" i="15" s="1"/>
  <c r="DT747" i="15" s="1"/>
  <c r="DR756" i="15"/>
  <c r="DS756" i="15" s="1"/>
  <c r="DT756" i="15" s="1"/>
  <c r="DR762" i="15"/>
  <c r="DS762" i="15" s="1"/>
  <c r="DT762" i="15" s="1"/>
  <c r="DR770" i="15"/>
  <c r="DS770" i="15" s="1"/>
  <c r="DT770" i="15" s="1"/>
  <c r="DR781" i="15"/>
  <c r="DS781" i="15" s="1"/>
  <c r="DT781" i="15" s="1"/>
  <c r="DR789" i="15"/>
  <c r="DS789" i="15" s="1"/>
  <c r="DT789" i="15" s="1"/>
  <c r="DR798" i="15"/>
  <c r="DS798" i="15" s="1"/>
  <c r="DT798" i="15" s="1"/>
  <c r="DR806" i="15"/>
  <c r="DS806" i="15" s="1"/>
  <c r="DT806" i="15" s="1"/>
  <c r="DR814" i="15"/>
  <c r="DS814" i="15" s="1"/>
  <c r="DT814" i="15" s="1"/>
  <c r="DR822" i="15"/>
  <c r="DS822" i="15" s="1"/>
  <c r="DT822" i="15" s="1"/>
  <c r="DR831" i="15"/>
  <c r="DS831" i="15" s="1"/>
  <c r="DT831" i="15" s="1"/>
  <c r="DR839" i="15"/>
  <c r="DS839" i="15" s="1"/>
  <c r="DT839" i="15" s="1"/>
  <c r="DR847" i="15"/>
  <c r="DS847" i="15" s="1"/>
  <c r="DT847" i="15" s="1"/>
  <c r="DR855" i="15"/>
  <c r="DS855" i="15" s="1"/>
  <c r="DT855" i="15" s="1"/>
  <c r="AI423" i="1"/>
  <c r="AI62" i="1"/>
  <c r="AI103" i="1"/>
  <c r="AD9" i="1"/>
  <c r="AC9" i="1"/>
  <c r="AC126" i="1"/>
  <c r="AI127" i="1"/>
  <c r="AE126" i="1"/>
  <c r="AC38" i="1"/>
  <c r="AE137" i="1"/>
  <c r="AC322" i="1"/>
  <c r="AI38" i="1"/>
  <c r="AH137" i="1"/>
  <c r="AC184" i="1"/>
  <c r="AF137" i="1"/>
  <c r="AC100" i="1"/>
  <c r="AD100" i="1"/>
  <c r="AD97" i="1"/>
  <c r="AC97" i="1"/>
  <c r="AI136" i="1"/>
  <c r="AI133" i="1"/>
  <c r="AI101" i="1"/>
  <c r="AI132" i="1"/>
  <c r="AD131" i="1"/>
  <c r="AC131" i="1"/>
  <c r="AD69" i="1"/>
  <c r="AI433" i="1"/>
  <c r="AG184" i="1"/>
  <c r="AG183" i="1"/>
  <c r="AG175" i="1"/>
  <c r="AG176" i="1"/>
  <c r="AG174" i="1"/>
  <c r="AE184" i="1"/>
  <c r="AE183" i="1"/>
  <c r="AE174" i="1"/>
  <c r="AE176" i="1"/>
  <c r="AE175" i="1"/>
  <c r="AG189" i="1"/>
  <c r="AG188" i="1"/>
  <c r="AF184" i="1"/>
  <c r="AF183" i="1"/>
  <c r="AF176" i="1"/>
  <c r="AF174" i="1"/>
  <c r="AF175" i="1"/>
  <c r="AH189" i="1"/>
  <c r="AH188" i="1"/>
  <c r="AD188" i="1"/>
  <c r="K11" i="13"/>
  <c r="AF189" i="1"/>
  <c r="AF188" i="1"/>
  <c r="AH184" i="1"/>
  <c r="AH183" i="1"/>
  <c r="AH175" i="1"/>
  <c r="AH176" i="1"/>
  <c r="AH174" i="1"/>
  <c r="AE189" i="1"/>
  <c r="AE188" i="1"/>
  <c r="AC356" i="1"/>
  <c r="AE118" i="1"/>
  <c r="AE115" i="1"/>
  <c r="AE117" i="1"/>
  <c r="AE96" i="1"/>
  <c r="AG135" i="1"/>
  <c r="AF115" i="1"/>
  <c r="AF117" i="1"/>
  <c r="AF96" i="1"/>
  <c r="AH115" i="1"/>
  <c r="AH117" i="1"/>
  <c r="AH96" i="1"/>
  <c r="AG115" i="1"/>
  <c r="AG117" i="1"/>
  <c r="AG96" i="1"/>
  <c r="AD73" i="1"/>
  <c r="AG69" i="1"/>
  <c r="AD48" i="1"/>
  <c r="AF69" i="1"/>
  <c r="AH69" i="1"/>
  <c r="AC327" i="1"/>
  <c r="AE320" i="1"/>
  <c r="AH320" i="1"/>
  <c r="AH319" i="1"/>
  <c r="AG315" i="1"/>
  <c r="AH316" i="1"/>
  <c r="AE316" i="1"/>
  <c r="AH317" i="1"/>
  <c r="AF320" i="1"/>
  <c r="AF319" i="1"/>
  <c r="AG320" i="1"/>
  <c r="AG319" i="1"/>
  <c r="AE317" i="1"/>
  <c r="AG316" i="1"/>
  <c r="AH315" i="1"/>
  <c r="AC81" i="1"/>
  <c r="N13" i="13"/>
  <c r="O13" i="13"/>
  <c r="R11" i="13"/>
  <c r="Q13" i="13"/>
  <c r="Q11" i="13"/>
  <c r="AI408" i="1"/>
  <c r="AI36" i="1"/>
  <c r="AI365" i="1"/>
  <c r="AC378" i="1"/>
  <c r="AD378" i="1"/>
  <c r="AC429" i="1"/>
  <c r="AD429" i="1"/>
  <c r="G13" i="13"/>
  <c r="AD384" i="1"/>
  <c r="AC384" i="1"/>
  <c r="AI405" i="1"/>
  <c r="AC444" i="1"/>
  <c r="AD444" i="1"/>
  <c r="AD525" i="1"/>
  <c r="AC525" i="1"/>
  <c r="AI430" i="1"/>
  <c r="AC427" i="1"/>
  <c r="AD427" i="1"/>
  <c r="AI446" i="1"/>
  <c r="AI187" i="1"/>
  <c r="AI374" i="1"/>
  <c r="AD572" i="1"/>
  <c r="AC572" i="1"/>
  <c r="AI406" i="1"/>
  <c r="AI587" i="1"/>
  <c r="AI588" i="1"/>
  <c r="AI468" i="1"/>
  <c r="AI567" i="1"/>
  <c r="AD122" i="1"/>
  <c r="AC122" i="1"/>
  <c r="AD372" i="1"/>
  <c r="AC372" i="1"/>
  <c r="AD56" i="1"/>
  <c r="AI42" i="1"/>
  <c r="AI477" i="1"/>
  <c r="AI520" i="1"/>
  <c r="AI416" i="1"/>
  <c r="AC437" i="1"/>
  <c r="AD437" i="1"/>
  <c r="AC570" i="1"/>
  <c r="AD570" i="1"/>
  <c r="AI469" i="1"/>
  <c r="AI328" i="1"/>
  <c r="AI447" i="1"/>
  <c r="AD316" i="1"/>
  <c r="AD317" i="1"/>
  <c r="AC476" i="1"/>
  <c r="AD476" i="1"/>
  <c r="AI445" i="1"/>
  <c r="AI526" i="1"/>
  <c r="AI584" i="1"/>
  <c r="AI392" i="1"/>
  <c r="AI364" i="1"/>
  <c r="AI361" i="1"/>
  <c r="AD311" i="1"/>
  <c r="AC311" i="1"/>
  <c r="AI517" i="1"/>
  <c r="AI448" i="1"/>
  <c r="AD537" i="1"/>
  <c r="AC537" i="1"/>
  <c r="AI539" i="1"/>
  <c r="AD565" i="1"/>
  <c r="AC565" i="1"/>
  <c r="AC564" i="1"/>
  <c r="AD564" i="1"/>
  <c r="AI123" i="1"/>
  <c r="AI373" i="1"/>
  <c r="AI419" i="1"/>
  <c r="AD57" i="1"/>
  <c r="AI583" i="1"/>
  <c r="AI586" i="1"/>
  <c r="AD519" i="1"/>
  <c r="AC519" i="1"/>
  <c r="AI341" i="1"/>
  <c r="AI579" i="1"/>
  <c r="AI322" i="1"/>
  <c r="AI529" i="1"/>
  <c r="AI327" i="1"/>
  <c r="AC443" i="1"/>
  <c r="AD443" i="1"/>
  <c r="AI329" i="1"/>
  <c r="AI302" i="1"/>
  <c r="AD362" i="1"/>
  <c r="AC362" i="1"/>
  <c r="AD474" i="1"/>
  <c r="AC474" i="1"/>
  <c r="AI516" i="1"/>
  <c r="AD513" i="1"/>
  <c r="AC513" i="1"/>
  <c r="AC119" i="1"/>
  <c r="AC463" i="1"/>
  <c r="AD463" i="1"/>
  <c r="AI177" i="1"/>
  <c r="AD404" i="1"/>
  <c r="AC404" i="1"/>
  <c r="AI428" i="1"/>
  <c r="AI186" i="1"/>
  <c r="AI528" i="1"/>
  <c r="AC574" i="1"/>
  <c r="AD574" i="1"/>
  <c r="AD310" i="1"/>
  <c r="AC310" i="1"/>
  <c r="AI538" i="1"/>
  <c r="AI40" i="1"/>
  <c r="AI432" i="1"/>
  <c r="AI393" i="1"/>
  <c r="AI598" i="1"/>
  <c r="AD125" i="1"/>
  <c r="AC125" i="1"/>
  <c r="AC320" i="1"/>
  <c r="AI407" i="1"/>
  <c r="AI453" i="1"/>
  <c r="AD418" i="1"/>
  <c r="AC418" i="1"/>
  <c r="AD581" i="1"/>
  <c r="AC581" i="1"/>
  <c r="AI90" i="1"/>
  <c r="AD340" i="1"/>
  <c r="AC340" i="1"/>
  <c r="AC415" i="1"/>
  <c r="AD415" i="1"/>
  <c r="AI441" i="1"/>
  <c r="AI576" i="1"/>
  <c r="AI571" i="1"/>
  <c r="AC467" i="1"/>
  <c r="AD467" i="1"/>
  <c r="P13" i="13"/>
  <c r="AI431" i="1"/>
  <c r="AI363" i="1"/>
  <c r="AC475" i="1"/>
  <c r="AD475" i="1"/>
  <c r="AC515" i="1"/>
  <c r="AD515" i="1"/>
  <c r="AD481" i="1"/>
  <c r="AC481" i="1"/>
  <c r="R13" i="13"/>
  <c r="AI464" i="1"/>
  <c r="AI478" i="1"/>
  <c r="AI323" i="1"/>
  <c r="AD524" i="1"/>
  <c r="AC524" i="1"/>
  <c r="AC360" i="1"/>
  <c r="AD360" i="1"/>
  <c r="AI575" i="1"/>
  <c r="AI185" i="1"/>
  <c r="AD135" i="1"/>
  <c r="AI527" i="1"/>
  <c r="AD597" i="1"/>
  <c r="AC597" i="1"/>
  <c r="AC465" i="1"/>
  <c r="AD465" i="1"/>
  <c r="AC566" i="1"/>
  <c r="AD566" i="1"/>
  <c r="AD370" i="1"/>
  <c r="AC370" i="1"/>
  <c r="AC417" i="1"/>
  <c r="AD417" i="1"/>
  <c r="AI585" i="1"/>
  <c r="AD582" i="1"/>
  <c r="AC582" i="1"/>
  <c r="AI60" i="1"/>
  <c r="AI41" i="1"/>
  <c r="AC578" i="1"/>
  <c r="AD578" i="1"/>
  <c r="AI568" i="1"/>
  <c r="P11" i="13"/>
  <c r="AI541" i="1"/>
  <c r="AC326" i="1"/>
  <c r="AD326" i="1"/>
  <c r="AD189" i="1"/>
  <c r="AC189" i="1"/>
  <c r="AI540" i="1"/>
  <c r="AD512" i="1"/>
  <c r="AC512" i="1"/>
  <c r="AI318" i="1"/>
  <c r="AI482" i="1"/>
  <c r="O12" i="13"/>
  <c r="G12" i="13"/>
  <c r="AC35" i="1"/>
  <c r="R12" i="13"/>
  <c r="AI35" i="1"/>
  <c r="AC34" i="1"/>
  <c r="Q12" i="13"/>
  <c r="AC74" i="1"/>
  <c r="AC398" i="1"/>
  <c r="AD398" i="1"/>
  <c r="AI307" i="1"/>
  <c r="AI78" i="1"/>
  <c r="AI391" i="1"/>
  <c r="AD385" i="1"/>
  <c r="AC385" i="1"/>
  <c r="AD321" i="1"/>
  <c r="AC321" i="1"/>
  <c r="AI313" i="1"/>
  <c r="AI47" i="1"/>
  <c r="AD49" i="1"/>
  <c r="AI181" i="1"/>
  <c r="AI308" i="1"/>
  <c r="AI19" i="1"/>
  <c r="AI55" i="1"/>
  <c r="AD86" i="1"/>
  <c r="AC86" i="1"/>
  <c r="AI347" i="1"/>
  <c r="AC394" i="1"/>
  <c r="AD394" i="1"/>
  <c r="AI21" i="1"/>
  <c r="AI119" i="1"/>
  <c r="AI358" i="1"/>
  <c r="AI112" i="1"/>
  <c r="AI334" i="1"/>
  <c r="AC337" i="1"/>
  <c r="AD337" i="1"/>
  <c r="AI399" i="1"/>
  <c r="AI72" i="1"/>
  <c r="AI81" i="1"/>
  <c r="AI51" i="1"/>
  <c r="AI388" i="1"/>
  <c r="AC330" i="1"/>
  <c r="AD330" i="1"/>
  <c r="AD88" i="1"/>
  <c r="AC88" i="1"/>
  <c r="AD137" i="1"/>
  <c r="AC137" i="1"/>
  <c r="AI182" i="1"/>
  <c r="AD83" i="1"/>
  <c r="AC83" i="1"/>
  <c r="AD63" i="1"/>
  <c r="AC63" i="1"/>
  <c r="AI356" i="1"/>
  <c r="AI85" i="1"/>
  <c r="AI357" i="1"/>
  <c r="AD79" i="1"/>
  <c r="AC79" i="1"/>
  <c r="AI348" i="1"/>
  <c r="AI87" i="1"/>
  <c r="AD110" i="1"/>
  <c r="AC110" i="1"/>
  <c r="AC336" i="1"/>
  <c r="AD336" i="1"/>
  <c r="AI75" i="1"/>
  <c r="AI389" i="1"/>
  <c r="AD113" i="1"/>
  <c r="AC113" i="1"/>
  <c r="AD305" i="1"/>
  <c r="AC305" i="1"/>
  <c r="AI70" i="1"/>
  <c r="AI349" i="1"/>
  <c r="AD120" i="1"/>
  <c r="AC120" i="1"/>
  <c r="AD390" i="1"/>
  <c r="AC390" i="1"/>
  <c r="AI301" i="1"/>
  <c r="AI76" i="1"/>
  <c r="AC387" i="1"/>
  <c r="AD387" i="1"/>
  <c r="AI333" i="1"/>
  <c r="AI65" i="1"/>
  <c r="AD98" i="1"/>
  <c r="AC98" i="1"/>
  <c r="AI84" i="1"/>
  <c r="AI64" i="1"/>
  <c r="AC355" i="1"/>
  <c r="AD355" i="1"/>
  <c r="AD43" i="1"/>
  <c r="AC43" i="1"/>
  <c r="AI80" i="1"/>
  <c r="AI82" i="1"/>
  <c r="AI53" i="1"/>
  <c r="AD58" i="1"/>
  <c r="AC58" i="1"/>
  <c r="AI359" i="1"/>
  <c r="AI45" i="1"/>
  <c r="AI396" i="1"/>
  <c r="AD345" i="1"/>
  <c r="AC345" i="1"/>
  <c r="K10" i="13"/>
  <c r="AD306" i="1"/>
  <c r="AC306" i="1"/>
  <c r="AI66" i="1"/>
  <c r="AI121" i="1"/>
  <c r="AI23" i="1"/>
  <c r="AD386" i="1"/>
  <c r="AC386" i="1"/>
  <c r="AC332" i="1"/>
  <c r="AD332" i="1"/>
  <c r="AD312" i="1"/>
  <c r="AC312" i="1"/>
  <c r="AI50" i="1"/>
  <c r="AI99" i="1"/>
  <c r="AI314" i="1"/>
  <c r="AD354" i="1"/>
  <c r="AC354" i="1"/>
  <c r="AD18" i="1"/>
  <c r="AC18" i="1"/>
  <c r="AI44" i="1"/>
  <c r="AD54" i="1"/>
  <c r="AC54" i="1"/>
  <c r="AI59" i="1"/>
  <c r="AI39" i="1"/>
  <c r="AD395" i="1"/>
  <c r="AC395" i="1"/>
  <c r="AD118" i="1"/>
  <c r="AC118" i="1"/>
  <c r="AI77" i="1"/>
  <c r="AD344" i="1"/>
  <c r="AC344" i="1"/>
  <c r="AI346" i="1"/>
  <c r="AI52" i="1"/>
  <c r="AH128" i="1"/>
  <c r="AD11" i="1"/>
  <c r="AG20" i="1"/>
  <c r="AG13" i="1"/>
  <c r="AD61" i="1"/>
  <c r="AE13" i="1"/>
  <c r="AE20" i="1"/>
  <c r="I10" i="13"/>
  <c r="AD129" i="1"/>
  <c r="AF20" i="1"/>
  <c r="AF13" i="1"/>
  <c r="J10" i="13"/>
  <c r="AG11" i="1"/>
  <c r="H10" i="13"/>
  <c r="AE12" i="1"/>
  <c r="AG12" i="1"/>
  <c r="AH13" i="1"/>
  <c r="AH20" i="1"/>
  <c r="AH11" i="1"/>
  <c r="AH12" i="1"/>
  <c r="L10" i="13"/>
  <c r="AD12" i="1"/>
  <c r="AC68" i="1"/>
  <c r="AH28" i="1"/>
  <c r="AG67" i="1"/>
  <c r="AE28" i="1"/>
  <c r="AF14" i="1"/>
  <c r="AG180" i="1"/>
  <c r="AE128" i="1"/>
  <c r="AH180" i="1"/>
  <c r="AH25" i="1"/>
  <c r="AG71" i="1"/>
  <c r="AF180" i="1"/>
  <c r="AH129" i="1"/>
  <c r="AH71" i="1"/>
  <c r="AG28" i="1"/>
  <c r="AE14" i="1"/>
  <c r="AE129" i="1"/>
  <c r="AF25" i="1"/>
  <c r="AF71" i="1"/>
  <c r="AG25" i="1"/>
  <c r="AE180" i="1"/>
  <c r="AF33" i="1"/>
  <c r="AH124" i="1"/>
  <c r="AE25" i="1"/>
  <c r="AF11" i="1"/>
  <c r="AF67" i="1"/>
  <c r="AF12" i="1"/>
  <c r="AH33" i="1"/>
  <c r="AE124" i="1"/>
  <c r="AF28" i="1"/>
  <c r="AF68" i="1"/>
  <c r="AG14" i="1"/>
  <c r="AG33" i="1"/>
  <c r="AH68" i="1"/>
  <c r="AH67" i="1"/>
  <c r="AE33" i="1"/>
  <c r="AE11" i="1"/>
  <c r="AC67" i="1"/>
  <c r="AI34" i="1"/>
  <c r="N11" i="13"/>
  <c r="AI130" i="1"/>
  <c r="AI29" i="1"/>
  <c r="AI74" i="1"/>
  <c r="AI15" i="1"/>
  <c r="AC129" i="1"/>
  <c r="AC124" i="1"/>
  <c r="AC180" i="1"/>
  <c r="N12" i="13"/>
  <c r="AC25" i="1"/>
  <c r="CW6" i="15" s="1"/>
  <c r="AC14" i="1"/>
  <c r="AC33" i="1"/>
  <c r="AC28" i="1"/>
  <c r="AC71" i="1"/>
  <c r="DA8" i="15" l="1"/>
  <c r="DB8" i="15" s="1"/>
  <c r="DA11" i="15"/>
  <c r="DB11" i="15" s="1"/>
  <c r="DA15" i="15"/>
  <c r="DB15" i="15" s="1"/>
  <c r="DA19" i="15"/>
  <c r="DB19" i="15" s="1"/>
  <c r="DA23" i="15"/>
  <c r="DB23" i="15" s="1"/>
  <c r="DA27" i="15"/>
  <c r="DB27" i="15" s="1"/>
  <c r="DA31" i="15"/>
  <c r="DB31" i="15" s="1"/>
  <c r="DA6" i="15"/>
  <c r="DB6" i="15" s="1"/>
  <c r="DA13" i="15"/>
  <c r="DB13" i="15" s="1"/>
  <c r="DA17" i="15"/>
  <c r="DB17" i="15" s="1"/>
  <c r="DA21" i="15"/>
  <c r="DB21" i="15" s="1"/>
  <c r="DA25" i="15"/>
  <c r="DB25" i="15" s="1"/>
  <c r="DA29" i="15"/>
  <c r="DB29" i="15" s="1"/>
  <c r="DA9" i="15"/>
  <c r="DB9" i="15" s="1"/>
  <c r="DA16" i="15"/>
  <c r="DB16" i="15" s="1"/>
  <c r="DA24" i="15"/>
  <c r="DB24" i="15" s="1"/>
  <c r="DA32" i="15"/>
  <c r="DB32" i="15" s="1"/>
  <c r="DA36" i="15"/>
  <c r="DB36" i="15" s="1"/>
  <c r="DA40" i="15"/>
  <c r="DB40" i="15" s="1"/>
  <c r="DA43" i="15"/>
  <c r="DB43" i="15" s="1"/>
  <c r="DA47" i="15"/>
  <c r="DB47" i="15" s="1"/>
  <c r="DA51" i="15"/>
  <c r="DB51" i="15" s="1"/>
  <c r="DA55" i="15"/>
  <c r="DB55" i="15" s="1"/>
  <c r="DA59" i="15"/>
  <c r="DB59" i="15" s="1"/>
  <c r="DA63" i="15"/>
  <c r="DB63" i="15" s="1"/>
  <c r="DA66" i="15"/>
  <c r="DB66" i="15" s="1"/>
  <c r="DA70" i="15"/>
  <c r="DB70" i="15" s="1"/>
  <c r="DA74" i="15"/>
  <c r="DB74" i="15" s="1"/>
  <c r="DA78" i="15"/>
  <c r="DB78" i="15" s="1"/>
  <c r="DA85" i="15"/>
  <c r="DB85" i="15" s="1"/>
  <c r="DA89" i="15"/>
  <c r="DB89" i="15" s="1"/>
  <c r="DA92" i="15"/>
  <c r="DB92" i="15" s="1"/>
  <c r="DA100" i="15"/>
  <c r="DB100" i="15" s="1"/>
  <c r="DA104" i="15"/>
  <c r="DB104" i="15" s="1"/>
  <c r="DA108" i="15"/>
  <c r="DB108" i="15" s="1"/>
  <c r="DA112" i="15"/>
  <c r="DB112" i="15" s="1"/>
  <c r="DA116" i="15"/>
  <c r="DB116" i="15" s="1"/>
  <c r="DA120" i="15"/>
  <c r="DB120" i="15" s="1"/>
  <c r="DA127" i="15"/>
  <c r="DB127" i="15" s="1"/>
  <c r="DA131" i="15"/>
  <c r="DB131" i="15" s="1"/>
  <c r="DA135" i="15"/>
  <c r="DB135" i="15" s="1"/>
  <c r="DA139" i="15"/>
  <c r="DB139" i="15" s="1"/>
  <c r="DA146" i="15"/>
  <c r="DB146" i="15" s="1"/>
  <c r="DA150" i="15"/>
  <c r="DB150" i="15" s="1"/>
  <c r="DA154" i="15"/>
  <c r="DB154" i="15" s="1"/>
  <c r="DA158" i="15"/>
  <c r="DB158" i="15" s="1"/>
  <c r="DA162" i="15"/>
  <c r="DB162" i="15" s="1"/>
  <c r="DA166" i="15"/>
  <c r="DB166" i="15" s="1"/>
  <c r="DA169" i="15"/>
  <c r="DB169" i="15" s="1"/>
  <c r="DA173" i="15"/>
  <c r="DB173" i="15" s="1"/>
  <c r="DA177" i="15"/>
  <c r="DB177" i="15" s="1"/>
  <c r="DA181" i="15"/>
  <c r="DB181" i="15" s="1"/>
  <c r="DA185" i="15"/>
  <c r="DB185" i="15" s="1"/>
  <c r="DA189" i="15"/>
  <c r="DB189" i="15" s="1"/>
  <c r="DA192" i="15"/>
  <c r="DB192" i="15" s="1"/>
  <c r="DA196" i="15"/>
  <c r="DB196" i="15" s="1"/>
  <c r="DA200" i="15"/>
  <c r="DB200" i="15" s="1"/>
  <c r="DA204" i="15"/>
  <c r="DB204" i="15" s="1"/>
  <c r="DA208" i="15"/>
  <c r="DB208" i="15" s="1"/>
  <c r="DA212" i="15"/>
  <c r="DB212" i="15" s="1"/>
  <c r="DA216" i="15"/>
  <c r="DB216" i="15" s="1"/>
  <c r="DA223" i="15"/>
  <c r="DB223" i="15" s="1"/>
  <c r="DA227" i="15"/>
  <c r="DB227" i="15" s="1"/>
  <c r="DA231" i="15"/>
  <c r="DB231" i="15" s="1"/>
  <c r="DA234" i="15"/>
  <c r="DB234" i="15" s="1"/>
  <c r="DA238" i="15"/>
  <c r="DB238" i="15" s="1"/>
  <c r="DA242" i="15"/>
  <c r="DB242" i="15" s="1"/>
  <c r="DA246" i="15"/>
  <c r="DB246" i="15" s="1"/>
  <c r="DA253" i="15"/>
  <c r="DB253" i="15" s="1"/>
  <c r="DA257" i="15"/>
  <c r="DB257" i="15" s="1"/>
  <c r="DA261" i="15"/>
  <c r="DB261" i="15" s="1"/>
  <c r="DA265" i="15"/>
  <c r="DB265" i="15" s="1"/>
  <c r="DA272" i="15"/>
  <c r="DB272" i="15" s="1"/>
  <c r="DA276" i="15"/>
  <c r="DB276" i="15" s="1"/>
  <c r="DA280" i="15"/>
  <c r="DB280" i="15" s="1"/>
  <c r="DA284" i="15"/>
  <c r="DB284" i="15" s="1"/>
  <c r="DA288" i="15"/>
  <c r="DB288" i="15" s="1"/>
  <c r="DA292" i="15"/>
  <c r="DB292" i="15" s="1"/>
  <c r="DA296" i="15"/>
  <c r="DB296" i="15" s="1"/>
  <c r="DA300" i="15"/>
  <c r="DB300" i="15" s="1"/>
  <c r="DA303" i="15"/>
  <c r="DB303" i="15" s="1"/>
  <c r="DA307" i="15"/>
  <c r="DB307" i="15" s="1"/>
  <c r="DA311" i="15"/>
  <c r="DB311" i="15" s="1"/>
  <c r="DA315" i="15"/>
  <c r="DB315" i="15" s="1"/>
  <c r="DA319" i="15"/>
  <c r="DB319" i="15" s="1"/>
  <c r="DA323" i="15"/>
  <c r="DB323" i="15" s="1"/>
  <c r="DA326" i="15"/>
  <c r="DB326" i="15" s="1"/>
  <c r="DA330" i="15"/>
  <c r="DB330" i="15" s="1"/>
  <c r="DA334" i="15"/>
  <c r="DB334" i="15" s="1"/>
  <c r="DA338" i="15"/>
  <c r="DB338" i="15" s="1"/>
  <c r="DA342" i="15"/>
  <c r="DB342" i="15" s="1"/>
  <c r="DA346" i="15"/>
  <c r="DB346" i="15" s="1"/>
  <c r="DA350" i="15"/>
  <c r="DB350" i="15" s="1"/>
  <c r="DA354" i="15"/>
  <c r="DB354" i="15" s="1"/>
  <c r="DA358" i="15"/>
  <c r="DB358" i="15" s="1"/>
  <c r="DA362" i="15"/>
  <c r="DB362" i="15" s="1"/>
  <c r="DA366" i="15"/>
  <c r="DB366" i="15" s="1"/>
  <c r="DA370" i="15"/>
  <c r="DB370" i="15" s="1"/>
  <c r="DA373" i="15"/>
  <c r="DB373" i="15" s="1"/>
  <c r="DA377" i="15"/>
  <c r="DB377" i="15" s="1"/>
  <c r="DA381" i="15"/>
  <c r="DB381" i="15" s="1"/>
  <c r="DA385" i="15"/>
  <c r="DB385" i="15" s="1"/>
  <c r="DA389" i="15"/>
  <c r="DB389" i="15" s="1"/>
  <c r="DA393" i="15"/>
  <c r="DB393" i="15" s="1"/>
  <c r="DA397" i="15"/>
  <c r="DB397" i="15" s="1"/>
  <c r="DA401" i="15"/>
  <c r="DB401" i="15" s="1"/>
  <c r="DA405" i="15"/>
  <c r="DB405" i="15" s="1"/>
  <c r="DA408" i="15"/>
  <c r="DB408" i="15" s="1"/>
  <c r="DA412" i="15"/>
  <c r="DB412" i="15" s="1"/>
  <c r="DA416" i="15"/>
  <c r="DB416" i="15" s="1"/>
  <c r="DA420" i="15"/>
  <c r="DB420" i="15" s="1"/>
  <c r="DA424" i="15"/>
  <c r="DB424" i="15" s="1"/>
  <c r="DA428" i="15"/>
  <c r="DB428" i="15" s="1"/>
  <c r="DA431" i="15"/>
  <c r="DB431" i="15" s="1"/>
  <c r="DA435" i="15"/>
  <c r="DB435" i="15" s="1"/>
  <c r="DA439" i="15"/>
  <c r="DB439" i="15" s="1"/>
  <c r="DA443" i="15"/>
  <c r="DB443" i="15" s="1"/>
  <c r="DA447" i="15"/>
  <c r="DB447" i="15" s="1"/>
  <c r="DA451" i="15"/>
  <c r="DB451" i="15" s="1"/>
  <c r="DA455" i="15"/>
  <c r="DB455" i="15" s="1"/>
  <c r="DA458" i="15"/>
  <c r="DB458" i="15" s="1"/>
  <c r="DC458" i="15" s="1"/>
  <c r="DA462" i="15"/>
  <c r="DB462" i="15" s="1"/>
  <c r="DC462" i="15" s="1"/>
  <c r="DA466" i="15"/>
  <c r="DB466" i="15" s="1"/>
  <c r="DC466" i="15" s="1"/>
  <c r="DA473" i="15"/>
  <c r="DB473" i="15" s="1"/>
  <c r="DA477" i="15"/>
  <c r="DB477" i="15" s="1"/>
  <c r="DA481" i="15"/>
  <c r="DB481" i="15" s="1"/>
  <c r="DA485" i="15"/>
  <c r="DB485" i="15" s="1"/>
  <c r="DA489" i="15"/>
  <c r="DB489" i="15" s="1"/>
  <c r="DA492" i="15"/>
  <c r="DB492" i="15" s="1"/>
  <c r="DA496" i="15"/>
  <c r="DB496" i="15" s="1"/>
  <c r="DA500" i="15"/>
  <c r="DB500" i="15" s="1"/>
  <c r="DA504" i="15"/>
  <c r="DB504" i="15" s="1"/>
  <c r="DA508" i="15"/>
  <c r="DB508" i="15" s="1"/>
  <c r="DA512" i="15"/>
  <c r="DB512" i="15" s="1"/>
  <c r="DA515" i="15"/>
  <c r="DB515" i="15" s="1"/>
  <c r="DA519" i="15"/>
  <c r="DB519" i="15" s="1"/>
  <c r="DA523" i="15"/>
  <c r="DB523" i="15" s="1"/>
  <c r="DA527" i="15"/>
  <c r="DB527" i="15" s="1"/>
  <c r="DA530" i="15"/>
  <c r="DB530" i="15" s="1"/>
  <c r="DA534" i="15"/>
  <c r="DB534" i="15" s="1"/>
  <c r="DA538" i="15"/>
  <c r="DB538" i="15" s="1"/>
  <c r="DA542" i="15"/>
  <c r="DB542" i="15" s="1"/>
  <c r="DA546" i="15"/>
  <c r="DB546" i="15" s="1"/>
  <c r="DA549" i="15"/>
  <c r="DB549" i="15" s="1"/>
  <c r="DA553" i="15"/>
  <c r="DB553" i="15" s="1"/>
  <c r="DA557" i="15"/>
  <c r="DB557" i="15" s="1"/>
  <c r="DA561" i="15"/>
  <c r="DB561" i="15" s="1"/>
  <c r="DA565" i="15"/>
  <c r="DB565" i="15" s="1"/>
  <c r="DA569" i="15"/>
  <c r="DB569" i="15" s="1"/>
  <c r="DA574" i="15"/>
  <c r="DB574" i="15" s="1"/>
  <c r="DA577" i="15"/>
  <c r="DB577" i="15" s="1"/>
  <c r="DA580" i="15"/>
  <c r="DB580" i="15" s="1"/>
  <c r="DA584" i="15"/>
  <c r="DB584" i="15" s="1"/>
  <c r="DA588" i="15"/>
  <c r="DB588" i="15" s="1"/>
  <c r="DA592" i="15"/>
  <c r="DB592" i="15" s="1"/>
  <c r="DA596" i="15"/>
  <c r="DB596" i="15" s="1"/>
  <c r="DA600" i="15"/>
  <c r="DB600" i="15" s="1"/>
  <c r="DA604" i="15"/>
  <c r="DB604" i="15" s="1"/>
  <c r="DA608" i="15"/>
  <c r="DB608" i="15" s="1"/>
  <c r="DA615" i="15"/>
  <c r="DB615" i="15" s="1"/>
  <c r="DA619" i="15"/>
  <c r="DB619" i="15" s="1"/>
  <c r="DA622" i="15"/>
  <c r="DB622" i="15" s="1"/>
  <c r="DA626" i="15"/>
  <c r="DB626" i="15" s="1"/>
  <c r="DA630" i="15"/>
  <c r="DB630" i="15" s="1"/>
  <c r="DA634" i="15"/>
  <c r="DB634" i="15" s="1"/>
  <c r="DA638" i="15"/>
  <c r="DB638" i="15" s="1"/>
  <c r="DA645" i="15"/>
  <c r="DB645" i="15" s="1"/>
  <c r="DA649" i="15"/>
  <c r="DB649" i="15" s="1"/>
  <c r="DA653" i="15"/>
  <c r="DB653" i="15" s="1"/>
  <c r="DA657" i="15"/>
  <c r="DB657" i="15" s="1"/>
  <c r="DA661" i="15"/>
  <c r="DB661" i="15" s="1"/>
  <c r="DA665" i="15"/>
  <c r="DB665" i="15" s="1"/>
  <c r="DA672" i="15"/>
  <c r="DB672" i="15" s="1"/>
  <c r="DA676" i="15"/>
  <c r="DB676" i="15" s="1"/>
  <c r="DA680" i="15"/>
  <c r="DB680" i="15" s="1"/>
  <c r="DA684" i="15"/>
  <c r="DB684" i="15" s="1"/>
  <c r="DA688" i="15"/>
  <c r="DB688" i="15" s="1"/>
  <c r="DA691" i="15"/>
  <c r="DB691" i="15" s="1"/>
  <c r="DC691" i="15" s="1"/>
  <c r="DA695" i="15"/>
  <c r="DB695" i="15" s="1"/>
  <c r="DC695" i="15" s="1"/>
  <c r="DA699" i="15"/>
  <c r="DB699" i="15" s="1"/>
  <c r="DC699" i="15" s="1"/>
  <c r="DA703" i="15"/>
  <c r="DB703" i="15" s="1"/>
  <c r="DC703" i="15" s="1"/>
  <c r="DA707" i="15"/>
  <c r="DB707" i="15" s="1"/>
  <c r="DC707" i="15" s="1"/>
  <c r="DA711" i="15"/>
  <c r="DB711" i="15" s="1"/>
  <c r="DC711" i="15" s="1"/>
  <c r="DA718" i="15"/>
  <c r="DB718" i="15" s="1"/>
  <c r="DA722" i="15"/>
  <c r="DB722" i="15" s="1"/>
  <c r="DA726" i="15"/>
  <c r="DB726" i="15" s="1"/>
  <c r="DA730" i="15"/>
  <c r="DB730" i="15" s="1"/>
  <c r="DA733" i="15"/>
  <c r="DB733" i="15" s="1"/>
  <c r="DA737" i="15"/>
  <c r="DB737" i="15" s="1"/>
  <c r="DA741" i="15"/>
  <c r="DB741" i="15" s="1"/>
  <c r="DA745" i="15"/>
  <c r="DB745" i="15" s="1"/>
  <c r="DA749" i="15"/>
  <c r="DB749" i="15" s="1"/>
  <c r="DA756" i="15"/>
  <c r="DB756" i="15" s="1"/>
  <c r="DA758" i="15"/>
  <c r="DB758" i="15" s="1"/>
  <c r="DA762" i="15"/>
  <c r="DB762" i="15" s="1"/>
  <c r="DA766" i="15"/>
  <c r="DB766" i="15" s="1"/>
  <c r="DA770" i="15"/>
  <c r="DB770" i="15" s="1"/>
  <c r="DA776" i="15"/>
  <c r="DB776" i="15" s="1"/>
  <c r="DA779" i="15"/>
  <c r="DB779" i="15" s="1"/>
  <c r="DA783" i="15"/>
  <c r="DB783" i="15" s="1"/>
  <c r="DA787" i="15"/>
  <c r="DB787" i="15" s="1"/>
  <c r="DA791" i="15"/>
  <c r="DB791" i="15" s="1"/>
  <c r="DA798" i="15"/>
  <c r="DB798" i="15" s="1"/>
  <c r="DA802" i="15"/>
  <c r="DB802" i="15" s="1"/>
  <c r="DA806" i="15"/>
  <c r="DB806" i="15" s="1"/>
  <c r="DA810" i="15"/>
  <c r="DB810" i="15" s="1"/>
  <c r="DA814" i="15"/>
  <c r="DB814" i="15" s="1"/>
  <c r="DA818" i="15"/>
  <c r="DB818" i="15" s="1"/>
  <c r="DA822" i="15"/>
  <c r="DB822" i="15" s="1"/>
  <c r="DA826" i="15"/>
  <c r="DB826" i="15" s="1"/>
  <c r="DA829" i="15"/>
  <c r="DB829" i="15" s="1"/>
  <c r="DA833" i="15"/>
  <c r="DB833" i="15" s="1"/>
  <c r="DA837" i="15"/>
  <c r="DB837" i="15" s="1"/>
  <c r="DA841" i="15"/>
  <c r="DB841" i="15" s="1"/>
  <c r="DA845" i="15"/>
  <c r="DB845" i="15" s="1"/>
  <c r="DA849" i="15"/>
  <c r="DB849" i="15" s="1"/>
  <c r="DA853" i="15"/>
  <c r="DB853" i="15" s="1"/>
  <c r="DA857" i="15"/>
  <c r="DB857" i="15" s="1"/>
  <c r="DA861" i="15"/>
  <c r="DB861" i="15" s="1"/>
  <c r="DA308" i="15"/>
  <c r="DB308" i="15" s="1"/>
  <c r="DA312" i="15"/>
  <c r="DB312" i="15" s="1"/>
  <c r="DA316" i="15"/>
  <c r="DB316" i="15" s="1"/>
  <c r="DA320" i="15"/>
  <c r="DB320" i="15" s="1"/>
  <c r="DA327" i="15"/>
  <c r="DB327" i="15" s="1"/>
  <c r="DA331" i="15"/>
  <c r="DB331" i="15" s="1"/>
  <c r="DA335" i="15"/>
  <c r="DB335" i="15" s="1"/>
  <c r="DA339" i="15"/>
  <c r="DB339" i="15" s="1"/>
  <c r="DA343" i="15"/>
  <c r="DB343" i="15" s="1"/>
  <c r="DA347" i="15"/>
  <c r="DB347" i="15" s="1"/>
  <c r="DA351" i="15"/>
  <c r="DB351" i="15" s="1"/>
  <c r="DA355" i="15"/>
  <c r="DB355" i="15" s="1"/>
  <c r="DA359" i="15"/>
  <c r="DB359" i="15" s="1"/>
  <c r="DA363" i="15"/>
  <c r="DB363" i="15" s="1"/>
  <c r="DA367" i="15"/>
  <c r="DB367" i="15" s="1"/>
  <c r="DA371" i="15"/>
  <c r="DB371" i="15" s="1"/>
  <c r="DA374" i="15"/>
  <c r="DB374" i="15" s="1"/>
  <c r="DA378" i="15"/>
  <c r="DB378" i="15" s="1"/>
  <c r="DA382" i="15"/>
  <c r="DB382" i="15" s="1"/>
  <c r="DA386" i="15"/>
  <c r="DB386" i="15" s="1"/>
  <c r="DA390" i="15"/>
  <c r="DB390" i="15" s="1"/>
  <c r="DA394" i="15"/>
  <c r="DB394" i="15" s="1"/>
  <c r="DA398" i="15"/>
  <c r="DB398" i="15" s="1"/>
  <c r="DA402" i="15"/>
  <c r="DB402" i="15" s="1"/>
  <c r="DA409" i="15"/>
  <c r="DB409" i="15" s="1"/>
  <c r="DA413" i="15"/>
  <c r="DB413" i="15" s="1"/>
  <c r="DA417" i="15"/>
  <c r="DB417" i="15" s="1"/>
  <c r="DA421" i="15"/>
  <c r="DB421" i="15" s="1"/>
  <c r="DA425" i="15"/>
  <c r="DB425" i="15" s="1"/>
  <c r="DA432" i="15"/>
  <c r="DB432" i="15" s="1"/>
  <c r="DA436" i="15"/>
  <c r="DB436" i="15" s="1"/>
  <c r="DA440" i="15"/>
  <c r="DB440" i="15" s="1"/>
  <c r="DA444" i="15"/>
  <c r="DB444" i="15" s="1"/>
  <c r="DA448" i="15"/>
  <c r="DB448" i="15" s="1"/>
  <c r="DA452" i="15"/>
  <c r="DB452" i="15" s="1"/>
  <c r="DA459" i="15"/>
  <c r="DB459" i="15" s="1"/>
  <c r="DC459" i="15" s="1"/>
  <c r="DA463" i="15"/>
  <c r="DB463" i="15" s="1"/>
  <c r="DC463" i="15" s="1"/>
  <c r="DA467" i="15"/>
  <c r="DB467" i="15" s="1"/>
  <c r="DC467" i="15" s="1"/>
  <c r="DA471" i="15"/>
  <c r="DB471" i="15" s="1"/>
  <c r="DA474" i="15"/>
  <c r="DB474" i="15" s="1"/>
  <c r="DA478" i="15"/>
  <c r="DB478" i="15" s="1"/>
  <c r="DA482" i="15"/>
  <c r="DB482" i="15" s="1"/>
  <c r="DA486" i="15"/>
  <c r="DB486" i="15" s="1"/>
  <c r="DA493" i="15"/>
  <c r="DB493" i="15" s="1"/>
  <c r="DA497" i="15"/>
  <c r="DB497" i="15" s="1"/>
  <c r="DA501" i="15"/>
  <c r="DB501" i="15" s="1"/>
  <c r="DA505" i="15"/>
  <c r="DB505" i="15" s="1"/>
  <c r="DA509" i="15"/>
  <c r="DB509" i="15" s="1"/>
  <c r="DA513" i="15"/>
  <c r="DB513" i="15" s="1"/>
  <c r="DA516" i="15"/>
  <c r="DB516" i="15" s="1"/>
  <c r="DA520" i="15"/>
  <c r="DB520" i="15" s="1"/>
  <c r="DA524" i="15"/>
  <c r="DB524" i="15" s="1"/>
  <c r="DA10" i="15"/>
  <c r="DB10" i="15" s="1"/>
  <c r="DA18" i="15"/>
  <c r="DB18" i="15" s="1"/>
  <c r="DA26" i="15"/>
  <c r="DB26" i="15" s="1"/>
  <c r="DA34" i="15"/>
  <c r="DB34" i="15" s="1"/>
  <c r="DA37" i="15"/>
  <c r="DB37" i="15" s="1"/>
  <c r="DA44" i="15"/>
  <c r="DB44" i="15" s="1"/>
  <c r="DA48" i="15"/>
  <c r="DB48" i="15" s="1"/>
  <c r="DA52" i="15"/>
  <c r="DB52" i="15" s="1"/>
  <c r="DA56" i="15"/>
  <c r="DB56" i="15" s="1"/>
  <c r="DA60" i="15"/>
  <c r="DB60" i="15" s="1"/>
  <c r="DA67" i="15"/>
  <c r="DB67" i="15" s="1"/>
  <c r="DA71" i="15"/>
  <c r="DB71" i="15" s="1"/>
  <c r="DA75" i="15"/>
  <c r="DB75" i="15" s="1"/>
  <c r="DA79" i="15"/>
  <c r="DB79" i="15" s="1"/>
  <c r="DA83" i="15"/>
  <c r="DB83" i="15" s="1"/>
  <c r="DA86" i="15"/>
  <c r="DB86" i="15" s="1"/>
  <c r="DA90" i="15"/>
  <c r="DB90" i="15" s="1"/>
  <c r="DA94" i="15"/>
  <c r="DB94" i="15" s="1"/>
  <c r="DA98" i="15"/>
  <c r="DB98" i="15" s="1"/>
  <c r="DA101" i="15"/>
  <c r="DB101" i="15" s="1"/>
  <c r="DA105" i="15"/>
  <c r="DB105" i="15" s="1"/>
  <c r="DA109" i="15"/>
  <c r="DB109" i="15" s="1"/>
  <c r="DA113" i="15"/>
  <c r="DB113" i="15" s="1"/>
  <c r="DA117" i="15"/>
  <c r="DB117" i="15" s="1"/>
  <c r="DA121" i="15"/>
  <c r="DB121" i="15" s="1"/>
  <c r="DA125" i="15"/>
  <c r="DB125" i="15" s="1"/>
  <c r="DA128" i="15"/>
  <c r="DB128" i="15" s="1"/>
  <c r="DA132" i="15"/>
  <c r="DB132" i="15" s="1"/>
  <c r="DA136" i="15"/>
  <c r="DB136" i="15" s="1"/>
  <c r="DA140" i="15"/>
  <c r="DB140" i="15" s="1"/>
  <c r="DA144" i="15"/>
  <c r="DB144" i="15" s="1"/>
  <c r="DA147" i="15"/>
  <c r="DB147" i="15" s="1"/>
  <c r="DA151" i="15"/>
  <c r="DB151" i="15" s="1"/>
  <c r="DA155" i="15"/>
  <c r="DB155" i="15" s="1"/>
  <c r="DA159" i="15"/>
  <c r="DB159" i="15" s="1"/>
  <c r="DA163" i="15"/>
  <c r="DB163" i="15" s="1"/>
  <c r="DA167" i="15"/>
  <c r="DB167" i="15" s="1"/>
  <c r="DA170" i="15"/>
  <c r="DB170" i="15" s="1"/>
  <c r="DA174" i="15"/>
  <c r="DB174" i="15" s="1"/>
  <c r="DA178" i="15"/>
  <c r="DB178" i="15" s="1"/>
  <c r="DA182" i="15"/>
  <c r="DB182" i="15" s="1"/>
  <c r="DA186" i="15"/>
  <c r="DB186" i="15" s="1"/>
  <c r="DA190" i="15"/>
  <c r="DB190" i="15" s="1"/>
  <c r="DA193" i="15"/>
  <c r="DB193" i="15" s="1"/>
  <c r="DA197" i="15"/>
  <c r="DB197" i="15" s="1"/>
  <c r="DA201" i="15"/>
  <c r="DB201" i="15" s="1"/>
  <c r="DA205" i="15"/>
  <c r="DB205" i="15" s="1"/>
  <c r="DA209" i="15"/>
  <c r="DB209" i="15" s="1"/>
  <c r="DA213" i="15"/>
  <c r="DB213" i="15" s="1"/>
  <c r="DA217" i="15"/>
  <c r="DB217" i="15" s="1"/>
  <c r="DA220" i="15"/>
  <c r="DB220" i="15" s="1"/>
  <c r="DA224" i="15"/>
  <c r="DB224" i="15" s="1"/>
  <c r="DA228" i="15"/>
  <c r="DB228" i="15" s="1"/>
  <c r="DA232" i="15"/>
  <c r="DB232" i="15" s="1"/>
  <c r="DA235" i="15"/>
  <c r="DB235" i="15" s="1"/>
  <c r="DA239" i="15"/>
  <c r="DB239" i="15" s="1"/>
  <c r="DA243" i="15"/>
  <c r="DB243" i="15" s="1"/>
  <c r="DA247" i="15"/>
  <c r="DB247" i="15" s="1"/>
  <c r="DA251" i="15"/>
  <c r="DB251" i="15" s="1"/>
  <c r="DA254" i="15"/>
  <c r="DB254" i="15" s="1"/>
  <c r="DA258" i="15"/>
  <c r="DB258" i="15" s="1"/>
  <c r="DA262" i="15"/>
  <c r="DB262" i="15" s="1"/>
  <c r="DA266" i="15"/>
  <c r="DB266" i="15" s="1"/>
  <c r="DA270" i="15"/>
  <c r="DB270" i="15" s="1"/>
  <c r="DA273" i="15"/>
  <c r="DB273" i="15" s="1"/>
  <c r="DA277" i="15"/>
  <c r="DB277" i="15" s="1"/>
  <c r="DA281" i="15"/>
  <c r="DB281" i="15" s="1"/>
  <c r="DA285" i="15"/>
  <c r="DB285" i="15" s="1"/>
  <c r="DA289" i="15"/>
  <c r="DB289" i="15" s="1"/>
  <c r="DA293" i="15"/>
  <c r="DB293" i="15" s="1"/>
  <c r="DA297" i="15"/>
  <c r="DB297" i="15" s="1"/>
  <c r="DA304" i="15"/>
  <c r="DB304" i="15" s="1"/>
  <c r="DA12" i="15"/>
  <c r="DB12" i="15" s="1"/>
  <c r="DA20" i="15"/>
  <c r="DB20" i="15" s="1"/>
  <c r="DA28" i="15"/>
  <c r="DB28" i="15" s="1"/>
  <c r="DA38" i="15"/>
  <c r="DB38" i="15" s="1"/>
  <c r="DA42" i="15"/>
  <c r="DB42" i="15" s="1"/>
  <c r="DA45" i="15"/>
  <c r="DB45" i="15" s="1"/>
  <c r="DA49" i="15"/>
  <c r="DB49" i="15" s="1"/>
  <c r="DA53" i="15"/>
  <c r="DB53" i="15" s="1"/>
  <c r="DA57" i="15"/>
  <c r="DB57" i="15" s="1"/>
  <c r="DA61" i="15"/>
  <c r="DB61" i="15" s="1"/>
  <c r="DA65" i="15"/>
  <c r="DB65" i="15" s="1"/>
  <c r="DA68" i="15"/>
  <c r="DB68" i="15" s="1"/>
  <c r="DA72" i="15"/>
  <c r="DB72" i="15" s="1"/>
  <c r="DA76" i="15"/>
  <c r="DB76" i="15" s="1"/>
  <c r="DA80" i="15"/>
  <c r="DB80" i="15" s="1"/>
  <c r="DA87" i="15"/>
  <c r="DB87" i="15" s="1"/>
  <c r="DA91" i="15"/>
  <c r="DB91" i="15" s="1"/>
  <c r="DA95" i="15"/>
  <c r="DB95" i="15" s="1"/>
  <c r="DA102" i="15"/>
  <c r="DB102" i="15" s="1"/>
  <c r="DA106" i="15"/>
  <c r="DB106" i="15" s="1"/>
  <c r="DA110" i="15"/>
  <c r="DB110" i="15" s="1"/>
  <c r="DA114" i="15"/>
  <c r="DB114" i="15" s="1"/>
  <c r="DA118" i="15"/>
  <c r="DB118" i="15" s="1"/>
  <c r="DA122" i="15"/>
  <c r="DB122" i="15" s="1"/>
  <c r="DA129" i="15"/>
  <c r="DB129" i="15" s="1"/>
  <c r="DA133" i="15"/>
  <c r="DB133" i="15" s="1"/>
  <c r="DA137" i="15"/>
  <c r="DB137" i="15" s="1"/>
  <c r="DA141" i="15"/>
  <c r="DB141" i="15" s="1"/>
  <c r="DA145" i="15"/>
  <c r="DB145" i="15" s="1"/>
  <c r="DA148" i="15"/>
  <c r="DB148" i="15" s="1"/>
  <c r="DA152" i="15"/>
  <c r="DB152" i="15" s="1"/>
  <c r="DA156" i="15"/>
  <c r="DB156" i="15" s="1"/>
  <c r="DA160" i="15"/>
  <c r="DB160" i="15" s="1"/>
  <c r="DA164" i="15"/>
  <c r="DB164" i="15" s="1"/>
  <c r="DA168" i="15"/>
  <c r="DB168" i="15" s="1"/>
  <c r="DA171" i="15"/>
  <c r="DB171" i="15" s="1"/>
  <c r="DA175" i="15"/>
  <c r="DB175" i="15" s="1"/>
  <c r="DA179" i="15"/>
  <c r="DB179" i="15" s="1"/>
  <c r="DA183" i="15"/>
  <c r="DB183" i="15" s="1"/>
  <c r="DA187" i="15"/>
  <c r="DB187" i="15" s="1"/>
  <c r="DA194" i="15"/>
  <c r="DB194" i="15" s="1"/>
  <c r="DA198" i="15"/>
  <c r="DB198" i="15" s="1"/>
  <c r="DA202" i="15"/>
  <c r="DB202" i="15" s="1"/>
  <c r="DA206" i="15"/>
  <c r="DB206" i="15" s="1"/>
  <c r="DA210" i="15"/>
  <c r="DB210" i="15" s="1"/>
  <c r="DA214" i="15"/>
  <c r="DB214" i="15" s="1"/>
  <c r="DA218" i="15"/>
  <c r="DB218" i="15" s="1"/>
  <c r="DA221" i="15"/>
  <c r="DB221" i="15" s="1"/>
  <c r="DA225" i="15"/>
  <c r="DB225" i="15" s="1"/>
  <c r="DA229" i="15"/>
  <c r="DB229" i="15" s="1"/>
  <c r="DA236" i="15"/>
  <c r="DB236" i="15" s="1"/>
  <c r="DA240" i="15"/>
  <c r="DB240" i="15" s="1"/>
  <c r="DA244" i="15"/>
  <c r="DB244" i="15" s="1"/>
  <c r="DA248" i="15"/>
  <c r="DB248" i="15" s="1"/>
  <c r="DA255" i="15"/>
  <c r="DB255" i="15" s="1"/>
  <c r="DA259" i="15"/>
  <c r="DB259" i="15" s="1"/>
  <c r="DA263" i="15"/>
  <c r="DB263" i="15" s="1"/>
  <c r="DA267" i="15"/>
  <c r="DB267" i="15" s="1"/>
  <c r="DA271" i="15"/>
  <c r="DB271" i="15" s="1"/>
  <c r="DA275" i="15"/>
  <c r="DB275" i="15" s="1"/>
  <c r="DA278" i="15"/>
  <c r="DB278" i="15" s="1"/>
  <c r="DA282" i="15"/>
  <c r="DB282" i="15" s="1"/>
  <c r="DA286" i="15"/>
  <c r="DB286" i="15" s="1"/>
  <c r="DA290" i="15"/>
  <c r="DB290" i="15" s="1"/>
  <c r="DA294" i="15"/>
  <c r="DB294" i="15" s="1"/>
  <c r="DA298" i="15"/>
  <c r="DB298" i="15" s="1"/>
  <c r="DA301" i="15"/>
  <c r="DB301" i="15" s="1"/>
  <c r="DA305" i="15"/>
  <c r="DB305" i="15" s="1"/>
  <c r="DA309" i="15"/>
  <c r="DB309" i="15" s="1"/>
  <c r="DA313" i="15"/>
  <c r="DB313" i="15" s="1"/>
  <c r="DA317" i="15"/>
  <c r="DB317" i="15" s="1"/>
  <c r="DA321" i="15"/>
  <c r="DB321" i="15" s="1"/>
  <c r="DA325" i="15"/>
  <c r="DB325" i="15" s="1"/>
  <c r="DA328" i="15"/>
  <c r="DB328" i="15" s="1"/>
  <c r="DA332" i="15"/>
  <c r="DB332" i="15" s="1"/>
  <c r="DA336" i="15"/>
  <c r="DB336" i="15" s="1"/>
  <c r="DA340" i="15"/>
  <c r="DB340" i="15" s="1"/>
  <c r="DA344" i="15"/>
  <c r="DB344" i="15" s="1"/>
  <c r="DA348" i="15"/>
  <c r="DB348" i="15" s="1"/>
  <c r="DA352" i="15"/>
  <c r="DB352" i="15" s="1"/>
  <c r="DA356" i="15"/>
  <c r="DB356" i="15" s="1"/>
  <c r="DA360" i="15"/>
  <c r="DB360" i="15" s="1"/>
  <c r="DA364" i="15"/>
  <c r="DB364" i="15" s="1"/>
  <c r="DA368" i="15"/>
  <c r="DB368" i="15" s="1"/>
  <c r="DA375" i="15"/>
  <c r="DB375" i="15" s="1"/>
  <c r="DA379" i="15"/>
  <c r="DB379" i="15" s="1"/>
  <c r="DA383" i="15"/>
  <c r="DB383" i="15" s="1"/>
  <c r="DA387" i="15"/>
  <c r="DB387" i="15" s="1"/>
  <c r="DA391" i="15"/>
  <c r="DB391" i="15" s="1"/>
  <c r="DA395" i="15"/>
  <c r="DB395" i="15" s="1"/>
  <c r="DA399" i="15"/>
  <c r="DB399" i="15" s="1"/>
  <c r="DA403" i="15"/>
  <c r="DB403" i="15" s="1"/>
  <c r="DA407" i="15"/>
  <c r="DB407" i="15" s="1"/>
  <c r="DA410" i="15"/>
  <c r="DB410" i="15" s="1"/>
  <c r="DA414" i="15"/>
  <c r="DB414" i="15" s="1"/>
  <c r="DA418" i="15"/>
  <c r="DB418" i="15" s="1"/>
  <c r="DA422" i="15"/>
  <c r="DB422" i="15" s="1"/>
  <c r="DA426" i="15"/>
  <c r="DB426" i="15" s="1"/>
  <c r="DA430" i="15"/>
  <c r="DB430" i="15" s="1"/>
  <c r="DA433" i="15"/>
  <c r="DB433" i="15" s="1"/>
  <c r="DA437" i="15"/>
  <c r="DB437" i="15" s="1"/>
  <c r="DA441" i="15"/>
  <c r="DB441" i="15" s="1"/>
  <c r="DA445" i="15"/>
  <c r="DB445" i="15" s="1"/>
  <c r="DA449" i="15"/>
  <c r="DB449" i="15" s="1"/>
  <c r="DA453" i="15"/>
  <c r="DB453" i="15" s="1"/>
  <c r="DA456" i="15"/>
  <c r="DB456" i="15" s="1"/>
  <c r="DC456" i="15" s="1"/>
  <c r="DA460" i="15"/>
  <c r="DB460" i="15" s="1"/>
  <c r="DC460" i="15" s="1"/>
  <c r="DA464" i="15"/>
  <c r="DB464" i="15" s="1"/>
  <c r="DC464" i="15" s="1"/>
  <c r="DA468" i="15"/>
  <c r="DB468" i="15" s="1"/>
  <c r="DC468" i="15" s="1"/>
  <c r="DA472" i="15"/>
  <c r="DB472" i="15" s="1"/>
  <c r="DA475" i="15"/>
  <c r="DB475" i="15" s="1"/>
  <c r="DA479" i="15"/>
  <c r="DB479" i="15" s="1"/>
  <c r="DA483" i="15"/>
  <c r="DB483" i="15" s="1"/>
  <c r="DA487" i="15"/>
  <c r="DB487" i="15" s="1"/>
  <c r="DA491" i="15"/>
  <c r="DB491" i="15" s="1"/>
  <c r="DA494" i="15"/>
  <c r="DB494" i="15" s="1"/>
  <c r="DA498" i="15"/>
  <c r="DB498" i="15" s="1"/>
  <c r="DA502" i="15"/>
  <c r="DB502" i="15" s="1"/>
  <c r="DA506" i="15"/>
  <c r="DB506" i="15" s="1"/>
  <c r="DA510" i="15"/>
  <c r="DB510" i="15" s="1"/>
  <c r="DA514" i="15"/>
  <c r="DB514" i="15" s="1"/>
  <c r="DA517" i="15"/>
  <c r="DB517" i="15" s="1"/>
  <c r="DA521" i="15"/>
  <c r="DB521" i="15" s="1"/>
  <c r="DA525" i="15"/>
  <c r="DB525" i="15" s="1"/>
  <c r="DA529" i="15"/>
  <c r="DB529" i="15" s="1"/>
  <c r="DA532" i="15"/>
  <c r="DB532" i="15" s="1"/>
  <c r="DA536" i="15"/>
  <c r="DB536" i="15" s="1"/>
  <c r="DA540" i="15"/>
  <c r="DB540" i="15" s="1"/>
  <c r="DA544" i="15"/>
  <c r="DB544" i="15" s="1"/>
  <c r="DA548" i="15"/>
  <c r="DB548" i="15" s="1"/>
  <c r="DA551" i="15"/>
  <c r="DB551" i="15" s="1"/>
  <c r="DA555" i="15"/>
  <c r="DB555" i="15" s="1"/>
  <c r="DA559" i="15"/>
  <c r="DB559" i="15" s="1"/>
  <c r="DA563" i="15"/>
  <c r="DB563" i="15" s="1"/>
  <c r="DA567" i="15"/>
  <c r="DB567" i="15" s="1"/>
  <c r="DA571" i="15"/>
  <c r="DB571" i="15" s="1"/>
  <c r="DA575" i="15"/>
  <c r="DB575" i="15" s="1"/>
  <c r="DA582" i="15"/>
  <c r="DB582" i="15" s="1"/>
  <c r="DA586" i="15"/>
  <c r="DB586" i="15" s="1"/>
  <c r="DA590" i="15"/>
  <c r="DB590" i="15" s="1"/>
  <c r="DA594" i="15"/>
  <c r="DB594" i="15" s="1"/>
  <c r="DA598" i="15"/>
  <c r="DB598" i="15" s="1"/>
  <c r="DA602" i="15"/>
  <c r="DB602" i="15" s="1"/>
  <c r="DA606" i="15"/>
  <c r="DB606" i="15" s="1"/>
  <c r="DA610" i="15"/>
  <c r="DB610" i="15" s="1"/>
  <c r="DA613" i="15"/>
  <c r="DB613" i="15" s="1"/>
  <c r="DA617" i="15"/>
  <c r="DB617" i="15" s="1"/>
  <c r="DA621" i="15"/>
  <c r="DB621" i="15" s="1"/>
  <c r="DA624" i="15"/>
  <c r="DB624" i="15" s="1"/>
  <c r="DA628" i="15"/>
  <c r="DB628" i="15" s="1"/>
  <c r="DA632" i="15"/>
  <c r="DB632" i="15" s="1"/>
  <c r="DA636" i="15"/>
  <c r="DB636" i="15" s="1"/>
  <c r="DA643" i="15"/>
  <c r="DB643" i="15" s="1"/>
  <c r="DA647" i="15"/>
  <c r="DB647" i="15" s="1"/>
  <c r="DA651" i="15"/>
  <c r="DB651" i="15" s="1"/>
  <c r="DA655" i="15"/>
  <c r="DB655" i="15" s="1"/>
  <c r="DA659" i="15"/>
  <c r="DB659" i="15" s="1"/>
  <c r="DA663" i="15"/>
  <c r="DB663" i="15" s="1"/>
  <c r="DA667" i="15"/>
  <c r="DB667" i="15" s="1"/>
  <c r="DA670" i="15"/>
  <c r="DB670" i="15" s="1"/>
  <c r="DA674" i="15"/>
  <c r="DB674" i="15" s="1"/>
  <c r="DA678" i="15"/>
  <c r="DB678" i="15" s="1"/>
  <c r="DA682" i="15"/>
  <c r="DB682" i="15" s="1"/>
  <c r="DA686" i="15"/>
  <c r="DB686" i="15" s="1"/>
  <c r="DA689" i="15"/>
  <c r="DB689" i="15" s="1"/>
  <c r="DC689" i="15" s="1"/>
  <c r="DA693" i="15"/>
  <c r="DB693" i="15" s="1"/>
  <c r="DC693" i="15" s="1"/>
  <c r="DA697" i="15"/>
  <c r="DB697" i="15" s="1"/>
  <c r="DC697" i="15" s="1"/>
  <c r="DA701" i="15"/>
  <c r="DB701" i="15" s="1"/>
  <c r="DC701" i="15" s="1"/>
  <c r="DA705" i="15"/>
  <c r="DB705" i="15" s="1"/>
  <c r="DC705" i="15" s="1"/>
  <c r="DA709" i="15"/>
  <c r="DB709" i="15" s="1"/>
  <c r="DC709" i="15" s="1"/>
  <c r="DA713" i="15"/>
  <c r="DB713" i="15" s="1"/>
  <c r="DA716" i="15"/>
  <c r="DB716" i="15" s="1"/>
  <c r="DA720" i="15"/>
  <c r="DB720" i="15" s="1"/>
  <c r="DA724" i="15"/>
  <c r="DB724" i="15" s="1"/>
  <c r="DA728" i="15"/>
  <c r="DB728" i="15" s="1"/>
  <c r="DA732" i="15"/>
  <c r="DB732" i="15" s="1"/>
  <c r="DA735" i="15"/>
  <c r="DB735" i="15" s="1"/>
  <c r="DA739" i="15"/>
  <c r="DB739" i="15" s="1"/>
  <c r="DA743" i="15"/>
  <c r="DB743" i="15" s="1"/>
  <c r="DA747" i="15"/>
  <c r="DB747" i="15" s="1"/>
  <c r="DA751" i="15"/>
  <c r="DB751" i="15" s="1"/>
  <c r="DA773" i="15"/>
  <c r="DB773" i="15" s="1"/>
  <c r="DA760" i="15"/>
  <c r="DB760" i="15" s="1"/>
  <c r="DA764" i="15"/>
  <c r="DB764" i="15" s="1"/>
  <c r="DA768" i="15"/>
  <c r="DB768" i="15" s="1"/>
  <c r="DA772" i="15"/>
  <c r="DB772" i="15" s="1"/>
  <c r="DA777" i="15"/>
  <c r="DB777" i="15" s="1"/>
  <c r="DA781" i="15"/>
  <c r="DB781" i="15" s="1"/>
  <c r="DA785" i="15"/>
  <c r="DB785" i="15" s="1"/>
  <c r="DA789" i="15"/>
  <c r="DB789" i="15" s="1"/>
  <c r="DA793" i="15"/>
  <c r="DB793" i="15" s="1"/>
  <c r="DA800" i="15"/>
  <c r="DB800" i="15" s="1"/>
  <c r="DA804" i="15"/>
  <c r="DB804" i="15" s="1"/>
  <c r="DA808" i="15"/>
  <c r="DB808" i="15" s="1"/>
  <c r="DA812" i="15"/>
  <c r="DB812" i="15" s="1"/>
  <c r="DA816" i="15"/>
  <c r="DB816" i="15" s="1"/>
  <c r="DA820" i="15"/>
  <c r="DB820" i="15" s="1"/>
  <c r="DA824" i="15"/>
  <c r="DB824" i="15" s="1"/>
  <c r="DA828" i="15"/>
  <c r="DB828" i="15" s="1"/>
  <c r="DA831" i="15"/>
  <c r="DB831" i="15" s="1"/>
  <c r="DA835" i="15"/>
  <c r="DB835" i="15" s="1"/>
  <c r="DA839" i="15"/>
  <c r="DB839" i="15" s="1"/>
  <c r="DA843" i="15"/>
  <c r="DB843" i="15" s="1"/>
  <c r="DA847" i="15"/>
  <c r="DB847" i="15" s="1"/>
  <c r="DA851" i="15"/>
  <c r="DB851" i="15" s="1"/>
  <c r="DA855" i="15"/>
  <c r="DB855" i="15" s="1"/>
  <c r="DA859" i="15"/>
  <c r="DB859" i="15" s="1"/>
  <c r="DA14" i="15"/>
  <c r="DB14" i="15" s="1"/>
  <c r="DA22" i="15"/>
  <c r="DB22" i="15" s="1"/>
  <c r="DA30" i="15"/>
  <c r="DB30" i="15" s="1"/>
  <c r="DA35" i="15"/>
  <c r="DB35" i="15" s="1"/>
  <c r="DA39" i="15"/>
  <c r="DB39" i="15" s="1"/>
  <c r="DA46" i="15"/>
  <c r="DB46" i="15" s="1"/>
  <c r="DA50" i="15"/>
  <c r="DB50" i="15" s="1"/>
  <c r="DA54" i="15"/>
  <c r="DB54" i="15" s="1"/>
  <c r="DA58" i="15"/>
  <c r="DB58" i="15" s="1"/>
  <c r="DA62" i="15"/>
  <c r="DB62" i="15" s="1"/>
  <c r="DA69" i="15"/>
  <c r="DB69" i="15" s="1"/>
  <c r="DA73" i="15"/>
  <c r="DB73" i="15" s="1"/>
  <c r="DA77" i="15"/>
  <c r="DB77" i="15" s="1"/>
  <c r="DA81" i="15"/>
  <c r="DB81" i="15" s="1"/>
  <c r="DA84" i="15"/>
  <c r="DB84" i="15" s="1"/>
  <c r="DA88" i="15"/>
  <c r="DB88" i="15" s="1"/>
  <c r="DA93" i="15"/>
  <c r="DB93" i="15" s="1"/>
  <c r="DA96" i="15"/>
  <c r="DB96" i="15" s="1"/>
  <c r="DA99" i="15"/>
  <c r="DB99" i="15" s="1"/>
  <c r="DA103" i="15"/>
  <c r="DB103" i="15" s="1"/>
  <c r="DA107" i="15"/>
  <c r="DB107" i="15" s="1"/>
  <c r="DA111" i="15"/>
  <c r="DB111" i="15" s="1"/>
  <c r="DA115" i="15"/>
  <c r="DB115" i="15" s="1"/>
  <c r="DA119" i="15"/>
  <c r="DB119" i="15" s="1"/>
  <c r="DA123" i="15"/>
  <c r="DB123" i="15" s="1"/>
  <c r="DA126" i="15"/>
  <c r="DB126" i="15" s="1"/>
  <c r="DA130" i="15"/>
  <c r="DB130" i="15" s="1"/>
  <c r="DA134" i="15"/>
  <c r="DB134" i="15" s="1"/>
  <c r="DA138" i="15"/>
  <c r="DB138" i="15" s="1"/>
  <c r="DA142" i="15"/>
  <c r="DB142" i="15" s="1"/>
  <c r="DA149" i="15"/>
  <c r="DB149" i="15" s="1"/>
  <c r="DA153" i="15"/>
  <c r="DB153" i="15" s="1"/>
  <c r="DA184" i="15"/>
  <c r="DB184" i="15" s="1"/>
  <c r="DA199" i="15"/>
  <c r="DB199" i="15" s="1"/>
  <c r="DA215" i="15"/>
  <c r="DB215" i="15" s="1"/>
  <c r="DA230" i="15"/>
  <c r="DB230" i="15" s="1"/>
  <c r="DA245" i="15"/>
  <c r="DB245" i="15" s="1"/>
  <c r="DA260" i="15"/>
  <c r="DB260" i="15" s="1"/>
  <c r="DA274" i="15"/>
  <c r="DB274" i="15" s="1"/>
  <c r="DA291" i="15"/>
  <c r="DB291" i="15" s="1"/>
  <c r="DA306" i="15"/>
  <c r="DB306" i="15" s="1"/>
  <c r="DA322" i="15"/>
  <c r="DB322" i="15" s="1"/>
  <c r="DA337" i="15"/>
  <c r="DB337" i="15" s="1"/>
  <c r="DA353" i="15"/>
  <c r="DB353" i="15" s="1"/>
  <c r="DA369" i="15"/>
  <c r="DB369" i="15" s="1"/>
  <c r="DA384" i="15"/>
  <c r="DB384" i="15" s="1"/>
  <c r="DA400" i="15"/>
  <c r="DB400" i="15" s="1"/>
  <c r="DA415" i="15"/>
  <c r="DB415" i="15" s="1"/>
  <c r="DA446" i="15"/>
  <c r="DB446" i="15" s="1"/>
  <c r="DA461" i="15"/>
  <c r="DB461" i="15" s="1"/>
  <c r="DC461" i="15" s="1"/>
  <c r="DA476" i="15"/>
  <c r="DB476" i="15" s="1"/>
  <c r="DA507" i="15"/>
  <c r="DB507" i="15" s="1"/>
  <c r="DA522" i="15"/>
  <c r="DB522" i="15" s="1"/>
  <c r="DA531" i="15"/>
  <c r="DB531" i="15" s="1"/>
  <c r="DA539" i="15"/>
  <c r="DB539" i="15" s="1"/>
  <c r="DA547" i="15"/>
  <c r="DB547" i="15" s="1"/>
  <c r="DA554" i="15"/>
  <c r="DB554" i="15" s="1"/>
  <c r="DA562" i="15"/>
  <c r="DB562" i="15" s="1"/>
  <c r="DA570" i="15"/>
  <c r="DB570" i="15" s="1"/>
  <c r="DA578" i="15"/>
  <c r="DB578" i="15" s="1"/>
  <c r="DA585" i="15"/>
  <c r="DB585" i="15" s="1"/>
  <c r="DA593" i="15"/>
  <c r="DB593" i="15" s="1"/>
  <c r="DA601" i="15"/>
  <c r="DB601" i="15" s="1"/>
  <c r="DA609" i="15"/>
  <c r="DB609" i="15" s="1"/>
  <c r="DA616" i="15"/>
  <c r="DB616" i="15" s="1"/>
  <c r="DA623" i="15"/>
  <c r="DB623" i="15" s="1"/>
  <c r="DA631" i="15"/>
  <c r="DB631" i="15" s="1"/>
  <c r="DA639" i="15"/>
  <c r="DB639" i="15" s="1"/>
  <c r="DA646" i="15"/>
  <c r="DB646" i="15" s="1"/>
  <c r="DA654" i="15"/>
  <c r="DB654" i="15" s="1"/>
  <c r="DA662" i="15"/>
  <c r="DB662" i="15" s="1"/>
  <c r="DA669" i="15"/>
  <c r="DB669" i="15" s="1"/>
  <c r="DA677" i="15"/>
  <c r="DB677" i="15" s="1"/>
  <c r="DA685" i="15"/>
  <c r="DB685" i="15" s="1"/>
  <c r="DA692" i="15"/>
  <c r="DB692" i="15" s="1"/>
  <c r="DC692" i="15" s="1"/>
  <c r="DA700" i="15"/>
  <c r="DB700" i="15" s="1"/>
  <c r="DC700" i="15" s="1"/>
  <c r="DA708" i="15"/>
  <c r="DB708" i="15" s="1"/>
  <c r="DC708" i="15" s="1"/>
  <c r="DA715" i="15"/>
  <c r="DB715" i="15" s="1"/>
  <c r="DA723" i="15"/>
  <c r="DB723" i="15" s="1"/>
  <c r="DA738" i="15"/>
  <c r="DB738" i="15" s="1"/>
  <c r="DA746" i="15"/>
  <c r="DB746" i="15" s="1"/>
  <c r="DA754" i="15"/>
  <c r="DB754" i="15" s="1"/>
  <c r="DA759" i="15"/>
  <c r="DB759" i="15" s="1"/>
  <c r="DA767" i="15"/>
  <c r="DB767" i="15" s="1"/>
  <c r="DA784" i="15"/>
  <c r="DB784" i="15" s="1"/>
  <c r="DA792" i="15"/>
  <c r="DB792" i="15" s="1"/>
  <c r="DA799" i="15"/>
  <c r="DB799" i="15" s="1"/>
  <c r="DA807" i="15"/>
  <c r="DB807" i="15" s="1"/>
  <c r="DA815" i="15"/>
  <c r="DB815" i="15" s="1"/>
  <c r="DA823" i="15"/>
  <c r="DB823" i="15" s="1"/>
  <c r="DA830" i="15"/>
  <c r="DB830" i="15" s="1"/>
  <c r="DA838" i="15"/>
  <c r="DB838" i="15" s="1"/>
  <c r="DA846" i="15"/>
  <c r="DB846" i="15" s="1"/>
  <c r="DA854" i="15"/>
  <c r="DB854" i="15" s="1"/>
  <c r="DA256" i="15"/>
  <c r="DB256" i="15" s="1"/>
  <c r="DA333" i="15"/>
  <c r="DB333" i="15" s="1"/>
  <c r="DA365" i="15"/>
  <c r="DB365" i="15" s="1"/>
  <c r="DA396" i="15"/>
  <c r="DB396" i="15" s="1"/>
  <c r="DA442" i="15"/>
  <c r="DB442" i="15" s="1"/>
  <c r="DA503" i="15"/>
  <c r="DB503" i="15" s="1"/>
  <c r="DA545" i="15"/>
  <c r="DB545" i="15" s="1"/>
  <c r="DA560" i="15"/>
  <c r="DB560" i="15" s="1"/>
  <c r="DA583" i="15"/>
  <c r="DB583" i="15" s="1"/>
  <c r="DA607" i="15"/>
  <c r="DB607" i="15" s="1"/>
  <c r="DA629" i="15"/>
  <c r="DB629" i="15" s="1"/>
  <c r="DA637" i="15"/>
  <c r="DB637" i="15" s="1"/>
  <c r="DA660" i="15"/>
  <c r="DB660" i="15" s="1"/>
  <c r="DA683" i="15"/>
  <c r="DB683" i="15" s="1"/>
  <c r="DA706" i="15"/>
  <c r="DB706" i="15" s="1"/>
  <c r="DC706" i="15" s="1"/>
  <c r="DA736" i="15"/>
  <c r="DB736" i="15" s="1"/>
  <c r="DA774" i="15"/>
  <c r="DB774" i="15" s="1"/>
  <c r="DA782" i="15"/>
  <c r="DB782" i="15" s="1"/>
  <c r="DA797" i="15"/>
  <c r="DB797" i="15" s="1"/>
  <c r="DA821" i="15"/>
  <c r="DB821" i="15" s="1"/>
  <c r="DA852" i="15"/>
  <c r="DB852" i="15" s="1"/>
  <c r="DA157" i="15"/>
  <c r="DB157" i="15" s="1"/>
  <c r="DA172" i="15"/>
  <c r="DB172" i="15" s="1"/>
  <c r="DA188" i="15"/>
  <c r="DB188" i="15" s="1"/>
  <c r="DA203" i="15"/>
  <c r="DB203" i="15" s="1"/>
  <c r="DA219" i="15"/>
  <c r="DB219" i="15" s="1"/>
  <c r="DA233" i="15"/>
  <c r="DB233" i="15" s="1"/>
  <c r="DA249" i="15"/>
  <c r="DB249" i="15" s="1"/>
  <c r="DA264" i="15"/>
  <c r="DB264" i="15" s="1"/>
  <c r="DA279" i="15"/>
  <c r="DB279" i="15" s="1"/>
  <c r="DA295" i="15"/>
  <c r="DB295" i="15" s="1"/>
  <c r="DA310" i="15"/>
  <c r="DB310" i="15" s="1"/>
  <c r="DA341" i="15"/>
  <c r="DB341" i="15" s="1"/>
  <c r="DA357" i="15"/>
  <c r="DB357" i="15" s="1"/>
  <c r="DA372" i="15"/>
  <c r="DB372" i="15" s="1"/>
  <c r="DA388" i="15"/>
  <c r="DB388" i="15" s="1"/>
  <c r="DA404" i="15"/>
  <c r="DB404" i="15" s="1"/>
  <c r="DA419" i="15"/>
  <c r="DB419" i="15" s="1"/>
  <c r="DA434" i="15"/>
  <c r="DB434" i="15" s="1"/>
  <c r="DA450" i="15"/>
  <c r="DB450" i="15" s="1"/>
  <c r="DA465" i="15"/>
  <c r="DB465" i="15" s="1"/>
  <c r="DC465" i="15" s="1"/>
  <c r="DA480" i="15"/>
  <c r="DB480" i="15" s="1"/>
  <c r="DA495" i="15"/>
  <c r="DB495" i="15" s="1"/>
  <c r="DA511" i="15"/>
  <c r="DB511" i="15" s="1"/>
  <c r="DA526" i="15"/>
  <c r="DB526" i="15" s="1"/>
  <c r="DA533" i="15"/>
  <c r="DB533" i="15" s="1"/>
  <c r="DA541" i="15"/>
  <c r="DB541" i="15" s="1"/>
  <c r="DA556" i="15"/>
  <c r="DB556" i="15" s="1"/>
  <c r="DA564" i="15"/>
  <c r="DB564" i="15" s="1"/>
  <c r="DA573" i="15"/>
  <c r="DB573" i="15" s="1"/>
  <c r="DA579" i="15"/>
  <c r="DB579" i="15" s="1"/>
  <c r="DA587" i="15"/>
  <c r="DB587" i="15" s="1"/>
  <c r="DA595" i="15"/>
  <c r="DB595" i="15" s="1"/>
  <c r="DA603" i="15"/>
  <c r="DB603" i="15" s="1"/>
  <c r="DA611" i="15"/>
  <c r="DB611" i="15" s="1"/>
  <c r="DA618" i="15"/>
  <c r="DB618" i="15" s="1"/>
  <c r="DA625" i="15"/>
  <c r="DB625" i="15" s="1"/>
  <c r="DA633" i="15"/>
  <c r="DB633" i="15" s="1"/>
  <c r="DA641" i="15"/>
  <c r="DB641" i="15" s="1"/>
  <c r="DA648" i="15"/>
  <c r="DB648" i="15" s="1"/>
  <c r="DA656" i="15"/>
  <c r="DB656" i="15" s="1"/>
  <c r="DA664" i="15"/>
  <c r="DB664" i="15" s="1"/>
  <c r="DA671" i="15"/>
  <c r="DB671" i="15" s="1"/>
  <c r="DA679" i="15"/>
  <c r="DB679" i="15" s="1"/>
  <c r="DA694" i="15"/>
  <c r="DB694" i="15" s="1"/>
  <c r="DC694" i="15" s="1"/>
  <c r="DA702" i="15"/>
  <c r="DB702" i="15" s="1"/>
  <c r="DC702" i="15" s="1"/>
  <c r="DA710" i="15"/>
  <c r="DB710" i="15" s="1"/>
  <c r="DC710" i="15" s="1"/>
  <c r="DA717" i="15"/>
  <c r="DB717" i="15" s="1"/>
  <c r="DA725" i="15"/>
  <c r="DB725" i="15" s="1"/>
  <c r="DA740" i="15"/>
  <c r="DB740" i="15" s="1"/>
  <c r="DA748" i="15"/>
  <c r="DB748" i="15" s="1"/>
  <c r="DA755" i="15"/>
  <c r="DB755" i="15" s="1"/>
  <c r="DA761" i="15"/>
  <c r="DB761" i="15" s="1"/>
  <c r="DA769" i="15"/>
  <c r="DB769" i="15" s="1"/>
  <c r="DA778" i="15"/>
  <c r="DB778" i="15" s="1"/>
  <c r="DA786" i="15"/>
  <c r="DB786" i="15" s="1"/>
  <c r="DA794" i="15"/>
  <c r="DB794" i="15" s="1"/>
  <c r="DA801" i="15"/>
  <c r="DB801" i="15" s="1"/>
  <c r="DA809" i="15"/>
  <c r="DB809" i="15" s="1"/>
  <c r="DA817" i="15"/>
  <c r="DB817" i="15" s="1"/>
  <c r="DA825" i="15"/>
  <c r="DB825" i="15" s="1"/>
  <c r="DA832" i="15"/>
  <c r="DB832" i="15" s="1"/>
  <c r="DA840" i="15"/>
  <c r="DB840" i="15" s="1"/>
  <c r="DA848" i="15"/>
  <c r="DB848" i="15" s="1"/>
  <c r="DA856" i="15"/>
  <c r="DB856" i="15" s="1"/>
  <c r="DA180" i="15"/>
  <c r="DB180" i="15" s="1"/>
  <c r="DA427" i="15"/>
  <c r="DB427" i="15" s="1"/>
  <c r="DA568" i="15"/>
  <c r="DB568" i="15" s="1"/>
  <c r="DA591" i="15"/>
  <c r="DB591" i="15" s="1"/>
  <c r="DA614" i="15"/>
  <c r="DB614" i="15" s="1"/>
  <c r="DA652" i="15"/>
  <c r="DB652" i="15" s="1"/>
  <c r="DA675" i="15"/>
  <c r="DB675" i="15" s="1"/>
  <c r="DA698" i="15"/>
  <c r="DB698" i="15" s="1"/>
  <c r="DC698" i="15" s="1"/>
  <c r="DA721" i="15"/>
  <c r="DB721" i="15" s="1"/>
  <c r="DA744" i="15"/>
  <c r="DB744" i="15" s="1"/>
  <c r="DA765" i="15"/>
  <c r="DB765" i="15" s="1"/>
  <c r="DA790" i="15"/>
  <c r="DB790" i="15" s="1"/>
  <c r="DA813" i="15"/>
  <c r="DB813" i="15" s="1"/>
  <c r="DA836" i="15"/>
  <c r="DB836" i="15" s="1"/>
  <c r="DA860" i="15"/>
  <c r="DB860" i="15" s="1"/>
  <c r="DA161" i="15"/>
  <c r="DB161" i="15" s="1"/>
  <c r="DA176" i="15"/>
  <c r="DB176" i="15" s="1"/>
  <c r="DA191" i="15"/>
  <c r="DB191" i="15" s="1"/>
  <c r="DA207" i="15"/>
  <c r="DB207" i="15" s="1"/>
  <c r="DA222" i="15"/>
  <c r="DB222" i="15" s="1"/>
  <c r="DA237" i="15"/>
  <c r="DB237" i="15" s="1"/>
  <c r="DA252" i="15"/>
  <c r="DB252" i="15" s="1"/>
  <c r="DA268" i="15"/>
  <c r="DB268" i="15" s="1"/>
  <c r="DA283" i="15"/>
  <c r="DB283" i="15" s="1"/>
  <c r="DA299" i="15"/>
  <c r="DB299" i="15" s="1"/>
  <c r="DA314" i="15"/>
  <c r="DB314" i="15" s="1"/>
  <c r="DA329" i="15"/>
  <c r="DB329" i="15" s="1"/>
  <c r="DA345" i="15"/>
  <c r="DB345" i="15" s="1"/>
  <c r="DA361" i="15"/>
  <c r="DB361" i="15" s="1"/>
  <c r="DA376" i="15"/>
  <c r="DB376" i="15" s="1"/>
  <c r="DA392" i="15"/>
  <c r="DB392" i="15" s="1"/>
  <c r="DA423" i="15"/>
  <c r="DB423" i="15" s="1"/>
  <c r="DA438" i="15"/>
  <c r="DB438" i="15" s="1"/>
  <c r="DA469" i="15"/>
  <c r="DB469" i="15" s="1"/>
  <c r="DC469" i="15" s="1"/>
  <c r="DA484" i="15"/>
  <c r="DB484" i="15" s="1"/>
  <c r="DA499" i="15"/>
  <c r="DB499" i="15" s="1"/>
  <c r="DA535" i="15"/>
  <c r="DB535" i="15" s="1"/>
  <c r="DA543" i="15"/>
  <c r="DB543" i="15" s="1"/>
  <c r="DA550" i="15"/>
  <c r="DB550" i="15" s="1"/>
  <c r="DA558" i="15"/>
  <c r="DB558" i="15" s="1"/>
  <c r="DA566" i="15"/>
  <c r="DB566" i="15" s="1"/>
  <c r="DA572" i="15"/>
  <c r="DB572" i="15" s="1"/>
  <c r="DA581" i="15"/>
  <c r="DB581" i="15" s="1"/>
  <c r="DA589" i="15"/>
  <c r="DB589" i="15" s="1"/>
  <c r="DA597" i="15"/>
  <c r="DB597" i="15" s="1"/>
  <c r="DA605" i="15"/>
  <c r="DB605" i="15" s="1"/>
  <c r="DA612" i="15"/>
  <c r="DB612" i="15" s="1"/>
  <c r="DA620" i="15"/>
  <c r="DB620" i="15" s="1"/>
  <c r="DA627" i="15"/>
  <c r="DB627" i="15" s="1"/>
  <c r="DA635" i="15"/>
  <c r="DB635" i="15" s="1"/>
  <c r="DA642" i="15"/>
  <c r="DB642" i="15" s="1"/>
  <c r="DA650" i="15"/>
  <c r="DB650" i="15" s="1"/>
  <c r="DA658" i="15"/>
  <c r="DB658" i="15" s="1"/>
  <c r="DA666" i="15"/>
  <c r="DB666" i="15" s="1"/>
  <c r="DA673" i="15"/>
  <c r="DB673" i="15" s="1"/>
  <c r="DA681" i="15"/>
  <c r="DB681" i="15" s="1"/>
  <c r="DA696" i="15"/>
  <c r="DB696" i="15" s="1"/>
  <c r="DC696" i="15" s="1"/>
  <c r="DA704" i="15"/>
  <c r="DB704" i="15" s="1"/>
  <c r="DC704" i="15" s="1"/>
  <c r="DA719" i="15"/>
  <c r="DB719" i="15" s="1"/>
  <c r="DA727" i="15"/>
  <c r="DB727" i="15" s="1"/>
  <c r="DA734" i="15"/>
  <c r="DB734" i="15" s="1"/>
  <c r="DA742" i="15"/>
  <c r="DB742" i="15" s="1"/>
  <c r="DA750" i="15"/>
  <c r="DB750" i="15" s="1"/>
  <c r="DA757" i="15"/>
  <c r="DB757" i="15" s="1"/>
  <c r="DA763" i="15"/>
  <c r="DB763" i="15" s="1"/>
  <c r="DA771" i="15"/>
  <c r="DB771" i="15" s="1"/>
  <c r="DA780" i="15"/>
  <c r="DB780" i="15" s="1"/>
  <c r="DA788" i="15"/>
  <c r="DB788" i="15" s="1"/>
  <c r="DA796" i="15"/>
  <c r="DB796" i="15" s="1"/>
  <c r="DA803" i="15"/>
  <c r="DB803" i="15" s="1"/>
  <c r="DA811" i="15"/>
  <c r="DB811" i="15" s="1"/>
  <c r="DA819" i="15"/>
  <c r="DB819" i="15" s="1"/>
  <c r="DA834" i="15"/>
  <c r="DB834" i="15" s="1"/>
  <c r="DA842" i="15"/>
  <c r="DB842" i="15" s="1"/>
  <c r="DA850" i="15"/>
  <c r="DB850" i="15" s="1"/>
  <c r="DA858" i="15"/>
  <c r="DB858" i="15" s="1"/>
  <c r="DA165" i="15"/>
  <c r="DB165" i="15" s="1"/>
  <c r="DA195" i="15"/>
  <c r="DB195" i="15" s="1"/>
  <c r="DA211" i="15"/>
  <c r="DB211" i="15" s="1"/>
  <c r="DA226" i="15"/>
  <c r="DB226" i="15" s="1"/>
  <c r="DA241" i="15"/>
  <c r="DB241" i="15" s="1"/>
  <c r="DA287" i="15"/>
  <c r="DB287" i="15" s="1"/>
  <c r="DA302" i="15"/>
  <c r="DB302" i="15" s="1"/>
  <c r="DA318" i="15"/>
  <c r="DB318" i="15" s="1"/>
  <c r="DA349" i="15"/>
  <c r="DB349" i="15" s="1"/>
  <c r="DA380" i="15"/>
  <c r="DB380" i="15" s="1"/>
  <c r="DA411" i="15"/>
  <c r="DB411" i="15" s="1"/>
  <c r="DA457" i="15"/>
  <c r="DB457" i="15" s="1"/>
  <c r="DC457" i="15" s="1"/>
  <c r="DA488" i="15"/>
  <c r="DB488" i="15" s="1"/>
  <c r="DA518" i="15"/>
  <c r="DB518" i="15" s="1"/>
  <c r="DA537" i="15"/>
  <c r="DB537" i="15" s="1"/>
  <c r="DA552" i="15"/>
  <c r="DB552" i="15" s="1"/>
  <c r="DA599" i="15"/>
  <c r="DB599" i="15" s="1"/>
  <c r="DA644" i="15"/>
  <c r="DB644" i="15" s="1"/>
  <c r="DA668" i="15"/>
  <c r="DB668" i="15" s="1"/>
  <c r="DA690" i="15"/>
  <c r="DB690" i="15" s="1"/>
  <c r="DC690" i="15" s="1"/>
  <c r="DA714" i="15"/>
  <c r="DB714" i="15" s="1"/>
  <c r="DA729" i="15"/>
  <c r="DB729" i="15" s="1"/>
  <c r="DA752" i="15"/>
  <c r="DB752" i="15" s="1"/>
  <c r="DA805" i="15"/>
  <c r="DB805" i="15" s="1"/>
  <c r="DA844" i="15"/>
  <c r="DB844" i="15" s="1"/>
  <c r="DT9" i="15"/>
  <c r="CY6" i="15"/>
  <c r="CZ6" i="15" s="1"/>
  <c r="CY11" i="15"/>
  <c r="CZ11" i="15" s="1"/>
  <c r="CY15" i="15"/>
  <c r="CZ15" i="15" s="1"/>
  <c r="CY19" i="15"/>
  <c r="CZ19" i="15" s="1"/>
  <c r="CY23" i="15"/>
  <c r="CZ23" i="15" s="1"/>
  <c r="CY27" i="15"/>
  <c r="CZ27" i="15" s="1"/>
  <c r="CY31" i="15"/>
  <c r="CZ31" i="15" s="1"/>
  <c r="CY38" i="15"/>
  <c r="CZ38" i="15" s="1"/>
  <c r="CY42" i="15"/>
  <c r="CZ42" i="15" s="1"/>
  <c r="CY45" i="15"/>
  <c r="CZ45" i="15" s="1"/>
  <c r="CY49" i="15"/>
  <c r="CZ49" i="15" s="1"/>
  <c r="CY53" i="15"/>
  <c r="CZ53" i="15" s="1"/>
  <c r="CY57" i="15"/>
  <c r="CZ57" i="15" s="1"/>
  <c r="CY61" i="15"/>
  <c r="CZ61" i="15" s="1"/>
  <c r="CY65" i="15"/>
  <c r="CZ65" i="15" s="1"/>
  <c r="CY68" i="15"/>
  <c r="CZ68" i="15" s="1"/>
  <c r="CY72" i="15"/>
  <c r="CZ72" i="15" s="1"/>
  <c r="CY76" i="15"/>
  <c r="CZ76" i="15" s="1"/>
  <c r="CY80" i="15"/>
  <c r="CZ80" i="15" s="1"/>
  <c r="CY87" i="15"/>
  <c r="CZ87" i="15" s="1"/>
  <c r="CY91" i="15"/>
  <c r="CZ91" i="15" s="1"/>
  <c r="CY95" i="15"/>
  <c r="CZ95" i="15" s="1"/>
  <c r="CY102" i="15"/>
  <c r="CZ102" i="15" s="1"/>
  <c r="CY106" i="15"/>
  <c r="CZ106" i="15" s="1"/>
  <c r="CY110" i="15"/>
  <c r="CZ110" i="15" s="1"/>
  <c r="CY114" i="15"/>
  <c r="CZ114" i="15" s="1"/>
  <c r="CY118" i="15"/>
  <c r="CZ118" i="15" s="1"/>
  <c r="CY122" i="15"/>
  <c r="CZ122" i="15" s="1"/>
  <c r="CY129" i="15"/>
  <c r="CZ129" i="15" s="1"/>
  <c r="CY133" i="15"/>
  <c r="CZ133" i="15" s="1"/>
  <c r="CY137" i="15"/>
  <c r="CZ137" i="15" s="1"/>
  <c r="CY141" i="15"/>
  <c r="CZ141" i="15" s="1"/>
  <c r="CY145" i="15"/>
  <c r="CZ145" i="15" s="1"/>
  <c r="CY148" i="15"/>
  <c r="CZ148" i="15" s="1"/>
  <c r="CY152" i="15"/>
  <c r="CZ152" i="15" s="1"/>
  <c r="CY156" i="15"/>
  <c r="CZ156" i="15" s="1"/>
  <c r="CY160" i="15"/>
  <c r="CZ160" i="15" s="1"/>
  <c r="CY164" i="15"/>
  <c r="CZ164" i="15" s="1"/>
  <c r="CY168" i="15"/>
  <c r="CZ168" i="15" s="1"/>
  <c r="CY171" i="15"/>
  <c r="CZ171" i="15" s="1"/>
  <c r="CY175" i="15"/>
  <c r="CZ175" i="15" s="1"/>
  <c r="CY179" i="15"/>
  <c r="CZ179" i="15" s="1"/>
  <c r="CY183" i="15"/>
  <c r="CZ183" i="15" s="1"/>
  <c r="CY187" i="15"/>
  <c r="CZ187" i="15" s="1"/>
  <c r="CY194" i="15"/>
  <c r="CZ194" i="15" s="1"/>
  <c r="CY198" i="15"/>
  <c r="CZ198" i="15" s="1"/>
  <c r="CY202" i="15"/>
  <c r="CZ202" i="15" s="1"/>
  <c r="CY206" i="15"/>
  <c r="CZ206" i="15" s="1"/>
  <c r="CY210" i="15"/>
  <c r="CZ210" i="15" s="1"/>
  <c r="CY214" i="15"/>
  <c r="CZ214" i="15" s="1"/>
  <c r="CY218" i="15"/>
  <c r="CZ218" i="15" s="1"/>
  <c r="CY221" i="15"/>
  <c r="CZ221" i="15" s="1"/>
  <c r="CY225" i="15"/>
  <c r="CZ225" i="15" s="1"/>
  <c r="CY229" i="15"/>
  <c r="CZ229" i="15" s="1"/>
  <c r="CY236" i="15"/>
  <c r="CZ236" i="15" s="1"/>
  <c r="CY240" i="15"/>
  <c r="CZ240" i="15" s="1"/>
  <c r="CY8" i="15"/>
  <c r="CZ8" i="15" s="1"/>
  <c r="CY12" i="15"/>
  <c r="CZ12" i="15" s="1"/>
  <c r="CY16" i="15"/>
  <c r="CZ16" i="15" s="1"/>
  <c r="CY20" i="15"/>
  <c r="CZ20" i="15" s="1"/>
  <c r="CY24" i="15"/>
  <c r="CZ24" i="15" s="1"/>
  <c r="CY28" i="15"/>
  <c r="CZ28" i="15" s="1"/>
  <c r="CY32" i="15"/>
  <c r="CZ32" i="15" s="1"/>
  <c r="CY35" i="15"/>
  <c r="CZ35" i="15" s="1"/>
  <c r="CY39" i="15"/>
  <c r="CZ39" i="15" s="1"/>
  <c r="CY46" i="15"/>
  <c r="CZ46" i="15" s="1"/>
  <c r="CY50" i="15"/>
  <c r="CZ50" i="15" s="1"/>
  <c r="CY54" i="15"/>
  <c r="CZ54" i="15" s="1"/>
  <c r="CY58" i="15"/>
  <c r="CZ58" i="15" s="1"/>
  <c r="CY62" i="15"/>
  <c r="CZ62" i="15" s="1"/>
  <c r="CY69" i="15"/>
  <c r="CZ69" i="15" s="1"/>
  <c r="CY73" i="15"/>
  <c r="CZ73" i="15" s="1"/>
  <c r="CY77" i="15"/>
  <c r="CZ77" i="15" s="1"/>
  <c r="CY81" i="15"/>
  <c r="CZ81" i="15" s="1"/>
  <c r="CY84" i="15"/>
  <c r="CZ84" i="15" s="1"/>
  <c r="CY88" i="15"/>
  <c r="CZ88" i="15" s="1"/>
  <c r="CY93" i="15"/>
  <c r="CZ93" i="15" s="1"/>
  <c r="CY96" i="15"/>
  <c r="CZ96" i="15" s="1"/>
  <c r="CY99" i="15"/>
  <c r="CZ99" i="15" s="1"/>
  <c r="CY103" i="15"/>
  <c r="CZ103" i="15" s="1"/>
  <c r="CY107" i="15"/>
  <c r="CZ107" i="15" s="1"/>
  <c r="CY111" i="15"/>
  <c r="CZ111" i="15" s="1"/>
  <c r="CY115" i="15"/>
  <c r="CZ115" i="15" s="1"/>
  <c r="CY119" i="15"/>
  <c r="CZ119" i="15" s="1"/>
  <c r="CY123" i="15"/>
  <c r="CZ123" i="15" s="1"/>
  <c r="CY126" i="15"/>
  <c r="CZ126" i="15" s="1"/>
  <c r="CY130" i="15"/>
  <c r="CZ130" i="15" s="1"/>
  <c r="CY134" i="15"/>
  <c r="CZ134" i="15" s="1"/>
  <c r="CY138" i="15"/>
  <c r="CZ138" i="15" s="1"/>
  <c r="CY142" i="15"/>
  <c r="CZ142" i="15" s="1"/>
  <c r="CY149" i="15"/>
  <c r="CZ149" i="15" s="1"/>
  <c r="CY153" i="15"/>
  <c r="CZ153" i="15" s="1"/>
  <c r="CY157" i="15"/>
  <c r="CZ157" i="15" s="1"/>
  <c r="CY161" i="15"/>
  <c r="CZ161" i="15" s="1"/>
  <c r="CY165" i="15"/>
  <c r="CZ165" i="15" s="1"/>
  <c r="CY172" i="15"/>
  <c r="CZ172" i="15" s="1"/>
  <c r="CY176" i="15"/>
  <c r="CZ176" i="15" s="1"/>
  <c r="CY180" i="15"/>
  <c r="CZ180" i="15" s="1"/>
  <c r="CY184" i="15"/>
  <c r="CZ184" i="15" s="1"/>
  <c r="CY188" i="15"/>
  <c r="CZ188" i="15" s="1"/>
  <c r="CY191" i="15"/>
  <c r="CZ191" i="15" s="1"/>
  <c r="CY195" i="15"/>
  <c r="CZ195" i="15" s="1"/>
  <c r="CY199" i="15"/>
  <c r="CZ199" i="15" s="1"/>
  <c r="CY203" i="15"/>
  <c r="CZ203" i="15" s="1"/>
  <c r="CY207" i="15"/>
  <c r="CZ207" i="15" s="1"/>
  <c r="CY211" i="15"/>
  <c r="CZ211" i="15" s="1"/>
  <c r="CY215" i="15"/>
  <c r="CZ215" i="15" s="1"/>
  <c r="CY219" i="15"/>
  <c r="CZ219" i="15" s="1"/>
  <c r="CY222" i="15"/>
  <c r="CZ222" i="15" s="1"/>
  <c r="CY226" i="15"/>
  <c r="CZ226" i="15" s="1"/>
  <c r="CY230" i="15"/>
  <c r="CZ230" i="15" s="1"/>
  <c r="CY233" i="15"/>
  <c r="CZ233" i="15" s="1"/>
  <c r="CY237" i="15"/>
  <c r="CZ237" i="15" s="1"/>
  <c r="CY241" i="15"/>
  <c r="CZ241" i="15" s="1"/>
  <c r="CY9" i="15"/>
  <c r="CZ9" i="15" s="1"/>
  <c r="CY13" i="15"/>
  <c r="CZ13" i="15" s="1"/>
  <c r="CY10" i="15"/>
  <c r="CZ10" i="15" s="1"/>
  <c r="CY21" i="15"/>
  <c r="CZ21" i="15" s="1"/>
  <c r="CY29" i="15"/>
  <c r="CZ29" i="15" s="1"/>
  <c r="CY36" i="15"/>
  <c r="CZ36" i="15" s="1"/>
  <c r="DC36" i="15" s="1"/>
  <c r="CY43" i="15"/>
  <c r="CZ43" i="15" s="1"/>
  <c r="CY51" i="15"/>
  <c r="CZ51" i="15" s="1"/>
  <c r="DC51" i="15" s="1"/>
  <c r="CY59" i="15"/>
  <c r="CZ59" i="15" s="1"/>
  <c r="CY66" i="15"/>
  <c r="CZ66" i="15" s="1"/>
  <c r="DC66" i="15" s="1"/>
  <c r="CY74" i="15"/>
  <c r="CZ74" i="15" s="1"/>
  <c r="CY89" i="15"/>
  <c r="CZ89" i="15" s="1"/>
  <c r="CY104" i="15"/>
  <c r="CZ104" i="15" s="1"/>
  <c r="CY112" i="15"/>
  <c r="CZ112" i="15" s="1"/>
  <c r="CY120" i="15"/>
  <c r="CZ120" i="15" s="1"/>
  <c r="CY127" i="15"/>
  <c r="CZ127" i="15" s="1"/>
  <c r="CY135" i="15"/>
  <c r="CZ135" i="15" s="1"/>
  <c r="CY150" i="15"/>
  <c r="CZ150" i="15" s="1"/>
  <c r="CY158" i="15"/>
  <c r="CZ158" i="15" s="1"/>
  <c r="CY166" i="15"/>
  <c r="CZ166" i="15" s="1"/>
  <c r="CY173" i="15"/>
  <c r="CZ173" i="15" s="1"/>
  <c r="CY181" i="15"/>
  <c r="CZ181" i="15" s="1"/>
  <c r="CY189" i="15"/>
  <c r="CZ189" i="15" s="1"/>
  <c r="CY196" i="15"/>
  <c r="CZ196" i="15" s="1"/>
  <c r="CY204" i="15"/>
  <c r="CZ204" i="15" s="1"/>
  <c r="DC204" i="15" s="1"/>
  <c r="CY212" i="15"/>
  <c r="CZ212" i="15" s="1"/>
  <c r="CY227" i="15"/>
  <c r="CZ227" i="15" s="1"/>
  <c r="CY234" i="15"/>
  <c r="CZ234" i="15" s="1"/>
  <c r="DC234" i="15" s="1"/>
  <c r="CY242" i="15"/>
  <c r="CZ242" i="15" s="1"/>
  <c r="CY246" i="15"/>
  <c r="CZ246" i="15" s="1"/>
  <c r="CY253" i="15"/>
  <c r="CZ253" i="15" s="1"/>
  <c r="CY257" i="15"/>
  <c r="CZ257" i="15" s="1"/>
  <c r="CY261" i="15"/>
  <c r="CZ261" i="15" s="1"/>
  <c r="CY265" i="15"/>
  <c r="CZ265" i="15" s="1"/>
  <c r="CY272" i="15"/>
  <c r="CZ272" i="15" s="1"/>
  <c r="CY276" i="15"/>
  <c r="CZ276" i="15" s="1"/>
  <c r="CY280" i="15"/>
  <c r="CZ280" i="15" s="1"/>
  <c r="CY284" i="15"/>
  <c r="CZ284" i="15" s="1"/>
  <c r="CY288" i="15"/>
  <c r="CZ288" i="15" s="1"/>
  <c r="CY292" i="15"/>
  <c r="CZ292" i="15" s="1"/>
  <c r="CY296" i="15"/>
  <c r="CZ296" i="15" s="1"/>
  <c r="CY300" i="15"/>
  <c r="CZ300" i="15" s="1"/>
  <c r="CY303" i="15"/>
  <c r="CZ303" i="15" s="1"/>
  <c r="CY307" i="15"/>
  <c r="CZ307" i="15" s="1"/>
  <c r="CY311" i="15"/>
  <c r="CZ311" i="15" s="1"/>
  <c r="CY315" i="15"/>
  <c r="CZ315" i="15" s="1"/>
  <c r="CY319" i="15"/>
  <c r="CZ319" i="15" s="1"/>
  <c r="CY323" i="15"/>
  <c r="CZ323" i="15" s="1"/>
  <c r="CY326" i="15"/>
  <c r="CZ326" i="15" s="1"/>
  <c r="CY330" i="15"/>
  <c r="CZ330" i="15" s="1"/>
  <c r="CY334" i="15"/>
  <c r="CZ334" i="15" s="1"/>
  <c r="CY338" i="15"/>
  <c r="CZ338" i="15" s="1"/>
  <c r="CY342" i="15"/>
  <c r="CZ342" i="15" s="1"/>
  <c r="CY346" i="15"/>
  <c r="CZ346" i="15" s="1"/>
  <c r="CY350" i="15"/>
  <c r="CZ350" i="15" s="1"/>
  <c r="CY354" i="15"/>
  <c r="CZ354" i="15" s="1"/>
  <c r="CY358" i="15"/>
  <c r="CZ358" i="15" s="1"/>
  <c r="CY362" i="15"/>
  <c r="CZ362" i="15" s="1"/>
  <c r="CY366" i="15"/>
  <c r="CZ366" i="15" s="1"/>
  <c r="CY370" i="15"/>
  <c r="CZ370" i="15" s="1"/>
  <c r="CY373" i="15"/>
  <c r="CZ373" i="15" s="1"/>
  <c r="CY377" i="15"/>
  <c r="CZ377" i="15" s="1"/>
  <c r="CY381" i="15"/>
  <c r="CZ381" i="15" s="1"/>
  <c r="CY385" i="15"/>
  <c r="CZ385" i="15" s="1"/>
  <c r="CY389" i="15"/>
  <c r="CZ389" i="15" s="1"/>
  <c r="CY393" i="15"/>
  <c r="CZ393" i="15" s="1"/>
  <c r="CY397" i="15"/>
  <c r="CZ397" i="15" s="1"/>
  <c r="CY401" i="15"/>
  <c r="CZ401" i="15" s="1"/>
  <c r="CY405" i="15"/>
  <c r="CZ405" i="15" s="1"/>
  <c r="CY408" i="15"/>
  <c r="CZ408" i="15" s="1"/>
  <c r="CY412" i="15"/>
  <c r="CZ412" i="15" s="1"/>
  <c r="CY416" i="15"/>
  <c r="CZ416" i="15" s="1"/>
  <c r="CY420" i="15"/>
  <c r="CZ420" i="15" s="1"/>
  <c r="CY424" i="15"/>
  <c r="CZ424" i="15" s="1"/>
  <c r="CY428" i="15"/>
  <c r="CZ428" i="15" s="1"/>
  <c r="CY431" i="15"/>
  <c r="CZ431" i="15" s="1"/>
  <c r="CY435" i="15"/>
  <c r="CZ435" i="15" s="1"/>
  <c r="CY439" i="15"/>
  <c r="CZ439" i="15" s="1"/>
  <c r="CY443" i="15"/>
  <c r="CZ443" i="15" s="1"/>
  <c r="CY447" i="15"/>
  <c r="CZ447" i="15" s="1"/>
  <c r="CY451" i="15"/>
  <c r="CZ451" i="15" s="1"/>
  <c r="CY455" i="15"/>
  <c r="CZ455" i="15" s="1"/>
  <c r="CY473" i="15"/>
  <c r="CZ473" i="15" s="1"/>
  <c r="CY477" i="15"/>
  <c r="CZ477" i="15" s="1"/>
  <c r="CY481" i="15"/>
  <c r="CZ481" i="15" s="1"/>
  <c r="CY485" i="15"/>
  <c r="CZ485" i="15" s="1"/>
  <c r="CY489" i="15"/>
  <c r="CZ489" i="15" s="1"/>
  <c r="CY492" i="15"/>
  <c r="CZ492" i="15" s="1"/>
  <c r="DC492" i="15" s="1"/>
  <c r="CY496" i="15"/>
  <c r="CZ496" i="15" s="1"/>
  <c r="CY500" i="15"/>
  <c r="CZ500" i="15" s="1"/>
  <c r="CY504" i="15"/>
  <c r="CZ504" i="15" s="1"/>
  <c r="CY508" i="15"/>
  <c r="CZ508" i="15" s="1"/>
  <c r="DC508" i="15" s="1"/>
  <c r="CY512" i="15"/>
  <c r="CZ512" i="15" s="1"/>
  <c r="CY515" i="15"/>
  <c r="CZ515" i="15" s="1"/>
  <c r="CY519" i="15"/>
  <c r="CZ519" i="15" s="1"/>
  <c r="CY523" i="15"/>
  <c r="CZ523" i="15" s="1"/>
  <c r="CY527" i="15"/>
  <c r="CZ527" i="15" s="1"/>
  <c r="CY530" i="15"/>
  <c r="CZ530" i="15" s="1"/>
  <c r="CY534" i="15"/>
  <c r="CZ534" i="15" s="1"/>
  <c r="CY538" i="15"/>
  <c r="CZ538" i="15" s="1"/>
  <c r="CY542" i="15"/>
  <c r="CZ542" i="15" s="1"/>
  <c r="CY546" i="15"/>
  <c r="CZ546" i="15" s="1"/>
  <c r="CY549" i="15"/>
  <c r="CZ549" i="15" s="1"/>
  <c r="CY553" i="15"/>
  <c r="CZ553" i="15" s="1"/>
  <c r="CY557" i="15"/>
  <c r="CZ557" i="15" s="1"/>
  <c r="CY561" i="15"/>
  <c r="CZ561" i="15" s="1"/>
  <c r="CY565" i="15"/>
  <c r="CZ565" i="15" s="1"/>
  <c r="CY14" i="15"/>
  <c r="CZ14" i="15" s="1"/>
  <c r="CY22" i="15"/>
  <c r="CZ22" i="15" s="1"/>
  <c r="CY30" i="15"/>
  <c r="CZ30" i="15" s="1"/>
  <c r="CY37" i="15"/>
  <c r="CZ37" i="15" s="1"/>
  <c r="CY44" i="15"/>
  <c r="CZ44" i="15" s="1"/>
  <c r="CY52" i="15"/>
  <c r="CZ52" i="15" s="1"/>
  <c r="CY60" i="15"/>
  <c r="CZ60" i="15" s="1"/>
  <c r="CY67" i="15"/>
  <c r="CZ67" i="15" s="1"/>
  <c r="CY75" i="15"/>
  <c r="CZ75" i="15" s="1"/>
  <c r="CY83" i="15"/>
  <c r="CZ83" i="15" s="1"/>
  <c r="CY90" i="15"/>
  <c r="CZ90" i="15" s="1"/>
  <c r="CY98" i="15"/>
  <c r="CZ98" i="15" s="1"/>
  <c r="CY105" i="15"/>
  <c r="CZ105" i="15" s="1"/>
  <c r="CY113" i="15"/>
  <c r="CZ113" i="15" s="1"/>
  <c r="CY121" i="15"/>
  <c r="CZ121" i="15" s="1"/>
  <c r="CY128" i="15"/>
  <c r="CZ128" i="15" s="1"/>
  <c r="CY136" i="15"/>
  <c r="CZ136" i="15" s="1"/>
  <c r="CY144" i="15"/>
  <c r="CZ144" i="15" s="1"/>
  <c r="CY151" i="15"/>
  <c r="CZ151" i="15" s="1"/>
  <c r="CY159" i="15"/>
  <c r="CZ159" i="15" s="1"/>
  <c r="CY167" i="15"/>
  <c r="CZ167" i="15" s="1"/>
  <c r="CY174" i="15"/>
  <c r="CZ174" i="15" s="1"/>
  <c r="CY182" i="15"/>
  <c r="CZ182" i="15" s="1"/>
  <c r="CY190" i="15"/>
  <c r="CZ190" i="15" s="1"/>
  <c r="CY197" i="15"/>
  <c r="CZ197" i="15" s="1"/>
  <c r="CY205" i="15"/>
  <c r="CZ205" i="15" s="1"/>
  <c r="CY213" i="15"/>
  <c r="CZ213" i="15" s="1"/>
  <c r="CY220" i="15"/>
  <c r="CZ220" i="15" s="1"/>
  <c r="CY228" i="15"/>
  <c r="CZ228" i="15" s="1"/>
  <c r="CY235" i="15"/>
  <c r="CZ235" i="15" s="1"/>
  <c r="CY243" i="15"/>
  <c r="CZ243" i="15" s="1"/>
  <c r="CY247" i="15"/>
  <c r="CZ247" i="15" s="1"/>
  <c r="CY251" i="15"/>
  <c r="CZ251" i="15" s="1"/>
  <c r="CY254" i="15"/>
  <c r="CZ254" i="15" s="1"/>
  <c r="CY258" i="15"/>
  <c r="CZ258" i="15" s="1"/>
  <c r="CY262" i="15"/>
  <c r="CZ262" i="15" s="1"/>
  <c r="CY266" i="15"/>
  <c r="CZ266" i="15" s="1"/>
  <c r="CY270" i="15"/>
  <c r="CZ270" i="15" s="1"/>
  <c r="CY273" i="15"/>
  <c r="CZ273" i="15" s="1"/>
  <c r="CY277" i="15"/>
  <c r="CZ277" i="15" s="1"/>
  <c r="CY281" i="15"/>
  <c r="CZ281" i="15" s="1"/>
  <c r="CY285" i="15"/>
  <c r="CZ285" i="15" s="1"/>
  <c r="CY289" i="15"/>
  <c r="CZ289" i="15" s="1"/>
  <c r="CY293" i="15"/>
  <c r="CZ293" i="15" s="1"/>
  <c r="CY297" i="15"/>
  <c r="CZ297" i="15" s="1"/>
  <c r="CY304" i="15"/>
  <c r="CZ304" i="15" s="1"/>
  <c r="CY308" i="15"/>
  <c r="CZ308" i="15" s="1"/>
  <c r="CY312" i="15"/>
  <c r="CZ312" i="15" s="1"/>
  <c r="CY316" i="15"/>
  <c r="CZ316" i="15" s="1"/>
  <c r="CY320" i="15"/>
  <c r="CZ320" i="15" s="1"/>
  <c r="CY327" i="15"/>
  <c r="CZ327" i="15" s="1"/>
  <c r="CY331" i="15"/>
  <c r="CZ331" i="15" s="1"/>
  <c r="CY335" i="15"/>
  <c r="CZ335" i="15" s="1"/>
  <c r="CY339" i="15"/>
  <c r="CZ339" i="15" s="1"/>
  <c r="CY343" i="15"/>
  <c r="CZ343" i="15" s="1"/>
  <c r="CY347" i="15"/>
  <c r="CZ347" i="15" s="1"/>
  <c r="CY351" i="15"/>
  <c r="CZ351" i="15" s="1"/>
  <c r="CY355" i="15"/>
  <c r="CZ355" i="15" s="1"/>
  <c r="CY359" i="15"/>
  <c r="CZ359" i="15" s="1"/>
  <c r="CY363" i="15"/>
  <c r="CZ363" i="15" s="1"/>
  <c r="CY367" i="15"/>
  <c r="CZ367" i="15" s="1"/>
  <c r="CY371" i="15"/>
  <c r="CZ371" i="15" s="1"/>
  <c r="CY374" i="15"/>
  <c r="CZ374" i="15" s="1"/>
  <c r="CY378" i="15"/>
  <c r="CZ378" i="15" s="1"/>
  <c r="CY382" i="15"/>
  <c r="CZ382" i="15" s="1"/>
  <c r="CY386" i="15"/>
  <c r="CZ386" i="15" s="1"/>
  <c r="CY390" i="15"/>
  <c r="CZ390" i="15" s="1"/>
  <c r="CY394" i="15"/>
  <c r="CZ394" i="15" s="1"/>
  <c r="CY398" i="15"/>
  <c r="CZ398" i="15" s="1"/>
  <c r="CY402" i="15"/>
  <c r="CZ402" i="15" s="1"/>
  <c r="CY409" i="15"/>
  <c r="CZ409" i="15" s="1"/>
  <c r="CY413" i="15"/>
  <c r="CZ413" i="15" s="1"/>
  <c r="CY417" i="15"/>
  <c r="CZ417" i="15" s="1"/>
  <c r="CY421" i="15"/>
  <c r="CZ421" i="15" s="1"/>
  <c r="CY425" i="15"/>
  <c r="CZ425" i="15" s="1"/>
  <c r="CY432" i="15"/>
  <c r="CZ432" i="15" s="1"/>
  <c r="CY436" i="15"/>
  <c r="CZ436" i="15" s="1"/>
  <c r="CY440" i="15"/>
  <c r="CZ440" i="15" s="1"/>
  <c r="CY444" i="15"/>
  <c r="CZ444" i="15" s="1"/>
  <c r="CY448" i="15"/>
  <c r="CZ448" i="15" s="1"/>
  <c r="CY452" i="15"/>
  <c r="CZ452" i="15" s="1"/>
  <c r="CY471" i="15"/>
  <c r="CZ471" i="15" s="1"/>
  <c r="CY474" i="15"/>
  <c r="CZ474" i="15" s="1"/>
  <c r="CY478" i="15"/>
  <c r="CZ478" i="15" s="1"/>
  <c r="CY482" i="15"/>
  <c r="CZ482" i="15" s="1"/>
  <c r="CY486" i="15"/>
  <c r="CZ486" i="15" s="1"/>
  <c r="CY493" i="15"/>
  <c r="CZ493" i="15" s="1"/>
  <c r="CY497" i="15"/>
  <c r="CZ497" i="15" s="1"/>
  <c r="CY501" i="15"/>
  <c r="CZ501" i="15" s="1"/>
  <c r="CY505" i="15"/>
  <c r="CZ505" i="15" s="1"/>
  <c r="CY509" i="15"/>
  <c r="CZ509" i="15" s="1"/>
  <c r="CY513" i="15"/>
  <c r="CZ513" i="15" s="1"/>
  <c r="CY516" i="15"/>
  <c r="CZ516" i="15" s="1"/>
  <c r="CY520" i="15"/>
  <c r="CZ520" i="15" s="1"/>
  <c r="CY524" i="15"/>
  <c r="CZ524" i="15" s="1"/>
  <c r="CY531" i="15"/>
  <c r="CZ531" i="15" s="1"/>
  <c r="CY535" i="15"/>
  <c r="CZ535" i="15" s="1"/>
  <c r="CY539" i="15"/>
  <c r="CZ539" i="15" s="1"/>
  <c r="CY543" i="15"/>
  <c r="CZ543" i="15" s="1"/>
  <c r="CY547" i="15"/>
  <c r="CZ547" i="15" s="1"/>
  <c r="CY550" i="15"/>
  <c r="CZ550" i="15" s="1"/>
  <c r="CY554" i="15"/>
  <c r="CZ554" i="15" s="1"/>
  <c r="CY558" i="15"/>
  <c r="CZ558" i="15" s="1"/>
  <c r="CY562" i="15"/>
  <c r="CZ562" i="15" s="1"/>
  <c r="CY566" i="15"/>
  <c r="CZ566" i="15" s="1"/>
  <c r="CY570" i="15"/>
  <c r="CZ570" i="15" s="1"/>
  <c r="CY572" i="15"/>
  <c r="CZ572" i="15" s="1"/>
  <c r="CY578" i="15"/>
  <c r="CZ578" i="15" s="1"/>
  <c r="CY581" i="15"/>
  <c r="CZ581" i="15" s="1"/>
  <c r="CY585" i="15"/>
  <c r="CZ585" i="15" s="1"/>
  <c r="CY589" i="15"/>
  <c r="CZ589" i="15" s="1"/>
  <c r="CY593" i="15"/>
  <c r="CZ593" i="15" s="1"/>
  <c r="CY597" i="15"/>
  <c r="CZ597" i="15" s="1"/>
  <c r="CY601" i="15"/>
  <c r="CZ601" i="15" s="1"/>
  <c r="CY605" i="15"/>
  <c r="CZ605" i="15" s="1"/>
  <c r="CY609" i="15"/>
  <c r="CZ609" i="15" s="1"/>
  <c r="CY612" i="15"/>
  <c r="CZ612" i="15" s="1"/>
  <c r="CY616" i="15"/>
  <c r="CZ616" i="15" s="1"/>
  <c r="CY620" i="15"/>
  <c r="CZ620" i="15" s="1"/>
  <c r="CY623" i="15"/>
  <c r="CZ623" i="15" s="1"/>
  <c r="CY627" i="15"/>
  <c r="CZ627" i="15" s="1"/>
  <c r="CY631" i="15"/>
  <c r="CZ631" i="15" s="1"/>
  <c r="CY635" i="15"/>
  <c r="CZ635" i="15" s="1"/>
  <c r="CY639" i="15"/>
  <c r="CZ639" i="15" s="1"/>
  <c r="CY642" i="15"/>
  <c r="CZ642" i="15" s="1"/>
  <c r="CY646" i="15"/>
  <c r="CZ646" i="15" s="1"/>
  <c r="CY650" i="15"/>
  <c r="CZ650" i="15" s="1"/>
  <c r="CY654" i="15"/>
  <c r="CZ654" i="15" s="1"/>
  <c r="CY658" i="15"/>
  <c r="CZ658" i="15" s="1"/>
  <c r="CY662" i="15"/>
  <c r="CZ662" i="15" s="1"/>
  <c r="CY666" i="15"/>
  <c r="CZ666" i="15" s="1"/>
  <c r="CY669" i="15"/>
  <c r="CZ669" i="15" s="1"/>
  <c r="CY673" i="15"/>
  <c r="CZ673" i="15" s="1"/>
  <c r="CY677" i="15"/>
  <c r="CZ677" i="15" s="1"/>
  <c r="CY17" i="15"/>
  <c r="CZ17" i="15" s="1"/>
  <c r="DC17" i="15" s="1"/>
  <c r="CY25" i="15"/>
  <c r="CZ25" i="15" s="1"/>
  <c r="CY40" i="15"/>
  <c r="CZ40" i="15" s="1"/>
  <c r="CY47" i="15"/>
  <c r="CZ47" i="15" s="1"/>
  <c r="CY55" i="15"/>
  <c r="CZ55" i="15" s="1"/>
  <c r="CY63" i="15"/>
  <c r="CZ63" i="15" s="1"/>
  <c r="CY70" i="15"/>
  <c r="CZ70" i="15" s="1"/>
  <c r="CY78" i="15"/>
  <c r="CZ78" i="15" s="1"/>
  <c r="CY85" i="15"/>
  <c r="CZ85" i="15" s="1"/>
  <c r="DC85" i="15" s="1"/>
  <c r="CY92" i="15"/>
  <c r="CZ92" i="15" s="1"/>
  <c r="CY100" i="15"/>
  <c r="CZ100" i="15" s="1"/>
  <c r="CY108" i="15"/>
  <c r="CZ108" i="15" s="1"/>
  <c r="CY116" i="15"/>
  <c r="CZ116" i="15" s="1"/>
  <c r="CY131" i="15"/>
  <c r="CZ131" i="15" s="1"/>
  <c r="CY139" i="15"/>
  <c r="CZ139" i="15" s="1"/>
  <c r="CY146" i="15"/>
  <c r="CZ146" i="15" s="1"/>
  <c r="CY154" i="15"/>
  <c r="CZ154" i="15" s="1"/>
  <c r="CY162" i="15"/>
  <c r="CZ162" i="15" s="1"/>
  <c r="CY169" i="15"/>
  <c r="CZ169" i="15" s="1"/>
  <c r="CY177" i="15"/>
  <c r="CZ177" i="15" s="1"/>
  <c r="CY185" i="15"/>
  <c r="CZ185" i="15" s="1"/>
  <c r="DC185" i="15" s="1"/>
  <c r="CY192" i="15"/>
  <c r="CZ192" i="15" s="1"/>
  <c r="CY200" i="15"/>
  <c r="CZ200" i="15" s="1"/>
  <c r="DC200" i="15" s="1"/>
  <c r="CY208" i="15"/>
  <c r="CZ208" i="15" s="1"/>
  <c r="CY216" i="15"/>
  <c r="CZ216" i="15" s="1"/>
  <c r="DC216" i="15" s="1"/>
  <c r="CY223" i="15"/>
  <c r="CZ223" i="15" s="1"/>
  <c r="CY231" i="15"/>
  <c r="CZ231" i="15" s="1"/>
  <c r="CY238" i="15"/>
  <c r="CZ238" i="15" s="1"/>
  <c r="CY244" i="15"/>
  <c r="CZ244" i="15" s="1"/>
  <c r="CY248" i="15"/>
  <c r="CZ248" i="15" s="1"/>
  <c r="CY255" i="15"/>
  <c r="CZ255" i="15" s="1"/>
  <c r="CY259" i="15"/>
  <c r="CZ259" i="15" s="1"/>
  <c r="CY263" i="15"/>
  <c r="CZ263" i="15" s="1"/>
  <c r="CY267" i="15"/>
  <c r="CZ267" i="15" s="1"/>
  <c r="CY271" i="15"/>
  <c r="CZ271" i="15" s="1"/>
  <c r="CY275" i="15"/>
  <c r="CZ275" i="15" s="1"/>
  <c r="CY278" i="15"/>
  <c r="CZ278" i="15" s="1"/>
  <c r="CY282" i="15"/>
  <c r="CZ282" i="15" s="1"/>
  <c r="CY286" i="15"/>
  <c r="CZ286" i="15" s="1"/>
  <c r="CY290" i="15"/>
  <c r="CZ290" i="15" s="1"/>
  <c r="CY294" i="15"/>
  <c r="CZ294" i="15" s="1"/>
  <c r="CY298" i="15"/>
  <c r="CZ298" i="15" s="1"/>
  <c r="CY301" i="15"/>
  <c r="CZ301" i="15" s="1"/>
  <c r="CY305" i="15"/>
  <c r="CZ305" i="15" s="1"/>
  <c r="CY309" i="15"/>
  <c r="CZ309" i="15" s="1"/>
  <c r="CY313" i="15"/>
  <c r="CZ313" i="15" s="1"/>
  <c r="CY317" i="15"/>
  <c r="CZ317" i="15" s="1"/>
  <c r="CY321" i="15"/>
  <c r="CZ321" i="15" s="1"/>
  <c r="CY325" i="15"/>
  <c r="CZ325" i="15" s="1"/>
  <c r="CY328" i="15"/>
  <c r="CZ328" i="15" s="1"/>
  <c r="CY332" i="15"/>
  <c r="CZ332" i="15" s="1"/>
  <c r="CY336" i="15"/>
  <c r="CZ336" i="15" s="1"/>
  <c r="CY340" i="15"/>
  <c r="CZ340" i="15" s="1"/>
  <c r="CY344" i="15"/>
  <c r="CZ344" i="15" s="1"/>
  <c r="CY348" i="15"/>
  <c r="CZ348" i="15" s="1"/>
  <c r="CY352" i="15"/>
  <c r="CZ352" i="15" s="1"/>
  <c r="CY356" i="15"/>
  <c r="CZ356" i="15" s="1"/>
  <c r="CY360" i="15"/>
  <c r="CZ360" i="15" s="1"/>
  <c r="CY364" i="15"/>
  <c r="CZ364" i="15" s="1"/>
  <c r="CY368" i="15"/>
  <c r="CZ368" i="15" s="1"/>
  <c r="CY375" i="15"/>
  <c r="CZ375" i="15" s="1"/>
  <c r="CY379" i="15"/>
  <c r="CZ379" i="15" s="1"/>
  <c r="CY383" i="15"/>
  <c r="CZ383" i="15" s="1"/>
  <c r="CY387" i="15"/>
  <c r="CZ387" i="15" s="1"/>
  <c r="CY391" i="15"/>
  <c r="CZ391" i="15" s="1"/>
  <c r="CY395" i="15"/>
  <c r="CZ395" i="15" s="1"/>
  <c r="CY399" i="15"/>
  <c r="CZ399" i="15" s="1"/>
  <c r="CY403" i="15"/>
  <c r="CZ403" i="15" s="1"/>
  <c r="CY407" i="15"/>
  <c r="CZ407" i="15" s="1"/>
  <c r="CY410" i="15"/>
  <c r="CZ410" i="15" s="1"/>
  <c r="CY414" i="15"/>
  <c r="CZ414" i="15" s="1"/>
  <c r="CY418" i="15"/>
  <c r="CZ418" i="15" s="1"/>
  <c r="CY422" i="15"/>
  <c r="CZ422" i="15" s="1"/>
  <c r="CY426" i="15"/>
  <c r="CZ426" i="15" s="1"/>
  <c r="CY430" i="15"/>
  <c r="CZ430" i="15" s="1"/>
  <c r="CY433" i="15"/>
  <c r="CZ433" i="15" s="1"/>
  <c r="CY437" i="15"/>
  <c r="CZ437" i="15" s="1"/>
  <c r="CY441" i="15"/>
  <c r="CZ441" i="15" s="1"/>
  <c r="CY445" i="15"/>
  <c r="CZ445" i="15" s="1"/>
  <c r="CY449" i="15"/>
  <c r="CZ449" i="15" s="1"/>
  <c r="CY453" i="15"/>
  <c r="CZ453" i="15" s="1"/>
  <c r="CY472" i="15"/>
  <c r="CZ472" i="15" s="1"/>
  <c r="CY475" i="15"/>
  <c r="CZ475" i="15" s="1"/>
  <c r="CY479" i="15"/>
  <c r="CZ479" i="15" s="1"/>
  <c r="CY483" i="15"/>
  <c r="CZ483" i="15" s="1"/>
  <c r="CY487" i="15"/>
  <c r="CZ487" i="15" s="1"/>
  <c r="CY491" i="15"/>
  <c r="CZ491" i="15" s="1"/>
  <c r="CY494" i="15"/>
  <c r="CZ494" i="15" s="1"/>
  <c r="CY498" i="15"/>
  <c r="CZ498" i="15" s="1"/>
  <c r="CY502" i="15"/>
  <c r="CZ502" i="15" s="1"/>
  <c r="CY506" i="15"/>
  <c r="CZ506" i="15" s="1"/>
  <c r="CY510" i="15"/>
  <c r="CZ510" i="15" s="1"/>
  <c r="CY514" i="15"/>
  <c r="CZ514" i="15" s="1"/>
  <c r="CY517" i="15"/>
  <c r="CZ517" i="15" s="1"/>
  <c r="CY521" i="15"/>
  <c r="CZ521" i="15" s="1"/>
  <c r="CY525" i="15"/>
  <c r="CZ525" i="15" s="1"/>
  <c r="CY529" i="15"/>
  <c r="CZ529" i="15" s="1"/>
  <c r="CY532" i="15"/>
  <c r="CZ532" i="15" s="1"/>
  <c r="CY536" i="15"/>
  <c r="CZ536" i="15" s="1"/>
  <c r="CY540" i="15"/>
  <c r="CZ540" i="15" s="1"/>
  <c r="CY544" i="15"/>
  <c r="CZ544" i="15" s="1"/>
  <c r="CY548" i="15"/>
  <c r="CZ548" i="15" s="1"/>
  <c r="CY551" i="15"/>
  <c r="CZ551" i="15" s="1"/>
  <c r="CY555" i="15"/>
  <c r="CZ555" i="15" s="1"/>
  <c r="CY559" i="15"/>
  <c r="CZ559" i="15" s="1"/>
  <c r="CY563" i="15"/>
  <c r="CZ563" i="15" s="1"/>
  <c r="CY567" i="15"/>
  <c r="CZ567" i="15" s="1"/>
  <c r="CY571" i="15"/>
  <c r="CZ571" i="15" s="1"/>
  <c r="CY575" i="15"/>
  <c r="CZ575" i="15" s="1"/>
  <c r="CY582" i="15"/>
  <c r="CZ582" i="15" s="1"/>
  <c r="CY586" i="15"/>
  <c r="CZ586" i="15" s="1"/>
  <c r="CY590" i="15"/>
  <c r="CZ590" i="15" s="1"/>
  <c r="CY594" i="15"/>
  <c r="CZ594" i="15" s="1"/>
  <c r="CY598" i="15"/>
  <c r="CZ598" i="15" s="1"/>
  <c r="CY602" i="15"/>
  <c r="CZ602" i="15" s="1"/>
  <c r="CY606" i="15"/>
  <c r="CZ606" i="15" s="1"/>
  <c r="CY610" i="15"/>
  <c r="CZ610" i="15" s="1"/>
  <c r="CY613" i="15"/>
  <c r="CZ613" i="15" s="1"/>
  <c r="CY617" i="15"/>
  <c r="CZ617" i="15" s="1"/>
  <c r="CY621" i="15"/>
  <c r="CZ621" i="15" s="1"/>
  <c r="CY624" i="15"/>
  <c r="CZ624" i="15" s="1"/>
  <c r="CY628" i="15"/>
  <c r="CZ628" i="15" s="1"/>
  <c r="CY632" i="15"/>
  <c r="CZ632" i="15" s="1"/>
  <c r="CY636" i="15"/>
  <c r="CZ636" i="15" s="1"/>
  <c r="CY643" i="15"/>
  <c r="CZ643" i="15" s="1"/>
  <c r="CY647" i="15"/>
  <c r="CZ647" i="15" s="1"/>
  <c r="CY651" i="15"/>
  <c r="CZ651" i="15" s="1"/>
  <c r="CY655" i="15"/>
  <c r="CZ655" i="15" s="1"/>
  <c r="CY659" i="15"/>
  <c r="CZ659" i="15" s="1"/>
  <c r="CY663" i="15"/>
  <c r="CZ663" i="15" s="1"/>
  <c r="CY667" i="15"/>
  <c r="CZ667" i="15" s="1"/>
  <c r="CY670" i="15"/>
  <c r="CZ670" i="15" s="1"/>
  <c r="CY674" i="15"/>
  <c r="CZ674" i="15" s="1"/>
  <c r="CY26" i="15"/>
  <c r="CZ26" i="15" s="1"/>
  <c r="CY56" i="15"/>
  <c r="CZ56" i="15" s="1"/>
  <c r="CY86" i="15"/>
  <c r="CZ86" i="15" s="1"/>
  <c r="CY117" i="15"/>
  <c r="CZ117" i="15" s="1"/>
  <c r="CY147" i="15"/>
  <c r="CZ147" i="15" s="1"/>
  <c r="CY178" i="15"/>
  <c r="CZ178" i="15" s="1"/>
  <c r="CY209" i="15"/>
  <c r="CZ209" i="15" s="1"/>
  <c r="CY239" i="15"/>
  <c r="CZ239" i="15" s="1"/>
  <c r="CY256" i="15"/>
  <c r="CZ256" i="15" s="1"/>
  <c r="CY287" i="15"/>
  <c r="CZ287" i="15" s="1"/>
  <c r="CY302" i="15"/>
  <c r="CZ302" i="15" s="1"/>
  <c r="CY318" i="15"/>
  <c r="CZ318" i="15" s="1"/>
  <c r="CY333" i="15"/>
  <c r="CZ333" i="15" s="1"/>
  <c r="CY349" i="15"/>
  <c r="CZ349" i="15" s="1"/>
  <c r="CY365" i="15"/>
  <c r="CZ365" i="15" s="1"/>
  <c r="CY380" i="15"/>
  <c r="CZ380" i="15" s="1"/>
  <c r="CY396" i="15"/>
  <c r="CZ396" i="15" s="1"/>
  <c r="CY411" i="15"/>
  <c r="CZ411" i="15" s="1"/>
  <c r="CY427" i="15"/>
  <c r="CZ427" i="15" s="1"/>
  <c r="CY442" i="15"/>
  <c r="CZ442" i="15" s="1"/>
  <c r="CY488" i="15"/>
  <c r="CZ488" i="15" s="1"/>
  <c r="CY503" i="15"/>
  <c r="CZ503" i="15" s="1"/>
  <c r="CY518" i="15"/>
  <c r="CZ518" i="15" s="1"/>
  <c r="CY533" i="15"/>
  <c r="CZ533" i="15" s="1"/>
  <c r="CY564" i="15"/>
  <c r="CZ564" i="15" s="1"/>
  <c r="CY574" i="15"/>
  <c r="CZ574" i="15" s="1"/>
  <c r="CY580" i="15"/>
  <c r="CZ580" i="15" s="1"/>
  <c r="CY588" i="15"/>
  <c r="CZ588" i="15" s="1"/>
  <c r="CY596" i="15"/>
  <c r="CZ596" i="15" s="1"/>
  <c r="CY604" i="15"/>
  <c r="CZ604" i="15" s="1"/>
  <c r="CY619" i="15"/>
  <c r="CZ619" i="15" s="1"/>
  <c r="CY626" i="15"/>
  <c r="CZ626" i="15" s="1"/>
  <c r="CY634" i="15"/>
  <c r="CZ634" i="15" s="1"/>
  <c r="CY649" i="15"/>
  <c r="CZ649" i="15" s="1"/>
  <c r="CY657" i="15"/>
  <c r="CZ657" i="15" s="1"/>
  <c r="CY665" i="15"/>
  <c r="CZ665" i="15" s="1"/>
  <c r="CY672" i="15"/>
  <c r="CZ672" i="15" s="1"/>
  <c r="CY679" i="15"/>
  <c r="CZ679" i="15" s="1"/>
  <c r="CY683" i="15"/>
  <c r="CZ683" i="15" s="1"/>
  <c r="CY714" i="15"/>
  <c r="CZ714" i="15" s="1"/>
  <c r="CY717" i="15"/>
  <c r="CZ717" i="15" s="1"/>
  <c r="CY721" i="15"/>
  <c r="CZ721" i="15" s="1"/>
  <c r="CY725" i="15"/>
  <c r="CZ725" i="15" s="1"/>
  <c r="CY729" i="15"/>
  <c r="CZ729" i="15" s="1"/>
  <c r="CY736" i="15"/>
  <c r="CZ736" i="15" s="1"/>
  <c r="CY740" i="15"/>
  <c r="CZ740" i="15" s="1"/>
  <c r="CY744" i="15"/>
  <c r="CZ744" i="15" s="1"/>
  <c r="CY748" i="15"/>
  <c r="CZ748" i="15" s="1"/>
  <c r="CY752" i="15"/>
  <c r="CZ752" i="15" s="1"/>
  <c r="CY755" i="15"/>
  <c r="CZ755" i="15" s="1"/>
  <c r="CY774" i="15"/>
  <c r="CZ774" i="15" s="1"/>
  <c r="CY761" i="15"/>
  <c r="CZ761" i="15" s="1"/>
  <c r="CY765" i="15"/>
  <c r="CZ765" i="15" s="1"/>
  <c r="CY769" i="15"/>
  <c r="CZ769" i="15" s="1"/>
  <c r="CY778" i="15"/>
  <c r="CZ778" i="15" s="1"/>
  <c r="CY782" i="15"/>
  <c r="CZ782" i="15" s="1"/>
  <c r="CY786" i="15"/>
  <c r="CZ786" i="15" s="1"/>
  <c r="CY790" i="15"/>
  <c r="CZ790" i="15" s="1"/>
  <c r="CY794" i="15"/>
  <c r="CZ794" i="15" s="1"/>
  <c r="CY797" i="15"/>
  <c r="CZ797" i="15" s="1"/>
  <c r="CY801" i="15"/>
  <c r="CZ801" i="15" s="1"/>
  <c r="CY805" i="15"/>
  <c r="CZ805" i="15" s="1"/>
  <c r="CY809" i="15"/>
  <c r="CZ809" i="15" s="1"/>
  <c r="CY813" i="15"/>
  <c r="CZ813" i="15" s="1"/>
  <c r="CY817" i="15"/>
  <c r="CZ817" i="15" s="1"/>
  <c r="CY821" i="15"/>
  <c r="CZ821" i="15" s="1"/>
  <c r="CY825" i="15"/>
  <c r="CZ825" i="15" s="1"/>
  <c r="CY832" i="15"/>
  <c r="CZ832" i="15" s="1"/>
  <c r="CY836" i="15"/>
  <c r="CZ836" i="15" s="1"/>
  <c r="CY840" i="15"/>
  <c r="CZ840" i="15" s="1"/>
  <c r="CY844" i="15"/>
  <c r="CZ844" i="15" s="1"/>
  <c r="CY848" i="15"/>
  <c r="CZ848" i="15" s="1"/>
  <c r="CY852" i="15"/>
  <c r="CZ852" i="15" s="1"/>
  <c r="CY856" i="15"/>
  <c r="CZ856" i="15" s="1"/>
  <c r="CY860" i="15"/>
  <c r="CZ860" i="15" s="1"/>
  <c r="CY252" i="15"/>
  <c r="CZ252" i="15" s="1"/>
  <c r="CY713" i="15"/>
  <c r="CZ713" i="15" s="1"/>
  <c r="CY824" i="15"/>
  <c r="CZ824" i="15" s="1"/>
  <c r="DC824" i="15" s="1"/>
  <c r="CY843" i="15"/>
  <c r="CZ843" i="15" s="1"/>
  <c r="CY859" i="15"/>
  <c r="CZ859" i="15" s="1"/>
  <c r="CY34" i="15"/>
  <c r="CZ34" i="15" s="1"/>
  <c r="CY94" i="15"/>
  <c r="CZ94" i="15" s="1"/>
  <c r="CY125" i="15"/>
  <c r="CZ125" i="15" s="1"/>
  <c r="CY155" i="15"/>
  <c r="CZ155" i="15" s="1"/>
  <c r="CY186" i="15"/>
  <c r="CZ186" i="15" s="1"/>
  <c r="CY217" i="15"/>
  <c r="CZ217" i="15" s="1"/>
  <c r="CY245" i="15"/>
  <c r="CZ245" i="15" s="1"/>
  <c r="CY260" i="15"/>
  <c r="CZ260" i="15" s="1"/>
  <c r="CY274" i="15"/>
  <c r="CZ274" i="15" s="1"/>
  <c r="CY291" i="15"/>
  <c r="CZ291" i="15" s="1"/>
  <c r="CY306" i="15"/>
  <c r="CZ306" i="15" s="1"/>
  <c r="CY322" i="15"/>
  <c r="CZ322" i="15" s="1"/>
  <c r="CY337" i="15"/>
  <c r="CZ337" i="15" s="1"/>
  <c r="CY353" i="15"/>
  <c r="CZ353" i="15" s="1"/>
  <c r="CY369" i="15"/>
  <c r="CZ369" i="15" s="1"/>
  <c r="CY384" i="15"/>
  <c r="CZ384" i="15" s="1"/>
  <c r="CY400" i="15"/>
  <c r="CZ400" i="15" s="1"/>
  <c r="CY415" i="15"/>
  <c r="CZ415" i="15" s="1"/>
  <c r="CY446" i="15"/>
  <c r="CZ446" i="15" s="1"/>
  <c r="CY476" i="15"/>
  <c r="CZ476" i="15" s="1"/>
  <c r="CY507" i="15"/>
  <c r="CZ507" i="15" s="1"/>
  <c r="CY522" i="15"/>
  <c r="CZ522" i="15" s="1"/>
  <c r="CY537" i="15"/>
  <c r="CZ537" i="15" s="1"/>
  <c r="CY552" i="15"/>
  <c r="CZ552" i="15" s="1"/>
  <c r="CY568" i="15"/>
  <c r="CZ568" i="15" s="1"/>
  <c r="CY583" i="15"/>
  <c r="CZ583" i="15" s="1"/>
  <c r="CY591" i="15"/>
  <c r="CZ591" i="15" s="1"/>
  <c r="CY599" i="15"/>
  <c r="CZ599" i="15" s="1"/>
  <c r="CY607" i="15"/>
  <c r="CZ607" i="15" s="1"/>
  <c r="CY614" i="15"/>
  <c r="CZ614" i="15" s="1"/>
  <c r="CY629" i="15"/>
  <c r="CZ629" i="15" s="1"/>
  <c r="CY637" i="15"/>
  <c r="CZ637" i="15" s="1"/>
  <c r="CY644" i="15"/>
  <c r="CZ644" i="15" s="1"/>
  <c r="CY652" i="15"/>
  <c r="CZ652" i="15" s="1"/>
  <c r="CY660" i="15"/>
  <c r="CZ660" i="15" s="1"/>
  <c r="CY668" i="15"/>
  <c r="CZ668" i="15" s="1"/>
  <c r="CY675" i="15"/>
  <c r="CZ675" i="15" s="1"/>
  <c r="CY680" i="15"/>
  <c r="CZ680" i="15" s="1"/>
  <c r="CY684" i="15"/>
  <c r="CZ684" i="15" s="1"/>
  <c r="CY688" i="15"/>
  <c r="CZ688" i="15" s="1"/>
  <c r="CY718" i="15"/>
  <c r="CZ718" i="15" s="1"/>
  <c r="CY722" i="15"/>
  <c r="CZ722" i="15" s="1"/>
  <c r="DC722" i="15" s="1"/>
  <c r="CY726" i="15"/>
  <c r="CZ726" i="15" s="1"/>
  <c r="CY730" i="15"/>
  <c r="CZ730" i="15" s="1"/>
  <c r="CY733" i="15"/>
  <c r="CZ733" i="15" s="1"/>
  <c r="CY737" i="15"/>
  <c r="CZ737" i="15" s="1"/>
  <c r="DC737" i="15" s="1"/>
  <c r="CY741" i="15"/>
  <c r="CZ741" i="15" s="1"/>
  <c r="CY745" i="15"/>
  <c r="CZ745" i="15" s="1"/>
  <c r="CY749" i="15"/>
  <c r="CZ749" i="15" s="1"/>
  <c r="CY756" i="15"/>
  <c r="CZ756" i="15" s="1"/>
  <c r="DC756" i="15" s="1"/>
  <c r="CY758" i="15"/>
  <c r="CZ758" i="15" s="1"/>
  <c r="CY762" i="15"/>
  <c r="CZ762" i="15" s="1"/>
  <c r="CY766" i="15"/>
  <c r="CZ766" i="15" s="1"/>
  <c r="CY770" i="15"/>
  <c r="CZ770" i="15" s="1"/>
  <c r="DC770" i="15" s="1"/>
  <c r="CY776" i="15"/>
  <c r="CZ776" i="15" s="1"/>
  <c r="CY779" i="15"/>
  <c r="CZ779" i="15" s="1"/>
  <c r="CY783" i="15"/>
  <c r="CZ783" i="15" s="1"/>
  <c r="CY787" i="15"/>
  <c r="CZ787" i="15" s="1"/>
  <c r="CY791" i="15"/>
  <c r="CZ791" i="15" s="1"/>
  <c r="CY798" i="15"/>
  <c r="CZ798" i="15" s="1"/>
  <c r="CY802" i="15"/>
  <c r="CZ802" i="15" s="1"/>
  <c r="CY806" i="15"/>
  <c r="CZ806" i="15" s="1"/>
  <c r="CY810" i="15"/>
  <c r="CZ810" i="15" s="1"/>
  <c r="CY814" i="15"/>
  <c r="CZ814" i="15" s="1"/>
  <c r="CY818" i="15"/>
  <c r="CZ818" i="15" s="1"/>
  <c r="CY822" i="15"/>
  <c r="CZ822" i="15" s="1"/>
  <c r="CY826" i="15"/>
  <c r="CZ826" i="15" s="1"/>
  <c r="CY829" i="15"/>
  <c r="CZ829" i="15" s="1"/>
  <c r="CY833" i="15"/>
  <c r="CZ833" i="15" s="1"/>
  <c r="CY837" i="15"/>
  <c r="CZ837" i="15" s="1"/>
  <c r="CY841" i="15"/>
  <c r="CZ841" i="15" s="1"/>
  <c r="CY845" i="15"/>
  <c r="CZ845" i="15" s="1"/>
  <c r="CY849" i="15"/>
  <c r="CZ849" i="15" s="1"/>
  <c r="CY853" i="15"/>
  <c r="CZ853" i="15" s="1"/>
  <c r="CY857" i="15"/>
  <c r="CZ857" i="15" s="1"/>
  <c r="CY861" i="15"/>
  <c r="CZ861" i="15" s="1"/>
  <c r="CY48" i="15"/>
  <c r="CZ48" i="15" s="1"/>
  <c r="CY79" i="15"/>
  <c r="CZ79" i="15" s="1"/>
  <c r="DC79" i="15" s="1"/>
  <c r="CY170" i="15"/>
  <c r="CZ170" i="15" s="1"/>
  <c r="CY232" i="15"/>
  <c r="CZ232" i="15" s="1"/>
  <c r="CY283" i="15"/>
  <c r="CZ283" i="15" s="1"/>
  <c r="CY314" i="15"/>
  <c r="CZ314" i="15" s="1"/>
  <c r="CY345" i="15"/>
  <c r="CZ345" i="15" s="1"/>
  <c r="CY376" i="15"/>
  <c r="CZ376" i="15" s="1"/>
  <c r="CY438" i="15"/>
  <c r="CZ438" i="15" s="1"/>
  <c r="CY484" i="15"/>
  <c r="CZ484" i="15" s="1"/>
  <c r="CY545" i="15"/>
  <c r="CZ545" i="15" s="1"/>
  <c r="CY573" i="15"/>
  <c r="CZ573" i="15" s="1"/>
  <c r="CY587" i="15"/>
  <c r="CZ587" i="15" s="1"/>
  <c r="CY603" i="15"/>
  <c r="CZ603" i="15" s="1"/>
  <c r="CY618" i="15"/>
  <c r="CZ618" i="15" s="1"/>
  <c r="CY625" i="15"/>
  <c r="CZ625" i="15" s="1"/>
  <c r="CY641" i="15"/>
  <c r="CZ641" i="15" s="1"/>
  <c r="CY656" i="15"/>
  <c r="CZ656" i="15" s="1"/>
  <c r="CY671" i="15"/>
  <c r="CZ671" i="15" s="1"/>
  <c r="CY682" i="15"/>
  <c r="CZ682" i="15" s="1"/>
  <c r="CY716" i="15"/>
  <c r="CZ716" i="15" s="1"/>
  <c r="CY724" i="15"/>
  <c r="CZ724" i="15" s="1"/>
  <c r="CY732" i="15"/>
  <c r="CZ732" i="15" s="1"/>
  <c r="CY739" i="15"/>
  <c r="CZ739" i="15" s="1"/>
  <c r="CY747" i="15"/>
  <c r="CZ747" i="15" s="1"/>
  <c r="CY760" i="15"/>
  <c r="CZ760" i="15" s="1"/>
  <c r="CY768" i="15"/>
  <c r="CZ768" i="15" s="1"/>
  <c r="CY777" i="15"/>
  <c r="CZ777" i="15" s="1"/>
  <c r="CY785" i="15"/>
  <c r="CZ785" i="15" s="1"/>
  <c r="CY793" i="15"/>
  <c r="CZ793" i="15" s="1"/>
  <c r="CY804" i="15"/>
  <c r="CZ804" i="15" s="1"/>
  <c r="CY812" i="15"/>
  <c r="CZ812" i="15" s="1"/>
  <c r="CY820" i="15"/>
  <c r="CZ820" i="15" s="1"/>
  <c r="CY831" i="15"/>
  <c r="CZ831" i="15" s="1"/>
  <c r="CY839" i="15"/>
  <c r="CZ839" i="15" s="1"/>
  <c r="CY851" i="15"/>
  <c r="CZ851" i="15" s="1"/>
  <c r="CY71" i="15"/>
  <c r="CZ71" i="15" s="1"/>
  <c r="CY101" i="15"/>
  <c r="CZ101" i="15" s="1"/>
  <c r="CY132" i="15"/>
  <c r="CZ132" i="15" s="1"/>
  <c r="CY163" i="15"/>
  <c r="CZ163" i="15" s="1"/>
  <c r="CY193" i="15"/>
  <c r="CZ193" i="15" s="1"/>
  <c r="CY224" i="15"/>
  <c r="CZ224" i="15" s="1"/>
  <c r="CY249" i="15"/>
  <c r="CZ249" i="15" s="1"/>
  <c r="CY264" i="15"/>
  <c r="CZ264" i="15" s="1"/>
  <c r="CY279" i="15"/>
  <c r="CZ279" i="15" s="1"/>
  <c r="CY295" i="15"/>
  <c r="CZ295" i="15" s="1"/>
  <c r="CY310" i="15"/>
  <c r="CZ310" i="15" s="1"/>
  <c r="CY341" i="15"/>
  <c r="CZ341" i="15" s="1"/>
  <c r="CY357" i="15"/>
  <c r="CZ357" i="15" s="1"/>
  <c r="CY372" i="15"/>
  <c r="CZ372" i="15" s="1"/>
  <c r="CY388" i="15"/>
  <c r="CZ388" i="15" s="1"/>
  <c r="CY404" i="15"/>
  <c r="CZ404" i="15" s="1"/>
  <c r="CY419" i="15"/>
  <c r="CZ419" i="15" s="1"/>
  <c r="CY434" i="15"/>
  <c r="CZ434" i="15" s="1"/>
  <c r="CY450" i="15"/>
  <c r="CZ450" i="15" s="1"/>
  <c r="CY480" i="15"/>
  <c r="CZ480" i="15" s="1"/>
  <c r="CY495" i="15"/>
  <c r="CZ495" i="15" s="1"/>
  <c r="CY511" i="15"/>
  <c r="CZ511" i="15" s="1"/>
  <c r="CY526" i="15"/>
  <c r="CZ526" i="15" s="1"/>
  <c r="CY541" i="15"/>
  <c r="CZ541" i="15" s="1"/>
  <c r="CY556" i="15"/>
  <c r="CZ556" i="15" s="1"/>
  <c r="CY569" i="15"/>
  <c r="CZ569" i="15" s="1"/>
  <c r="CY577" i="15"/>
  <c r="CZ577" i="15" s="1"/>
  <c r="CY584" i="15"/>
  <c r="CZ584" i="15" s="1"/>
  <c r="CY592" i="15"/>
  <c r="CZ592" i="15" s="1"/>
  <c r="CY600" i="15"/>
  <c r="CZ600" i="15" s="1"/>
  <c r="DC600" i="15" s="1"/>
  <c r="CY608" i="15"/>
  <c r="CZ608" i="15" s="1"/>
  <c r="CY615" i="15"/>
  <c r="CZ615" i="15" s="1"/>
  <c r="CY622" i="15"/>
  <c r="CZ622" i="15" s="1"/>
  <c r="CY630" i="15"/>
  <c r="CZ630" i="15" s="1"/>
  <c r="CY638" i="15"/>
  <c r="CZ638" i="15" s="1"/>
  <c r="CY645" i="15"/>
  <c r="CZ645" i="15" s="1"/>
  <c r="CY653" i="15"/>
  <c r="CZ653" i="15" s="1"/>
  <c r="CY661" i="15"/>
  <c r="CZ661" i="15" s="1"/>
  <c r="CY676" i="15"/>
  <c r="CZ676" i="15" s="1"/>
  <c r="CY681" i="15"/>
  <c r="CZ681" i="15" s="1"/>
  <c r="CY685" i="15"/>
  <c r="CZ685" i="15" s="1"/>
  <c r="CY715" i="15"/>
  <c r="CZ715" i="15" s="1"/>
  <c r="CY719" i="15"/>
  <c r="CZ719" i="15" s="1"/>
  <c r="CY723" i="15"/>
  <c r="CZ723" i="15" s="1"/>
  <c r="DC723" i="15" s="1"/>
  <c r="CY727" i="15"/>
  <c r="CZ727" i="15" s="1"/>
  <c r="DC727" i="15" s="1"/>
  <c r="CY734" i="15"/>
  <c r="CZ734" i="15" s="1"/>
  <c r="CY738" i="15"/>
  <c r="CZ738" i="15" s="1"/>
  <c r="CY742" i="15"/>
  <c r="CZ742" i="15" s="1"/>
  <c r="CY746" i="15"/>
  <c r="CZ746" i="15" s="1"/>
  <c r="CY750" i="15"/>
  <c r="CZ750" i="15" s="1"/>
  <c r="CY754" i="15"/>
  <c r="CZ754" i="15" s="1"/>
  <c r="CY757" i="15"/>
  <c r="CZ757" i="15" s="1"/>
  <c r="CY759" i="15"/>
  <c r="CZ759" i="15" s="1"/>
  <c r="CY763" i="15"/>
  <c r="CZ763" i="15" s="1"/>
  <c r="CY767" i="15"/>
  <c r="CZ767" i="15" s="1"/>
  <c r="CY771" i="15"/>
  <c r="CZ771" i="15" s="1"/>
  <c r="CY780" i="15"/>
  <c r="CZ780" i="15" s="1"/>
  <c r="CY784" i="15"/>
  <c r="CZ784" i="15" s="1"/>
  <c r="CY788" i="15"/>
  <c r="CZ788" i="15" s="1"/>
  <c r="CY792" i="15"/>
  <c r="CZ792" i="15" s="1"/>
  <c r="CY796" i="15"/>
  <c r="CZ796" i="15" s="1"/>
  <c r="CY799" i="15"/>
  <c r="CZ799" i="15" s="1"/>
  <c r="DC799" i="15" s="1"/>
  <c r="CY803" i="15"/>
  <c r="CZ803" i="15" s="1"/>
  <c r="CY807" i="15"/>
  <c r="CZ807" i="15" s="1"/>
  <c r="CY811" i="15"/>
  <c r="CZ811" i="15" s="1"/>
  <c r="CY815" i="15"/>
  <c r="CZ815" i="15" s="1"/>
  <c r="CY819" i="15"/>
  <c r="CZ819" i="15" s="1"/>
  <c r="CY823" i="15"/>
  <c r="CZ823" i="15" s="1"/>
  <c r="CY830" i="15"/>
  <c r="CZ830" i="15" s="1"/>
  <c r="CY834" i="15"/>
  <c r="CZ834" i="15" s="1"/>
  <c r="CY838" i="15"/>
  <c r="CZ838" i="15" s="1"/>
  <c r="CY842" i="15"/>
  <c r="CZ842" i="15" s="1"/>
  <c r="CY846" i="15"/>
  <c r="CZ846" i="15" s="1"/>
  <c r="CY850" i="15"/>
  <c r="CZ850" i="15" s="1"/>
  <c r="CY854" i="15"/>
  <c r="CZ854" i="15" s="1"/>
  <c r="CY858" i="15"/>
  <c r="CZ858" i="15" s="1"/>
  <c r="CY18" i="15"/>
  <c r="CZ18" i="15" s="1"/>
  <c r="CY109" i="15"/>
  <c r="CZ109" i="15" s="1"/>
  <c r="CY140" i="15"/>
  <c r="CZ140" i="15" s="1"/>
  <c r="CY201" i="15"/>
  <c r="CZ201" i="15" s="1"/>
  <c r="CY268" i="15"/>
  <c r="CZ268" i="15" s="1"/>
  <c r="CY299" i="15"/>
  <c r="CZ299" i="15" s="1"/>
  <c r="CY329" i="15"/>
  <c r="CZ329" i="15" s="1"/>
  <c r="CY361" i="15"/>
  <c r="CZ361" i="15" s="1"/>
  <c r="CY392" i="15"/>
  <c r="CZ392" i="15" s="1"/>
  <c r="CY423" i="15"/>
  <c r="CZ423" i="15" s="1"/>
  <c r="CY454" i="15"/>
  <c r="CY499" i="15"/>
  <c r="CZ499" i="15" s="1"/>
  <c r="CY560" i="15"/>
  <c r="CZ560" i="15" s="1"/>
  <c r="CY579" i="15"/>
  <c r="CZ579" i="15" s="1"/>
  <c r="CY595" i="15"/>
  <c r="CZ595" i="15" s="1"/>
  <c r="CY611" i="15"/>
  <c r="CZ611" i="15" s="1"/>
  <c r="CY633" i="15"/>
  <c r="CZ633" i="15" s="1"/>
  <c r="CY648" i="15"/>
  <c r="CZ648" i="15" s="1"/>
  <c r="CY664" i="15"/>
  <c r="CZ664" i="15" s="1"/>
  <c r="CY678" i="15"/>
  <c r="CZ678" i="15" s="1"/>
  <c r="CY686" i="15"/>
  <c r="CZ686" i="15" s="1"/>
  <c r="CY720" i="15"/>
  <c r="CZ720" i="15" s="1"/>
  <c r="CY728" i="15"/>
  <c r="CZ728" i="15" s="1"/>
  <c r="CY735" i="15"/>
  <c r="CZ735" i="15" s="1"/>
  <c r="CY743" i="15"/>
  <c r="CZ743" i="15" s="1"/>
  <c r="CY751" i="15"/>
  <c r="CZ751" i="15" s="1"/>
  <c r="CY773" i="15"/>
  <c r="CZ773" i="15" s="1"/>
  <c r="CY764" i="15"/>
  <c r="CZ764" i="15" s="1"/>
  <c r="CY772" i="15"/>
  <c r="CZ772" i="15" s="1"/>
  <c r="CY781" i="15"/>
  <c r="CZ781" i="15" s="1"/>
  <c r="CY789" i="15"/>
  <c r="CZ789" i="15" s="1"/>
  <c r="CY800" i="15"/>
  <c r="CZ800" i="15" s="1"/>
  <c r="CY808" i="15"/>
  <c r="CZ808" i="15" s="1"/>
  <c r="CY816" i="15"/>
  <c r="CZ816" i="15" s="1"/>
  <c r="CY828" i="15"/>
  <c r="CZ828" i="15" s="1"/>
  <c r="CY835" i="15"/>
  <c r="CZ835" i="15" s="1"/>
  <c r="CY847" i="15"/>
  <c r="CZ847" i="15" s="1"/>
  <c r="CY855" i="15"/>
  <c r="CZ855" i="15" s="1"/>
  <c r="DT83" i="15"/>
  <c r="DT220" i="15"/>
  <c r="DT219" i="15" s="1"/>
  <c r="DS219" i="15"/>
  <c r="DT98" i="15"/>
  <c r="DT145" i="15"/>
  <c r="DT65" i="15"/>
  <c r="DT125" i="15"/>
  <c r="DT34" i="15"/>
  <c r="DT191" i="15"/>
  <c r="DT190" i="15" s="1"/>
  <c r="DS190" i="15"/>
  <c r="DT169" i="15"/>
  <c r="DT168" i="15" s="1"/>
  <c r="DS168" i="15"/>
  <c r="DT8" i="15"/>
  <c r="DT42" i="15"/>
  <c r="DT325" i="15"/>
  <c r="DT271" i="15"/>
  <c r="DT252" i="15"/>
  <c r="DT251" i="15" s="1"/>
  <c r="DS251" i="15"/>
  <c r="DT408" i="15"/>
  <c r="DT407" i="15" s="1"/>
  <c r="DS407" i="15"/>
  <c r="DT300" i="15"/>
  <c r="DT233" i="15"/>
  <c r="DT232" i="15" s="1"/>
  <c r="DS232" i="15"/>
  <c r="DT456" i="15"/>
  <c r="DT455" i="15" s="1"/>
  <c r="DS455" i="15"/>
  <c r="DT431" i="15"/>
  <c r="DT430" i="15" s="1"/>
  <c r="DS430" i="15"/>
  <c r="DT473" i="15"/>
  <c r="DT472" i="15" s="1"/>
  <c r="DS472" i="15"/>
  <c r="DT492" i="15"/>
  <c r="DT491" i="15" s="1"/>
  <c r="DS491" i="15"/>
  <c r="DT515" i="15"/>
  <c r="DT514" i="15" s="1"/>
  <c r="DS514" i="15"/>
  <c r="DT530" i="15"/>
  <c r="DT529" i="15" s="1"/>
  <c r="DS529" i="15"/>
  <c r="DT549" i="15"/>
  <c r="DT548" i="15" s="1"/>
  <c r="DS548" i="15"/>
  <c r="DT622" i="15"/>
  <c r="DT621" i="15" s="1"/>
  <c r="DS621" i="15"/>
  <c r="DT612" i="15"/>
  <c r="DT611" i="15" s="1"/>
  <c r="DS611" i="15"/>
  <c r="DT579" i="15"/>
  <c r="DT578" i="15" s="1"/>
  <c r="DS578" i="15"/>
  <c r="DT642" i="15"/>
  <c r="DT641" i="15" s="1"/>
  <c r="DS641" i="15"/>
  <c r="DT669" i="15"/>
  <c r="DT668" i="15" s="1"/>
  <c r="DS668" i="15"/>
  <c r="DT689" i="15"/>
  <c r="DT688" i="15" s="1"/>
  <c r="DS688" i="15"/>
  <c r="DT733" i="15"/>
  <c r="DT732" i="15" s="1"/>
  <c r="DS732" i="15"/>
  <c r="DT715" i="15"/>
  <c r="DT714" i="15" s="1"/>
  <c r="DS714" i="15"/>
  <c r="DT755" i="15"/>
  <c r="DT754" i="15" s="1"/>
  <c r="DS754" i="15"/>
  <c r="DT777" i="15"/>
  <c r="DT776" i="15" s="1"/>
  <c r="DS776" i="15"/>
  <c r="DT797" i="15"/>
  <c r="DT796" i="15" s="1"/>
  <c r="DS796" i="15"/>
  <c r="DS828" i="15"/>
  <c r="DT829" i="15"/>
  <c r="DT828" i="15" s="1"/>
  <c r="DS371" i="15"/>
  <c r="DT372" i="15"/>
  <c r="DT371" i="15" s="1"/>
  <c r="DS325" i="15"/>
  <c r="DS300" i="15"/>
  <c r="DS271" i="15"/>
  <c r="DS145" i="15"/>
  <c r="DS34" i="15"/>
  <c r="DS125" i="15"/>
  <c r="DS65" i="15"/>
  <c r="DS83" i="15"/>
  <c r="DS9" i="15"/>
  <c r="DS8" i="15"/>
  <c r="DS98" i="15"/>
  <c r="DS42" i="15"/>
  <c r="AI395" i="1"/>
  <c r="AI312" i="1"/>
  <c r="AI344" i="1"/>
  <c r="AI306" i="1"/>
  <c r="AI390" i="1"/>
  <c r="AI110" i="1"/>
  <c r="AI63" i="1"/>
  <c r="AI88" i="1"/>
  <c r="AI398" i="1"/>
  <c r="AI578" i="1"/>
  <c r="AI465" i="1"/>
  <c r="AI360" i="1"/>
  <c r="AI481" i="1"/>
  <c r="AI340" i="1"/>
  <c r="AI581" i="1"/>
  <c r="AI513" i="1"/>
  <c r="AI474" i="1"/>
  <c r="AI311" i="1"/>
  <c r="AI570" i="1"/>
  <c r="AI372" i="1"/>
  <c r="AI525" i="1"/>
  <c r="O11" i="13"/>
  <c r="AI97" i="1"/>
  <c r="AI54" i="1"/>
  <c r="AI18" i="1"/>
  <c r="AI98" i="1"/>
  <c r="AI113" i="1"/>
  <c r="AI79" i="1"/>
  <c r="AI337" i="1"/>
  <c r="AI321" i="1"/>
  <c r="AI370" i="1"/>
  <c r="AI524" i="1"/>
  <c r="AI515" i="1"/>
  <c r="AI467" i="1"/>
  <c r="AI415" i="1"/>
  <c r="AI125" i="1"/>
  <c r="AI310" i="1"/>
  <c r="AI404" i="1"/>
  <c r="AI519" i="1"/>
  <c r="AI565" i="1"/>
  <c r="AI378" i="1"/>
  <c r="AI100" i="1"/>
  <c r="AI126" i="1"/>
  <c r="AI354" i="1"/>
  <c r="AI332" i="1"/>
  <c r="AI355" i="1"/>
  <c r="AI305" i="1"/>
  <c r="AI336" i="1"/>
  <c r="AI330" i="1"/>
  <c r="AI394" i="1"/>
  <c r="AI386" i="1"/>
  <c r="AI345" i="1"/>
  <c r="AI58" i="1"/>
  <c r="AI43" i="1"/>
  <c r="AI387" i="1"/>
  <c r="AI120" i="1"/>
  <c r="AI83" i="1"/>
  <c r="AI86" i="1"/>
  <c r="AI512" i="1"/>
  <c r="AI417" i="1"/>
  <c r="AI566" i="1"/>
  <c r="AI418" i="1"/>
  <c r="AI574" i="1"/>
  <c r="AI463" i="1"/>
  <c r="AI362" i="1"/>
  <c r="AI564" i="1"/>
  <c r="AI537" i="1"/>
  <c r="AI476" i="1"/>
  <c r="AI437" i="1"/>
  <c r="AI122" i="1"/>
  <c r="AI384" i="1"/>
  <c r="AI385" i="1"/>
  <c r="AI326" i="1"/>
  <c r="AI582" i="1"/>
  <c r="AI597" i="1"/>
  <c r="AI475" i="1"/>
  <c r="AI443" i="1"/>
  <c r="AI572" i="1"/>
  <c r="AI427" i="1"/>
  <c r="AI444" i="1"/>
  <c r="AI429" i="1"/>
  <c r="AI131" i="1"/>
  <c r="AI9" i="1"/>
  <c r="AI118" i="1"/>
  <c r="AC175" i="1"/>
  <c r="AD175" i="1"/>
  <c r="AI184" i="1"/>
  <c r="AC135" i="1"/>
  <c r="AF73" i="1"/>
  <c r="AI135" i="1"/>
  <c r="AC73" i="1"/>
  <c r="AG73" i="1"/>
  <c r="AH73" i="1"/>
  <c r="AI137" i="1"/>
  <c r="AC317" i="1"/>
  <c r="AI320" i="1"/>
  <c r="AI189" i="1"/>
  <c r="G11" i="13"/>
  <c r="AD183" i="1"/>
  <c r="AC183" i="1"/>
  <c r="AD174" i="1"/>
  <c r="AC174" i="1"/>
  <c r="AI317" i="1"/>
  <c r="AD176" i="1"/>
  <c r="AC176" i="1"/>
  <c r="AC188" i="1"/>
  <c r="AI188" i="1"/>
  <c r="AF61" i="1"/>
  <c r="AD96" i="1"/>
  <c r="AC96" i="1"/>
  <c r="AC117" i="1"/>
  <c r="AD117" i="1"/>
  <c r="AD115" i="1"/>
  <c r="AC115" i="1"/>
  <c r="AH61" i="1"/>
  <c r="AG61" i="1"/>
  <c r="AF57" i="1"/>
  <c r="AH46" i="1"/>
  <c r="AE73" i="1"/>
  <c r="AE61" i="1"/>
  <c r="AG46" i="1"/>
  <c r="AF46" i="1"/>
  <c r="AH57" i="1"/>
  <c r="AG57" i="1"/>
  <c r="AD46" i="1"/>
  <c r="AD8" i="1"/>
  <c r="AC316" i="1"/>
  <c r="AI316" i="1"/>
  <c r="AE315" i="1"/>
  <c r="AC315" i="1"/>
  <c r="AE319" i="1"/>
  <c r="AC319" i="1"/>
  <c r="M13" i="13"/>
  <c r="M11" i="13"/>
  <c r="AC128" i="1"/>
  <c r="M12" i="13"/>
  <c r="AG68" i="1"/>
  <c r="AC11" i="1"/>
  <c r="AC12" i="1"/>
  <c r="G10" i="13"/>
  <c r="AD20" i="1"/>
  <c r="AC20" i="1"/>
  <c r="Q10" i="13"/>
  <c r="R10" i="13"/>
  <c r="AI71" i="1"/>
  <c r="P10" i="13"/>
  <c r="AD13" i="1"/>
  <c r="AC13" i="1"/>
  <c r="O10" i="13"/>
  <c r="N10" i="13"/>
  <c r="AD104" i="1"/>
  <c r="AC104" i="1"/>
  <c r="AI67" i="1"/>
  <c r="AI128" i="1"/>
  <c r="AI33" i="1"/>
  <c r="AI14" i="1"/>
  <c r="AI25" i="1"/>
  <c r="AI124" i="1"/>
  <c r="AI129" i="1"/>
  <c r="AI11" i="1"/>
  <c r="AI12" i="1"/>
  <c r="AI28" i="1"/>
  <c r="AI180" i="1"/>
  <c r="DC855" i="15" l="1"/>
  <c r="DC724" i="15"/>
  <c r="DC173" i="15"/>
  <c r="DC569" i="15"/>
  <c r="DC158" i="15"/>
  <c r="DC169" i="15"/>
  <c r="DC553" i="15"/>
  <c r="DC154" i="15"/>
  <c r="DC139" i="15"/>
  <c r="DC538" i="15"/>
  <c r="DC787" i="15"/>
  <c r="DC523" i="15"/>
  <c r="DC477" i="15"/>
  <c r="DC743" i="15"/>
  <c r="DC633" i="15"/>
  <c r="DC279" i="15"/>
  <c r="DC48" i="15"/>
  <c r="DC26" i="15"/>
  <c r="DC127" i="15"/>
  <c r="DC89" i="15"/>
  <c r="DC21" i="15"/>
  <c r="DC781" i="15"/>
  <c r="DC661" i="15"/>
  <c r="DC224" i="15"/>
  <c r="DC101" i="15"/>
  <c r="DC680" i="15"/>
  <c r="DC184" i="15"/>
  <c r="DC793" i="15"/>
  <c r="DC760" i="15"/>
  <c r="DC604" i="15"/>
  <c r="DC574" i="15"/>
  <c r="DC567" i="15"/>
  <c r="DC551" i="15"/>
  <c r="DC536" i="15"/>
  <c r="DC521" i="15"/>
  <c r="DC506" i="15"/>
  <c r="DC491" i="15"/>
  <c r="DC475" i="15"/>
  <c r="DC445" i="15"/>
  <c r="DC430" i="15"/>
  <c r="DC414" i="15"/>
  <c r="DC399" i="15"/>
  <c r="DC383" i="15"/>
  <c r="DC364" i="15"/>
  <c r="DC348" i="15"/>
  <c r="DC332" i="15"/>
  <c r="DC317" i="15"/>
  <c r="DC301" i="15"/>
  <c r="DC286" i="15"/>
  <c r="DC271" i="15"/>
  <c r="DC255" i="15"/>
  <c r="DC70" i="15"/>
  <c r="DC40" i="15"/>
  <c r="DC447" i="15"/>
  <c r="DC431" i="15"/>
  <c r="DC416" i="15"/>
  <c r="DC401" i="15"/>
  <c r="DC385" i="15"/>
  <c r="DC354" i="15"/>
  <c r="DC338" i="15"/>
  <c r="DC323" i="15"/>
  <c r="DC307" i="15"/>
  <c r="DC292" i="15"/>
  <c r="DC276" i="15"/>
  <c r="DC16" i="15"/>
  <c r="DC31" i="15"/>
  <c r="DC15" i="15"/>
  <c r="DC480" i="15"/>
  <c r="DC812" i="15"/>
  <c r="DC777" i="15"/>
  <c r="DC682" i="15"/>
  <c r="DC573" i="15"/>
  <c r="DC859" i="15"/>
  <c r="DC588" i="15"/>
  <c r="DC55" i="15"/>
  <c r="DC828" i="15"/>
  <c r="DC676" i="15"/>
  <c r="DC843" i="15"/>
  <c r="DC108" i="15"/>
  <c r="DC132" i="15"/>
  <c r="DC656" i="15"/>
  <c r="DC830" i="15"/>
  <c r="DC811" i="15"/>
  <c r="DC595" i="15"/>
  <c r="DC846" i="15"/>
  <c r="DC746" i="15"/>
  <c r="DC495" i="15"/>
  <c r="DC193" i="15"/>
  <c r="DC71" i="15"/>
  <c r="DC34" i="15"/>
  <c r="DC147" i="15"/>
  <c r="DC645" i="15"/>
  <c r="DC163" i="15"/>
  <c r="DC861" i="15"/>
  <c r="DC845" i="15"/>
  <c r="DC829" i="15"/>
  <c r="DC814" i="15"/>
  <c r="DC798" i="15"/>
  <c r="DC239" i="15"/>
  <c r="DC117" i="15"/>
  <c r="DC524" i="15"/>
  <c r="DC509" i="15"/>
  <c r="DC493" i="15"/>
  <c r="DC474" i="15"/>
  <c r="DC261" i="15"/>
  <c r="DC246" i="15"/>
  <c r="DC842" i="15"/>
  <c r="DC771" i="15"/>
  <c r="DC742" i="15"/>
  <c r="DC404" i="15"/>
  <c r="DC341" i="15"/>
  <c r="DC264" i="15"/>
  <c r="DC476" i="15"/>
  <c r="DC803" i="15"/>
  <c r="DC526" i="15"/>
  <c r="DC345" i="15"/>
  <c r="DC591" i="15"/>
  <c r="DC844" i="15"/>
  <c r="DC825" i="15"/>
  <c r="DC794" i="15"/>
  <c r="DC725" i="15"/>
  <c r="DC518" i="15"/>
  <c r="DC662" i="15"/>
  <c r="DC631" i="15"/>
  <c r="DC601" i="15"/>
  <c r="DC570" i="15"/>
  <c r="DC539" i="15"/>
  <c r="DC20" i="15"/>
  <c r="DC681" i="15"/>
  <c r="DC832" i="15"/>
  <c r="DC813" i="15"/>
  <c r="DC782" i="15"/>
  <c r="DC27" i="15"/>
  <c r="DC11" i="15"/>
  <c r="DC520" i="15"/>
  <c r="DC505" i="15"/>
  <c r="DC486" i="15"/>
  <c r="DC471" i="15"/>
  <c r="DC235" i="15"/>
  <c r="DC205" i="15"/>
  <c r="DC174" i="15"/>
  <c r="DC144" i="15"/>
  <c r="DC113" i="15"/>
  <c r="DC83" i="15"/>
  <c r="DC557" i="15"/>
  <c r="DC542" i="15"/>
  <c r="DC527" i="15"/>
  <c r="DC512" i="15"/>
  <c r="DC496" i="15"/>
  <c r="DC481" i="15"/>
  <c r="DC451" i="15"/>
  <c r="DC435" i="15"/>
  <c r="DC420" i="15"/>
  <c r="DC405" i="15"/>
  <c r="DC389" i="15"/>
  <c r="DC373" i="15"/>
  <c r="DC358" i="15"/>
  <c r="DC342" i="15"/>
  <c r="DC326" i="15"/>
  <c r="DC311" i="15"/>
  <c r="DC296" i="15"/>
  <c r="DC280" i="15"/>
  <c r="DC265" i="15"/>
  <c r="DC120" i="15"/>
  <c r="DC780" i="15"/>
  <c r="DC159" i="15"/>
  <c r="DC128" i="15"/>
  <c r="DC98" i="15"/>
  <c r="DC67" i="15"/>
  <c r="DC104" i="15"/>
  <c r="DC9" i="15"/>
  <c r="DC648" i="15"/>
  <c r="DC715" i="15"/>
  <c r="DC785" i="15"/>
  <c r="DC849" i="15"/>
  <c r="DC833" i="15"/>
  <c r="DC818" i="15"/>
  <c r="DC802" i="15"/>
  <c r="DC783" i="15"/>
  <c r="DC766" i="15"/>
  <c r="DC650" i="15"/>
  <c r="DC589" i="15"/>
  <c r="DC558" i="15"/>
  <c r="DC211" i="15"/>
  <c r="DC180" i="15"/>
  <c r="DC222" i="15"/>
  <c r="DC805" i="15"/>
  <c r="DC755" i="15"/>
  <c r="DC679" i="15"/>
  <c r="DC497" i="15"/>
  <c r="DC478" i="15"/>
  <c r="DC607" i="15"/>
  <c r="DC220" i="15"/>
  <c r="DC190" i="15"/>
  <c r="DC28" i="15"/>
  <c r="DC583" i="15"/>
  <c r="DC856" i="15"/>
  <c r="DC790" i="15"/>
  <c r="DC673" i="15"/>
  <c r="DC642" i="15"/>
  <c r="DC612" i="15"/>
  <c r="DC581" i="15"/>
  <c r="DC297" i="15"/>
  <c r="DC281" i="15"/>
  <c r="DC266" i="15"/>
  <c r="DC251" i="15"/>
  <c r="DC801" i="15"/>
  <c r="DC283" i="15"/>
  <c r="DC564" i="15"/>
  <c r="DC256" i="15"/>
  <c r="DC183" i="15"/>
  <c r="DC168" i="15"/>
  <c r="DC152" i="15"/>
  <c r="DC137" i="15"/>
  <c r="DC118" i="15"/>
  <c r="DC102" i="15"/>
  <c r="DC80" i="15"/>
  <c r="DC65" i="15"/>
  <c r="DC49" i="15"/>
  <c r="DC761" i="15"/>
  <c r="DC714" i="15"/>
  <c r="DC442" i="15"/>
  <c r="DC380" i="15"/>
  <c r="DC30" i="15"/>
  <c r="DC808" i="15"/>
  <c r="DC772" i="15"/>
  <c r="DC560" i="15"/>
  <c r="DC392" i="15"/>
  <c r="DC268" i="15"/>
  <c r="DC685" i="15"/>
  <c r="DC556" i="15"/>
  <c r="DC587" i="15"/>
  <c r="DC675" i="15"/>
  <c r="DC568" i="15"/>
  <c r="DC817" i="15"/>
  <c r="DC786" i="15"/>
  <c r="DC765" i="15"/>
  <c r="DC634" i="15"/>
  <c r="DC628" i="15"/>
  <c r="DC613" i="15"/>
  <c r="DC598" i="15"/>
  <c r="DC582" i="15"/>
  <c r="DC563" i="15"/>
  <c r="DC548" i="15"/>
  <c r="DC532" i="15"/>
  <c r="DC517" i="15"/>
  <c r="DC502" i="15"/>
  <c r="DC487" i="15"/>
  <c r="DC472" i="15"/>
  <c r="DC441" i="15"/>
  <c r="DC426" i="15"/>
  <c r="DC410" i="15"/>
  <c r="DC395" i="15"/>
  <c r="DC379" i="15"/>
  <c r="DC63" i="15"/>
  <c r="DC654" i="15"/>
  <c r="DC623" i="15"/>
  <c r="DC593" i="15"/>
  <c r="DC562" i="15"/>
  <c r="DC531" i="15"/>
  <c r="DC448" i="15"/>
  <c r="DC432" i="15"/>
  <c r="DC413" i="15"/>
  <c r="DC394" i="15"/>
  <c r="DC378" i="15"/>
  <c r="DC363" i="15"/>
  <c r="DC347" i="15"/>
  <c r="DC331" i="15"/>
  <c r="DC312" i="15"/>
  <c r="DC584" i="15"/>
  <c r="DC688" i="15"/>
  <c r="DC637" i="15"/>
  <c r="DC848" i="15"/>
  <c r="DC196" i="15"/>
  <c r="DC166" i="15"/>
  <c r="DC142" i="15"/>
  <c r="DC126" i="15"/>
  <c r="DC111" i="15"/>
  <c r="DC96" i="15"/>
  <c r="DC81" i="15"/>
  <c r="DC62" i="15"/>
  <c r="DC46" i="15"/>
  <c r="DC229" i="15"/>
  <c r="DC214" i="15"/>
  <c r="DC198" i="15"/>
  <c r="DC179" i="15"/>
  <c r="DC164" i="15"/>
  <c r="DC148" i="15"/>
  <c r="DC133" i="15"/>
  <c r="DC114" i="15"/>
  <c r="DC95" i="15"/>
  <c r="DC76" i="15"/>
  <c r="DC61" i="15"/>
  <c r="DC45" i="15"/>
  <c r="DC329" i="15"/>
  <c r="DC754" i="15"/>
  <c r="DC450" i="15"/>
  <c r="DC388" i="15"/>
  <c r="DC310" i="15"/>
  <c r="DC249" i="15"/>
  <c r="DC839" i="15"/>
  <c r="DC618" i="15"/>
  <c r="DC860" i="15"/>
  <c r="DC619" i="15"/>
  <c r="DC22" i="15"/>
  <c r="DC230" i="15"/>
  <c r="DC130" i="15"/>
  <c r="DC115" i="15"/>
  <c r="DC99" i="15"/>
  <c r="DC84" i="15"/>
  <c r="DC69" i="15"/>
  <c r="DC50" i="15"/>
  <c r="DC838" i="15"/>
  <c r="DC767" i="15"/>
  <c r="DC738" i="15"/>
  <c r="DC719" i="15"/>
  <c r="DC537" i="15"/>
  <c r="DC683" i="15"/>
  <c r="DC302" i="15"/>
  <c r="DC209" i="15"/>
  <c r="DC86" i="15"/>
  <c r="DC368" i="15"/>
  <c r="DC352" i="15"/>
  <c r="DC336" i="15"/>
  <c r="DC321" i="15"/>
  <c r="DC305" i="15"/>
  <c r="DC290" i="15"/>
  <c r="DC275" i="15"/>
  <c r="DC259" i="15"/>
  <c r="DC440" i="15"/>
  <c r="DC421" i="15"/>
  <c r="DC402" i="15"/>
  <c r="DC386" i="15"/>
  <c r="DC371" i="15"/>
  <c r="DC355" i="15"/>
  <c r="DC339" i="15"/>
  <c r="DC320" i="15"/>
  <c r="DC285" i="15"/>
  <c r="DC270" i="15"/>
  <c r="DC254" i="15"/>
  <c r="DC52" i="15"/>
  <c r="DC850" i="15"/>
  <c r="DC750" i="15"/>
  <c r="DC415" i="15"/>
  <c r="DC353" i="15"/>
  <c r="DC291" i="15"/>
  <c r="DC769" i="15"/>
  <c r="DC740" i="15"/>
  <c r="DC503" i="15"/>
  <c r="DC411" i="15"/>
  <c r="DC178" i="15"/>
  <c r="DC550" i="15"/>
  <c r="DC240" i="15"/>
  <c r="DC835" i="15"/>
  <c r="DC735" i="15"/>
  <c r="DC858" i="15"/>
  <c r="DC615" i="15"/>
  <c r="DC665" i="15"/>
  <c r="DC674" i="15"/>
  <c r="DC659" i="15"/>
  <c r="DC643" i="15"/>
  <c r="DC624" i="15"/>
  <c r="DC594" i="15"/>
  <c r="DC819" i="15"/>
  <c r="DC788" i="15"/>
  <c r="DC804" i="15"/>
  <c r="DC684" i="15"/>
  <c r="DC629" i="15"/>
  <c r="DC369" i="15"/>
  <c r="DC306" i="15"/>
  <c r="DC245" i="15"/>
  <c r="DC427" i="15"/>
  <c r="DC365" i="15"/>
  <c r="DC227" i="15"/>
  <c r="DC10" i="15"/>
  <c r="DC751" i="15"/>
  <c r="DC720" i="15"/>
  <c r="DC579" i="15"/>
  <c r="DC815" i="15"/>
  <c r="DC784" i="15"/>
  <c r="DC630" i="15"/>
  <c r="DC434" i="15"/>
  <c r="DC372" i="15"/>
  <c r="DC649" i="15"/>
  <c r="DC757" i="15"/>
  <c r="DC252" i="15"/>
  <c r="DC797" i="15"/>
  <c r="DC244" i="15"/>
  <c r="DC444" i="15"/>
  <c r="DC425" i="15"/>
  <c r="DC409" i="15"/>
  <c r="DC390" i="15"/>
  <c r="DC374" i="15"/>
  <c r="DC359" i="15"/>
  <c r="DC343" i="15"/>
  <c r="DC327" i="15"/>
  <c r="DC308" i="15"/>
  <c r="DC225" i="15"/>
  <c r="DC210" i="15"/>
  <c r="DC194" i="15"/>
  <c r="DC228" i="15"/>
  <c r="DC197" i="15"/>
  <c r="DC136" i="15"/>
  <c r="DC105" i="15"/>
  <c r="DC75" i="15"/>
  <c r="DC686" i="15"/>
  <c r="DC109" i="15"/>
  <c r="DC834" i="15"/>
  <c r="DC763" i="15"/>
  <c r="DC734" i="15"/>
  <c r="DC732" i="15"/>
  <c r="DC125" i="15"/>
  <c r="DC774" i="15"/>
  <c r="DC655" i="15"/>
  <c r="DC516" i="15"/>
  <c r="DC501" i="15"/>
  <c r="DC482" i="15"/>
  <c r="DC452" i="15"/>
  <c r="DC436" i="15"/>
  <c r="DC417" i="15"/>
  <c r="DC398" i="15"/>
  <c r="DC382" i="15"/>
  <c r="DC367" i="15"/>
  <c r="DC351" i="15"/>
  <c r="DC335" i="15"/>
  <c r="DC316" i="15"/>
  <c r="DC165" i="15"/>
  <c r="DC511" i="15"/>
  <c r="DC671" i="15"/>
  <c r="DC670" i="15"/>
  <c r="DC764" i="15"/>
  <c r="DC611" i="15"/>
  <c r="DC18" i="15"/>
  <c r="DC796" i="15"/>
  <c r="DC721" i="15"/>
  <c r="DC333" i="15"/>
  <c r="DC74" i="15"/>
  <c r="DC43" i="15"/>
  <c r="DC237" i="15"/>
  <c r="DC176" i="15"/>
  <c r="DC6" i="15"/>
  <c r="DC361" i="15"/>
  <c r="DC807" i="15"/>
  <c r="DC747" i="15"/>
  <c r="DC716" i="15"/>
  <c r="DC641" i="15"/>
  <c r="DC741" i="15"/>
  <c r="DC726" i="15"/>
  <c r="DC660" i="15"/>
  <c r="DC852" i="15"/>
  <c r="DC752" i="15"/>
  <c r="DC789" i="15"/>
  <c r="DC773" i="15"/>
  <c r="DC728" i="15"/>
  <c r="DC664" i="15"/>
  <c r="DC499" i="15"/>
  <c r="DC201" i="15"/>
  <c r="DC541" i="15"/>
  <c r="DC820" i="15"/>
  <c r="DC603" i="15"/>
  <c r="DC376" i="15"/>
  <c r="DC232" i="15"/>
  <c r="DC599" i="15"/>
  <c r="DC217" i="15"/>
  <c r="DC94" i="15"/>
  <c r="DC736" i="15"/>
  <c r="DC657" i="15"/>
  <c r="DC626" i="15"/>
  <c r="DC596" i="15"/>
  <c r="DC116" i="15"/>
  <c r="DC666" i="15"/>
  <c r="DC635" i="15"/>
  <c r="DC605" i="15"/>
  <c r="DC572" i="15"/>
  <c r="DC543" i="15"/>
  <c r="DC44" i="15"/>
  <c r="DC14" i="15"/>
  <c r="DC207" i="15"/>
  <c r="DC191" i="15"/>
  <c r="DC32" i="15"/>
  <c r="DC236" i="15"/>
  <c r="DC221" i="15"/>
  <c r="DC206" i="15"/>
  <c r="DC175" i="15"/>
  <c r="DC160" i="15"/>
  <c r="DC145" i="15"/>
  <c r="DC129" i="15"/>
  <c r="DC110" i="15"/>
  <c r="DC91" i="15"/>
  <c r="DC72" i="15"/>
  <c r="DC57" i="15"/>
  <c r="DC42" i="15"/>
  <c r="DC23" i="15"/>
  <c r="DC140" i="15"/>
  <c r="DC851" i="15"/>
  <c r="DC170" i="15"/>
  <c r="DC857" i="15"/>
  <c r="DC841" i="15"/>
  <c r="DC826" i="15"/>
  <c r="DC810" i="15"/>
  <c r="DC779" i="15"/>
  <c r="DC762" i="15"/>
  <c r="DC749" i="15"/>
  <c r="DC733" i="15"/>
  <c r="DC718" i="15"/>
  <c r="DC652" i="15"/>
  <c r="DC400" i="15"/>
  <c r="DC337" i="15"/>
  <c r="DC274" i="15"/>
  <c r="DC186" i="15"/>
  <c r="DC287" i="15"/>
  <c r="DC78" i="15"/>
  <c r="DC47" i="15"/>
  <c r="DC677" i="15"/>
  <c r="DC646" i="15"/>
  <c r="DC616" i="15"/>
  <c r="DC585" i="15"/>
  <c r="DC554" i="15"/>
  <c r="DC293" i="15"/>
  <c r="DC277" i="15"/>
  <c r="DC262" i="15"/>
  <c r="DC247" i="15"/>
  <c r="DC565" i="15"/>
  <c r="DC549" i="15"/>
  <c r="DC534" i="15"/>
  <c r="DC519" i="15"/>
  <c r="DC504" i="15"/>
  <c r="DC489" i="15"/>
  <c r="DC473" i="15"/>
  <c r="DC443" i="15"/>
  <c r="DC428" i="15"/>
  <c r="DC412" i="15"/>
  <c r="DC397" i="15"/>
  <c r="DC381" i="15"/>
  <c r="DC366" i="15"/>
  <c r="DC350" i="15"/>
  <c r="DC334" i="15"/>
  <c r="DC319" i="15"/>
  <c r="DC303" i="15"/>
  <c r="DC288" i="15"/>
  <c r="DC272" i="15"/>
  <c r="DC257" i="15"/>
  <c r="DC242" i="15"/>
  <c r="DC212" i="15"/>
  <c r="DC181" i="15"/>
  <c r="DC150" i="15"/>
  <c r="DC13" i="15"/>
  <c r="DC188" i="15"/>
  <c r="DC12" i="15"/>
  <c r="DC438" i="15"/>
  <c r="DC314" i="15"/>
  <c r="DC522" i="15"/>
  <c r="DC155" i="15"/>
  <c r="DC713" i="15"/>
  <c r="DC836" i="15"/>
  <c r="DC821" i="15"/>
  <c r="DC744" i="15"/>
  <c r="DC672" i="15"/>
  <c r="DC580" i="15"/>
  <c r="DC651" i="15"/>
  <c r="DC636" i="15"/>
  <c r="DC621" i="15"/>
  <c r="DC606" i="15"/>
  <c r="DC590" i="15"/>
  <c r="DC575" i="15"/>
  <c r="DC559" i="15"/>
  <c r="DC544" i="15"/>
  <c r="DC529" i="15"/>
  <c r="DC514" i="15"/>
  <c r="DC498" i="15"/>
  <c r="DC483" i="15"/>
  <c r="DC453" i="15"/>
  <c r="DC437" i="15"/>
  <c r="DC422" i="15"/>
  <c r="DC407" i="15"/>
  <c r="DC391" i="15"/>
  <c r="DC375" i="15"/>
  <c r="DC360" i="15"/>
  <c r="DC344" i="15"/>
  <c r="DC328" i="15"/>
  <c r="DC313" i="15"/>
  <c r="DC298" i="15"/>
  <c r="DC282" i="15"/>
  <c r="DC267" i="15"/>
  <c r="DC100" i="15"/>
  <c r="DC60" i="15"/>
  <c r="DC135" i="15"/>
  <c r="DC29" i="15"/>
  <c r="DC215" i="15"/>
  <c r="DC153" i="15"/>
  <c r="DC138" i="15"/>
  <c r="DC123" i="15"/>
  <c r="DC107" i="15"/>
  <c r="DC93" i="15"/>
  <c r="DC77" i="15"/>
  <c r="DC58" i="15"/>
  <c r="DC39" i="15"/>
  <c r="DC8" i="15"/>
  <c r="DC203" i="15"/>
  <c r="DC226" i="15"/>
  <c r="DC816" i="15"/>
  <c r="DC854" i="15"/>
  <c r="DC823" i="15"/>
  <c r="DC792" i="15"/>
  <c r="DC759" i="15"/>
  <c r="DC638" i="15"/>
  <c r="DC608" i="15"/>
  <c r="DC577" i="15"/>
  <c r="DC484" i="15"/>
  <c r="DC840" i="15"/>
  <c r="DC809" i="15"/>
  <c r="DC778" i="15"/>
  <c r="DC748" i="15"/>
  <c r="DC717" i="15"/>
  <c r="DC238" i="15"/>
  <c r="DC208" i="15"/>
  <c r="DC177" i="15"/>
  <c r="DC146" i="15"/>
  <c r="DC37" i="15"/>
  <c r="DC112" i="15"/>
  <c r="DC172" i="15"/>
  <c r="DC202" i="15"/>
  <c r="DC187" i="15"/>
  <c r="DC171" i="15"/>
  <c r="DC156" i="15"/>
  <c r="DC141" i="15"/>
  <c r="DC122" i="15"/>
  <c r="DC106" i="15"/>
  <c r="DC87" i="15"/>
  <c r="DC68" i="15"/>
  <c r="DC53" i="15"/>
  <c r="DC38" i="15"/>
  <c r="DC19" i="15"/>
  <c r="DC847" i="15"/>
  <c r="DC423" i="15"/>
  <c r="DC768" i="15"/>
  <c r="DC739" i="15"/>
  <c r="DC625" i="15"/>
  <c r="DC853" i="15"/>
  <c r="DC837" i="15"/>
  <c r="DC822" i="15"/>
  <c r="DC806" i="15"/>
  <c r="DC791" i="15"/>
  <c r="DC776" i="15"/>
  <c r="DC758" i="15"/>
  <c r="DC745" i="15"/>
  <c r="DC730" i="15"/>
  <c r="DC614" i="15"/>
  <c r="DC446" i="15"/>
  <c r="DC384" i="15"/>
  <c r="DC322" i="15"/>
  <c r="DC260" i="15"/>
  <c r="DC533" i="15"/>
  <c r="DC396" i="15"/>
  <c r="DC56" i="15"/>
  <c r="DC304" i="15"/>
  <c r="DC289" i="15"/>
  <c r="DC273" i="15"/>
  <c r="DC258" i="15"/>
  <c r="DC243" i="15"/>
  <c r="DC213" i="15"/>
  <c r="DC182" i="15"/>
  <c r="DC151" i="15"/>
  <c r="DC121" i="15"/>
  <c r="DC90" i="15"/>
  <c r="DC561" i="15"/>
  <c r="DC546" i="15"/>
  <c r="DC530" i="15"/>
  <c r="DC515" i="15"/>
  <c r="DC500" i="15"/>
  <c r="DC485" i="15"/>
  <c r="DC455" i="15"/>
  <c r="DC439" i="15"/>
  <c r="DC424" i="15"/>
  <c r="DC408" i="15"/>
  <c r="DC393" i="15"/>
  <c r="DC377" i="15"/>
  <c r="DC362" i="15"/>
  <c r="DC346" i="15"/>
  <c r="DC330" i="15"/>
  <c r="DC315" i="15"/>
  <c r="DC300" i="15"/>
  <c r="DC284" i="15"/>
  <c r="DC253" i="15"/>
  <c r="DC59" i="15"/>
  <c r="DC199" i="15"/>
  <c r="DC24" i="15"/>
  <c r="DC800" i="15"/>
  <c r="DC678" i="15"/>
  <c r="DC653" i="15"/>
  <c r="DC622" i="15"/>
  <c r="DC592" i="15"/>
  <c r="DC419" i="15"/>
  <c r="DC357" i="15"/>
  <c r="DC295" i="15"/>
  <c r="DC831" i="15"/>
  <c r="DC545" i="15"/>
  <c r="DC507" i="15"/>
  <c r="DC663" i="15"/>
  <c r="DC647" i="15"/>
  <c r="DC632" i="15"/>
  <c r="DC617" i="15"/>
  <c r="DC602" i="15"/>
  <c r="DC586" i="15"/>
  <c r="DC571" i="15"/>
  <c r="DC555" i="15"/>
  <c r="DC540" i="15"/>
  <c r="DC525" i="15"/>
  <c r="DC510" i="15"/>
  <c r="DC494" i="15"/>
  <c r="DC479" i="15"/>
  <c r="DC449" i="15"/>
  <c r="DC433" i="15"/>
  <c r="DC418" i="15"/>
  <c r="DC403" i="15"/>
  <c r="DC387" i="15"/>
  <c r="DC356" i="15"/>
  <c r="DC340" i="15"/>
  <c r="DC325" i="15"/>
  <c r="DC309" i="15"/>
  <c r="DC294" i="15"/>
  <c r="DC278" i="15"/>
  <c r="DC263" i="15"/>
  <c r="DC248" i="15"/>
  <c r="DC223" i="15"/>
  <c r="DC192" i="15"/>
  <c r="DC162" i="15"/>
  <c r="DC131" i="15"/>
  <c r="DC92" i="15"/>
  <c r="DC25" i="15"/>
  <c r="DC669" i="15"/>
  <c r="DC639" i="15"/>
  <c r="DC609" i="15"/>
  <c r="DC578" i="15"/>
  <c r="DC149" i="15"/>
  <c r="DC134" i="15"/>
  <c r="DC119" i="15"/>
  <c r="DC103" i="15"/>
  <c r="DC88" i="15"/>
  <c r="DC73" i="15"/>
  <c r="DC54" i="15"/>
  <c r="DC35" i="15"/>
  <c r="DC552" i="15"/>
  <c r="DC644" i="15"/>
  <c r="DC729" i="15"/>
  <c r="DC318" i="15"/>
  <c r="DC241" i="15"/>
  <c r="DC488" i="15"/>
  <c r="DC349" i="15"/>
  <c r="DC233" i="15"/>
  <c r="DC658" i="15"/>
  <c r="DC627" i="15"/>
  <c r="DC597" i="15"/>
  <c r="DC566" i="15"/>
  <c r="DC535" i="15"/>
  <c r="DC668" i="15"/>
  <c r="DC195" i="15"/>
  <c r="DC161" i="15"/>
  <c r="DC219" i="15"/>
  <c r="DC157" i="15"/>
  <c r="DS270" i="15"/>
  <c r="DT270" i="15"/>
  <c r="DS471" i="15"/>
  <c r="DT471" i="15"/>
  <c r="DS577" i="15"/>
  <c r="DT577" i="15"/>
  <c r="DS713" i="15"/>
  <c r="DT713" i="15"/>
  <c r="DS144" i="15"/>
  <c r="DT144" i="15" s="1"/>
  <c r="CQ6" i="15"/>
  <c r="CQ43" i="15"/>
  <c r="CR43" i="15" s="1"/>
  <c r="CQ35" i="15"/>
  <c r="CR35" i="15" s="1"/>
  <c r="CQ8" i="15"/>
  <c r="CR8" i="15" s="1"/>
  <c r="CQ66" i="15"/>
  <c r="CR66" i="15" s="1"/>
  <c r="CQ629" i="15"/>
  <c r="CR629" i="15" s="1"/>
  <c r="CQ380" i="15"/>
  <c r="CR380" i="15" s="1"/>
  <c r="CQ11" i="15"/>
  <c r="CR11" i="15" s="1"/>
  <c r="CQ15" i="15"/>
  <c r="CR15" i="15" s="1"/>
  <c r="CQ19" i="15"/>
  <c r="CR19" i="15" s="1"/>
  <c r="CQ23" i="15"/>
  <c r="CR23" i="15" s="1"/>
  <c r="CQ27" i="15"/>
  <c r="CR27" i="15" s="1"/>
  <c r="CQ31" i="15"/>
  <c r="CR31" i="15" s="1"/>
  <c r="CQ36" i="15"/>
  <c r="CR36" i="15" s="1"/>
  <c r="CQ40" i="15"/>
  <c r="CR40" i="15" s="1"/>
  <c r="CQ45" i="15"/>
  <c r="CR45" i="15" s="1"/>
  <c r="CQ49" i="15"/>
  <c r="CR49" i="15" s="1"/>
  <c r="CQ53" i="15"/>
  <c r="CR53" i="15" s="1"/>
  <c r="CQ57" i="15"/>
  <c r="CR57" i="15" s="1"/>
  <c r="CQ61" i="15"/>
  <c r="CR61" i="15" s="1"/>
  <c r="CQ70" i="15"/>
  <c r="CR70" i="15" s="1"/>
  <c r="CQ74" i="15"/>
  <c r="CR74" i="15" s="1"/>
  <c r="CQ78" i="15"/>
  <c r="CR78" i="15" s="1"/>
  <c r="CQ83" i="15"/>
  <c r="CR83" i="15" s="1"/>
  <c r="CQ87" i="15"/>
  <c r="CR87" i="15" s="1"/>
  <c r="CQ91" i="15"/>
  <c r="CR91" i="15" s="1"/>
  <c r="CQ95" i="15"/>
  <c r="CR95" i="15" s="1"/>
  <c r="CQ100" i="15"/>
  <c r="CR100" i="15" s="1"/>
  <c r="CQ104" i="15"/>
  <c r="CR104" i="15" s="1"/>
  <c r="CQ108" i="15"/>
  <c r="CR108" i="15" s="1"/>
  <c r="CQ112" i="15"/>
  <c r="CR112" i="15" s="1"/>
  <c r="CQ116" i="15"/>
  <c r="CR116" i="15" s="1"/>
  <c r="CQ120" i="15"/>
  <c r="CR120" i="15" s="1"/>
  <c r="CQ125" i="15"/>
  <c r="CR125" i="15" s="1"/>
  <c r="CQ129" i="15"/>
  <c r="CR129" i="15" s="1"/>
  <c r="CQ133" i="15"/>
  <c r="CR133" i="15" s="1"/>
  <c r="CQ137" i="15"/>
  <c r="CR137" i="15" s="1"/>
  <c r="CQ141" i="15"/>
  <c r="CR141" i="15" s="1"/>
  <c r="CQ145" i="15"/>
  <c r="CR145" i="15" s="1"/>
  <c r="CQ149" i="15"/>
  <c r="CR149" i="15" s="1"/>
  <c r="CQ153" i="15"/>
  <c r="CR153" i="15" s="1"/>
  <c r="CQ157" i="15"/>
  <c r="CR157" i="15" s="1"/>
  <c r="CQ161" i="15"/>
  <c r="CR161" i="15" s="1"/>
  <c r="CQ165" i="15"/>
  <c r="CR165" i="15" s="1"/>
  <c r="CQ170" i="15"/>
  <c r="CR170" i="15" s="1"/>
  <c r="CQ174" i="15"/>
  <c r="CR174" i="15" s="1"/>
  <c r="CQ178" i="15"/>
  <c r="CR178" i="15" s="1"/>
  <c r="CQ182" i="15"/>
  <c r="CR182" i="15" s="1"/>
  <c r="CQ186" i="15"/>
  <c r="CR186" i="15" s="1"/>
  <c r="CQ191" i="15"/>
  <c r="CR191" i="15" s="1"/>
  <c r="CQ195" i="15"/>
  <c r="CR195" i="15" s="1"/>
  <c r="CQ199" i="15"/>
  <c r="CR199" i="15" s="1"/>
  <c r="CQ203" i="15"/>
  <c r="CR203" i="15" s="1"/>
  <c r="CQ207" i="15"/>
  <c r="CR207" i="15" s="1"/>
  <c r="CQ211" i="15"/>
  <c r="CR211" i="15" s="1"/>
  <c r="CQ215" i="15"/>
  <c r="CR215" i="15" s="1"/>
  <c r="CQ220" i="15"/>
  <c r="CR220" i="15" s="1"/>
  <c r="CQ224" i="15"/>
  <c r="CR224" i="15" s="1"/>
  <c r="CQ228" i="15"/>
  <c r="CR228" i="15" s="1"/>
  <c r="CQ233" i="15"/>
  <c r="CR233" i="15" s="1"/>
  <c r="CQ237" i="15"/>
  <c r="CR237" i="15" s="1"/>
  <c r="CQ241" i="15"/>
  <c r="CR241" i="15" s="1"/>
  <c r="CQ245" i="15"/>
  <c r="CR245" i="15" s="1"/>
  <c r="CQ249" i="15"/>
  <c r="CR249" i="15" s="1"/>
  <c r="CQ254" i="15"/>
  <c r="CR254" i="15" s="1"/>
  <c r="CQ258" i="15"/>
  <c r="CR258" i="15" s="1"/>
  <c r="CQ262" i="15"/>
  <c r="CR262" i="15" s="1"/>
  <c r="CQ266" i="15"/>
  <c r="CR266" i="15" s="1"/>
  <c r="CQ270" i="15"/>
  <c r="CR270" i="15" s="1"/>
  <c r="CQ275" i="15"/>
  <c r="CR275" i="15" s="1"/>
  <c r="CQ278" i="15"/>
  <c r="CR278" i="15" s="1"/>
  <c r="CQ282" i="15"/>
  <c r="CR282" i="15" s="1"/>
  <c r="CQ286" i="15"/>
  <c r="CR286" i="15" s="1"/>
  <c r="CQ290" i="15"/>
  <c r="CR290" i="15" s="1"/>
  <c r="CQ294" i="15"/>
  <c r="CR294" i="15" s="1"/>
  <c r="CQ298" i="15"/>
  <c r="CR298" i="15" s="1"/>
  <c r="CQ303" i="15"/>
  <c r="CR303" i="15" s="1"/>
  <c r="CQ307" i="15"/>
  <c r="CR307" i="15" s="1"/>
  <c r="CQ311" i="15"/>
  <c r="CR311" i="15" s="1"/>
  <c r="CQ315" i="15"/>
  <c r="CR315" i="15" s="1"/>
  <c r="CQ319" i="15"/>
  <c r="CR319" i="15" s="1"/>
  <c r="CQ323" i="15"/>
  <c r="CR323" i="15" s="1"/>
  <c r="CQ328" i="15"/>
  <c r="CR328" i="15" s="1"/>
  <c r="CQ332" i="15"/>
  <c r="CR332" i="15" s="1"/>
  <c r="CQ336" i="15"/>
  <c r="CR336" i="15" s="1"/>
  <c r="CQ340" i="15"/>
  <c r="CR340" i="15" s="1"/>
  <c r="CQ344" i="15"/>
  <c r="CR344" i="15" s="1"/>
  <c r="CQ348" i="15"/>
  <c r="CR348" i="15" s="1"/>
  <c r="CQ352" i="15"/>
  <c r="CR352" i="15" s="1"/>
  <c r="CQ356" i="15"/>
  <c r="CR356" i="15" s="1"/>
  <c r="CQ360" i="15"/>
  <c r="CR360" i="15" s="1"/>
  <c r="CQ364" i="15"/>
  <c r="CR364" i="15" s="1"/>
  <c r="CQ368" i="15"/>
  <c r="CR368" i="15" s="1"/>
  <c r="CQ373" i="15"/>
  <c r="CR373" i="15" s="1"/>
  <c r="CQ377" i="15"/>
  <c r="CR377" i="15" s="1"/>
  <c r="CQ381" i="15"/>
  <c r="CR381" i="15" s="1"/>
  <c r="CQ385" i="15"/>
  <c r="CR385" i="15" s="1"/>
  <c r="CQ389" i="15"/>
  <c r="CR389" i="15" s="1"/>
  <c r="CQ393" i="15"/>
  <c r="CR393" i="15" s="1"/>
  <c r="CQ397" i="15"/>
  <c r="CR397" i="15" s="1"/>
  <c r="CQ401" i="15"/>
  <c r="CR401" i="15" s="1"/>
  <c r="CQ405" i="15"/>
  <c r="CR405" i="15" s="1"/>
  <c r="CQ410" i="15"/>
  <c r="CR410" i="15" s="1"/>
  <c r="CQ414" i="15"/>
  <c r="CR414" i="15" s="1"/>
  <c r="CQ418" i="15"/>
  <c r="CR418" i="15" s="1"/>
  <c r="CQ422" i="15"/>
  <c r="CR422" i="15" s="1"/>
  <c r="CQ426" i="15"/>
  <c r="CR426" i="15" s="1"/>
  <c r="CQ431" i="15"/>
  <c r="CR431" i="15" s="1"/>
  <c r="CQ435" i="15"/>
  <c r="CR435" i="15" s="1"/>
  <c r="CQ439" i="15"/>
  <c r="CR439" i="15" s="1"/>
  <c r="CQ443" i="15"/>
  <c r="CR443" i="15" s="1"/>
  <c r="CQ447" i="15"/>
  <c r="CR447" i="15" s="1"/>
  <c r="CQ451" i="15"/>
  <c r="CR451" i="15" s="1"/>
  <c r="CQ456" i="15"/>
  <c r="CQ460" i="15"/>
  <c r="CQ464" i="15"/>
  <c r="CQ468" i="15"/>
  <c r="CQ472" i="15"/>
  <c r="CR472" i="15" s="1"/>
  <c r="CQ476" i="15"/>
  <c r="CR476" i="15" s="1"/>
  <c r="CQ480" i="15"/>
  <c r="CR480" i="15" s="1"/>
  <c r="CQ484" i="15"/>
  <c r="CR484" i="15" s="1"/>
  <c r="CQ488" i="15"/>
  <c r="CR488" i="15" s="1"/>
  <c r="CQ493" i="15"/>
  <c r="CR493" i="15" s="1"/>
  <c r="CQ497" i="15"/>
  <c r="CR497" i="15" s="1"/>
  <c r="CQ501" i="15"/>
  <c r="CR501" i="15" s="1"/>
  <c r="CQ505" i="15"/>
  <c r="CR505" i="15" s="1"/>
  <c r="CQ509" i="15"/>
  <c r="CR509" i="15" s="1"/>
  <c r="CQ514" i="15"/>
  <c r="CR514" i="15" s="1"/>
  <c r="CQ518" i="15"/>
  <c r="CR518" i="15" s="1"/>
  <c r="CQ522" i="15"/>
  <c r="CR522" i="15" s="1"/>
  <c r="CQ526" i="15"/>
  <c r="CR526" i="15" s="1"/>
  <c r="CQ531" i="15"/>
  <c r="CR531" i="15" s="1"/>
  <c r="CQ535" i="15"/>
  <c r="CR535" i="15" s="1"/>
  <c r="CQ539" i="15"/>
  <c r="CR539" i="15" s="1"/>
  <c r="CQ543" i="15"/>
  <c r="CR543" i="15" s="1"/>
  <c r="CQ548" i="15"/>
  <c r="CR548" i="15" s="1"/>
  <c r="CQ552" i="15"/>
  <c r="CR552" i="15" s="1"/>
  <c r="CQ556" i="15"/>
  <c r="CR556" i="15" s="1"/>
  <c r="CQ560" i="15"/>
  <c r="CR560" i="15" s="1"/>
  <c r="CQ564" i="15"/>
  <c r="CR564" i="15" s="1"/>
  <c r="CQ568" i="15"/>
  <c r="CR568" i="15" s="1"/>
  <c r="CQ573" i="15"/>
  <c r="CR573" i="15" s="1"/>
  <c r="CQ12" i="15"/>
  <c r="CR12" i="15" s="1"/>
  <c r="CQ16" i="15"/>
  <c r="CR16" i="15" s="1"/>
  <c r="CQ20" i="15"/>
  <c r="CR20" i="15" s="1"/>
  <c r="CQ24" i="15"/>
  <c r="CR24" i="15" s="1"/>
  <c r="CQ28" i="15"/>
  <c r="CR28" i="15" s="1"/>
  <c r="CQ32" i="15"/>
  <c r="CR32" i="15" s="1"/>
  <c r="CQ37" i="15"/>
  <c r="CR37" i="15" s="1"/>
  <c r="CQ42" i="15"/>
  <c r="CR42" i="15" s="1"/>
  <c r="CQ46" i="15"/>
  <c r="CR46" i="15" s="1"/>
  <c r="CQ50" i="15"/>
  <c r="CR50" i="15" s="1"/>
  <c r="CQ54" i="15"/>
  <c r="CR54" i="15" s="1"/>
  <c r="CQ58" i="15"/>
  <c r="CR58" i="15" s="1"/>
  <c r="CQ62" i="15"/>
  <c r="CR62" i="15" s="1"/>
  <c r="CQ67" i="15"/>
  <c r="CR67" i="15" s="1"/>
  <c r="CQ71" i="15"/>
  <c r="CR71" i="15" s="1"/>
  <c r="CQ75" i="15"/>
  <c r="CR75" i="15" s="1"/>
  <c r="CQ79" i="15"/>
  <c r="CR79" i="15" s="1"/>
  <c r="CQ84" i="15"/>
  <c r="CR84" i="15" s="1"/>
  <c r="CQ88" i="15"/>
  <c r="CR88" i="15" s="1"/>
  <c r="CQ93" i="15"/>
  <c r="CR93" i="15" s="1"/>
  <c r="CQ96" i="15"/>
  <c r="CR96" i="15" s="1"/>
  <c r="CQ101" i="15"/>
  <c r="CR101" i="15" s="1"/>
  <c r="CQ105" i="15"/>
  <c r="CR105" i="15" s="1"/>
  <c r="CQ109" i="15"/>
  <c r="CR109" i="15" s="1"/>
  <c r="CQ113" i="15"/>
  <c r="CR113" i="15" s="1"/>
  <c r="CQ117" i="15"/>
  <c r="CR117" i="15" s="1"/>
  <c r="CQ121" i="15"/>
  <c r="CR121" i="15" s="1"/>
  <c r="CQ126" i="15"/>
  <c r="CR126" i="15" s="1"/>
  <c r="CQ130" i="15"/>
  <c r="CR130" i="15" s="1"/>
  <c r="CQ134" i="15"/>
  <c r="CR134" i="15" s="1"/>
  <c r="CQ138" i="15"/>
  <c r="CR138" i="15" s="1"/>
  <c r="CQ142" i="15"/>
  <c r="CR142" i="15" s="1"/>
  <c r="CQ146" i="15"/>
  <c r="CR146" i="15" s="1"/>
  <c r="CQ150" i="15"/>
  <c r="CR150" i="15" s="1"/>
  <c r="CQ154" i="15"/>
  <c r="CR154" i="15" s="1"/>
  <c r="CQ158" i="15"/>
  <c r="CR158" i="15" s="1"/>
  <c r="CQ162" i="15"/>
  <c r="CR162" i="15" s="1"/>
  <c r="CQ166" i="15"/>
  <c r="CR166" i="15" s="1"/>
  <c r="CQ171" i="15"/>
  <c r="CR171" i="15" s="1"/>
  <c r="CQ175" i="15"/>
  <c r="CR175" i="15" s="1"/>
  <c r="CQ179" i="15"/>
  <c r="CR179" i="15" s="1"/>
  <c r="CQ183" i="15"/>
  <c r="CR183" i="15" s="1"/>
  <c r="CQ187" i="15"/>
  <c r="CR187" i="15" s="1"/>
  <c r="CQ192" i="15"/>
  <c r="CR192" i="15" s="1"/>
  <c r="CQ196" i="15"/>
  <c r="CR196" i="15" s="1"/>
  <c r="CQ200" i="15"/>
  <c r="CR200" i="15" s="1"/>
  <c r="CQ204" i="15"/>
  <c r="CR204" i="15" s="1"/>
  <c r="CQ208" i="15"/>
  <c r="CR208" i="15" s="1"/>
  <c r="CQ212" i="15"/>
  <c r="CR212" i="15" s="1"/>
  <c r="CQ216" i="15"/>
  <c r="CR216" i="15" s="1"/>
  <c r="CQ221" i="15"/>
  <c r="CR221" i="15" s="1"/>
  <c r="CQ225" i="15"/>
  <c r="CR225" i="15" s="1"/>
  <c r="CQ229" i="15"/>
  <c r="CR229" i="15" s="1"/>
  <c r="CQ234" i="15"/>
  <c r="CR234" i="15" s="1"/>
  <c r="CQ238" i="15"/>
  <c r="CR238" i="15" s="1"/>
  <c r="CQ242" i="15"/>
  <c r="CR242" i="15" s="1"/>
  <c r="CQ246" i="15"/>
  <c r="CR246" i="15" s="1"/>
  <c r="CQ251" i="15"/>
  <c r="CR251" i="15" s="1"/>
  <c r="CQ255" i="15"/>
  <c r="CR255" i="15" s="1"/>
  <c r="CQ259" i="15"/>
  <c r="CR259" i="15" s="1"/>
  <c r="CQ263" i="15"/>
  <c r="CR263" i="15" s="1"/>
  <c r="CQ267" i="15"/>
  <c r="CR267" i="15" s="1"/>
  <c r="CQ271" i="15"/>
  <c r="CR271" i="15" s="1"/>
  <c r="CQ274" i="15"/>
  <c r="CR274" i="15" s="1"/>
  <c r="CQ279" i="15"/>
  <c r="CR279" i="15" s="1"/>
  <c r="CQ283" i="15"/>
  <c r="CR283" i="15" s="1"/>
  <c r="CQ287" i="15"/>
  <c r="CR287" i="15" s="1"/>
  <c r="CQ291" i="15"/>
  <c r="CR291" i="15" s="1"/>
  <c r="CQ295" i="15"/>
  <c r="CR295" i="15" s="1"/>
  <c r="CQ300" i="15"/>
  <c r="CR300" i="15" s="1"/>
  <c r="CQ304" i="15"/>
  <c r="CR304" i="15" s="1"/>
  <c r="CQ308" i="15"/>
  <c r="CR308" i="15" s="1"/>
  <c r="CQ312" i="15"/>
  <c r="CR312" i="15" s="1"/>
  <c r="CQ316" i="15"/>
  <c r="CR316" i="15" s="1"/>
  <c r="CQ320" i="15"/>
  <c r="CR320" i="15" s="1"/>
  <c r="CQ325" i="15"/>
  <c r="CR325" i="15" s="1"/>
  <c r="CQ329" i="15"/>
  <c r="CR329" i="15" s="1"/>
  <c r="CQ333" i="15"/>
  <c r="CR333" i="15" s="1"/>
  <c r="CQ337" i="15"/>
  <c r="CR337" i="15" s="1"/>
  <c r="CQ341" i="15"/>
  <c r="CR341" i="15" s="1"/>
  <c r="CQ345" i="15"/>
  <c r="CR345" i="15" s="1"/>
  <c r="CQ349" i="15"/>
  <c r="CR349" i="15" s="1"/>
  <c r="CQ353" i="15"/>
  <c r="CR353" i="15" s="1"/>
  <c r="CQ357" i="15"/>
  <c r="CR357" i="15" s="1"/>
  <c r="CQ361" i="15"/>
  <c r="CR361" i="15" s="1"/>
  <c r="CQ365" i="15"/>
  <c r="CR365" i="15" s="1"/>
  <c r="CQ369" i="15"/>
  <c r="CR369" i="15" s="1"/>
  <c r="CQ374" i="15"/>
  <c r="CR374" i="15" s="1"/>
  <c r="CQ382" i="15"/>
  <c r="CR382" i="15" s="1"/>
  <c r="CQ386" i="15"/>
  <c r="CR386" i="15" s="1"/>
  <c r="CQ390" i="15"/>
  <c r="CR390" i="15" s="1"/>
  <c r="CQ394" i="15"/>
  <c r="CR394" i="15" s="1"/>
  <c r="CQ398" i="15"/>
  <c r="CR398" i="15" s="1"/>
  <c r="CQ402" i="15"/>
  <c r="CR402" i="15" s="1"/>
  <c r="CQ407" i="15"/>
  <c r="CR407" i="15" s="1"/>
  <c r="CQ411" i="15"/>
  <c r="CR411" i="15" s="1"/>
  <c r="CQ415" i="15"/>
  <c r="CR415" i="15" s="1"/>
  <c r="CQ419" i="15"/>
  <c r="CR419" i="15" s="1"/>
  <c r="CQ423" i="15"/>
  <c r="CR423" i="15" s="1"/>
  <c r="CQ427" i="15"/>
  <c r="CR427" i="15" s="1"/>
  <c r="CQ432" i="15"/>
  <c r="CR432" i="15" s="1"/>
  <c r="CQ436" i="15"/>
  <c r="CR436" i="15" s="1"/>
  <c r="CQ440" i="15"/>
  <c r="CR440" i="15" s="1"/>
  <c r="CQ444" i="15"/>
  <c r="CR444" i="15" s="1"/>
  <c r="CQ448" i="15"/>
  <c r="CR448" i="15" s="1"/>
  <c r="CQ452" i="15"/>
  <c r="CR452" i="15" s="1"/>
  <c r="CQ457" i="15"/>
  <c r="CQ461" i="15"/>
  <c r="CQ465" i="15"/>
  <c r="CQ469" i="15"/>
  <c r="CQ473" i="15"/>
  <c r="CR473" i="15" s="1"/>
  <c r="CQ477" i="15"/>
  <c r="CR477" i="15" s="1"/>
  <c r="CQ481" i="15"/>
  <c r="CR481" i="15" s="1"/>
  <c r="CQ485" i="15"/>
  <c r="CR485" i="15" s="1"/>
  <c r="CQ489" i="15"/>
  <c r="CR489" i="15" s="1"/>
  <c r="CQ494" i="15"/>
  <c r="CR494" i="15" s="1"/>
  <c r="CQ498" i="15"/>
  <c r="CR498" i="15" s="1"/>
  <c r="CQ502" i="15"/>
  <c r="CR502" i="15" s="1"/>
  <c r="CQ506" i="15"/>
  <c r="CR506" i="15" s="1"/>
  <c r="CQ510" i="15"/>
  <c r="CR510" i="15" s="1"/>
  <c r="CQ515" i="15"/>
  <c r="CR515" i="15" s="1"/>
  <c r="CQ519" i="15"/>
  <c r="CR519" i="15" s="1"/>
  <c r="CQ523" i="15"/>
  <c r="CR523" i="15" s="1"/>
  <c r="CQ527" i="15"/>
  <c r="CR527" i="15" s="1"/>
  <c r="CQ532" i="15"/>
  <c r="CR532" i="15" s="1"/>
  <c r="CQ536" i="15"/>
  <c r="CR536" i="15" s="1"/>
  <c r="CQ9" i="15"/>
  <c r="CR9" i="15" s="1"/>
  <c r="CQ13" i="15"/>
  <c r="CR13" i="15" s="1"/>
  <c r="CQ17" i="15"/>
  <c r="CR17" i="15" s="1"/>
  <c r="CQ21" i="15"/>
  <c r="CR21" i="15" s="1"/>
  <c r="CQ25" i="15"/>
  <c r="CR25" i="15" s="1"/>
  <c r="CQ29" i="15"/>
  <c r="CR29" i="15" s="1"/>
  <c r="CQ34" i="15"/>
  <c r="CR34" i="15" s="1"/>
  <c r="CQ38" i="15"/>
  <c r="CR38" i="15" s="1"/>
  <c r="CQ47" i="15"/>
  <c r="CR47" i="15" s="1"/>
  <c r="CQ51" i="15"/>
  <c r="CR51" i="15" s="1"/>
  <c r="CQ55" i="15"/>
  <c r="CR55" i="15" s="1"/>
  <c r="CQ59" i="15"/>
  <c r="CR59" i="15" s="1"/>
  <c r="CQ63" i="15"/>
  <c r="CR63" i="15" s="1"/>
  <c r="CQ68" i="15"/>
  <c r="CR68" i="15" s="1"/>
  <c r="CQ72" i="15"/>
  <c r="CR72" i="15" s="1"/>
  <c r="CQ76" i="15"/>
  <c r="CR76" i="15" s="1"/>
  <c r="CQ80" i="15"/>
  <c r="CR80" i="15" s="1"/>
  <c r="CQ85" i="15"/>
  <c r="CR85" i="15" s="1"/>
  <c r="CQ89" i="15"/>
  <c r="CR89" i="15" s="1"/>
  <c r="CQ92" i="15"/>
  <c r="CR92" i="15" s="1"/>
  <c r="CQ98" i="15"/>
  <c r="CR98" i="15" s="1"/>
  <c r="CQ102" i="15"/>
  <c r="CR102" i="15" s="1"/>
  <c r="CQ106" i="15"/>
  <c r="CR106" i="15" s="1"/>
  <c r="CQ110" i="15"/>
  <c r="CR110" i="15" s="1"/>
  <c r="CQ114" i="15"/>
  <c r="CR114" i="15" s="1"/>
  <c r="CQ118" i="15"/>
  <c r="CR118" i="15" s="1"/>
  <c r="CQ122" i="15"/>
  <c r="CR122" i="15" s="1"/>
  <c r="CQ127" i="15"/>
  <c r="CR127" i="15" s="1"/>
  <c r="CQ131" i="15"/>
  <c r="CR131" i="15" s="1"/>
  <c r="CQ135" i="15"/>
  <c r="CR135" i="15" s="1"/>
  <c r="CQ139" i="15"/>
  <c r="CR139" i="15" s="1"/>
  <c r="CQ147" i="15"/>
  <c r="CR147" i="15" s="1"/>
  <c r="CQ151" i="15"/>
  <c r="CR151" i="15" s="1"/>
  <c r="CQ155" i="15"/>
  <c r="CR155" i="15" s="1"/>
  <c r="CQ159" i="15"/>
  <c r="CR159" i="15" s="1"/>
  <c r="CQ163" i="15"/>
  <c r="CR163" i="15" s="1"/>
  <c r="CQ168" i="15"/>
  <c r="CR168" i="15" s="1"/>
  <c r="CQ172" i="15"/>
  <c r="CR172" i="15" s="1"/>
  <c r="CQ176" i="15"/>
  <c r="CR176" i="15" s="1"/>
  <c r="CQ180" i="15"/>
  <c r="CR180" i="15" s="1"/>
  <c r="CQ184" i="15"/>
  <c r="CR184" i="15" s="1"/>
  <c r="CQ188" i="15"/>
  <c r="CR188" i="15" s="1"/>
  <c r="CQ193" i="15"/>
  <c r="CR193" i="15" s="1"/>
  <c r="CQ197" i="15"/>
  <c r="CR197" i="15" s="1"/>
  <c r="CQ201" i="15"/>
  <c r="CR201" i="15" s="1"/>
  <c r="CQ205" i="15"/>
  <c r="CR205" i="15" s="1"/>
  <c r="CQ209" i="15"/>
  <c r="CR209" i="15" s="1"/>
  <c r="CQ213" i="15"/>
  <c r="CR213" i="15" s="1"/>
  <c r="CQ217" i="15"/>
  <c r="CR217" i="15" s="1"/>
  <c r="CQ222" i="15"/>
  <c r="CR222" i="15" s="1"/>
  <c r="CQ226" i="15"/>
  <c r="CR226" i="15" s="1"/>
  <c r="CQ230" i="15"/>
  <c r="CR230" i="15" s="1"/>
  <c r="CQ235" i="15"/>
  <c r="CR235" i="15" s="1"/>
  <c r="CQ239" i="15"/>
  <c r="CR239" i="15" s="1"/>
  <c r="CQ243" i="15"/>
  <c r="CR243" i="15" s="1"/>
  <c r="CQ247" i="15"/>
  <c r="CR247" i="15" s="1"/>
  <c r="CQ252" i="15"/>
  <c r="CR252" i="15" s="1"/>
  <c r="CQ256" i="15"/>
  <c r="CR256" i="15" s="1"/>
  <c r="CQ260" i="15"/>
  <c r="CR260" i="15" s="1"/>
  <c r="CQ264" i="15"/>
  <c r="CR264" i="15" s="1"/>
  <c r="CQ268" i="15"/>
  <c r="CR268" i="15" s="1"/>
  <c r="CQ272" i="15"/>
  <c r="CR272" i="15" s="1"/>
  <c r="CQ276" i="15"/>
  <c r="CR276" i="15" s="1"/>
  <c r="CQ280" i="15"/>
  <c r="CR280" i="15" s="1"/>
  <c r="CQ284" i="15"/>
  <c r="CR284" i="15" s="1"/>
  <c r="CQ288" i="15"/>
  <c r="CR288" i="15" s="1"/>
  <c r="CQ292" i="15"/>
  <c r="CR292" i="15" s="1"/>
  <c r="CQ296" i="15"/>
  <c r="CR296" i="15" s="1"/>
  <c r="CQ301" i="15"/>
  <c r="CR301" i="15" s="1"/>
  <c r="CQ305" i="15"/>
  <c r="CR305" i="15" s="1"/>
  <c r="CQ309" i="15"/>
  <c r="CR309" i="15" s="1"/>
  <c r="CQ313" i="15"/>
  <c r="CR313" i="15" s="1"/>
  <c r="CQ317" i="15"/>
  <c r="CR317" i="15" s="1"/>
  <c r="CQ321" i="15"/>
  <c r="CR321" i="15" s="1"/>
  <c r="CQ326" i="15"/>
  <c r="CR326" i="15" s="1"/>
  <c r="CQ330" i="15"/>
  <c r="CR330" i="15" s="1"/>
  <c r="CQ334" i="15"/>
  <c r="CR334" i="15" s="1"/>
  <c r="CQ338" i="15"/>
  <c r="CR338" i="15" s="1"/>
  <c r="CQ342" i="15"/>
  <c r="CR342" i="15" s="1"/>
  <c r="CQ346" i="15"/>
  <c r="CR346" i="15" s="1"/>
  <c r="CQ350" i="15"/>
  <c r="CR350" i="15" s="1"/>
  <c r="CQ354" i="15"/>
  <c r="CR354" i="15" s="1"/>
  <c r="CQ358" i="15"/>
  <c r="CR358" i="15" s="1"/>
  <c r="CQ362" i="15"/>
  <c r="CR362" i="15" s="1"/>
  <c r="CQ366" i="15"/>
  <c r="CR366" i="15" s="1"/>
  <c r="CQ371" i="15"/>
  <c r="CR371" i="15" s="1"/>
  <c r="CQ375" i="15"/>
  <c r="CR375" i="15" s="1"/>
  <c r="CQ378" i="15"/>
  <c r="CR378" i="15" s="1"/>
  <c r="CQ383" i="15"/>
  <c r="CR383" i="15" s="1"/>
  <c r="CQ387" i="15"/>
  <c r="CR387" i="15" s="1"/>
  <c r="CQ391" i="15"/>
  <c r="CR391" i="15" s="1"/>
  <c r="CQ395" i="15"/>
  <c r="CR395" i="15" s="1"/>
  <c r="CQ399" i="15"/>
  <c r="CR399" i="15" s="1"/>
  <c r="CQ403" i="15"/>
  <c r="CR403" i="15" s="1"/>
  <c r="CQ408" i="15"/>
  <c r="CR408" i="15" s="1"/>
  <c r="CQ412" i="15"/>
  <c r="CR412" i="15" s="1"/>
  <c r="CQ416" i="15"/>
  <c r="CR416" i="15" s="1"/>
  <c r="CQ420" i="15"/>
  <c r="CR420" i="15" s="1"/>
  <c r="CQ424" i="15"/>
  <c r="CR424" i="15" s="1"/>
  <c r="CQ428" i="15"/>
  <c r="CR428" i="15" s="1"/>
  <c r="CQ433" i="15"/>
  <c r="CR433" i="15" s="1"/>
  <c r="CQ437" i="15"/>
  <c r="CR437" i="15" s="1"/>
  <c r="CQ441" i="15"/>
  <c r="CR441" i="15" s="1"/>
  <c r="CQ445" i="15"/>
  <c r="CR445" i="15" s="1"/>
  <c r="CQ449" i="15"/>
  <c r="CR449" i="15" s="1"/>
  <c r="CQ453" i="15"/>
  <c r="CR453" i="15" s="1"/>
  <c r="CQ458" i="15"/>
  <c r="CQ462" i="15"/>
  <c r="CQ466" i="15"/>
  <c r="CQ474" i="15"/>
  <c r="CR474" i="15" s="1"/>
  <c r="CQ478" i="15"/>
  <c r="CR478" i="15" s="1"/>
  <c r="CQ482" i="15"/>
  <c r="CR482" i="15" s="1"/>
  <c r="CQ486" i="15"/>
  <c r="CR486" i="15" s="1"/>
  <c r="CQ491" i="15"/>
  <c r="CR491" i="15" s="1"/>
  <c r="CQ495" i="15"/>
  <c r="CR495" i="15" s="1"/>
  <c r="CQ499" i="15"/>
  <c r="CR499" i="15" s="1"/>
  <c r="CQ503" i="15"/>
  <c r="CR503" i="15" s="1"/>
  <c r="CQ507" i="15"/>
  <c r="CR507" i="15" s="1"/>
  <c r="CQ511" i="15"/>
  <c r="CR511" i="15" s="1"/>
  <c r="CQ516" i="15"/>
  <c r="CR516" i="15" s="1"/>
  <c r="CQ520" i="15"/>
  <c r="CR520" i="15" s="1"/>
  <c r="CQ524" i="15"/>
  <c r="CR524" i="15" s="1"/>
  <c r="CQ529" i="15"/>
  <c r="CR529" i="15" s="1"/>
  <c r="CQ533" i="15"/>
  <c r="CR533" i="15" s="1"/>
  <c r="CQ537" i="15"/>
  <c r="CR537" i="15" s="1"/>
  <c r="CQ10" i="15"/>
  <c r="CR10" i="15" s="1"/>
  <c r="CQ14" i="15"/>
  <c r="CR14" i="15" s="1"/>
  <c r="CQ18" i="15"/>
  <c r="CR18" i="15" s="1"/>
  <c r="CQ22" i="15"/>
  <c r="CR22" i="15" s="1"/>
  <c r="CQ26" i="15"/>
  <c r="CR26" i="15" s="1"/>
  <c r="CQ30" i="15"/>
  <c r="CR30" i="15" s="1"/>
  <c r="CQ39" i="15"/>
  <c r="CR39" i="15" s="1"/>
  <c r="CQ44" i="15"/>
  <c r="CR44" i="15" s="1"/>
  <c r="CQ48" i="15"/>
  <c r="CR48" i="15" s="1"/>
  <c r="CQ52" i="15"/>
  <c r="CR52" i="15" s="1"/>
  <c r="CQ56" i="15"/>
  <c r="CR56" i="15" s="1"/>
  <c r="CQ60" i="15"/>
  <c r="CR60" i="15" s="1"/>
  <c r="CQ65" i="15"/>
  <c r="CR65" i="15" s="1"/>
  <c r="CQ69" i="15"/>
  <c r="CR69" i="15" s="1"/>
  <c r="CQ73" i="15"/>
  <c r="CR73" i="15" s="1"/>
  <c r="CQ77" i="15"/>
  <c r="CR77" i="15" s="1"/>
  <c r="CQ81" i="15"/>
  <c r="CR81" i="15" s="1"/>
  <c r="CQ86" i="15"/>
  <c r="CR86" i="15" s="1"/>
  <c r="CQ90" i="15"/>
  <c r="CR90" i="15" s="1"/>
  <c r="CQ94" i="15"/>
  <c r="CR94" i="15" s="1"/>
  <c r="CQ99" i="15"/>
  <c r="CR99" i="15" s="1"/>
  <c r="CQ103" i="15"/>
  <c r="CR103" i="15" s="1"/>
  <c r="CQ107" i="15"/>
  <c r="CR107" i="15" s="1"/>
  <c r="CQ111" i="15"/>
  <c r="CR111" i="15" s="1"/>
  <c r="CQ115" i="15"/>
  <c r="CR115" i="15" s="1"/>
  <c r="CQ119" i="15"/>
  <c r="CR119" i="15" s="1"/>
  <c r="CQ123" i="15"/>
  <c r="CR123" i="15" s="1"/>
  <c r="CQ128" i="15"/>
  <c r="CR128" i="15" s="1"/>
  <c r="CQ132" i="15"/>
  <c r="CR132" i="15" s="1"/>
  <c r="CQ136" i="15"/>
  <c r="CR136" i="15" s="1"/>
  <c r="CQ140" i="15"/>
  <c r="CR140" i="15" s="1"/>
  <c r="CQ144" i="15"/>
  <c r="CR144" i="15" s="1"/>
  <c r="CQ148" i="15"/>
  <c r="CR148" i="15" s="1"/>
  <c r="CQ152" i="15"/>
  <c r="CR152" i="15" s="1"/>
  <c r="CQ156" i="15"/>
  <c r="CR156" i="15" s="1"/>
  <c r="CQ160" i="15"/>
  <c r="CR160" i="15" s="1"/>
  <c r="CQ164" i="15"/>
  <c r="CR164" i="15" s="1"/>
  <c r="CQ169" i="15"/>
  <c r="CR169" i="15" s="1"/>
  <c r="CQ173" i="15"/>
  <c r="CR173" i="15" s="1"/>
  <c r="CQ177" i="15"/>
  <c r="CR177" i="15" s="1"/>
  <c r="CQ181" i="15"/>
  <c r="CR181" i="15" s="1"/>
  <c r="CQ185" i="15"/>
  <c r="CR185" i="15" s="1"/>
  <c r="CQ190" i="15"/>
  <c r="CR190" i="15" s="1"/>
  <c r="CQ194" i="15"/>
  <c r="CR194" i="15" s="1"/>
  <c r="CQ198" i="15"/>
  <c r="CR198" i="15" s="1"/>
  <c r="CQ202" i="15"/>
  <c r="CR202" i="15" s="1"/>
  <c r="CQ206" i="15"/>
  <c r="CR206" i="15" s="1"/>
  <c r="CQ210" i="15"/>
  <c r="CR210" i="15" s="1"/>
  <c r="CQ214" i="15"/>
  <c r="CR214" i="15" s="1"/>
  <c r="CQ219" i="15"/>
  <c r="CR219" i="15" s="1"/>
  <c r="CQ223" i="15"/>
  <c r="CR223" i="15" s="1"/>
  <c r="CQ227" i="15"/>
  <c r="CR227" i="15" s="1"/>
  <c r="CQ232" i="15"/>
  <c r="CR232" i="15" s="1"/>
  <c r="CQ236" i="15"/>
  <c r="CR236" i="15" s="1"/>
  <c r="CQ240" i="15"/>
  <c r="CR240" i="15" s="1"/>
  <c r="CQ244" i="15"/>
  <c r="CR244" i="15" s="1"/>
  <c r="CQ248" i="15"/>
  <c r="CR248" i="15" s="1"/>
  <c r="CQ253" i="15"/>
  <c r="CR253" i="15" s="1"/>
  <c r="CQ257" i="15"/>
  <c r="CR257" i="15" s="1"/>
  <c r="CQ261" i="15"/>
  <c r="CR261" i="15" s="1"/>
  <c r="CQ265" i="15"/>
  <c r="CR265" i="15" s="1"/>
  <c r="CQ273" i="15"/>
  <c r="CR273" i="15" s="1"/>
  <c r="CQ277" i="15"/>
  <c r="CR277" i="15" s="1"/>
  <c r="CQ281" i="15"/>
  <c r="CR281" i="15" s="1"/>
  <c r="CQ285" i="15"/>
  <c r="CR285" i="15" s="1"/>
  <c r="CQ289" i="15"/>
  <c r="CR289" i="15" s="1"/>
  <c r="CQ293" i="15"/>
  <c r="CR293" i="15" s="1"/>
  <c r="CQ297" i="15"/>
  <c r="CR297" i="15" s="1"/>
  <c r="CQ302" i="15"/>
  <c r="CR302" i="15" s="1"/>
  <c r="CQ306" i="15"/>
  <c r="CR306" i="15" s="1"/>
  <c r="CQ310" i="15"/>
  <c r="CR310" i="15" s="1"/>
  <c r="CQ314" i="15"/>
  <c r="CR314" i="15" s="1"/>
  <c r="CQ318" i="15"/>
  <c r="CR318" i="15" s="1"/>
  <c r="CQ322" i="15"/>
  <c r="CR322" i="15" s="1"/>
  <c r="CQ327" i="15"/>
  <c r="CR327" i="15" s="1"/>
  <c r="CQ331" i="15"/>
  <c r="CR331" i="15" s="1"/>
  <c r="CQ335" i="15"/>
  <c r="CR335" i="15" s="1"/>
  <c r="CQ339" i="15"/>
  <c r="CR339" i="15" s="1"/>
  <c r="CQ343" i="15"/>
  <c r="CR343" i="15" s="1"/>
  <c r="CQ347" i="15"/>
  <c r="CR347" i="15" s="1"/>
  <c r="CQ351" i="15"/>
  <c r="CR351" i="15" s="1"/>
  <c r="CQ355" i="15"/>
  <c r="CR355" i="15" s="1"/>
  <c r="CQ359" i="15"/>
  <c r="CR359" i="15" s="1"/>
  <c r="CQ363" i="15"/>
  <c r="CR363" i="15" s="1"/>
  <c r="CQ367" i="15"/>
  <c r="CR367" i="15" s="1"/>
  <c r="CQ372" i="15"/>
  <c r="CR372" i="15" s="1"/>
  <c r="CQ376" i="15"/>
  <c r="CR376" i="15" s="1"/>
  <c r="CQ379" i="15"/>
  <c r="CR379" i="15" s="1"/>
  <c r="CQ384" i="15"/>
  <c r="CR384" i="15" s="1"/>
  <c r="CQ388" i="15"/>
  <c r="CR388" i="15" s="1"/>
  <c r="CQ392" i="15"/>
  <c r="CR392" i="15" s="1"/>
  <c r="CQ396" i="15"/>
  <c r="CR396" i="15" s="1"/>
  <c r="CQ400" i="15"/>
  <c r="CR400" i="15" s="1"/>
  <c r="CQ404" i="15"/>
  <c r="CR404" i="15" s="1"/>
  <c r="CQ409" i="15"/>
  <c r="CR409" i="15" s="1"/>
  <c r="CQ413" i="15"/>
  <c r="CR413" i="15" s="1"/>
  <c r="CQ417" i="15"/>
  <c r="CR417" i="15" s="1"/>
  <c r="CQ421" i="15"/>
  <c r="CR421" i="15" s="1"/>
  <c r="CQ425" i="15"/>
  <c r="CR425" i="15" s="1"/>
  <c r="CQ430" i="15"/>
  <c r="CR430" i="15" s="1"/>
  <c r="CQ434" i="15"/>
  <c r="CR434" i="15" s="1"/>
  <c r="CQ438" i="15"/>
  <c r="CR438" i="15" s="1"/>
  <c r="CQ442" i="15"/>
  <c r="CR442" i="15" s="1"/>
  <c r="CQ446" i="15"/>
  <c r="CR446" i="15" s="1"/>
  <c r="CQ450" i="15"/>
  <c r="CR450" i="15" s="1"/>
  <c r="CQ455" i="15"/>
  <c r="CR455" i="15" s="1"/>
  <c r="CQ459" i="15"/>
  <c r="CQ463" i="15"/>
  <c r="CQ467" i="15"/>
  <c r="CQ471" i="15"/>
  <c r="CR471" i="15" s="1"/>
  <c r="CQ475" i="15"/>
  <c r="CR475" i="15" s="1"/>
  <c r="CQ479" i="15"/>
  <c r="CR479" i="15" s="1"/>
  <c r="CQ483" i="15"/>
  <c r="CR483" i="15" s="1"/>
  <c r="CQ487" i="15"/>
  <c r="CR487" i="15" s="1"/>
  <c r="CQ492" i="15"/>
  <c r="CR492" i="15" s="1"/>
  <c r="CQ496" i="15"/>
  <c r="CR496" i="15" s="1"/>
  <c r="CQ500" i="15"/>
  <c r="CR500" i="15" s="1"/>
  <c r="CQ504" i="15"/>
  <c r="CR504" i="15" s="1"/>
  <c r="CQ508" i="15"/>
  <c r="CR508" i="15" s="1"/>
  <c r="CQ512" i="15"/>
  <c r="CR512" i="15" s="1"/>
  <c r="CQ517" i="15"/>
  <c r="CR517" i="15" s="1"/>
  <c r="CQ521" i="15"/>
  <c r="CR521" i="15" s="1"/>
  <c r="CQ525" i="15"/>
  <c r="CR525" i="15" s="1"/>
  <c r="CQ530" i="15"/>
  <c r="CR530" i="15" s="1"/>
  <c r="CQ534" i="15"/>
  <c r="CR534" i="15" s="1"/>
  <c r="CQ538" i="15"/>
  <c r="CR538" i="15" s="1"/>
  <c r="CQ542" i="15"/>
  <c r="CR542" i="15" s="1"/>
  <c r="CQ546" i="15"/>
  <c r="CR546" i="15" s="1"/>
  <c r="CQ551" i="15"/>
  <c r="CR551" i="15" s="1"/>
  <c r="CQ555" i="15"/>
  <c r="CR555" i="15" s="1"/>
  <c r="CQ559" i="15"/>
  <c r="CR559" i="15" s="1"/>
  <c r="CQ563" i="15"/>
  <c r="CR563" i="15" s="1"/>
  <c r="CQ567" i="15"/>
  <c r="CR567" i="15" s="1"/>
  <c r="CQ571" i="15"/>
  <c r="CR571" i="15" s="1"/>
  <c r="CQ575" i="15"/>
  <c r="CR575" i="15" s="1"/>
  <c r="CQ579" i="15"/>
  <c r="CR579" i="15" s="1"/>
  <c r="CQ540" i="15"/>
  <c r="CR540" i="15" s="1"/>
  <c r="CQ549" i="15"/>
  <c r="CR549" i="15" s="1"/>
  <c r="CQ557" i="15"/>
  <c r="CR557" i="15" s="1"/>
  <c r="CQ565" i="15"/>
  <c r="CR565" i="15" s="1"/>
  <c r="CQ574" i="15"/>
  <c r="CR574" i="15" s="1"/>
  <c r="CQ580" i="15"/>
  <c r="CR580" i="15" s="1"/>
  <c r="CQ584" i="15"/>
  <c r="CR584" i="15" s="1"/>
  <c r="CQ588" i="15"/>
  <c r="CR588" i="15" s="1"/>
  <c r="CQ592" i="15"/>
  <c r="CR592" i="15" s="1"/>
  <c r="CQ596" i="15"/>
  <c r="CR596" i="15" s="1"/>
  <c r="CQ600" i="15"/>
  <c r="CR600" i="15" s="1"/>
  <c r="CQ604" i="15"/>
  <c r="CR604" i="15" s="1"/>
  <c r="CQ608" i="15"/>
  <c r="CR608" i="15" s="1"/>
  <c r="CQ613" i="15"/>
  <c r="CR613" i="15" s="1"/>
  <c r="CQ617" i="15"/>
  <c r="CR617" i="15" s="1"/>
  <c r="CQ622" i="15"/>
  <c r="CR622" i="15" s="1"/>
  <c r="CQ626" i="15"/>
  <c r="CR626" i="15" s="1"/>
  <c r="CQ634" i="15"/>
  <c r="CR634" i="15" s="1"/>
  <c r="CQ638" i="15"/>
  <c r="CR638" i="15" s="1"/>
  <c r="CQ643" i="15"/>
  <c r="CR643" i="15" s="1"/>
  <c r="CQ647" i="15"/>
  <c r="CR647" i="15" s="1"/>
  <c r="CQ651" i="15"/>
  <c r="CR651" i="15" s="1"/>
  <c r="CQ655" i="15"/>
  <c r="CR655" i="15" s="1"/>
  <c r="CQ659" i="15"/>
  <c r="CR659" i="15" s="1"/>
  <c r="CQ663" i="15"/>
  <c r="CR663" i="15" s="1"/>
  <c r="CQ668" i="15"/>
  <c r="CR668" i="15" s="1"/>
  <c r="CQ672" i="15"/>
  <c r="CR672" i="15" s="1"/>
  <c r="CQ676" i="15"/>
  <c r="CR676" i="15" s="1"/>
  <c r="CQ680" i="15"/>
  <c r="CR680" i="15" s="1"/>
  <c r="CQ684" i="15"/>
  <c r="CR684" i="15" s="1"/>
  <c r="CQ689" i="15"/>
  <c r="CQ693" i="15"/>
  <c r="CQ697" i="15"/>
  <c r="CQ701" i="15"/>
  <c r="CQ705" i="15"/>
  <c r="CQ709" i="15"/>
  <c r="CQ713" i="15"/>
  <c r="CR713" i="15" s="1"/>
  <c r="CQ717" i="15"/>
  <c r="CR717" i="15" s="1"/>
  <c r="CQ721" i="15"/>
  <c r="CR721" i="15" s="1"/>
  <c r="CQ725" i="15"/>
  <c r="CR725" i="15" s="1"/>
  <c r="CQ729" i="15"/>
  <c r="CR729" i="15" s="1"/>
  <c r="CQ734" i="15"/>
  <c r="CR734" i="15" s="1"/>
  <c r="CQ738" i="15"/>
  <c r="CR738" i="15" s="1"/>
  <c r="CQ742" i="15"/>
  <c r="CR742" i="15" s="1"/>
  <c r="CQ746" i="15"/>
  <c r="CR746" i="15" s="1"/>
  <c r="CQ750" i="15"/>
  <c r="CR750" i="15" s="1"/>
  <c r="CQ755" i="15"/>
  <c r="CR755" i="15" s="1"/>
  <c r="CQ774" i="15"/>
  <c r="CR774" i="15" s="1"/>
  <c r="CQ761" i="15"/>
  <c r="CR761" i="15" s="1"/>
  <c r="CQ765" i="15"/>
  <c r="CR765" i="15" s="1"/>
  <c r="CQ769" i="15"/>
  <c r="CR769" i="15" s="1"/>
  <c r="CQ776" i="15"/>
  <c r="CR776" i="15" s="1"/>
  <c r="CQ780" i="15"/>
  <c r="CR780" i="15" s="1"/>
  <c r="CQ784" i="15"/>
  <c r="CR784" i="15" s="1"/>
  <c r="CQ788" i="15"/>
  <c r="CR788" i="15" s="1"/>
  <c r="CQ792" i="15"/>
  <c r="CR792" i="15" s="1"/>
  <c r="CQ797" i="15"/>
  <c r="CR797" i="15" s="1"/>
  <c r="CQ801" i="15"/>
  <c r="CR801" i="15" s="1"/>
  <c r="CQ805" i="15"/>
  <c r="CR805" i="15" s="1"/>
  <c r="CQ809" i="15"/>
  <c r="CR809" i="15" s="1"/>
  <c r="CQ813" i="15"/>
  <c r="CR813" i="15" s="1"/>
  <c r="CQ817" i="15"/>
  <c r="CR817" i="15" s="1"/>
  <c r="CQ821" i="15"/>
  <c r="CR821" i="15" s="1"/>
  <c r="CQ825" i="15"/>
  <c r="CR825" i="15" s="1"/>
  <c r="CQ830" i="15"/>
  <c r="CR830" i="15" s="1"/>
  <c r="CQ834" i="15"/>
  <c r="CR834" i="15" s="1"/>
  <c r="CQ838" i="15"/>
  <c r="CR838" i="15" s="1"/>
  <c r="CQ842" i="15"/>
  <c r="CR842" i="15" s="1"/>
  <c r="CQ846" i="15"/>
  <c r="CR846" i="15" s="1"/>
  <c r="CQ850" i="15"/>
  <c r="CR850" i="15" s="1"/>
  <c r="CQ854" i="15"/>
  <c r="CR854" i="15" s="1"/>
  <c r="CQ858" i="15"/>
  <c r="CR858" i="15" s="1"/>
  <c r="CQ541" i="15"/>
  <c r="CR541" i="15" s="1"/>
  <c r="CQ550" i="15"/>
  <c r="CR550" i="15" s="1"/>
  <c r="CQ558" i="15"/>
  <c r="CR558" i="15" s="1"/>
  <c r="CQ566" i="15"/>
  <c r="CR566" i="15" s="1"/>
  <c r="CQ572" i="15"/>
  <c r="CR572" i="15" s="1"/>
  <c r="CQ581" i="15"/>
  <c r="CR581" i="15" s="1"/>
  <c r="CQ585" i="15"/>
  <c r="CR585" i="15" s="1"/>
  <c r="CQ589" i="15"/>
  <c r="CR589" i="15" s="1"/>
  <c r="CQ593" i="15"/>
  <c r="CR593" i="15" s="1"/>
  <c r="CQ597" i="15"/>
  <c r="CR597" i="15" s="1"/>
  <c r="CQ601" i="15"/>
  <c r="CR601" i="15" s="1"/>
  <c r="CQ605" i="15"/>
  <c r="CR605" i="15" s="1"/>
  <c r="CQ609" i="15"/>
  <c r="CR609" i="15" s="1"/>
  <c r="CQ614" i="15"/>
  <c r="CR614" i="15" s="1"/>
  <c r="CQ618" i="15"/>
  <c r="CR618" i="15" s="1"/>
  <c r="CQ623" i="15"/>
  <c r="CR623" i="15" s="1"/>
  <c r="CQ627" i="15"/>
  <c r="CR627" i="15" s="1"/>
  <c r="CQ631" i="15"/>
  <c r="CR631" i="15" s="1"/>
  <c r="CQ635" i="15"/>
  <c r="CR635" i="15" s="1"/>
  <c r="CQ639" i="15"/>
  <c r="CR639" i="15" s="1"/>
  <c r="CQ644" i="15"/>
  <c r="CR644" i="15" s="1"/>
  <c r="CQ648" i="15"/>
  <c r="CR648" i="15" s="1"/>
  <c r="CQ652" i="15"/>
  <c r="CR652" i="15" s="1"/>
  <c r="CQ656" i="15"/>
  <c r="CR656" i="15" s="1"/>
  <c r="CQ660" i="15"/>
  <c r="CR660" i="15" s="1"/>
  <c r="CQ664" i="15"/>
  <c r="CR664" i="15" s="1"/>
  <c r="CQ669" i="15"/>
  <c r="CR669" i="15" s="1"/>
  <c r="CQ673" i="15"/>
  <c r="CR673" i="15" s="1"/>
  <c r="CQ677" i="15"/>
  <c r="CR677" i="15" s="1"/>
  <c r="CQ681" i="15"/>
  <c r="CR681" i="15" s="1"/>
  <c r="CQ685" i="15"/>
  <c r="CR685" i="15" s="1"/>
  <c r="CQ690" i="15"/>
  <c r="CQ694" i="15"/>
  <c r="CQ698" i="15"/>
  <c r="CQ702" i="15"/>
  <c r="CQ706" i="15"/>
  <c r="CQ710" i="15"/>
  <c r="CQ714" i="15"/>
  <c r="CR714" i="15" s="1"/>
  <c r="CQ718" i="15"/>
  <c r="CR718" i="15" s="1"/>
  <c r="CQ722" i="15"/>
  <c r="CR722" i="15" s="1"/>
  <c r="CQ726" i="15"/>
  <c r="CR726" i="15" s="1"/>
  <c r="CQ730" i="15"/>
  <c r="CR730" i="15" s="1"/>
  <c r="CQ735" i="15"/>
  <c r="CR735" i="15" s="1"/>
  <c r="CQ739" i="15"/>
  <c r="CR739" i="15" s="1"/>
  <c r="CQ743" i="15"/>
  <c r="CR743" i="15" s="1"/>
  <c r="CQ747" i="15"/>
  <c r="CR747" i="15" s="1"/>
  <c r="CQ751" i="15"/>
  <c r="CR751" i="15" s="1"/>
  <c r="CQ756" i="15"/>
  <c r="CR756" i="15" s="1"/>
  <c r="CQ758" i="15"/>
  <c r="CR758" i="15" s="1"/>
  <c r="CQ762" i="15"/>
  <c r="CR762" i="15" s="1"/>
  <c r="CQ766" i="15"/>
  <c r="CR766" i="15" s="1"/>
  <c r="CQ770" i="15"/>
  <c r="CR770" i="15" s="1"/>
  <c r="CQ777" i="15"/>
  <c r="CR777" i="15" s="1"/>
  <c r="CQ781" i="15"/>
  <c r="CR781" i="15" s="1"/>
  <c r="CQ785" i="15"/>
  <c r="CR785" i="15" s="1"/>
  <c r="CQ789" i="15"/>
  <c r="CR789" i="15" s="1"/>
  <c r="CQ793" i="15"/>
  <c r="CR793" i="15" s="1"/>
  <c r="CQ798" i="15"/>
  <c r="CR798" i="15" s="1"/>
  <c r="CQ802" i="15"/>
  <c r="CR802" i="15" s="1"/>
  <c r="CQ806" i="15"/>
  <c r="CR806" i="15" s="1"/>
  <c r="CQ810" i="15"/>
  <c r="CR810" i="15" s="1"/>
  <c r="CQ814" i="15"/>
  <c r="CR814" i="15" s="1"/>
  <c r="CQ818" i="15"/>
  <c r="CR818" i="15" s="1"/>
  <c r="CQ822" i="15"/>
  <c r="CR822" i="15" s="1"/>
  <c r="CQ826" i="15"/>
  <c r="CR826" i="15" s="1"/>
  <c r="CQ831" i="15"/>
  <c r="CR831" i="15" s="1"/>
  <c r="CQ835" i="15"/>
  <c r="CR835" i="15" s="1"/>
  <c r="CQ839" i="15"/>
  <c r="CR839" i="15" s="1"/>
  <c r="CQ843" i="15"/>
  <c r="CR843" i="15" s="1"/>
  <c r="CQ847" i="15"/>
  <c r="CR847" i="15" s="1"/>
  <c r="CQ851" i="15"/>
  <c r="CR851" i="15" s="1"/>
  <c r="CQ855" i="15"/>
  <c r="CR855" i="15" s="1"/>
  <c r="CQ859" i="15"/>
  <c r="CR859" i="15" s="1"/>
  <c r="CQ544" i="15"/>
  <c r="CR544" i="15" s="1"/>
  <c r="CQ553" i="15"/>
  <c r="CR553" i="15" s="1"/>
  <c r="CQ561" i="15"/>
  <c r="CR561" i="15" s="1"/>
  <c r="CQ569" i="15"/>
  <c r="CR569" i="15" s="1"/>
  <c r="CQ577" i="15"/>
  <c r="CR577" i="15" s="1"/>
  <c r="CQ582" i="15"/>
  <c r="CR582" i="15" s="1"/>
  <c r="CQ586" i="15"/>
  <c r="CR586" i="15" s="1"/>
  <c r="CQ590" i="15"/>
  <c r="CR590" i="15" s="1"/>
  <c r="CQ594" i="15"/>
  <c r="CR594" i="15" s="1"/>
  <c r="CQ598" i="15"/>
  <c r="CR598" i="15" s="1"/>
  <c r="CQ602" i="15"/>
  <c r="CR602" i="15" s="1"/>
  <c r="CQ606" i="15"/>
  <c r="CR606" i="15" s="1"/>
  <c r="CQ611" i="15"/>
  <c r="CR611" i="15" s="1"/>
  <c r="CQ615" i="15"/>
  <c r="CR615" i="15" s="1"/>
  <c r="CQ619" i="15"/>
  <c r="CR619" i="15" s="1"/>
  <c r="CQ624" i="15"/>
  <c r="CR624" i="15" s="1"/>
  <c r="CQ628" i="15"/>
  <c r="CR628" i="15" s="1"/>
  <c r="CQ632" i="15"/>
  <c r="CR632" i="15" s="1"/>
  <c r="CQ636" i="15"/>
  <c r="CR636" i="15" s="1"/>
  <c r="CQ641" i="15"/>
  <c r="CR641" i="15" s="1"/>
  <c r="CQ645" i="15"/>
  <c r="CR645" i="15" s="1"/>
  <c r="CQ649" i="15"/>
  <c r="CR649" i="15" s="1"/>
  <c r="CQ653" i="15"/>
  <c r="CR653" i="15" s="1"/>
  <c r="CQ657" i="15"/>
  <c r="CR657" i="15" s="1"/>
  <c r="CQ661" i="15"/>
  <c r="CR661" i="15" s="1"/>
  <c r="CQ665" i="15"/>
  <c r="CR665" i="15" s="1"/>
  <c r="CQ670" i="15"/>
  <c r="CR670" i="15" s="1"/>
  <c r="CQ674" i="15"/>
  <c r="CR674" i="15" s="1"/>
  <c r="CQ678" i="15"/>
  <c r="CR678" i="15" s="1"/>
  <c r="CQ682" i="15"/>
  <c r="CR682" i="15" s="1"/>
  <c r="CQ686" i="15"/>
  <c r="CR686" i="15" s="1"/>
  <c r="CQ691" i="15"/>
  <c r="CQ695" i="15"/>
  <c r="CQ699" i="15"/>
  <c r="CQ703" i="15"/>
  <c r="CQ707" i="15"/>
  <c r="CQ711" i="15"/>
  <c r="CQ715" i="15"/>
  <c r="CR715" i="15" s="1"/>
  <c r="CQ719" i="15"/>
  <c r="CR719" i="15" s="1"/>
  <c r="CQ723" i="15"/>
  <c r="CR723" i="15" s="1"/>
  <c r="CQ727" i="15"/>
  <c r="CR727" i="15" s="1"/>
  <c r="CQ732" i="15"/>
  <c r="CR732" i="15" s="1"/>
  <c r="CQ736" i="15"/>
  <c r="CR736" i="15" s="1"/>
  <c r="CQ740" i="15"/>
  <c r="CR740" i="15" s="1"/>
  <c r="CQ744" i="15"/>
  <c r="CR744" i="15" s="1"/>
  <c r="CQ748" i="15"/>
  <c r="CR748" i="15" s="1"/>
  <c r="CQ752" i="15"/>
  <c r="CR752" i="15" s="1"/>
  <c r="CQ757" i="15"/>
  <c r="CR757" i="15" s="1"/>
  <c r="CQ759" i="15"/>
  <c r="CR759" i="15" s="1"/>
  <c r="CQ763" i="15"/>
  <c r="CR763" i="15" s="1"/>
  <c r="CQ767" i="15"/>
  <c r="CR767" i="15" s="1"/>
  <c r="CQ771" i="15"/>
  <c r="CR771" i="15" s="1"/>
  <c r="CQ778" i="15"/>
  <c r="CR778" i="15" s="1"/>
  <c r="CQ782" i="15"/>
  <c r="CR782" i="15" s="1"/>
  <c r="CQ786" i="15"/>
  <c r="CR786" i="15" s="1"/>
  <c r="CQ790" i="15"/>
  <c r="CR790" i="15" s="1"/>
  <c r="CQ794" i="15"/>
  <c r="CR794" i="15" s="1"/>
  <c r="CQ799" i="15"/>
  <c r="CR799" i="15" s="1"/>
  <c r="CQ803" i="15"/>
  <c r="CR803" i="15" s="1"/>
  <c r="CQ807" i="15"/>
  <c r="CR807" i="15" s="1"/>
  <c r="CQ811" i="15"/>
  <c r="CR811" i="15" s="1"/>
  <c r="CQ815" i="15"/>
  <c r="CR815" i="15" s="1"/>
  <c r="CQ819" i="15"/>
  <c r="CR819" i="15" s="1"/>
  <c r="CQ823" i="15"/>
  <c r="CR823" i="15" s="1"/>
  <c r="CQ828" i="15"/>
  <c r="CR828" i="15" s="1"/>
  <c r="CQ832" i="15"/>
  <c r="CR832" i="15" s="1"/>
  <c r="CQ836" i="15"/>
  <c r="CR836" i="15" s="1"/>
  <c r="CQ840" i="15"/>
  <c r="CR840" i="15" s="1"/>
  <c r="CQ844" i="15"/>
  <c r="CR844" i="15" s="1"/>
  <c r="CQ848" i="15"/>
  <c r="CR848" i="15" s="1"/>
  <c r="CQ852" i="15"/>
  <c r="CR852" i="15" s="1"/>
  <c r="CQ856" i="15"/>
  <c r="CR856" i="15" s="1"/>
  <c r="CQ860" i="15"/>
  <c r="CR860" i="15" s="1"/>
  <c r="CQ545" i="15"/>
  <c r="CR545" i="15" s="1"/>
  <c r="CQ554" i="15"/>
  <c r="CR554" i="15" s="1"/>
  <c r="CQ562" i="15"/>
  <c r="CR562" i="15" s="1"/>
  <c r="CQ570" i="15"/>
  <c r="CR570" i="15" s="1"/>
  <c r="CQ578" i="15"/>
  <c r="CR578" i="15" s="1"/>
  <c r="CQ583" i="15"/>
  <c r="CR583" i="15" s="1"/>
  <c r="CQ587" i="15"/>
  <c r="CR587" i="15" s="1"/>
  <c r="CQ591" i="15"/>
  <c r="CR591" i="15" s="1"/>
  <c r="CQ595" i="15"/>
  <c r="CR595" i="15" s="1"/>
  <c r="CQ599" i="15"/>
  <c r="CR599" i="15" s="1"/>
  <c r="CQ603" i="15"/>
  <c r="CR603" i="15" s="1"/>
  <c r="CQ607" i="15"/>
  <c r="CR607" i="15" s="1"/>
  <c r="CQ612" i="15"/>
  <c r="CR612" i="15" s="1"/>
  <c r="CQ616" i="15"/>
  <c r="CR616" i="15" s="1"/>
  <c r="CQ621" i="15"/>
  <c r="CR621" i="15" s="1"/>
  <c r="CQ625" i="15"/>
  <c r="CR625" i="15" s="1"/>
  <c r="CQ630" i="15"/>
  <c r="CR630" i="15" s="1"/>
  <c r="CQ633" i="15"/>
  <c r="CR633" i="15" s="1"/>
  <c r="CQ637" i="15"/>
  <c r="CR637" i="15" s="1"/>
  <c r="CQ642" i="15"/>
  <c r="CR642" i="15" s="1"/>
  <c r="CQ646" i="15"/>
  <c r="CR646" i="15" s="1"/>
  <c r="CQ650" i="15"/>
  <c r="CR650" i="15" s="1"/>
  <c r="CQ654" i="15"/>
  <c r="CR654" i="15" s="1"/>
  <c r="CQ658" i="15"/>
  <c r="CR658" i="15" s="1"/>
  <c r="CQ662" i="15"/>
  <c r="CR662" i="15" s="1"/>
  <c r="CQ666" i="15"/>
  <c r="CR666" i="15" s="1"/>
  <c r="CQ671" i="15"/>
  <c r="CR671" i="15" s="1"/>
  <c r="CQ675" i="15"/>
  <c r="CR675" i="15" s="1"/>
  <c r="CQ679" i="15"/>
  <c r="CR679" i="15" s="1"/>
  <c r="CQ683" i="15"/>
  <c r="CR683" i="15" s="1"/>
  <c r="CQ688" i="15"/>
  <c r="CR688" i="15" s="1"/>
  <c r="CQ692" i="15"/>
  <c r="CQ696" i="15"/>
  <c r="CQ700" i="15"/>
  <c r="CQ704" i="15"/>
  <c r="CQ708" i="15"/>
  <c r="CQ716" i="15"/>
  <c r="CR716" i="15" s="1"/>
  <c r="CQ720" i="15"/>
  <c r="CR720" i="15" s="1"/>
  <c r="CQ724" i="15"/>
  <c r="CR724" i="15" s="1"/>
  <c r="CQ728" i="15"/>
  <c r="CR728" i="15" s="1"/>
  <c r="CQ733" i="15"/>
  <c r="CR733" i="15" s="1"/>
  <c r="CQ737" i="15"/>
  <c r="CR737" i="15" s="1"/>
  <c r="CQ741" i="15"/>
  <c r="CR741" i="15" s="1"/>
  <c r="CQ745" i="15"/>
  <c r="CR745" i="15" s="1"/>
  <c r="CQ749" i="15"/>
  <c r="CR749" i="15" s="1"/>
  <c r="CQ754" i="15"/>
  <c r="CR754" i="15" s="1"/>
  <c r="CQ773" i="15"/>
  <c r="CR773" i="15" s="1"/>
  <c r="CQ760" i="15"/>
  <c r="CR760" i="15" s="1"/>
  <c r="CQ764" i="15"/>
  <c r="CR764" i="15" s="1"/>
  <c r="CQ768" i="15"/>
  <c r="CR768" i="15" s="1"/>
  <c r="CQ772" i="15"/>
  <c r="CR772" i="15" s="1"/>
  <c r="CQ779" i="15"/>
  <c r="CR779" i="15" s="1"/>
  <c r="CQ783" i="15"/>
  <c r="CR783" i="15" s="1"/>
  <c r="CQ787" i="15"/>
  <c r="CR787" i="15" s="1"/>
  <c r="CQ791" i="15"/>
  <c r="CR791" i="15" s="1"/>
  <c r="CQ796" i="15"/>
  <c r="CR796" i="15" s="1"/>
  <c r="CQ800" i="15"/>
  <c r="CR800" i="15" s="1"/>
  <c r="CQ804" i="15"/>
  <c r="CR804" i="15" s="1"/>
  <c r="CQ808" i="15"/>
  <c r="CR808" i="15" s="1"/>
  <c r="CQ812" i="15"/>
  <c r="CR812" i="15" s="1"/>
  <c r="CQ816" i="15"/>
  <c r="CR816" i="15" s="1"/>
  <c r="CQ820" i="15"/>
  <c r="CR820" i="15" s="1"/>
  <c r="CQ824" i="15"/>
  <c r="CR824" i="15" s="1"/>
  <c r="CQ829" i="15"/>
  <c r="CR829" i="15" s="1"/>
  <c r="CQ833" i="15"/>
  <c r="CR833" i="15" s="1"/>
  <c r="CQ837" i="15"/>
  <c r="CR837" i="15" s="1"/>
  <c r="CQ841" i="15"/>
  <c r="CR841" i="15" s="1"/>
  <c r="CQ845" i="15"/>
  <c r="CR845" i="15" s="1"/>
  <c r="CQ849" i="15"/>
  <c r="CR849" i="15" s="1"/>
  <c r="CQ853" i="15"/>
  <c r="CR853" i="15" s="1"/>
  <c r="CQ857" i="15"/>
  <c r="CR857" i="15" s="1"/>
  <c r="CQ861" i="15"/>
  <c r="CR861" i="15" s="1"/>
  <c r="G42" i="13"/>
  <c r="AI115" i="1"/>
  <c r="AI176" i="1"/>
  <c r="AI20" i="1"/>
  <c r="AI104" i="1"/>
  <c r="AI315" i="1"/>
  <c r="AI117" i="1"/>
  <c r="AI174" i="1"/>
  <c r="AI183" i="1"/>
  <c r="AI319" i="1"/>
  <c r="AI96" i="1"/>
  <c r="AI175" i="1"/>
  <c r="AI73" i="1"/>
  <c r="AH8" i="1"/>
  <c r="J9" i="13"/>
  <c r="AC61" i="1"/>
  <c r="AI61" i="1"/>
  <c r="H9" i="13"/>
  <c r="AG56" i="1"/>
  <c r="AG49" i="1"/>
  <c r="AG48" i="1"/>
  <c r="AE27" i="1"/>
  <c r="AE22" i="1"/>
  <c r="I8" i="13"/>
  <c r="K9" i="13"/>
  <c r="AF10" i="1"/>
  <c r="AG22" i="1"/>
  <c r="K8" i="13"/>
  <c r="AG27" i="1"/>
  <c r="AE10" i="1"/>
  <c r="AG10" i="1"/>
  <c r="AH56" i="1"/>
  <c r="AH49" i="1"/>
  <c r="AH48" i="1"/>
  <c r="AF22" i="1"/>
  <c r="AF27" i="1"/>
  <c r="J8" i="13"/>
  <c r="L9" i="13"/>
  <c r="AD10" i="1"/>
  <c r="H8" i="13"/>
  <c r="I9" i="13"/>
  <c r="L8" i="13"/>
  <c r="AH27" i="1"/>
  <c r="AH22" i="1"/>
  <c r="AF56" i="1"/>
  <c r="AF48" i="1"/>
  <c r="AF49" i="1"/>
  <c r="AE57" i="1"/>
  <c r="AC57" i="1"/>
  <c r="AG8" i="1"/>
  <c r="AG32" i="1"/>
  <c r="AD32" i="1"/>
  <c r="AC32" i="1"/>
  <c r="AE56" i="1"/>
  <c r="AC56" i="1"/>
  <c r="AF8" i="1"/>
  <c r="AF32" i="1"/>
  <c r="AE32" i="1"/>
  <c r="AH10" i="1"/>
  <c r="AH32" i="1"/>
  <c r="AE69" i="1"/>
  <c r="AC69" i="1"/>
  <c r="AE46" i="1"/>
  <c r="AC46" i="1"/>
  <c r="AI68" i="1"/>
  <c r="AI13" i="1"/>
  <c r="M10" i="13"/>
  <c r="CR696" i="15" l="1"/>
  <c r="CX696" i="15" s="1"/>
  <c r="GB696" i="15" s="1"/>
  <c r="GD696" i="15" s="1"/>
  <c r="CR699" i="15"/>
  <c r="CX699" i="15" s="1"/>
  <c r="GB699" i="15" s="1"/>
  <c r="GD699" i="15" s="1"/>
  <c r="CR702" i="15"/>
  <c r="CX702" i="15" s="1"/>
  <c r="GB702" i="15" s="1"/>
  <c r="GD702" i="15" s="1"/>
  <c r="CR705" i="15"/>
  <c r="CX705" i="15" s="1"/>
  <c r="GB705" i="15" s="1"/>
  <c r="GD705" i="15" s="1"/>
  <c r="CR689" i="15"/>
  <c r="CX689" i="15" s="1"/>
  <c r="GB689" i="15" s="1"/>
  <c r="GD689" i="15" s="1"/>
  <c r="CR459" i="15"/>
  <c r="CX459" i="15" s="1"/>
  <c r="GB459" i="15" s="1"/>
  <c r="GD459" i="15" s="1"/>
  <c r="CR462" i="15"/>
  <c r="CX462" i="15" s="1"/>
  <c r="GB462" i="15" s="1"/>
  <c r="GD462" i="15" s="1"/>
  <c r="CR469" i="15"/>
  <c r="CX469" i="15" s="1"/>
  <c r="GB469" i="15" s="1"/>
  <c r="GD469" i="15" s="1"/>
  <c r="CR464" i="15"/>
  <c r="CX464" i="15" s="1"/>
  <c r="GB464" i="15" s="1"/>
  <c r="GD464" i="15" s="1"/>
  <c r="CR708" i="15"/>
  <c r="CX708" i="15" s="1"/>
  <c r="GB708" i="15" s="1"/>
  <c r="GD708" i="15" s="1"/>
  <c r="CR692" i="15"/>
  <c r="CX692" i="15" s="1"/>
  <c r="GB692" i="15" s="1"/>
  <c r="GD692" i="15" s="1"/>
  <c r="CR711" i="15"/>
  <c r="CX711" i="15" s="1"/>
  <c r="GB711" i="15" s="1"/>
  <c r="GD711" i="15" s="1"/>
  <c r="CR695" i="15"/>
  <c r="CX695" i="15" s="1"/>
  <c r="GB695" i="15" s="1"/>
  <c r="GD695" i="15" s="1"/>
  <c r="CR698" i="15"/>
  <c r="CX698" i="15" s="1"/>
  <c r="GB698" i="15" s="1"/>
  <c r="GD698" i="15" s="1"/>
  <c r="CR701" i="15"/>
  <c r="CX701" i="15" s="1"/>
  <c r="GB701" i="15" s="1"/>
  <c r="GD701" i="15" s="1"/>
  <c r="CR458" i="15"/>
  <c r="CX458" i="15" s="1"/>
  <c r="GB458" i="15" s="1"/>
  <c r="GD458" i="15" s="1"/>
  <c r="CR465" i="15"/>
  <c r="CX465" i="15" s="1"/>
  <c r="GB465" i="15" s="1"/>
  <c r="GD465" i="15" s="1"/>
  <c r="CR460" i="15"/>
  <c r="CX460" i="15" s="1"/>
  <c r="GB460" i="15" s="1"/>
  <c r="GD460" i="15" s="1"/>
  <c r="CR704" i="15"/>
  <c r="CX704" i="15" s="1"/>
  <c r="GB704" i="15" s="1"/>
  <c r="GD704" i="15" s="1"/>
  <c r="CR707" i="15"/>
  <c r="CX707" i="15" s="1"/>
  <c r="GB707" i="15" s="1"/>
  <c r="GD707" i="15" s="1"/>
  <c r="CR691" i="15"/>
  <c r="CX691" i="15" s="1"/>
  <c r="GB691" i="15" s="1"/>
  <c r="GD691" i="15" s="1"/>
  <c r="CR710" i="15"/>
  <c r="CX710" i="15" s="1"/>
  <c r="GB710" i="15" s="1"/>
  <c r="GD710" i="15" s="1"/>
  <c r="CR694" i="15"/>
  <c r="CX694" i="15" s="1"/>
  <c r="GB694" i="15" s="1"/>
  <c r="GD694" i="15" s="1"/>
  <c r="CR697" i="15"/>
  <c r="CX697" i="15" s="1"/>
  <c r="GB697" i="15" s="1"/>
  <c r="GD697" i="15" s="1"/>
  <c r="CR467" i="15"/>
  <c r="CX467" i="15" s="1"/>
  <c r="GB467" i="15" s="1"/>
  <c r="GD467" i="15" s="1"/>
  <c r="CR461" i="15"/>
  <c r="CX461" i="15" s="1"/>
  <c r="GB461" i="15" s="1"/>
  <c r="GD461" i="15" s="1"/>
  <c r="CR456" i="15"/>
  <c r="CX456" i="15" s="1"/>
  <c r="GB456" i="15" s="1"/>
  <c r="GD456" i="15" s="1"/>
  <c r="CR700" i="15"/>
  <c r="CX700" i="15" s="1"/>
  <c r="GB700" i="15" s="1"/>
  <c r="GD700" i="15" s="1"/>
  <c r="CR703" i="15"/>
  <c r="CX703" i="15" s="1"/>
  <c r="GB703" i="15" s="1"/>
  <c r="GD703" i="15" s="1"/>
  <c r="CR706" i="15"/>
  <c r="CX706" i="15" s="1"/>
  <c r="GB706" i="15" s="1"/>
  <c r="GD706" i="15" s="1"/>
  <c r="CR690" i="15"/>
  <c r="CX690" i="15" s="1"/>
  <c r="GB690" i="15" s="1"/>
  <c r="GD690" i="15" s="1"/>
  <c r="CR709" i="15"/>
  <c r="CX709" i="15" s="1"/>
  <c r="GB709" i="15" s="1"/>
  <c r="GD709" i="15" s="1"/>
  <c r="CR693" i="15"/>
  <c r="CX693" i="15" s="1"/>
  <c r="GB693" i="15" s="1"/>
  <c r="GD693" i="15" s="1"/>
  <c r="CR463" i="15"/>
  <c r="CX463" i="15" s="1"/>
  <c r="GB463" i="15" s="1"/>
  <c r="GD463" i="15" s="1"/>
  <c r="CR466" i="15"/>
  <c r="CX466" i="15" s="1"/>
  <c r="GB466" i="15" s="1"/>
  <c r="GD466" i="15" s="1"/>
  <c r="CR457" i="15"/>
  <c r="CX457" i="15" s="1"/>
  <c r="GB457" i="15" s="1"/>
  <c r="GD457" i="15" s="1"/>
  <c r="CR468" i="15"/>
  <c r="CX468" i="15" s="1"/>
  <c r="GB468" i="15" s="1"/>
  <c r="GD468" i="15" s="1"/>
  <c r="CR6" i="15"/>
  <c r="CX6" i="15" s="1"/>
  <c r="DT6" i="15"/>
  <c r="AI69" i="1"/>
  <c r="N9" i="13"/>
  <c r="AI46" i="1"/>
  <c r="N8" i="13"/>
  <c r="AB8" i="13"/>
  <c r="G8" i="13"/>
  <c r="Q8" i="13"/>
  <c r="AI56" i="1"/>
  <c r="O9" i="13"/>
  <c r="G9" i="13"/>
  <c r="Q9" i="13"/>
  <c r="O8" i="13"/>
  <c r="AD8" i="13"/>
  <c r="AE13" i="13"/>
  <c r="AE11" i="13"/>
  <c r="AE10" i="13"/>
  <c r="AE12" i="13"/>
  <c r="AE9" i="13"/>
  <c r="AC22" i="1"/>
  <c r="AD22" i="1"/>
  <c r="AE8" i="13"/>
  <c r="AC27" i="1"/>
  <c r="AD27" i="1"/>
  <c r="AC13" i="13"/>
  <c r="AC10" i="13"/>
  <c r="AC11" i="13"/>
  <c r="AC9" i="13"/>
  <c r="AC12" i="13"/>
  <c r="R9" i="13"/>
  <c r="R8" i="13"/>
  <c r="P9" i="13"/>
  <c r="P8" i="13"/>
  <c r="AC48" i="1"/>
  <c r="AE48" i="1"/>
  <c r="AA13" i="13"/>
  <c r="AA9" i="13"/>
  <c r="AA11" i="13"/>
  <c r="AA12" i="13"/>
  <c r="AA10" i="13"/>
  <c r="AB13" i="13"/>
  <c r="AB11" i="13"/>
  <c r="AB10" i="13"/>
  <c r="AB9" i="13"/>
  <c r="AB12" i="13"/>
  <c r="AA8" i="13"/>
  <c r="AI57" i="1"/>
  <c r="AC49" i="1"/>
  <c r="AE49" i="1"/>
  <c r="AD13" i="13"/>
  <c r="AD11" i="13"/>
  <c r="AD12" i="13"/>
  <c r="AD10" i="13"/>
  <c r="AD9" i="13"/>
  <c r="AC8" i="13"/>
  <c r="AI32" i="1"/>
  <c r="AC10" i="1"/>
  <c r="AE8" i="1"/>
  <c r="AC8" i="1"/>
  <c r="AI10" i="1"/>
  <c r="GB6" i="15" l="1"/>
  <c r="CX7" i="15" s="1"/>
  <c r="CX43" i="15"/>
  <c r="GB43" i="15" s="1"/>
  <c r="GD43" i="15" s="1"/>
  <c r="CX35" i="15"/>
  <c r="GB35" i="15" s="1"/>
  <c r="GD35" i="15" s="1"/>
  <c r="CX8" i="15"/>
  <c r="GB8" i="15" s="1"/>
  <c r="GD8" i="15" s="1"/>
  <c r="CX66" i="15"/>
  <c r="GB66" i="15" s="1"/>
  <c r="GD66" i="15" s="1"/>
  <c r="CX629" i="15"/>
  <c r="GB629" i="15" s="1"/>
  <c r="GD629" i="15" s="1"/>
  <c r="CX380" i="15"/>
  <c r="GB380" i="15" s="1"/>
  <c r="GD380" i="15" s="1"/>
  <c r="CX11" i="15"/>
  <c r="GB11" i="15" s="1"/>
  <c r="GD11" i="15" s="1"/>
  <c r="CX15" i="15"/>
  <c r="GB15" i="15" s="1"/>
  <c r="GD15" i="15" s="1"/>
  <c r="CX19" i="15"/>
  <c r="GB19" i="15" s="1"/>
  <c r="GD19" i="15" s="1"/>
  <c r="CX23" i="15"/>
  <c r="GB23" i="15" s="1"/>
  <c r="GD23" i="15" s="1"/>
  <c r="CX27" i="15"/>
  <c r="GB27" i="15" s="1"/>
  <c r="GD27" i="15" s="1"/>
  <c r="CX31" i="15"/>
  <c r="GB31" i="15" s="1"/>
  <c r="GD31" i="15" s="1"/>
  <c r="CX36" i="15"/>
  <c r="GB36" i="15" s="1"/>
  <c r="GD36" i="15" s="1"/>
  <c r="CX40" i="15"/>
  <c r="GB40" i="15" s="1"/>
  <c r="GD40" i="15" s="1"/>
  <c r="CX45" i="15"/>
  <c r="GB45" i="15" s="1"/>
  <c r="GD45" i="15" s="1"/>
  <c r="CX49" i="15"/>
  <c r="GB49" i="15" s="1"/>
  <c r="GD49" i="15" s="1"/>
  <c r="CX53" i="15"/>
  <c r="GB53" i="15" s="1"/>
  <c r="GD53" i="15" s="1"/>
  <c r="CX57" i="15"/>
  <c r="GB57" i="15" s="1"/>
  <c r="GD57" i="15" s="1"/>
  <c r="CX61" i="15"/>
  <c r="GB61" i="15" s="1"/>
  <c r="GD61" i="15" s="1"/>
  <c r="CX70" i="15"/>
  <c r="GB70" i="15" s="1"/>
  <c r="GD70" i="15" s="1"/>
  <c r="CX74" i="15"/>
  <c r="GB74" i="15" s="1"/>
  <c r="GD74" i="15" s="1"/>
  <c r="CX78" i="15"/>
  <c r="GB78" i="15" s="1"/>
  <c r="GD78" i="15" s="1"/>
  <c r="CX83" i="15"/>
  <c r="GB83" i="15" s="1"/>
  <c r="GD83" i="15" s="1"/>
  <c r="CX87" i="15"/>
  <c r="GB87" i="15" s="1"/>
  <c r="GD87" i="15" s="1"/>
  <c r="CX91" i="15"/>
  <c r="GB91" i="15" s="1"/>
  <c r="GD91" i="15" s="1"/>
  <c r="CX95" i="15"/>
  <c r="GB95" i="15" s="1"/>
  <c r="GD95" i="15" s="1"/>
  <c r="CX100" i="15"/>
  <c r="GB100" i="15" s="1"/>
  <c r="GD100" i="15" s="1"/>
  <c r="CX104" i="15"/>
  <c r="GB104" i="15" s="1"/>
  <c r="GD104" i="15" s="1"/>
  <c r="CX108" i="15"/>
  <c r="GB108" i="15" s="1"/>
  <c r="GD108" i="15" s="1"/>
  <c r="CX112" i="15"/>
  <c r="GB112" i="15" s="1"/>
  <c r="GD112" i="15" s="1"/>
  <c r="CX116" i="15"/>
  <c r="GB116" i="15" s="1"/>
  <c r="GD116" i="15" s="1"/>
  <c r="CX120" i="15"/>
  <c r="GB120" i="15" s="1"/>
  <c r="GD120" i="15" s="1"/>
  <c r="CX125" i="15"/>
  <c r="GB125" i="15" s="1"/>
  <c r="GD125" i="15" s="1"/>
  <c r="CX129" i="15"/>
  <c r="GB129" i="15" s="1"/>
  <c r="GD129" i="15" s="1"/>
  <c r="CX133" i="15"/>
  <c r="GB133" i="15" s="1"/>
  <c r="GD133" i="15" s="1"/>
  <c r="CX137" i="15"/>
  <c r="GB137" i="15" s="1"/>
  <c r="GD137" i="15" s="1"/>
  <c r="CX141" i="15"/>
  <c r="GB141" i="15" s="1"/>
  <c r="GD141" i="15" s="1"/>
  <c r="CX145" i="15"/>
  <c r="GB145" i="15" s="1"/>
  <c r="GD145" i="15" s="1"/>
  <c r="CX149" i="15"/>
  <c r="GB149" i="15" s="1"/>
  <c r="GD149" i="15" s="1"/>
  <c r="CX153" i="15"/>
  <c r="GB153" i="15" s="1"/>
  <c r="GD153" i="15" s="1"/>
  <c r="CX157" i="15"/>
  <c r="GB157" i="15" s="1"/>
  <c r="GD157" i="15" s="1"/>
  <c r="CX161" i="15"/>
  <c r="GB161" i="15" s="1"/>
  <c r="GD161" i="15" s="1"/>
  <c r="CX165" i="15"/>
  <c r="GB165" i="15" s="1"/>
  <c r="GD165" i="15" s="1"/>
  <c r="CX170" i="15"/>
  <c r="GB170" i="15" s="1"/>
  <c r="GD170" i="15" s="1"/>
  <c r="CX174" i="15"/>
  <c r="GB174" i="15" s="1"/>
  <c r="GD174" i="15" s="1"/>
  <c r="CX178" i="15"/>
  <c r="GB178" i="15" s="1"/>
  <c r="GD178" i="15" s="1"/>
  <c r="CX182" i="15"/>
  <c r="GB182" i="15" s="1"/>
  <c r="GD182" i="15" s="1"/>
  <c r="CX186" i="15"/>
  <c r="GB186" i="15" s="1"/>
  <c r="GD186" i="15" s="1"/>
  <c r="CX191" i="15"/>
  <c r="GB191" i="15" s="1"/>
  <c r="GD191" i="15" s="1"/>
  <c r="CX195" i="15"/>
  <c r="GB195" i="15" s="1"/>
  <c r="GD195" i="15" s="1"/>
  <c r="CX199" i="15"/>
  <c r="GB199" i="15" s="1"/>
  <c r="GD199" i="15" s="1"/>
  <c r="CX203" i="15"/>
  <c r="GB203" i="15" s="1"/>
  <c r="GD203" i="15" s="1"/>
  <c r="CX207" i="15"/>
  <c r="GB207" i="15" s="1"/>
  <c r="GD207" i="15" s="1"/>
  <c r="CX211" i="15"/>
  <c r="GB211" i="15" s="1"/>
  <c r="GD211" i="15" s="1"/>
  <c r="CX215" i="15"/>
  <c r="GB215" i="15" s="1"/>
  <c r="GD215" i="15" s="1"/>
  <c r="CX220" i="15"/>
  <c r="GB220" i="15" s="1"/>
  <c r="GD220" i="15" s="1"/>
  <c r="CX224" i="15"/>
  <c r="GB224" i="15" s="1"/>
  <c r="GD224" i="15" s="1"/>
  <c r="CX228" i="15"/>
  <c r="GB228" i="15" s="1"/>
  <c r="GD228" i="15" s="1"/>
  <c r="CX233" i="15"/>
  <c r="GB233" i="15" s="1"/>
  <c r="GD233" i="15" s="1"/>
  <c r="CX237" i="15"/>
  <c r="GB237" i="15" s="1"/>
  <c r="GD237" i="15" s="1"/>
  <c r="CX241" i="15"/>
  <c r="GB241" i="15" s="1"/>
  <c r="GD241" i="15" s="1"/>
  <c r="CX245" i="15"/>
  <c r="GB245" i="15" s="1"/>
  <c r="GD245" i="15" s="1"/>
  <c r="CX249" i="15"/>
  <c r="GB249" i="15" s="1"/>
  <c r="GD249" i="15" s="1"/>
  <c r="CX254" i="15"/>
  <c r="GB254" i="15" s="1"/>
  <c r="GD254" i="15" s="1"/>
  <c r="CX258" i="15"/>
  <c r="GB258" i="15" s="1"/>
  <c r="GD258" i="15" s="1"/>
  <c r="CX262" i="15"/>
  <c r="GB262" i="15" s="1"/>
  <c r="GD262" i="15" s="1"/>
  <c r="CX266" i="15"/>
  <c r="GB266" i="15" s="1"/>
  <c r="GD266" i="15" s="1"/>
  <c r="CX270" i="15"/>
  <c r="GB270" i="15" s="1"/>
  <c r="GD270" i="15" s="1"/>
  <c r="CX275" i="15"/>
  <c r="GB275" i="15" s="1"/>
  <c r="GD275" i="15" s="1"/>
  <c r="CX278" i="15"/>
  <c r="GB278" i="15" s="1"/>
  <c r="GD278" i="15" s="1"/>
  <c r="CX282" i="15"/>
  <c r="GB282" i="15" s="1"/>
  <c r="GD282" i="15" s="1"/>
  <c r="CX286" i="15"/>
  <c r="GB286" i="15" s="1"/>
  <c r="GD286" i="15" s="1"/>
  <c r="CX290" i="15"/>
  <c r="GB290" i="15" s="1"/>
  <c r="GD290" i="15" s="1"/>
  <c r="CX294" i="15"/>
  <c r="GB294" i="15" s="1"/>
  <c r="GD294" i="15" s="1"/>
  <c r="CX298" i="15"/>
  <c r="GB298" i="15" s="1"/>
  <c r="GD298" i="15" s="1"/>
  <c r="CX303" i="15"/>
  <c r="GB303" i="15" s="1"/>
  <c r="GD303" i="15" s="1"/>
  <c r="CX307" i="15"/>
  <c r="GB307" i="15" s="1"/>
  <c r="GD307" i="15" s="1"/>
  <c r="CX311" i="15"/>
  <c r="GB311" i="15" s="1"/>
  <c r="GD311" i="15" s="1"/>
  <c r="CX315" i="15"/>
  <c r="GB315" i="15" s="1"/>
  <c r="GD315" i="15" s="1"/>
  <c r="CX319" i="15"/>
  <c r="GB319" i="15" s="1"/>
  <c r="GD319" i="15" s="1"/>
  <c r="CX323" i="15"/>
  <c r="GB323" i="15" s="1"/>
  <c r="GD323" i="15" s="1"/>
  <c r="CX328" i="15"/>
  <c r="GB328" i="15" s="1"/>
  <c r="GD328" i="15" s="1"/>
  <c r="CX332" i="15"/>
  <c r="GB332" i="15" s="1"/>
  <c r="GD332" i="15" s="1"/>
  <c r="CX336" i="15"/>
  <c r="GB336" i="15" s="1"/>
  <c r="GD336" i="15" s="1"/>
  <c r="CX340" i="15"/>
  <c r="GB340" i="15" s="1"/>
  <c r="GD340" i="15" s="1"/>
  <c r="CX344" i="15"/>
  <c r="GB344" i="15" s="1"/>
  <c r="GD344" i="15" s="1"/>
  <c r="CX348" i="15"/>
  <c r="GB348" i="15" s="1"/>
  <c r="GD348" i="15" s="1"/>
  <c r="CX352" i="15"/>
  <c r="GB352" i="15" s="1"/>
  <c r="GD352" i="15" s="1"/>
  <c r="CX356" i="15"/>
  <c r="GB356" i="15" s="1"/>
  <c r="GD356" i="15" s="1"/>
  <c r="CX360" i="15"/>
  <c r="GB360" i="15" s="1"/>
  <c r="GD360" i="15" s="1"/>
  <c r="CX364" i="15"/>
  <c r="GB364" i="15" s="1"/>
  <c r="GD364" i="15" s="1"/>
  <c r="CX368" i="15"/>
  <c r="GB368" i="15" s="1"/>
  <c r="GD368" i="15" s="1"/>
  <c r="CX373" i="15"/>
  <c r="GB373" i="15" s="1"/>
  <c r="GD373" i="15" s="1"/>
  <c r="CX377" i="15"/>
  <c r="GB377" i="15" s="1"/>
  <c r="GD377" i="15" s="1"/>
  <c r="CX381" i="15"/>
  <c r="GB381" i="15" s="1"/>
  <c r="GD381" i="15" s="1"/>
  <c r="CX385" i="15"/>
  <c r="GB385" i="15" s="1"/>
  <c r="GD385" i="15" s="1"/>
  <c r="CX389" i="15"/>
  <c r="GB389" i="15" s="1"/>
  <c r="GD389" i="15" s="1"/>
  <c r="CX393" i="15"/>
  <c r="GB393" i="15" s="1"/>
  <c r="GD393" i="15" s="1"/>
  <c r="CX397" i="15"/>
  <c r="GB397" i="15" s="1"/>
  <c r="GD397" i="15" s="1"/>
  <c r="CX401" i="15"/>
  <c r="GB401" i="15" s="1"/>
  <c r="GD401" i="15" s="1"/>
  <c r="CX405" i="15"/>
  <c r="GB405" i="15" s="1"/>
  <c r="GD405" i="15" s="1"/>
  <c r="CX410" i="15"/>
  <c r="GB410" i="15" s="1"/>
  <c r="GD410" i="15" s="1"/>
  <c r="CX414" i="15"/>
  <c r="GB414" i="15" s="1"/>
  <c r="GD414" i="15" s="1"/>
  <c r="CX418" i="15"/>
  <c r="GB418" i="15" s="1"/>
  <c r="GD418" i="15" s="1"/>
  <c r="CX422" i="15"/>
  <c r="GB422" i="15" s="1"/>
  <c r="GD422" i="15" s="1"/>
  <c r="CX426" i="15"/>
  <c r="GB426" i="15" s="1"/>
  <c r="GD426" i="15" s="1"/>
  <c r="CX431" i="15"/>
  <c r="GB431" i="15" s="1"/>
  <c r="GD431" i="15" s="1"/>
  <c r="CX435" i="15"/>
  <c r="GB435" i="15" s="1"/>
  <c r="GD435" i="15" s="1"/>
  <c r="CX439" i="15"/>
  <c r="GB439" i="15" s="1"/>
  <c r="GD439" i="15" s="1"/>
  <c r="CX443" i="15"/>
  <c r="GB443" i="15" s="1"/>
  <c r="GD443" i="15" s="1"/>
  <c r="CX447" i="15"/>
  <c r="GB447" i="15" s="1"/>
  <c r="GD447" i="15" s="1"/>
  <c r="CX451" i="15"/>
  <c r="GB451" i="15" s="1"/>
  <c r="GD451" i="15" s="1"/>
  <c r="CX472" i="15"/>
  <c r="GB472" i="15" s="1"/>
  <c r="GD472" i="15" s="1"/>
  <c r="CX476" i="15"/>
  <c r="GB476" i="15" s="1"/>
  <c r="GD476" i="15" s="1"/>
  <c r="CX480" i="15"/>
  <c r="GB480" i="15" s="1"/>
  <c r="GD480" i="15" s="1"/>
  <c r="CX484" i="15"/>
  <c r="GB484" i="15" s="1"/>
  <c r="GD484" i="15" s="1"/>
  <c r="CX488" i="15"/>
  <c r="GB488" i="15" s="1"/>
  <c r="GD488" i="15" s="1"/>
  <c r="CX493" i="15"/>
  <c r="GB493" i="15" s="1"/>
  <c r="GD493" i="15" s="1"/>
  <c r="CX497" i="15"/>
  <c r="GB497" i="15" s="1"/>
  <c r="GD497" i="15" s="1"/>
  <c r="CX501" i="15"/>
  <c r="GB501" i="15" s="1"/>
  <c r="GD501" i="15" s="1"/>
  <c r="CX505" i="15"/>
  <c r="GB505" i="15" s="1"/>
  <c r="GD505" i="15" s="1"/>
  <c r="CX509" i="15"/>
  <c r="GB509" i="15" s="1"/>
  <c r="GD509" i="15" s="1"/>
  <c r="CX514" i="15"/>
  <c r="GB514" i="15" s="1"/>
  <c r="GD514" i="15" s="1"/>
  <c r="CX12" i="15"/>
  <c r="GB12" i="15" s="1"/>
  <c r="GD12" i="15" s="1"/>
  <c r="CX16" i="15"/>
  <c r="GB16" i="15" s="1"/>
  <c r="GD16" i="15" s="1"/>
  <c r="CX20" i="15"/>
  <c r="GB20" i="15" s="1"/>
  <c r="GD20" i="15" s="1"/>
  <c r="CX24" i="15"/>
  <c r="GB24" i="15" s="1"/>
  <c r="GD24" i="15" s="1"/>
  <c r="CX28" i="15"/>
  <c r="GB28" i="15" s="1"/>
  <c r="GD28" i="15" s="1"/>
  <c r="CX32" i="15"/>
  <c r="GB32" i="15" s="1"/>
  <c r="GD32" i="15" s="1"/>
  <c r="CX37" i="15"/>
  <c r="GB37" i="15" s="1"/>
  <c r="GD37" i="15" s="1"/>
  <c r="CX42" i="15"/>
  <c r="GB42" i="15" s="1"/>
  <c r="GD42" i="15" s="1"/>
  <c r="CX46" i="15"/>
  <c r="GB46" i="15" s="1"/>
  <c r="GD46" i="15" s="1"/>
  <c r="CX50" i="15"/>
  <c r="GB50" i="15" s="1"/>
  <c r="GD50" i="15" s="1"/>
  <c r="CX54" i="15"/>
  <c r="GB54" i="15" s="1"/>
  <c r="GD54" i="15" s="1"/>
  <c r="CX58" i="15"/>
  <c r="GB58" i="15" s="1"/>
  <c r="GD58" i="15" s="1"/>
  <c r="CX62" i="15"/>
  <c r="GB62" i="15" s="1"/>
  <c r="GD62" i="15" s="1"/>
  <c r="CX67" i="15"/>
  <c r="GB67" i="15" s="1"/>
  <c r="GD67" i="15" s="1"/>
  <c r="CX71" i="15"/>
  <c r="GB71" i="15" s="1"/>
  <c r="GD71" i="15" s="1"/>
  <c r="CX75" i="15"/>
  <c r="GB75" i="15" s="1"/>
  <c r="GD75" i="15" s="1"/>
  <c r="CX79" i="15"/>
  <c r="GB79" i="15" s="1"/>
  <c r="GD79" i="15" s="1"/>
  <c r="CX84" i="15"/>
  <c r="GB84" i="15" s="1"/>
  <c r="GD84" i="15" s="1"/>
  <c r="CX88" i="15"/>
  <c r="GB88" i="15" s="1"/>
  <c r="GD88" i="15" s="1"/>
  <c r="CX93" i="15"/>
  <c r="GB93" i="15" s="1"/>
  <c r="GD93" i="15" s="1"/>
  <c r="CX96" i="15"/>
  <c r="GB96" i="15" s="1"/>
  <c r="GD96" i="15" s="1"/>
  <c r="CX101" i="15"/>
  <c r="GB101" i="15" s="1"/>
  <c r="GD101" i="15" s="1"/>
  <c r="CX105" i="15"/>
  <c r="GB105" i="15" s="1"/>
  <c r="GD105" i="15" s="1"/>
  <c r="CX109" i="15"/>
  <c r="GB109" i="15" s="1"/>
  <c r="GD109" i="15" s="1"/>
  <c r="CX113" i="15"/>
  <c r="GB113" i="15" s="1"/>
  <c r="GD113" i="15" s="1"/>
  <c r="CX117" i="15"/>
  <c r="GB117" i="15" s="1"/>
  <c r="GD117" i="15" s="1"/>
  <c r="CX121" i="15"/>
  <c r="GB121" i="15" s="1"/>
  <c r="GD121" i="15" s="1"/>
  <c r="CX126" i="15"/>
  <c r="GB126" i="15" s="1"/>
  <c r="GD126" i="15" s="1"/>
  <c r="CX130" i="15"/>
  <c r="GB130" i="15" s="1"/>
  <c r="GD130" i="15" s="1"/>
  <c r="CX134" i="15"/>
  <c r="GB134" i="15" s="1"/>
  <c r="GD134" i="15" s="1"/>
  <c r="CX138" i="15"/>
  <c r="GB138" i="15" s="1"/>
  <c r="GD138" i="15" s="1"/>
  <c r="CX142" i="15"/>
  <c r="GB142" i="15" s="1"/>
  <c r="GD142" i="15" s="1"/>
  <c r="CX146" i="15"/>
  <c r="GB146" i="15" s="1"/>
  <c r="GD146" i="15" s="1"/>
  <c r="CX150" i="15"/>
  <c r="GB150" i="15" s="1"/>
  <c r="GD150" i="15" s="1"/>
  <c r="CX154" i="15"/>
  <c r="GB154" i="15" s="1"/>
  <c r="GD154" i="15" s="1"/>
  <c r="CX158" i="15"/>
  <c r="GB158" i="15" s="1"/>
  <c r="GD158" i="15" s="1"/>
  <c r="CX162" i="15"/>
  <c r="GB162" i="15" s="1"/>
  <c r="GD162" i="15" s="1"/>
  <c r="CX166" i="15"/>
  <c r="GB166" i="15" s="1"/>
  <c r="GD166" i="15" s="1"/>
  <c r="CX171" i="15"/>
  <c r="GB171" i="15" s="1"/>
  <c r="GD171" i="15" s="1"/>
  <c r="CX175" i="15"/>
  <c r="GB175" i="15" s="1"/>
  <c r="GD175" i="15" s="1"/>
  <c r="CX179" i="15"/>
  <c r="GB179" i="15" s="1"/>
  <c r="GD179" i="15" s="1"/>
  <c r="CX183" i="15"/>
  <c r="GB183" i="15" s="1"/>
  <c r="GD183" i="15" s="1"/>
  <c r="CX187" i="15"/>
  <c r="GB187" i="15" s="1"/>
  <c r="GD187" i="15" s="1"/>
  <c r="CX192" i="15"/>
  <c r="GB192" i="15" s="1"/>
  <c r="GD192" i="15" s="1"/>
  <c r="CX196" i="15"/>
  <c r="GB196" i="15" s="1"/>
  <c r="GD196" i="15" s="1"/>
  <c r="CX200" i="15"/>
  <c r="GB200" i="15" s="1"/>
  <c r="GD200" i="15" s="1"/>
  <c r="CX204" i="15"/>
  <c r="GB204" i="15" s="1"/>
  <c r="GD204" i="15" s="1"/>
  <c r="CX208" i="15"/>
  <c r="GB208" i="15" s="1"/>
  <c r="GD208" i="15" s="1"/>
  <c r="CX212" i="15"/>
  <c r="GB212" i="15" s="1"/>
  <c r="GD212" i="15" s="1"/>
  <c r="CX216" i="15"/>
  <c r="GB216" i="15" s="1"/>
  <c r="GD216" i="15" s="1"/>
  <c r="CX221" i="15"/>
  <c r="GB221" i="15" s="1"/>
  <c r="GD221" i="15" s="1"/>
  <c r="CX225" i="15"/>
  <c r="GB225" i="15" s="1"/>
  <c r="GD225" i="15" s="1"/>
  <c r="CX229" i="15"/>
  <c r="GB229" i="15" s="1"/>
  <c r="GD229" i="15" s="1"/>
  <c r="CX234" i="15"/>
  <c r="GB234" i="15" s="1"/>
  <c r="GD234" i="15" s="1"/>
  <c r="CX238" i="15"/>
  <c r="GB238" i="15" s="1"/>
  <c r="GD238" i="15" s="1"/>
  <c r="CX242" i="15"/>
  <c r="GB242" i="15" s="1"/>
  <c r="GD242" i="15" s="1"/>
  <c r="CX246" i="15"/>
  <c r="GB246" i="15" s="1"/>
  <c r="GD246" i="15" s="1"/>
  <c r="CX251" i="15"/>
  <c r="GB251" i="15" s="1"/>
  <c r="GD251" i="15" s="1"/>
  <c r="CX255" i="15"/>
  <c r="GB255" i="15" s="1"/>
  <c r="GD255" i="15" s="1"/>
  <c r="CX259" i="15"/>
  <c r="GB259" i="15" s="1"/>
  <c r="GD259" i="15" s="1"/>
  <c r="CX263" i="15"/>
  <c r="GB263" i="15" s="1"/>
  <c r="GD263" i="15" s="1"/>
  <c r="CX267" i="15"/>
  <c r="GB267" i="15" s="1"/>
  <c r="GD267" i="15" s="1"/>
  <c r="CX271" i="15"/>
  <c r="GB271" i="15" s="1"/>
  <c r="GD271" i="15" s="1"/>
  <c r="CX274" i="15"/>
  <c r="GB274" i="15" s="1"/>
  <c r="GD274" i="15" s="1"/>
  <c r="CX279" i="15"/>
  <c r="GB279" i="15" s="1"/>
  <c r="GD279" i="15" s="1"/>
  <c r="CX283" i="15"/>
  <c r="GB283" i="15" s="1"/>
  <c r="GD283" i="15" s="1"/>
  <c r="CX287" i="15"/>
  <c r="GB287" i="15" s="1"/>
  <c r="GD287" i="15" s="1"/>
  <c r="CX291" i="15"/>
  <c r="GB291" i="15" s="1"/>
  <c r="GD291" i="15" s="1"/>
  <c r="CX295" i="15"/>
  <c r="GB295" i="15" s="1"/>
  <c r="GD295" i="15" s="1"/>
  <c r="CX300" i="15"/>
  <c r="GB300" i="15" s="1"/>
  <c r="GD300" i="15" s="1"/>
  <c r="CX304" i="15"/>
  <c r="GB304" i="15" s="1"/>
  <c r="GD304" i="15" s="1"/>
  <c r="CX308" i="15"/>
  <c r="GB308" i="15" s="1"/>
  <c r="GD308" i="15" s="1"/>
  <c r="CX312" i="15"/>
  <c r="GB312" i="15" s="1"/>
  <c r="GD312" i="15" s="1"/>
  <c r="CX316" i="15"/>
  <c r="GB316" i="15" s="1"/>
  <c r="GD316" i="15" s="1"/>
  <c r="CX320" i="15"/>
  <c r="GB320" i="15" s="1"/>
  <c r="GD320" i="15" s="1"/>
  <c r="CX325" i="15"/>
  <c r="GB325" i="15" s="1"/>
  <c r="GD325" i="15" s="1"/>
  <c r="CX329" i="15"/>
  <c r="GB329" i="15" s="1"/>
  <c r="GD329" i="15" s="1"/>
  <c r="CX333" i="15"/>
  <c r="GB333" i="15" s="1"/>
  <c r="GD333" i="15" s="1"/>
  <c r="CX337" i="15"/>
  <c r="GB337" i="15" s="1"/>
  <c r="GD337" i="15" s="1"/>
  <c r="CX341" i="15"/>
  <c r="GB341" i="15" s="1"/>
  <c r="GD341" i="15" s="1"/>
  <c r="CX345" i="15"/>
  <c r="GB345" i="15" s="1"/>
  <c r="GD345" i="15" s="1"/>
  <c r="CX349" i="15"/>
  <c r="GB349" i="15" s="1"/>
  <c r="GD349" i="15" s="1"/>
  <c r="CX353" i="15"/>
  <c r="GB353" i="15" s="1"/>
  <c r="GD353" i="15" s="1"/>
  <c r="CX357" i="15"/>
  <c r="GB357" i="15" s="1"/>
  <c r="GD357" i="15" s="1"/>
  <c r="CX361" i="15"/>
  <c r="GB361" i="15" s="1"/>
  <c r="GD361" i="15" s="1"/>
  <c r="CX365" i="15"/>
  <c r="GB365" i="15" s="1"/>
  <c r="GD365" i="15" s="1"/>
  <c r="CX369" i="15"/>
  <c r="GB369" i="15" s="1"/>
  <c r="GD369" i="15" s="1"/>
  <c r="CX374" i="15"/>
  <c r="GB374" i="15" s="1"/>
  <c r="GD374" i="15" s="1"/>
  <c r="CX382" i="15"/>
  <c r="GB382" i="15" s="1"/>
  <c r="GD382" i="15" s="1"/>
  <c r="CX386" i="15"/>
  <c r="GB386" i="15" s="1"/>
  <c r="GD386" i="15" s="1"/>
  <c r="CX390" i="15"/>
  <c r="GB390" i="15" s="1"/>
  <c r="GD390" i="15" s="1"/>
  <c r="CX394" i="15"/>
  <c r="GB394" i="15" s="1"/>
  <c r="GD394" i="15" s="1"/>
  <c r="CX398" i="15"/>
  <c r="GB398" i="15" s="1"/>
  <c r="GD398" i="15" s="1"/>
  <c r="CX402" i="15"/>
  <c r="GB402" i="15" s="1"/>
  <c r="GD402" i="15" s="1"/>
  <c r="CX407" i="15"/>
  <c r="GB407" i="15" s="1"/>
  <c r="GD407" i="15" s="1"/>
  <c r="CX9" i="15"/>
  <c r="GB9" i="15" s="1"/>
  <c r="GD9" i="15" s="1"/>
  <c r="CX13" i="15"/>
  <c r="GB13" i="15" s="1"/>
  <c r="GD13" i="15" s="1"/>
  <c r="CX17" i="15"/>
  <c r="GB17" i="15" s="1"/>
  <c r="GD17" i="15" s="1"/>
  <c r="CX21" i="15"/>
  <c r="GB21" i="15" s="1"/>
  <c r="GD21" i="15" s="1"/>
  <c r="CX25" i="15"/>
  <c r="GB25" i="15" s="1"/>
  <c r="GD25" i="15" s="1"/>
  <c r="CX29" i="15"/>
  <c r="GB29" i="15" s="1"/>
  <c r="GD29" i="15" s="1"/>
  <c r="CX34" i="15"/>
  <c r="GB34" i="15" s="1"/>
  <c r="GD34" i="15" s="1"/>
  <c r="CX38" i="15"/>
  <c r="GB38" i="15" s="1"/>
  <c r="GD38" i="15" s="1"/>
  <c r="CX47" i="15"/>
  <c r="GB47" i="15" s="1"/>
  <c r="GD47" i="15" s="1"/>
  <c r="CX51" i="15"/>
  <c r="GB51" i="15" s="1"/>
  <c r="GD51" i="15" s="1"/>
  <c r="CX55" i="15"/>
  <c r="GB55" i="15" s="1"/>
  <c r="GD55" i="15" s="1"/>
  <c r="CX59" i="15"/>
  <c r="GB59" i="15" s="1"/>
  <c r="GD59" i="15" s="1"/>
  <c r="CX63" i="15"/>
  <c r="GB63" i="15" s="1"/>
  <c r="GD63" i="15" s="1"/>
  <c r="CX68" i="15"/>
  <c r="GB68" i="15" s="1"/>
  <c r="GD68" i="15" s="1"/>
  <c r="CX72" i="15"/>
  <c r="GB72" i="15" s="1"/>
  <c r="GD72" i="15" s="1"/>
  <c r="CX76" i="15"/>
  <c r="GB76" i="15" s="1"/>
  <c r="GD76" i="15" s="1"/>
  <c r="CX80" i="15"/>
  <c r="GB80" i="15" s="1"/>
  <c r="GD80" i="15" s="1"/>
  <c r="CX85" i="15"/>
  <c r="GB85" i="15" s="1"/>
  <c r="GD85" i="15" s="1"/>
  <c r="CX89" i="15"/>
  <c r="GB89" i="15" s="1"/>
  <c r="GD89" i="15" s="1"/>
  <c r="CX92" i="15"/>
  <c r="GB92" i="15" s="1"/>
  <c r="GD92" i="15" s="1"/>
  <c r="CX98" i="15"/>
  <c r="GB98" i="15" s="1"/>
  <c r="GD98" i="15" s="1"/>
  <c r="CX102" i="15"/>
  <c r="GB102" i="15" s="1"/>
  <c r="GD102" i="15" s="1"/>
  <c r="CX106" i="15"/>
  <c r="GB106" i="15" s="1"/>
  <c r="GD106" i="15" s="1"/>
  <c r="CX110" i="15"/>
  <c r="GB110" i="15" s="1"/>
  <c r="GD110" i="15" s="1"/>
  <c r="CX114" i="15"/>
  <c r="GB114" i="15" s="1"/>
  <c r="GD114" i="15" s="1"/>
  <c r="CX118" i="15"/>
  <c r="GB118" i="15" s="1"/>
  <c r="GD118" i="15" s="1"/>
  <c r="CX122" i="15"/>
  <c r="GB122" i="15" s="1"/>
  <c r="GD122" i="15" s="1"/>
  <c r="CX127" i="15"/>
  <c r="GB127" i="15" s="1"/>
  <c r="GD127" i="15" s="1"/>
  <c r="CX131" i="15"/>
  <c r="GB131" i="15" s="1"/>
  <c r="GD131" i="15" s="1"/>
  <c r="CX135" i="15"/>
  <c r="GB135" i="15" s="1"/>
  <c r="GD135" i="15" s="1"/>
  <c r="CX139" i="15"/>
  <c r="GB139" i="15" s="1"/>
  <c r="GD139" i="15" s="1"/>
  <c r="CX147" i="15"/>
  <c r="GB147" i="15" s="1"/>
  <c r="GD147" i="15" s="1"/>
  <c r="CX151" i="15"/>
  <c r="GB151" i="15" s="1"/>
  <c r="GD151" i="15" s="1"/>
  <c r="CX155" i="15"/>
  <c r="GB155" i="15" s="1"/>
  <c r="GD155" i="15" s="1"/>
  <c r="CX159" i="15"/>
  <c r="GB159" i="15" s="1"/>
  <c r="GD159" i="15" s="1"/>
  <c r="CX163" i="15"/>
  <c r="GB163" i="15" s="1"/>
  <c r="GD163" i="15" s="1"/>
  <c r="CX168" i="15"/>
  <c r="GB168" i="15" s="1"/>
  <c r="GD168" i="15" s="1"/>
  <c r="CX172" i="15"/>
  <c r="GB172" i="15" s="1"/>
  <c r="GD172" i="15" s="1"/>
  <c r="CX176" i="15"/>
  <c r="GB176" i="15" s="1"/>
  <c r="GD176" i="15" s="1"/>
  <c r="CX180" i="15"/>
  <c r="GB180" i="15" s="1"/>
  <c r="GD180" i="15" s="1"/>
  <c r="CX184" i="15"/>
  <c r="GB184" i="15" s="1"/>
  <c r="GD184" i="15" s="1"/>
  <c r="CX188" i="15"/>
  <c r="GB188" i="15" s="1"/>
  <c r="GD188" i="15" s="1"/>
  <c r="CX193" i="15"/>
  <c r="GB193" i="15" s="1"/>
  <c r="GD193" i="15" s="1"/>
  <c r="CX197" i="15"/>
  <c r="GB197" i="15" s="1"/>
  <c r="GD197" i="15" s="1"/>
  <c r="CX201" i="15"/>
  <c r="GB201" i="15" s="1"/>
  <c r="GD201" i="15" s="1"/>
  <c r="CX205" i="15"/>
  <c r="GB205" i="15" s="1"/>
  <c r="GD205" i="15" s="1"/>
  <c r="CX209" i="15"/>
  <c r="GB209" i="15" s="1"/>
  <c r="GD209" i="15" s="1"/>
  <c r="CX213" i="15"/>
  <c r="GB213" i="15" s="1"/>
  <c r="GD213" i="15" s="1"/>
  <c r="CX217" i="15"/>
  <c r="GB217" i="15" s="1"/>
  <c r="GD217" i="15" s="1"/>
  <c r="CX222" i="15"/>
  <c r="GB222" i="15" s="1"/>
  <c r="GD222" i="15" s="1"/>
  <c r="CX226" i="15"/>
  <c r="GB226" i="15" s="1"/>
  <c r="GD226" i="15" s="1"/>
  <c r="CX230" i="15"/>
  <c r="GB230" i="15" s="1"/>
  <c r="GD230" i="15" s="1"/>
  <c r="CX235" i="15"/>
  <c r="GB235" i="15" s="1"/>
  <c r="GD235" i="15" s="1"/>
  <c r="CX239" i="15"/>
  <c r="GB239" i="15" s="1"/>
  <c r="GD239" i="15" s="1"/>
  <c r="CX243" i="15"/>
  <c r="GB243" i="15" s="1"/>
  <c r="GD243" i="15" s="1"/>
  <c r="CX247" i="15"/>
  <c r="GB247" i="15" s="1"/>
  <c r="GD247" i="15" s="1"/>
  <c r="CX252" i="15"/>
  <c r="GB252" i="15" s="1"/>
  <c r="GD252" i="15" s="1"/>
  <c r="CX256" i="15"/>
  <c r="GB256" i="15" s="1"/>
  <c r="GD256" i="15" s="1"/>
  <c r="CX260" i="15"/>
  <c r="GB260" i="15" s="1"/>
  <c r="GD260" i="15" s="1"/>
  <c r="CX264" i="15"/>
  <c r="GB264" i="15" s="1"/>
  <c r="GD264" i="15" s="1"/>
  <c r="CX268" i="15"/>
  <c r="GB268" i="15" s="1"/>
  <c r="GD268" i="15" s="1"/>
  <c r="CX272" i="15"/>
  <c r="GB272" i="15" s="1"/>
  <c r="GD272" i="15" s="1"/>
  <c r="CX276" i="15"/>
  <c r="GB276" i="15" s="1"/>
  <c r="GD276" i="15" s="1"/>
  <c r="CX280" i="15"/>
  <c r="GB280" i="15" s="1"/>
  <c r="GD280" i="15" s="1"/>
  <c r="CX284" i="15"/>
  <c r="GB284" i="15" s="1"/>
  <c r="GD284" i="15" s="1"/>
  <c r="CX288" i="15"/>
  <c r="GB288" i="15" s="1"/>
  <c r="GD288" i="15" s="1"/>
  <c r="CX292" i="15"/>
  <c r="GB292" i="15" s="1"/>
  <c r="GD292" i="15" s="1"/>
  <c r="CX296" i="15"/>
  <c r="GB296" i="15" s="1"/>
  <c r="GD296" i="15" s="1"/>
  <c r="CX301" i="15"/>
  <c r="GB301" i="15" s="1"/>
  <c r="GD301" i="15" s="1"/>
  <c r="CX305" i="15"/>
  <c r="GB305" i="15" s="1"/>
  <c r="GD305" i="15" s="1"/>
  <c r="CX309" i="15"/>
  <c r="GB309" i="15" s="1"/>
  <c r="GD309" i="15" s="1"/>
  <c r="CX313" i="15"/>
  <c r="GB313" i="15" s="1"/>
  <c r="GD313" i="15" s="1"/>
  <c r="CX317" i="15"/>
  <c r="GB317" i="15" s="1"/>
  <c r="GD317" i="15" s="1"/>
  <c r="CX321" i="15"/>
  <c r="GB321" i="15" s="1"/>
  <c r="GD321" i="15" s="1"/>
  <c r="CX326" i="15"/>
  <c r="GB326" i="15" s="1"/>
  <c r="GD326" i="15" s="1"/>
  <c r="CX330" i="15"/>
  <c r="GB330" i="15" s="1"/>
  <c r="GD330" i="15" s="1"/>
  <c r="CX334" i="15"/>
  <c r="GB334" i="15" s="1"/>
  <c r="GD334" i="15" s="1"/>
  <c r="CX338" i="15"/>
  <c r="GB338" i="15" s="1"/>
  <c r="GD338" i="15" s="1"/>
  <c r="CX342" i="15"/>
  <c r="GB342" i="15" s="1"/>
  <c r="GD342" i="15" s="1"/>
  <c r="CX346" i="15"/>
  <c r="GB346" i="15" s="1"/>
  <c r="GD346" i="15" s="1"/>
  <c r="CX350" i="15"/>
  <c r="GB350" i="15" s="1"/>
  <c r="GD350" i="15" s="1"/>
  <c r="CX354" i="15"/>
  <c r="GB354" i="15" s="1"/>
  <c r="GD354" i="15" s="1"/>
  <c r="CX358" i="15"/>
  <c r="GB358" i="15" s="1"/>
  <c r="GD358" i="15" s="1"/>
  <c r="CX362" i="15"/>
  <c r="GB362" i="15" s="1"/>
  <c r="GD362" i="15" s="1"/>
  <c r="CX366" i="15"/>
  <c r="GB366" i="15" s="1"/>
  <c r="GD366" i="15" s="1"/>
  <c r="CX371" i="15"/>
  <c r="GB371" i="15" s="1"/>
  <c r="GD371" i="15" s="1"/>
  <c r="CX375" i="15"/>
  <c r="GB375" i="15" s="1"/>
  <c r="GD375" i="15" s="1"/>
  <c r="CX378" i="15"/>
  <c r="GB378" i="15" s="1"/>
  <c r="GD378" i="15" s="1"/>
  <c r="CX383" i="15"/>
  <c r="GB383" i="15" s="1"/>
  <c r="GD383" i="15" s="1"/>
  <c r="CX387" i="15"/>
  <c r="GB387" i="15" s="1"/>
  <c r="GD387" i="15" s="1"/>
  <c r="CX391" i="15"/>
  <c r="GB391" i="15" s="1"/>
  <c r="GD391" i="15" s="1"/>
  <c r="CX395" i="15"/>
  <c r="GB395" i="15" s="1"/>
  <c r="GD395" i="15" s="1"/>
  <c r="CX399" i="15"/>
  <c r="GB399" i="15" s="1"/>
  <c r="GD399" i="15" s="1"/>
  <c r="CX403" i="15"/>
  <c r="GB403" i="15" s="1"/>
  <c r="GD403" i="15" s="1"/>
  <c r="CX408" i="15"/>
  <c r="GB408" i="15" s="1"/>
  <c r="GD408" i="15" s="1"/>
  <c r="CX10" i="15"/>
  <c r="GB10" i="15" s="1"/>
  <c r="GD10" i="15" s="1"/>
  <c r="CX14" i="15"/>
  <c r="GB14" i="15" s="1"/>
  <c r="GD14" i="15" s="1"/>
  <c r="CX18" i="15"/>
  <c r="GB18" i="15" s="1"/>
  <c r="GD18" i="15" s="1"/>
  <c r="CX22" i="15"/>
  <c r="GB22" i="15" s="1"/>
  <c r="GD22" i="15" s="1"/>
  <c r="CX26" i="15"/>
  <c r="GB26" i="15" s="1"/>
  <c r="GD26" i="15" s="1"/>
  <c r="CX30" i="15"/>
  <c r="GB30" i="15" s="1"/>
  <c r="GD30" i="15" s="1"/>
  <c r="CX39" i="15"/>
  <c r="GB39" i="15" s="1"/>
  <c r="GD39" i="15" s="1"/>
  <c r="CX44" i="15"/>
  <c r="GB44" i="15" s="1"/>
  <c r="GD44" i="15" s="1"/>
  <c r="CX48" i="15"/>
  <c r="GB48" i="15" s="1"/>
  <c r="GD48" i="15" s="1"/>
  <c r="CX52" i="15"/>
  <c r="GB52" i="15" s="1"/>
  <c r="GD52" i="15" s="1"/>
  <c r="CX56" i="15"/>
  <c r="GB56" i="15" s="1"/>
  <c r="GD56" i="15" s="1"/>
  <c r="CX60" i="15"/>
  <c r="GB60" i="15" s="1"/>
  <c r="GD60" i="15" s="1"/>
  <c r="CX65" i="15"/>
  <c r="GB65" i="15" s="1"/>
  <c r="GD65" i="15" s="1"/>
  <c r="CX69" i="15"/>
  <c r="GB69" i="15" s="1"/>
  <c r="GD69" i="15" s="1"/>
  <c r="CX73" i="15"/>
  <c r="GB73" i="15" s="1"/>
  <c r="GD73" i="15" s="1"/>
  <c r="CX77" i="15"/>
  <c r="GB77" i="15" s="1"/>
  <c r="GD77" i="15" s="1"/>
  <c r="CX81" i="15"/>
  <c r="GB81" i="15" s="1"/>
  <c r="GD81" i="15" s="1"/>
  <c r="CX86" i="15"/>
  <c r="GB86" i="15" s="1"/>
  <c r="GD86" i="15" s="1"/>
  <c r="CX90" i="15"/>
  <c r="GB90" i="15" s="1"/>
  <c r="GD90" i="15" s="1"/>
  <c r="CX94" i="15"/>
  <c r="GB94" i="15" s="1"/>
  <c r="GD94" i="15" s="1"/>
  <c r="CX99" i="15"/>
  <c r="GB99" i="15" s="1"/>
  <c r="GD99" i="15" s="1"/>
  <c r="CX103" i="15"/>
  <c r="GB103" i="15" s="1"/>
  <c r="GD103" i="15" s="1"/>
  <c r="CX107" i="15"/>
  <c r="GB107" i="15" s="1"/>
  <c r="GD107" i="15" s="1"/>
  <c r="CX111" i="15"/>
  <c r="GB111" i="15" s="1"/>
  <c r="GD111" i="15" s="1"/>
  <c r="CX115" i="15"/>
  <c r="GB115" i="15" s="1"/>
  <c r="GD115" i="15" s="1"/>
  <c r="CX119" i="15"/>
  <c r="GB119" i="15" s="1"/>
  <c r="GD119" i="15" s="1"/>
  <c r="CX123" i="15"/>
  <c r="GB123" i="15" s="1"/>
  <c r="GD123" i="15" s="1"/>
  <c r="CX128" i="15"/>
  <c r="GB128" i="15" s="1"/>
  <c r="GD128" i="15" s="1"/>
  <c r="CX132" i="15"/>
  <c r="GB132" i="15" s="1"/>
  <c r="GD132" i="15" s="1"/>
  <c r="CX136" i="15"/>
  <c r="GB136" i="15" s="1"/>
  <c r="GD136" i="15" s="1"/>
  <c r="CX140" i="15"/>
  <c r="GB140" i="15" s="1"/>
  <c r="GD140" i="15" s="1"/>
  <c r="CX144" i="15"/>
  <c r="GB144" i="15" s="1"/>
  <c r="GD144" i="15" s="1"/>
  <c r="CX148" i="15"/>
  <c r="GB148" i="15" s="1"/>
  <c r="GD148" i="15" s="1"/>
  <c r="CX152" i="15"/>
  <c r="GB152" i="15" s="1"/>
  <c r="GD152" i="15" s="1"/>
  <c r="CX156" i="15"/>
  <c r="GB156" i="15" s="1"/>
  <c r="GD156" i="15" s="1"/>
  <c r="CX160" i="15"/>
  <c r="GB160" i="15" s="1"/>
  <c r="GD160" i="15" s="1"/>
  <c r="CX164" i="15"/>
  <c r="GB164" i="15" s="1"/>
  <c r="GD164" i="15" s="1"/>
  <c r="CX169" i="15"/>
  <c r="GB169" i="15" s="1"/>
  <c r="GD169" i="15" s="1"/>
  <c r="CX173" i="15"/>
  <c r="GB173" i="15" s="1"/>
  <c r="GD173" i="15" s="1"/>
  <c r="CX177" i="15"/>
  <c r="GB177" i="15" s="1"/>
  <c r="GD177" i="15" s="1"/>
  <c r="CX181" i="15"/>
  <c r="GB181" i="15" s="1"/>
  <c r="GD181" i="15" s="1"/>
  <c r="CX185" i="15"/>
  <c r="GB185" i="15" s="1"/>
  <c r="GD185" i="15" s="1"/>
  <c r="CX190" i="15"/>
  <c r="GB190" i="15" s="1"/>
  <c r="GD190" i="15" s="1"/>
  <c r="CX194" i="15"/>
  <c r="GB194" i="15" s="1"/>
  <c r="GD194" i="15" s="1"/>
  <c r="CX198" i="15"/>
  <c r="GB198" i="15" s="1"/>
  <c r="GD198" i="15" s="1"/>
  <c r="CX202" i="15"/>
  <c r="GB202" i="15" s="1"/>
  <c r="GD202" i="15" s="1"/>
  <c r="CX206" i="15"/>
  <c r="GB206" i="15" s="1"/>
  <c r="GD206" i="15" s="1"/>
  <c r="CX210" i="15"/>
  <c r="GB210" i="15" s="1"/>
  <c r="GD210" i="15" s="1"/>
  <c r="CX214" i="15"/>
  <c r="GB214" i="15" s="1"/>
  <c r="GD214" i="15" s="1"/>
  <c r="CX219" i="15"/>
  <c r="GB219" i="15" s="1"/>
  <c r="GD219" i="15" s="1"/>
  <c r="CX223" i="15"/>
  <c r="GB223" i="15" s="1"/>
  <c r="GD223" i="15" s="1"/>
  <c r="CX227" i="15"/>
  <c r="GB227" i="15" s="1"/>
  <c r="GD227" i="15" s="1"/>
  <c r="CX232" i="15"/>
  <c r="GB232" i="15" s="1"/>
  <c r="GD232" i="15" s="1"/>
  <c r="CX236" i="15"/>
  <c r="GB236" i="15" s="1"/>
  <c r="GD236" i="15" s="1"/>
  <c r="CX240" i="15"/>
  <c r="GB240" i="15" s="1"/>
  <c r="GD240" i="15" s="1"/>
  <c r="CX244" i="15"/>
  <c r="GB244" i="15" s="1"/>
  <c r="GD244" i="15" s="1"/>
  <c r="CX248" i="15"/>
  <c r="GB248" i="15" s="1"/>
  <c r="GD248" i="15" s="1"/>
  <c r="CX253" i="15"/>
  <c r="GB253" i="15" s="1"/>
  <c r="GD253" i="15" s="1"/>
  <c r="CX257" i="15"/>
  <c r="GB257" i="15" s="1"/>
  <c r="GD257" i="15" s="1"/>
  <c r="CX261" i="15"/>
  <c r="GB261" i="15" s="1"/>
  <c r="GD261" i="15" s="1"/>
  <c r="CX265" i="15"/>
  <c r="GB265" i="15" s="1"/>
  <c r="GD265" i="15" s="1"/>
  <c r="CX273" i="15"/>
  <c r="GB273" i="15" s="1"/>
  <c r="GD273" i="15" s="1"/>
  <c r="CX277" i="15"/>
  <c r="GB277" i="15" s="1"/>
  <c r="GD277" i="15" s="1"/>
  <c r="CX281" i="15"/>
  <c r="GB281" i="15" s="1"/>
  <c r="GD281" i="15" s="1"/>
  <c r="CX285" i="15"/>
  <c r="GB285" i="15" s="1"/>
  <c r="GD285" i="15" s="1"/>
  <c r="CX289" i="15"/>
  <c r="GB289" i="15" s="1"/>
  <c r="GD289" i="15" s="1"/>
  <c r="CX293" i="15"/>
  <c r="GB293" i="15" s="1"/>
  <c r="GD293" i="15" s="1"/>
  <c r="CX297" i="15"/>
  <c r="GB297" i="15" s="1"/>
  <c r="GD297" i="15" s="1"/>
  <c r="CX302" i="15"/>
  <c r="GB302" i="15" s="1"/>
  <c r="GD302" i="15" s="1"/>
  <c r="CX306" i="15"/>
  <c r="GB306" i="15" s="1"/>
  <c r="GD306" i="15" s="1"/>
  <c r="CX310" i="15"/>
  <c r="GB310" i="15" s="1"/>
  <c r="GD310" i="15" s="1"/>
  <c r="CX314" i="15"/>
  <c r="GB314" i="15" s="1"/>
  <c r="GD314" i="15" s="1"/>
  <c r="CX318" i="15"/>
  <c r="GB318" i="15" s="1"/>
  <c r="GD318" i="15" s="1"/>
  <c r="CX322" i="15"/>
  <c r="GB322" i="15" s="1"/>
  <c r="GD322" i="15" s="1"/>
  <c r="CX327" i="15"/>
  <c r="GB327" i="15" s="1"/>
  <c r="GD327" i="15" s="1"/>
  <c r="CX331" i="15"/>
  <c r="GB331" i="15" s="1"/>
  <c r="GD331" i="15" s="1"/>
  <c r="CX335" i="15"/>
  <c r="GB335" i="15" s="1"/>
  <c r="GD335" i="15" s="1"/>
  <c r="CX339" i="15"/>
  <c r="GB339" i="15" s="1"/>
  <c r="GD339" i="15" s="1"/>
  <c r="CX343" i="15"/>
  <c r="GB343" i="15" s="1"/>
  <c r="GD343" i="15" s="1"/>
  <c r="CX347" i="15"/>
  <c r="GB347" i="15" s="1"/>
  <c r="GD347" i="15" s="1"/>
  <c r="CX351" i="15"/>
  <c r="GB351" i="15" s="1"/>
  <c r="GD351" i="15" s="1"/>
  <c r="CX355" i="15"/>
  <c r="GB355" i="15" s="1"/>
  <c r="GD355" i="15" s="1"/>
  <c r="CX359" i="15"/>
  <c r="GB359" i="15" s="1"/>
  <c r="GD359" i="15" s="1"/>
  <c r="CX363" i="15"/>
  <c r="GB363" i="15" s="1"/>
  <c r="GD363" i="15" s="1"/>
  <c r="CX367" i="15"/>
  <c r="GB367" i="15" s="1"/>
  <c r="GD367" i="15" s="1"/>
  <c r="CX372" i="15"/>
  <c r="GB372" i="15" s="1"/>
  <c r="GD372" i="15" s="1"/>
  <c r="CX376" i="15"/>
  <c r="GB376" i="15" s="1"/>
  <c r="GD376" i="15" s="1"/>
  <c r="CX379" i="15"/>
  <c r="GB379" i="15" s="1"/>
  <c r="GD379" i="15" s="1"/>
  <c r="CX384" i="15"/>
  <c r="GB384" i="15" s="1"/>
  <c r="GD384" i="15" s="1"/>
  <c r="CX388" i="15"/>
  <c r="GB388" i="15" s="1"/>
  <c r="GD388" i="15" s="1"/>
  <c r="CX392" i="15"/>
  <c r="GB392" i="15" s="1"/>
  <c r="GD392" i="15" s="1"/>
  <c r="CX396" i="15"/>
  <c r="GB396" i="15" s="1"/>
  <c r="GD396" i="15" s="1"/>
  <c r="CX400" i="15"/>
  <c r="GB400" i="15" s="1"/>
  <c r="GD400" i="15" s="1"/>
  <c r="CX404" i="15"/>
  <c r="GB404" i="15" s="1"/>
  <c r="GD404" i="15" s="1"/>
  <c r="CX409" i="15"/>
  <c r="GB409" i="15" s="1"/>
  <c r="GD409" i="15" s="1"/>
  <c r="CX413" i="15"/>
  <c r="GB413" i="15" s="1"/>
  <c r="GD413" i="15" s="1"/>
  <c r="CX417" i="15"/>
  <c r="GB417" i="15" s="1"/>
  <c r="GD417" i="15" s="1"/>
  <c r="CX421" i="15"/>
  <c r="GB421" i="15" s="1"/>
  <c r="GD421" i="15" s="1"/>
  <c r="CX425" i="15"/>
  <c r="GB425" i="15" s="1"/>
  <c r="GD425" i="15" s="1"/>
  <c r="CX430" i="15"/>
  <c r="GB430" i="15" s="1"/>
  <c r="GD430" i="15" s="1"/>
  <c r="CX434" i="15"/>
  <c r="GB434" i="15" s="1"/>
  <c r="GD434" i="15" s="1"/>
  <c r="CX438" i="15"/>
  <c r="GB438" i="15" s="1"/>
  <c r="GD438" i="15" s="1"/>
  <c r="CX442" i="15"/>
  <c r="GB442" i="15" s="1"/>
  <c r="GD442" i="15" s="1"/>
  <c r="CX446" i="15"/>
  <c r="GB446" i="15" s="1"/>
  <c r="GD446" i="15" s="1"/>
  <c r="CX450" i="15"/>
  <c r="GB450" i="15" s="1"/>
  <c r="GD450" i="15" s="1"/>
  <c r="CX455" i="15"/>
  <c r="GB455" i="15" s="1"/>
  <c r="GD455" i="15" s="1"/>
  <c r="CX471" i="15"/>
  <c r="GB471" i="15" s="1"/>
  <c r="GD471" i="15" s="1"/>
  <c r="CX475" i="15"/>
  <c r="GB475" i="15" s="1"/>
  <c r="GD475" i="15" s="1"/>
  <c r="CX479" i="15"/>
  <c r="GB479" i="15" s="1"/>
  <c r="GD479" i="15" s="1"/>
  <c r="CX483" i="15"/>
  <c r="GB483" i="15" s="1"/>
  <c r="GD483" i="15" s="1"/>
  <c r="CX487" i="15"/>
  <c r="GB487" i="15" s="1"/>
  <c r="GD487" i="15" s="1"/>
  <c r="CX492" i="15"/>
  <c r="GB492" i="15" s="1"/>
  <c r="GD492" i="15" s="1"/>
  <c r="CX496" i="15"/>
  <c r="GB496" i="15" s="1"/>
  <c r="GD496" i="15" s="1"/>
  <c r="CX500" i="15"/>
  <c r="GB500" i="15" s="1"/>
  <c r="GD500" i="15" s="1"/>
  <c r="CX504" i="15"/>
  <c r="GB504" i="15" s="1"/>
  <c r="GD504" i="15" s="1"/>
  <c r="CX508" i="15"/>
  <c r="GB508" i="15" s="1"/>
  <c r="GD508" i="15" s="1"/>
  <c r="CX512" i="15"/>
  <c r="GB512" i="15" s="1"/>
  <c r="GD512" i="15" s="1"/>
  <c r="CX411" i="15"/>
  <c r="GB411" i="15" s="1"/>
  <c r="GD411" i="15" s="1"/>
  <c r="CX419" i="15"/>
  <c r="GB419" i="15" s="1"/>
  <c r="GD419" i="15" s="1"/>
  <c r="CX427" i="15"/>
  <c r="GB427" i="15" s="1"/>
  <c r="GD427" i="15" s="1"/>
  <c r="CX436" i="15"/>
  <c r="GB436" i="15" s="1"/>
  <c r="GD436" i="15" s="1"/>
  <c r="CX444" i="15"/>
  <c r="GB444" i="15" s="1"/>
  <c r="GD444" i="15" s="1"/>
  <c r="CX452" i="15"/>
  <c r="GB452" i="15" s="1"/>
  <c r="GD452" i="15" s="1"/>
  <c r="CX477" i="15"/>
  <c r="GB477" i="15" s="1"/>
  <c r="GD477" i="15" s="1"/>
  <c r="CX485" i="15"/>
  <c r="GB485" i="15" s="1"/>
  <c r="GD485" i="15" s="1"/>
  <c r="CX494" i="15"/>
  <c r="GB494" i="15" s="1"/>
  <c r="GD494" i="15" s="1"/>
  <c r="CX502" i="15"/>
  <c r="GB502" i="15" s="1"/>
  <c r="GD502" i="15" s="1"/>
  <c r="CX510" i="15"/>
  <c r="GB510" i="15" s="1"/>
  <c r="GD510" i="15" s="1"/>
  <c r="CX517" i="15"/>
  <c r="GB517" i="15" s="1"/>
  <c r="GD517" i="15" s="1"/>
  <c r="CX521" i="15"/>
  <c r="GB521" i="15" s="1"/>
  <c r="GD521" i="15" s="1"/>
  <c r="CX525" i="15"/>
  <c r="GB525" i="15" s="1"/>
  <c r="GD525" i="15" s="1"/>
  <c r="CX530" i="15"/>
  <c r="GB530" i="15" s="1"/>
  <c r="GD530" i="15" s="1"/>
  <c r="CX534" i="15"/>
  <c r="GB534" i="15" s="1"/>
  <c r="GD534" i="15" s="1"/>
  <c r="CX538" i="15"/>
  <c r="GB538" i="15" s="1"/>
  <c r="GD538" i="15" s="1"/>
  <c r="CX542" i="15"/>
  <c r="GB542" i="15" s="1"/>
  <c r="GD542" i="15" s="1"/>
  <c r="CX546" i="15"/>
  <c r="GB546" i="15" s="1"/>
  <c r="GD546" i="15" s="1"/>
  <c r="CX551" i="15"/>
  <c r="GB551" i="15" s="1"/>
  <c r="GD551" i="15" s="1"/>
  <c r="CX555" i="15"/>
  <c r="GB555" i="15" s="1"/>
  <c r="GD555" i="15" s="1"/>
  <c r="CX559" i="15"/>
  <c r="GB559" i="15" s="1"/>
  <c r="GD559" i="15" s="1"/>
  <c r="CX563" i="15"/>
  <c r="GB563" i="15" s="1"/>
  <c r="GD563" i="15" s="1"/>
  <c r="CX567" i="15"/>
  <c r="GB567" i="15" s="1"/>
  <c r="GD567" i="15" s="1"/>
  <c r="CX571" i="15"/>
  <c r="GB571" i="15" s="1"/>
  <c r="GD571" i="15" s="1"/>
  <c r="CX575" i="15"/>
  <c r="GB575" i="15" s="1"/>
  <c r="GD575" i="15" s="1"/>
  <c r="CX579" i="15"/>
  <c r="GB579" i="15" s="1"/>
  <c r="GD579" i="15" s="1"/>
  <c r="CX583" i="15"/>
  <c r="GB583" i="15" s="1"/>
  <c r="GD583" i="15" s="1"/>
  <c r="CX587" i="15"/>
  <c r="GB587" i="15" s="1"/>
  <c r="GD587" i="15" s="1"/>
  <c r="CX591" i="15"/>
  <c r="GB591" i="15" s="1"/>
  <c r="GD591" i="15" s="1"/>
  <c r="CX595" i="15"/>
  <c r="GB595" i="15" s="1"/>
  <c r="GD595" i="15" s="1"/>
  <c r="CX599" i="15"/>
  <c r="GB599" i="15" s="1"/>
  <c r="GD599" i="15" s="1"/>
  <c r="CX603" i="15"/>
  <c r="GB603" i="15" s="1"/>
  <c r="GD603" i="15" s="1"/>
  <c r="CX607" i="15"/>
  <c r="GB607" i="15" s="1"/>
  <c r="GD607" i="15" s="1"/>
  <c r="CX612" i="15"/>
  <c r="GB612" i="15" s="1"/>
  <c r="GD612" i="15" s="1"/>
  <c r="CX616" i="15"/>
  <c r="GB616" i="15" s="1"/>
  <c r="GD616" i="15" s="1"/>
  <c r="CX621" i="15"/>
  <c r="GB621" i="15" s="1"/>
  <c r="GD621" i="15" s="1"/>
  <c r="CX625" i="15"/>
  <c r="GB625" i="15" s="1"/>
  <c r="GD625" i="15" s="1"/>
  <c r="CX630" i="15"/>
  <c r="GB630" i="15" s="1"/>
  <c r="GD630" i="15" s="1"/>
  <c r="CX633" i="15"/>
  <c r="GB633" i="15" s="1"/>
  <c r="GD633" i="15" s="1"/>
  <c r="CX637" i="15"/>
  <c r="GB637" i="15" s="1"/>
  <c r="GD637" i="15" s="1"/>
  <c r="CX642" i="15"/>
  <c r="GB642" i="15" s="1"/>
  <c r="GD642" i="15" s="1"/>
  <c r="CX646" i="15"/>
  <c r="GB646" i="15" s="1"/>
  <c r="GD646" i="15" s="1"/>
  <c r="CX650" i="15"/>
  <c r="GB650" i="15" s="1"/>
  <c r="GD650" i="15" s="1"/>
  <c r="CX654" i="15"/>
  <c r="GB654" i="15" s="1"/>
  <c r="GD654" i="15" s="1"/>
  <c r="CX658" i="15"/>
  <c r="GB658" i="15" s="1"/>
  <c r="GD658" i="15" s="1"/>
  <c r="CX662" i="15"/>
  <c r="GB662" i="15" s="1"/>
  <c r="GD662" i="15" s="1"/>
  <c r="CX666" i="15"/>
  <c r="GB666" i="15" s="1"/>
  <c r="GD666" i="15" s="1"/>
  <c r="CX671" i="15"/>
  <c r="GB671" i="15" s="1"/>
  <c r="GD671" i="15" s="1"/>
  <c r="CX675" i="15"/>
  <c r="GB675" i="15" s="1"/>
  <c r="GD675" i="15" s="1"/>
  <c r="CX679" i="15"/>
  <c r="GB679" i="15" s="1"/>
  <c r="GD679" i="15" s="1"/>
  <c r="CX683" i="15"/>
  <c r="GB683" i="15" s="1"/>
  <c r="GD683" i="15" s="1"/>
  <c r="CX688" i="15"/>
  <c r="GB688" i="15" s="1"/>
  <c r="GD688" i="15" s="1"/>
  <c r="CX716" i="15"/>
  <c r="GB716" i="15" s="1"/>
  <c r="GD716" i="15" s="1"/>
  <c r="CX720" i="15"/>
  <c r="GB720" i="15" s="1"/>
  <c r="GD720" i="15" s="1"/>
  <c r="CX724" i="15"/>
  <c r="GB724" i="15" s="1"/>
  <c r="GD724" i="15" s="1"/>
  <c r="CX728" i="15"/>
  <c r="GB728" i="15" s="1"/>
  <c r="GD728" i="15" s="1"/>
  <c r="CX733" i="15"/>
  <c r="GB733" i="15" s="1"/>
  <c r="GD733" i="15" s="1"/>
  <c r="CX737" i="15"/>
  <c r="GB737" i="15" s="1"/>
  <c r="GD737" i="15" s="1"/>
  <c r="CX741" i="15"/>
  <c r="GB741" i="15" s="1"/>
  <c r="GD741" i="15" s="1"/>
  <c r="CX745" i="15"/>
  <c r="GB745" i="15" s="1"/>
  <c r="GD745" i="15" s="1"/>
  <c r="CX749" i="15"/>
  <c r="GB749" i="15" s="1"/>
  <c r="GD749" i="15" s="1"/>
  <c r="CX754" i="15"/>
  <c r="GB754" i="15" s="1"/>
  <c r="GD754" i="15" s="1"/>
  <c r="CX773" i="15"/>
  <c r="GB773" i="15" s="1"/>
  <c r="GD773" i="15" s="1"/>
  <c r="CX760" i="15"/>
  <c r="GB760" i="15" s="1"/>
  <c r="GD760" i="15" s="1"/>
  <c r="CX764" i="15"/>
  <c r="GB764" i="15" s="1"/>
  <c r="GD764" i="15" s="1"/>
  <c r="CX768" i="15"/>
  <c r="GB768" i="15" s="1"/>
  <c r="GD768" i="15" s="1"/>
  <c r="CX772" i="15"/>
  <c r="GB772" i="15" s="1"/>
  <c r="GD772" i="15" s="1"/>
  <c r="CX779" i="15"/>
  <c r="GB779" i="15" s="1"/>
  <c r="GD779" i="15" s="1"/>
  <c r="CX783" i="15"/>
  <c r="GB783" i="15" s="1"/>
  <c r="GD783" i="15" s="1"/>
  <c r="CX787" i="15"/>
  <c r="GB787" i="15" s="1"/>
  <c r="GD787" i="15" s="1"/>
  <c r="CX791" i="15"/>
  <c r="GB791" i="15" s="1"/>
  <c r="GD791" i="15" s="1"/>
  <c r="CX796" i="15"/>
  <c r="GB796" i="15" s="1"/>
  <c r="GD796" i="15" s="1"/>
  <c r="CX800" i="15"/>
  <c r="GB800" i="15" s="1"/>
  <c r="GD800" i="15" s="1"/>
  <c r="CX804" i="15"/>
  <c r="GB804" i="15" s="1"/>
  <c r="GD804" i="15" s="1"/>
  <c r="CX808" i="15"/>
  <c r="GB808" i="15" s="1"/>
  <c r="GD808" i="15" s="1"/>
  <c r="CX812" i="15"/>
  <c r="GB812" i="15" s="1"/>
  <c r="GD812" i="15" s="1"/>
  <c r="CX816" i="15"/>
  <c r="GB816" i="15" s="1"/>
  <c r="GD816" i="15" s="1"/>
  <c r="CX820" i="15"/>
  <c r="GB820" i="15" s="1"/>
  <c r="GD820" i="15" s="1"/>
  <c r="CX824" i="15"/>
  <c r="GB824" i="15" s="1"/>
  <c r="GD824" i="15" s="1"/>
  <c r="CX829" i="15"/>
  <c r="GB829" i="15" s="1"/>
  <c r="GD829" i="15" s="1"/>
  <c r="CX833" i="15"/>
  <c r="GB833" i="15" s="1"/>
  <c r="GD833" i="15" s="1"/>
  <c r="CX837" i="15"/>
  <c r="GB837" i="15" s="1"/>
  <c r="GD837" i="15" s="1"/>
  <c r="CX841" i="15"/>
  <c r="GB841" i="15" s="1"/>
  <c r="GD841" i="15" s="1"/>
  <c r="CX845" i="15"/>
  <c r="GB845" i="15" s="1"/>
  <c r="GD845" i="15" s="1"/>
  <c r="CX849" i="15"/>
  <c r="GB849" i="15" s="1"/>
  <c r="GD849" i="15" s="1"/>
  <c r="CX853" i="15"/>
  <c r="GB853" i="15" s="1"/>
  <c r="GD853" i="15" s="1"/>
  <c r="CX857" i="15"/>
  <c r="GB857" i="15" s="1"/>
  <c r="GD857" i="15" s="1"/>
  <c r="CX861" i="15"/>
  <c r="GB861" i="15" s="1"/>
  <c r="GD861" i="15" s="1"/>
  <c r="CX412" i="15"/>
  <c r="GB412" i="15" s="1"/>
  <c r="GD412" i="15" s="1"/>
  <c r="CX420" i="15"/>
  <c r="GB420" i="15" s="1"/>
  <c r="GD420" i="15" s="1"/>
  <c r="CX428" i="15"/>
  <c r="GB428" i="15" s="1"/>
  <c r="GD428" i="15" s="1"/>
  <c r="CX437" i="15"/>
  <c r="GB437" i="15" s="1"/>
  <c r="GD437" i="15" s="1"/>
  <c r="CX445" i="15"/>
  <c r="GB445" i="15" s="1"/>
  <c r="GD445" i="15" s="1"/>
  <c r="CX453" i="15"/>
  <c r="GB453" i="15" s="1"/>
  <c r="GD453" i="15" s="1"/>
  <c r="CX478" i="15"/>
  <c r="GB478" i="15" s="1"/>
  <c r="GD478" i="15" s="1"/>
  <c r="CX486" i="15"/>
  <c r="GB486" i="15" s="1"/>
  <c r="GD486" i="15" s="1"/>
  <c r="CX495" i="15"/>
  <c r="GB495" i="15" s="1"/>
  <c r="GD495" i="15" s="1"/>
  <c r="CX503" i="15"/>
  <c r="GB503" i="15" s="1"/>
  <c r="GD503" i="15" s="1"/>
  <c r="CX511" i="15"/>
  <c r="GB511" i="15" s="1"/>
  <c r="GD511" i="15" s="1"/>
  <c r="CX518" i="15"/>
  <c r="GB518" i="15" s="1"/>
  <c r="GD518" i="15" s="1"/>
  <c r="CX522" i="15"/>
  <c r="GB522" i="15" s="1"/>
  <c r="GD522" i="15" s="1"/>
  <c r="CX526" i="15"/>
  <c r="GB526" i="15" s="1"/>
  <c r="GD526" i="15" s="1"/>
  <c r="CX531" i="15"/>
  <c r="GB531" i="15" s="1"/>
  <c r="GD531" i="15" s="1"/>
  <c r="CX535" i="15"/>
  <c r="GB535" i="15" s="1"/>
  <c r="GD535" i="15" s="1"/>
  <c r="CX539" i="15"/>
  <c r="GB539" i="15" s="1"/>
  <c r="GD539" i="15" s="1"/>
  <c r="CX543" i="15"/>
  <c r="GB543" i="15" s="1"/>
  <c r="GD543" i="15" s="1"/>
  <c r="CX548" i="15"/>
  <c r="GB548" i="15" s="1"/>
  <c r="GD548" i="15" s="1"/>
  <c r="CX552" i="15"/>
  <c r="GB552" i="15" s="1"/>
  <c r="GD552" i="15" s="1"/>
  <c r="CX556" i="15"/>
  <c r="GB556" i="15" s="1"/>
  <c r="GD556" i="15" s="1"/>
  <c r="CX560" i="15"/>
  <c r="GB560" i="15" s="1"/>
  <c r="GD560" i="15" s="1"/>
  <c r="CX564" i="15"/>
  <c r="GB564" i="15" s="1"/>
  <c r="GD564" i="15" s="1"/>
  <c r="CX568" i="15"/>
  <c r="GB568" i="15" s="1"/>
  <c r="GD568" i="15" s="1"/>
  <c r="CX573" i="15"/>
  <c r="GB573" i="15" s="1"/>
  <c r="GD573" i="15" s="1"/>
  <c r="CX580" i="15"/>
  <c r="GB580" i="15" s="1"/>
  <c r="GD580" i="15" s="1"/>
  <c r="CX584" i="15"/>
  <c r="GB584" i="15" s="1"/>
  <c r="GD584" i="15" s="1"/>
  <c r="CX588" i="15"/>
  <c r="GB588" i="15" s="1"/>
  <c r="GD588" i="15" s="1"/>
  <c r="CX592" i="15"/>
  <c r="GB592" i="15" s="1"/>
  <c r="GD592" i="15" s="1"/>
  <c r="CX596" i="15"/>
  <c r="GB596" i="15" s="1"/>
  <c r="GD596" i="15" s="1"/>
  <c r="CX600" i="15"/>
  <c r="GB600" i="15" s="1"/>
  <c r="GD600" i="15" s="1"/>
  <c r="CX604" i="15"/>
  <c r="GB604" i="15" s="1"/>
  <c r="GD604" i="15" s="1"/>
  <c r="CX608" i="15"/>
  <c r="GB608" i="15" s="1"/>
  <c r="GD608" i="15" s="1"/>
  <c r="CX613" i="15"/>
  <c r="GB613" i="15" s="1"/>
  <c r="GD613" i="15" s="1"/>
  <c r="CX617" i="15"/>
  <c r="GB617" i="15" s="1"/>
  <c r="GD617" i="15" s="1"/>
  <c r="CX622" i="15"/>
  <c r="GB622" i="15" s="1"/>
  <c r="GD622" i="15" s="1"/>
  <c r="CX626" i="15"/>
  <c r="GB626" i="15" s="1"/>
  <c r="GD626" i="15" s="1"/>
  <c r="CX634" i="15"/>
  <c r="GB634" i="15" s="1"/>
  <c r="GD634" i="15" s="1"/>
  <c r="CX638" i="15"/>
  <c r="GB638" i="15" s="1"/>
  <c r="GD638" i="15" s="1"/>
  <c r="CX643" i="15"/>
  <c r="GB643" i="15" s="1"/>
  <c r="GD643" i="15" s="1"/>
  <c r="CX647" i="15"/>
  <c r="GB647" i="15" s="1"/>
  <c r="GD647" i="15" s="1"/>
  <c r="CX651" i="15"/>
  <c r="GB651" i="15" s="1"/>
  <c r="GD651" i="15" s="1"/>
  <c r="CX655" i="15"/>
  <c r="GB655" i="15" s="1"/>
  <c r="GD655" i="15" s="1"/>
  <c r="CX659" i="15"/>
  <c r="GB659" i="15" s="1"/>
  <c r="GD659" i="15" s="1"/>
  <c r="CX663" i="15"/>
  <c r="GB663" i="15" s="1"/>
  <c r="GD663" i="15" s="1"/>
  <c r="CX668" i="15"/>
  <c r="GB668" i="15" s="1"/>
  <c r="GD668" i="15" s="1"/>
  <c r="CX672" i="15"/>
  <c r="GB672" i="15" s="1"/>
  <c r="GD672" i="15" s="1"/>
  <c r="CX676" i="15"/>
  <c r="GB676" i="15" s="1"/>
  <c r="GD676" i="15" s="1"/>
  <c r="CX680" i="15"/>
  <c r="GB680" i="15" s="1"/>
  <c r="GD680" i="15" s="1"/>
  <c r="CX684" i="15"/>
  <c r="GB684" i="15" s="1"/>
  <c r="GD684" i="15" s="1"/>
  <c r="CX713" i="15"/>
  <c r="GB713" i="15" s="1"/>
  <c r="GD713" i="15" s="1"/>
  <c r="CX717" i="15"/>
  <c r="GB717" i="15" s="1"/>
  <c r="GD717" i="15" s="1"/>
  <c r="CX721" i="15"/>
  <c r="GB721" i="15" s="1"/>
  <c r="GD721" i="15" s="1"/>
  <c r="CX725" i="15"/>
  <c r="GB725" i="15" s="1"/>
  <c r="GD725" i="15" s="1"/>
  <c r="CX729" i="15"/>
  <c r="GB729" i="15" s="1"/>
  <c r="GD729" i="15" s="1"/>
  <c r="CX734" i="15"/>
  <c r="GB734" i="15" s="1"/>
  <c r="GD734" i="15" s="1"/>
  <c r="CX738" i="15"/>
  <c r="GB738" i="15" s="1"/>
  <c r="GD738" i="15" s="1"/>
  <c r="CX742" i="15"/>
  <c r="GB742" i="15" s="1"/>
  <c r="GD742" i="15" s="1"/>
  <c r="CX746" i="15"/>
  <c r="GB746" i="15" s="1"/>
  <c r="GD746" i="15" s="1"/>
  <c r="CX750" i="15"/>
  <c r="GB750" i="15" s="1"/>
  <c r="GD750" i="15" s="1"/>
  <c r="CX755" i="15"/>
  <c r="GB755" i="15" s="1"/>
  <c r="GD755" i="15" s="1"/>
  <c r="CX774" i="15"/>
  <c r="GB774" i="15" s="1"/>
  <c r="GD774" i="15" s="1"/>
  <c r="CX761" i="15"/>
  <c r="GB761" i="15" s="1"/>
  <c r="GD761" i="15" s="1"/>
  <c r="CX765" i="15"/>
  <c r="GB765" i="15" s="1"/>
  <c r="GD765" i="15" s="1"/>
  <c r="CX769" i="15"/>
  <c r="GB769" i="15" s="1"/>
  <c r="GD769" i="15" s="1"/>
  <c r="CX776" i="15"/>
  <c r="GB776" i="15" s="1"/>
  <c r="GD776" i="15" s="1"/>
  <c r="CX780" i="15"/>
  <c r="GB780" i="15" s="1"/>
  <c r="GD780" i="15" s="1"/>
  <c r="CX784" i="15"/>
  <c r="GB784" i="15" s="1"/>
  <c r="GD784" i="15" s="1"/>
  <c r="CX788" i="15"/>
  <c r="GB788" i="15" s="1"/>
  <c r="GD788" i="15" s="1"/>
  <c r="CX792" i="15"/>
  <c r="GB792" i="15" s="1"/>
  <c r="GD792" i="15" s="1"/>
  <c r="CX797" i="15"/>
  <c r="GB797" i="15" s="1"/>
  <c r="GD797" i="15" s="1"/>
  <c r="CX801" i="15"/>
  <c r="GB801" i="15" s="1"/>
  <c r="GD801" i="15" s="1"/>
  <c r="CX805" i="15"/>
  <c r="GB805" i="15" s="1"/>
  <c r="GD805" i="15" s="1"/>
  <c r="CX809" i="15"/>
  <c r="GB809" i="15" s="1"/>
  <c r="GD809" i="15" s="1"/>
  <c r="CX813" i="15"/>
  <c r="GB813" i="15" s="1"/>
  <c r="GD813" i="15" s="1"/>
  <c r="CX817" i="15"/>
  <c r="GB817" i="15" s="1"/>
  <c r="GD817" i="15" s="1"/>
  <c r="CX821" i="15"/>
  <c r="GB821" i="15" s="1"/>
  <c r="GD821" i="15" s="1"/>
  <c r="CX825" i="15"/>
  <c r="GB825" i="15" s="1"/>
  <c r="GD825" i="15" s="1"/>
  <c r="CX830" i="15"/>
  <c r="GB830" i="15" s="1"/>
  <c r="GD830" i="15" s="1"/>
  <c r="CX834" i="15"/>
  <c r="GB834" i="15" s="1"/>
  <c r="GD834" i="15" s="1"/>
  <c r="CX838" i="15"/>
  <c r="GB838" i="15" s="1"/>
  <c r="GD838" i="15" s="1"/>
  <c r="CX842" i="15"/>
  <c r="GB842" i="15" s="1"/>
  <c r="GD842" i="15" s="1"/>
  <c r="CX846" i="15"/>
  <c r="GB846" i="15" s="1"/>
  <c r="GD846" i="15" s="1"/>
  <c r="CX850" i="15"/>
  <c r="GB850" i="15" s="1"/>
  <c r="GD850" i="15" s="1"/>
  <c r="CX854" i="15"/>
  <c r="GB854" i="15" s="1"/>
  <c r="GD854" i="15" s="1"/>
  <c r="CX858" i="15"/>
  <c r="GB858" i="15" s="1"/>
  <c r="GD858" i="15" s="1"/>
  <c r="CX415" i="15"/>
  <c r="GB415" i="15" s="1"/>
  <c r="GD415" i="15" s="1"/>
  <c r="CX423" i="15"/>
  <c r="GB423" i="15" s="1"/>
  <c r="GD423" i="15" s="1"/>
  <c r="CX432" i="15"/>
  <c r="GB432" i="15" s="1"/>
  <c r="GD432" i="15" s="1"/>
  <c r="CX440" i="15"/>
  <c r="GB440" i="15" s="1"/>
  <c r="GD440" i="15" s="1"/>
  <c r="CX448" i="15"/>
  <c r="GB448" i="15" s="1"/>
  <c r="GD448" i="15" s="1"/>
  <c r="CX473" i="15"/>
  <c r="GB473" i="15" s="1"/>
  <c r="GD473" i="15" s="1"/>
  <c r="CX481" i="15"/>
  <c r="GB481" i="15" s="1"/>
  <c r="GD481" i="15" s="1"/>
  <c r="CX489" i="15"/>
  <c r="GB489" i="15" s="1"/>
  <c r="GD489" i="15" s="1"/>
  <c r="CX498" i="15"/>
  <c r="GB498" i="15" s="1"/>
  <c r="GD498" i="15" s="1"/>
  <c r="CX506" i="15"/>
  <c r="GB506" i="15" s="1"/>
  <c r="GD506" i="15" s="1"/>
  <c r="CX515" i="15"/>
  <c r="GB515" i="15" s="1"/>
  <c r="GD515" i="15" s="1"/>
  <c r="CX519" i="15"/>
  <c r="GB519" i="15" s="1"/>
  <c r="GD519" i="15" s="1"/>
  <c r="CX523" i="15"/>
  <c r="GB523" i="15" s="1"/>
  <c r="GD523" i="15" s="1"/>
  <c r="CX527" i="15"/>
  <c r="GB527" i="15" s="1"/>
  <c r="GD527" i="15" s="1"/>
  <c r="CX532" i="15"/>
  <c r="GB532" i="15" s="1"/>
  <c r="GD532" i="15" s="1"/>
  <c r="CX536" i="15"/>
  <c r="GB536" i="15" s="1"/>
  <c r="GD536" i="15" s="1"/>
  <c r="CX540" i="15"/>
  <c r="GB540" i="15" s="1"/>
  <c r="GD540" i="15" s="1"/>
  <c r="CX544" i="15"/>
  <c r="GB544" i="15" s="1"/>
  <c r="GD544" i="15" s="1"/>
  <c r="CX549" i="15"/>
  <c r="GB549" i="15" s="1"/>
  <c r="GD549" i="15" s="1"/>
  <c r="CX553" i="15"/>
  <c r="GB553" i="15" s="1"/>
  <c r="GD553" i="15" s="1"/>
  <c r="CX557" i="15"/>
  <c r="GB557" i="15" s="1"/>
  <c r="GD557" i="15" s="1"/>
  <c r="CX561" i="15"/>
  <c r="GB561" i="15" s="1"/>
  <c r="GD561" i="15" s="1"/>
  <c r="CX565" i="15"/>
  <c r="GB565" i="15" s="1"/>
  <c r="GD565" i="15" s="1"/>
  <c r="CX569" i="15"/>
  <c r="GB569" i="15" s="1"/>
  <c r="GD569" i="15" s="1"/>
  <c r="CX574" i="15"/>
  <c r="GB574" i="15" s="1"/>
  <c r="GD574" i="15" s="1"/>
  <c r="CX577" i="15"/>
  <c r="GB577" i="15" s="1"/>
  <c r="GD577" i="15" s="1"/>
  <c r="CX581" i="15"/>
  <c r="GB581" i="15" s="1"/>
  <c r="GD581" i="15" s="1"/>
  <c r="CX585" i="15"/>
  <c r="GB585" i="15" s="1"/>
  <c r="GD585" i="15" s="1"/>
  <c r="CX589" i="15"/>
  <c r="GB589" i="15" s="1"/>
  <c r="GD589" i="15" s="1"/>
  <c r="CX593" i="15"/>
  <c r="GB593" i="15" s="1"/>
  <c r="GD593" i="15" s="1"/>
  <c r="CX597" i="15"/>
  <c r="GB597" i="15" s="1"/>
  <c r="GD597" i="15" s="1"/>
  <c r="CX601" i="15"/>
  <c r="GB601" i="15" s="1"/>
  <c r="GD601" i="15" s="1"/>
  <c r="CX605" i="15"/>
  <c r="GB605" i="15" s="1"/>
  <c r="GD605" i="15" s="1"/>
  <c r="CX609" i="15"/>
  <c r="GB609" i="15" s="1"/>
  <c r="GD609" i="15" s="1"/>
  <c r="CX614" i="15"/>
  <c r="GB614" i="15" s="1"/>
  <c r="GD614" i="15" s="1"/>
  <c r="CX618" i="15"/>
  <c r="GB618" i="15" s="1"/>
  <c r="GD618" i="15" s="1"/>
  <c r="CX623" i="15"/>
  <c r="GB623" i="15" s="1"/>
  <c r="GD623" i="15" s="1"/>
  <c r="CX627" i="15"/>
  <c r="GB627" i="15" s="1"/>
  <c r="GD627" i="15" s="1"/>
  <c r="CX631" i="15"/>
  <c r="GB631" i="15" s="1"/>
  <c r="GD631" i="15" s="1"/>
  <c r="CX635" i="15"/>
  <c r="GB635" i="15" s="1"/>
  <c r="GD635" i="15" s="1"/>
  <c r="CX639" i="15"/>
  <c r="GB639" i="15" s="1"/>
  <c r="GD639" i="15" s="1"/>
  <c r="CX644" i="15"/>
  <c r="GB644" i="15" s="1"/>
  <c r="GD644" i="15" s="1"/>
  <c r="CX648" i="15"/>
  <c r="GB648" i="15" s="1"/>
  <c r="GD648" i="15" s="1"/>
  <c r="CX652" i="15"/>
  <c r="GB652" i="15" s="1"/>
  <c r="GD652" i="15" s="1"/>
  <c r="CX656" i="15"/>
  <c r="GB656" i="15" s="1"/>
  <c r="GD656" i="15" s="1"/>
  <c r="CX660" i="15"/>
  <c r="GB660" i="15" s="1"/>
  <c r="GD660" i="15" s="1"/>
  <c r="CX664" i="15"/>
  <c r="GB664" i="15" s="1"/>
  <c r="GD664" i="15" s="1"/>
  <c r="CX669" i="15"/>
  <c r="GB669" i="15" s="1"/>
  <c r="GD669" i="15" s="1"/>
  <c r="CX673" i="15"/>
  <c r="GB673" i="15" s="1"/>
  <c r="GD673" i="15" s="1"/>
  <c r="CX677" i="15"/>
  <c r="GB677" i="15" s="1"/>
  <c r="GD677" i="15" s="1"/>
  <c r="CX681" i="15"/>
  <c r="GB681" i="15" s="1"/>
  <c r="GD681" i="15" s="1"/>
  <c r="CX685" i="15"/>
  <c r="GB685" i="15" s="1"/>
  <c r="GD685" i="15" s="1"/>
  <c r="CX714" i="15"/>
  <c r="GB714" i="15" s="1"/>
  <c r="GD714" i="15" s="1"/>
  <c r="CX718" i="15"/>
  <c r="GB718" i="15" s="1"/>
  <c r="GD718" i="15" s="1"/>
  <c r="CX722" i="15"/>
  <c r="GB722" i="15" s="1"/>
  <c r="GD722" i="15" s="1"/>
  <c r="CX726" i="15"/>
  <c r="GB726" i="15" s="1"/>
  <c r="GD726" i="15" s="1"/>
  <c r="CX730" i="15"/>
  <c r="GB730" i="15" s="1"/>
  <c r="GD730" i="15" s="1"/>
  <c r="CX735" i="15"/>
  <c r="GB735" i="15" s="1"/>
  <c r="GD735" i="15" s="1"/>
  <c r="CX739" i="15"/>
  <c r="GB739" i="15" s="1"/>
  <c r="GD739" i="15" s="1"/>
  <c r="CX743" i="15"/>
  <c r="GB743" i="15" s="1"/>
  <c r="GD743" i="15" s="1"/>
  <c r="CX747" i="15"/>
  <c r="GB747" i="15" s="1"/>
  <c r="GD747" i="15" s="1"/>
  <c r="CX751" i="15"/>
  <c r="GB751" i="15" s="1"/>
  <c r="GD751" i="15" s="1"/>
  <c r="CX756" i="15"/>
  <c r="GB756" i="15" s="1"/>
  <c r="GD756" i="15" s="1"/>
  <c r="CX758" i="15"/>
  <c r="GB758" i="15" s="1"/>
  <c r="GD758" i="15" s="1"/>
  <c r="CX762" i="15"/>
  <c r="GB762" i="15" s="1"/>
  <c r="GD762" i="15" s="1"/>
  <c r="CX766" i="15"/>
  <c r="GB766" i="15" s="1"/>
  <c r="GD766" i="15" s="1"/>
  <c r="CX770" i="15"/>
  <c r="GB770" i="15" s="1"/>
  <c r="GD770" i="15" s="1"/>
  <c r="CX777" i="15"/>
  <c r="GB777" i="15" s="1"/>
  <c r="GD777" i="15" s="1"/>
  <c r="CX781" i="15"/>
  <c r="GB781" i="15" s="1"/>
  <c r="GD781" i="15" s="1"/>
  <c r="CX785" i="15"/>
  <c r="GB785" i="15" s="1"/>
  <c r="GD785" i="15" s="1"/>
  <c r="CX789" i="15"/>
  <c r="GB789" i="15" s="1"/>
  <c r="GD789" i="15" s="1"/>
  <c r="CX793" i="15"/>
  <c r="GB793" i="15" s="1"/>
  <c r="GD793" i="15" s="1"/>
  <c r="CX798" i="15"/>
  <c r="GB798" i="15" s="1"/>
  <c r="GD798" i="15" s="1"/>
  <c r="CX802" i="15"/>
  <c r="GB802" i="15" s="1"/>
  <c r="GD802" i="15" s="1"/>
  <c r="CX806" i="15"/>
  <c r="GB806" i="15" s="1"/>
  <c r="GD806" i="15" s="1"/>
  <c r="CX810" i="15"/>
  <c r="GB810" i="15" s="1"/>
  <c r="GD810" i="15" s="1"/>
  <c r="CX814" i="15"/>
  <c r="GB814" i="15" s="1"/>
  <c r="GD814" i="15" s="1"/>
  <c r="CX818" i="15"/>
  <c r="GB818" i="15" s="1"/>
  <c r="GD818" i="15" s="1"/>
  <c r="CX822" i="15"/>
  <c r="GB822" i="15" s="1"/>
  <c r="GD822" i="15" s="1"/>
  <c r="CX826" i="15"/>
  <c r="GB826" i="15" s="1"/>
  <c r="GD826" i="15" s="1"/>
  <c r="CX831" i="15"/>
  <c r="GB831" i="15" s="1"/>
  <c r="GD831" i="15" s="1"/>
  <c r="CX835" i="15"/>
  <c r="GB835" i="15" s="1"/>
  <c r="GD835" i="15" s="1"/>
  <c r="CX839" i="15"/>
  <c r="GB839" i="15" s="1"/>
  <c r="GD839" i="15" s="1"/>
  <c r="CX843" i="15"/>
  <c r="GB843" i="15" s="1"/>
  <c r="GD843" i="15" s="1"/>
  <c r="CX847" i="15"/>
  <c r="GB847" i="15" s="1"/>
  <c r="GD847" i="15" s="1"/>
  <c r="CX851" i="15"/>
  <c r="GB851" i="15" s="1"/>
  <c r="GD851" i="15" s="1"/>
  <c r="CX855" i="15"/>
  <c r="GB855" i="15" s="1"/>
  <c r="GD855" i="15" s="1"/>
  <c r="CX859" i="15"/>
  <c r="GB859" i="15" s="1"/>
  <c r="GD859" i="15" s="1"/>
  <c r="CX416" i="15"/>
  <c r="GB416" i="15" s="1"/>
  <c r="GD416" i="15" s="1"/>
  <c r="CX424" i="15"/>
  <c r="GB424" i="15" s="1"/>
  <c r="GD424" i="15" s="1"/>
  <c r="CX433" i="15"/>
  <c r="GB433" i="15" s="1"/>
  <c r="GD433" i="15" s="1"/>
  <c r="CX441" i="15"/>
  <c r="GB441" i="15" s="1"/>
  <c r="GD441" i="15" s="1"/>
  <c r="CX449" i="15"/>
  <c r="GB449" i="15" s="1"/>
  <c r="GD449" i="15" s="1"/>
  <c r="CX474" i="15"/>
  <c r="GB474" i="15" s="1"/>
  <c r="GD474" i="15" s="1"/>
  <c r="CX482" i="15"/>
  <c r="GB482" i="15" s="1"/>
  <c r="GD482" i="15" s="1"/>
  <c r="CX491" i="15"/>
  <c r="GB491" i="15" s="1"/>
  <c r="GD491" i="15" s="1"/>
  <c r="CX499" i="15"/>
  <c r="GB499" i="15" s="1"/>
  <c r="GD499" i="15" s="1"/>
  <c r="CX507" i="15"/>
  <c r="GB507" i="15" s="1"/>
  <c r="GD507" i="15" s="1"/>
  <c r="CX516" i="15"/>
  <c r="GB516" i="15" s="1"/>
  <c r="GD516" i="15" s="1"/>
  <c r="CX520" i="15"/>
  <c r="GB520" i="15" s="1"/>
  <c r="GD520" i="15" s="1"/>
  <c r="CX524" i="15"/>
  <c r="GB524" i="15" s="1"/>
  <c r="GD524" i="15" s="1"/>
  <c r="CX529" i="15"/>
  <c r="GB529" i="15" s="1"/>
  <c r="GD529" i="15" s="1"/>
  <c r="CX533" i="15"/>
  <c r="GB533" i="15" s="1"/>
  <c r="GD533" i="15" s="1"/>
  <c r="CX537" i="15"/>
  <c r="GB537" i="15" s="1"/>
  <c r="GD537" i="15" s="1"/>
  <c r="CX541" i="15"/>
  <c r="GB541" i="15" s="1"/>
  <c r="GD541" i="15" s="1"/>
  <c r="CX545" i="15"/>
  <c r="GB545" i="15" s="1"/>
  <c r="GD545" i="15" s="1"/>
  <c r="CX550" i="15"/>
  <c r="GB550" i="15" s="1"/>
  <c r="GD550" i="15" s="1"/>
  <c r="CX554" i="15"/>
  <c r="GB554" i="15" s="1"/>
  <c r="GD554" i="15" s="1"/>
  <c r="CX558" i="15"/>
  <c r="GB558" i="15" s="1"/>
  <c r="GD558" i="15" s="1"/>
  <c r="CX562" i="15"/>
  <c r="GB562" i="15" s="1"/>
  <c r="GD562" i="15" s="1"/>
  <c r="CX566" i="15"/>
  <c r="GB566" i="15" s="1"/>
  <c r="GD566" i="15" s="1"/>
  <c r="CX570" i="15"/>
  <c r="GB570" i="15" s="1"/>
  <c r="GD570" i="15" s="1"/>
  <c r="CX572" i="15"/>
  <c r="GB572" i="15" s="1"/>
  <c r="GD572" i="15" s="1"/>
  <c r="CX578" i="15"/>
  <c r="GB578" i="15" s="1"/>
  <c r="GD578" i="15" s="1"/>
  <c r="CX582" i="15"/>
  <c r="GB582" i="15" s="1"/>
  <c r="GD582" i="15" s="1"/>
  <c r="CX586" i="15"/>
  <c r="GB586" i="15" s="1"/>
  <c r="GD586" i="15" s="1"/>
  <c r="CX590" i="15"/>
  <c r="GB590" i="15" s="1"/>
  <c r="GD590" i="15" s="1"/>
  <c r="CX594" i="15"/>
  <c r="GB594" i="15" s="1"/>
  <c r="GD594" i="15" s="1"/>
  <c r="CX598" i="15"/>
  <c r="GB598" i="15" s="1"/>
  <c r="GD598" i="15" s="1"/>
  <c r="CX602" i="15"/>
  <c r="GB602" i="15" s="1"/>
  <c r="GD602" i="15" s="1"/>
  <c r="CX606" i="15"/>
  <c r="GB606" i="15" s="1"/>
  <c r="GD606" i="15" s="1"/>
  <c r="CX611" i="15"/>
  <c r="GB611" i="15" s="1"/>
  <c r="GD611" i="15" s="1"/>
  <c r="CX615" i="15"/>
  <c r="GB615" i="15" s="1"/>
  <c r="GD615" i="15" s="1"/>
  <c r="CX619" i="15"/>
  <c r="GB619" i="15" s="1"/>
  <c r="GD619" i="15" s="1"/>
  <c r="CX624" i="15"/>
  <c r="GB624" i="15" s="1"/>
  <c r="GD624" i="15" s="1"/>
  <c r="CX628" i="15"/>
  <c r="GB628" i="15" s="1"/>
  <c r="GD628" i="15" s="1"/>
  <c r="CX632" i="15"/>
  <c r="GB632" i="15" s="1"/>
  <c r="GD632" i="15" s="1"/>
  <c r="CX636" i="15"/>
  <c r="GB636" i="15" s="1"/>
  <c r="GD636" i="15" s="1"/>
  <c r="CX641" i="15"/>
  <c r="GB641" i="15" s="1"/>
  <c r="GD641" i="15" s="1"/>
  <c r="CX645" i="15"/>
  <c r="GB645" i="15" s="1"/>
  <c r="GD645" i="15" s="1"/>
  <c r="CX649" i="15"/>
  <c r="GB649" i="15" s="1"/>
  <c r="GD649" i="15" s="1"/>
  <c r="CX653" i="15"/>
  <c r="GB653" i="15" s="1"/>
  <c r="GD653" i="15" s="1"/>
  <c r="CX657" i="15"/>
  <c r="GB657" i="15" s="1"/>
  <c r="GD657" i="15" s="1"/>
  <c r="CX661" i="15"/>
  <c r="GB661" i="15" s="1"/>
  <c r="GD661" i="15" s="1"/>
  <c r="CX665" i="15"/>
  <c r="GB665" i="15" s="1"/>
  <c r="GD665" i="15" s="1"/>
  <c r="CX670" i="15"/>
  <c r="GB670" i="15" s="1"/>
  <c r="GD670" i="15" s="1"/>
  <c r="CX674" i="15"/>
  <c r="GB674" i="15" s="1"/>
  <c r="GD674" i="15" s="1"/>
  <c r="CX678" i="15"/>
  <c r="GB678" i="15" s="1"/>
  <c r="GD678" i="15" s="1"/>
  <c r="CX682" i="15"/>
  <c r="GB682" i="15" s="1"/>
  <c r="GD682" i="15" s="1"/>
  <c r="CX686" i="15"/>
  <c r="GB686" i="15" s="1"/>
  <c r="GD686" i="15" s="1"/>
  <c r="CX715" i="15"/>
  <c r="GB715" i="15" s="1"/>
  <c r="GD715" i="15" s="1"/>
  <c r="CX719" i="15"/>
  <c r="GB719" i="15" s="1"/>
  <c r="GD719" i="15" s="1"/>
  <c r="CX723" i="15"/>
  <c r="GB723" i="15" s="1"/>
  <c r="GD723" i="15" s="1"/>
  <c r="CX727" i="15"/>
  <c r="GB727" i="15" s="1"/>
  <c r="GD727" i="15" s="1"/>
  <c r="CX732" i="15"/>
  <c r="GB732" i="15" s="1"/>
  <c r="GD732" i="15" s="1"/>
  <c r="CX736" i="15"/>
  <c r="GB736" i="15" s="1"/>
  <c r="GD736" i="15" s="1"/>
  <c r="CX740" i="15"/>
  <c r="GB740" i="15" s="1"/>
  <c r="GD740" i="15" s="1"/>
  <c r="CX744" i="15"/>
  <c r="GB744" i="15" s="1"/>
  <c r="GD744" i="15" s="1"/>
  <c r="CX748" i="15"/>
  <c r="GB748" i="15" s="1"/>
  <c r="GD748" i="15" s="1"/>
  <c r="CX752" i="15"/>
  <c r="GB752" i="15" s="1"/>
  <c r="GD752" i="15" s="1"/>
  <c r="CX757" i="15"/>
  <c r="GB757" i="15" s="1"/>
  <c r="GD757" i="15" s="1"/>
  <c r="CX759" i="15"/>
  <c r="GB759" i="15" s="1"/>
  <c r="GD759" i="15" s="1"/>
  <c r="CX763" i="15"/>
  <c r="GB763" i="15" s="1"/>
  <c r="GD763" i="15" s="1"/>
  <c r="CX767" i="15"/>
  <c r="GB767" i="15" s="1"/>
  <c r="GD767" i="15" s="1"/>
  <c r="CX771" i="15"/>
  <c r="GB771" i="15" s="1"/>
  <c r="GD771" i="15" s="1"/>
  <c r="CX778" i="15"/>
  <c r="GB778" i="15" s="1"/>
  <c r="GD778" i="15" s="1"/>
  <c r="CX782" i="15"/>
  <c r="GB782" i="15" s="1"/>
  <c r="GD782" i="15" s="1"/>
  <c r="CX786" i="15"/>
  <c r="GB786" i="15" s="1"/>
  <c r="GD786" i="15" s="1"/>
  <c r="CX790" i="15"/>
  <c r="GB790" i="15" s="1"/>
  <c r="GD790" i="15" s="1"/>
  <c r="CX794" i="15"/>
  <c r="GB794" i="15" s="1"/>
  <c r="GD794" i="15" s="1"/>
  <c r="CX799" i="15"/>
  <c r="GB799" i="15" s="1"/>
  <c r="GD799" i="15" s="1"/>
  <c r="CX803" i="15"/>
  <c r="GB803" i="15" s="1"/>
  <c r="GD803" i="15" s="1"/>
  <c r="CX807" i="15"/>
  <c r="GB807" i="15" s="1"/>
  <c r="GD807" i="15" s="1"/>
  <c r="CX811" i="15"/>
  <c r="GB811" i="15" s="1"/>
  <c r="GD811" i="15" s="1"/>
  <c r="CX815" i="15"/>
  <c r="GB815" i="15" s="1"/>
  <c r="GD815" i="15" s="1"/>
  <c r="CX819" i="15"/>
  <c r="GB819" i="15" s="1"/>
  <c r="GD819" i="15" s="1"/>
  <c r="CX823" i="15"/>
  <c r="GB823" i="15" s="1"/>
  <c r="GD823" i="15" s="1"/>
  <c r="CX828" i="15"/>
  <c r="GB828" i="15" s="1"/>
  <c r="GD828" i="15" s="1"/>
  <c r="CX832" i="15"/>
  <c r="GB832" i="15" s="1"/>
  <c r="GD832" i="15" s="1"/>
  <c r="CX836" i="15"/>
  <c r="GB836" i="15" s="1"/>
  <c r="GD836" i="15" s="1"/>
  <c r="CX840" i="15"/>
  <c r="GB840" i="15" s="1"/>
  <c r="GD840" i="15" s="1"/>
  <c r="CX844" i="15"/>
  <c r="GB844" i="15" s="1"/>
  <c r="GD844" i="15" s="1"/>
  <c r="CX848" i="15"/>
  <c r="GB848" i="15" s="1"/>
  <c r="GD848" i="15" s="1"/>
  <c r="CX852" i="15"/>
  <c r="GB852" i="15" s="1"/>
  <c r="GD852" i="15" s="1"/>
  <c r="CX856" i="15"/>
  <c r="GB856" i="15" s="1"/>
  <c r="GD856" i="15" s="1"/>
  <c r="CX860" i="15"/>
  <c r="GB860" i="15" s="1"/>
  <c r="GD860" i="15" s="1"/>
  <c r="H40" i="13"/>
  <c r="H41" i="13"/>
  <c r="G40" i="13"/>
  <c r="G41" i="13"/>
  <c r="AI48" i="1"/>
  <c r="AI49" i="1"/>
  <c r="AI27" i="1"/>
  <c r="AI22" i="1"/>
  <c r="AI8" i="1"/>
  <c r="M8" i="13"/>
  <c r="M9" i="13"/>
  <c r="AC14" i="13"/>
  <c r="AE14" i="13"/>
  <c r="AD14" i="13"/>
  <c r="AB14" i="13"/>
  <c r="AA14" i="13"/>
  <c r="N46" i="13"/>
  <c r="N44" i="13"/>
  <c r="N45" i="13"/>
  <c r="N42" i="13"/>
  <c r="N43" i="13"/>
  <c r="GD6" i="15" l="1"/>
  <c r="FG7" i="15"/>
  <c r="GC6" i="15"/>
  <c r="GC696" i="15"/>
  <c r="GC465" i="15"/>
  <c r="GC693" i="15"/>
  <c r="GC708" i="15"/>
  <c r="GC461" i="15"/>
  <c r="GC462" i="15"/>
  <c r="GC694" i="15"/>
  <c r="GC705" i="15"/>
  <c r="GC707" i="15"/>
  <c r="GC457" i="15"/>
  <c r="GC689" i="15"/>
  <c r="GC691" i="15"/>
  <c r="GC468" i="15"/>
  <c r="GC698" i="15"/>
  <c r="GC706" i="15"/>
  <c r="GC692" i="15"/>
  <c r="GC456" i="15"/>
  <c r="GC469" i="15"/>
  <c r="GC697" i="15"/>
  <c r="GC464" i="15"/>
  <c r="GC467" i="15"/>
  <c r="GC699" i="15"/>
  <c r="GC460" i="15"/>
  <c r="GC463" i="15"/>
  <c r="GC701" i="15"/>
  <c r="GC690" i="15"/>
  <c r="GC711" i="15"/>
  <c r="GC700" i="15"/>
  <c r="GB7" i="15"/>
  <c r="GA7" i="15"/>
  <c r="DG7" i="15"/>
  <c r="FH7" i="15"/>
  <c r="DL7" i="15"/>
  <c r="FT7" i="15"/>
  <c r="FL7" i="15"/>
  <c r="FZ7" i="15"/>
  <c r="EI7" i="15"/>
  <c r="DY7" i="15"/>
  <c r="ED7" i="15"/>
  <c r="FE7" i="15"/>
  <c r="DC7" i="15"/>
  <c r="GC695" i="15"/>
  <c r="GC703" i="15"/>
  <c r="GC459" i="15"/>
  <c r="GC710" i="15"/>
  <c r="GC702" i="15"/>
  <c r="GC704" i="15"/>
  <c r="GC466" i="15"/>
  <c r="GC458" i="15"/>
  <c r="GC709" i="15"/>
  <c r="DT7" i="15"/>
  <c r="GC836" i="15"/>
  <c r="GC803" i="15"/>
  <c r="GC848" i="15"/>
  <c r="GC832" i="15"/>
  <c r="GC815" i="15"/>
  <c r="GC799" i="15"/>
  <c r="GC782" i="15"/>
  <c r="GC763" i="15"/>
  <c r="GC748" i="15"/>
  <c r="GC732" i="15"/>
  <c r="GC715" i="15"/>
  <c r="GC674" i="15"/>
  <c r="GC657" i="15"/>
  <c r="GC641" i="15"/>
  <c r="GC624" i="15"/>
  <c r="GC606" i="15"/>
  <c r="GC590" i="15"/>
  <c r="GC572" i="15"/>
  <c r="GC558" i="15"/>
  <c r="GC541" i="15"/>
  <c r="GC524" i="15"/>
  <c r="GC499" i="15"/>
  <c r="GC449" i="15"/>
  <c r="GC416" i="15"/>
  <c r="GC847" i="15"/>
  <c r="GC831" i="15"/>
  <c r="GC814" i="15"/>
  <c r="GC798" i="15"/>
  <c r="GC781" i="15"/>
  <c r="GC762" i="15"/>
  <c r="GC747" i="15"/>
  <c r="GC730" i="15"/>
  <c r="GC714" i="15"/>
  <c r="GC673" i="15"/>
  <c r="GC656" i="15"/>
  <c r="GC639" i="15"/>
  <c r="GC623" i="15"/>
  <c r="GC605" i="15"/>
  <c r="GC589" i="15"/>
  <c r="GC574" i="15"/>
  <c r="GC557" i="15"/>
  <c r="GC540" i="15"/>
  <c r="GC523" i="15"/>
  <c r="GC498" i="15"/>
  <c r="GC448" i="15"/>
  <c r="GC415" i="15"/>
  <c r="GC846" i="15"/>
  <c r="GC830" i="15"/>
  <c r="GC813" i="15"/>
  <c r="GC797" i="15"/>
  <c r="GC780" i="15"/>
  <c r="GC761" i="15"/>
  <c r="GC746" i="15"/>
  <c r="GC729" i="15"/>
  <c r="GC713" i="15"/>
  <c r="GC672" i="15"/>
  <c r="GC655" i="15"/>
  <c r="GC638" i="15"/>
  <c r="GC617" i="15"/>
  <c r="GC600" i="15"/>
  <c r="GC584" i="15"/>
  <c r="GC564" i="15"/>
  <c r="GC548" i="15"/>
  <c r="GC531" i="15"/>
  <c r="GC511" i="15"/>
  <c r="GC478" i="15"/>
  <c r="GC428" i="15"/>
  <c r="GC857" i="15"/>
  <c r="GC841" i="15"/>
  <c r="GC824" i="15"/>
  <c r="GC808" i="15"/>
  <c r="GC791" i="15"/>
  <c r="GC772" i="15"/>
  <c r="GC773" i="15"/>
  <c r="GC741" i="15"/>
  <c r="GC724" i="15"/>
  <c r="GC683" i="15"/>
  <c r="GC666" i="15"/>
  <c r="GC650" i="15"/>
  <c r="GC633" i="15"/>
  <c r="GC616" i="15"/>
  <c r="GC599" i="15"/>
  <c r="GC583" i="15"/>
  <c r="GC567" i="15"/>
  <c r="GC551" i="15"/>
  <c r="GC534" i="15"/>
  <c r="GC517" i="15"/>
  <c r="GC485" i="15"/>
  <c r="GC436" i="15"/>
  <c r="GC512" i="15"/>
  <c r="GC496" i="15"/>
  <c r="GC479" i="15"/>
  <c r="GC450" i="15"/>
  <c r="GC434" i="15"/>
  <c r="GC417" i="15"/>
  <c r="GC400" i="15"/>
  <c r="GC384" i="15"/>
  <c r="GC367" i="15"/>
  <c r="GC351" i="15"/>
  <c r="GC335" i="15"/>
  <c r="GC318" i="15"/>
  <c r="GC302" i="15"/>
  <c r="GC285" i="15"/>
  <c r="GC265" i="15"/>
  <c r="GC248" i="15"/>
  <c r="GC232" i="15"/>
  <c r="GC214" i="15"/>
  <c r="GC198" i="15"/>
  <c r="GC181" i="15"/>
  <c r="GC164" i="15"/>
  <c r="GC148" i="15"/>
  <c r="GC132" i="15"/>
  <c r="GC115" i="15"/>
  <c r="GC99" i="15"/>
  <c r="GC81" i="15"/>
  <c r="GC65" i="15"/>
  <c r="GC48" i="15"/>
  <c r="GC26" i="15"/>
  <c r="GC10" i="15"/>
  <c r="GC395" i="15"/>
  <c r="GC378" i="15"/>
  <c r="GC362" i="15"/>
  <c r="GC346" i="15"/>
  <c r="GC330" i="15"/>
  <c r="GC313" i="15"/>
  <c r="GC296" i="15"/>
  <c r="GC280" i="15"/>
  <c r="GC264" i="15"/>
  <c r="GC247" i="15"/>
  <c r="GC230" i="15"/>
  <c r="GC213" i="15"/>
  <c r="GC197" i="15"/>
  <c r="GC180" i="15"/>
  <c r="GC163" i="15"/>
  <c r="GC147" i="15"/>
  <c r="GC127" i="15"/>
  <c r="GC110" i="15"/>
  <c r="GC92" i="15"/>
  <c r="GC76" i="15"/>
  <c r="GC59" i="15"/>
  <c r="GC38" i="15"/>
  <c r="GC21" i="15"/>
  <c r="GC407" i="15"/>
  <c r="GC390" i="15"/>
  <c r="GC369" i="15"/>
  <c r="GC353" i="15"/>
  <c r="GC337" i="15"/>
  <c r="GC320" i="15"/>
  <c r="GC304" i="15"/>
  <c r="GC287" i="15"/>
  <c r="GC271" i="15"/>
  <c r="GC255" i="15"/>
  <c r="GC238" i="15"/>
  <c r="GC221" i="15"/>
  <c r="GC204" i="15"/>
  <c r="GC187" i="15"/>
  <c r="GC171" i="15"/>
  <c r="GC154" i="15"/>
  <c r="GC138" i="15"/>
  <c r="GC121" i="15"/>
  <c r="GC105" i="15"/>
  <c r="GC88" i="15"/>
  <c r="GC71" i="15"/>
  <c r="GC54" i="15"/>
  <c r="GC37" i="15"/>
  <c r="GC20" i="15"/>
  <c r="GC509" i="15"/>
  <c r="GC493" i="15"/>
  <c r="GC476" i="15"/>
  <c r="GC443" i="15"/>
  <c r="GC426" i="15"/>
  <c r="GC410" i="15"/>
  <c r="GC393" i="15"/>
  <c r="GC377" i="15"/>
  <c r="GC360" i="15"/>
  <c r="GC344" i="15"/>
  <c r="GC328" i="15"/>
  <c r="GC311" i="15"/>
  <c r="GC294" i="15"/>
  <c r="GC278" i="15"/>
  <c r="GC262" i="15"/>
  <c r="GC245" i="15"/>
  <c r="GC228" i="15"/>
  <c r="GC211" i="15"/>
  <c r="GC195" i="15"/>
  <c r="GC178" i="15"/>
  <c r="GC161" i="15"/>
  <c r="GC145" i="15"/>
  <c r="GC129" i="15"/>
  <c r="GC112" i="15"/>
  <c r="GC95" i="15"/>
  <c r="GC78" i="15"/>
  <c r="GC57" i="15"/>
  <c r="GC40" i="15"/>
  <c r="GC23" i="15"/>
  <c r="GC380" i="15"/>
  <c r="GC35" i="15"/>
  <c r="GC860" i="15"/>
  <c r="GC844" i="15"/>
  <c r="GC828" i="15"/>
  <c r="GC811" i="15"/>
  <c r="GC794" i="15"/>
  <c r="GC778" i="15"/>
  <c r="GC759" i="15"/>
  <c r="GC744" i="15"/>
  <c r="GC727" i="15"/>
  <c r="GC686" i="15"/>
  <c r="GC670" i="15"/>
  <c r="GC653" i="15"/>
  <c r="GC636" i="15"/>
  <c r="GC619" i="15"/>
  <c r="GC602" i="15"/>
  <c r="GC586" i="15"/>
  <c r="GC570" i="15"/>
  <c r="GC554" i="15"/>
  <c r="GC537" i="15"/>
  <c r="GC520" i="15"/>
  <c r="GC491" i="15"/>
  <c r="GC441" i="15"/>
  <c r="GC859" i="15"/>
  <c r="GC843" i="15"/>
  <c r="GC826" i="15"/>
  <c r="GC810" i="15"/>
  <c r="GC793" i="15"/>
  <c r="GC777" i="15"/>
  <c r="GC758" i="15"/>
  <c r="GC743" i="15"/>
  <c r="GC726" i="15"/>
  <c r="GC685" i="15"/>
  <c r="GC669" i="15"/>
  <c r="GC652" i="15"/>
  <c r="GC635" i="15"/>
  <c r="GC618" i="15"/>
  <c r="GC601" i="15"/>
  <c r="GC585" i="15"/>
  <c r="GC569" i="15"/>
  <c r="GC553" i="15"/>
  <c r="GC536" i="15"/>
  <c r="GC519" i="15"/>
  <c r="GC489" i="15"/>
  <c r="GC440" i="15"/>
  <c r="GC858" i="15"/>
  <c r="GC842" i="15"/>
  <c r="GC825" i="15"/>
  <c r="GC809" i="15"/>
  <c r="GC792" i="15"/>
  <c r="GC776" i="15"/>
  <c r="GC774" i="15"/>
  <c r="GC742" i="15"/>
  <c r="GC725" i="15"/>
  <c r="GC684" i="15"/>
  <c r="GC668" i="15"/>
  <c r="GC651" i="15"/>
  <c r="GC634" i="15"/>
  <c r="GC613" i="15"/>
  <c r="GC596" i="15"/>
  <c r="GC580" i="15"/>
  <c r="GC560" i="15"/>
  <c r="GC543" i="15"/>
  <c r="GC526" i="15"/>
  <c r="GC503" i="15"/>
  <c r="GC453" i="15"/>
  <c r="GC420" i="15"/>
  <c r="GC853" i="15"/>
  <c r="GC837" i="15"/>
  <c r="GC820" i="15"/>
  <c r="GC804" i="15"/>
  <c r="GC787" i="15"/>
  <c r="GC768" i="15"/>
  <c r="GC754" i="15"/>
  <c r="GC737" i="15"/>
  <c r="GC720" i="15"/>
  <c r="GC679" i="15"/>
  <c r="GC662" i="15"/>
  <c r="GC646" i="15"/>
  <c r="GC630" i="15"/>
  <c r="GC612" i="15"/>
  <c r="GC595" i="15"/>
  <c r="GC579" i="15"/>
  <c r="GC563" i="15"/>
  <c r="GC546" i="15"/>
  <c r="GC530" i="15"/>
  <c r="GC510" i="15"/>
  <c r="GC477" i="15"/>
  <c r="GC427" i="15"/>
  <c r="GC508" i="15"/>
  <c r="GC492" i="15"/>
  <c r="GC475" i="15"/>
  <c r="GC446" i="15"/>
  <c r="GC430" i="15"/>
  <c r="GC413" i="15"/>
  <c r="GC396" i="15"/>
  <c r="GC379" i="15"/>
  <c r="GC363" i="15"/>
  <c r="GC347" i="15"/>
  <c r="GC331" i="15"/>
  <c r="GC314" i="15"/>
  <c r="GC297" i="15"/>
  <c r="GC281" i="15"/>
  <c r="GC261" i="15"/>
  <c r="GC244" i="15"/>
  <c r="GC227" i="15"/>
  <c r="GC210" i="15"/>
  <c r="GC194" i="15"/>
  <c r="GC177" i="15"/>
  <c r="GC160" i="15"/>
  <c r="GC144" i="15"/>
  <c r="GC128" i="15"/>
  <c r="GC111" i="15"/>
  <c r="GC94" i="15"/>
  <c r="GC77" i="15"/>
  <c r="GC60" i="15"/>
  <c r="GC44" i="15"/>
  <c r="GC22" i="15"/>
  <c r="GC408" i="15"/>
  <c r="GC391" i="15"/>
  <c r="GC375" i="15"/>
  <c r="GC358" i="15"/>
  <c r="GC342" i="15"/>
  <c r="GC326" i="15"/>
  <c r="GC309" i="15"/>
  <c r="GC292" i="15"/>
  <c r="GC276" i="15"/>
  <c r="GC260" i="15"/>
  <c r="GC243" i="15"/>
  <c r="GC226" i="15"/>
  <c r="GC209" i="15"/>
  <c r="GC193" i="15"/>
  <c r="GC176" i="15"/>
  <c r="GC159" i="15"/>
  <c r="GC139" i="15"/>
  <c r="GC122" i="15"/>
  <c r="GC106" i="15"/>
  <c r="GC89" i="15"/>
  <c r="GC72" i="15"/>
  <c r="GC55" i="15"/>
  <c r="GC34" i="15"/>
  <c r="GC17" i="15"/>
  <c r="GC402" i="15"/>
  <c r="GC386" i="15"/>
  <c r="GC365" i="15"/>
  <c r="GC349" i="15"/>
  <c r="GC333" i="15"/>
  <c r="GC316" i="15"/>
  <c r="GC300" i="15"/>
  <c r="GC283" i="15"/>
  <c r="GC267" i="15"/>
  <c r="GC251" i="15"/>
  <c r="GC234" i="15"/>
  <c r="GC216" i="15"/>
  <c r="GC200" i="15"/>
  <c r="GC183" i="15"/>
  <c r="GC166" i="15"/>
  <c r="GC150" i="15"/>
  <c r="GC134" i="15"/>
  <c r="GC117" i="15"/>
  <c r="GC101" i="15"/>
  <c r="GC84" i="15"/>
  <c r="GC67" i="15"/>
  <c r="GC50" i="15"/>
  <c r="GC32" i="15"/>
  <c r="GC16" i="15"/>
  <c r="GC505" i="15"/>
  <c r="GC488" i="15"/>
  <c r="GC472" i="15"/>
  <c r="GC439" i="15"/>
  <c r="GC422" i="15"/>
  <c r="GC405" i="15"/>
  <c r="GC389" i="15"/>
  <c r="GC373" i="15"/>
  <c r="GC356" i="15"/>
  <c r="GC340" i="15"/>
  <c r="GC323" i="15"/>
  <c r="GC307" i="15"/>
  <c r="GC290" i="15"/>
  <c r="GC275" i="15"/>
  <c r="GC258" i="15"/>
  <c r="GC241" i="15"/>
  <c r="GC224" i="15"/>
  <c r="GC207" i="15"/>
  <c r="GC191" i="15"/>
  <c r="GC174" i="15"/>
  <c r="GC157" i="15"/>
  <c r="GC141" i="15"/>
  <c r="GC125" i="15"/>
  <c r="GC108" i="15"/>
  <c r="GC91" i="15"/>
  <c r="GC74" i="15"/>
  <c r="GC53" i="15"/>
  <c r="GC36" i="15"/>
  <c r="GC19" i="15"/>
  <c r="GC629" i="15"/>
  <c r="GC43" i="15"/>
  <c r="GC856" i="15"/>
  <c r="GC840" i="15"/>
  <c r="GC823" i="15"/>
  <c r="GC807" i="15"/>
  <c r="GC790" i="15"/>
  <c r="GC771" i="15"/>
  <c r="GC757" i="15"/>
  <c r="GC740" i="15"/>
  <c r="GC723" i="15"/>
  <c r="GC682" i="15"/>
  <c r="GC665" i="15"/>
  <c r="GC649" i="15"/>
  <c r="GC632" i="15"/>
  <c r="GC615" i="15"/>
  <c r="GC598" i="15"/>
  <c r="GC582" i="15"/>
  <c r="GC566" i="15"/>
  <c r="GC550" i="15"/>
  <c r="GC533" i="15"/>
  <c r="GC516" i="15"/>
  <c r="GC482" i="15"/>
  <c r="GC433" i="15"/>
  <c r="GC855" i="15"/>
  <c r="GC839" i="15"/>
  <c r="GC822" i="15"/>
  <c r="GC806" i="15"/>
  <c r="GC789" i="15"/>
  <c r="GC770" i="15"/>
  <c r="GC756" i="15"/>
  <c r="GC739" i="15"/>
  <c r="GC722" i="15"/>
  <c r="GC681" i="15"/>
  <c r="GC664" i="15"/>
  <c r="GC648" i="15"/>
  <c r="GC631" i="15"/>
  <c r="GC614" i="15"/>
  <c r="GC597" i="15"/>
  <c r="GC581" i="15"/>
  <c r="GC565" i="15"/>
  <c r="GC549" i="15"/>
  <c r="GC532" i="15"/>
  <c r="GC515" i="15"/>
  <c r="GC481" i="15"/>
  <c r="GC432" i="15"/>
  <c r="GC854" i="15"/>
  <c r="GC838" i="15"/>
  <c r="GC821" i="15"/>
  <c r="GC805" i="15"/>
  <c r="GC788" i="15"/>
  <c r="GC769" i="15"/>
  <c r="GC755" i="15"/>
  <c r="GC738" i="15"/>
  <c r="GC721" i="15"/>
  <c r="GC680" i="15"/>
  <c r="GC663" i="15"/>
  <c r="GC647" i="15"/>
  <c r="GC626" i="15"/>
  <c r="GC608" i="15"/>
  <c r="GC592" i="15"/>
  <c r="GC573" i="15"/>
  <c r="GC556" i="15"/>
  <c r="GC539" i="15"/>
  <c r="GC522" i="15"/>
  <c r="GC495" i="15"/>
  <c r="GC445" i="15"/>
  <c r="GC412" i="15"/>
  <c r="GC849" i="15"/>
  <c r="GC833" i="15"/>
  <c r="GC816" i="15"/>
  <c r="GC800" i="15"/>
  <c r="GC783" i="15"/>
  <c r="GC764" i="15"/>
  <c r="GC749" i="15"/>
  <c r="GC733" i="15"/>
  <c r="GC716" i="15"/>
  <c r="GC675" i="15"/>
  <c r="GC658" i="15"/>
  <c r="GC642" i="15"/>
  <c r="GC625" i="15"/>
  <c r="GC607" i="15"/>
  <c r="GC591" i="15"/>
  <c r="GC575" i="15"/>
  <c r="GC559" i="15"/>
  <c r="GC542" i="15"/>
  <c r="GC525" i="15"/>
  <c r="GC502" i="15"/>
  <c r="GC452" i="15"/>
  <c r="GC419" i="15"/>
  <c r="GC504" i="15"/>
  <c r="GC487" i="15"/>
  <c r="GC471" i="15"/>
  <c r="GC442" i="15"/>
  <c r="GC425" i="15"/>
  <c r="GC409" i="15"/>
  <c r="GC392" i="15"/>
  <c r="GC376" i="15"/>
  <c r="GC359" i="15"/>
  <c r="GC343" i="15"/>
  <c r="GC327" i="15"/>
  <c r="GC310" i="15"/>
  <c r="GC293" i="15"/>
  <c r="GC277" i="15"/>
  <c r="GC257" i="15"/>
  <c r="GC240" i="15"/>
  <c r="GC223" i="15"/>
  <c r="GC206" i="15"/>
  <c r="GC190" i="15"/>
  <c r="GC173" i="15"/>
  <c r="GC156" i="15"/>
  <c r="GC140" i="15"/>
  <c r="GC123" i="15"/>
  <c r="GC107" i="15"/>
  <c r="GC90" i="15"/>
  <c r="GC73" i="15"/>
  <c r="GC56" i="15"/>
  <c r="GC39" i="15"/>
  <c r="GC18" i="15"/>
  <c r="GC403" i="15"/>
  <c r="GC387" i="15"/>
  <c r="GC371" i="15"/>
  <c r="GC354" i="15"/>
  <c r="GC338" i="15"/>
  <c r="GC321" i="15"/>
  <c r="GC305" i="15"/>
  <c r="GC288" i="15"/>
  <c r="GC272" i="15"/>
  <c r="GC256" i="15"/>
  <c r="GC239" i="15"/>
  <c r="GC222" i="15"/>
  <c r="GC205" i="15"/>
  <c r="GC188" i="15"/>
  <c r="GC172" i="15"/>
  <c r="GC155" i="15"/>
  <c r="GC135" i="15"/>
  <c r="GC118" i="15"/>
  <c r="GC102" i="15"/>
  <c r="GC85" i="15"/>
  <c r="GC68" i="15"/>
  <c r="GC51" i="15"/>
  <c r="GC29" i="15"/>
  <c r="GC13" i="15"/>
  <c r="GC398" i="15"/>
  <c r="GC382" i="15"/>
  <c r="GC361" i="15"/>
  <c r="GC345" i="15"/>
  <c r="GC329" i="15"/>
  <c r="GC312" i="15"/>
  <c r="GC295" i="15"/>
  <c r="GC279" i="15"/>
  <c r="GC263" i="15"/>
  <c r="GC246" i="15"/>
  <c r="GC229" i="15"/>
  <c r="GC212" i="15"/>
  <c r="GC196" i="15"/>
  <c r="GC179" i="15"/>
  <c r="GC162" i="15"/>
  <c r="GC146" i="15"/>
  <c r="GC130" i="15"/>
  <c r="GC113" i="15"/>
  <c r="GC96" i="15"/>
  <c r="GC79" i="15"/>
  <c r="GC62" i="15"/>
  <c r="GC46" i="15"/>
  <c r="GC28" i="15"/>
  <c r="GC12" i="15"/>
  <c r="GC501" i="15"/>
  <c r="GC484" i="15"/>
  <c r="GC451" i="15"/>
  <c r="GC435" i="15"/>
  <c r="GC418" i="15"/>
  <c r="GC401" i="15"/>
  <c r="GC385" i="15"/>
  <c r="GC368" i="15"/>
  <c r="GC352" i="15"/>
  <c r="GC336" i="15"/>
  <c r="GC319" i="15"/>
  <c r="GC303" i="15"/>
  <c r="GC286" i="15"/>
  <c r="GC270" i="15"/>
  <c r="GC254" i="15"/>
  <c r="GC237" i="15"/>
  <c r="GC220" i="15"/>
  <c r="GC203" i="15"/>
  <c r="GC186" i="15"/>
  <c r="GC170" i="15"/>
  <c r="GC153" i="15"/>
  <c r="GC137" i="15"/>
  <c r="GC120" i="15"/>
  <c r="GC104" i="15"/>
  <c r="GC87" i="15"/>
  <c r="GC70" i="15"/>
  <c r="GC49" i="15"/>
  <c r="GC31" i="15"/>
  <c r="GC15" i="15"/>
  <c r="GC66" i="15"/>
  <c r="GC852" i="15"/>
  <c r="GC819" i="15"/>
  <c r="GC786" i="15"/>
  <c r="GC767" i="15"/>
  <c r="GC752" i="15"/>
  <c r="GC736" i="15"/>
  <c r="GC719" i="15"/>
  <c r="GC678" i="15"/>
  <c r="GC661" i="15"/>
  <c r="GC645" i="15"/>
  <c r="GC628" i="15"/>
  <c r="GC611" i="15"/>
  <c r="GC594" i="15"/>
  <c r="GC578" i="15"/>
  <c r="GC562" i="15"/>
  <c r="GC545" i="15"/>
  <c r="GC529" i="15"/>
  <c r="GC507" i="15"/>
  <c r="GC474" i="15"/>
  <c r="GC424" i="15"/>
  <c r="GC851" i="15"/>
  <c r="GC835" i="15"/>
  <c r="GC818" i="15"/>
  <c r="GC802" i="15"/>
  <c r="GC785" i="15"/>
  <c r="GC766" i="15"/>
  <c r="GC751" i="15"/>
  <c r="GC735" i="15"/>
  <c r="GC718" i="15"/>
  <c r="GC677" i="15"/>
  <c r="GC660" i="15"/>
  <c r="GC644" i="15"/>
  <c r="GC627" i="15"/>
  <c r="GC609" i="15"/>
  <c r="GC593" i="15"/>
  <c r="GC577" i="15"/>
  <c r="GC561" i="15"/>
  <c r="GC544" i="15"/>
  <c r="GC527" i="15"/>
  <c r="GC506" i="15"/>
  <c r="GC473" i="15"/>
  <c r="GC423" i="15"/>
  <c r="GC850" i="15"/>
  <c r="GC834" i="15"/>
  <c r="GC817" i="15"/>
  <c r="GC801" i="15"/>
  <c r="GC784" i="15"/>
  <c r="GC765" i="15"/>
  <c r="GC750" i="15"/>
  <c r="GC734" i="15"/>
  <c r="GC717" i="15"/>
  <c r="GC676" i="15"/>
  <c r="GC659" i="15"/>
  <c r="GC643" i="15"/>
  <c r="GC622" i="15"/>
  <c r="GC604" i="15"/>
  <c r="GC588" i="15"/>
  <c r="GC568" i="15"/>
  <c r="GC552" i="15"/>
  <c r="GC535" i="15"/>
  <c r="GC518" i="15"/>
  <c r="GC486" i="15"/>
  <c r="GC437" i="15"/>
  <c r="GC861" i="15"/>
  <c r="GC845" i="15"/>
  <c r="GC829" i="15"/>
  <c r="GC812" i="15"/>
  <c r="GC796" i="15"/>
  <c r="GC779" i="15"/>
  <c r="GC760" i="15"/>
  <c r="GC745" i="15"/>
  <c r="GC728" i="15"/>
  <c r="GC688" i="15"/>
  <c r="GC671" i="15"/>
  <c r="GC654" i="15"/>
  <c r="GC637" i="15"/>
  <c r="GC621" i="15"/>
  <c r="GC603" i="15"/>
  <c r="GC587" i="15"/>
  <c r="GC571" i="15"/>
  <c r="GC555" i="15"/>
  <c r="GC538" i="15"/>
  <c r="GC521" i="15"/>
  <c r="GC494" i="15"/>
  <c r="GC444" i="15"/>
  <c r="GC411" i="15"/>
  <c r="GC500" i="15"/>
  <c r="GC483" i="15"/>
  <c r="GC455" i="15"/>
  <c r="GC438" i="15"/>
  <c r="GC421" i="15"/>
  <c r="GC404" i="15"/>
  <c r="GC388" i="15"/>
  <c r="GC372" i="15"/>
  <c r="GC355" i="15"/>
  <c r="GC339" i="15"/>
  <c r="GC322" i="15"/>
  <c r="GC306" i="15"/>
  <c r="GC289" i="15"/>
  <c r="GC273" i="15"/>
  <c r="GC253" i="15"/>
  <c r="GC236" i="15"/>
  <c r="GC219" i="15"/>
  <c r="GC202" i="15"/>
  <c r="GC185" i="15"/>
  <c r="GC169" i="15"/>
  <c r="GC152" i="15"/>
  <c r="GC136" i="15"/>
  <c r="GC119" i="15"/>
  <c r="GC103" i="15"/>
  <c r="GC86" i="15"/>
  <c r="GC69" i="15"/>
  <c r="GC52" i="15"/>
  <c r="GC30" i="15"/>
  <c r="GC14" i="15"/>
  <c r="GC399" i="15"/>
  <c r="GC383" i="15"/>
  <c r="GC366" i="15"/>
  <c r="GC350" i="15"/>
  <c r="GC334" i="15"/>
  <c r="GC317" i="15"/>
  <c r="GC301" i="15"/>
  <c r="GC284" i="15"/>
  <c r="GC268" i="15"/>
  <c r="GC252" i="15"/>
  <c r="GC235" i="15"/>
  <c r="GC217" i="15"/>
  <c r="GC201" i="15"/>
  <c r="GC184" i="15"/>
  <c r="GC168" i="15"/>
  <c r="GC151" i="15"/>
  <c r="GC131" i="15"/>
  <c r="GC114" i="15"/>
  <c r="GC98" i="15"/>
  <c r="GC80" i="15"/>
  <c r="GC63" i="15"/>
  <c r="GC47" i="15"/>
  <c r="GC25" i="15"/>
  <c r="GC9" i="15"/>
  <c r="GC394" i="15"/>
  <c r="GC374" i="15"/>
  <c r="GC357" i="15"/>
  <c r="GC341" i="15"/>
  <c r="GC325" i="15"/>
  <c r="GC308" i="15"/>
  <c r="GC291" i="15"/>
  <c r="GC274" i="15"/>
  <c r="GC259" i="15"/>
  <c r="GC242" i="15"/>
  <c r="GC225" i="15"/>
  <c r="GC208" i="15"/>
  <c r="GC192" i="15"/>
  <c r="GC175" i="15"/>
  <c r="GC158" i="15"/>
  <c r="GC142" i="15"/>
  <c r="GC126" i="15"/>
  <c r="GC109" i="15"/>
  <c r="GC93" i="15"/>
  <c r="GC75" i="15"/>
  <c r="GC58" i="15"/>
  <c r="GC42" i="15"/>
  <c r="GC24" i="15"/>
  <c r="GC514" i="15"/>
  <c r="GC497" i="15"/>
  <c r="GC480" i="15"/>
  <c r="GC447" i="15"/>
  <c r="GC431" i="15"/>
  <c r="GC414" i="15"/>
  <c r="GC397" i="15"/>
  <c r="GC381" i="15"/>
  <c r="GC364" i="15"/>
  <c r="GC348" i="15"/>
  <c r="GC332" i="15"/>
  <c r="GC315" i="15"/>
  <c r="GC298" i="15"/>
  <c r="GC282" i="15"/>
  <c r="GC266" i="15"/>
  <c r="GC249" i="15"/>
  <c r="GC233" i="15"/>
  <c r="GC215" i="15"/>
  <c r="GC199" i="15"/>
  <c r="GC182" i="15"/>
  <c r="GC165" i="15"/>
  <c r="GC149" i="15"/>
  <c r="GC133" i="15"/>
  <c r="GC116" i="15"/>
  <c r="GC100" i="15"/>
  <c r="GC83" i="15"/>
  <c r="GC61" i="15"/>
  <c r="GC45" i="15"/>
  <c r="GC27" i="15"/>
  <c r="GC11" i="15"/>
  <c r="GC8" i="15"/>
  <c r="N41" i="13"/>
  <c r="N40" i="13"/>
  <c r="U8"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tc={FAC66F45-CC2B-4C59-9528-6AF58DB1C893}</author>
    <author>tc={48C5FC83-450E-42EB-A158-332794E251A3}</author>
    <author>tc={61403145-B9D3-47D9-BAAF-4500482E6CA9}</author>
    <author>tc={D350B5C5-DFF9-4964-8E7D-E1C8E0AC208B}</author>
    <author>tc={84A4AD66-6B36-4FC2-9E34-47FA4D324262}</author>
    <author>tc={F3E83B16-6DF3-4C30-8226-F90880985A0E}</author>
    <author>tc={863FC372-88E6-484F-9007-B7A53CFA37A9}</author>
    <author>tc={CD2E8AB5-D9E2-4398-ACC3-EFCF6959AB4E}</author>
    <author>tc={0CB00338-FCFE-4C9F-937D-7603C0A92CAF}</author>
    <author>tc={0FEAE6F7-1851-4F10-BA7B-3CC631E3FC7A}</author>
    <author>tc={C2286DE1-3585-4BF3-B7D2-E69D8AAED1C0}</author>
    <author>tc={3E18D08C-DB04-4B56-820B-700A3CA11D24}</author>
  </authors>
  <commentList>
    <comment ref="AB5" authorId="0" shapeId="0" xr:uid="{FAC66F45-CC2B-4C59-9528-6AF58DB1C893}">
      <text>
        <t>[Threaded comment]
Your version of Excel allows you to read this threaded comment; however, any edits to it will get removed if the file is opened in a newer version of Excel. Learn more: https://go.microsoft.com/fwlink/?linkid=870924
Comment:
     Projection from 2026 population census figures</t>
      </text>
    </comment>
    <comment ref="BJ5" authorId="1" shapeId="0" xr:uid="{48C5FC83-450E-42EB-A158-332794E251A3}">
      <text>
        <t>[Threaded comment]
Your version of Excel allows you to read this threaded comment; however, any edits to it will get removed if the file is opened in a newer version of Excel. Learn more: https://go.microsoft.com/fwlink/?linkid=870924
Comment:
    Assumption: 2 persons per net</t>
      </text>
    </comment>
    <comment ref="BR5" authorId="2" shapeId="0" xr:uid="{61403145-B9D3-47D9-BAAF-4500482E6CA9}">
      <text>
        <t>[Threaded comment]
Your version of Excel allows you to read this threaded comment; however, any edits to it will get removed if the file is opened in a newer version of Excel. Learn more: https://go.microsoft.com/fwlink/?linkid=870924
Comment:
    0.5kg Bti per hectare   
  24 contact times</t>
      </text>
    </comment>
    <comment ref="CA5" authorId="3" shapeId="0" xr:uid="{D350B5C5-DFF9-4964-8E7D-E1C8E0AC208B}">
      <text>
        <t xml:space="preserve">[Threaded comment]
Your version of Excel allows you to read this threaded comment; however, any edits to it will get removed if the file is opened in a newer version of Excel. Learn more: https://go.microsoft.com/fwlink/?linkid=870924
Comment:
    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
      </text>
    </comment>
    <comment ref="CB5" authorId="4" shapeId="0" xr:uid="{84A4AD66-6B36-4FC2-9E34-47FA4D324262}">
      <text>
        <t xml:space="preserve">[Threaded comment]
Your version of Excel allows you to read this threaded comment; however, any edits to it will get removed if the file is opened in a newer version of Excel. Learn more: https://go.microsoft.com/fwlink/?linkid=870924
Comment:
    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
      </text>
    </comment>
    <comment ref="CE5" authorId="5" shapeId="0" xr:uid="{F3E83B16-6DF3-4C30-8226-F90880985A0E}">
      <text>
        <t>[Threaded comment]
Your version of Excel allows you to read this threaded comment; however, any edits to it will get removed if the file is opened in a newer version of Excel. Learn more: https://go.microsoft.com/fwlink/?linkid=870924
Comment:
    The quantification of case management commodities was done by GF for each state without disaggregating to LGAs. We decided to disaggregate proportionately to the LGAs using the proportionate distribution of the pregnant women among the LGAs.</t>
      </text>
    </comment>
    <comment ref="CI5" authorId="6" shapeId="0" xr:uid="{863FC372-88E6-484F-9007-B7A53CFA37A9}">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K5" authorId="7" shapeId="0" xr:uid="{CD2E8AB5-D9E2-4398-ACC3-EFCF6959AB4E}">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M5" authorId="8" shapeId="0" xr:uid="{0CB00338-FCFE-4C9F-937D-7603C0A92CAF}">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O5" authorId="9" shapeId="0" xr:uid="{0FEAE6F7-1851-4F10-BA7B-3CC631E3FC7A}">
      <text>
        <t>[Threaded comment]
Your version of Excel allows you to read this threaded comment; however, any edits to it will get removed if the file is opened in a newer version of Excel. Learn more: https://go.microsoft.com/fwlink/?linkid=870924
Comment: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text>
    </comment>
    <comment ref="CT5" authorId="10" shapeId="0" xr:uid="{C2286DE1-3585-4BF3-B7D2-E69D8AAED1C0}">
      <text>
        <t>[Threaded comment]
Your version of Excel allows you to read this threaded comment; however, any edits to it will get removed if the file is opened in a newer version of Excel. Learn more: https://go.microsoft.com/fwlink/?linkid=870924
Comment:
    The cost of distribution from the state’s store to the LGAs and from LGAs to the distribution hubs (costed per bale of ITNs) was separated from the operational (campaign) cost.</t>
      </text>
    </comment>
    <comment ref="FG5" authorId="11" shapeId="0" xr:uid="{3E18D08C-DB04-4B56-820B-700A3CA11D24}">
      <text>
        <t>[Threaded comment]
Your version of Excel allows you to read this threaded comment; however, any edits to it will get removed if the file is opened in a newer version of Excel. Learn more: https://go.microsoft.com/fwlink/?linkid=870924
Comment:
    Assumptions:
% Seeking healthcare services
 in public sector = 42.3
% Seeking healthcare services in private sector = 57.7</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tc={5BE39BA5-06A4-4ABD-8D1F-9283D2E9FB77}</author>
    <author>tc={E26E37B0-61C0-4FE5-8DCE-7F94255A97ED}</author>
    <author>tc={C02134E5-CA00-4005-917B-23AA55A66366}</author>
    <author>tc={B4B5A0B7-95C1-43A7-8AAA-BF2CF7D3816A}</author>
    <author>tc={0ECB775D-2291-4B50-A4E5-316B2109B014}</author>
    <author>tc={AEB1441D-8BAC-4F4A-B9E5-27C59855B672}</author>
    <author>tc={EB7D1C1A-D241-4705-B373-03FD683096B3}</author>
    <author>tc={81F0E95A-D366-4953-9260-48EEB7D41F8A}</author>
    <author>tc={DF1CDEE7-FA54-4DF6-9271-D0E99C5079AD}</author>
    <author>tc={64C1DB81-2AF9-420D-BD5C-577AB5F01E82}</author>
    <author>tc={DDCC49D2-292A-4E23-BC7F-2BBA80A13122}</author>
    <author>tc={4F7AF70C-4C86-4596-84D6-01A4DA5B67AF}</author>
    <author>tc={2B9447F1-F676-49E5-A924-EC98C50C514A}</author>
    <author>tc={0202E146-480E-4D29-9414-D27DECEDFE7B}</author>
    <author>tc={C46A8A46-F42B-4F07-A93A-4EF6E61E4F21}</author>
    <author>tc={AD32D12E-BCE2-4147-964B-A5343AF134E2}</author>
    <author>tc={1D84C444-CA67-4C08-B3ED-14F51E1F4EB9}</author>
    <author>tc={F6144A0C-84B2-4615-AA73-D31CFD1D8DD1}</author>
    <author>tc={FF3F3A84-F50C-400F-9708-FA95C0E3E73D}</author>
    <author>tc={0EC63946-0398-4940-8E26-43667EA0E3C3}</author>
    <author>tc={27F82091-49F1-491C-BFD1-237D2C7ABCA0}</author>
    <author>tc={7DA188D9-67DE-4A2D-A0B1-B32843F204F7}</author>
  </authors>
  <commentList>
    <comment ref="F12" authorId="0" shapeId="0" xr:uid="{5BE39BA5-06A4-4ABD-8D1F-9283D2E9FB77}">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13" authorId="1" shapeId="0" xr:uid="{E26E37B0-61C0-4FE5-8DCE-7F94255A97ED}">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14" authorId="2" shapeId="0" xr:uid="{C02134E5-CA00-4005-917B-23AA55A66366}">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15" authorId="3" shapeId="0" xr:uid="{B4B5A0B7-95C1-43A7-8AAA-BF2CF7D3816A}">
      <text>
        <t>[Threaded comment]
Your version of Excel allows you to read this threaded comment; however, any edits to it will get removed if the file is opened in a newer version of Excel. Learn more: https://go.microsoft.com/fwlink/?linkid=870924
Comment:
    Depends on the number of supported HFs. e.g assume 720 HFs are supported</t>
      </text>
    </comment>
    <comment ref="F16" authorId="4" shapeId="0" xr:uid="{0ECB775D-2291-4B50-A4E5-316B2109B014}">
      <text>
        <t>[Threaded comment]
Your version of Excel allows you to read this threaded comment; however, any edits to it will get removed if the file is opened in a newer version of Excel. Learn more: https://go.microsoft.com/fwlink/?linkid=870924
Comment:
    Depends on the bumber LGA in the state</t>
      </text>
    </comment>
    <comment ref="F17" authorId="5" shapeId="0" xr:uid="{AEB1441D-8BAC-4F4A-B9E5-27C59855B672}">
      <text>
        <t>[Threaded comment]
Your version of Excel allows you to read this threaded comment; however, any edits to it will get removed if the file is opened in a newer version of Excel. Learn more: https://go.microsoft.com/fwlink/?linkid=870924
Comment:
    OIC and LGA team are entitled for lunch</t>
      </text>
    </comment>
    <comment ref="Q20" authorId="6" shapeId="0" xr:uid="{EB7D1C1A-D241-4705-B373-03FD683096B3}">
      <text>
        <t xml:space="preserve">[Threaded comment]
Your version of Excel allows you to read this threaded comment; however, any edits to it will get removed if the file is opened in a newer version of Excel. Learn more: https://go.microsoft.com/fwlink/?linkid=870924
Comment:
    </t>
      </text>
    </comment>
    <comment ref="F22" authorId="7" shapeId="0" xr:uid="{81F0E95A-D366-4953-9260-48EEB7D41F8A}">
      <text>
        <t>[Threaded comment]
Your version of Excel allows you to read this threaded comment; however, any edits to it will get removed if the file is opened in a newer version of Excel. Learn more: https://go.microsoft.com/fwlink/?linkid=870924
Comment:
    Depends on the no of SHF and THFs in the state. assume there are 45 secondary and tertiary HFs</t>
      </text>
    </comment>
    <comment ref="F23" authorId="8" shapeId="0" xr:uid="{DF1CDEE7-FA54-4DF6-9271-D0E99C5079AD}">
      <text>
        <t>[Threaded comment]
Your version of Excel allows you to read this threaded comment; however, any edits to it will get removed if the file is opened in a newer version of Excel. Learn more: https://go.microsoft.com/fwlink/?linkid=870924
Comment:
    Depends on the no of SHF and THFs in the state. assume there are 45 secondary and tertiary HFs</t>
      </text>
    </comment>
    <comment ref="F28" authorId="9" shapeId="0" xr:uid="{64C1DB81-2AF9-420D-BD5C-577AB5F01E82}">
      <text>
        <t>[Threaded comment]
Your version of Excel allows you to read this threaded comment; however, any edits to it will get removed if the file is opened in a newer version of Excel. Learn more: https://go.microsoft.com/fwlink/?linkid=870924
Comment:
    Depends on the number of HFs in the state. Each validation officer will visit maximum of 2HFs per day. Assume the total no of HF is 890</t>
      </text>
    </comment>
    <comment ref="F29" authorId="10" shapeId="0" xr:uid="{DDCC49D2-292A-4E23-BC7F-2BBA80A13122}">
      <text>
        <t>[Threaded comment]
Your version of Excel allows you to read this threaded comment; however, any edits to it will get removed if the file is opened in a newer version of Excel. Learn more: https://go.microsoft.com/fwlink/?linkid=870924
Comment:
    Depends on the total no of LGAs in the state. Assume we have 40 LGAs</t>
      </text>
    </comment>
    <comment ref="F30" authorId="11" shapeId="0" xr:uid="{4F7AF70C-4C86-4596-84D6-01A4DA5B67AF}">
      <text>
        <t>[Threaded comment]
Your version of Excel allows you to read this threaded comment; however, any edits to it will get removed if the file is opened in a newer version of Excel. Learn more: https://go.microsoft.com/fwlink/?linkid=870924
Comment:
    Depends on the number of HFs in the state. Each validation officer will visit maximum of 2HFs per day. Assume the total no of HF is 890</t>
      </text>
    </comment>
    <comment ref="F35" authorId="12" shapeId="0" xr:uid="{2B9447F1-F676-49E5-A924-EC98C50C514A}">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5 persons</t>
      </text>
    </comment>
    <comment ref="F36" authorId="13" shapeId="0" xr:uid="{0202E146-480E-4D29-9414-D27DECEDFE7B}">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5 persons</t>
      </text>
    </comment>
    <comment ref="F37" authorId="14" shapeId="0" xr:uid="{C46A8A46-F42B-4F07-A93A-4EF6E61E4F21}">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38" authorId="15" shapeId="0" xr:uid="{AD32D12E-BCE2-4147-964B-A5343AF134E2}">
      <text>
        <t>[Threaded comment]
Your version of Excel allows you to read this threaded comment; however, any edits to it will get removed if the file is opened in a newer version of Excel. Learn more: https://go.microsoft.com/fwlink/?linkid=870924
Comment:
    Depends on the number of supported HFs. e.g assume 720 HFs are supported</t>
      </text>
    </comment>
    <comment ref="F44" authorId="16" shapeId="0" xr:uid="{1D84C444-CA67-4C08-B3ED-14F51E1F4EB9}">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49" authorId="17" shapeId="0" xr:uid="{F6144A0C-84B2-4615-AA73-D31CFD1D8DD1}">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50" authorId="18" shapeId="0" xr:uid="{FF3F3A84-F50C-400F-9708-FA95C0E3E73D}">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51" authorId="19" shapeId="0" xr:uid="{0EC63946-0398-4940-8E26-43667EA0E3C3}">
      <text>
        <t>[Threaded comment]
Your version of Excel allows you to read this threaded comment; however, any edits to it will get removed if the file is opened in a newer version of Excel. Learn more: https://go.microsoft.com/fwlink/?linkid=870924
Comment:
    Depends on the no of LGAs targeted for visit for the State supervisors. e.g 15 persons</t>
      </text>
    </comment>
    <comment ref="F52" authorId="20" shapeId="0" xr:uid="{27F82091-49F1-491C-BFD1-237D2C7ABCA0}">
      <text>
        <t xml:space="preserve">[Threaded comment]
Your version of Excel allows you to read this threaded comment; however, any edits to it will get removed if the file is opened in a newer version of Excel. Learn more: https://go.microsoft.com/fwlink/?linkid=870924
Comment:
    Depends on the no of LGAs 
</t>
      </text>
    </comment>
    <comment ref="F53" authorId="21" shapeId="0" xr:uid="{7DA188D9-67DE-4A2D-A0B1-B32843F204F7}">
      <text>
        <t>[Threaded comment]
Your version of Excel allows you to read this threaded comment; however, any edits to it will get removed if the file is opened in a newer version of Excel. Learn more: https://go.microsoft.com/fwlink/?linkid=870924
Comment:
    Total expected participants</t>
      </text>
    </comment>
  </commentList>
</comments>
</file>

<file path=xl/sharedStrings.xml><?xml version="1.0" encoding="utf-8"?>
<sst xmlns="http://schemas.openxmlformats.org/spreadsheetml/2006/main" count="11061" uniqueCount="2899">
  <si>
    <t>Budget File Version 0.1</t>
  </si>
  <si>
    <t>Contents</t>
  </si>
  <si>
    <t>Summary / Analysis Tabs</t>
  </si>
  <si>
    <t>NSP by Year</t>
  </si>
  <si>
    <t>Summary statistics of the national strategic plan budget (NSP) by year and objective.</t>
  </si>
  <si>
    <t>Summary / Analysis</t>
  </si>
  <si>
    <t>Description of summary / analysis tab</t>
  </si>
  <si>
    <t>Input Tabs</t>
  </si>
  <si>
    <t>Detailed Budget</t>
  </si>
  <si>
    <t>Detailed costing of resources required for NSP implementation listed by objective, strategy, activity, and sub-activity</t>
  </si>
  <si>
    <t>Unit Cost</t>
  </si>
  <si>
    <t>Underlying assumptions relating to resource-level unit costs and categorizations</t>
  </si>
  <si>
    <t>Reference Tabs</t>
  </si>
  <si>
    <t>Reference</t>
  </si>
  <si>
    <t>Description of reference tab</t>
  </si>
  <si>
    <t>Hidden Tabs</t>
  </si>
  <si>
    <t>Data Validation</t>
  </si>
  <si>
    <t>List of possible choices for cells that require data validation (e.g. drop down lists or formula-dependent lists)</t>
  </si>
  <si>
    <t>Notes</t>
  </si>
  <si>
    <t>This budget is intended to be a living document and summarizes the costing of the national strategic plan based on information available to date as provided by &lt;parties that provided input&gt;. As updates or new information become available regarding the NSP's objectives, strategies, activities, sub-activities, and the resources necessary to implement them, this document should be updated accordingly.</t>
  </si>
  <si>
    <t>THIS TAB SERVES ONLY AS A SECTION BREAK FOR WORKBOOK TAB ORGANIZATION</t>
  </si>
  <si>
    <t>THIS SHEET IS THEREFORE INTENTIONALLY BLANK</t>
  </si>
  <si>
    <t>Grand Total</t>
  </si>
  <si>
    <t>Total Need</t>
  </si>
  <si>
    <t>Total Funded</t>
  </si>
  <si>
    <t>Government</t>
  </si>
  <si>
    <t>GF Main</t>
  </si>
  <si>
    <t>GF PAAR</t>
  </si>
  <si>
    <t>PMI</t>
  </si>
  <si>
    <t>Other Partners</t>
  </si>
  <si>
    <t>Unfunded</t>
  </si>
  <si>
    <t>1 - Absolute priority</t>
  </si>
  <si>
    <t>2 - High priority</t>
  </si>
  <si>
    <t>3 - Medium priority</t>
  </si>
  <si>
    <t>4 - Low priority</t>
  </si>
  <si>
    <t>DETAILED BUDGET</t>
  </si>
  <si>
    <t>Table Organization</t>
  </si>
  <si>
    <t>Quantification</t>
  </si>
  <si>
    <t>Prioritization</t>
  </si>
  <si>
    <t>Row</t>
  </si>
  <si>
    <t>Costing Notes</t>
  </si>
  <si>
    <t>Resource Details</t>
  </si>
  <si>
    <t>Quantification Set Up</t>
  </si>
  <si>
    <t>Annual Total Quantity</t>
  </si>
  <si>
    <t>Grand</t>
  </si>
  <si>
    <t>Level</t>
  </si>
  <si>
    <t>Numbering</t>
  </si>
  <si>
    <t>Lvl 1 Header</t>
  </si>
  <si>
    <t>Lvl 2 Header</t>
  </si>
  <si>
    <t>Lvl 3 Header</t>
  </si>
  <si>
    <t>Lvl 4 Header</t>
  </si>
  <si>
    <t>Lvl Bottom Header</t>
  </si>
  <si>
    <t>Row Title</t>
  </si>
  <si>
    <t>Justification/
Assumption/
Comments</t>
  </si>
  <si>
    <t>Costing Progress Notations</t>
  </si>
  <si>
    <t>Unit Type</t>
  </si>
  <si>
    <t>Baseline Unit Cost (LCU)</t>
  </si>
  <si>
    <t>2023 Quant</t>
  </si>
  <si>
    <t>2024 Quant</t>
  </si>
  <si>
    <t>2025 Quant</t>
  </si>
  <si>
    <t>Total Quantity</t>
  </si>
  <si>
    <t>2023 Cost (LCU)</t>
  </si>
  <si>
    <t>2024 Cost (LCU)</t>
  </si>
  <si>
    <t>2025 Cost (LCU)</t>
  </si>
  <si>
    <t>Total Cost (LCU)</t>
  </si>
  <si>
    <t>Goal</t>
  </si>
  <si>
    <t/>
  </si>
  <si>
    <t>Objective</t>
  </si>
  <si>
    <t>Strategy</t>
  </si>
  <si>
    <t>Activity</t>
  </si>
  <si>
    <t>Sub-Activity</t>
  </si>
  <si>
    <t>Unit</t>
  </si>
  <si>
    <t>Refreshments</t>
  </si>
  <si>
    <t>Stationery</t>
  </si>
  <si>
    <t>UNIT COSTS</t>
  </si>
  <si>
    <t>Local Currency Unit (LCU)</t>
  </si>
  <si>
    <t>Economy</t>
  </si>
  <si>
    <t>Allocation Currency Unit (ACU)</t>
  </si>
  <si>
    <t>Resource Headline Details</t>
  </si>
  <si>
    <t>Reference Costs</t>
  </si>
  <si>
    <t>Additional Notes</t>
  </si>
  <si>
    <t>Reference Cost</t>
  </si>
  <si>
    <t>Resource</t>
  </si>
  <si>
    <t>Year</t>
  </si>
  <si>
    <t>Currency</t>
  </si>
  <si>
    <t>Cost</t>
  </si>
  <si>
    <t>LCU</t>
  </si>
  <si>
    <t>Source</t>
  </si>
  <si>
    <t>Updated</t>
  </si>
  <si>
    <t>Validated?</t>
  </si>
  <si>
    <t>Priority</t>
  </si>
  <si>
    <t>Inflation</t>
  </si>
  <si>
    <t>Yes/No</t>
  </si>
  <si>
    <t>Table Header Levels</t>
  </si>
  <si>
    <t>Currency Options</t>
  </si>
  <si>
    <t>Yes</t>
  </si>
  <si>
    <t>Overall</t>
  </si>
  <si>
    <t>Benchmark Currency Unit (BCU)</t>
  </si>
  <si>
    <t>No</t>
  </si>
  <si>
    <t>Level 1</t>
  </si>
  <si>
    <t>Level 2</t>
  </si>
  <si>
    <t>Level 3</t>
  </si>
  <si>
    <t>Level 4</t>
  </si>
  <si>
    <t>Level 5</t>
  </si>
  <si>
    <t>Costing Template Version 37</t>
  </si>
  <si>
    <t>Template Updated 4 March 2023</t>
  </si>
  <si>
    <t>Total Cost (USD)</t>
  </si>
  <si>
    <t>2023 Cost (USD)</t>
  </si>
  <si>
    <t>2024 Cost (USD)</t>
  </si>
  <si>
    <t>2025 Cost (USD)</t>
  </si>
  <si>
    <t>per unit</t>
  </si>
  <si>
    <t>USD</t>
  </si>
  <si>
    <t>Insecticides for IRS-Procurement</t>
  </si>
  <si>
    <t>Venue-Small hall-20 capacity in Abuja</t>
  </si>
  <si>
    <t>Venue-Medium size hall-50 capacity in Abuja</t>
  </si>
  <si>
    <t>Venue-Big hall-70 capacity in Abuja</t>
  </si>
  <si>
    <t>Venue-Auditorium in Abuja</t>
  </si>
  <si>
    <t>Venue-Small hall-20 capacity in state capital</t>
  </si>
  <si>
    <t>Venue-Medium size hall-50 capacity in state capital</t>
  </si>
  <si>
    <t>Venue-Big hall-70 capacity in state capital</t>
  </si>
  <si>
    <t>Venue-Auditorium in state capital</t>
  </si>
  <si>
    <t>Venue-Small hall-20 capacity in LGA</t>
  </si>
  <si>
    <t>Venue-Medium size hall-50 capacity in LGA</t>
  </si>
  <si>
    <t>Venue-Big hall-70 capacity in LGA</t>
  </si>
  <si>
    <t>Venue-Auditorium in LGA</t>
  </si>
  <si>
    <t>Training/workshop documents/materials</t>
  </si>
  <si>
    <t>Photocopy of document-per page</t>
  </si>
  <si>
    <t>Printing of document-per page</t>
  </si>
  <si>
    <t>Printing of booklets-Unit cost</t>
  </si>
  <si>
    <t>Tea break-Abuja</t>
  </si>
  <si>
    <t>Tea break-State capital</t>
  </si>
  <si>
    <t>Tea break-LGA</t>
  </si>
  <si>
    <t>Lunch-Abuja</t>
  </si>
  <si>
    <t>Lunch-State capital</t>
  </si>
  <si>
    <t>Lunch-LGA</t>
  </si>
  <si>
    <t>DSA-Abuja</t>
  </si>
  <si>
    <t>DSA-State capital</t>
  </si>
  <si>
    <t>DSA-LGA</t>
  </si>
  <si>
    <t>Airport Taxi (x4)</t>
  </si>
  <si>
    <t>Trasport within LGA</t>
  </si>
  <si>
    <t>Advocacy kits</t>
  </si>
  <si>
    <t>NGN</t>
  </si>
  <si>
    <t>Nigeria</t>
  </si>
  <si>
    <t>Quantity</t>
  </si>
  <si>
    <t>Person</t>
  </si>
  <si>
    <t>Frequency</t>
  </si>
  <si>
    <t>2021 Quant</t>
  </si>
  <si>
    <t>2022 Quant</t>
  </si>
  <si>
    <t>2021 Cost (LCU)</t>
  </si>
  <si>
    <t>2022 Cost (LCU)</t>
  </si>
  <si>
    <t>National Malaria Pragmatic Plan Budget by Objective</t>
  </si>
  <si>
    <t>Improve access and utilization of vector control interventions to at least 80% of targeted population by 2025</t>
  </si>
  <si>
    <t>To achieve a parasite prevalence of less than 10% and reduce mortality attributable to malaria to less than 50 deaths per 1,000 livebirths by 2025</t>
  </si>
  <si>
    <t>Ensure provision of chemoprevention, diagnosis and appropriate treatment for 80% of the target populations at risk by 2025</t>
  </si>
  <si>
    <t>To improve generation of evidence for decision making and impact through reporting of quality malaria data and information from at least 80% of health facilities (public and private) and other data sources including surveillance, surveys and operations research by 2025</t>
  </si>
  <si>
    <t>Strengthen coordination, collaboration, and strategic partnership to promote efficiency and effectiveness of malaria control activities towards achieving at least 75% improvement from baseline using a standardized OCA tool</t>
  </si>
  <si>
    <t>Improve funding for malaria control by at least 25% annually through predictable and innovative sources to ensure sustainability at federal and sub-national levels</t>
  </si>
  <si>
    <t>Implementation Level</t>
  </si>
  <si>
    <t>IRS</t>
  </si>
  <si>
    <t>Procure and distribute insecticides and equipment for IRS</t>
  </si>
  <si>
    <t>Procure insecticides for IRS</t>
  </si>
  <si>
    <t>Procure equipment for IRS</t>
  </si>
  <si>
    <t>Equipment for IRS-Distribution</t>
  </si>
  <si>
    <t>Conduct community sensitization prior to IRS</t>
  </si>
  <si>
    <t>Conduct one community dialogue per ward for sesitization towards IRS</t>
  </si>
  <si>
    <t>Carry out IRS</t>
  </si>
  <si>
    <t>Facilitation fee-National</t>
  </si>
  <si>
    <t>Facilitation fee-State</t>
  </si>
  <si>
    <t>Facilitation fee-LGA</t>
  </si>
  <si>
    <t>Carry out the IRS exercise-30 persons per LGA for 5 days</t>
  </si>
  <si>
    <t>MALARIA CONTROL AND ELIMINATION PARTNERSHIP IN AFRICA(MACEPA, NIGERIA) - PATH</t>
  </si>
  <si>
    <t>S/N</t>
  </si>
  <si>
    <t>States</t>
  </si>
  <si>
    <t>Case Management</t>
  </si>
  <si>
    <t>Malaria Prevention</t>
  </si>
  <si>
    <t>Vector Control</t>
  </si>
  <si>
    <t>Intervention Counts</t>
  </si>
  <si>
    <t>SMC</t>
  </si>
  <si>
    <t>PMC</t>
  </si>
  <si>
    <t>IPTp</t>
  </si>
  <si>
    <t>IPTsc</t>
  </si>
  <si>
    <t>IPTi</t>
  </si>
  <si>
    <t>Vaccines</t>
  </si>
  <si>
    <t>Vaccines Pri</t>
  </si>
  <si>
    <t>Vaccines I</t>
  </si>
  <si>
    <t>Vaccines I Pri</t>
  </si>
  <si>
    <t>Vaccines II</t>
  </si>
  <si>
    <t>Vaccines III</t>
  </si>
  <si>
    <t>Vaccines IV</t>
  </si>
  <si>
    <t>Vaccines V</t>
  </si>
  <si>
    <t>Urban New LLIN (ITN)</t>
  </si>
  <si>
    <t>New Gen LLIN (ITN)</t>
  </si>
  <si>
    <t>LSM</t>
  </si>
  <si>
    <t xml:space="preserve">Pop (2006 Census) </t>
  </si>
  <si>
    <t>Annual Growth (%)</t>
  </si>
  <si>
    <t>Projected Pop (2025)</t>
  </si>
  <si>
    <t>% of U-5 Children</t>
  </si>
  <si>
    <t># of U-5 Children</t>
  </si>
  <si>
    <t># of Wards</t>
  </si>
  <si>
    <t># of SHFs</t>
  </si>
  <si>
    <t># of THFs</t>
  </si>
  <si>
    <t>Total # of HFs</t>
  </si>
  <si>
    <t>Intervention Mix</t>
  </si>
  <si>
    <t># of LLINs for Cont. Distribution</t>
  </si>
  <si>
    <t># of SP for IPTp</t>
  </si>
  <si>
    <t xml:space="preserve"># of IV Artesunate </t>
  </si>
  <si>
    <t>Procurement</t>
  </si>
  <si>
    <t>Distribution</t>
  </si>
  <si>
    <t>Operational</t>
  </si>
  <si>
    <t>Total</t>
  </si>
  <si>
    <t>SBC</t>
  </si>
  <si>
    <t>Resource Mobilization</t>
  </si>
  <si>
    <t>Benue</t>
  </si>
  <si>
    <t>1.1.1</t>
  </si>
  <si>
    <t>Ado</t>
  </si>
  <si>
    <t>X</t>
  </si>
  <si>
    <t>CM+IPTp+LLIN+PMC</t>
  </si>
  <si>
    <t>1.1.2</t>
  </si>
  <si>
    <t>Agatu</t>
  </si>
  <si>
    <t>CM+IPTp+LLIN+SMC</t>
  </si>
  <si>
    <t>1.1.3</t>
  </si>
  <si>
    <t>Apa</t>
  </si>
  <si>
    <t>1.1.4</t>
  </si>
  <si>
    <t>Buruku</t>
  </si>
  <si>
    <t>1.1.5</t>
  </si>
  <si>
    <t>Gboko</t>
  </si>
  <si>
    <t>1.1.6</t>
  </si>
  <si>
    <t>Guma</t>
  </si>
  <si>
    <t>1.1.7</t>
  </si>
  <si>
    <t>Gwer East</t>
  </si>
  <si>
    <t>1.1.8</t>
  </si>
  <si>
    <t>Gwer West</t>
  </si>
  <si>
    <t>1.1.9</t>
  </si>
  <si>
    <t>Katsina-Ala</t>
  </si>
  <si>
    <t>1.1.10</t>
  </si>
  <si>
    <t>Konshisha</t>
  </si>
  <si>
    <t>1.1.11</t>
  </si>
  <si>
    <t>Kwande</t>
  </si>
  <si>
    <t>1.1.12</t>
  </si>
  <si>
    <t>Logo</t>
  </si>
  <si>
    <t>1.1.13</t>
  </si>
  <si>
    <t>Makurdi</t>
  </si>
  <si>
    <t>1.1.14</t>
  </si>
  <si>
    <t>Obi1</t>
  </si>
  <si>
    <t>1.1.15</t>
  </si>
  <si>
    <t>Ogbadibo</t>
  </si>
  <si>
    <t>1.1.16</t>
  </si>
  <si>
    <t>Ohimini</t>
  </si>
  <si>
    <t>1.1.17</t>
  </si>
  <si>
    <t>Oju</t>
  </si>
  <si>
    <t>1.1.18</t>
  </si>
  <si>
    <t>Okpokwu</t>
  </si>
  <si>
    <t>1.1.19</t>
  </si>
  <si>
    <t>Oturkpo</t>
  </si>
  <si>
    <t>1.1.20</t>
  </si>
  <si>
    <t>Tarka</t>
  </si>
  <si>
    <t>1.1.21</t>
  </si>
  <si>
    <t>Ukum</t>
  </si>
  <si>
    <t>1.1.22</t>
  </si>
  <si>
    <t>Ushongo</t>
  </si>
  <si>
    <t>1.1.23</t>
  </si>
  <si>
    <t>Vandeikya</t>
  </si>
  <si>
    <t>Federal Capital Territory</t>
  </si>
  <si>
    <t>1.2.1</t>
  </si>
  <si>
    <t>Abaji</t>
  </si>
  <si>
    <t>CM+IPTp+LLIN-Urban+SMC</t>
  </si>
  <si>
    <t>1.2.2</t>
  </si>
  <si>
    <t>Abuja Municipal</t>
  </si>
  <si>
    <t>1.2.3</t>
  </si>
  <si>
    <t>Bwari</t>
  </si>
  <si>
    <t>1.2.4</t>
  </si>
  <si>
    <t>Gwagwalada</t>
  </si>
  <si>
    <t>1.2.5</t>
  </si>
  <si>
    <t>Kuje</t>
  </si>
  <si>
    <t>1.2.6</t>
  </si>
  <si>
    <t>Kwali</t>
  </si>
  <si>
    <t>Kogi</t>
  </si>
  <si>
    <t>1.3.1</t>
  </si>
  <si>
    <t>Adavi</t>
  </si>
  <si>
    <t>1.3.2</t>
  </si>
  <si>
    <t>Ajaokuta</t>
  </si>
  <si>
    <t>1.3.3</t>
  </si>
  <si>
    <t>Ankpa</t>
  </si>
  <si>
    <t>1.3.4</t>
  </si>
  <si>
    <t>Bassa1</t>
  </si>
  <si>
    <t>1.3.5</t>
  </si>
  <si>
    <t>Dekina</t>
  </si>
  <si>
    <t>1.3.6</t>
  </si>
  <si>
    <t>Ibaji</t>
  </si>
  <si>
    <t>1.3.7</t>
  </si>
  <si>
    <t>Idah</t>
  </si>
  <si>
    <t>1.3.8</t>
  </si>
  <si>
    <t>Igalamela-Odolu</t>
  </si>
  <si>
    <t>1.3.9</t>
  </si>
  <si>
    <t>Ijumu</t>
  </si>
  <si>
    <t>1.3.10</t>
  </si>
  <si>
    <t>Kabba/Bunu</t>
  </si>
  <si>
    <t>1.3.11</t>
  </si>
  <si>
    <t>1.3.12</t>
  </si>
  <si>
    <t>Lokoja</t>
  </si>
  <si>
    <t>1.3.13</t>
  </si>
  <si>
    <t>Mopa-Muro</t>
  </si>
  <si>
    <t>1.3.14</t>
  </si>
  <si>
    <t>Ofu</t>
  </si>
  <si>
    <t>1.3.15</t>
  </si>
  <si>
    <t>Ogori/Mangongo</t>
  </si>
  <si>
    <t>1.3.16</t>
  </si>
  <si>
    <t>Okehi</t>
  </si>
  <si>
    <t>1.3.17</t>
  </si>
  <si>
    <t>Okene</t>
  </si>
  <si>
    <t>1.3.18</t>
  </si>
  <si>
    <t>Olamabolo</t>
  </si>
  <si>
    <t>1.3.19</t>
  </si>
  <si>
    <t>Omala</t>
  </si>
  <si>
    <t>1.3.20</t>
  </si>
  <si>
    <t>Yagba East</t>
  </si>
  <si>
    <t>1.3.21</t>
  </si>
  <si>
    <t>Yagba West</t>
  </si>
  <si>
    <t>Kwara</t>
  </si>
  <si>
    <t>1.4.1</t>
  </si>
  <si>
    <t>Asa</t>
  </si>
  <si>
    <t>1.4.2</t>
  </si>
  <si>
    <t>Baruten</t>
  </si>
  <si>
    <t>1.4.3</t>
  </si>
  <si>
    <t>Edu</t>
  </si>
  <si>
    <t>1.4.4</t>
  </si>
  <si>
    <t>Ekiti</t>
  </si>
  <si>
    <t>1.4.5</t>
  </si>
  <si>
    <t>Ifelodun1</t>
  </si>
  <si>
    <t>1.4.6</t>
  </si>
  <si>
    <t>Ilorin East</t>
  </si>
  <si>
    <t>1.4.7</t>
  </si>
  <si>
    <t>Ilorin South</t>
  </si>
  <si>
    <t>1.4.8</t>
  </si>
  <si>
    <t>Ilorin West</t>
  </si>
  <si>
    <t>1.4.9</t>
  </si>
  <si>
    <t>Irepodun1</t>
  </si>
  <si>
    <t>1.4.10</t>
  </si>
  <si>
    <t>Isin</t>
  </si>
  <si>
    <t>1.4.11</t>
  </si>
  <si>
    <t>Kaiama</t>
  </si>
  <si>
    <t>1.4.12</t>
  </si>
  <si>
    <t>Moro</t>
  </si>
  <si>
    <t>1.4.13</t>
  </si>
  <si>
    <t>Offa</t>
  </si>
  <si>
    <t>1.4.14</t>
  </si>
  <si>
    <t>Oke-Ero</t>
  </si>
  <si>
    <t>1.4.15</t>
  </si>
  <si>
    <t>Oyun</t>
  </si>
  <si>
    <t>1.4.16</t>
  </si>
  <si>
    <t>Pategi</t>
  </si>
  <si>
    <t>Nasarawa</t>
  </si>
  <si>
    <t>1.5.1</t>
  </si>
  <si>
    <t>Akwanga</t>
  </si>
  <si>
    <t>1.5.2</t>
  </si>
  <si>
    <t>Awe</t>
  </si>
  <si>
    <t>1.5.3</t>
  </si>
  <si>
    <t>Doma</t>
  </si>
  <si>
    <t>1.5.4</t>
  </si>
  <si>
    <t>Karu</t>
  </si>
  <si>
    <t>1.5.5</t>
  </si>
  <si>
    <t>Keana</t>
  </si>
  <si>
    <t>1.5.6</t>
  </si>
  <si>
    <t>Keffi</t>
  </si>
  <si>
    <t>1.5.7</t>
  </si>
  <si>
    <t>Kokona</t>
  </si>
  <si>
    <t>1.5.8</t>
  </si>
  <si>
    <t>Lafia</t>
  </si>
  <si>
    <t>1.5.9</t>
  </si>
  <si>
    <t>Nasarawa-Eggon</t>
  </si>
  <si>
    <t>1.5.10</t>
  </si>
  <si>
    <t>Nasarawa2</t>
  </si>
  <si>
    <t>1.5.11</t>
  </si>
  <si>
    <t>Obi2</t>
  </si>
  <si>
    <t>1.5.12</t>
  </si>
  <si>
    <t>Toto</t>
  </si>
  <si>
    <t>1.5.13</t>
  </si>
  <si>
    <t>Wamba</t>
  </si>
  <si>
    <t>Niger</t>
  </si>
  <si>
    <t>1.6.1</t>
  </si>
  <si>
    <t>Agaie</t>
  </si>
  <si>
    <t>1.6.2</t>
  </si>
  <si>
    <t>Agwara</t>
  </si>
  <si>
    <t>1.6.3</t>
  </si>
  <si>
    <t>Bida</t>
  </si>
  <si>
    <t>1.6.4</t>
  </si>
  <si>
    <t>Borgu</t>
  </si>
  <si>
    <t>1.6.5</t>
  </si>
  <si>
    <t>Bosso</t>
  </si>
  <si>
    <t>1.6.6</t>
  </si>
  <si>
    <t>Chanchaga</t>
  </si>
  <si>
    <t>1.6.7</t>
  </si>
  <si>
    <t>Edati</t>
  </si>
  <si>
    <t>1.6.8</t>
  </si>
  <si>
    <t>Gbako</t>
  </si>
  <si>
    <t>1.6.9</t>
  </si>
  <si>
    <t>Gurara</t>
  </si>
  <si>
    <t>1.6.10</t>
  </si>
  <si>
    <t>Katcha</t>
  </si>
  <si>
    <t>CM+IPTp+LLIN+SMC+IRS</t>
  </si>
  <si>
    <t>1.6.11</t>
  </si>
  <si>
    <t>Kontagora</t>
  </si>
  <si>
    <t>1.6.12</t>
  </si>
  <si>
    <t>Lapai</t>
  </si>
  <si>
    <t>1.6.13</t>
  </si>
  <si>
    <t>Lavun</t>
  </si>
  <si>
    <t>1.6.14</t>
  </si>
  <si>
    <t>Magama</t>
  </si>
  <si>
    <t>1.6.15</t>
  </si>
  <si>
    <t>Mariga</t>
  </si>
  <si>
    <t>1.6.16</t>
  </si>
  <si>
    <t>Mashegu</t>
  </si>
  <si>
    <t>1.6.17</t>
  </si>
  <si>
    <t>Mokwa</t>
  </si>
  <si>
    <t>1.6.18</t>
  </si>
  <si>
    <t>Muya</t>
  </si>
  <si>
    <t>1.6.19</t>
  </si>
  <si>
    <t>1.6.20</t>
  </si>
  <si>
    <t>Rafi</t>
  </si>
  <si>
    <t>1.6.21</t>
  </si>
  <si>
    <t>Rijau</t>
  </si>
  <si>
    <t>1.6.22</t>
  </si>
  <si>
    <t>Shiroro</t>
  </si>
  <si>
    <t>1.6.23</t>
  </si>
  <si>
    <t>Suleja</t>
  </si>
  <si>
    <t>1.6.24</t>
  </si>
  <si>
    <t>Tafa</t>
  </si>
  <si>
    <t>1.6.25</t>
  </si>
  <si>
    <t>Wushishi</t>
  </si>
  <si>
    <t>Plateau</t>
  </si>
  <si>
    <t>1.7.1</t>
  </si>
  <si>
    <t>Barikin Ladi</t>
  </si>
  <si>
    <t>1.7.2</t>
  </si>
  <si>
    <t>Bassa2</t>
  </si>
  <si>
    <t>1.7.3</t>
  </si>
  <si>
    <t>Bokkos</t>
  </si>
  <si>
    <t>1.7.4</t>
  </si>
  <si>
    <t>Jos East</t>
  </si>
  <si>
    <t>1.7.5</t>
  </si>
  <si>
    <t>Jos North</t>
  </si>
  <si>
    <t>1.7.6</t>
  </si>
  <si>
    <t>Jos South</t>
  </si>
  <si>
    <t>1.7.7</t>
  </si>
  <si>
    <t>Kanam</t>
  </si>
  <si>
    <t>1.7.8</t>
  </si>
  <si>
    <t>Kanke</t>
  </si>
  <si>
    <t>1.7.9</t>
  </si>
  <si>
    <t>Langtang North</t>
  </si>
  <si>
    <t>1.7.10</t>
  </si>
  <si>
    <t>Langtang South</t>
  </si>
  <si>
    <t>1.7.11</t>
  </si>
  <si>
    <t>Mangu</t>
  </si>
  <si>
    <t>1.7.12</t>
  </si>
  <si>
    <t>Mikang</t>
  </si>
  <si>
    <t>1.7.13</t>
  </si>
  <si>
    <t>Pankshin</t>
  </si>
  <si>
    <t>1.7.14</t>
  </si>
  <si>
    <t>Qua'an Pan</t>
  </si>
  <si>
    <t>1.7.15</t>
  </si>
  <si>
    <t>Riyom</t>
  </si>
  <si>
    <t>1.7.16</t>
  </si>
  <si>
    <t>Shendam</t>
  </si>
  <si>
    <t>1.7.17</t>
  </si>
  <si>
    <t>Wase</t>
  </si>
  <si>
    <t>Adamawa</t>
  </si>
  <si>
    <t>2.1.1</t>
  </si>
  <si>
    <t>Demsa</t>
  </si>
  <si>
    <t>CM+IPTp+LLIN</t>
  </si>
  <si>
    <t>2.1.2</t>
  </si>
  <si>
    <t>Fufore</t>
  </si>
  <si>
    <t>2.1.3</t>
  </si>
  <si>
    <t>2.1.4</t>
  </si>
  <si>
    <t>2.1.5</t>
  </si>
  <si>
    <t>Gombi</t>
  </si>
  <si>
    <t>2.1.6</t>
  </si>
  <si>
    <t>Guyuk</t>
  </si>
  <si>
    <t>2.1.7</t>
  </si>
  <si>
    <t>Hong</t>
  </si>
  <si>
    <t>2.1.8</t>
  </si>
  <si>
    <t>Jada</t>
  </si>
  <si>
    <t>2.1.9</t>
  </si>
  <si>
    <t>Lamurde</t>
  </si>
  <si>
    <t>2.1.10</t>
  </si>
  <si>
    <t>Madagali</t>
  </si>
  <si>
    <t>2.1.11</t>
  </si>
  <si>
    <t>Maiha</t>
  </si>
  <si>
    <t>2.1.12</t>
  </si>
  <si>
    <t>Mayo-Belwa</t>
  </si>
  <si>
    <t>2.1.13</t>
  </si>
  <si>
    <t>Michika</t>
  </si>
  <si>
    <t>2.1.14</t>
  </si>
  <si>
    <t>Mubi North</t>
  </si>
  <si>
    <t>2.1.15</t>
  </si>
  <si>
    <t>Mubi South</t>
  </si>
  <si>
    <t>2.1.16</t>
  </si>
  <si>
    <t>Numan</t>
  </si>
  <si>
    <t>2.1.17</t>
  </si>
  <si>
    <t>Shelleng</t>
  </si>
  <si>
    <t>2.1.18</t>
  </si>
  <si>
    <t>Song</t>
  </si>
  <si>
    <t>2.1.19</t>
  </si>
  <si>
    <t>Toungo</t>
  </si>
  <si>
    <t>2.1.20</t>
  </si>
  <si>
    <t>Yola North</t>
  </si>
  <si>
    <t>2.1.21</t>
  </si>
  <si>
    <t>Yola South</t>
  </si>
  <si>
    <t>Bauchi</t>
  </si>
  <si>
    <t>2.2.1</t>
  </si>
  <si>
    <t>Alkaleri</t>
  </si>
  <si>
    <t>2.2.2</t>
  </si>
  <si>
    <t>2.2.3</t>
  </si>
  <si>
    <t>Bogoro</t>
  </si>
  <si>
    <t>2.2.4</t>
  </si>
  <si>
    <t>Damban</t>
  </si>
  <si>
    <t>2.2.5</t>
  </si>
  <si>
    <t>Darazo</t>
  </si>
  <si>
    <t>2.2.6</t>
  </si>
  <si>
    <t>Dass</t>
  </si>
  <si>
    <t>2.2.7</t>
  </si>
  <si>
    <t>Gamawa</t>
  </si>
  <si>
    <t>2.2.8</t>
  </si>
  <si>
    <t>Ganjuwa</t>
  </si>
  <si>
    <t>2.2.9</t>
  </si>
  <si>
    <t>Giade</t>
  </si>
  <si>
    <t>2.2.10</t>
  </si>
  <si>
    <t>Itas/Gadau</t>
  </si>
  <si>
    <t>2.2.11</t>
  </si>
  <si>
    <t>Jama'are</t>
  </si>
  <si>
    <t>2.2.12</t>
  </si>
  <si>
    <t>Katagum</t>
  </si>
  <si>
    <t>2.2.13</t>
  </si>
  <si>
    <t>Kirfi</t>
  </si>
  <si>
    <t>2.2.14</t>
  </si>
  <si>
    <t>Misau</t>
  </si>
  <si>
    <t>2.2.15</t>
  </si>
  <si>
    <t>Ningi</t>
  </si>
  <si>
    <t>2.2.16</t>
  </si>
  <si>
    <t>Shira</t>
  </si>
  <si>
    <t>2.2.17</t>
  </si>
  <si>
    <t>Tafawa-Balewa</t>
  </si>
  <si>
    <t>2.2.18</t>
  </si>
  <si>
    <t>Toro</t>
  </si>
  <si>
    <t>2.2.19</t>
  </si>
  <si>
    <t>Warji</t>
  </si>
  <si>
    <t>2.2.20</t>
  </si>
  <si>
    <t>Zaki</t>
  </si>
  <si>
    <t>Borno</t>
  </si>
  <si>
    <t>2.3.1</t>
  </si>
  <si>
    <t>Abadam</t>
  </si>
  <si>
    <t>2.3.2</t>
  </si>
  <si>
    <t>Askira/Uba</t>
  </si>
  <si>
    <t>2.3.3</t>
  </si>
  <si>
    <t>Bama</t>
  </si>
  <si>
    <t>2.3.4</t>
  </si>
  <si>
    <t>Bayo</t>
  </si>
  <si>
    <t>2.3.5</t>
  </si>
  <si>
    <t>Biu</t>
  </si>
  <si>
    <t>2.3.6</t>
  </si>
  <si>
    <t>Chibok</t>
  </si>
  <si>
    <t>2.3.7</t>
  </si>
  <si>
    <t>Damboa</t>
  </si>
  <si>
    <t>2.3.8</t>
  </si>
  <si>
    <t>Dikwa</t>
  </si>
  <si>
    <t>2.3.9</t>
  </si>
  <si>
    <t>Gubio</t>
  </si>
  <si>
    <t>2.3.10</t>
  </si>
  <si>
    <t>Guzamala</t>
  </si>
  <si>
    <t>2.3.11</t>
  </si>
  <si>
    <t>Gwoza</t>
  </si>
  <si>
    <t>2.3.12</t>
  </si>
  <si>
    <t>Hawul</t>
  </si>
  <si>
    <t>2.3.13</t>
  </si>
  <si>
    <t>Jere</t>
  </si>
  <si>
    <t>2.3.14</t>
  </si>
  <si>
    <t>Kaga</t>
  </si>
  <si>
    <t>2.3.15</t>
  </si>
  <si>
    <t>Kala/Balge</t>
  </si>
  <si>
    <t>2.3.16</t>
  </si>
  <si>
    <t>Konduga</t>
  </si>
  <si>
    <t>2.3.17</t>
  </si>
  <si>
    <t>Kukawa</t>
  </si>
  <si>
    <t>2.3.18</t>
  </si>
  <si>
    <t>Kwaya Kusar</t>
  </si>
  <si>
    <t>2.3.19</t>
  </si>
  <si>
    <t>Mafa</t>
  </si>
  <si>
    <t>2.3.20</t>
  </si>
  <si>
    <t>Magumeri</t>
  </si>
  <si>
    <t>2.3.21</t>
  </si>
  <si>
    <t>Maiduguri</t>
  </si>
  <si>
    <t>2.3.22</t>
  </si>
  <si>
    <t>Marte</t>
  </si>
  <si>
    <t>2.3.23</t>
  </si>
  <si>
    <t>Mobbar</t>
  </si>
  <si>
    <t>2.3.24</t>
  </si>
  <si>
    <t>Monguno</t>
  </si>
  <si>
    <t>2.3.25</t>
  </si>
  <si>
    <t>Ngala</t>
  </si>
  <si>
    <t>2.3.26</t>
  </si>
  <si>
    <t>Nganzai</t>
  </si>
  <si>
    <t>2.3.27</t>
  </si>
  <si>
    <t>Shani</t>
  </si>
  <si>
    <t>Gombe</t>
  </si>
  <si>
    <t>2.4.1</t>
  </si>
  <si>
    <t>Akko</t>
  </si>
  <si>
    <t>2.4.2</t>
  </si>
  <si>
    <t>Balanga</t>
  </si>
  <si>
    <t>2.4.3</t>
  </si>
  <si>
    <t>Billiri</t>
  </si>
  <si>
    <t>2.4.4</t>
  </si>
  <si>
    <t>Dukku</t>
  </si>
  <si>
    <t>2.4.5</t>
  </si>
  <si>
    <t>Funakaye</t>
  </si>
  <si>
    <t>2.4.6</t>
  </si>
  <si>
    <t>2.4.7</t>
  </si>
  <si>
    <t>Kaltungo</t>
  </si>
  <si>
    <t>2.4.8</t>
  </si>
  <si>
    <t>Kwami</t>
  </si>
  <si>
    <t>2.4.9</t>
  </si>
  <si>
    <t>Nafada (Bajoga)</t>
  </si>
  <si>
    <t>2.4.10</t>
  </si>
  <si>
    <t>Shomgom</t>
  </si>
  <si>
    <t>2.4.11</t>
  </si>
  <si>
    <t>Yamaltu/Deba</t>
  </si>
  <si>
    <t>Taraba</t>
  </si>
  <si>
    <t>2.5.1</t>
  </si>
  <si>
    <t>Ardo-Kola</t>
  </si>
  <si>
    <t>2.5.2</t>
  </si>
  <si>
    <t>Bali</t>
  </si>
  <si>
    <t>2.5.3</t>
  </si>
  <si>
    <t>Donga</t>
  </si>
  <si>
    <t>2.5.4</t>
  </si>
  <si>
    <t>Gashaka</t>
  </si>
  <si>
    <t>2.5.5</t>
  </si>
  <si>
    <t>Gassol</t>
  </si>
  <si>
    <t>2.5.6</t>
  </si>
  <si>
    <t>Ibi</t>
  </si>
  <si>
    <t>2.5.7</t>
  </si>
  <si>
    <t>Jalingo</t>
  </si>
  <si>
    <t>2.5.8</t>
  </si>
  <si>
    <t>Karin-Lamido</t>
  </si>
  <si>
    <t>2.5.9</t>
  </si>
  <si>
    <t>Kurmi</t>
  </si>
  <si>
    <t>2.5.10</t>
  </si>
  <si>
    <t>Lau</t>
  </si>
  <si>
    <t>2.5.11</t>
  </si>
  <si>
    <t>Sardauna</t>
  </si>
  <si>
    <t>2.5.12</t>
  </si>
  <si>
    <t>Takum</t>
  </si>
  <si>
    <t>2.5.13</t>
  </si>
  <si>
    <t>Ussa</t>
  </si>
  <si>
    <t>2.5.14</t>
  </si>
  <si>
    <t>Wukari</t>
  </si>
  <si>
    <t>2.5.15</t>
  </si>
  <si>
    <t>Yorro</t>
  </si>
  <si>
    <t>2.5.16</t>
  </si>
  <si>
    <t>Zing</t>
  </si>
  <si>
    <t>2.5.17</t>
  </si>
  <si>
    <t>Yobe</t>
  </si>
  <si>
    <t>2.6.1</t>
  </si>
  <si>
    <t>Bade</t>
  </si>
  <si>
    <t>2.6.2</t>
  </si>
  <si>
    <t>Bursari</t>
  </si>
  <si>
    <t>2.6.3</t>
  </si>
  <si>
    <t>Damaturu</t>
  </si>
  <si>
    <t>2.6.4</t>
  </si>
  <si>
    <t>Fika</t>
  </si>
  <si>
    <t>2.6.5</t>
  </si>
  <si>
    <t>Fune</t>
  </si>
  <si>
    <t>2.6.6</t>
  </si>
  <si>
    <t>Geidam</t>
  </si>
  <si>
    <t>2.6.7</t>
  </si>
  <si>
    <t>Gujba</t>
  </si>
  <si>
    <t>2.6.8</t>
  </si>
  <si>
    <t>Gulani</t>
  </si>
  <si>
    <t>2.6.9</t>
  </si>
  <si>
    <t>Jakusko</t>
  </si>
  <si>
    <t>2.6.10</t>
  </si>
  <si>
    <t>Karasuwa</t>
  </si>
  <si>
    <t>2.6.11</t>
  </si>
  <si>
    <t>Machina</t>
  </si>
  <si>
    <t>2.6.12</t>
  </si>
  <si>
    <t>Nangere</t>
  </si>
  <si>
    <t>2.6.13</t>
  </si>
  <si>
    <t>Nguru</t>
  </si>
  <si>
    <t>2.6.14</t>
  </si>
  <si>
    <t>Potiskum</t>
  </si>
  <si>
    <t>2.6.15</t>
  </si>
  <si>
    <t>Tarmua</t>
  </si>
  <si>
    <t>2.6.16</t>
  </si>
  <si>
    <t>Yunusari</t>
  </si>
  <si>
    <t>2.6.17</t>
  </si>
  <si>
    <t>Yusufari</t>
  </si>
  <si>
    <t>Jigawa</t>
  </si>
  <si>
    <t>3.1.1</t>
  </si>
  <si>
    <t>Auyo</t>
  </si>
  <si>
    <t>3.1.2</t>
  </si>
  <si>
    <t>Babura</t>
  </si>
  <si>
    <t>3.1.3</t>
  </si>
  <si>
    <t>Biriniwa</t>
  </si>
  <si>
    <t>3.1.4</t>
  </si>
  <si>
    <t>CM+IPTp+LLIN+IRS</t>
  </si>
  <si>
    <t>3.1.5</t>
  </si>
  <si>
    <t>Buji</t>
  </si>
  <si>
    <t>3.1.6</t>
  </si>
  <si>
    <t>Dutse</t>
  </si>
  <si>
    <t>3.1.7</t>
  </si>
  <si>
    <t>Gagarawa</t>
  </si>
  <si>
    <t>3.1.8</t>
  </si>
  <si>
    <t>Garki</t>
  </si>
  <si>
    <t>3.1.9</t>
  </si>
  <si>
    <t>Gumel</t>
  </si>
  <si>
    <t>3.1.10</t>
  </si>
  <si>
    <t>Guri</t>
  </si>
  <si>
    <t>3.1.11</t>
  </si>
  <si>
    <t>Gwaram</t>
  </si>
  <si>
    <t>3.1.12</t>
  </si>
  <si>
    <t>Gwiwa</t>
  </si>
  <si>
    <t>3.1.13</t>
  </si>
  <si>
    <t>Hadejia</t>
  </si>
  <si>
    <t>3.1.14</t>
  </si>
  <si>
    <t>Jahun</t>
  </si>
  <si>
    <t>3.1.15</t>
  </si>
  <si>
    <t>Kafin Hausa</t>
  </si>
  <si>
    <t>3.1.16</t>
  </si>
  <si>
    <t>Kaugama</t>
  </si>
  <si>
    <t>3.1.17</t>
  </si>
  <si>
    <t>Kazaure</t>
  </si>
  <si>
    <t>3.1.18</t>
  </si>
  <si>
    <t>Kiri Kasamma</t>
  </si>
  <si>
    <t>3.1.19</t>
  </si>
  <si>
    <t>Kiyawa</t>
  </si>
  <si>
    <t>3.1.20</t>
  </si>
  <si>
    <t>Maigatari</t>
  </si>
  <si>
    <t>3.1.21</t>
  </si>
  <si>
    <t>Malam Madori</t>
  </si>
  <si>
    <t>3.1.22</t>
  </si>
  <si>
    <t>Miga</t>
  </si>
  <si>
    <t>3.1.23</t>
  </si>
  <si>
    <t>Ringim</t>
  </si>
  <si>
    <t>3.1.24</t>
  </si>
  <si>
    <t>Roni</t>
  </si>
  <si>
    <t>3.1.25</t>
  </si>
  <si>
    <t>Sule-Tankarkar</t>
  </si>
  <si>
    <t>3.1.26</t>
  </si>
  <si>
    <t>Taura</t>
  </si>
  <si>
    <t>3.1.27</t>
  </si>
  <si>
    <t>Yankwashi</t>
  </si>
  <si>
    <t>Kaduna</t>
  </si>
  <si>
    <t>3.2.1</t>
  </si>
  <si>
    <t>Birnin-Gwari</t>
  </si>
  <si>
    <t>3.2.2</t>
  </si>
  <si>
    <t>Chikun</t>
  </si>
  <si>
    <t>3.2.3</t>
  </si>
  <si>
    <t>Giwa</t>
  </si>
  <si>
    <t>3.2.4</t>
  </si>
  <si>
    <t>Igabi</t>
  </si>
  <si>
    <t>3.2.5</t>
  </si>
  <si>
    <t>Ikara</t>
  </si>
  <si>
    <t>3.2.6</t>
  </si>
  <si>
    <t>Jaba</t>
  </si>
  <si>
    <t>3.2.7</t>
  </si>
  <si>
    <t>Jema'a</t>
  </si>
  <si>
    <t>3.2.8</t>
  </si>
  <si>
    <t>Kachia</t>
  </si>
  <si>
    <t>3.2.9</t>
  </si>
  <si>
    <t>Kaduna North</t>
  </si>
  <si>
    <t>3.2.10</t>
  </si>
  <si>
    <t>Kaduna South</t>
  </si>
  <si>
    <t>3.2.11</t>
  </si>
  <si>
    <t>Kagarko</t>
  </si>
  <si>
    <t>3.2.12</t>
  </si>
  <si>
    <t>Kajuru</t>
  </si>
  <si>
    <t>3.2.13</t>
  </si>
  <si>
    <t>Kaura</t>
  </si>
  <si>
    <t>3.2.14</t>
  </si>
  <si>
    <t>Kauru</t>
  </si>
  <si>
    <t>3.2.15</t>
  </si>
  <si>
    <t>Kubau</t>
  </si>
  <si>
    <t>3.2.16</t>
  </si>
  <si>
    <t>Kudan</t>
  </si>
  <si>
    <t>3.2.17</t>
  </si>
  <si>
    <t>Lere</t>
  </si>
  <si>
    <t>3.2.18</t>
  </si>
  <si>
    <t>Markafi</t>
  </si>
  <si>
    <t>3.2.19</t>
  </si>
  <si>
    <t>Sabon-Gari</t>
  </si>
  <si>
    <t>3.2.20</t>
  </si>
  <si>
    <t>Sanga</t>
  </si>
  <si>
    <t>3.2.21</t>
  </si>
  <si>
    <t>Soba</t>
  </si>
  <si>
    <t>3.2.22</t>
  </si>
  <si>
    <t>Zango-Kataf</t>
  </si>
  <si>
    <t>3.2.23</t>
  </si>
  <si>
    <t>Zaria</t>
  </si>
  <si>
    <t>Kano</t>
  </si>
  <si>
    <t>3.3.1</t>
  </si>
  <si>
    <t>Ajingi</t>
  </si>
  <si>
    <t>3.3.2</t>
  </si>
  <si>
    <t>Albasu</t>
  </si>
  <si>
    <t>3.3.3</t>
  </si>
  <si>
    <t>Bagwai</t>
  </si>
  <si>
    <t>3.3.4</t>
  </si>
  <si>
    <t>Bebeji</t>
  </si>
  <si>
    <t>3.3.5</t>
  </si>
  <si>
    <t>Bichi</t>
  </si>
  <si>
    <t>3.3.6</t>
  </si>
  <si>
    <t>Bunkure</t>
  </si>
  <si>
    <t>3.3.7</t>
  </si>
  <si>
    <t>Dala</t>
  </si>
  <si>
    <t>3.3.8</t>
  </si>
  <si>
    <t>Dambatta</t>
  </si>
  <si>
    <t>3.3.9</t>
  </si>
  <si>
    <t>Dawakin Kudu</t>
  </si>
  <si>
    <t>3.3.10</t>
  </si>
  <si>
    <t>Dawakin Tofa</t>
  </si>
  <si>
    <t>3.3.11</t>
  </si>
  <si>
    <t>Doguwa</t>
  </si>
  <si>
    <t>3.3.12</t>
  </si>
  <si>
    <t>Fagge</t>
  </si>
  <si>
    <t>3.3.13</t>
  </si>
  <si>
    <t>Gabasawa</t>
  </si>
  <si>
    <t>3.3.14</t>
  </si>
  <si>
    <t>Garko</t>
  </si>
  <si>
    <t>3.3.15</t>
  </si>
  <si>
    <t>Garum Mallam</t>
  </si>
  <si>
    <t>3.3.16</t>
  </si>
  <si>
    <t>Gaya</t>
  </si>
  <si>
    <t>3.3.17</t>
  </si>
  <si>
    <t>Gezawa</t>
  </si>
  <si>
    <t>3.3.18</t>
  </si>
  <si>
    <t>Gwale</t>
  </si>
  <si>
    <t>3.3.19</t>
  </si>
  <si>
    <t>Gwarzo</t>
  </si>
  <si>
    <t>3.3.20</t>
  </si>
  <si>
    <t>Kabo</t>
  </si>
  <si>
    <t>3.3.21</t>
  </si>
  <si>
    <t>Kano Municipal</t>
  </si>
  <si>
    <t>3.3.22</t>
  </si>
  <si>
    <t>Karaye</t>
  </si>
  <si>
    <t>3.3.23</t>
  </si>
  <si>
    <t>Kibiya</t>
  </si>
  <si>
    <t>3.3.24</t>
  </si>
  <si>
    <t>Kiru</t>
  </si>
  <si>
    <t>3.3.25</t>
  </si>
  <si>
    <t>Kumbotso</t>
  </si>
  <si>
    <t>3.3.26</t>
  </si>
  <si>
    <t>Kunchi</t>
  </si>
  <si>
    <t>3.3.27</t>
  </si>
  <si>
    <t>Kura</t>
  </si>
  <si>
    <t>3.3.28</t>
  </si>
  <si>
    <t>Madobi</t>
  </si>
  <si>
    <t>3.3.29</t>
  </si>
  <si>
    <t>Makoda</t>
  </si>
  <si>
    <t>3.3.30</t>
  </si>
  <si>
    <t>Minjibir</t>
  </si>
  <si>
    <t>3.3.31</t>
  </si>
  <si>
    <t>Nasarawa1</t>
  </si>
  <si>
    <t>3.3.32</t>
  </si>
  <si>
    <t>Rano</t>
  </si>
  <si>
    <t>3.3.33</t>
  </si>
  <si>
    <t>Rimin Gado</t>
  </si>
  <si>
    <t>3.3.34</t>
  </si>
  <si>
    <t>Rogo</t>
  </si>
  <si>
    <t>3.3.35</t>
  </si>
  <si>
    <t>Shanono</t>
  </si>
  <si>
    <t>3.3.36</t>
  </si>
  <si>
    <t>Sumaila</t>
  </si>
  <si>
    <t>3.3.37</t>
  </si>
  <si>
    <t>3.3.38</t>
  </si>
  <si>
    <t>Tarauni</t>
  </si>
  <si>
    <t>3.3.39</t>
  </si>
  <si>
    <t>Tofa</t>
  </si>
  <si>
    <t>3.3.40</t>
  </si>
  <si>
    <t>Tsanyawa</t>
  </si>
  <si>
    <t>3.3.41</t>
  </si>
  <si>
    <t>Tudun Wada</t>
  </si>
  <si>
    <t>3.3.42</t>
  </si>
  <si>
    <t>Ungogo</t>
  </si>
  <si>
    <t>3.3.43</t>
  </si>
  <si>
    <t>Warawa</t>
  </si>
  <si>
    <t>3.3.44</t>
  </si>
  <si>
    <t>Wudil</t>
  </si>
  <si>
    <t>Katsina</t>
  </si>
  <si>
    <t>3.4.1</t>
  </si>
  <si>
    <t>Bakori</t>
  </si>
  <si>
    <t>3.4.2</t>
  </si>
  <si>
    <t>Batagarawa</t>
  </si>
  <si>
    <t>3.4.3</t>
  </si>
  <si>
    <t>Batsari</t>
  </si>
  <si>
    <t>3.4.4</t>
  </si>
  <si>
    <t>Baure</t>
  </si>
  <si>
    <t>3.4.5</t>
  </si>
  <si>
    <t>Bindawa</t>
  </si>
  <si>
    <t>3.4.6</t>
  </si>
  <si>
    <t>Charanchi</t>
  </si>
  <si>
    <t>3.4.7</t>
  </si>
  <si>
    <t>Dan Musa</t>
  </si>
  <si>
    <t>3.4.8</t>
  </si>
  <si>
    <t>Dandume</t>
  </si>
  <si>
    <t>3.4.9</t>
  </si>
  <si>
    <t>Danja</t>
  </si>
  <si>
    <t>3.4.10</t>
  </si>
  <si>
    <t>Daura</t>
  </si>
  <si>
    <t>3.4.11</t>
  </si>
  <si>
    <t>Dutsi</t>
  </si>
  <si>
    <t>3.4.12</t>
  </si>
  <si>
    <t>Dutsin-Ma</t>
  </si>
  <si>
    <t>3.4.13</t>
  </si>
  <si>
    <t>Faskari</t>
  </si>
  <si>
    <t>3.4.14</t>
  </si>
  <si>
    <t>Funtua</t>
  </si>
  <si>
    <t>3.4.15</t>
  </si>
  <si>
    <t>Ingawa</t>
  </si>
  <si>
    <t>3.4.16</t>
  </si>
  <si>
    <t>Jibia</t>
  </si>
  <si>
    <t>3.4.17</t>
  </si>
  <si>
    <t>Kafur</t>
  </si>
  <si>
    <t>3.4.18</t>
  </si>
  <si>
    <t>Kaita</t>
  </si>
  <si>
    <t>3.4.19</t>
  </si>
  <si>
    <t>Kankara</t>
  </si>
  <si>
    <t>3.4.20</t>
  </si>
  <si>
    <t>Kankia</t>
  </si>
  <si>
    <t>3.4.21</t>
  </si>
  <si>
    <t>3.4.22</t>
  </si>
  <si>
    <t>Kurfi</t>
  </si>
  <si>
    <t>3.4.23</t>
  </si>
  <si>
    <t>Kusada</t>
  </si>
  <si>
    <t>3.4.24</t>
  </si>
  <si>
    <t>Mai'Adua</t>
  </si>
  <si>
    <t>3.4.25</t>
  </si>
  <si>
    <t>Malumfashi</t>
  </si>
  <si>
    <t>3.4.26</t>
  </si>
  <si>
    <t>Mani</t>
  </si>
  <si>
    <t>3.4.27</t>
  </si>
  <si>
    <t>Mashi</t>
  </si>
  <si>
    <t>3.4.28</t>
  </si>
  <si>
    <t>CM+IPTp+LLIN-Urban+SMC+IRS</t>
  </si>
  <si>
    <t>3.4.29</t>
  </si>
  <si>
    <t>Musawa</t>
  </si>
  <si>
    <t>3.4.30</t>
  </si>
  <si>
    <t>Rimi</t>
  </si>
  <si>
    <t>3.4.31</t>
  </si>
  <si>
    <t>Sabuwa</t>
  </si>
  <si>
    <t>3.4.32</t>
  </si>
  <si>
    <t>Safana</t>
  </si>
  <si>
    <t>3.4.33</t>
  </si>
  <si>
    <t>Sandamu</t>
  </si>
  <si>
    <t>3.4.34</t>
  </si>
  <si>
    <t>Zango</t>
  </si>
  <si>
    <t>Kebbi</t>
  </si>
  <si>
    <t>3.5.1</t>
  </si>
  <si>
    <t>Aleiro</t>
  </si>
  <si>
    <t>3.5.2</t>
  </si>
  <si>
    <t>Arewa-Dandi</t>
  </si>
  <si>
    <t>3.5.3</t>
  </si>
  <si>
    <t>Argungu</t>
  </si>
  <si>
    <t>CM+IPTp+LLIN+SMC+Vaccine</t>
  </si>
  <si>
    <t>3.5.4</t>
  </si>
  <si>
    <t>Augie</t>
  </si>
  <si>
    <t>3.5.5</t>
  </si>
  <si>
    <t>Bagudo</t>
  </si>
  <si>
    <t>3.5.6</t>
  </si>
  <si>
    <t>Birnin Kebbi</t>
  </si>
  <si>
    <t>3.5.7</t>
  </si>
  <si>
    <t>Bunza</t>
  </si>
  <si>
    <t>3.5.8</t>
  </si>
  <si>
    <t>Dandi</t>
  </si>
  <si>
    <t>3.5.9</t>
  </si>
  <si>
    <t>Fakai</t>
  </si>
  <si>
    <t>3.5.10</t>
  </si>
  <si>
    <t>Gwandu</t>
  </si>
  <si>
    <t>3.5.11</t>
  </si>
  <si>
    <t>Jega</t>
  </si>
  <si>
    <t>CM+IPTp+LLIN+SMC+IRS+Vaccine</t>
  </si>
  <si>
    <t>3.5.12</t>
  </si>
  <si>
    <t>Kalgo</t>
  </si>
  <si>
    <t>3.5.13</t>
  </si>
  <si>
    <t>Koko/Besse</t>
  </si>
  <si>
    <t>3.5.14</t>
  </si>
  <si>
    <t>Maiyama</t>
  </si>
  <si>
    <t>3.5.15</t>
  </si>
  <si>
    <t>Ngaski</t>
  </si>
  <si>
    <t>3.5.16</t>
  </si>
  <si>
    <t>Sakaba</t>
  </si>
  <si>
    <t>3.5.17</t>
  </si>
  <si>
    <t>Shanga</t>
  </si>
  <si>
    <t>3.5.18</t>
  </si>
  <si>
    <t>Suru</t>
  </si>
  <si>
    <t>3.5.19</t>
  </si>
  <si>
    <t>Wasagu/Danko</t>
  </si>
  <si>
    <t>3.5.20</t>
  </si>
  <si>
    <t>Yauri</t>
  </si>
  <si>
    <t>3.5.21</t>
  </si>
  <si>
    <t>Zuru</t>
  </si>
  <si>
    <t>Sokoto</t>
  </si>
  <si>
    <t>3.6.1</t>
  </si>
  <si>
    <t>Binji</t>
  </si>
  <si>
    <t>3.6.2</t>
  </si>
  <si>
    <t>Bodinga</t>
  </si>
  <si>
    <t>3.6.3</t>
  </si>
  <si>
    <t>3.6.4</t>
  </si>
  <si>
    <t>Gada</t>
  </si>
  <si>
    <t>3.6.5</t>
  </si>
  <si>
    <t>Goronyo</t>
  </si>
  <si>
    <t>3.6.6</t>
  </si>
  <si>
    <t>Gudu</t>
  </si>
  <si>
    <t>3.6.7</t>
  </si>
  <si>
    <t>Gwadabawa</t>
  </si>
  <si>
    <t>3.6.8</t>
  </si>
  <si>
    <t>Illela</t>
  </si>
  <si>
    <t>3.6.9</t>
  </si>
  <si>
    <t>Isa</t>
  </si>
  <si>
    <t>3.6.10</t>
  </si>
  <si>
    <t>Kebbe</t>
  </si>
  <si>
    <t>3.6.11</t>
  </si>
  <si>
    <t>Kware</t>
  </si>
  <si>
    <t>3.6.12</t>
  </si>
  <si>
    <t>Rabah</t>
  </si>
  <si>
    <t>3.6.13</t>
  </si>
  <si>
    <t>Sabon Birni</t>
  </si>
  <si>
    <t>3.6.14</t>
  </si>
  <si>
    <t>Shagari</t>
  </si>
  <si>
    <t>3.6.15</t>
  </si>
  <si>
    <t>Silame</t>
  </si>
  <si>
    <t>3.6.16</t>
  </si>
  <si>
    <t>Sokoto North</t>
  </si>
  <si>
    <t>3.6.17</t>
  </si>
  <si>
    <t>Sokoto South</t>
  </si>
  <si>
    <t>3.6.18</t>
  </si>
  <si>
    <t>Tambuwal</t>
  </si>
  <si>
    <t>3.6.19</t>
  </si>
  <si>
    <t>Tangaza</t>
  </si>
  <si>
    <t>3.6.20</t>
  </si>
  <si>
    <t>Tureta</t>
  </si>
  <si>
    <t>3.6.21</t>
  </si>
  <si>
    <t>Wamako</t>
  </si>
  <si>
    <t>3.6.22</t>
  </si>
  <si>
    <t>Wurno</t>
  </si>
  <si>
    <t>3.6.23</t>
  </si>
  <si>
    <t>Yabo</t>
  </si>
  <si>
    <t>Zamfara</t>
  </si>
  <si>
    <t>3.7.1</t>
  </si>
  <si>
    <t>Anka</t>
  </si>
  <si>
    <t>3.7.2</t>
  </si>
  <si>
    <t>Bakura</t>
  </si>
  <si>
    <t>3.7.3</t>
  </si>
  <si>
    <t>Birnin Magaji</t>
  </si>
  <si>
    <t>3.7.4</t>
  </si>
  <si>
    <t>Bukkuyum</t>
  </si>
  <si>
    <t>3.7.5</t>
  </si>
  <si>
    <t>Bungudu</t>
  </si>
  <si>
    <t>3.7.6</t>
  </si>
  <si>
    <t>Gummi</t>
  </si>
  <si>
    <t>3.7.7</t>
  </si>
  <si>
    <t>Gusau</t>
  </si>
  <si>
    <t>3.7.8</t>
  </si>
  <si>
    <t>Kaura-Namoda</t>
  </si>
  <si>
    <t>3.7.9</t>
  </si>
  <si>
    <t>Maradun</t>
  </si>
  <si>
    <t>3.7.10</t>
  </si>
  <si>
    <t>Maru</t>
  </si>
  <si>
    <t>3.7.11</t>
  </si>
  <si>
    <t>Shinkafi</t>
  </si>
  <si>
    <t>3.7.12</t>
  </si>
  <si>
    <t>Talata Mafara</t>
  </si>
  <si>
    <t>3.7.13</t>
  </si>
  <si>
    <t>Tsafe</t>
  </si>
  <si>
    <t>3.7.14</t>
  </si>
  <si>
    <t>Zurmi</t>
  </si>
  <si>
    <t>Abia</t>
  </si>
  <si>
    <t>4.1.1</t>
  </si>
  <si>
    <t>Aba North</t>
  </si>
  <si>
    <t>CM+IPTp+LLIN-Urban+PMC</t>
  </si>
  <si>
    <t>4.1.2</t>
  </si>
  <si>
    <t>Aba South</t>
  </si>
  <si>
    <t>4.1.3</t>
  </si>
  <si>
    <t>Arochukwu</t>
  </si>
  <si>
    <t>4.1.4</t>
  </si>
  <si>
    <t>Bende</t>
  </si>
  <si>
    <t>4.1.5</t>
  </si>
  <si>
    <t>Ikwuano</t>
  </si>
  <si>
    <t>4.1.6</t>
  </si>
  <si>
    <t>Isiala-Ngwa North</t>
  </si>
  <si>
    <t>4.1.7</t>
  </si>
  <si>
    <t>Isiala-Ngwa South</t>
  </si>
  <si>
    <t>4.1.8</t>
  </si>
  <si>
    <t>Isuikwato</t>
  </si>
  <si>
    <t>4.1.9</t>
  </si>
  <si>
    <t>Obi Nwa</t>
  </si>
  <si>
    <t>4.1.10</t>
  </si>
  <si>
    <t>Ohafia</t>
  </si>
  <si>
    <t>4.1.11</t>
  </si>
  <si>
    <t>Osisioma Ngwa</t>
  </si>
  <si>
    <t>4.1.12</t>
  </si>
  <si>
    <t>Ugwunagbo</t>
  </si>
  <si>
    <t>4.1.13</t>
  </si>
  <si>
    <t>Ukwa East</t>
  </si>
  <si>
    <t>4.1.14</t>
  </si>
  <si>
    <t>Ukwa West</t>
  </si>
  <si>
    <t>4.1.16</t>
  </si>
  <si>
    <t>Umuahia North</t>
  </si>
  <si>
    <t>4.1.17</t>
  </si>
  <si>
    <t>Umuahia South</t>
  </si>
  <si>
    <t>4.1.15</t>
  </si>
  <si>
    <t>Umu-Nneochi</t>
  </si>
  <si>
    <t>Anambra</t>
  </si>
  <si>
    <t>4.2.1</t>
  </si>
  <si>
    <t>Aguata</t>
  </si>
  <si>
    <t>4.2.2</t>
  </si>
  <si>
    <t>Anambra East</t>
  </si>
  <si>
    <t>4.2.3</t>
  </si>
  <si>
    <t>Anambra West</t>
  </si>
  <si>
    <t>4.2.4</t>
  </si>
  <si>
    <t>Anaocha</t>
  </si>
  <si>
    <t>4.2.5</t>
  </si>
  <si>
    <t>Awka North</t>
  </si>
  <si>
    <t>4.2.6</t>
  </si>
  <si>
    <t>Awka South</t>
  </si>
  <si>
    <t>4.2.7</t>
  </si>
  <si>
    <t>Ayamelum</t>
  </si>
  <si>
    <t>4.2.8</t>
  </si>
  <si>
    <t>Dunukofia</t>
  </si>
  <si>
    <t>4.2.9</t>
  </si>
  <si>
    <t>Ekwusigo</t>
  </si>
  <si>
    <t>4.2.10</t>
  </si>
  <si>
    <t>Idemili North</t>
  </si>
  <si>
    <t>CM+IPTp+LLIN-Urban</t>
  </si>
  <si>
    <t>4.2.11</t>
  </si>
  <si>
    <t>Idemili South</t>
  </si>
  <si>
    <t>4.2.12</t>
  </si>
  <si>
    <t>Ihiala</t>
  </si>
  <si>
    <t>4.2.13</t>
  </si>
  <si>
    <t>Njikoka</t>
  </si>
  <si>
    <t>4.2.14</t>
  </si>
  <si>
    <t>Nnewi North</t>
  </si>
  <si>
    <t>4.2.15</t>
  </si>
  <si>
    <t>Nnewi South</t>
  </si>
  <si>
    <t>4.2.16</t>
  </si>
  <si>
    <t>Ogbaru</t>
  </si>
  <si>
    <t>4.2.17</t>
  </si>
  <si>
    <t>Onitsha North</t>
  </si>
  <si>
    <t>4.2.18</t>
  </si>
  <si>
    <t>Onitsha South</t>
  </si>
  <si>
    <t>4.2.19</t>
  </si>
  <si>
    <t>Orumba North</t>
  </si>
  <si>
    <t>4.2.20</t>
  </si>
  <si>
    <t>Orumba South</t>
  </si>
  <si>
    <t>4.2.21</t>
  </si>
  <si>
    <t>Oyi</t>
  </si>
  <si>
    <t>Ebonyi</t>
  </si>
  <si>
    <t>4.3.1</t>
  </si>
  <si>
    <t>Abakaliki</t>
  </si>
  <si>
    <t>4.3.2</t>
  </si>
  <si>
    <t>Afikpo North</t>
  </si>
  <si>
    <t>4.3.3</t>
  </si>
  <si>
    <t>Afikpo South</t>
  </si>
  <si>
    <t>4.3.4</t>
  </si>
  <si>
    <t>4.3.5</t>
  </si>
  <si>
    <t>Ezza North</t>
  </si>
  <si>
    <t>4.3.6</t>
  </si>
  <si>
    <t>Ezza South</t>
  </si>
  <si>
    <t>4.3.7</t>
  </si>
  <si>
    <t>Ikwo</t>
  </si>
  <si>
    <t>4.3.8</t>
  </si>
  <si>
    <t>Ishielu</t>
  </si>
  <si>
    <t>4.3.9</t>
  </si>
  <si>
    <t>Ivo</t>
  </si>
  <si>
    <t>4.3.10</t>
  </si>
  <si>
    <t>Izzi</t>
  </si>
  <si>
    <t>4.3.11</t>
  </si>
  <si>
    <t>Ohaozara</t>
  </si>
  <si>
    <t>4.3.12</t>
  </si>
  <si>
    <t>Ohaukwu</t>
  </si>
  <si>
    <t>4.3.13</t>
  </si>
  <si>
    <t>Onicha</t>
  </si>
  <si>
    <t>Enugu</t>
  </si>
  <si>
    <t>4.4.1</t>
  </si>
  <si>
    <t>Aninri</t>
  </si>
  <si>
    <t>4.4.2</t>
  </si>
  <si>
    <t>Awgu</t>
  </si>
  <si>
    <t>4.4.3</t>
  </si>
  <si>
    <t>Enugu East</t>
  </si>
  <si>
    <t>4.4.4</t>
  </si>
  <si>
    <t>Enugu North</t>
  </si>
  <si>
    <t>4.4.5</t>
  </si>
  <si>
    <t>Enugu South</t>
  </si>
  <si>
    <t>4.4.6</t>
  </si>
  <si>
    <t>Ezeagu</t>
  </si>
  <si>
    <t>4.4.7</t>
  </si>
  <si>
    <t>Igbo-Etiti</t>
  </si>
  <si>
    <t>4.4.8</t>
  </si>
  <si>
    <t>Igbo-Eze North</t>
  </si>
  <si>
    <t>4.4.9</t>
  </si>
  <si>
    <t>Igbo-Eze South</t>
  </si>
  <si>
    <t>4.4.10</t>
  </si>
  <si>
    <t>Isi-Uzo</t>
  </si>
  <si>
    <t>4.4.11</t>
  </si>
  <si>
    <t>Nkanu East</t>
  </si>
  <si>
    <t>4.4.12</t>
  </si>
  <si>
    <t>Nkanu West</t>
  </si>
  <si>
    <t>4.4.13</t>
  </si>
  <si>
    <t>Nsukka</t>
  </si>
  <si>
    <t>4.4.14</t>
  </si>
  <si>
    <t>Oji-River</t>
  </si>
  <si>
    <t>4.4.15</t>
  </si>
  <si>
    <t>Udenu</t>
  </si>
  <si>
    <t>4.4.16</t>
  </si>
  <si>
    <t>Udi</t>
  </si>
  <si>
    <t>4.4.17</t>
  </si>
  <si>
    <t>Uzo-Uwani</t>
  </si>
  <si>
    <t>Imo</t>
  </si>
  <si>
    <t>4.5.1</t>
  </si>
  <si>
    <t>Aboh-Mbaise</t>
  </si>
  <si>
    <t>4.5.2</t>
  </si>
  <si>
    <t>Ahiazu-Mbaise</t>
  </si>
  <si>
    <t>4.5.3</t>
  </si>
  <si>
    <t>Ehime-Mbano</t>
  </si>
  <si>
    <t>4.5.4</t>
  </si>
  <si>
    <t>Ezinihitte</t>
  </si>
  <si>
    <t>4.5.5</t>
  </si>
  <si>
    <t>Ideato North</t>
  </si>
  <si>
    <t>4.5.6</t>
  </si>
  <si>
    <t>Ideato South</t>
  </si>
  <si>
    <t>4.5.7</t>
  </si>
  <si>
    <t>Ihitte/Uboma</t>
  </si>
  <si>
    <t>4.5.8</t>
  </si>
  <si>
    <t>Ikeduru</t>
  </si>
  <si>
    <t>4.5.9</t>
  </si>
  <si>
    <t>Isiala Mbano</t>
  </si>
  <si>
    <t>4.5.10</t>
  </si>
  <si>
    <t>Isu</t>
  </si>
  <si>
    <t>4.5.11</t>
  </si>
  <si>
    <t>Mbaitoli</t>
  </si>
  <si>
    <t>4.5.12</t>
  </si>
  <si>
    <t>Ngor-Okpala</t>
  </si>
  <si>
    <t>4.5.13</t>
  </si>
  <si>
    <t>Njaba</t>
  </si>
  <si>
    <t>4.5.14</t>
  </si>
  <si>
    <t>Nkwerre</t>
  </si>
  <si>
    <t>4.5.15</t>
  </si>
  <si>
    <t>Nwangele</t>
  </si>
  <si>
    <t>4.5.16</t>
  </si>
  <si>
    <t>Obowo</t>
  </si>
  <si>
    <t>4.5.17</t>
  </si>
  <si>
    <t>Oguta</t>
  </si>
  <si>
    <t>4.5.18</t>
  </si>
  <si>
    <t>Ohaji/Egbema</t>
  </si>
  <si>
    <t>4.5.19</t>
  </si>
  <si>
    <t>Okigwe</t>
  </si>
  <si>
    <t>4.5.20</t>
  </si>
  <si>
    <t>Orlu</t>
  </si>
  <si>
    <t>4.5.21</t>
  </si>
  <si>
    <t>Orsu</t>
  </si>
  <si>
    <t>4.5.22</t>
  </si>
  <si>
    <t>Oru East</t>
  </si>
  <si>
    <t>4.5.23</t>
  </si>
  <si>
    <t>Oru West</t>
  </si>
  <si>
    <t>4.5.24</t>
  </si>
  <si>
    <t>Owerri North</t>
  </si>
  <si>
    <t>4.5.25</t>
  </si>
  <si>
    <t>Owerri West</t>
  </si>
  <si>
    <t>4.5.26</t>
  </si>
  <si>
    <t>Owerri-Municipal</t>
  </si>
  <si>
    <t>4.5.27</t>
  </si>
  <si>
    <t>Unuimo</t>
  </si>
  <si>
    <t>Akwa Ibom</t>
  </si>
  <si>
    <t>5.1.1</t>
  </si>
  <si>
    <t>Abak</t>
  </si>
  <si>
    <t>5.1.2</t>
  </si>
  <si>
    <t>Eastern Obolo</t>
  </si>
  <si>
    <t>5.1.3</t>
  </si>
  <si>
    <t>Eket</t>
  </si>
  <si>
    <t>5.1.4</t>
  </si>
  <si>
    <t>Esit Eket</t>
  </si>
  <si>
    <t>5.1.5</t>
  </si>
  <si>
    <t>Essien Udim</t>
  </si>
  <si>
    <t>5.1.6</t>
  </si>
  <si>
    <t>Etim Ekpo</t>
  </si>
  <si>
    <t>5.1.7</t>
  </si>
  <si>
    <t>Etinan</t>
  </si>
  <si>
    <t>5.1.8</t>
  </si>
  <si>
    <t>Ibeno</t>
  </si>
  <si>
    <t>5.1.9</t>
  </si>
  <si>
    <t>Ibesikpo Asutan</t>
  </si>
  <si>
    <t>5.1.10</t>
  </si>
  <si>
    <t>Ibiono Ibom</t>
  </si>
  <si>
    <t>5.1.11</t>
  </si>
  <si>
    <t>Ika</t>
  </si>
  <si>
    <t>5.1.12</t>
  </si>
  <si>
    <t>Ikono</t>
  </si>
  <si>
    <t>5.1.13</t>
  </si>
  <si>
    <t>Ikot Abasi</t>
  </si>
  <si>
    <t>5.1.14</t>
  </si>
  <si>
    <t>Ikot Ekpene</t>
  </si>
  <si>
    <t>5.1.15</t>
  </si>
  <si>
    <t>Ini</t>
  </si>
  <si>
    <t>5.1.16</t>
  </si>
  <si>
    <t>Itu</t>
  </si>
  <si>
    <t>5.1.17</t>
  </si>
  <si>
    <t>Mbo</t>
  </si>
  <si>
    <t>5.1.18</t>
  </si>
  <si>
    <t>Mkpat Enin</t>
  </si>
  <si>
    <t>5.1.19</t>
  </si>
  <si>
    <t>Nsit Atai</t>
  </si>
  <si>
    <t>5.1.20</t>
  </si>
  <si>
    <t>Nsit Ibom</t>
  </si>
  <si>
    <t>5.1.21</t>
  </si>
  <si>
    <t>Nsit Ubium</t>
  </si>
  <si>
    <t>5.1.22</t>
  </si>
  <si>
    <t>Obot Akara</t>
  </si>
  <si>
    <t>5.1.23</t>
  </si>
  <si>
    <t>Okobo</t>
  </si>
  <si>
    <t>5.1.24</t>
  </si>
  <si>
    <t>Onna</t>
  </si>
  <si>
    <t>5.1.25</t>
  </si>
  <si>
    <t>Oron</t>
  </si>
  <si>
    <t>5.1.26</t>
  </si>
  <si>
    <t>Oruk Anam</t>
  </si>
  <si>
    <t>5.1.27</t>
  </si>
  <si>
    <t>Udung Uko</t>
  </si>
  <si>
    <t>5.1.28</t>
  </si>
  <si>
    <t>Ukanafun</t>
  </si>
  <si>
    <t>5.1.29</t>
  </si>
  <si>
    <t>Uruan</t>
  </si>
  <si>
    <t>5.1.30</t>
  </si>
  <si>
    <t>Urue-Offong/Oruko</t>
  </si>
  <si>
    <t>5.1.31</t>
  </si>
  <si>
    <t>Uyo</t>
  </si>
  <si>
    <t>Bayelsa</t>
  </si>
  <si>
    <t>5.2.1</t>
  </si>
  <si>
    <t>Brass</t>
  </si>
  <si>
    <t>CM+IPTp+LLIN+PMC+Vaccine</t>
  </si>
  <si>
    <t>5.2.2</t>
  </si>
  <si>
    <t>Ekeremor</t>
  </si>
  <si>
    <t>5.2.3</t>
  </si>
  <si>
    <t>Kolokuma/Opokuma</t>
  </si>
  <si>
    <t>5.2.4</t>
  </si>
  <si>
    <t>Nembe</t>
  </si>
  <si>
    <t>5.2.5</t>
  </si>
  <si>
    <t>Ogbia</t>
  </si>
  <si>
    <t>5.2.6</t>
  </si>
  <si>
    <t>Sagbama</t>
  </si>
  <si>
    <t>5.2.7</t>
  </si>
  <si>
    <t>Southern Ijaw</t>
  </si>
  <si>
    <t>5.2.8</t>
  </si>
  <si>
    <t>Yenegoa</t>
  </si>
  <si>
    <t>Cross River</t>
  </si>
  <si>
    <t>5.3.1</t>
  </si>
  <si>
    <t>Abi</t>
  </si>
  <si>
    <t>5.3.2</t>
  </si>
  <si>
    <t>Akamkpa</t>
  </si>
  <si>
    <t>5.3.3</t>
  </si>
  <si>
    <t>Akpabuyo</t>
  </si>
  <si>
    <t>5.3.4</t>
  </si>
  <si>
    <t>Bakassi</t>
  </si>
  <si>
    <t>5.3.5</t>
  </si>
  <si>
    <t>Bekwara</t>
  </si>
  <si>
    <t>5.3.6</t>
  </si>
  <si>
    <t>Biase</t>
  </si>
  <si>
    <t>5.3.7</t>
  </si>
  <si>
    <t>Boki</t>
  </si>
  <si>
    <t>5.3.8</t>
  </si>
  <si>
    <t>Calabar South</t>
  </si>
  <si>
    <t>5.3.9</t>
  </si>
  <si>
    <t>Calabar-Municipal</t>
  </si>
  <si>
    <t>5.3.10</t>
  </si>
  <si>
    <t>Etung</t>
  </si>
  <si>
    <t>5.3.11</t>
  </si>
  <si>
    <t>Ikom</t>
  </si>
  <si>
    <t>5.3.12</t>
  </si>
  <si>
    <t>Obanliku</t>
  </si>
  <si>
    <t>5.3.13</t>
  </si>
  <si>
    <t>Obubra</t>
  </si>
  <si>
    <t>5.3.14</t>
  </si>
  <si>
    <t>Obudu</t>
  </si>
  <si>
    <t>5.3.15</t>
  </si>
  <si>
    <t>Odukpani</t>
  </si>
  <si>
    <t>5.3.16</t>
  </si>
  <si>
    <t>Ogoja</t>
  </si>
  <si>
    <t>5.3.17</t>
  </si>
  <si>
    <t>Yakurr</t>
  </si>
  <si>
    <t>5.3.18</t>
  </si>
  <si>
    <t>Yala</t>
  </si>
  <si>
    <t>Delta</t>
  </si>
  <si>
    <t>5.4.1</t>
  </si>
  <si>
    <t>Aniocha North</t>
  </si>
  <si>
    <t>5.4.2</t>
  </si>
  <si>
    <t>Aniocha South</t>
  </si>
  <si>
    <t>5.4.3</t>
  </si>
  <si>
    <t>Bomadi</t>
  </si>
  <si>
    <t>5.4.4</t>
  </si>
  <si>
    <t>Burutu</t>
  </si>
  <si>
    <t>5.4.5</t>
  </si>
  <si>
    <t>Ethiope East</t>
  </si>
  <si>
    <t>5.4.6</t>
  </si>
  <si>
    <t>Ethiope West</t>
  </si>
  <si>
    <t>5.4.7</t>
  </si>
  <si>
    <t>Ika North East</t>
  </si>
  <si>
    <t>5.4.8</t>
  </si>
  <si>
    <t>Ika South</t>
  </si>
  <si>
    <t>5.4.9</t>
  </si>
  <si>
    <t>Isoko North</t>
  </si>
  <si>
    <t>5.4.10</t>
  </si>
  <si>
    <t>Isoko South</t>
  </si>
  <si>
    <t>5.4.11</t>
  </si>
  <si>
    <t>Ndokwa East</t>
  </si>
  <si>
    <t>5.4.12</t>
  </si>
  <si>
    <t>Ndokwa West</t>
  </si>
  <si>
    <t>5.4.13</t>
  </si>
  <si>
    <t>Okpe</t>
  </si>
  <si>
    <t>5.4.14</t>
  </si>
  <si>
    <t>Oshimili North</t>
  </si>
  <si>
    <t>5.4.15</t>
  </si>
  <si>
    <t>Oshimili South</t>
  </si>
  <si>
    <t>5.4.16</t>
  </si>
  <si>
    <t>Patani</t>
  </si>
  <si>
    <t>5.4.17</t>
  </si>
  <si>
    <t>Sapele</t>
  </si>
  <si>
    <t>5.4.18</t>
  </si>
  <si>
    <t>Udu</t>
  </si>
  <si>
    <t>5.4.19</t>
  </si>
  <si>
    <t>Ughelli North</t>
  </si>
  <si>
    <t>5.4.20</t>
  </si>
  <si>
    <t>Ughelli South</t>
  </si>
  <si>
    <t>5.4.21</t>
  </si>
  <si>
    <t>Ukwuani</t>
  </si>
  <si>
    <t>5.4.22</t>
  </si>
  <si>
    <t>Uvwie</t>
  </si>
  <si>
    <t>5.4.23</t>
  </si>
  <si>
    <t>Warri North</t>
  </si>
  <si>
    <t>5.4.24</t>
  </si>
  <si>
    <t>Warri South</t>
  </si>
  <si>
    <t>5.4.25</t>
  </si>
  <si>
    <t>Warri South West</t>
  </si>
  <si>
    <t>Edo</t>
  </si>
  <si>
    <t>5.5.1</t>
  </si>
  <si>
    <t>Akoko-Edo</t>
  </si>
  <si>
    <t>5.5.2</t>
  </si>
  <si>
    <t>Egor</t>
  </si>
  <si>
    <t>5.5.3</t>
  </si>
  <si>
    <t>Esan Central</t>
  </si>
  <si>
    <t>5.5.4</t>
  </si>
  <si>
    <t>Esan North East</t>
  </si>
  <si>
    <t>5.5.5</t>
  </si>
  <si>
    <t>Esan South East</t>
  </si>
  <si>
    <t>5.5.6</t>
  </si>
  <si>
    <t>Esan West</t>
  </si>
  <si>
    <t>5.5.7</t>
  </si>
  <si>
    <t>Etsako Central</t>
  </si>
  <si>
    <t>5.5.8</t>
  </si>
  <si>
    <t>Etsako East</t>
  </si>
  <si>
    <t>5.5.9</t>
  </si>
  <si>
    <t>Etsako West</t>
  </si>
  <si>
    <t>5.5.10</t>
  </si>
  <si>
    <t>Igueben</t>
  </si>
  <si>
    <t>5.5.11</t>
  </si>
  <si>
    <t>Ikpoba-Okha</t>
  </si>
  <si>
    <t>5.5.12</t>
  </si>
  <si>
    <t>Oredo</t>
  </si>
  <si>
    <t>5.5.13</t>
  </si>
  <si>
    <t>Orhionmwon</t>
  </si>
  <si>
    <t>5.5.14</t>
  </si>
  <si>
    <t>Ovia North East</t>
  </si>
  <si>
    <t>5.5.15</t>
  </si>
  <si>
    <t>Ovia South West</t>
  </si>
  <si>
    <t>5.5.16</t>
  </si>
  <si>
    <t>Owan East</t>
  </si>
  <si>
    <t>5.5.17</t>
  </si>
  <si>
    <t>Owan West</t>
  </si>
  <si>
    <t>5.5.18</t>
  </si>
  <si>
    <t>Uhunmwonde</t>
  </si>
  <si>
    <t>Rivers</t>
  </si>
  <si>
    <t>5.6.1</t>
  </si>
  <si>
    <t>Abua/Odual</t>
  </si>
  <si>
    <t>5.6.2</t>
  </si>
  <si>
    <t>Ahoada East</t>
  </si>
  <si>
    <t>5.6.3</t>
  </si>
  <si>
    <t>Ahoada West</t>
  </si>
  <si>
    <t>5.6.4</t>
  </si>
  <si>
    <t>Akuku Toru</t>
  </si>
  <si>
    <t>5.6.5</t>
  </si>
  <si>
    <t>Andoni</t>
  </si>
  <si>
    <t>5.6.6</t>
  </si>
  <si>
    <t>Asari-Toru</t>
  </si>
  <si>
    <t>5.6.7</t>
  </si>
  <si>
    <t>Bonny</t>
  </si>
  <si>
    <t>5.6.8</t>
  </si>
  <si>
    <t>Degema</t>
  </si>
  <si>
    <t>5.6.9</t>
  </si>
  <si>
    <t>Eleme</t>
  </si>
  <si>
    <t>5.6.10</t>
  </si>
  <si>
    <t>Emohua</t>
  </si>
  <si>
    <t>5.6.11</t>
  </si>
  <si>
    <t>Etche</t>
  </si>
  <si>
    <t>5.6.12</t>
  </si>
  <si>
    <t>Gokana</t>
  </si>
  <si>
    <t>5.6.13</t>
  </si>
  <si>
    <t>Ikwerre</t>
  </si>
  <si>
    <t>5.6.14</t>
  </si>
  <si>
    <t>Khana</t>
  </si>
  <si>
    <t>5.6.15</t>
  </si>
  <si>
    <t>Obia/Akpor</t>
  </si>
  <si>
    <t>5.6.16</t>
  </si>
  <si>
    <t>Ogba/Egbema/Ndoni</t>
  </si>
  <si>
    <t>5.6.17</t>
  </si>
  <si>
    <t>Ogu/Bolo</t>
  </si>
  <si>
    <t>5.6.18</t>
  </si>
  <si>
    <t>Okrika</t>
  </si>
  <si>
    <t>5.6.19</t>
  </si>
  <si>
    <t>Omumma</t>
  </si>
  <si>
    <t>5.6.20</t>
  </si>
  <si>
    <t>Opobo/Nkoro</t>
  </si>
  <si>
    <t>5.6.21</t>
  </si>
  <si>
    <t>Oyigbo</t>
  </si>
  <si>
    <t>5.6.22</t>
  </si>
  <si>
    <t>Port-Harcourt</t>
  </si>
  <si>
    <t>5.6.23</t>
  </si>
  <si>
    <t>Tai</t>
  </si>
  <si>
    <t>6.1.1</t>
  </si>
  <si>
    <t>Ado Ekiti</t>
  </si>
  <si>
    <t>6.1.2</t>
  </si>
  <si>
    <t>Aiyekire (Gboyin)</t>
  </si>
  <si>
    <t>6.1.3</t>
  </si>
  <si>
    <t>Efon-Alayee</t>
  </si>
  <si>
    <t>6.1.4</t>
  </si>
  <si>
    <t>Ekiti East</t>
  </si>
  <si>
    <t>6.1.5</t>
  </si>
  <si>
    <t>Ekiti South West</t>
  </si>
  <si>
    <t>6.1.6</t>
  </si>
  <si>
    <t>Ekiti West</t>
  </si>
  <si>
    <t>6.1.7</t>
  </si>
  <si>
    <t>Emure</t>
  </si>
  <si>
    <t>6.1.8</t>
  </si>
  <si>
    <t>Idosi-Osi</t>
  </si>
  <si>
    <t>6.1.9</t>
  </si>
  <si>
    <t>Ijero</t>
  </si>
  <si>
    <t>6.1.10</t>
  </si>
  <si>
    <t>Ikere</t>
  </si>
  <si>
    <t>6.1.11</t>
  </si>
  <si>
    <t>Ikole</t>
  </si>
  <si>
    <t>6.1.12</t>
  </si>
  <si>
    <t>6.1.13</t>
  </si>
  <si>
    <t>Irepodun/Ifelodun</t>
  </si>
  <si>
    <t>6.1.14</t>
  </si>
  <si>
    <t>Ise/Orun</t>
  </si>
  <si>
    <t>6.1.15</t>
  </si>
  <si>
    <t>Moba</t>
  </si>
  <si>
    <t>6.1.16</t>
  </si>
  <si>
    <t>Oye</t>
  </si>
  <si>
    <t>Lagos</t>
  </si>
  <si>
    <t>6.2.1</t>
  </si>
  <si>
    <t>Agege</t>
  </si>
  <si>
    <t>6.2.2</t>
  </si>
  <si>
    <t>Ajeromi-Ifelodun</t>
  </si>
  <si>
    <t>6.2.3</t>
  </si>
  <si>
    <t>Alimosho</t>
  </si>
  <si>
    <t>6.2.4</t>
  </si>
  <si>
    <t>Amuwo-Odofin</t>
  </si>
  <si>
    <t>6.2.5</t>
  </si>
  <si>
    <t>Apapa</t>
  </si>
  <si>
    <t>6.2.6</t>
  </si>
  <si>
    <t>Badagry</t>
  </si>
  <si>
    <t>6.2.7</t>
  </si>
  <si>
    <t>Epe</t>
  </si>
  <si>
    <t>6.2.8</t>
  </si>
  <si>
    <t>Eti-Osa</t>
  </si>
  <si>
    <t>6.2.9</t>
  </si>
  <si>
    <t>Ibeju/Lekki</t>
  </si>
  <si>
    <t>6.2.10</t>
  </si>
  <si>
    <t>Ifako-Ijaye</t>
  </si>
  <si>
    <t>6.2.11</t>
  </si>
  <si>
    <t>Ikeja</t>
  </si>
  <si>
    <t>6.2.12</t>
  </si>
  <si>
    <t>Ikorodu</t>
  </si>
  <si>
    <t>6.2.13</t>
  </si>
  <si>
    <t>Kosofe</t>
  </si>
  <si>
    <t>6.2.14</t>
  </si>
  <si>
    <t>Lagos Island</t>
  </si>
  <si>
    <t>6.2.15</t>
  </si>
  <si>
    <t>Lagos Mainland</t>
  </si>
  <si>
    <t>6.2.16</t>
  </si>
  <si>
    <t>Mushin</t>
  </si>
  <si>
    <t>6.2.17</t>
  </si>
  <si>
    <t>Ojo</t>
  </si>
  <si>
    <t>6.2.18</t>
  </si>
  <si>
    <t>Oshodi-Isolo</t>
  </si>
  <si>
    <t>6.2.19</t>
  </si>
  <si>
    <t>Shomolu</t>
  </si>
  <si>
    <t>6.2.20</t>
  </si>
  <si>
    <t>Surulere1</t>
  </si>
  <si>
    <t>Ogun</t>
  </si>
  <si>
    <t>6.3.1</t>
  </si>
  <si>
    <t>Abeokuta North</t>
  </si>
  <si>
    <t>6.3.2</t>
  </si>
  <si>
    <t>Abeokuta South</t>
  </si>
  <si>
    <t>6.3.3</t>
  </si>
  <si>
    <t>Ado-Odo/Ota</t>
  </si>
  <si>
    <t>6.3.4</t>
  </si>
  <si>
    <t>6.3.5</t>
  </si>
  <si>
    <t>6.3.6</t>
  </si>
  <si>
    <t>Ewekoro</t>
  </si>
  <si>
    <t>6.3.7</t>
  </si>
  <si>
    <t>Ifo</t>
  </si>
  <si>
    <t>6.3.8</t>
  </si>
  <si>
    <t>Ijebu East</t>
  </si>
  <si>
    <t>6.3.9</t>
  </si>
  <si>
    <t>Ijebu North</t>
  </si>
  <si>
    <t>6.3.10</t>
  </si>
  <si>
    <t>Ijebu North East</t>
  </si>
  <si>
    <t>6.3.11</t>
  </si>
  <si>
    <t>Ijebu ode</t>
  </si>
  <si>
    <t>6.3.12</t>
  </si>
  <si>
    <t>Ikenne</t>
  </si>
  <si>
    <t>6.3.13</t>
  </si>
  <si>
    <t>Imeko-Afon</t>
  </si>
  <si>
    <t>6.3.14</t>
  </si>
  <si>
    <t>Ipokia</t>
  </si>
  <si>
    <t>6.3.15</t>
  </si>
  <si>
    <t>Obafemi-Owode</t>
  </si>
  <si>
    <t>6.3.16</t>
  </si>
  <si>
    <t>Odeda</t>
  </si>
  <si>
    <t>6.3.17</t>
  </si>
  <si>
    <t>Odogbolu</t>
  </si>
  <si>
    <t>6.3.18</t>
  </si>
  <si>
    <t>Ogun waterside</t>
  </si>
  <si>
    <t>6.3.19</t>
  </si>
  <si>
    <t>Remo North</t>
  </si>
  <si>
    <t>6.3.20</t>
  </si>
  <si>
    <t>Shagamu</t>
  </si>
  <si>
    <t>Ondo</t>
  </si>
  <si>
    <t>6.4.1</t>
  </si>
  <si>
    <t>Akoko North East</t>
  </si>
  <si>
    <t>6.4.2</t>
  </si>
  <si>
    <t>Akoko North West</t>
  </si>
  <si>
    <t>6.4.3</t>
  </si>
  <si>
    <t>Akoko South East</t>
  </si>
  <si>
    <t>6.4.4</t>
  </si>
  <si>
    <t>Akoko South West</t>
  </si>
  <si>
    <t>6.4.5</t>
  </si>
  <si>
    <t>Akure North</t>
  </si>
  <si>
    <t>6.4.6</t>
  </si>
  <si>
    <t>Akure South</t>
  </si>
  <si>
    <t>6.4.7</t>
  </si>
  <si>
    <t>Ese-Odo</t>
  </si>
  <si>
    <t>6.4.8</t>
  </si>
  <si>
    <t>Idanre</t>
  </si>
  <si>
    <t>6.4.9</t>
  </si>
  <si>
    <t>Ifedore</t>
  </si>
  <si>
    <t>6.4.10</t>
  </si>
  <si>
    <t>Ilaje</t>
  </si>
  <si>
    <t>6.4.11</t>
  </si>
  <si>
    <t>Ile-Oluji-Okeigbo</t>
  </si>
  <si>
    <t>6.4.12</t>
  </si>
  <si>
    <t>Irele</t>
  </si>
  <si>
    <t>6.4.13</t>
  </si>
  <si>
    <t>Odigbo</t>
  </si>
  <si>
    <t>6.4.14</t>
  </si>
  <si>
    <t>Okitipupa</t>
  </si>
  <si>
    <t>6.4.15</t>
  </si>
  <si>
    <t>Ondo East</t>
  </si>
  <si>
    <t>6.4.16</t>
  </si>
  <si>
    <t>Ondo West</t>
  </si>
  <si>
    <t>6.4.17</t>
  </si>
  <si>
    <t>Ose</t>
  </si>
  <si>
    <t>6.4.18</t>
  </si>
  <si>
    <t>Owo</t>
  </si>
  <si>
    <t>Osun</t>
  </si>
  <si>
    <t>6.5.1</t>
  </si>
  <si>
    <t>Aiyedade</t>
  </si>
  <si>
    <t>6.5.2</t>
  </si>
  <si>
    <t>Aiyedire</t>
  </si>
  <si>
    <t>6.5.3</t>
  </si>
  <si>
    <t>Atakumosa East</t>
  </si>
  <si>
    <t>6.5.4</t>
  </si>
  <si>
    <t>Atakumosa West</t>
  </si>
  <si>
    <t>6.5.5</t>
  </si>
  <si>
    <t>Boluwaduro</t>
  </si>
  <si>
    <t>6.5.6</t>
  </si>
  <si>
    <t>Boripe</t>
  </si>
  <si>
    <t>6.5.7</t>
  </si>
  <si>
    <t>Ede North</t>
  </si>
  <si>
    <t>6.5.8</t>
  </si>
  <si>
    <t>Ede South</t>
  </si>
  <si>
    <t>6.5.9</t>
  </si>
  <si>
    <t>Egbedore</t>
  </si>
  <si>
    <t>6.5.10</t>
  </si>
  <si>
    <t>Ejigbo</t>
  </si>
  <si>
    <t>6.5.11</t>
  </si>
  <si>
    <t>Ife Central</t>
  </si>
  <si>
    <t>6.5.12</t>
  </si>
  <si>
    <t>Ife East</t>
  </si>
  <si>
    <t>6.5.13</t>
  </si>
  <si>
    <t>Ife North</t>
  </si>
  <si>
    <t>6.5.14</t>
  </si>
  <si>
    <t>Ife South</t>
  </si>
  <si>
    <t>6.5.15</t>
  </si>
  <si>
    <t>Ifedayo</t>
  </si>
  <si>
    <t>6.5.16</t>
  </si>
  <si>
    <t>Ifelodun2</t>
  </si>
  <si>
    <t>6.5.17</t>
  </si>
  <si>
    <t>Ila</t>
  </si>
  <si>
    <t>6.5.18</t>
  </si>
  <si>
    <t>Ilesha East</t>
  </si>
  <si>
    <t>6.5.19</t>
  </si>
  <si>
    <t>Ilesha West</t>
  </si>
  <si>
    <t>6.5.20</t>
  </si>
  <si>
    <t>Irepodun2</t>
  </si>
  <si>
    <t>6.5.21</t>
  </si>
  <si>
    <t>Irewole</t>
  </si>
  <si>
    <t>6.5.22</t>
  </si>
  <si>
    <t>Isokan</t>
  </si>
  <si>
    <t>6.5.23</t>
  </si>
  <si>
    <t>Iwo</t>
  </si>
  <si>
    <t>6.5.24</t>
  </si>
  <si>
    <t>Obokun</t>
  </si>
  <si>
    <t>6.5.25</t>
  </si>
  <si>
    <t>Odo-Otin</t>
  </si>
  <si>
    <t>6.5.26</t>
  </si>
  <si>
    <t>Ola-oluwa</t>
  </si>
  <si>
    <t>6.5.27</t>
  </si>
  <si>
    <t>Olorunda</t>
  </si>
  <si>
    <t>6.5.28</t>
  </si>
  <si>
    <t>Oriade</t>
  </si>
  <si>
    <t>6.5.29</t>
  </si>
  <si>
    <t>Orolu</t>
  </si>
  <si>
    <t>6.5.30</t>
  </si>
  <si>
    <t>Osogbo</t>
  </si>
  <si>
    <t>Oyo</t>
  </si>
  <si>
    <t>6.6.1</t>
  </si>
  <si>
    <t>Afijio</t>
  </si>
  <si>
    <t>6.6.2</t>
  </si>
  <si>
    <t>Akinyele</t>
  </si>
  <si>
    <t>6.6.3</t>
  </si>
  <si>
    <t>Atiba</t>
  </si>
  <si>
    <t>6.6.4</t>
  </si>
  <si>
    <t>Atigbo</t>
  </si>
  <si>
    <t>6.6.5</t>
  </si>
  <si>
    <t>Egbeda</t>
  </si>
  <si>
    <t>6.6.6</t>
  </si>
  <si>
    <t>Ibadan Central (Ibadan North East)</t>
  </si>
  <si>
    <t>6.6.7</t>
  </si>
  <si>
    <t>Ibadan North</t>
  </si>
  <si>
    <t>6.6.8</t>
  </si>
  <si>
    <t>Ibadan North West</t>
  </si>
  <si>
    <t>6.6.9</t>
  </si>
  <si>
    <t>Ibadan South East</t>
  </si>
  <si>
    <t>6.6.10</t>
  </si>
  <si>
    <t>Ibadan South West</t>
  </si>
  <si>
    <t>6.6.11</t>
  </si>
  <si>
    <t>Ibarapa Central</t>
  </si>
  <si>
    <t>6.6.12</t>
  </si>
  <si>
    <t>Ibarapa East</t>
  </si>
  <si>
    <t>6.6.13</t>
  </si>
  <si>
    <t>Ibarapa North</t>
  </si>
  <si>
    <t>6.6.14</t>
  </si>
  <si>
    <t>Ido</t>
  </si>
  <si>
    <t>6.6.15</t>
  </si>
  <si>
    <t>Irepo</t>
  </si>
  <si>
    <t>6.6.16</t>
  </si>
  <si>
    <t>Iseyin</t>
  </si>
  <si>
    <t>6.6.17</t>
  </si>
  <si>
    <t>Itesiwaju</t>
  </si>
  <si>
    <t>6.6.18</t>
  </si>
  <si>
    <t>Iwajowa</t>
  </si>
  <si>
    <t>6.6.19</t>
  </si>
  <si>
    <t>Kajola</t>
  </si>
  <si>
    <t>6.6.20</t>
  </si>
  <si>
    <t>Lagelu</t>
  </si>
  <si>
    <t>6.6.21</t>
  </si>
  <si>
    <t>Ogbomosho North</t>
  </si>
  <si>
    <t>6.6.22</t>
  </si>
  <si>
    <t>Ogbomosho South</t>
  </si>
  <si>
    <t>6.6.23</t>
  </si>
  <si>
    <t>Ogo Oluwa</t>
  </si>
  <si>
    <t>6.6.24</t>
  </si>
  <si>
    <t>Olorunsogo</t>
  </si>
  <si>
    <t>6.6.25</t>
  </si>
  <si>
    <t>Oluyole</t>
  </si>
  <si>
    <t>6.6.26</t>
  </si>
  <si>
    <t>Ona-Ara</t>
  </si>
  <si>
    <t>6.6.27</t>
  </si>
  <si>
    <t>Orelope</t>
  </si>
  <si>
    <t>6.6.28</t>
  </si>
  <si>
    <t>Ori Ire</t>
  </si>
  <si>
    <t>6.6.29</t>
  </si>
  <si>
    <t>Oyo East</t>
  </si>
  <si>
    <t>6.6.30</t>
  </si>
  <si>
    <t>Oyo West</t>
  </si>
  <si>
    <t>6.6.31</t>
  </si>
  <si>
    <t>Saki East</t>
  </si>
  <si>
    <t>6.6.32</t>
  </si>
  <si>
    <t>Saki West</t>
  </si>
  <si>
    <t>6.6.33</t>
  </si>
  <si>
    <t>Surulere2</t>
  </si>
  <si>
    <t>National</t>
  </si>
  <si>
    <t>2021 Cost (USD)</t>
  </si>
  <si>
    <t>2022 Cost (USD)</t>
  </si>
  <si>
    <t>Proportion</t>
  </si>
  <si>
    <t>Eligible</t>
  </si>
  <si>
    <t>CostLink</t>
  </si>
  <si>
    <t># of SPAQ for SMC (3-11 months)</t>
  </si>
  <si>
    <t># of SPAQ for SMC (Total)</t>
  </si>
  <si>
    <t>Seasonal Malaria Chemoprevention (SMC)</t>
  </si>
  <si>
    <t>Procure and distribute SPAQ for SMC</t>
  </si>
  <si>
    <t>Procure SPAQ for SMC</t>
  </si>
  <si>
    <t>Proppotion</t>
  </si>
  <si>
    <t>RDT kits Procurement</t>
  </si>
  <si>
    <t>RDT kits Distribution</t>
  </si>
  <si>
    <t>Cost of IPTp</t>
  </si>
  <si>
    <t>Cost of PMC</t>
  </si>
  <si>
    <t>Cost of SMC</t>
  </si>
  <si>
    <t>Population</t>
  </si>
  <si>
    <t>Cost of Case Management</t>
  </si>
  <si>
    <t>Cost of Malaria Vaccine Services</t>
  </si>
  <si>
    <t>Cost (₦)</t>
  </si>
  <si>
    <t xml:space="preserve">Quantity of Commodities </t>
  </si>
  <si>
    <t xml:space="preserve"># of Vaccine Doses </t>
  </si>
  <si>
    <t># of RDT Kits</t>
  </si>
  <si>
    <t># of ACT Packs</t>
  </si>
  <si>
    <t>Procure SPAQ        (Total)</t>
  </si>
  <si>
    <t>Perenial Malaria Chemoprevention</t>
  </si>
  <si>
    <t>Procure and distribute SP for PMS</t>
  </si>
  <si>
    <t>Procure SP for PMC</t>
  </si>
  <si>
    <t>Distribute doses of SP to health facilities for PMS</t>
  </si>
  <si>
    <t>Intermitent Preventive Treatment in Pregnancy (IPTp)</t>
  </si>
  <si>
    <t>Procure and distribute SP for IPTp</t>
  </si>
  <si>
    <t>Procure SP for IPTp</t>
  </si>
  <si>
    <t>Distribute doses of SP to health facilities for IPTp</t>
  </si>
  <si>
    <t>Case Management of Malaria</t>
  </si>
  <si>
    <t>Procure and distibute RDT kits</t>
  </si>
  <si>
    <t>Procure RDT kits</t>
  </si>
  <si>
    <t>Distribute RDT kits to health facilities</t>
  </si>
  <si>
    <t>Procure and distibute ACT packs</t>
  </si>
  <si>
    <t>Distribute AL packs to health facilities</t>
  </si>
  <si>
    <t>'Procure and distibute iv artesunate</t>
  </si>
  <si>
    <t>Procure iv artesunate</t>
  </si>
  <si>
    <t>Distribute iv artesunate to health facilities</t>
  </si>
  <si>
    <t>'Procure and distibute artesunate suppositories</t>
  </si>
  <si>
    <t>Monitoring and Evaluation</t>
  </si>
  <si>
    <t>Strengthen NHMIS at the national level</t>
  </si>
  <si>
    <t>Strengthen NHMIS at the state level</t>
  </si>
  <si>
    <t>Transport to and fro between LGAs and state capital</t>
  </si>
  <si>
    <t>Transport within state capital</t>
  </si>
  <si>
    <t>Transport within LGA</t>
  </si>
  <si>
    <t>Governance and Coordination</t>
  </si>
  <si>
    <t>Advocate for resource mobilization</t>
  </si>
  <si>
    <t>Cunduct a 5-day Residential State Training of Trainer (SToT) on MCM (40 participants)</t>
  </si>
  <si>
    <t>Cunduct a 3-day Non-residential Training on MCM for healtcare providers at the primary health facilities (2 participants per facility)</t>
  </si>
  <si>
    <t>Governance &amp; Coordination</t>
  </si>
  <si>
    <t>Vaccine</t>
  </si>
  <si>
    <t>Implementation</t>
  </si>
  <si>
    <t>Item Description</t>
  </si>
  <si>
    <t>KADUNA</t>
  </si>
  <si>
    <t xml:space="preserve">Total </t>
  </si>
  <si>
    <t>LGAs</t>
  </si>
  <si>
    <t>HH (av of 5 people per HH)</t>
  </si>
  <si>
    <t>Nets</t>
  </si>
  <si>
    <t>Bales (by 50pcs)</t>
  </si>
  <si>
    <t>Wards</t>
  </si>
  <si>
    <t>DH</t>
  </si>
  <si>
    <t>CTAT members</t>
  </si>
  <si>
    <t>ICT4D consultants</t>
  </si>
  <si>
    <t>NMEP rep</t>
  </si>
  <si>
    <t>No of state team (ES SPHCDA, DPH, SMEP manager, Logistician, HE)</t>
  </si>
  <si>
    <t>No of LGA TA</t>
  </si>
  <si>
    <t>No of state monitor</t>
  </si>
  <si>
    <t>No. of LGA coordinators (1 per LGA)</t>
  </si>
  <si>
    <t>State warehouse manager (1 per WH)</t>
  </si>
  <si>
    <t>State warehouse assistants (2 per WH)</t>
  </si>
  <si>
    <t>LGA conveyors (1 per LGA)</t>
  </si>
  <si>
    <t>No of Household Mobilizers &amp; ITN distributors</t>
  </si>
  <si>
    <t>Team security (1 per team)</t>
  </si>
  <si>
    <t>No of CMTs (4 per LGA)</t>
  </si>
  <si>
    <t>LGA store officer (1 per LGA)</t>
  </si>
  <si>
    <t>LGA store security (2 per LGA)</t>
  </si>
  <si>
    <t>DH conveyors (1 per ward)</t>
  </si>
  <si>
    <t>Town announcers (5 per ward)</t>
  </si>
  <si>
    <t>No of distributor (2 per DP)</t>
  </si>
  <si>
    <t>DH Security (1 per DH)</t>
  </si>
  <si>
    <t>No of  DH Supervisors (1 per DH)</t>
  </si>
  <si>
    <t>DP Health Educator (1 per DH)</t>
  </si>
  <si>
    <t>No of devices (1 per mobilization team)</t>
  </si>
  <si>
    <t>LGA Team 4 per LGA (PHCC, MFP, LGA HE &amp; logistician)</t>
  </si>
  <si>
    <t>No of cluster supervisors (HHM/ITN dist)</t>
  </si>
  <si>
    <t>No of cluster supervisors (Distribution)</t>
  </si>
  <si>
    <t>No. of TTAs</t>
  </si>
  <si>
    <t>Total No of personnel per state</t>
  </si>
  <si>
    <t>**Calculation of net: population divided by 1.8 plus buffer of 10% (rounded to bales)</t>
  </si>
  <si>
    <t>Residential Training of LGA TAs, State team &amp; LGA team</t>
  </si>
  <si>
    <t>Unit cost</t>
  </si>
  <si>
    <t>Participants (5 state team, 1 LGA coordinator &amp; 1 LGA TA/LGA)</t>
  </si>
  <si>
    <t>Participants (4 LGA team/LGA)</t>
  </si>
  <si>
    <t>Days</t>
  </si>
  <si>
    <r>
      <t xml:space="preserve">Facilitators: CTAT and ICT4D (will require additional 2 technical, 2 logistics &amp; </t>
    </r>
    <r>
      <rPr>
        <sz val="9"/>
        <color indexed="10"/>
        <rFont val="Georgia"/>
        <family val="1"/>
      </rPr>
      <t>2</t>
    </r>
    <r>
      <rPr>
        <sz val="9"/>
        <color indexed="8"/>
        <rFont val="Georgia"/>
        <family val="1"/>
      </rPr>
      <t xml:space="preserve"> DC the combine session for the 4 classes) </t>
    </r>
  </si>
  <si>
    <t>Partners (SFF Advisors,SFH, CRS, NMEP, chemonics and other partners)</t>
  </si>
  <si>
    <t>Workshop assistants</t>
  </si>
  <si>
    <t>Tea break (2 times daily)</t>
  </si>
  <si>
    <t>Lunch</t>
  </si>
  <si>
    <t>Hall (combined session) Large</t>
  </si>
  <si>
    <t>Hall (break out session) Medium</t>
  </si>
  <si>
    <t>Hall (break out session) Small</t>
  </si>
  <si>
    <t>workshop materials</t>
  </si>
  <si>
    <t xml:space="preserve">Transport - participants </t>
  </si>
  <si>
    <t>Transportation for workshop assistants</t>
  </si>
  <si>
    <t>DSA for participants-travel day</t>
  </si>
  <si>
    <t>DSA for participants-training days</t>
  </si>
  <si>
    <t>Transport - facilitators (CTAT &amp; ICT4D consultants)</t>
  </si>
  <si>
    <t>Workshop assistants cost</t>
  </si>
  <si>
    <t>Facilitation allowance (CTAT consultants)</t>
  </si>
  <si>
    <t>Facilitation allowance (4 ICT4D consultants)</t>
  </si>
  <si>
    <t>DSA for facilitators (CTAT &amp; 4 ICT4D)-training days</t>
  </si>
  <si>
    <t>Materials - stationary</t>
  </si>
  <si>
    <t>Training of LGA coordinators on operations + activity management</t>
  </si>
  <si>
    <t>Participants (LGA coordinators)</t>
  </si>
  <si>
    <t>Facilitators: (1 Operations Support, 1 finance, VC)</t>
  </si>
  <si>
    <r>
      <rPr>
        <sz val="9"/>
        <color indexed="10"/>
        <rFont val="Georgia"/>
        <family val="1"/>
      </rPr>
      <t>SFH</t>
    </r>
    <r>
      <rPr>
        <sz val="9"/>
        <color indexed="8"/>
        <rFont val="Georgia"/>
        <family val="1"/>
      </rPr>
      <t xml:space="preserve"> ICT4D + M&amp;E</t>
    </r>
  </si>
  <si>
    <t>Tea break (2 times)</t>
  </si>
  <si>
    <t>Hall (medium)</t>
  </si>
  <si>
    <t>Transport for participants</t>
  </si>
  <si>
    <t>Training of TTAs  &amp; LGA coordinators on device deployment and CAT platform</t>
  </si>
  <si>
    <t>Participants (TTA)</t>
  </si>
  <si>
    <t>No of classes</t>
  </si>
  <si>
    <r>
      <t>Facilitators: (4 ICT4D consultants, 2 Operations Support, 4 Finance</t>
    </r>
    <r>
      <rPr>
        <sz val="9"/>
        <color indexed="8"/>
        <rFont val="Georgia"/>
        <family val="1"/>
      </rPr>
      <t>)</t>
    </r>
  </si>
  <si>
    <t>2 ICT4D team +3 VC+2 SFH ICT4D + 1 NMEP</t>
  </si>
  <si>
    <t>Hall (Big)</t>
  </si>
  <si>
    <t>DSA for facilitators</t>
  </si>
  <si>
    <t xml:space="preserve">Facilitation allowance </t>
  </si>
  <si>
    <t xml:space="preserve">Facilitation transport </t>
  </si>
  <si>
    <t>Training of TTAs  on HHM &amp; Distribution process</t>
  </si>
  <si>
    <t>No. of classes</t>
  </si>
  <si>
    <t>Facilitators: (4 ICT4D consultants, 2 CTAT technical)</t>
  </si>
  <si>
    <t>4 ICT4D team +CM + 2 Operations support+ 1 workstream advisor</t>
  </si>
  <si>
    <t>Hall (large)</t>
  </si>
  <si>
    <t>Orientation of CSO on campaign SBC implementation</t>
  </si>
  <si>
    <t>Participants (1/ Rep/CSO)</t>
  </si>
  <si>
    <t>Facilitators: (CTAT )</t>
  </si>
  <si>
    <t>1 state programme manager, 1 SHE, 1 NMEP, 1 DC Advisor</t>
  </si>
  <si>
    <t>Transport - participants</t>
  </si>
  <si>
    <t>Transport - facilitators</t>
  </si>
  <si>
    <t>Transport - facilitators (State HE)</t>
  </si>
  <si>
    <t>Facilitation allowance (CTAT )</t>
  </si>
  <si>
    <t>Facilitator allowance (State HE)</t>
  </si>
  <si>
    <t>Training of CMTs on end process</t>
  </si>
  <si>
    <t>Participants (4/LGA)</t>
  </si>
  <si>
    <t>Facilitators: (6 CTAT &amp; 4 ICT4D consultant)</t>
  </si>
  <si>
    <t>1 state programme manager, 3 workstream advisors, 1 NMEP, 1 CM,  2 operations support staff</t>
  </si>
  <si>
    <t>Workshop material</t>
  </si>
  <si>
    <t>Facilitation allowance (CTAT &amp; ICT4D consultants)</t>
  </si>
  <si>
    <t>Media parley</t>
  </si>
  <si>
    <t>Participants (30 representatives from media outfits-print and electronic)</t>
  </si>
  <si>
    <t>Facilitators: 2 CTAT, 4 ICT4D, 1 State HE</t>
  </si>
  <si>
    <t>1 state programme manager, 1 operations, 1 NMEP &amp; 1 DWS advisor</t>
  </si>
  <si>
    <t>Hall (Medium)</t>
  </si>
  <si>
    <t xml:space="preserve">Transport - facilitators </t>
  </si>
  <si>
    <t>Facilitation allowance</t>
  </si>
  <si>
    <t>Orientation of LGA conveyors</t>
  </si>
  <si>
    <t>Participants (1 per LGA)</t>
  </si>
  <si>
    <t>Facilitator (CTAT - logistics workstream)</t>
  </si>
  <si>
    <t>Facilitator (State Logistician)</t>
  </si>
  <si>
    <t>Monitor: State team, operation support, LWS advisor</t>
  </si>
  <si>
    <t>Transport - participants (LGA conveyors)</t>
  </si>
  <si>
    <t>Transport - facilitators (State Logistician)</t>
  </si>
  <si>
    <t>Transport allowance (CTAT)</t>
  </si>
  <si>
    <t>DSA for facilitator (CTAT)</t>
  </si>
  <si>
    <t>Facilitator allowance (State logistician)</t>
  </si>
  <si>
    <t>Facilitator allowance (CTAT)</t>
  </si>
  <si>
    <t>Total NGN</t>
  </si>
  <si>
    <t>Orientation of State warehouse team</t>
  </si>
  <si>
    <t>Participants (3 per warehouse)</t>
  </si>
  <si>
    <t>Monitor: State team, LWS advisor</t>
  </si>
  <si>
    <t>Transport - participants (State warehouse team)</t>
  </si>
  <si>
    <t>Orientation of State ICCN</t>
  </si>
  <si>
    <t xml:space="preserve">Participants </t>
  </si>
  <si>
    <t>Facilitator (CTAT)</t>
  </si>
  <si>
    <t>State team, NMEP, 3 VC &amp; operation support</t>
  </si>
  <si>
    <t>Transport - participants (ICCN)</t>
  </si>
  <si>
    <t>DSA for facilitator</t>
  </si>
  <si>
    <t>Training of Cluster supervisors</t>
  </si>
  <si>
    <t>Participants (6 teams/CS or minimum of 2 per ward)</t>
  </si>
  <si>
    <t>Facilitators: (4 LGA team/LGA)</t>
  </si>
  <si>
    <t>Facilitators: (1 LGA TA/LGA)</t>
  </si>
  <si>
    <t>Facilitators: (1 TTA/LGA)</t>
  </si>
  <si>
    <t>Monitor: 1 per LGA (LGA coordinators)</t>
  </si>
  <si>
    <t>Tea break</t>
  </si>
  <si>
    <t>Transport - participants (ward)</t>
  </si>
  <si>
    <t>Transport - facilitators (LGA)</t>
  </si>
  <si>
    <t>Transport - facilitators (LGA TAs)</t>
  </si>
  <si>
    <t>Facilitation allowance (LGA team)</t>
  </si>
  <si>
    <t>Facilitation allowance (LGA TAs)</t>
  </si>
  <si>
    <t>Facilitation allowance (TTA)</t>
  </si>
  <si>
    <t>Out of station allowance (TTA)</t>
  </si>
  <si>
    <t xml:space="preserve"> Transport - facilitators (TTA)</t>
  </si>
  <si>
    <t>Workshop materials</t>
  </si>
  <si>
    <t>Orientation of Town Announcers</t>
  </si>
  <si>
    <t>Participants (5 per ward)</t>
  </si>
  <si>
    <t>Facilitator (2 cluster sup/LGA)</t>
  </si>
  <si>
    <t>Facilitator (LGA HE)</t>
  </si>
  <si>
    <t>Monitor: 1 per LGA (LGA Coordinators)</t>
  </si>
  <si>
    <t>Transport - participants (town announcers)</t>
  </si>
  <si>
    <t>Transport - facilitators (cluster supervisor)</t>
  </si>
  <si>
    <t>Transport - facilitators (LGA HE)</t>
  </si>
  <si>
    <t>Facilitator allowance (cluster supervisor)</t>
  </si>
  <si>
    <t>Facilitator allowance (LGA HE)</t>
  </si>
  <si>
    <t>Photocopy</t>
  </si>
  <si>
    <t>Training of Household Mobilizers/ITN distributor</t>
  </si>
  <si>
    <t>Participants</t>
  </si>
  <si>
    <t>Facilitators: Cluster supervisors (1/ward)</t>
  </si>
  <si>
    <t>Facilitators: LGA team (4/LGA)</t>
  </si>
  <si>
    <t>Facilitators: TTAs</t>
  </si>
  <si>
    <t>Monitors:LGA coordinators, LGA TAs</t>
  </si>
  <si>
    <t>Transport - participants (HHM)</t>
  </si>
  <si>
    <t>Transport - facilitators (LGA team)</t>
  </si>
  <si>
    <t>Transport - facilitators (Cluster supervisors)</t>
  </si>
  <si>
    <t>Facilitators allowance (LGA team)</t>
  </si>
  <si>
    <t>Facilitators allowance (Cluster supervisors)</t>
  </si>
  <si>
    <t>Facilitation allowance for TTAs</t>
  </si>
  <si>
    <t>Out of station allowance</t>
  </si>
  <si>
    <t>Transport - facilitators TTAs</t>
  </si>
  <si>
    <t>Materials - photocopy</t>
  </si>
  <si>
    <t>Training of Distribution Hub Supervisor</t>
  </si>
  <si>
    <t>Participants (1/DH)</t>
  </si>
  <si>
    <t>Facilitators: LGA logistician (1 per LGA)</t>
  </si>
  <si>
    <t>Facilitators: LGA TAs</t>
  </si>
  <si>
    <t>Facilitators: TTA</t>
  </si>
  <si>
    <t>Monitors: 1 per LGA (LGA coordinators) &amp; 1 LGA MFP</t>
  </si>
  <si>
    <t>Transport - participants (DP sup)</t>
  </si>
  <si>
    <t>Transport - facilitators (LGA logistician)</t>
  </si>
  <si>
    <t>Facilitation allowance - TTAs</t>
  </si>
  <si>
    <t>Out of station allowance - TTAs</t>
  </si>
  <si>
    <t>Facilitation fee - LGA logistician</t>
  </si>
  <si>
    <t>Facilitation fee - LGA TAs</t>
  </si>
  <si>
    <t>Orientation of DH conveyors</t>
  </si>
  <si>
    <t>Participants (1 per ward)</t>
  </si>
  <si>
    <t>Facilitator (1 LGA TAs)</t>
  </si>
  <si>
    <t>Facilitator (LGA Logistician)</t>
  </si>
  <si>
    <t>Transport - participants (DP conveyors)</t>
  </si>
  <si>
    <t>Transport - facilitators (LGA Logistician)</t>
  </si>
  <si>
    <t>Transport allowance (LGA TAs)</t>
  </si>
  <si>
    <t>Facilitator allowance (LGA logistician)</t>
  </si>
  <si>
    <t>Facilitator allowance (state supervisor)</t>
  </si>
  <si>
    <t>Training of Distribution Team</t>
  </si>
  <si>
    <t>Participants (2/DP - 1 distributor + 1 net card verifier)</t>
  </si>
  <si>
    <t>Facilitators: LGA team (4 per LGA)</t>
  </si>
  <si>
    <t>Facilitators: Cluster supervisors (1 per ward)</t>
  </si>
  <si>
    <t>CIT &amp; LGA coordinators</t>
  </si>
  <si>
    <t>Transport - participants (DP team)</t>
  </si>
  <si>
    <t>Out of station allowance for TTAs</t>
  </si>
  <si>
    <t>Orientation for DP Health Educators</t>
  </si>
  <si>
    <t>Participants (1/DP - DP health Educator)</t>
  </si>
  <si>
    <t>Facilitators: LGA TAs (1 per LGA)</t>
  </si>
  <si>
    <t>Facilitators: LGA HE (1 per LGA)</t>
  </si>
  <si>
    <t>LGA MFP &amp; LGA coordinators</t>
  </si>
  <si>
    <t>Transport - participants (DP)</t>
  </si>
  <si>
    <t>Facilitators Allowance (LGA HE)</t>
  </si>
  <si>
    <t>Facilitators Allowance (LGA TAs)</t>
  </si>
  <si>
    <t>Orientation for security</t>
  </si>
  <si>
    <t>Participants (1/team)</t>
  </si>
  <si>
    <t xml:space="preserve">Facilitators: Cluster supervisors </t>
  </si>
  <si>
    <t>LGA TAs, LGA team &amp; LGA coordinators</t>
  </si>
  <si>
    <t>Transport - facilitators (cluster sup)</t>
  </si>
  <si>
    <t>Facilitators Allowance (cluster sup)</t>
  </si>
  <si>
    <t>Campaign materials and data tools</t>
  </si>
  <si>
    <t>Item/Quantities per State</t>
  </si>
  <si>
    <t>Logistic</t>
  </si>
  <si>
    <t>Total by state</t>
  </si>
  <si>
    <t>Tools - Stock sheets (cardboard texture)</t>
  </si>
  <si>
    <t>Tools - Invetory Control Card (cardboard texture)</t>
  </si>
  <si>
    <t>Tools - Waybill</t>
  </si>
  <si>
    <t>Tools - Incidence report sheet</t>
  </si>
  <si>
    <t>Demand creation</t>
  </si>
  <si>
    <t>T-shirt &amp; printing</t>
  </si>
  <si>
    <t>Caps</t>
  </si>
  <si>
    <t>Aprons and printing</t>
  </si>
  <si>
    <t>4x2 flex DP Banners</t>
  </si>
  <si>
    <t>Sash for net ambasadors &amp; advocates</t>
  </si>
  <si>
    <t>Plaque for net ambassador &amp; advocates</t>
  </si>
  <si>
    <t>Certificates for net ambassador &amp;advocates</t>
  </si>
  <si>
    <t>Advocacy kit</t>
  </si>
  <si>
    <t>Implementation - Household mobilization/ITN distribution</t>
  </si>
  <si>
    <t>Net cards (CATS state)</t>
  </si>
  <si>
    <t>Net cards for training</t>
  </si>
  <si>
    <t>MDT-Algorithm</t>
  </si>
  <si>
    <t>2x4 flex chart for Mobilizatino/ITN Distribution Training chart</t>
  </si>
  <si>
    <t>Tools - Net card reconciliation (MFP)</t>
  </si>
  <si>
    <t>Tools - Net card reconciliation (Cluster Supervisors)</t>
  </si>
  <si>
    <t>Tools - Net card reconciliation (DH Supervisors)</t>
  </si>
  <si>
    <t>Tools - HH Registration Sheet (i-3)</t>
  </si>
  <si>
    <t>Tools - Net card Distr Daily Sum Sheets (i-4a)</t>
  </si>
  <si>
    <t>Tools - Net card Distr Sum Sheet - DH (i-4b)</t>
  </si>
  <si>
    <t>Tools - Net card Distr Sum Sheet - LGA (i-4c)</t>
  </si>
  <si>
    <t>Household revist cards</t>
  </si>
  <si>
    <t>HH mob - Chalk (pack of 50)</t>
  </si>
  <si>
    <t>HH mob - plastic folders</t>
  </si>
  <si>
    <t>1 page A3  laminater colored HE handneld flip chart for MDTs</t>
  </si>
  <si>
    <t>SOP MDT</t>
  </si>
  <si>
    <t>SOP DH supervisors</t>
  </si>
  <si>
    <t>MDT Workplan sheet</t>
  </si>
  <si>
    <t>SOP for CSOs</t>
  </si>
  <si>
    <t>SOP for cluster supervisors</t>
  </si>
  <si>
    <t>SOP for LGA team</t>
  </si>
  <si>
    <t>4x2 flex chart for Distribution Training</t>
  </si>
  <si>
    <t>Pens (for all) pack of 50</t>
  </si>
  <si>
    <t>Bale Cutters</t>
  </si>
  <si>
    <t>Markers (Pieces)</t>
  </si>
  <si>
    <t>Bags for losse nets and materials (bacco sack like plolythene bags)</t>
  </si>
  <si>
    <t>ICT4D</t>
  </si>
  <si>
    <t>Paper for printing badges (Reams)</t>
  </si>
  <si>
    <t>Toners for printer to print campaign personnel badges</t>
  </si>
  <si>
    <t>Toner for printer to print Demo badges for training</t>
  </si>
  <si>
    <t>Badge holders + Strip</t>
  </si>
  <si>
    <t>Data bundle for routers</t>
  </si>
  <si>
    <t>Carry sacks for devices</t>
  </si>
  <si>
    <t>Temper proof seal for devices</t>
  </si>
  <si>
    <t>Waterproof Bags for devices</t>
  </si>
  <si>
    <t>Handling</t>
  </si>
  <si>
    <t>Sync verification form</t>
  </si>
  <si>
    <t>P-3D update form</t>
  </si>
  <si>
    <t xml:space="preserve">Guarantor's form </t>
  </si>
  <si>
    <t>Monitoring &amp; Supervision</t>
  </si>
  <si>
    <t>Tools - M&amp;S forms (i9-a)</t>
  </si>
  <si>
    <t>Tools - M&amp;S forms (i9-b)</t>
  </si>
  <si>
    <t>Tools - Cluster supervisors supervisory checklist</t>
  </si>
  <si>
    <t>Tools - M&amp;S forms (i9-d)</t>
  </si>
  <si>
    <t>Tools - end process assessment forms 1</t>
  </si>
  <si>
    <t>Tools - end process assessment forms 2</t>
  </si>
  <si>
    <t>Training manual</t>
  </si>
  <si>
    <t>Operations</t>
  </si>
  <si>
    <t>Printer ink</t>
  </si>
  <si>
    <t>Advert placement for procurement</t>
  </si>
  <si>
    <t>Transport of tools &amp; materials to State (15 tonn truck)</t>
  </si>
  <si>
    <t>Transport of tools &amp; materials to LGA (canter or bus)</t>
  </si>
  <si>
    <t xml:space="preserve">Promotional material for Logistics Demand Creation and M&amp;S </t>
  </si>
  <si>
    <t>Physical stock count of ITNs in warehouse (after macro logistics)</t>
  </si>
  <si>
    <t>Physical stock count of ITNs in warehouse (after reverse logistics)</t>
  </si>
  <si>
    <t>Reverse logistics from DHs to LGA store (including loading &amp; off loading: Non-hard to reach</t>
  </si>
  <si>
    <t>Reverse logistics from DHs to LGA store: hard to reach</t>
  </si>
  <si>
    <t>Community Mobilization - Radio/TV Airtime (gov)</t>
  </si>
  <si>
    <t>Net Ambassador's investiture (investiture &amp; production of radio message)</t>
  </si>
  <si>
    <t>Airing of endorsment jingle by Net Ambassador</t>
  </si>
  <si>
    <t>Documentary (Video and Photographs)</t>
  </si>
  <si>
    <t>State campaign flagoff</t>
  </si>
  <si>
    <t>Batteries for mega phones (4 pack of battery)</t>
  </si>
  <si>
    <t>CSO - facilitation fee for orientation session with community leaders</t>
  </si>
  <si>
    <t>Lunch for orientation sessions</t>
  </si>
  <si>
    <t>Materials for orientation sessions</t>
  </si>
  <si>
    <t>CSO - facilitation fee for orientation session with religious/traditional leaders</t>
  </si>
  <si>
    <t>CSO - facilitation fee for orientation sessions with school health coordinators</t>
  </si>
  <si>
    <t>CSO - facilitation fee of SOPs for orientation session with union leaders</t>
  </si>
  <si>
    <t>CSO Facilitation fee-Sensitization session with communty leaders/ religious/traditional leaders and their members (1 session per ward per phase with 10-20 participants)</t>
  </si>
  <si>
    <t>CSO Facilitation fee- Sensitization session in schools with health coordinators and students (2 schools per ward per phase with 10-20 participants)</t>
  </si>
  <si>
    <t>CSO Facilitation fee- Sensitization session with unions leaders and their members (2 unions per ward per phase with 10-20 participants)</t>
  </si>
  <si>
    <t>CSO - Mobile street announcement (3 days per phase)</t>
  </si>
  <si>
    <t>CSO - cost of banner</t>
  </si>
  <si>
    <t>Daily review meeting during HHM &amp; net distribution</t>
  </si>
  <si>
    <t>Hall for review meetings (Large)</t>
  </si>
  <si>
    <t>ICCN review meeting</t>
  </si>
  <si>
    <t>ICCN review meeting - transport for participants</t>
  </si>
  <si>
    <t>Vehicle for M&amp;S</t>
  </si>
  <si>
    <t>Vehicle for M&amp;S (car pool)</t>
  </si>
  <si>
    <t>Waste management</t>
  </si>
  <si>
    <t>Security (Police/vigiliante/NSCDC/DSS/Army\/State) and Contigency logistics</t>
  </si>
  <si>
    <t>Campaign personnel honorarium, daily rate and travels</t>
  </si>
  <si>
    <t>Personnel Honorarium, daily rate, communication and transportation</t>
  </si>
  <si>
    <t>Item</t>
  </si>
  <si>
    <t>Unit cost (NGN)</t>
  </si>
  <si>
    <t>Local transport</t>
  </si>
  <si>
    <t>Communication</t>
  </si>
  <si>
    <t>Duration (days)</t>
  </si>
  <si>
    <t>CTAT (Technical Workstream)</t>
  </si>
  <si>
    <t>CTAT (Demand Creation WS consultants)</t>
  </si>
  <si>
    <t>CTAT (Logistics WS consultants)</t>
  </si>
  <si>
    <t>CTAT (support facilitators)</t>
  </si>
  <si>
    <t>ICT4D consultants (4 per State)</t>
  </si>
  <si>
    <t>state team (ES SPHCDA, DPH, SMEP manager, state health educator, state logistician)</t>
  </si>
  <si>
    <t>LGA TAs (1 per LGA)</t>
  </si>
  <si>
    <t>State warehouse manager -  (Depending on the number of warehouses per state)</t>
  </si>
  <si>
    <t>Assistant warehouse manager - (2 per warehouse)</t>
  </si>
  <si>
    <t>LGA conveyors - (1 per LGA)</t>
  </si>
  <si>
    <t>Media reporting journalist - (3 per State)</t>
  </si>
  <si>
    <t>TTAs</t>
  </si>
  <si>
    <t>LGA coordinators - (1 per LGA)</t>
  </si>
  <si>
    <t>LGA team (PHCC/MoH)</t>
  </si>
  <si>
    <t>LGA team (MFP)</t>
  </si>
  <si>
    <t>LGA team (LGA HE)</t>
  </si>
  <si>
    <t>LGA team (LGA logistician)</t>
  </si>
  <si>
    <t>LGA store keeper - 1 per LGA</t>
  </si>
  <si>
    <t>LGA store security- 2 per LGA</t>
  </si>
  <si>
    <t>DH conveyors - 1 per DH</t>
  </si>
  <si>
    <t>Cluster supervisors - HHM/ITN Distribution</t>
  </si>
  <si>
    <t>Cluster supervisors - Distribution</t>
  </si>
  <si>
    <t>Town announcers - 5 per ward</t>
  </si>
  <si>
    <t>Household mobilizers/ITN distributors</t>
  </si>
  <si>
    <t>DH supervisors - 1 per DH</t>
  </si>
  <si>
    <t>HHM/Distribution team security - 1 per team</t>
  </si>
  <si>
    <t>DP health educator - 1 per DP</t>
  </si>
  <si>
    <t>DH security - 1 per DH</t>
  </si>
  <si>
    <t>CMTs - 4 per LGA</t>
  </si>
  <si>
    <t>Travel for National and State level personnel for campaign implementation</t>
  </si>
  <si>
    <t>Items</t>
  </si>
  <si>
    <t>Description</t>
  </si>
  <si>
    <t>Uint cost</t>
  </si>
  <si>
    <t>CTAT + Support Facilitators</t>
  </si>
  <si>
    <t>Air ticket &amp; Terminals</t>
  </si>
  <si>
    <t xml:space="preserve"> Interstate for Kaduna</t>
  </si>
  <si>
    <t>DSA</t>
  </si>
  <si>
    <t>CTAT (for STOT Facilitation)</t>
  </si>
  <si>
    <t>ICT4D consultant</t>
  </si>
  <si>
    <t>ICT4D team</t>
  </si>
  <si>
    <t>Communication (Call &amp; Data)</t>
  </si>
  <si>
    <t>State team</t>
  </si>
  <si>
    <t>Out of Station allowance</t>
  </si>
  <si>
    <t>LGA coordinators</t>
  </si>
  <si>
    <t>Additional hotel room for secretariat</t>
  </si>
  <si>
    <t>VC unit - workstream Advisor</t>
  </si>
  <si>
    <t>Local transp</t>
  </si>
  <si>
    <t xml:space="preserve"> PD &amp; DPD</t>
  </si>
  <si>
    <t>SFH M&amp;E/IT to support ICT4D</t>
  </si>
  <si>
    <t>Security</t>
  </si>
  <si>
    <t>Finance team</t>
  </si>
  <si>
    <t>Program/operations support</t>
  </si>
  <si>
    <t>NMEP &amp; SFH management team</t>
  </si>
  <si>
    <t>For oversight</t>
  </si>
  <si>
    <t>SFH &amp; NMEP reps (flag off)</t>
  </si>
  <si>
    <t>3 days Flag off</t>
  </si>
  <si>
    <t>Car hire</t>
  </si>
  <si>
    <t>Exchange rate</t>
  </si>
  <si>
    <t>Grand Total implementation</t>
  </si>
  <si>
    <t>Totals by cost category &amp; type</t>
  </si>
  <si>
    <t>Planning and coordination: Personnel</t>
  </si>
  <si>
    <t>Planning and coordination: Other direct cost</t>
  </si>
  <si>
    <t>Logistics during campaign: Procurement</t>
  </si>
  <si>
    <t>Logistics during campaign: Logistics</t>
  </si>
  <si>
    <t>Logistics during campaign: Personnel</t>
  </si>
  <si>
    <t>Logistics during campaign: Other direct cost</t>
  </si>
  <si>
    <t>Training: Procurement</t>
  </si>
  <si>
    <t>Training: Personnel</t>
  </si>
  <si>
    <t>Training: Meeting / Workshop/ training costs</t>
  </si>
  <si>
    <t>SBCC: Procurement</t>
  </si>
  <si>
    <t xml:space="preserve">5.1 </t>
  </si>
  <si>
    <t>SBCC: Personnel</t>
  </si>
  <si>
    <t>Household registration: Procurement</t>
  </si>
  <si>
    <t>Household registration: Personnel</t>
  </si>
  <si>
    <t>Distribution to benefiaries: Procurement</t>
  </si>
  <si>
    <t>Distribution to benefiaries: Personnel</t>
  </si>
  <si>
    <t>Distribution to benefiaries: Other direct cost</t>
  </si>
  <si>
    <t>M &amp;S: Procurement</t>
  </si>
  <si>
    <t>M&amp;S: Personnel</t>
  </si>
  <si>
    <t>M&amp;S: Meeting / Workshop/ training costs</t>
  </si>
  <si>
    <t>M&amp;S: Other direct cost</t>
  </si>
  <si>
    <t>Evaluation: Procurement</t>
  </si>
  <si>
    <t>Evaluation: Personnel</t>
  </si>
  <si>
    <t>Other direct cost: Procurement</t>
  </si>
  <si>
    <t>Other direct cost: Logistics</t>
  </si>
  <si>
    <t>Other direct cost: Personnel</t>
  </si>
  <si>
    <t>Other direct cost: otherdirect cost</t>
  </si>
  <si>
    <t>ICT4D:Procurement</t>
  </si>
  <si>
    <t>ICT4D:Personnel</t>
  </si>
  <si>
    <t>ICT4D:Meeting/Workshop/Training cost</t>
  </si>
  <si>
    <t>Policy &amp; procedure cost:Personnel</t>
  </si>
  <si>
    <t>CostLinkProc</t>
  </si>
  <si>
    <t>Ganye</t>
  </si>
  <si>
    <t>Girei</t>
  </si>
  <si>
    <t>Ilejemeje</t>
  </si>
  <si>
    <t>per person</t>
  </si>
  <si>
    <t>Procure SPAQ                      (12-59 months)</t>
  </si>
  <si>
    <t xml:space="preserve">Country </t>
  </si>
  <si>
    <t>North-Central (Middle Belt)</t>
  </si>
  <si>
    <t>North East</t>
  </si>
  <si>
    <t>South-East</t>
  </si>
  <si>
    <t>South-South (Niger Delta)</t>
  </si>
  <si>
    <t>Dange-Shuni</t>
  </si>
  <si>
    <t>Disputed Area in Taraba State</t>
  </si>
  <si>
    <t>South-West</t>
  </si>
  <si>
    <t>North-West</t>
  </si>
  <si>
    <t>ITNs</t>
  </si>
  <si>
    <t># of ITNs for Campaign</t>
  </si>
  <si>
    <t>Cost of Continuous Distribution of ITNs</t>
  </si>
  <si>
    <t>Campaign</t>
  </si>
  <si>
    <t>Flight ticket-Return within Nigeria</t>
  </si>
  <si>
    <t>Travel-Ground-per km</t>
  </si>
  <si>
    <t>ITN Campaign-Operational cost per ITN</t>
  </si>
  <si>
    <t>ITN Routine Distribution-Operational cost per ITN</t>
  </si>
  <si>
    <t>SMC-SPAQ-3-11 months-Procurement cost per SPAQ</t>
  </si>
  <si>
    <t>SMC-SPAQ-12-59 months-Procurement cost per SPAQ</t>
  </si>
  <si>
    <t>IPTp-SP-Procurement cost per SP</t>
  </si>
  <si>
    <t>Case Management-AL-Procurement cost per AL</t>
  </si>
  <si>
    <t>Case Management-AL-Routine Distribution cost per AL</t>
  </si>
  <si>
    <t>Training on malaria microscopy-Cost per person</t>
  </si>
  <si>
    <t>ITN Campaign</t>
  </si>
  <si>
    <t>Procure ITNs for campaign</t>
  </si>
  <si>
    <t>ITN Continuous Distribution</t>
  </si>
  <si>
    <t>Procure and distribute ITNs for continuous distribution</t>
  </si>
  <si>
    <t>Procure ITNs</t>
  </si>
  <si>
    <t>Conduct last mile distribution of ITNs to LGAs and HFs</t>
  </si>
  <si>
    <t># of PW     (5%)</t>
  </si>
  <si>
    <t>Proportion for SP</t>
  </si>
  <si>
    <t>Eligbile</t>
  </si>
  <si>
    <t>U-5  for SMC (95%)</t>
  </si>
  <si>
    <t xml:space="preserve"># of U-5 + PW     </t>
  </si>
  <si>
    <t># eligible for Cont. Distribution</t>
  </si>
  <si>
    <t>Procuremnet</t>
  </si>
  <si>
    <t>NMEP/GC7</t>
  </si>
  <si>
    <t>ITN Campaign-Procurement per ITN (Dual AI)</t>
  </si>
  <si>
    <t>NMEP Historical Cost</t>
  </si>
  <si>
    <t>ITN Routine Distribution-Pocurement cost per ITN (Dual AI)</t>
  </si>
  <si>
    <t>ITN Campagain</t>
  </si>
  <si>
    <t>SMC Campaign</t>
  </si>
  <si>
    <t>SPAQ for SMC      (12-59 months)</t>
  </si>
  <si>
    <t>Kwara State 2023 SMC Operational Budget</t>
  </si>
  <si>
    <t>Implementation Activities</t>
  </si>
  <si>
    <t>Pre-Implementation Activities</t>
  </si>
  <si>
    <t>BLs</t>
  </si>
  <si>
    <t>FA Review Comments</t>
  </si>
  <si>
    <t>PR Comments</t>
  </si>
  <si>
    <t xml:space="preserve">FA Comments </t>
  </si>
  <si>
    <t xml:space="preserve"> 1.2 Planning Meeting </t>
  </si>
  <si>
    <t xml:space="preserve">PR explained these activities have already taken place and amounts are as per budget figures </t>
  </si>
  <si>
    <t xml:space="preserve"> 1.2 Entry meeting with SMEP Team  </t>
  </si>
  <si>
    <t xml:space="preserve"> 1.3  LGA Microplan Collation and  Analysis  Workshop </t>
  </si>
  <si>
    <t xml:space="preserve"> 1.4 State Level Microplan Validation Meeting </t>
  </si>
  <si>
    <t xml:space="preserve"> Debrief Meeting </t>
  </si>
  <si>
    <t>See comments in Kwara Budget sheet</t>
  </si>
  <si>
    <t>2.2.1 Procurement of  Stationeries</t>
  </si>
  <si>
    <t>See comments in Kwara budget sheet</t>
  </si>
  <si>
    <t xml:space="preserve"> Total</t>
  </si>
  <si>
    <t>OTHER DIRECT COSTS</t>
  </si>
  <si>
    <t>See comments in Kwara oversight budget sheet</t>
  </si>
  <si>
    <t>Recheck summation of N29,360,600 as it excludes N32,659,400</t>
  </si>
  <si>
    <t>Reviewed</t>
  </si>
  <si>
    <t>Okay</t>
  </si>
  <si>
    <t>Grand Total (Naira)</t>
  </si>
  <si>
    <t>Grand Total (USD)</t>
  </si>
  <si>
    <t>Number of U5 Children</t>
  </si>
  <si>
    <t>Cost per child (Naira)</t>
  </si>
  <si>
    <t>Cost per child (USD)</t>
  </si>
  <si>
    <t xml:space="preserve">Current cost in Naira </t>
  </si>
  <si>
    <t>USD Equivalence</t>
  </si>
  <si>
    <t>NMEP</t>
  </si>
  <si>
    <t>NMEP/GF</t>
  </si>
  <si>
    <t>Health product</t>
  </si>
  <si>
    <t>Reference price</t>
  </si>
  <si>
    <t>Cost for treating each age category</t>
  </si>
  <si>
    <t>Artemether+Lumefantrine -FDC</t>
  </si>
  <si>
    <t>20mg+120mg -6 tab</t>
  </si>
  <si>
    <t>GF/PPM Reference Price (2020) &amp; PMI historical cost</t>
  </si>
  <si>
    <t>20mg+120mg -12 tab</t>
  </si>
  <si>
    <t>20mg+120mg -18 tab</t>
  </si>
  <si>
    <t>20mg+120mg -24 tab</t>
  </si>
  <si>
    <t>Artesunate/Amodiaquine-FDC</t>
  </si>
  <si>
    <t>25/67.5mg 3 tablet 25 blister</t>
  </si>
  <si>
    <t>50/135mg 3 tablet 25 blister</t>
  </si>
  <si>
    <t>100/270mg 3 tablet 25 blister</t>
  </si>
  <si>
    <t>100/270mg 6 tablet 25 blister</t>
  </si>
  <si>
    <t xml:space="preserve">Piperaquine tetraphosphate (as the tetrahydrate;PQP)/Dihydroartemisinin (DHA) </t>
  </si>
  <si>
    <t>160/20mg 3 dispersible/non dispersible tablet - Blisters</t>
  </si>
  <si>
    <t xml:space="preserve">GF/PPM Reference Price (2020) </t>
  </si>
  <si>
    <t>Piperaquine tetraphosphate (as the tetrahydrate;PQP)/Dihydroartemisinin (DHA)</t>
  </si>
  <si>
    <t xml:space="preserve"> 320/40mg 3 dispersible/non dispersible tablet - Blisters </t>
  </si>
  <si>
    <t>320/40mg 6 tablet - blisters</t>
  </si>
  <si>
    <t>320/40mg 9 tablet - Blisters</t>
  </si>
  <si>
    <t>320/40mg 12 tablet - Blisters</t>
  </si>
  <si>
    <t>Average Cost of ACTs</t>
  </si>
  <si>
    <t>Freight</t>
  </si>
  <si>
    <t>Oversea Procurement agency</t>
  </si>
  <si>
    <t>Insurance ( Overseas insurance and  SONCAP)-0.1940% of cost of product and Freight cost</t>
  </si>
  <si>
    <t>In-country PSM cost</t>
  </si>
  <si>
    <t>Guidelines for the management and allocation of the percentage of the value of procurement for in-country supply chain chain management (NPSCMP)</t>
  </si>
  <si>
    <t>Total cost for ACTs</t>
  </si>
  <si>
    <t>Artesunate</t>
  </si>
  <si>
    <t>60 mg powder for injection</t>
  </si>
  <si>
    <t>GF/PPM Reference Price (Q3, 2020) &amp; PMI historical cost</t>
  </si>
  <si>
    <t xml:space="preserve">GF/PPM Reference Price (Q3, 2020) </t>
  </si>
  <si>
    <t>Procurement agency</t>
  </si>
  <si>
    <t>GF/PPM Reference Price (Q3, 2020)</t>
  </si>
  <si>
    <t>Guidelines for the management and allocation of the percentage of the value of procurement for in-country supply chain man chain management (NPSCMP)</t>
  </si>
  <si>
    <t>Total Cost for Artesunate Injection</t>
  </si>
  <si>
    <t>Malaria Rapid Diagnostic Test Kit</t>
  </si>
  <si>
    <t xml:space="preserve">Antigen Pf - 25 tests </t>
  </si>
  <si>
    <t>Total Cost-RDTs only</t>
  </si>
  <si>
    <t>Gloves,Exam- latex-pack of 100</t>
  </si>
  <si>
    <t>Average Cost from The Global Fund PPM reference Price (Q1, 2020) &amp; PMI historical cost</t>
  </si>
  <si>
    <t>GF/PPM Reference Price (2020)</t>
  </si>
  <si>
    <t>Insurance ( Overseas insurance and  SONCAP)-0.1829% of cost of product and Freight cost</t>
  </si>
  <si>
    <t>Total Cost for Gloves, Exam - latex pack of 100</t>
  </si>
  <si>
    <t>Cost of a pair of gloves</t>
  </si>
  <si>
    <t>Assuming that 1 RDT goes with a pair of gloves</t>
  </si>
  <si>
    <t>Sharps container, paperboard-5L- white</t>
  </si>
  <si>
    <t>Average Cost from The Global Fund's PQR/wambo/GF &amp; PMI historical cost</t>
  </si>
  <si>
    <t>Total Cost of Sharps container, paperboard-5L- white</t>
  </si>
  <si>
    <t>Cost of Sharp Container to 200 RDT</t>
  </si>
  <si>
    <t>Guidance from NMEP in the past is that 1 sharp container be procured for 200 RDTs</t>
  </si>
  <si>
    <t>Total Cost of RDTs plus consumables (gloves and sharp container)</t>
  </si>
  <si>
    <t>Rectal Artesunate Suppositories (RAS)</t>
  </si>
  <si>
    <t>RAS</t>
  </si>
  <si>
    <t>Cost for 2 RAS needed per case-CHAI Historical Cost</t>
  </si>
  <si>
    <t>Cost for 1 RAS</t>
  </si>
  <si>
    <t>Total for RAS</t>
  </si>
  <si>
    <t>Case Management-RDT kits-Procurement cost per kit &amp; consumables</t>
  </si>
  <si>
    <t>Case Management-RDT kits-Distribution cost per kit &amp; consumables</t>
  </si>
  <si>
    <t>Conduct SMC Campaign</t>
  </si>
  <si>
    <t>Procure AL</t>
  </si>
  <si>
    <t>Case Management-Rectal Artesunate Suppositories (RAS)-Procurement cost per RAS</t>
  </si>
  <si>
    <t>Case Management-RAS-Routine Distribution cost per RAS</t>
  </si>
  <si>
    <t>Procure Rectal Artesunate Suppositories (RAS)</t>
  </si>
  <si>
    <t>Distribute RAS to health facilities</t>
  </si>
  <si>
    <t>Malaria Vaccine</t>
  </si>
  <si>
    <t>Procure and distribute malaria vaccines</t>
  </si>
  <si>
    <t xml:space="preserve">SMC-Campaign cost per child </t>
  </si>
  <si>
    <t>Social and Behaviour Change (SBC)</t>
  </si>
  <si>
    <t>Conduct 1 community dialogue per ward on malaria prevention and treatment quarterly</t>
  </si>
  <si>
    <t>Conduct Compound Meetings and Community Dialogues</t>
  </si>
  <si>
    <t>Conduct 10 compound meetings per ward on malaria prevention and treatment quarterly</t>
  </si>
  <si>
    <t>CostLink SMC</t>
  </si>
  <si>
    <t>Procure SPAQ              (3-11 months)</t>
  </si>
  <si>
    <t>per person per day</t>
  </si>
  <si>
    <t>per ITN</t>
  </si>
  <si>
    <t>per SPAQ</t>
  </si>
  <si>
    <t>per child</t>
  </si>
  <si>
    <t>per SP</t>
  </si>
  <si>
    <t>per AL</t>
  </si>
  <si>
    <t>per 60mg powder</t>
  </si>
  <si>
    <t>Case Management-Artesunate injections-Procurement cost</t>
  </si>
  <si>
    <t>per RAS</t>
  </si>
  <si>
    <t>per kit</t>
  </si>
  <si>
    <t>per hall per day</t>
  </si>
  <si>
    <t>per page</t>
  </si>
  <si>
    <t>per person per night</t>
  </si>
  <si>
    <t>PRAGMATIC PRIORITIZED COSTED PLAN FOR MALARIA PROGRAMME</t>
  </si>
  <si>
    <t>Pragmatic Prioritized Plan for Malaria Programme</t>
  </si>
  <si>
    <t>The PMC has been prioritized within the GC7 to commence in 2025 across 89 LGAs in 6 GF supported States (Ogun, Osun, Kwara, Delta, Taraba and Adamawa). This will be the first large-scale implementation of PMC in Nigeria.  There will be total coverage for Delta, Ogun and Osun while in Adamawa, Taraba and Kwara, the SMC LGAs will be excluded</t>
  </si>
  <si>
    <t>Year of intervention</t>
  </si>
  <si>
    <t>Total population</t>
  </si>
  <si>
    <t>Target 
&lt;1yr</t>
  </si>
  <si>
    <t>Target
1-2Yrs</t>
  </si>
  <si>
    <t>Total target for Ogun</t>
  </si>
  <si>
    <t>Total target for Osun</t>
  </si>
  <si>
    <t>Total target for Kwara</t>
  </si>
  <si>
    <t>Total target for Delta</t>
  </si>
  <si>
    <t>Total target for Taraba</t>
  </si>
  <si>
    <t>Total target for Adamawa</t>
  </si>
  <si>
    <t xml:space="preserve">2025 Population </t>
  </si>
  <si>
    <t>2026 Population</t>
  </si>
  <si>
    <t>GC7 Year 2 2025</t>
  </si>
  <si>
    <t>GC7 Year 3 2026</t>
  </si>
  <si>
    <t>Target age for PMC</t>
  </si>
  <si>
    <t>&lt;1yr</t>
  </si>
  <si>
    <t>1-2Yrs</t>
  </si>
  <si>
    <t>Target population for PMC</t>
  </si>
  <si>
    <t xml:space="preserve">Quantity of SP needed for PMC </t>
  </si>
  <si>
    <t>Cost of procuring drugs only  (USD)</t>
  </si>
  <si>
    <t>Procurement fee 3%+Overseas insurance, QA, and  SONCAP-0.1940% of product value and freight cost</t>
  </si>
  <si>
    <t>Shipping 15%</t>
  </si>
  <si>
    <t>Total cost of drugs +Shipping+ insurance/QA</t>
  </si>
  <si>
    <t xml:space="preserve">Distribute SP from Axial Medical Stores to health facilities and communities </t>
  </si>
  <si>
    <t>Operational cost (training, guideline development/printing, SBC, tools- revision, printing, distribution)</t>
  </si>
  <si>
    <t>Cost of SP in USD</t>
  </si>
  <si>
    <t>Unit cost of SP in USD</t>
  </si>
  <si>
    <t>Unit cost SP in NGN</t>
  </si>
  <si>
    <t>Budget line</t>
  </si>
  <si>
    <t>Perenial Malaria Chemoprevention (PMC) Budget</t>
  </si>
  <si>
    <t>Procurement of SP &amp; distribution of SP</t>
  </si>
  <si>
    <t>Activity Discription</t>
  </si>
  <si>
    <t>Frequency/No. of days</t>
  </si>
  <si>
    <t>Unit cost (USD/NGN)</t>
  </si>
  <si>
    <t>Cost (USD)</t>
  </si>
  <si>
    <t>Cost (NGN)</t>
  </si>
  <si>
    <t>2024 Year 1 (NGN)</t>
  </si>
  <si>
    <t>2025 Year 2 (NGN)</t>
  </si>
  <si>
    <t>2026 Year 3 (NGN)</t>
  </si>
  <si>
    <t>Cost of drugs</t>
  </si>
  <si>
    <t xml:space="preserve">Distribute SP from State Medical Stores to health facilities and communities </t>
  </si>
  <si>
    <t>Sub total</t>
  </si>
  <si>
    <t>Training of master trainers on integrated IPTi-EPI delivery,data reporting, supervision and pharmacovigilance (NTOT)</t>
  </si>
  <si>
    <t>Hall hire and projector</t>
  </si>
  <si>
    <t>DSA-Osun</t>
  </si>
  <si>
    <t>Interstate Car Hire</t>
  </si>
  <si>
    <t>Transport cost</t>
  </si>
  <si>
    <t>Printing of training manuals</t>
  </si>
  <si>
    <t>Flight cost</t>
  </si>
  <si>
    <t>Airport terminal</t>
  </si>
  <si>
    <t>Training Facilitation fee</t>
  </si>
  <si>
    <t>Training of State trainers on integrated IPTi-EPI delivery,data reporting, supervision and pharmacovigilance (STOT)</t>
  </si>
  <si>
    <t>DSA (For State level participants)</t>
  </si>
  <si>
    <t>DSA (For National level facilitators)</t>
  </si>
  <si>
    <t>Interstate car hire</t>
  </si>
  <si>
    <t>Decentralized non residential training of  health workers at the LGA level on integrated IPTi-EPI delivery,data reporting, supervision and pharmacovigilance  (STOT)</t>
  </si>
  <si>
    <t>Decentralized non residential training of  health workers at the LGA level on integrated IPTi-EPI delivery,data reporting, supervision and pharmacovigilance (STOT)</t>
  </si>
  <si>
    <t>Tes break</t>
  </si>
  <si>
    <t>DSA (Out of station allowance)</t>
  </si>
  <si>
    <t>Printing and distribution of IEC materials on IPTi through EPI at health facility and community levels</t>
  </si>
  <si>
    <t>Printing and distribution of toos</t>
  </si>
  <si>
    <t xml:space="preserve"> Printing and distribution of integrated tools (HMIS tool, including LMIS tools and treatment algorithms) </t>
  </si>
  <si>
    <t>Printing and distribution of tools</t>
  </si>
  <si>
    <t xml:space="preserve">Printing and distribution of guidelines </t>
  </si>
  <si>
    <t xml:space="preserve">Develop social behaviour change communication strategy for IPTi-EPI and organize community sensitization and awareness creation meetings, activities and use of mass media. </t>
  </si>
  <si>
    <t>Hall hire</t>
  </si>
  <si>
    <t>DSA for consultant</t>
  </si>
  <si>
    <t xml:space="preserve">Flight </t>
  </si>
  <si>
    <t>Daily transport</t>
  </si>
  <si>
    <t>Facilitation fee</t>
  </si>
  <si>
    <t>Printing and distribution of social behaviour change communication strategy document</t>
  </si>
  <si>
    <t>Printing and distribution</t>
  </si>
  <si>
    <r>
      <t xml:space="preserve"> </t>
    </r>
    <r>
      <rPr>
        <sz val="11"/>
        <rFont val="Calibri"/>
        <family val="2"/>
      </rPr>
      <t>Conduct routine quarterly supportive supervision conducted for VHWs implementing IPTi. (This activity will leverage on the state quarterly IMSV)</t>
    </r>
  </si>
  <si>
    <t>Travel related cost</t>
  </si>
  <si>
    <r>
      <t xml:space="preserve"> </t>
    </r>
    <r>
      <rPr>
        <sz val="11"/>
        <rFont val="Calibri"/>
        <family val="2"/>
      </rPr>
      <t>Conduct routine quarterly supportive supervision conducted for VHWs implementing IPTi (This activity will leverage on the state quarterly IMSV)</t>
    </r>
  </si>
  <si>
    <t>Adaptation of supervision tools</t>
  </si>
  <si>
    <t>Digitization of supervision tools</t>
  </si>
  <si>
    <t xml:space="preserve"> Conduct routine quarterly supportive supervision conducted for VHWs implementing IPTi (This activity will leverage on the state quarterly IMSV) 30HFs per state per quarter ( Ogun, Osun &amp; Delta &amp; Delta</t>
  </si>
  <si>
    <t>Car hire for field visit</t>
  </si>
  <si>
    <t xml:space="preserve"> Conduct routine quarterly supportive supervision conducted for VHWs implementing IPTi (This activity will leverage on the state quarterly IMSV) 30HFs per state per quarter ( Ogun, Osun &amp; Delta)</t>
  </si>
  <si>
    <t>DSA (54% of all LGA)</t>
  </si>
  <si>
    <t>Transport cost to near LGAs</t>
  </si>
  <si>
    <t xml:space="preserve"> Conduct routine quarterly supportive supervision conducted for VHWs implementing IPTi (This activity will leverage on the state quarterly IMSV) 30HFs per state per quarter (Ogun, Osun &amp; Delta)</t>
  </si>
  <si>
    <t>Planning meeting (Refreshment and transportation)</t>
  </si>
  <si>
    <t>Monthly data collection, validation and reporting. Liverage on already existing platform for data reporting and facility visit for collection</t>
  </si>
  <si>
    <t>Transport cost to health facility for data collection</t>
  </si>
  <si>
    <t>Internet allowance for upload on DHIS2.0 at the LGA</t>
  </si>
  <si>
    <t>Monitor implementation and reporting. Biannual monitoring of project state by national programme officers (NMEP, NPHCDA and implementer)</t>
  </si>
  <si>
    <t>Inter-state car hire</t>
  </si>
  <si>
    <t>Grand total</t>
  </si>
  <si>
    <t>For Year 2025</t>
  </si>
  <si>
    <t xml:space="preserve">Operational Cost in NGN </t>
  </si>
  <si>
    <t>Operational Cost in USD</t>
  </si>
  <si>
    <t>Operational Cost per child in USD</t>
  </si>
  <si>
    <t>Operational Cost per child in NGN</t>
  </si>
  <si>
    <t>Demographics</t>
  </si>
  <si>
    <t># of SP for PMC (&lt;1yr)</t>
  </si>
  <si>
    <t># of SP for PMC (1-2yrs)</t>
  </si>
  <si>
    <t># of SP for PMC (Total)</t>
  </si>
  <si>
    <t>Proportion of SP for PMC</t>
  </si>
  <si>
    <t># of &lt;1yr Children</t>
  </si>
  <si>
    <t># of 1-2yrs Children</t>
  </si>
  <si>
    <t># of 0-2yrs Children</t>
  </si>
  <si>
    <t xml:space="preserve">Proportion </t>
  </si>
  <si>
    <t>PMC-SP-Routine Distribution cost</t>
  </si>
  <si>
    <t>PMC-SP-Procurement cost</t>
  </si>
  <si>
    <t>LinkCost Distribution</t>
  </si>
  <si>
    <t>LinkCost Procurement</t>
  </si>
  <si>
    <t>AL Distribution</t>
  </si>
  <si>
    <t>RAS Distribution</t>
  </si>
  <si>
    <t>RAS Procurement</t>
  </si>
  <si>
    <t>iv Artesunate Procurement</t>
  </si>
  <si>
    <t>iv Artesunate Distribution</t>
  </si>
  <si>
    <t>Total for CM</t>
  </si>
  <si>
    <t>CostLink Proc</t>
  </si>
  <si>
    <t>CostLink Distribut</t>
  </si>
  <si>
    <t xml:space="preserve">Case Management-Artesunate injections-Routine Distribution cost </t>
  </si>
  <si>
    <t># of RAS</t>
  </si>
  <si>
    <t>AL            Procurement</t>
  </si>
  <si>
    <t>Total for IV Artesunate</t>
  </si>
  <si>
    <t>Total for AL</t>
  </si>
  <si>
    <t>Total for RDT kits</t>
  </si>
  <si>
    <t>Distrbution</t>
  </si>
  <si>
    <t>Storage of Hardwares</t>
  </si>
  <si>
    <t>ITN Campaign-Storage of Hardwares</t>
  </si>
  <si>
    <t>per year</t>
  </si>
  <si>
    <t>Conduct ITN campaign</t>
  </si>
  <si>
    <t>per bale</t>
  </si>
  <si>
    <t>Distribute ITNs from States to LGAs</t>
  </si>
  <si>
    <t>Store Hardwares for ITN Campaign</t>
  </si>
  <si>
    <t>Distribution to LGAs</t>
  </si>
  <si>
    <t># of ITN Bales for Campaign</t>
  </si>
  <si>
    <t>CostLink Operation</t>
  </si>
  <si>
    <t>ITN Campaign-Cost of distribution from State to LGA and from LGA to DHs</t>
  </si>
  <si>
    <t>NPHCDA</t>
  </si>
  <si>
    <t>Implement malaria vaccination</t>
  </si>
  <si>
    <t>IPTp-SP-Distribution cost per SP</t>
  </si>
  <si>
    <t>Long Lasting Insecticidal Nets (PBO)</t>
  </si>
  <si>
    <t>180x190x160 cm</t>
  </si>
  <si>
    <t>Global Fund PPM Reference Price (2020) &amp; PMI historical cost</t>
  </si>
  <si>
    <t>Global Fund PPM Reference Price (2020)</t>
  </si>
  <si>
    <t xml:space="preserve"> Insurance ( Overseas insurance and  SONCAP)-0.4386% cost of product and Freight cost</t>
  </si>
  <si>
    <t>Total Cost for LLINs</t>
  </si>
  <si>
    <t>Amodiaquine (as hydrochloride)+Sulfadoxine/Pyrimethamine</t>
  </si>
  <si>
    <t xml:space="preserve">153mg+500/25mg  3+1 tablet dispersible co-blistered) </t>
  </si>
  <si>
    <t>Global Fund PPM Reference Price (2020)/wambo/historical cost</t>
  </si>
  <si>
    <t>Overseas insurance, QA, and  SONCAP-0.1940% of product value and freight cost</t>
  </si>
  <si>
    <t>Total cost-SPAQ (153mg+500/25mg 3+1 tablet dispersible co-blistered 50 blister)</t>
  </si>
  <si>
    <t xml:space="preserve">Amodiaquine (as hydrochloride)+Sulfadoxine/Pyrimethamine </t>
  </si>
  <si>
    <t>76.5mg+250/12.5mg 3+1 tablet dispersible co-blistered 50 blister</t>
  </si>
  <si>
    <t>The Global Fund's PQR/wambo/GF &amp; PMI historical cost</t>
  </si>
  <si>
    <t>Total Cost-SPAQ (76.5mg+250/12.5mg 3+1 tablet dispersible co-blistered 50 blister)</t>
  </si>
  <si>
    <t>Sulfadoxine/Pyrimethamine</t>
  </si>
  <si>
    <t>500/25mg 3 tablet 10 blister</t>
  </si>
  <si>
    <t>Total Cost-SP</t>
  </si>
  <si>
    <t>Cost of routine distribution</t>
  </si>
  <si>
    <t>Malaria Vaccine-Operational cost</t>
  </si>
  <si>
    <t>IPTp-SP-Routine Distribution cost</t>
  </si>
  <si>
    <t>Malaria Vaccine-Procurement cost</t>
  </si>
  <si>
    <t>per dose</t>
  </si>
  <si>
    <t>Procure malaria vaccines</t>
  </si>
  <si>
    <t>Children 5-36 mons          (3.8% of Pop)</t>
  </si>
  <si>
    <t xml:space="preserve">Quarterly DQAs by State M&amp;E personnel (State level to LGAs and HFs) </t>
  </si>
  <si>
    <t>Item No:</t>
  </si>
  <si>
    <t>No of Days</t>
  </si>
  <si>
    <t>No of persons</t>
  </si>
  <si>
    <r>
      <rPr>
        <b/>
        <sz val="12"/>
        <rFont val="Candara"/>
        <family val="2"/>
      </rPr>
      <t xml:space="preserve">Currency 
</t>
    </r>
    <r>
      <rPr>
        <b/>
        <sz val="10"/>
        <rFont val="Candara"/>
        <family val="2"/>
      </rPr>
      <t>(Naira</t>
    </r>
    <r>
      <rPr>
        <b/>
        <i/>
        <sz val="10"/>
        <rFont val="Candara"/>
        <family val="2"/>
      </rPr>
      <t>)</t>
    </r>
  </si>
  <si>
    <t xml:space="preserve">Amount </t>
  </si>
  <si>
    <t>3 working day DSA for 15 State M&amp;E officers to conduct DQAs @ 15 persons x 3 days x 45,000</t>
  </si>
  <si>
    <t>Intra-state transport for 15 State M&amp;E officers to conduct DQAs (for those nearby LGAs) for the remaining 1day @ 10 persons x 1day x 10,000</t>
  </si>
  <si>
    <t>Local transport for LGA supervisors (78 health facilities per quarter)</t>
  </si>
  <si>
    <t>Communication (voice) for DQA @ 15 persons x 2000</t>
  </si>
  <si>
    <t>HMIS-LMIS Quartely Triangulation Meetings</t>
  </si>
  <si>
    <t>DSA intracity</t>
  </si>
  <si>
    <t>Car hire for supervision to distant LGAs (54% of total LGA)</t>
  </si>
  <si>
    <t>Local Transport for State level participants to near LGAs (46% of the total LGAs per state</t>
  </si>
  <si>
    <t>Transport allowance for HF OiCs to attend quarterly HMIS-LMIS triangulation meetings</t>
  </si>
  <si>
    <t>Transport allowance for LGA personnel to visit HF  quarterly HMIS-LMIS triangulation (3 LGA personnel)</t>
  </si>
  <si>
    <t>Lunch Allowance for LGA team and HFs OiCs</t>
  </si>
  <si>
    <t>Data reporting from secondary and tertiary health facilities (Monthly)</t>
  </si>
  <si>
    <t>Intra city transport allowance for MALARIA FP @ 27 persons x 10,000</t>
  </si>
  <si>
    <t>Allowance for internet subscription for 27 malaria FP to enter data on DHIS2 @ 27 persons x 2000 x 3 mths</t>
  </si>
  <si>
    <t>Monthly Heath Facility Data collection &amp; Validation (DCV) visits by LGA M&amp;E personnel</t>
  </si>
  <si>
    <t>Local Transportation for LGA officers (validation officers) to PHC HFs @ 3000</t>
  </si>
  <si>
    <t>Internet/data allowance for LGA M&amp;E Officers @ 2000 (Depends on the total number of LGAs in the state)</t>
  </si>
  <si>
    <t>Lunch for LGA level officers @ 1500</t>
  </si>
  <si>
    <t>Integrated MSV: Quarterly state-level microplanning meeting, 4 days MSV for 5 participants per state (5 x 5 states visits per quarter (25 participants per quarter) at State Level</t>
  </si>
  <si>
    <t>DSA (incl. accommodation) for state participants</t>
  </si>
  <si>
    <t>Local Transportation at LGA level (3 LGA officers per state)</t>
  </si>
  <si>
    <t>Intra-State transport for 7 state supervisors (50% of visits to areas not requiring DSA) for the remaining  2day</t>
  </si>
  <si>
    <t>Internet/Call Allowance for virtual pre-planning and debrief meetings with state stakeholders</t>
  </si>
  <si>
    <t>On-the-Job training and Supportive Supervision: Monthly Integrated MSV at LGA level</t>
  </si>
  <si>
    <t>ransportation for LGA Officers (RBM, Logisticians and M&amp;Es) to visit selected HFs within the quarter to conduct LGA MSV.</t>
  </si>
  <si>
    <t>State Level Quarterly M&amp;E Review Meetings</t>
  </si>
  <si>
    <t>DSA  (with lunch inclusive) for xx LGA M&amp;Es  (54% OF xx LGAs) and 2 SHF from distant LGAs</t>
  </si>
  <si>
    <t>Transport  for 14 LGA M&amp;Es  (54% of xx LGAS) and 2 SHF from distant LGAs</t>
  </si>
  <si>
    <t>Transport - participants to state level M&amp;E coordination meeting (state-level participants - HMB,SMOH,SPHCDA, ETC)</t>
  </si>
  <si>
    <t>Transport - xx LGA M&amp;Es from nearby LGAs  @  N10,000</t>
  </si>
  <si>
    <t>Lunch - state M&amp;E coordination meeting</t>
  </si>
  <si>
    <t>Hall rental</t>
  </si>
  <si>
    <t>Cost per LGA</t>
  </si>
  <si>
    <t>State and LGA M&amp;E Activities-Cost per LGA</t>
  </si>
  <si>
    <t>per LGA</t>
  </si>
  <si>
    <t>State and LGA M&amp;E Activities</t>
  </si>
  <si>
    <t>CostLink M&amp;E</t>
  </si>
  <si>
    <t># of LGAs</t>
  </si>
  <si>
    <t xml:space="preserve"># of U-5 for SMC in </t>
  </si>
  <si>
    <t>Trainings</t>
  </si>
  <si>
    <t>5-day residential training in Abuja-30 participants</t>
  </si>
  <si>
    <t>Hall for 5 days</t>
  </si>
  <si>
    <t>Tea break for 35 persons x 2 times x 5 days</t>
  </si>
  <si>
    <t>Lunch for 35 persons</t>
  </si>
  <si>
    <t>Stationery for 35 persons</t>
  </si>
  <si>
    <t>Transport to and fro</t>
  </si>
  <si>
    <t>Consultancy fees for 2 persons</t>
  </si>
  <si>
    <t>5-day non-residential training in Abuja-30 participants</t>
  </si>
  <si>
    <t>5-day residential training in state capital-30 participants</t>
  </si>
  <si>
    <t>5-day non-residential training in state capital-30 participants</t>
  </si>
  <si>
    <t>3-day non-residential training at LGA-30 participants</t>
  </si>
  <si>
    <t>Hall for 3 days</t>
  </si>
  <si>
    <t>Transport to and fro for 3 days</t>
  </si>
  <si>
    <t>cost/person/day</t>
  </si>
  <si>
    <t>Procure and distribute ITNs</t>
  </si>
  <si>
    <t>Cunduct a 5-day Residential National Training of Trainer (NToT)on Malaria Care Management (MCM)-60 participants</t>
  </si>
  <si>
    <t>Cunduct a 3-day Residential Training on MCM for healtcare providers in secondary and tertiary health facilities (5 participants per facility)</t>
  </si>
  <si>
    <t>Carry out human resouce capacity building at the national level</t>
  </si>
  <si>
    <t>CostLink LGA</t>
  </si>
  <si>
    <t>CostLink State</t>
  </si>
  <si>
    <t># of States</t>
  </si>
  <si>
    <t>Proportion of States</t>
  </si>
  <si>
    <t>Carry out human resouce capacity building at the state level</t>
  </si>
  <si>
    <t>Carry out human resouce capacity building at the secondary/tertiary health facility level</t>
  </si>
  <si>
    <t>Carry out human resouce capacity building at the LGA/PHC level</t>
  </si>
  <si>
    <t>Proportion of PHC</t>
  </si>
  <si>
    <t># of PHCs</t>
  </si>
  <si>
    <t># of Secondary/ Tertiary HFs</t>
  </si>
  <si>
    <t>National level CB</t>
  </si>
  <si>
    <t>Overall Capacity Building</t>
  </si>
  <si>
    <t>Cost of capmpaign per ITN</t>
  </si>
  <si>
    <t>Cunduct a 5-day Workshop on NMEP MOP Development-60 participants</t>
  </si>
  <si>
    <t>Coordinate malaria programme at the national level</t>
  </si>
  <si>
    <t>Cunduct a 3-day Annual Malaria Programme Review-60 participants</t>
  </si>
  <si>
    <t>Coordinate malaria programme at the state level</t>
  </si>
  <si>
    <t>Cunduct a 2-day Quarterly Malaria Programme Review-60 participants</t>
  </si>
  <si>
    <t>Residential Workshop in Abuja-Cost per person per day</t>
  </si>
  <si>
    <t>Non-residential Workshop in Abuja-Cost per person per day</t>
  </si>
  <si>
    <t>Residential Workshop in State Capital-Cost per person per day</t>
  </si>
  <si>
    <t>Non-residential Workshop in State Capital-Cost per person per day</t>
  </si>
  <si>
    <t>Non-residential Workshop at LGA level-Cost per person per day</t>
  </si>
  <si>
    <t>Cunduct a 5-day Workshop on SMEP MOP Development-60 participants</t>
  </si>
  <si>
    <t>Cunduct a 1-day Quarterly mTWG Meeting-60 participants</t>
  </si>
  <si>
    <t>Cunduct a 1-day Quarterly State-LGA Coordination Meeting-60 participants</t>
  </si>
  <si>
    <t>Coordinate malaria programme at the LGA level</t>
  </si>
  <si>
    <t>'Conduct Quarterly ISS from the LGA to PHCs</t>
  </si>
  <si>
    <t>'Conduct Quarterly ISS from the state to secondary facilities and LGAs</t>
  </si>
  <si>
    <t>State Level CB</t>
  </si>
  <si>
    <t>Seconday/ Tertiary  Level CB</t>
  </si>
  <si>
    <t>National Level Coordination</t>
  </si>
  <si>
    <t>LGA Level Coordination</t>
  </si>
  <si>
    <t>CostLink LGA Coord</t>
  </si>
  <si>
    <t>State Level Coordination</t>
  </si>
  <si>
    <t>CostLink State Coord</t>
  </si>
  <si>
    <t>Cost of IRS</t>
  </si>
  <si>
    <t>Cost of LSM</t>
  </si>
  <si>
    <t>CostLink IRS</t>
  </si>
  <si>
    <t>Eligible LGAs  for IRS</t>
  </si>
  <si>
    <t>Amount in NGN</t>
  </si>
  <si>
    <t>Amount in USD</t>
  </si>
  <si>
    <t>Pre-implementation</t>
  </si>
  <si>
    <t>Proposal development meeting</t>
  </si>
  <si>
    <t>Expanded proposal finalisation workshop</t>
  </si>
  <si>
    <t>Advocacy to States</t>
  </si>
  <si>
    <t>National training on IRS</t>
  </si>
  <si>
    <t>Stepdown training at State level</t>
  </si>
  <si>
    <t>Baseline Entomology Survey</t>
  </si>
  <si>
    <t>Entomology Materials</t>
  </si>
  <si>
    <t>Community mobilisationf for IRS</t>
  </si>
  <si>
    <t>Entomology and Epi  Intervention</t>
  </si>
  <si>
    <t>Materials for implementation</t>
  </si>
  <si>
    <t>Cost of product</t>
  </si>
  <si>
    <t>This cost is for two rounds</t>
  </si>
  <si>
    <t>Review meeting</t>
  </si>
  <si>
    <t>Post implementation</t>
  </si>
  <si>
    <t>Lessons learnt</t>
  </si>
  <si>
    <t>Sum</t>
  </si>
  <si>
    <t>NB- We did the conversion at 1,200 following GF recommendations</t>
  </si>
  <si>
    <t>Conduct out IRS</t>
  </si>
  <si>
    <t>National Level M&amp;E</t>
  </si>
  <si>
    <t>State &amp; LGA Level M&amp;E</t>
  </si>
  <si>
    <t>Overall M&amp;E</t>
  </si>
  <si>
    <t>BUDGET INTEGRATED MONITORING AND SUPPORTIVE SUPERVISION 13 STATES  (BL 10:001)</t>
  </si>
  <si>
    <t>DSA for National officers to 1 GF supported state - Ogun (4 per State x 6 nights)</t>
  </si>
  <si>
    <t>DSA for National officers to 12 GF supported states Ogun (4 per State x 6 nights)</t>
  </si>
  <si>
    <t>Airfare for 11 states excluding Niger and Kaduna (4persons per state x 11 = 44)</t>
  </si>
  <si>
    <t>Air terminal for 11 states excluding Niger and Kaduna (4persons per state x 11 = 44) @ 17,500 per terminal x 4 terminal</t>
  </si>
  <si>
    <t>Local runs for State officers in 13 GF supported states (2 per State = 26) x 5 days</t>
  </si>
  <si>
    <t>Lunch for State officers in 13 GF supported states (2 per State = 26) x 5 days</t>
  </si>
  <si>
    <t>Car Hire for 2 teams per state in 13 GF supported states (2 car hire per State x 13 states = 26) x 5 days)</t>
  </si>
  <si>
    <t>Mileage Abj - Minna - Abj (4 persons per state) x KM x 2 ways</t>
  </si>
  <si>
    <t>Mileage Abj - Kaduna- Abj</t>
  </si>
  <si>
    <t>Mileage Kano - Dutse - Kano (4 persons per state) x KM x 2 ways</t>
  </si>
  <si>
    <t>Mileage Kano - Kat - Kano (4 persons per state) x KM x 2 ways</t>
  </si>
  <si>
    <t>Mileage Lag - Abk - Lag (4 persons per state) x KM x 2 ways</t>
  </si>
  <si>
    <t>Mileage Ibadan - Oshogbo - Ibadan (4 persons per state) x KM x 2 ways</t>
  </si>
  <si>
    <t>Mileage Kano - Damaturu-Kano (4 persons per state) x KM x 2 ways</t>
  </si>
  <si>
    <t>TOTAL</t>
  </si>
  <si>
    <t>Cost of iMSV to one state</t>
  </si>
  <si>
    <t>NMEP iMSV to States-Cost per State</t>
  </si>
  <si>
    <t>Total Number Targeted LGAs</t>
  </si>
  <si>
    <t>Cost Per LGA</t>
  </si>
  <si>
    <t>IRS-Cost per LGA</t>
  </si>
  <si>
    <t>per lGA</t>
  </si>
  <si>
    <t>Conduct iMSV to States</t>
  </si>
  <si>
    <t>per State</t>
  </si>
  <si>
    <t>Adamawa, Delta, Katsina, Ogun, Osun, Taraba, Gombe, Kwara</t>
  </si>
  <si>
    <t>Operational Cost</t>
  </si>
  <si>
    <t>Printing and distribution of revised NHMIS tools, data management SOP, and Job aids</t>
  </si>
  <si>
    <t>Freq</t>
  </si>
  <si>
    <t>Printed HMIS Tool transport to Adamawa</t>
  </si>
  <si>
    <t>Lumpsum from Abuja to State to 21 LGAs</t>
  </si>
  <si>
    <t>Printed HMIS Tool transport to Delta</t>
  </si>
  <si>
    <t>Lumpsum from Abuja to State to 25 LGAs</t>
  </si>
  <si>
    <t>Printed HMIS Tool transport to Kwara</t>
  </si>
  <si>
    <t>Lumpsum from Abuja to State to 16 LGAs</t>
  </si>
  <si>
    <t>Printed HMIS Tool transport to Katsina</t>
  </si>
  <si>
    <t>Lumpsum from Abuja to State to 34 LGAs</t>
  </si>
  <si>
    <t>Printed HMIS Tool transport to Gombe</t>
  </si>
  <si>
    <t>Lumpsum from Abuja to State to 11 LGAs</t>
  </si>
  <si>
    <t>Printed HMIS Tool transport to Ogun</t>
  </si>
  <si>
    <t>Lumpsum from Abuja to State to 20 LGAs</t>
  </si>
  <si>
    <t>Printed HMIS Tool transport to Osun</t>
  </si>
  <si>
    <t>Lumpsum from Abuja to State to 30 LGAs</t>
  </si>
  <si>
    <t>Printed HMIS Tool transport to Taraba</t>
  </si>
  <si>
    <t>Advertisement in the National Vendors</t>
  </si>
  <si>
    <t xml:space="preserve">Advertisnment </t>
  </si>
  <si>
    <t>Printed HMIS Tool transport from 8 States to 178 LGAs</t>
  </si>
  <si>
    <t xml:space="preserve">Lumpsum from Abuja to 8 States </t>
  </si>
  <si>
    <t xml:space="preserve">Total  </t>
  </si>
  <si>
    <t>dollar</t>
  </si>
  <si>
    <t>Adamawa, Delta, Katsina, Ogun, Osun, Taraba</t>
  </si>
  <si>
    <t>Data Management SOP</t>
  </si>
  <si>
    <t xml:space="preserve">Total needed per year( 2 per  year irrespective of type of facility </t>
  </si>
  <si>
    <t>Supportive Supervision Feedback Form and Job Aids Printing to Health Facilities</t>
  </si>
  <si>
    <t xml:space="preserve">Total needed per year( 3 per  year irrespective of type of facility </t>
  </si>
  <si>
    <t>ANC Register</t>
  </si>
  <si>
    <t>Total needed per month( 2 per month for Secondary and 1 per month for PHC) (This is 4 quarters quantification)</t>
  </si>
  <si>
    <t>Immunization Tally Sheet</t>
  </si>
  <si>
    <t>2  per facility irrespective of type of facility  (This is 4 quarters  quantification)</t>
  </si>
  <si>
    <t>General Attendance Register</t>
  </si>
  <si>
    <t>Total needed per month( 3 per month for Secondary and 1 per month for PHC) (This is 4 quarters  quantification)</t>
  </si>
  <si>
    <t>OPD Register</t>
  </si>
  <si>
    <t>Total needed per month( 3 per month for Secondary and 1 per month for PHC) (This is 4 quarter  quantification)</t>
  </si>
  <si>
    <t>Monthly Summary Form [MSF]</t>
  </si>
  <si>
    <t xml:space="preserve">2  per facility irrespective of type of facility  </t>
  </si>
  <si>
    <t>IPC Register</t>
  </si>
  <si>
    <t>2 per month per health health facility and specific to secondary/ tertiary health facility (This is 4 quarters quantification)</t>
  </si>
  <si>
    <t>Immunization Register</t>
  </si>
  <si>
    <t>Total needed per month( 2 per month irrespective of health facilities) (This is 4 quarters quantification)</t>
  </si>
  <si>
    <t>Severe Malaria Register</t>
  </si>
  <si>
    <t>NHMIS MSF for Secondary and Tertiary Health Facility</t>
  </si>
  <si>
    <t>Health Facility Monthly Data Traigulation Form</t>
  </si>
  <si>
    <t>Summary(MSH and NMEP states)</t>
  </si>
  <si>
    <t>MSH 6 States(Adamawa, Delta, Katsina, Ogun, Osun, Taraba)</t>
  </si>
  <si>
    <t xml:space="preserve">NMEP SSR (Gombe and Kwara) </t>
  </si>
  <si>
    <t>O</t>
  </si>
  <si>
    <t>Print and distribute NHMIS tools  to health facilities</t>
  </si>
  <si>
    <t>External Quality Assurance (EQA) Butdget for 13 GF States</t>
  </si>
  <si>
    <t>Private Health Sector Malaria Interventions-NMEP Oversight</t>
  </si>
  <si>
    <t>Model Health Training</t>
  </si>
  <si>
    <t>Supervision</t>
  </si>
  <si>
    <t>Assessment Meeting</t>
  </si>
  <si>
    <t>External Quality Assurance</t>
  </si>
  <si>
    <t>Training of Laboratory Scientitsts</t>
  </si>
  <si>
    <t>Oversight of EQA</t>
  </si>
  <si>
    <t>Cost per state</t>
  </si>
  <si>
    <t>NMEO/G7</t>
  </si>
  <si>
    <t>NHMIS Tools Printing-Cost per health facility</t>
  </si>
  <si>
    <t>per state</t>
  </si>
  <si>
    <t>Case Management-EQA cost per state</t>
  </si>
  <si>
    <t>per facility</t>
  </si>
  <si>
    <t>NHMIS Tools Distribution-Cost per LGA</t>
  </si>
  <si>
    <t>Conduct EQA for states</t>
  </si>
  <si>
    <t>'Conduct External Quality Assurance (EQA)</t>
  </si>
  <si>
    <t xml:space="preserve">National Level EQA for States </t>
  </si>
  <si>
    <t>Matazu</t>
  </si>
  <si>
    <t>Yewa North</t>
  </si>
  <si>
    <t>Yewa South</t>
  </si>
  <si>
    <t>Number of States, LGAs and Wards</t>
  </si>
  <si>
    <t>Number of Health facilities</t>
  </si>
  <si>
    <t>LGA/ PHC Level CB</t>
  </si>
  <si>
    <t>Paikoro</t>
  </si>
  <si>
    <t>Birnin Kudu</t>
  </si>
  <si>
    <t>Takai</t>
  </si>
  <si>
    <t xml:space="preserve">Cost per health facility </t>
  </si>
  <si>
    <t>NMEP Advocacy Visit to State Governors-Cost per state</t>
  </si>
  <si>
    <t>Pay advocacy visits to state governors for resource mobilization for malaria programme</t>
  </si>
  <si>
    <t>CostLink Campaign</t>
  </si>
  <si>
    <t>Rank</t>
  </si>
  <si>
    <t>Nigerian States</t>
  </si>
  <si>
    <r>
      <t>Landmass Km</t>
    </r>
    <r>
      <rPr>
        <b/>
        <vertAlign val="superscript"/>
        <sz val="11"/>
        <color rgb="FF000000"/>
        <rFont val="Times New Roman"/>
        <family val="1"/>
      </rPr>
      <t>2</t>
    </r>
  </si>
  <si>
    <t>Nos of LGAs</t>
  </si>
  <si>
    <t>% Areas of Coverage (0.5%)</t>
  </si>
  <si>
    <t>Total Ha to be covered</t>
  </si>
  <si>
    <t>Bti dose needed (0.5kg/Ha)</t>
  </si>
  <si>
    <t>Price of Bti per Kg ($64.0)</t>
  </si>
  <si>
    <t>Total times needed to treat (24)</t>
  </si>
  <si>
    <t>Operational Cost per State for 2 years</t>
  </si>
  <si>
    <t>Kano State</t>
  </si>
  <si>
    <t>Lagos State</t>
  </si>
  <si>
    <t>Kaduna State</t>
  </si>
  <si>
    <t>Katsina State</t>
  </si>
  <si>
    <t>Oyo State</t>
  </si>
  <si>
    <t>Rivers State</t>
  </si>
  <si>
    <t>Bauchi State</t>
  </si>
  <si>
    <t>Jigawa State</t>
  </si>
  <si>
    <t>Benue State</t>
  </si>
  <si>
    <t>Anambra State</t>
  </si>
  <si>
    <t>Borno State</t>
  </si>
  <si>
    <t>Delta State</t>
  </si>
  <si>
    <t>Imo State</t>
  </si>
  <si>
    <t>Niger State</t>
  </si>
  <si>
    <t>Akwa Ibom State</t>
  </si>
  <si>
    <t>Ogun State</t>
  </si>
  <si>
    <t>Sokoto State</t>
  </si>
  <si>
    <t>Ondo State</t>
  </si>
  <si>
    <t>Osun State</t>
  </si>
  <si>
    <t>Kogi State</t>
  </si>
  <si>
    <t>Zamfara State</t>
  </si>
  <si>
    <t>Enugu State</t>
  </si>
  <si>
    <t>Kebbi State</t>
  </si>
  <si>
    <t>Edo State</t>
  </si>
  <si>
    <t>Plateau State</t>
  </si>
  <si>
    <t>Adamawa State</t>
  </si>
  <si>
    <t>Cross River State</t>
  </si>
  <si>
    <t>Abia State</t>
  </si>
  <si>
    <t>Ekiti State</t>
  </si>
  <si>
    <t>Kwara State</t>
  </si>
  <si>
    <t>Gombe State</t>
  </si>
  <si>
    <t>Yobe State</t>
  </si>
  <si>
    <t>Taraba State</t>
  </si>
  <si>
    <t>Ebonyi State</t>
  </si>
  <si>
    <t>Nasarawa State</t>
  </si>
  <si>
    <t>Bayelsa State</t>
  </si>
  <si>
    <t>-</t>
  </si>
  <si>
    <t>Abuja Federal Capital Territory (FTC)</t>
  </si>
  <si>
    <t>Total Cost</t>
  </si>
  <si>
    <t>$141,518, 285</t>
  </si>
  <si>
    <t>N27,677,265,000</t>
  </si>
  <si>
    <t>Cost of Bti/kg</t>
  </si>
  <si>
    <t>Operational/LGA</t>
  </si>
  <si>
    <t>Land Mass for LSM (Sqkm)</t>
  </si>
  <si>
    <t>Coverage Area in Hectares</t>
  </si>
  <si>
    <t>Coverage Area (0.2%)-Sqkm</t>
  </si>
  <si>
    <t xml:space="preserve">Bti (kg)  </t>
  </si>
  <si>
    <t>Proportion of Bti</t>
  </si>
  <si>
    <t>CostLinkBti</t>
  </si>
  <si>
    <t>Bti</t>
  </si>
  <si>
    <t>CostLink Operational</t>
  </si>
  <si>
    <t>LSM-Operational cost per LGA</t>
  </si>
  <si>
    <t>LSM-Bti-Procurement cost per kg</t>
  </si>
  <si>
    <t>per kg</t>
  </si>
  <si>
    <t>Conduct LSM</t>
  </si>
  <si>
    <t>Procure insecticide for LSM</t>
  </si>
  <si>
    <t>Procure Bti for LSM</t>
  </si>
  <si>
    <t>%</t>
  </si>
  <si>
    <t>Prevalence of Malaria Among U-5 (NDHS 2018)</t>
  </si>
  <si>
    <t>Cost of ITNs Campaign</t>
  </si>
  <si>
    <t>Private Sector CM (Estimate)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</si>
</sst>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0">
    <numFmt numFmtId="44" formatCode="_(&quot;$&quot;* #,##0.00_);_(&quot;$&quot;* \(#,##0.00\);_(&quot;$&quot;* &quot;-&quot;??_);_(@_)"/>
    <numFmt numFmtId="43" formatCode="_(* #,##0.00_);_(* \(#,##0.00\);_(* &quot;-&quot;??_);_(@_)"/>
    <numFmt numFmtId="164" formatCode="_-* #,##0.00_-;\-* #,##0.00_-;_-* &quot;-&quot;??_-;_-@_-"/>
    <numFmt numFmtId="165" formatCode="[$-409]d\ mmm\ yyyy;@"/>
    <numFmt numFmtId="166" formatCode="[$VND]\ #,##0"/>
    <numFmt numFmtId="167" formatCode="_(* #,##0_);_(* \(#,##0\);_(* &quot;-&quot;??_);_(@_)"/>
    <numFmt numFmtId="168" formatCode="0.0%"/>
    <numFmt numFmtId="169" formatCode="0.0"/>
    <numFmt numFmtId="170" formatCode="#,##0.0000"/>
    <numFmt numFmtId="171" formatCode="[$-409]mmmm\ d\,\ yyyy;@"/>
    <numFmt numFmtId="172" formatCode="#,##0.00000"/>
    <numFmt numFmtId="173" formatCode="#,##0.0000000"/>
    <numFmt numFmtId="174" formatCode="#,##0.00000000"/>
    <numFmt numFmtId="175" formatCode="[$₦-46A]#,##0"/>
    <numFmt numFmtId="176" formatCode="_-* #,##0\ _€_-;\-* #,##0\ _€_-;_-* &quot;-&quot;??\ _€_-;_-@_-"/>
    <numFmt numFmtId="177" formatCode="_-* #,##0.00\ _€_-;\-* #,##0.00\ _€_-;_-* &quot;-&quot;??\ _€_-;_-@_-"/>
    <numFmt numFmtId="178" formatCode="_(* #,##0.0_);_(* \(#,##0.0\);_(* &quot;-&quot;??_);_(@_)"/>
    <numFmt numFmtId="179" formatCode="_-* #,##0_-;\-* #,##0_-;_-* &quot;-&quot;??_-;_-@_-"/>
    <numFmt numFmtId="180" formatCode="#,##0.000000"/>
    <numFmt numFmtId="181" formatCode="[$₦-46A]#,##0;\-[$₦-46A]#,##0"/>
    <numFmt numFmtId="182" formatCode="#,##0.0"/>
    <numFmt numFmtId="183" formatCode="0.000"/>
    <numFmt numFmtId="184" formatCode="0.0000"/>
    <numFmt numFmtId="185" formatCode="_(&quot;$&quot;* #,##0_);_(&quot;$&quot;* \(#,##0\);_(&quot;$&quot;* &quot;-&quot;??_);_(@_)"/>
    <numFmt numFmtId="186" formatCode="0.00000%"/>
    <numFmt numFmtId="187" formatCode="&quot;₦&quot;#,##0"/>
    <numFmt numFmtId="188" formatCode="[$NGN]\ #,##0.00;[Red][$NGN]\ #,##0.00"/>
    <numFmt numFmtId="189" formatCode="[$NGN]\ #,##0;[Red][$NGN]\ #,##0"/>
    <numFmt numFmtId="190" formatCode="_-* #,##0.000_-;\-* #,##0.000_-;_-* &quot;-&quot;??_-;_-@_-"/>
    <numFmt numFmtId="191" formatCode="0.00000"/>
    <numFmt numFmtId="192" formatCode="[$$-45C]#,##0"/>
    <numFmt numFmtId="193" formatCode="_ * #,##0.00_ ;_ * \-#,##0.00_ ;_ * &quot;-&quot;??.00_ ;_ @_ "/>
    <numFmt numFmtId="194" formatCode="_ * #,##0_ ;_ * \-#,##0_ ;_ * &quot;-&quot;??_ ;_ @_ "/>
    <numFmt numFmtId="195" formatCode="0_ "/>
    <numFmt numFmtId="196" formatCode="[$₦-46A]#,##0.00"/>
    <numFmt numFmtId="197" formatCode="_-* #,##0\ _F_-;\-* #,##0\ _F_-;_-* &quot;-&quot;\ _F_-;_-@_-"/>
    <numFmt numFmtId="198" formatCode="_(* #,##0_);_(* \(#,##0\);_(* &quot;-&quot;???_);_(@_)"/>
    <numFmt numFmtId="199" formatCode="_(* #,##0.000_);_(* \(#,##0.000\);_(* &quot;-&quot;??_);_(@_)"/>
    <numFmt numFmtId="200" formatCode="[$$-409]#,##0"/>
    <numFmt numFmtId="201" formatCode="0.000%"/>
  </numFmts>
  <fonts count="100">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28"/>
      <color theme="1"/>
      <name val="Calibri"/>
      <family val="2"/>
      <scheme val="minor"/>
    </font>
    <font>
      <sz val="10"/>
      <color theme="0"/>
      <name val="Calibri"/>
      <family val="2"/>
      <scheme val="minor"/>
    </font>
    <font>
      <sz val="10"/>
      <color theme="1"/>
      <name val="Calibri"/>
      <family val="2"/>
      <scheme val="minor"/>
    </font>
    <font>
      <b/>
      <sz val="10"/>
      <color theme="0"/>
      <name val="Calibri"/>
      <family val="2"/>
      <scheme val="minor"/>
    </font>
    <font>
      <b/>
      <sz val="10"/>
      <color rgb="FFFF3300"/>
      <name val="Calibri"/>
      <family val="2"/>
      <scheme val="minor"/>
    </font>
    <font>
      <b/>
      <sz val="14"/>
      <color theme="0"/>
      <name val="Calibri"/>
      <family val="2"/>
      <scheme val="minor"/>
    </font>
    <font>
      <sz val="10"/>
      <name val="Arial"/>
      <family val="2"/>
    </font>
    <font>
      <sz val="10"/>
      <name val="Calibri"/>
      <family val="2"/>
      <scheme val="minor"/>
    </font>
    <font>
      <b/>
      <sz val="10"/>
      <name val="Calibri"/>
      <family val="2"/>
      <scheme val="minor"/>
    </font>
    <font>
      <b/>
      <sz val="12"/>
      <color theme="0"/>
      <name val="Calibri"/>
      <family val="2"/>
      <scheme val="minor"/>
    </font>
    <font>
      <b/>
      <sz val="10"/>
      <color rgb="FF3333FF"/>
      <name val="Calibri"/>
      <family val="2"/>
      <scheme val="minor"/>
    </font>
    <font>
      <sz val="10"/>
      <color rgb="FF0000FF"/>
      <name val="Calibri"/>
      <family val="2"/>
      <scheme val="minor"/>
    </font>
    <font>
      <sz val="12"/>
      <name val="宋体"/>
      <charset val="134"/>
    </font>
    <font>
      <sz val="11"/>
      <color theme="0"/>
      <name val="Calibri"/>
      <family val="2"/>
      <scheme val="minor"/>
    </font>
    <font>
      <b/>
      <sz val="18"/>
      <color theme="1"/>
      <name val="Arial"/>
      <family val="2"/>
    </font>
    <font>
      <i/>
      <sz val="11"/>
      <color theme="1"/>
      <name val="Calibri"/>
      <family val="2"/>
      <scheme val="minor"/>
    </font>
    <font>
      <b/>
      <sz val="18"/>
      <color theme="1"/>
      <name val="Calibri"/>
      <family val="2"/>
      <scheme val="minor"/>
    </font>
    <font>
      <b/>
      <sz val="20"/>
      <color theme="1"/>
      <name val="Calibri"/>
      <family val="2"/>
      <scheme val="minor"/>
    </font>
    <font>
      <sz val="11"/>
      <name val="Calibri"/>
      <family val="2"/>
      <scheme val="minor"/>
    </font>
    <font>
      <b/>
      <sz val="18"/>
      <color theme="0"/>
      <name val="Calibri"/>
      <family val="2"/>
      <scheme val="minor"/>
    </font>
    <font>
      <b/>
      <sz val="11"/>
      <name val="Calibri"/>
      <family val="2"/>
      <scheme val="minor"/>
    </font>
    <font>
      <sz val="12"/>
      <color theme="1"/>
      <name val="Calibri"/>
      <family val="2"/>
      <scheme val="minor"/>
    </font>
    <font>
      <b/>
      <sz val="12"/>
      <color theme="1"/>
      <name val="Calibri"/>
      <family val="2"/>
      <scheme val="minor"/>
    </font>
    <font>
      <sz val="11"/>
      <color rgb="FF0000FF"/>
      <name val="Calibri"/>
      <family val="2"/>
      <scheme val="minor"/>
    </font>
    <font>
      <b/>
      <sz val="10"/>
      <color rgb="FF0000FF"/>
      <name val="Calibri"/>
      <family val="2"/>
      <scheme val="minor"/>
    </font>
    <font>
      <b/>
      <sz val="11"/>
      <color rgb="FFC00000"/>
      <name val="Calibri"/>
      <family val="2"/>
      <scheme val="minor"/>
    </font>
    <font>
      <b/>
      <i/>
      <sz val="11"/>
      <color theme="1"/>
      <name val="Calibri"/>
      <family val="2"/>
      <scheme val="minor"/>
    </font>
    <font>
      <i/>
      <sz val="11"/>
      <color rgb="FFC00000"/>
      <name val="Calibri"/>
      <family val="2"/>
      <scheme val="minor"/>
    </font>
    <font>
      <sz val="11"/>
      <color rgb="FFC00000"/>
      <name val="Calibri"/>
      <family val="2"/>
      <scheme val="minor"/>
    </font>
    <font>
      <sz val="8"/>
      <color theme="1"/>
      <name val="Calibri"/>
      <family val="2"/>
      <scheme val="minor"/>
    </font>
    <font>
      <b/>
      <sz val="14"/>
      <color theme="1"/>
      <name val="Calibri"/>
      <family val="2"/>
      <scheme val="minor"/>
    </font>
    <font>
      <sz val="9"/>
      <color theme="1"/>
      <name val="Georgia"/>
      <family val="1"/>
    </font>
    <font>
      <sz val="9"/>
      <name val="Georgia"/>
      <family val="1"/>
    </font>
    <font>
      <sz val="9"/>
      <color theme="0"/>
      <name val="Georgia"/>
      <family val="1"/>
    </font>
    <font>
      <b/>
      <sz val="9"/>
      <color theme="0"/>
      <name val="Georgia"/>
      <family val="1"/>
    </font>
    <font>
      <b/>
      <sz val="9"/>
      <color theme="1"/>
      <name val="Georgia"/>
      <family val="1"/>
    </font>
    <font>
      <b/>
      <sz val="9"/>
      <name val="Georgia"/>
      <family val="1"/>
    </font>
    <font>
      <i/>
      <sz val="9"/>
      <color theme="1"/>
      <name val="Georgia"/>
      <family val="1"/>
    </font>
    <font>
      <sz val="9"/>
      <color rgb="FFFF0000"/>
      <name val="Georgia"/>
      <family val="1"/>
    </font>
    <font>
      <sz val="9"/>
      <color indexed="10"/>
      <name val="Georgia"/>
      <family val="1"/>
    </font>
    <font>
      <sz val="9"/>
      <color indexed="8"/>
      <name val="Georgia"/>
      <family val="1"/>
    </font>
    <font>
      <sz val="10"/>
      <name val="Georgia"/>
      <family val="1"/>
    </font>
    <font>
      <b/>
      <sz val="9"/>
      <color rgb="FFFF0000"/>
      <name val="Georgia"/>
      <family val="1"/>
    </font>
    <font>
      <b/>
      <sz val="9"/>
      <color indexed="10"/>
      <name val="Georgia"/>
      <family val="1"/>
    </font>
    <font>
      <b/>
      <sz val="14"/>
      <name val="Georgia"/>
      <family val="1"/>
    </font>
    <font>
      <b/>
      <sz val="16"/>
      <name val="Georgia"/>
      <family val="1"/>
    </font>
    <font>
      <b/>
      <sz val="10"/>
      <name val="Georgia"/>
      <family val="1"/>
    </font>
    <font>
      <sz val="8"/>
      <name val="Calibri"/>
      <family val="2"/>
      <scheme val="minor"/>
    </font>
    <font>
      <b/>
      <sz val="11"/>
      <color theme="1"/>
      <name val="Georgia"/>
      <family val="1"/>
    </font>
    <font>
      <b/>
      <sz val="11"/>
      <name val="Georgia"/>
      <family val="1"/>
    </font>
    <font>
      <sz val="11"/>
      <name val="Georgia"/>
      <family val="1"/>
    </font>
    <font>
      <sz val="11"/>
      <color theme="1"/>
      <name val="Georgia"/>
      <family val="1"/>
    </font>
    <font>
      <i/>
      <sz val="11"/>
      <color rgb="FFFF0000"/>
      <name val="Calibri"/>
      <family val="2"/>
      <scheme val="minor"/>
    </font>
    <font>
      <sz val="11"/>
      <color rgb="FF000000"/>
      <name val="Calibri"/>
      <family val="2"/>
      <scheme val="minor"/>
    </font>
    <font>
      <sz val="11"/>
      <color theme="1"/>
      <name val="Calibri Light"/>
      <family val="2"/>
      <scheme val="major"/>
    </font>
    <font>
      <b/>
      <sz val="11"/>
      <color theme="1"/>
      <name val="Calibri Light"/>
      <family val="2"/>
      <scheme val="major"/>
    </font>
    <font>
      <sz val="11"/>
      <name val="Calibri Light"/>
      <family val="2"/>
      <scheme val="major"/>
    </font>
    <font>
      <sz val="11"/>
      <name val="Cambria"/>
      <family val="1"/>
    </font>
    <font>
      <u/>
      <sz val="11"/>
      <name val="Calibri Light"/>
      <family val="2"/>
      <scheme val="major"/>
    </font>
    <font>
      <sz val="11"/>
      <color theme="1"/>
      <name val="Calibri Light"/>
      <family val="1"/>
      <scheme val="major"/>
    </font>
    <font>
      <b/>
      <sz val="11"/>
      <color theme="1"/>
      <name val="Calibri Light"/>
      <family val="1"/>
      <scheme val="major"/>
    </font>
    <font>
      <sz val="11"/>
      <color theme="1"/>
      <name val="Lota"/>
    </font>
    <font>
      <b/>
      <sz val="11"/>
      <color theme="1"/>
      <name val="Lota"/>
    </font>
    <font>
      <sz val="11"/>
      <color rgb="FF000000"/>
      <name val="Lota"/>
    </font>
    <font>
      <sz val="12"/>
      <name val="Calibri"/>
      <family val="2"/>
      <scheme val="minor"/>
    </font>
    <font>
      <sz val="11"/>
      <name val="Calibri"/>
      <family val="2"/>
    </font>
    <font>
      <sz val="14"/>
      <color theme="1"/>
      <name val="Calibri"/>
      <family val="2"/>
      <scheme val="minor"/>
    </font>
    <font>
      <b/>
      <i/>
      <sz val="11"/>
      <color rgb="FFFF0000"/>
      <name val="Calibri"/>
      <family val="2"/>
      <scheme val="minor"/>
    </font>
    <font>
      <i/>
      <sz val="10"/>
      <color theme="1"/>
      <name val="Calibri"/>
      <family val="2"/>
      <scheme val="minor"/>
    </font>
    <font>
      <i/>
      <sz val="10"/>
      <color rgb="FFFF0000"/>
      <name val="Calibri"/>
      <family val="2"/>
      <scheme val="minor"/>
    </font>
    <font>
      <sz val="11"/>
      <name val="Candara"/>
      <family val="2"/>
    </font>
    <font>
      <b/>
      <sz val="12"/>
      <name val="Candara"/>
      <family val="2"/>
    </font>
    <font>
      <u/>
      <sz val="10"/>
      <color theme="10"/>
      <name val="Arial"/>
      <family val="2"/>
    </font>
    <font>
      <u/>
      <sz val="10"/>
      <color theme="10"/>
      <name val="Candara"/>
      <family val="2"/>
    </font>
    <font>
      <b/>
      <sz val="10"/>
      <name val="Candara"/>
      <family val="2"/>
    </font>
    <font>
      <b/>
      <i/>
      <sz val="10"/>
      <name val="Candara"/>
      <family val="2"/>
    </font>
    <font>
      <sz val="12"/>
      <name val="Candara"/>
      <family val="2"/>
    </font>
    <font>
      <b/>
      <sz val="11"/>
      <name val="Candara"/>
      <family val="2"/>
    </font>
    <font>
      <b/>
      <sz val="10"/>
      <color theme="1"/>
      <name val="Calibri"/>
      <family val="2"/>
      <scheme val="minor"/>
    </font>
    <font>
      <b/>
      <i/>
      <sz val="10"/>
      <color theme="1"/>
      <name val="Calibri"/>
      <family val="2"/>
      <scheme val="minor"/>
    </font>
    <font>
      <sz val="10"/>
      <color rgb="FF0000FF"/>
      <name val="Calibri"/>
      <family val="2"/>
      <scheme val="minor"/>
    </font>
    <font>
      <sz val="11"/>
      <color rgb="FFFF0000"/>
      <name val="Calibri"/>
      <family val="2"/>
      <scheme val="minor"/>
    </font>
    <font>
      <b/>
      <sz val="11"/>
      <name val="Arial"/>
      <family val="2"/>
    </font>
    <font>
      <b/>
      <sz val="11"/>
      <color theme="1"/>
      <name val="Arial"/>
      <family val="2"/>
    </font>
    <font>
      <sz val="11"/>
      <name val="Arial"/>
      <family val="2"/>
    </font>
    <font>
      <sz val="10"/>
      <color theme="1"/>
      <name val="Cambria"/>
      <family val="1"/>
    </font>
    <font>
      <sz val="9"/>
      <color theme="1"/>
      <name val="Calibri"/>
      <family val="2"/>
      <scheme val="minor"/>
    </font>
    <font>
      <sz val="9"/>
      <color theme="3"/>
      <name val="Georgia"/>
      <family val="1"/>
    </font>
    <font>
      <i/>
      <sz val="9"/>
      <color theme="3"/>
      <name val="Georgia"/>
      <family val="1"/>
    </font>
    <font>
      <b/>
      <sz val="9"/>
      <color theme="3"/>
      <name val="Georgia"/>
      <family val="1"/>
    </font>
    <font>
      <b/>
      <sz val="9"/>
      <color rgb="FFFF0000"/>
      <name val="Calibri"/>
      <family val="2"/>
      <scheme val="minor"/>
    </font>
    <font>
      <b/>
      <sz val="9"/>
      <color theme="1"/>
      <name val="Calibri"/>
      <family val="2"/>
      <scheme val="minor"/>
    </font>
    <font>
      <u/>
      <sz val="11"/>
      <color theme="10"/>
      <name val="Calibri"/>
      <family val="2"/>
      <scheme val="minor"/>
    </font>
    <font>
      <b/>
      <sz val="11"/>
      <color rgb="FF000000"/>
      <name val="Times New Roman"/>
      <family val="1"/>
    </font>
    <font>
      <b/>
      <vertAlign val="superscript"/>
      <sz val="11"/>
      <color rgb="FF000000"/>
      <name val="Times New Roman"/>
      <family val="1"/>
    </font>
    <font>
      <sz val="11"/>
      <color rgb="FF000000"/>
      <name val="Times New Roman"/>
      <family val="1"/>
    </font>
  </fonts>
  <fills count="63">
    <fill>
      <patternFill patternType="none"/>
    </fill>
    <fill>
      <patternFill patternType="gray125"/>
    </fill>
    <fill>
      <patternFill patternType="solid">
        <fgColor theme="0"/>
        <bgColor indexed="64"/>
      </patternFill>
    </fill>
    <fill>
      <patternFill patternType="solid">
        <fgColor theme="1" tint="4.9989318521683403E-2"/>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theme="1"/>
        <bgColor indexed="64"/>
      </patternFill>
    </fill>
    <fill>
      <patternFill patternType="solid">
        <fgColor theme="2" tint="-0.499984740745262"/>
        <bgColor indexed="64"/>
      </patternFill>
    </fill>
    <fill>
      <patternFill patternType="solid">
        <fgColor rgb="FF0000FF"/>
        <bgColor indexed="64"/>
      </patternFill>
    </fill>
    <fill>
      <patternFill patternType="solid">
        <fgColor theme="1" tint="0.499984740745262"/>
        <bgColor indexed="64"/>
      </patternFill>
    </fill>
    <fill>
      <patternFill patternType="solid">
        <fgColor theme="1" tint="0.249977111117893"/>
        <bgColor indexed="64"/>
      </patternFill>
    </fill>
    <fill>
      <patternFill patternType="solid">
        <fgColor theme="8" tint="-0.499984740745262"/>
        <bgColor indexed="64"/>
      </patternFill>
    </fill>
    <fill>
      <patternFill patternType="solid">
        <fgColor rgb="FFFF0000"/>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16365C"/>
        <bgColor indexed="64"/>
      </patternFill>
    </fill>
    <fill>
      <patternFill patternType="solid">
        <fgColor theme="7" tint="0.59999389629810485"/>
        <bgColor indexed="64"/>
      </patternFill>
    </fill>
    <fill>
      <patternFill patternType="solid">
        <fgColor theme="9" tint="-0.49998474074526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7" tint="-0.499984740745262"/>
        <bgColor indexed="64"/>
      </patternFill>
    </fill>
    <fill>
      <patternFill patternType="solid">
        <fgColor theme="2" tint="-0.249977111117893"/>
        <bgColor indexed="64"/>
      </patternFill>
    </fill>
    <fill>
      <patternFill patternType="solid">
        <fgColor rgb="FFEC425A"/>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3" tint="0.499984740745262"/>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rgb="FFF28A8A"/>
        <bgColor indexed="64"/>
      </patternFill>
    </fill>
    <fill>
      <patternFill patternType="solid">
        <fgColor rgb="FFFBD1D1"/>
        <bgColor indexed="64"/>
      </patternFill>
    </fill>
    <fill>
      <patternFill patternType="solid">
        <fgColor rgb="FFFEF4F4"/>
        <bgColor indexed="64"/>
      </patternFill>
    </fill>
    <fill>
      <patternFill patternType="solid">
        <fgColor rgb="FFFFC000"/>
        <bgColor indexed="64"/>
      </patternFill>
    </fill>
    <fill>
      <patternFill patternType="solid">
        <fgColor theme="7"/>
        <bgColor indexed="64"/>
      </patternFill>
    </fill>
    <fill>
      <patternFill patternType="solid">
        <fgColor theme="5" tint="0.59999389629810485"/>
        <bgColor indexed="64"/>
      </patternFill>
    </fill>
    <fill>
      <patternFill patternType="solid">
        <fgColor theme="8"/>
        <bgColor indexed="64"/>
      </patternFill>
    </fill>
    <fill>
      <patternFill patternType="solid">
        <fgColor rgb="FFFFFF00"/>
        <bgColor indexed="64"/>
      </patternFill>
    </fill>
    <fill>
      <patternFill patternType="solid">
        <fgColor rgb="FF002060"/>
        <bgColor indexed="64"/>
      </patternFill>
    </fill>
    <fill>
      <patternFill patternType="solid">
        <fgColor rgb="FFFFC000"/>
        <bgColor rgb="FF000000"/>
      </patternFill>
    </fill>
    <fill>
      <patternFill patternType="solid">
        <fgColor theme="0" tint="-0.14999847407452621"/>
        <bgColor indexed="64"/>
      </patternFill>
    </fill>
    <fill>
      <patternFill patternType="solid">
        <fgColor rgb="FF00B050"/>
        <bgColor indexed="64"/>
      </patternFill>
    </fill>
    <fill>
      <patternFill patternType="solid">
        <fgColor theme="3" tint="0.79995117038483843"/>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rgb="FF00B0F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5"/>
        <bgColor indexed="64"/>
      </patternFill>
    </fill>
    <fill>
      <patternFill patternType="solid">
        <fgColor rgb="FF8294FB"/>
        <bgColor indexed="64"/>
      </patternFill>
    </fill>
    <fill>
      <patternFill patternType="solid">
        <fgColor rgb="FF04198F"/>
        <bgColor indexed="64"/>
      </patternFill>
    </fill>
    <fill>
      <patternFill patternType="solid">
        <fgColor rgb="FFFFF2CC"/>
        <bgColor indexed="64"/>
      </patternFill>
    </fill>
    <fill>
      <patternFill patternType="solid">
        <fgColor theme="6"/>
        <bgColor indexed="64"/>
      </patternFill>
    </fill>
    <fill>
      <patternFill patternType="solid">
        <fgColor theme="2" tint="-9.9978637043366805E-2"/>
        <bgColor indexed="64"/>
      </patternFill>
    </fill>
    <fill>
      <patternFill patternType="solid">
        <fgColor rgb="FFE8E8E8"/>
        <bgColor indexed="64"/>
      </patternFill>
    </fill>
    <fill>
      <patternFill patternType="solid">
        <fgColor rgb="FFF9F9F9"/>
        <bgColor indexed="64"/>
      </patternFill>
    </fill>
  </fills>
  <borders count="12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theme="0"/>
      </left>
      <right style="thin">
        <color auto="1"/>
      </right>
      <top style="thin">
        <color theme="0"/>
      </top>
      <bottom style="thin">
        <color theme="0"/>
      </bottom>
      <diagonal/>
    </border>
    <border>
      <left style="thin">
        <color theme="0"/>
      </left>
      <right/>
      <top/>
      <bottom style="thin">
        <color theme="0"/>
      </bottom>
      <diagonal/>
    </border>
    <border>
      <left style="thin">
        <color theme="0"/>
      </left>
      <right/>
      <top/>
      <bottom/>
      <diagonal/>
    </border>
    <border>
      <left/>
      <right/>
      <top/>
      <bottom style="thin">
        <color theme="0"/>
      </bottom>
      <diagonal/>
    </border>
    <border>
      <left/>
      <right style="thin">
        <color theme="0"/>
      </right>
      <top/>
      <bottom/>
      <diagonal/>
    </border>
    <border>
      <left style="thin">
        <color theme="0"/>
      </left>
      <right style="thin">
        <color theme="0"/>
      </right>
      <top/>
      <bottom/>
      <diagonal/>
    </border>
    <border>
      <left/>
      <right/>
      <top style="medium">
        <color auto="1"/>
      </top>
      <bottom/>
      <diagonal/>
    </border>
    <border>
      <left/>
      <right style="double">
        <color auto="1"/>
      </right>
      <top style="medium">
        <color auto="1"/>
      </top>
      <bottom/>
      <diagonal/>
    </border>
    <border>
      <left style="thin">
        <color theme="0"/>
      </left>
      <right/>
      <top style="medium">
        <color auto="1"/>
      </top>
      <bottom/>
      <diagonal/>
    </border>
    <border>
      <left/>
      <right/>
      <top style="thin">
        <color theme="0"/>
      </top>
      <bottom style="thin">
        <color theme="0"/>
      </bottom>
      <diagonal/>
    </border>
    <border>
      <left/>
      <right/>
      <top style="thin">
        <color auto="1"/>
      </top>
      <bottom style="thin">
        <color auto="1"/>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theme="0"/>
      </right>
      <top style="thin">
        <color auto="1"/>
      </top>
      <bottom style="thin">
        <color auto="1"/>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top style="thin">
        <color theme="0"/>
      </top>
      <bottom style="thin">
        <color theme="0"/>
      </bottom>
      <diagonal/>
    </border>
    <border>
      <left/>
      <right style="medium">
        <color indexed="64"/>
      </right>
      <top style="thin">
        <color theme="0"/>
      </top>
      <bottom style="thin">
        <color theme="0"/>
      </bottom>
      <diagonal/>
    </border>
    <border>
      <left style="medium">
        <color indexed="64"/>
      </left>
      <right/>
      <top/>
      <bottom/>
      <diagonal/>
    </border>
    <border>
      <left/>
      <right style="medium">
        <color indexed="64"/>
      </right>
      <top/>
      <bottom/>
      <diagonal/>
    </border>
    <border>
      <left style="medium">
        <color indexed="64"/>
      </left>
      <right style="thin">
        <color auto="1"/>
      </right>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thin">
        <color auto="1"/>
      </top>
      <bottom style="medium">
        <color indexed="64"/>
      </bottom>
      <diagonal/>
    </border>
    <border>
      <left/>
      <right style="thin">
        <color auto="1"/>
      </right>
      <top style="thin">
        <color auto="1"/>
      </top>
      <bottom style="medium">
        <color indexed="64"/>
      </bottom>
      <diagonal/>
    </border>
    <border>
      <left style="medium">
        <color indexed="64"/>
      </left>
      <right/>
      <top style="medium">
        <color indexed="64"/>
      </top>
      <bottom style="thin">
        <color theme="0"/>
      </bottom>
      <diagonal/>
    </border>
    <border>
      <left style="medium">
        <color indexed="64"/>
      </left>
      <right style="thin">
        <color theme="0"/>
      </right>
      <top style="medium">
        <color indexed="64"/>
      </top>
      <bottom style="thin">
        <color theme="0"/>
      </bottom>
      <diagonal/>
    </border>
    <border>
      <left style="thin">
        <color auto="1"/>
      </left>
      <right/>
      <top style="thin">
        <color theme="0"/>
      </top>
      <bottom style="thin">
        <color theme="0"/>
      </bottom>
      <diagonal/>
    </border>
    <border>
      <left/>
      <right style="thin">
        <color auto="1"/>
      </right>
      <top style="thin">
        <color theme="0"/>
      </top>
      <bottom style="thin">
        <color theme="0"/>
      </bottom>
      <diagonal/>
    </border>
    <border>
      <left style="thin">
        <color theme="0"/>
      </left>
      <right/>
      <top style="medium">
        <color auto="1"/>
      </top>
      <bottom style="thin">
        <color theme="0"/>
      </bottom>
      <diagonal/>
    </border>
    <border>
      <left style="medium">
        <color auto="1"/>
      </left>
      <right style="medium">
        <color auto="1"/>
      </right>
      <top style="thin">
        <color auto="1"/>
      </top>
      <bottom style="thin">
        <color auto="1"/>
      </bottom>
      <diagonal/>
    </border>
    <border>
      <left style="thin">
        <color theme="0"/>
      </left>
      <right style="medium">
        <color auto="1"/>
      </right>
      <top style="medium">
        <color auto="1"/>
      </top>
      <bottom/>
      <diagonal/>
    </border>
    <border>
      <left style="medium">
        <color indexed="64"/>
      </left>
      <right style="medium">
        <color auto="1"/>
      </right>
      <top style="medium">
        <color indexed="64"/>
      </top>
      <bottom style="thin">
        <color theme="0"/>
      </bottom>
      <diagonal/>
    </border>
    <border>
      <left style="medium">
        <color indexed="64"/>
      </left>
      <right style="medium">
        <color auto="1"/>
      </right>
      <top style="thin">
        <color theme="0"/>
      </top>
      <bottom style="thin">
        <color theme="0"/>
      </bottom>
      <diagonal/>
    </border>
    <border>
      <left style="medium">
        <color indexed="64"/>
      </left>
      <right style="medium">
        <color auto="1"/>
      </right>
      <top/>
      <bottom/>
      <diagonal/>
    </border>
    <border>
      <left style="medium">
        <color indexed="64"/>
      </left>
      <right style="medium">
        <color auto="1"/>
      </right>
      <top/>
      <bottom style="thin">
        <color auto="1"/>
      </bottom>
      <diagonal/>
    </border>
    <border>
      <left style="medium">
        <color indexed="64"/>
      </left>
      <right style="medium">
        <color auto="1"/>
      </right>
      <top style="thin">
        <color auto="1"/>
      </top>
      <bottom/>
      <diagonal/>
    </border>
    <border>
      <left style="medium">
        <color indexed="64"/>
      </left>
      <right style="medium">
        <color auto="1"/>
      </right>
      <top style="thin">
        <color auto="1"/>
      </top>
      <bottom style="medium">
        <color indexed="64"/>
      </bottom>
      <diagonal/>
    </border>
    <border>
      <left/>
      <right style="medium">
        <color indexed="64"/>
      </right>
      <top style="medium">
        <color indexed="64"/>
      </top>
      <bottom style="thin">
        <color theme="0"/>
      </bottom>
      <diagonal/>
    </border>
    <border>
      <left style="thin">
        <color theme="0"/>
      </left>
      <right/>
      <top style="medium">
        <color auto="1"/>
      </top>
      <bottom style="medium">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auto="1"/>
      </left>
      <right style="thin">
        <color auto="1"/>
      </right>
      <top style="thin">
        <color auto="1"/>
      </top>
      <bottom/>
      <diagonal/>
    </border>
    <border>
      <left style="thin">
        <color auto="1"/>
      </left>
      <right style="thin">
        <color auto="1"/>
      </right>
      <top/>
      <bottom/>
      <diagonal/>
    </border>
    <border>
      <left/>
      <right/>
      <top/>
      <bottom style="medium">
        <color indexed="64"/>
      </bottom>
      <diagonal/>
    </border>
    <border>
      <left style="thin">
        <color indexed="64"/>
      </left>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bottom style="thin">
        <color indexed="64"/>
      </bottom>
      <diagonal/>
    </border>
    <border>
      <left/>
      <right style="thin">
        <color indexed="64"/>
      </right>
      <top/>
      <bottom/>
      <diagonal/>
    </border>
    <border>
      <left style="thin">
        <color rgb="FF000000"/>
      </left>
      <right/>
      <top style="thin">
        <color rgb="FF000000"/>
      </top>
      <bottom style="thin">
        <color rgb="FF000000"/>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rgb="FF000000"/>
      </left>
      <right/>
      <top style="thin">
        <color indexed="64"/>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indexed="64"/>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medium">
        <color auto="1"/>
      </left>
      <right style="hair">
        <color auto="1"/>
      </right>
      <top/>
      <bottom/>
      <diagonal/>
    </border>
    <border>
      <left style="hair">
        <color auto="1"/>
      </left>
      <right/>
      <top/>
      <bottom/>
      <diagonal/>
    </border>
    <border>
      <left/>
      <right style="hair">
        <color auto="1"/>
      </right>
      <top/>
      <bottom/>
      <diagonal/>
    </border>
    <border>
      <left style="medium">
        <color auto="1"/>
      </left>
      <right style="hair">
        <color auto="1"/>
      </right>
      <top style="medium">
        <color auto="1"/>
      </top>
      <bottom/>
      <diagonal/>
    </border>
    <border>
      <left style="hair">
        <color auto="1"/>
      </left>
      <right/>
      <top style="medium">
        <color auto="1"/>
      </top>
      <bottom/>
      <diagonal/>
    </border>
    <border>
      <left/>
      <right style="hair">
        <color auto="1"/>
      </right>
      <top style="medium">
        <color auto="1"/>
      </top>
      <bottom/>
      <diagonal/>
    </border>
    <border>
      <left style="medium">
        <color auto="1"/>
      </left>
      <right/>
      <top/>
      <bottom style="thin">
        <color auto="1"/>
      </bottom>
      <diagonal/>
    </border>
    <border>
      <left style="thin">
        <color indexed="64"/>
      </left>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s>
  <cellStyleXfs count="25">
    <xf numFmtId="0" fontId="0" fillId="0" borderId="0"/>
    <xf numFmtId="43" fontId="1" fillId="0" borderId="0" applyFont="0" applyFill="0" applyBorder="0" applyAlignment="0" applyProtection="0"/>
    <xf numFmtId="44" fontId="1" fillId="0" borderId="0" applyFont="0" applyFill="0" applyBorder="0" applyAlignment="0" applyProtection="0"/>
    <xf numFmtId="0" fontId="16" fillId="0" borderId="0">
      <alignment vertical="center"/>
    </xf>
    <xf numFmtId="0" fontId="25"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44" fontId="10" fillId="0" borderId="0" applyFont="0" applyFill="0" applyBorder="0" applyAlignment="0" applyProtection="0"/>
    <xf numFmtId="0" fontId="10" fillId="0" borderId="0" applyNumberFormat="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0" fillId="0" borderId="0"/>
    <xf numFmtId="0" fontId="10" fillId="0" borderId="0"/>
    <xf numFmtId="0" fontId="1" fillId="0" borderId="0"/>
    <xf numFmtId="0" fontId="10" fillId="0" borderId="0"/>
    <xf numFmtId="0" fontId="76" fillId="0" borderId="0" applyNumberFormat="0" applyFill="0" applyBorder="0" applyAlignment="0" applyProtection="0">
      <alignment vertical="top"/>
      <protection locked="0"/>
    </xf>
    <xf numFmtId="0" fontId="10" fillId="0" borderId="0"/>
    <xf numFmtId="43" fontId="25" fillId="0" borderId="0" applyFont="0" applyFill="0" applyBorder="0" applyAlignment="0" applyProtection="0"/>
    <xf numFmtId="43" fontId="10" fillId="0" borderId="0" applyFont="0" applyFill="0" applyBorder="0" applyAlignment="0" applyProtection="0"/>
    <xf numFmtId="0" fontId="96" fillId="0" borderId="0" applyNumberFormat="0" applyFill="0" applyBorder="0" applyAlignment="0" applyProtection="0"/>
  </cellStyleXfs>
  <cellXfs count="1292">
    <xf numFmtId="0" fontId="0" fillId="0" borderId="0" xfId="0"/>
    <xf numFmtId="0" fontId="4" fillId="2" borderId="0" xfId="0" applyFont="1" applyFill="1"/>
    <xf numFmtId="0" fontId="0" fillId="2" borderId="0" xfId="0" applyFill="1"/>
    <xf numFmtId="0" fontId="0" fillId="0" borderId="1" xfId="0" applyBorder="1"/>
    <xf numFmtId="0" fontId="3" fillId="0" borderId="0" xfId="0" applyFont="1"/>
    <xf numFmtId="0" fontId="10" fillId="0" borderId="0" xfId="0" applyFont="1" applyAlignment="1">
      <alignment horizontal="center" vertical="center" wrapText="1"/>
    </xf>
    <xf numFmtId="0" fontId="19" fillId="2" borderId="0" xfId="0" applyFont="1" applyFill="1"/>
    <xf numFmtId="0" fontId="18" fillId="0" borderId="0" xfId="0" applyFont="1"/>
    <xf numFmtId="0" fontId="0" fillId="13" borderId="0" xfId="0" applyFill="1"/>
    <xf numFmtId="0" fontId="0" fillId="15" borderId="0" xfId="0" applyFill="1"/>
    <xf numFmtId="0" fontId="0" fillId="11" borderId="0" xfId="0" applyFill="1"/>
    <xf numFmtId="0" fontId="2" fillId="11" borderId="0" xfId="0" applyFont="1" applyFill="1"/>
    <xf numFmtId="0" fontId="0" fillId="16" borderId="0" xfId="0" applyFill="1"/>
    <xf numFmtId="0" fontId="0" fillId="15" borderId="3" xfId="0" applyFill="1" applyBorder="1"/>
    <xf numFmtId="0" fontId="0" fillId="15" borderId="17" xfId="0" applyFill="1" applyBorder="1"/>
    <xf numFmtId="0" fontId="0" fillId="15" borderId="2" xfId="0" applyFill="1" applyBorder="1"/>
    <xf numFmtId="0" fontId="0" fillId="15" borderId="16" xfId="0" applyFill="1" applyBorder="1"/>
    <xf numFmtId="0" fontId="0" fillId="15" borderId="21" xfId="0" applyFill="1" applyBorder="1"/>
    <xf numFmtId="0" fontId="0" fillId="15" borderId="19" xfId="0" applyFill="1" applyBorder="1"/>
    <xf numFmtId="0" fontId="17" fillId="5" borderId="0" xfId="0" applyFont="1" applyFill="1"/>
    <xf numFmtId="0" fontId="19" fillId="2" borderId="0" xfId="0" applyFont="1" applyFill="1" applyAlignment="1">
      <alignment vertical="top"/>
    </xf>
    <xf numFmtId="0" fontId="19" fillId="2" borderId="0" xfId="0" applyFont="1" applyFill="1" applyAlignment="1">
      <alignment vertical="center"/>
    </xf>
    <xf numFmtId="0" fontId="17" fillId="19" borderId="0" xfId="0" applyFont="1" applyFill="1"/>
    <xf numFmtId="0" fontId="22" fillId="21" borderId="17" xfId="0" applyFont="1" applyFill="1" applyBorder="1"/>
    <xf numFmtId="0" fontId="22" fillId="21" borderId="18" xfId="0" applyFont="1" applyFill="1" applyBorder="1"/>
    <xf numFmtId="0" fontId="22" fillId="21" borderId="16" xfId="0" applyFont="1" applyFill="1" applyBorder="1"/>
    <xf numFmtId="0" fontId="22" fillId="21" borderId="5" xfId="0" applyFont="1" applyFill="1" applyBorder="1"/>
    <xf numFmtId="0" fontId="22" fillId="21" borderId="19" xfId="0" applyFont="1" applyFill="1" applyBorder="1"/>
    <xf numFmtId="0" fontId="22" fillId="21" borderId="20" xfId="0" applyFont="1" applyFill="1" applyBorder="1"/>
    <xf numFmtId="0" fontId="22" fillId="23" borderId="16" xfId="0" applyFont="1" applyFill="1" applyBorder="1"/>
    <xf numFmtId="0" fontId="22" fillId="23" borderId="5" xfId="0" applyFont="1" applyFill="1" applyBorder="1"/>
    <xf numFmtId="0" fontId="17" fillId="24" borderId="0" xfId="0" applyFont="1" applyFill="1"/>
    <xf numFmtId="0" fontId="17" fillId="25" borderId="0" xfId="0" applyFont="1" applyFill="1"/>
    <xf numFmtId="0" fontId="22" fillId="18" borderId="17" xfId="0" applyFont="1" applyFill="1" applyBorder="1"/>
    <xf numFmtId="0" fontId="22" fillId="18" borderId="18" xfId="0" applyFont="1" applyFill="1" applyBorder="1"/>
    <xf numFmtId="0" fontId="22" fillId="18" borderId="16" xfId="0" applyFont="1" applyFill="1" applyBorder="1"/>
    <xf numFmtId="0" fontId="22" fillId="18" borderId="5" xfId="0" applyFont="1" applyFill="1" applyBorder="1"/>
    <xf numFmtId="0" fontId="22" fillId="18" borderId="19" xfId="0" applyFont="1" applyFill="1" applyBorder="1"/>
    <xf numFmtId="0" fontId="22" fillId="18" borderId="20" xfId="0" applyFont="1" applyFill="1" applyBorder="1"/>
    <xf numFmtId="0" fontId="22" fillId="4" borderId="0" xfId="0" applyFont="1" applyFill="1"/>
    <xf numFmtId="0" fontId="9" fillId="6" borderId="0" xfId="0" applyFont="1" applyFill="1" applyProtection="1">
      <protection locked="0"/>
    </xf>
    <xf numFmtId="0" fontId="6" fillId="2" borderId="0" xfId="0" applyFont="1" applyFill="1" applyProtection="1">
      <protection locked="0"/>
    </xf>
    <xf numFmtId="0" fontId="9" fillId="6" borderId="0" xfId="0" applyFont="1" applyFill="1"/>
    <xf numFmtId="0" fontId="6" fillId="2" borderId="0" xfId="0" applyFont="1" applyFill="1"/>
    <xf numFmtId="0" fontId="7" fillId="6" borderId="6" xfId="0" applyFont="1" applyFill="1" applyBorder="1"/>
    <xf numFmtId="0" fontId="6" fillId="8" borderId="0" xfId="0" applyFont="1" applyFill="1"/>
    <xf numFmtId="15" fontId="8" fillId="12" borderId="0" xfId="0" applyNumberFormat="1" applyFont="1" applyFill="1" applyAlignment="1">
      <alignment vertical="center"/>
    </xf>
    <xf numFmtId="0" fontId="7" fillId="6" borderId="9" xfId="0" applyFont="1" applyFill="1" applyBorder="1"/>
    <xf numFmtId="0" fontId="7" fillId="5" borderId="7" xfId="0" applyFont="1" applyFill="1" applyBorder="1"/>
    <xf numFmtId="0" fontId="7" fillId="5" borderId="9" xfId="0" applyFont="1" applyFill="1" applyBorder="1"/>
    <xf numFmtId="0" fontId="12" fillId="14" borderId="7" xfId="0" applyFont="1" applyFill="1" applyBorder="1"/>
    <xf numFmtId="0" fontId="12" fillId="14" borderId="9" xfId="0" applyFont="1" applyFill="1" applyBorder="1"/>
    <xf numFmtId="0" fontId="7" fillId="10" borderId="10" xfId="0" applyFont="1" applyFill="1" applyBorder="1" applyAlignment="1">
      <alignment vertical="center" wrapText="1"/>
    </xf>
    <xf numFmtId="0" fontId="7" fillId="10" borderId="8" xfId="0" applyFont="1" applyFill="1" applyBorder="1" applyAlignment="1">
      <alignment horizontal="center" vertical="center"/>
    </xf>
    <xf numFmtId="0" fontId="7" fillId="9" borderId="11" xfId="0" applyFont="1" applyFill="1" applyBorder="1" applyAlignment="1">
      <alignment horizontal="center" vertical="center"/>
    </xf>
    <xf numFmtId="0" fontId="12" fillId="15" borderId="11" xfId="0" applyFont="1" applyFill="1" applyBorder="1" applyAlignment="1">
      <alignment horizontal="center" vertical="center"/>
    </xf>
    <xf numFmtId="0" fontId="12" fillId="15" borderId="11" xfId="0" applyFont="1" applyFill="1" applyBorder="1" applyAlignment="1">
      <alignment vertical="center" wrapText="1"/>
    </xf>
    <xf numFmtId="0" fontId="12" fillId="15" borderId="8" xfId="0" applyFont="1" applyFill="1" applyBorder="1" applyAlignment="1">
      <alignment vertical="center"/>
    </xf>
    <xf numFmtId="0" fontId="7" fillId="10" borderId="8" xfId="0" applyFont="1" applyFill="1" applyBorder="1" applyAlignment="1">
      <alignment vertical="center"/>
    </xf>
    <xf numFmtId="1" fontId="7" fillId="9" borderId="11" xfId="0" applyNumberFormat="1" applyFont="1" applyFill="1" applyBorder="1" applyAlignment="1">
      <alignment horizontal="center" vertical="center"/>
    </xf>
    <xf numFmtId="0" fontId="12" fillId="15" borderId="11" xfId="0" applyFont="1" applyFill="1" applyBorder="1" applyAlignment="1">
      <alignment vertical="center"/>
    </xf>
    <xf numFmtId="0" fontId="0" fillId="2" borderId="0" xfId="0" applyFill="1" applyProtection="1">
      <protection locked="0"/>
    </xf>
    <xf numFmtId="0" fontId="6" fillId="0" borderId="1" xfId="0" applyFont="1" applyBorder="1"/>
    <xf numFmtId="3" fontId="6" fillId="0" borderId="1" xfId="0" applyNumberFormat="1" applyFont="1" applyBorder="1"/>
    <xf numFmtId="0" fontId="20" fillId="2" borderId="0" xfId="0" applyFont="1" applyFill="1"/>
    <xf numFmtId="0" fontId="23" fillId="17" borderId="0" xfId="0" applyFont="1" applyFill="1"/>
    <xf numFmtId="0" fontId="17" fillId="17" borderId="0" xfId="0" applyFont="1" applyFill="1"/>
    <xf numFmtId="0" fontId="2" fillId="6" borderId="2" xfId="0" applyFont="1" applyFill="1" applyBorder="1" applyAlignment="1">
      <alignment vertical="center"/>
    </xf>
    <xf numFmtId="0" fontId="2" fillId="6" borderId="16" xfId="0" applyFont="1" applyFill="1" applyBorder="1" applyAlignment="1">
      <alignment vertical="center"/>
    </xf>
    <xf numFmtId="0" fontId="2" fillId="6" borderId="24" xfId="0" applyFont="1" applyFill="1" applyBorder="1" applyAlignment="1">
      <alignment vertical="center"/>
    </xf>
    <xf numFmtId="0" fontId="2" fillId="6" borderId="5" xfId="0" applyFont="1" applyFill="1" applyBorder="1" applyAlignment="1">
      <alignment vertical="center"/>
    </xf>
    <xf numFmtId="0" fontId="24" fillId="22" borderId="1" xfId="0" quotePrefix="1" applyFont="1" applyFill="1" applyBorder="1" applyAlignment="1">
      <alignment vertical="center"/>
    </xf>
    <xf numFmtId="0" fontId="22" fillId="22" borderId="1" xfId="0" quotePrefix="1" applyFont="1" applyFill="1" applyBorder="1" applyAlignment="1">
      <alignment vertical="center"/>
    </xf>
    <xf numFmtId="0" fontId="22" fillId="22" borderId="1" xfId="0" applyFont="1" applyFill="1" applyBorder="1" applyAlignment="1">
      <alignment vertical="center" wrapText="1"/>
    </xf>
    <xf numFmtId="0" fontId="24" fillId="23" borderId="1" xfId="0" quotePrefix="1" applyFont="1" applyFill="1" applyBorder="1" applyAlignment="1">
      <alignment vertical="center"/>
    </xf>
    <xf numFmtId="0" fontId="22" fillId="23" borderId="1" xfId="0" quotePrefix="1" applyFont="1" applyFill="1" applyBorder="1" applyAlignment="1">
      <alignment vertical="center"/>
    </xf>
    <xf numFmtId="0" fontId="22" fillId="23" borderId="1" xfId="0" applyFont="1" applyFill="1" applyBorder="1" applyAlignment="1">
      <alignment vertical="center" wrapText="1"/>
    </xf>
    <xf numFmtId="0" fontId="17" fillId="2" borderId="0" xfId="0" applyFont="1" applyFill="1"/>
    <xf numFmtId="168" fontId="17" fillId="2" borderId="0" xfId="0" applyNumberFormat="1" applyFont="1" applyFill="1"/>
    <xf numFmtId="3" fontId="7" fillId="5" borderId="0" xfId="3" applyNumberFormat="1" applyFont="1" applyFill="1" applyAlignment="1" applyProtection="1">
      <alignment horizontal="center" vertical="center" wrapText="1"/>
      <protection locked="0"/>
    </xf>
    <xf numFmtId="3" fontId="0" fillId="20" borderId="1" xfId="0" applyNumberFormat="1" applyFill="1" applyBorder="1" applyAlignment="1">
      <alignment vertical="center"/>
    </xf>
    <xf numFmtId="3" fontId="0" fillId="2" borderId="1" xfId="0" applyNumberFormat="1" applyFill="1" applyBorder="1" applyAlignment="1">
      <alignment vertical="center"/>
    </xf>
    <xf numFmtId="0" fontId="6" fillId="0" borderId="4" xfId="0" applyFont="1" applyBorder="1"/>
    <xf numFmtId="0" fontId="7" fillId="7" borderId="1" xfId="1" applyNumberFormat="1" applyFont="1" applyFill="1" applyBorder="1" applyAlignment="1" applyProtection="1">
      <alignment horizontal="center" vertical="center" wrapText="1"/>
      <protection locked="0"/>
    </xf>
    <xf numFmtId="3" fontId="3" fillId="2" borderId="1" xfId="0" applyNumberFormat="1" applyFont="1" applyFill="1" applyBorder="1" applyAlignment="1">
      <alignment vertical="center"/>
    </xf>
    <xf numFmtId="0" fontId="6" fillId="2" borderId="1" xfId="0" applyFont="1" applyFill="1" applyBorder="1"/>
    <xf numFmtId="3" fontId="6" fillId="2" borderId="1" xfId="0" applyNumberFormat="1" applyFont="1" applyFill="1" applyBorder="1"/>
    <xf numFmtId="0" fontId="14" fillId="2" borderId="5" xfId="0" applyFont="1" applyFill="1" applyBorder="1" applyAlignment="1" applyProtection="1">
      <alignment horizontal="center"/>
      <protection locked="0"/>
    </xf>
    <xf numFmtId="0" fontId="15" fillId="0" borderId="1" xfId="0" applyFont="1" applyBorder="1" applyAlignment="1" applyProtection="1">
      <alignment wrapText="1"/>
      <protection locked="0"/>
    </xf>
    <xf numFmtId="3" fontId="13" fillId="3" borderId="0" xfId="3" applyNumberFormat="1" applyFont="1" applyFill="1" applyAlignment="1" applyProtection="1">
      <alignment vertical="center" wrapText="1"/>
      <protection locked="0"/>
    </xf>
    <xf numFmtId="167" fontId="13" fillId="6" borderId="12" xfId="1" applyNumberFormat="1" applyFont="1" applyFill="1" applyBorder="1" applyAlignment="1" applyProtection="1">
      <alignment vertical="center" wrapText="1"/>
      <protection locked="0"/>
    </xf>
    <xf numFmtId="0" fontId="5" fillId="6" borderId="0" xfId="0" applyFont="1" applyFill="1" applyProtection="1">
      <protection locked="0"/>
    </xf>
    <xf numFmtId="0" fontId="5" fillId="6" borderId="0" xfId="0" applyFont="1" applyFill="1"/>
    <xf numFmtId="3" fontId="13" fillId="3" borderId="0" xfId="3" applyNumberFormat="1" applyFont="1" applyFill="1" applyAlignment="1" applyProtection="1">
      <alignment horizontal="left" vertical="center"/>
      <protection locked="0"/>
    </xf>
    <xf numFmtId="15" fontId="8" fillId="12" borderId="15" xfId="0" applyNumberFormat="1" applyFont="1" applyFill="1" applyBorder="1" applyAlignment="1" applyProtection="1">
      <alignment vertical="center"/>
      <protection locked="0"/>
    </xf>
    <xf numFmtId="15" fontId="8" fillId="8" borderId="15" xfId="0" applyNumberFormat="1" applyFont="1" applyFill="1" applyBorder="1" applyAlignment="1" applyProtection="1">
      <alignment vertical="center"/>
      <protection locked="0"/>
    </xf>
    <xf numFmtId="0" fontId="15" fillId="0" borderId="0" xfId="0" applyFont="1" applyAlignment="1" applyProtection="1">
      <alignment vertical="top"/>
      <protection locked="0"/>
    </xf>
    <xf numFmtId="0" fontId="15" fillId="0" borderId="0" xfId="0" applyFont="1" applyAlignment="1" applyProtection="1">
      <alignment horizontal="center" vertical="top"/>
      <protection locked="0"/>
    </xf>
    <xf numFmtId="165" fontId="15" fillId="0" borderId="0" xfId="0" applyNumberFormat="1" applyFont="1" applyAlignment="1" applyProtection="1">
      <alignment horizontal="center" vertical="top"/>
      <protection locked="0"/>
    </xf>
    <xf numFmtId="0" fontId="6" fillId="0" borderId="0" xfId="0" applyFont="1" applyProtection="1">
      <protection locked="0"/>
    </xf>
    <xf numFmtId="167" fontId="13" fillId="6" borderId="13" xfId="1" applyNumberFormat="1" applyFont="1" applyFill="1" applyBorder="1" applyAlignment="1" applyProtection="1">
      <alignment vertical="center" wrapText="1"/>
      <protection locked="0"/>
    </xf>
    <xf numFmtId="0" fontId="15" fillId="0" borderId="4" xfId="0" quotePrefix="1" applyFont="1" applyBorder="1" applyAlignment="1">
      <alignment horizontal="left" wrapText="1"/>
    </xf>
    <xf numFmtId="0" fontId="15" fillId="0" borderId="1" xfId="0" quotePrefix="1" applyFont="1" applyBorder="1" applyAlignment="1">
      <alignment horizontal="left" wrapText="1"/>
    </xf>
    <xf numFmtId="4" fontId="11" fillId="0" borderId="0" xfId="0" applyNumberFormat="1" applyFont="1" applyAlignment="1">
      <alignment vertical="top"/>
    </xf>
    <xf numFmtId="3" fontId="13" fillId="3" borderId="12" xfId="3" applyNumberFormat="1" applyFont="1" applyFill="1" applyBorder="1" applyAlignment="1" applyProtection="1">
      <alignment vertical="center" wrapText="1"/>
      <protection locked="0"/>
    </xf>
    <xf numFmtId="167" fontId="13" fillId="3" borderId="14" xfId="1" applyNumberFormat="1" applyFont="1" applyFill="1" applyBorder="1" applyAlignment="1" applyProtection="1">
      <alignment vertical="center"/>
      <protection locked="0"/>
    </xf>
    <xf numFmtId="167" fontId="13" fillId="3" borderId="12" xfId="1" applyNumberFormat="1" applyFont="1" applyFill="1" applyBorder="1" applyAlignment="1" applyProtection="1">
      <alignment vertical="center" wrapText="1"/>
      <protection locked="0"/>
    </xf>
    <xf numFmtId="166" fontId="26" fillId="3" borderId="12" xfId="2" applyNumberFormat="1" applyFont="1" applyFill="1" applyBorder="1" applyAlignment="1" applyProtection="1">
      <alignment horizontal="center" vertical="center" wrapText="1"/>
      <protection locked="0"/>
    </xf>
    <xf numFmtId="3" fontId="15" fillId="0" borderId="1" xfId="0" applyNumberFormat="1" applyFont="1" applyBorder="1"/>
    <xf numFmtId="3" fontId="15" fillId="2" borderId="1" xfId="0" applyNumberFormat="1" applyFont="1" applyFill="1" applyBorder="1"/>
    <xf numFmtId="3" fontId="7" fillId="5" borderId="26" xfId="3" applyNumberFormat="1" applyFont="1" applyFill="1" applyBorder="1" applyAlignment="1" applyProtection="1">
      <alignment horizontal="center" vertical="center" wrapText="1"/>
      <protection locked="0"/>
    </xf>
    <xf numFmtId="3" fontId="7" fillId="5" borderId="12" xfId="3" applyNumberFormat="1" applyFont="1" applyFill="1" applyBorder="1" applyAlignment="1" applyProtection="1">
      <alignment horizontal="center" vertical="center" wrapText="1"/>
      <protection locked="0"/>
    </xf>
    <xf numFmtId="3" fontId="7" fillId="5" borderId="14" xfId="3" applyNumberFormat="1" applyFont="1" applyFill="1" applyBorder="1" applyAlignment="1" applyProtection="1">
      <alignment vertical="center" wrapText="1"/>
      <protection locked="0"/>
    </xf>
    <xf numFmtId="3" fontId="7" fillId="5" borderId="12" xfId="3" applyNumberFormat="1" applyFont="1" applyFill="1" applyBorder="1" applyAlignment="1" applyProtection="1">
      <alignment vertical="center" wrapText="1"/>
      <protection locked="0"/>
    </xf>
    <xf numFmtId="3" fontId="7" fillId="5" borderId="12" xfId="3" applyNumberFormat="1" applyFont="1" applyFill="1" applyBorder="1" applyAlignment="1" applyProtection="1">
      <alignment horizontal="centerContinuous" vertical="center" wrapText="1"/>
      <protection locked="0"/>
    </xf>
    <xf numFmtId="167" fontId="7" fillId="5" borderId="12" xfId="1" applyNumberFormat="1" applyFont="1" applyFill="1" applyBorder="1" applyAlignment="1" applyProtection="1">
      <alignment horizontal="center" vertical="center"/>
      <protection locked="0"/>
    </xf>
    <xf numFmtId="167" fontId="7" fillId="5" borderId="12" xfId="1" applyNumberFormat="1" applyFont="1" applyFill="1" applyBorder="1" applyAlignment="1" applyProtection="1">
      <alignment vertical="center" wrapText="1"/>
      <protection locked="0"/>
    </xf>
    <xf numFmtId="15" fontId="8" fillId="8" borderId="30" xfId="0" applyNumberFormat="1" applyFont="1" applyFill="1" applyBorder="1" applyAlignment="1" applyProtection="1">
      <alignment vertical="center"/>
      <protection locked="0"/>
    </xf>
    <xf numFmtId="15" fontId="8" fillId="12" borderId="31" xfId="0" applyNumberFormat="1" applyFont="1" applyFill="1" applyBorder="1" applyAlignment="1" applyProtection="1">
      <alignment vertical="center"/>
      <protection locked="0"/>
    </xf>
    <xf numFmtId="3" fontId="7" fillId="5" borderId="32" xfId="3" applyNumberFormat="1" applyFont="1" applyFill="1" applyBorder="1" applyAlignment="1" applyProtection="1">
      <alignment horizontal="center" vertical="center" wrapText="1"/>
      <protection locked="0"/>
    </xf>
    <xf numFmtId="3" fontId="7" fillId="5" borderId="33" xfId="3" applyNumberFormat="1" applyFont="1" applyFill="1" applyBorder="1" applyAlignment="1" applyProtection="1">
      <alignment horizontal="center" vertical="center" wrapText="1"/>
      <protection locked="0"/>
    </xf>
    <xf numFmtId="0" fontId="15" fillId="0" borderId="34" xfId="0" applyFont="1" applyBorder="1" applyProtection="1">
      <protection locked="0"/>
    </xf>
    <xf numFmtId="0" fontId="15" fillId="0" borderId="35" xfId="0" applyFont="1" applyBorder="1" applyProtection="1">
      <protection locked="0"/>
    </xf>
    <xf numFmtId="0" fontId="15" fillId="2" borderId="35" xfId="0" applyFont="1" applyFill="1" applyBorder="1" applyProtection="1">
      <protection locked="0"/>
    </xf>
    <xf numFmtId="3" fontId="15" fillId="2" borderId="38" xfId="0" applyNumberFormat="1" applyFont="1" applyFill="1" applyBorder="1"/>
    <xf numFmtId="3" fontId="6" fillId="0" borderId="2" xfId="0" applyNumberFormat="1" applyFont="1" applyBorder="1"/>
    <xf numFmtId="3" fontId="6" fillId="2" borderId="2" xfId="0" applyNumberFormat="1" applyFont="1" applyFill="1" applyBorder="1"/>
    <xf numFmtId="15" fontId="8" fillId="8" borderId="31" xfId="0" applyNumberFormat="1" applyFont="1" applyFill="1" applyBorder="1" applyAlignment="1" applyProtection="1">
      <alignment vertical="center"/>
      <protection locked="0"/>
    </xf>
    <xf numFmtId="3" fontId="15" fillId="0" borderId="35" xfId="0" applyNumberFormat="1" applyFont="1" applyBorder="1"/>
    <xf numFmtId="3" fontId="15" fillId="0" borderId="36" xfId="0" applyNumberFormat="1" applyFont="1" applyBorder="1"/>
    <xf numFmtId="3" fontId="15" fillId="2" borderId="35" xfId="0" applyNumberFormat="1" applyFont="1" applyFill="1" applyBorder="1"/>
    <xf numFmtId="3" fontId="15" fillId="2" borderId="36" xfId="0" applyNumberFormat="1" applyFont="1" applyFill="1" applyBorder="1"/>
    <xf numFmtId="3" fontId="15" fillId="2" borderId="37" xfId="0" applyNumberFormat="1" applyFont="1" applyFill="1" applyBorder="1"/>
    <xf numFmtId="3" fontId="15" fillId="2" borderId="39" xfId="0" applyNumberFormat="1" applyFont="1" applyFill="1" applyBorder="1"/>
    <xf numFmtId="3" fontId="6" fillId="0" borderId="5" xfId="0" applyNumberFormat="1" applyFont="1" applyBorder="1"/>
    <xf numFmtId="3" fontId="6" fillId="2" borderId="5" xfId="0" applyNumberFormat="1" applyFont="1" applyFill="1" applyBorder="1"/>
    <xf numFmtId="167" fontId="7" fillId="5" borderId="43" xfId="1" applyNumberFormat="1" applyFont="1" applyFill="1" applyBorder="1" applyAlignment="1" applyProtection="1">
      <alignment vertical="center"/>
      <protection locked="0"/>
    </xf>
    <xf numFmtId="166" fontId="7" fillId="5" borderId="29" xfId="2" applyNumberFormat="1" applyFont="1" applyFill="1" applyBorder="1" applyAlignment="1" applyProtection="1">
      <alignment horizontal="center" vertical="center" wrapText="1"/>
      <protection locked="0"/>
    </xf>
    <xf numFmtId="15" fontId="8" fillId="12" borderId="30" xfId="0" applyNumberFormat="1" applyFont="1" applyFill="1" applyBorder="1" applyAlignment="1" applyProtection="1">
      <alignment vertical="center"/>
      <protection locked="0"/>
    </xf>
    <xf numFmtId="3" fontId="6" fillId="0" borderId="35" xfId="0" applyNumberFormat="1" applyFont="1" applyBorder="1"/>
    <xf numFmtId="3" fontId="6" fillId="0" borderId="36" xfId="0" applyNumberFormat="1" applyFont="1" applyBorder="1"/>
    <xf numFmtId="3" fontId="6" fillId="2" borderId="35" xfId="0" applyNumberFormat="1" applyFont="1" applyFill="1" applyBorder="1"/>
    <xf numFmtId="3" fontId="6" fillId="2" borderId="36" xfId="0" applyNumberFormat="1" applyFont="1" applyFill="1" applyBorder="1"/>
    <xf numFmtId="0" fontId="7" fillId="6" borderId="44" xfId="0" applyFont="1" applyFill="1" applyBorder="1"/>
    <xf numFmtId="0" fontId="7" fillId="6" borderId="45" xfId="0" applyFont="1" applyFill="1" applyBorder="1"/>
    <xf numFmtId="166" fontId="7" fillId="5" borderId="46" xfId="2" applyNumberFormat="1" applyFont="1" applyFill="1" applyBorder="1" applyAlignment="1" applyProtection="1">
      <alignment horizontal="center" vertical="center" wrapText="1"/>
      <protection locked="0"/>
    </xf>
    <xf numFmtId="0" fontId="2" fillId="7" borderId="1" xfId="0" applyFont="1" applyFill="1" applyBorder="1" applyAlignment="1">
      <alignment vertical="center" wrapText="1"/>
    </xf>
    <xf numFmtId="0" fontId="7" fillId="4" borderId="1" xfId="1" applyNumberFormat="1" applyFont="1" applyFill="1" applyBorder="1" applyAlignment="1" applyProtection="1">
      <alignment horizontal="center" vertical="center" wrapText="1"/>
      <protection locked="0"/>
    </xf>
    <xf numFmtId="3" fontId="3" fillId="20" borderId="1" xfId="0" applyNumberFormat="1" applyFont="1" applyFill="1" applyBorder="1" applyAlignment="1">
      <alignment vertical="center"/>
    </xf>
    <xf numFmtId="0" fontId="7" fillId="26" borderId="1" xfId="1" applyNumberFormat="1" applyFont="1" applyFill="1" applyBorder="1" applyAlignment="1" applyProtection="1">
      <alignment horizontal="center" vertical="center" wrapText="1"/>
      <protection locked="0"/>
    </xf>
    <xf numFmtId="3" fontId="3" fillId="2" borderId="2" xfId="0" applyNumberFormat="1" applyFont="1" applyFill="1" applyBorder="1" applyAlignment="1">
      <alignment vertical="center"/>
    </xf>
    <xf numFmtId="3" fontId="0" fillId="20" borderId="2" xfId="0" applyNumberFormat="1" applyFill="1" applyBorder="1" applyAlignment="1">
      <alignment vertical="center"/>
    </xf>
    <xf numFmtId="3" fontId="0" fillId="2" borderId="2" xfId="0" applyNumberFormat="1" applyFill="1" applyBorder="1" applyAlignment="1">
      <alignment vertical="center"/>
    </xf>
    <xf numFmtId="0" fontId="22" fillId="23" borderId="2" xfId="0" applyFont="1" applyFill="1" applyBorder="1" applyAlignment="1">
      <alignment vertical="center" wrapText="1"/>
    </xf>
    <xf numFmtId="0" fontId="22" fillId="22" borderId="2" xfId="0" applyFont="1" applyFill="1" applyBorder="1" applyAlignment="1">
      <alignment vertical="center" wrapText="1"/>
    </xf>
    <xf numFmtId="0" fontId="7" fillId="26" borderId="5" xfId="1" applyNumberFormat="1" applyFont="1" applyFill="1" applyBorder="1" applyAlignment="1" applyProtection="1">
      <alignment horizontal="center" vertical="center" wrapText="1"/>
      <protection locked="0"/>
    </xf>
    <xf numFmtId="3" fontId="3" fillId="2" borderId="5" xfId="0" applyNumberFormat="1" applyFont="1" applyFill="1" applyBorder="1" applyAlignment="1">
      <alignment vertical="center"/>
    </xf>
    <xf numFmtId="3" fontId="0" fillId="20" borderId="5" xfId="0" applyNumberFormat="1" applyFill="1" applyBorder="1" applyAlignment="1">
      <alignment vertical="center"/>
    </xf>
    <xf numFmtId="3" fontId="0" fillId="2" borderId="5" xfId="0" applyNumberFormat="1" applyFill="1" applyBorder="1" applyAlignment="1">
      <alignment vertical="center"/>
    </xf>
    <xf numFmtId="0" fontId="2" fillId="7" borderId="47" xfId="0" applyFont="1" applyFill="1" applyBorder="1" applyAlignment="1">
      <alignment vertical="center"/>
    </xf>
    <xf numFmtId="3" fontId="3" fillId="2" borderId="47" xfId="0" applyNumberFormat="1" applyFont="1" applyFill="1" applyBorder="1" applyAlignment="1">
      <alignment vertical="center"/>
    </xf>
    <xf numFmtId="3" fontId="0" fillId="20" borderId="47" xfId="0" applyNumberFormat="1" applyFill="1" applyBorder="1" applyAlignment="1">
      <alignment vertical="center"/>
    </xf>
    <xf numFmtId="3" fontId="0" fillId="2" borderId="47" xfId="0" applyNumberFormat="1" applyFill="1" applyBorder="1" applyAlignment="1">
      <alignment vertical="center"/>
    </xf>
    <xf numFmtId="0" fontId="15" fillId="0" borderId="1" xfId="0" applyFont="1" applyBorder="1" applyProtection="1">
      <protection locked="0"/>
    </xf>
    <xf numFmtId="0" fontId="15" fillId="2" borderId="1" xfId="0" applyFont="1" applyFill="1" applyBorder="1" applyAlignment="1">
      <alignment horizontal="left" wrapText="1"/>
    </xf>
    <xf numFmtId="0" fontId="15" fillId="2" borderId="1" xfId="0" applyFont="1" applyFill="1" applyBorder="1" applyAlignment="1" applyProtection="1">
      <alignment wrapText="1"/>
      <protection locked="0"/>
    </xf>
    <xf numFmtId="0" fontId="15" fillId="2" borderId="37" xfId="0" applyFont="1" applyFill="1" applyBorder="1" applyProtection="1">
      <protection locked="0"/>
    </xf>
    <xf numFmtId="0" fontId="6" fillId="2" borderId="38" xfId="0" applyFont="1" applyFill="1" applyBorder="1"/>
    <xf numFmtId="0" fontId="15" fillId="2" borderId="38" xfId="0" applyFont="1" applyFill="1" applyBorder="1" applyAlignment="1">
      <alignment horizontal="left" wrapText="1"/>
    </xf>
    <xf numFmtId="0" fontId="15" fillId="2" borderId="38" xfId="0" applyFont="1" applyFill="1" applyBorder="1" applyAlignment="1" applyProtection="1">
      <alignment wrapText="1"/>
      <protection locked="0"/>
    </xf>
    <xf numFmtId="3" fontId="6" fillId="2" borderId="40" xfId="0" applyNumberFormat="1" applyFont="1" applyFill="1" applyBorder="1"/>
    <xf numFmtId="3" fontId="6" fillId="2" borderId="38" xfId="0" applyNumberFormat="1" applyFont="1" applyFill="1" applyBorder="1"/>
    <xf numFmtId="3" fontId="6" fillId="2" borderId="37" xfId="0" applyNumberFormat="1" applyFont="1" applyFill="1" applyBorder="1"/>
    <xf numFmtId="3" fontId="6" fillId="2" borderId="39" xfId="0" applyNumberFormat="1" applyFont="1" applyFill="1" applyBorder="1"/>
    <xf numFmtId="3" fontId="6" fillId="2" borderId="41" xfId="0" applyNumberFormat="1" applyFont="1" applyFill="1" applyBorder="1"/>
    <xf numFmtId="167" fontId="13" fillId="3" borderId="48" xfId="1" applyNumberFormat="1" applyFont="1" applyFill="1" applyBorder="1" applyAlignment="1" applyProtection="1">
      <alignment vertical="center"/>
      <protection locked="0"/>
    </xf>
    <xf numFmtId="166" fontId="7" fillId="5" borderId="49" xfId="2" applyNumberFormat="1" applyFont="1" applyFill="1" applyBorder="1" applyAlignment="1" applyProtection="1">
      <alignment horizontal="center" vertical="center" wrapText="1"/>
      <protection locked="0"/>
    </xf>
    <xf numFmtId="15" fontId="8" fillId="8" borderId="50" xfId="0" applyNumberFormat="1" applyFont="1" applyFill="1" applyBorder="1" applyAlignment="1" applyProtection="1">
      <alignment vertical="center"/>
      <protection locked="0"/>
    </xf>
    <xf numFmtId="3" fontId="7" fillId="5" borderId="51" xfId="3" applyNumberFormat="1" applyFont="1" applyFill="1" applyBorder="1" applyAlignment="1" applyProtection="1">
      <alignment horizontal="center" vertical="center" wrapText="1"/>
      <protection locked="0"/>
    </xf>
    <xf numFmtId="3" fontId="15" fillId="2" borderId="52" xfId="0" applyNumberFormat="1" applyFont="1" applyFill="1" applyBorder="1" applyProtection="1">
      <protection locked="0"/>
    </xf>
    <xf numFmtId="3" fontId="15" fillId="2" borderId="47" xfId="0" applyNumberFormat="1" applyFont="1" applyFill="1" applyBorder="1" applyProtection="1">
      <protection locked="0"/>
    </xf>
    <xf numFmtId="3" fontId="15" fillId="2" borderId="53" xfId="0" applyNumberFormat="1" applyFont="1" applyFill="1" applyBorder="1" applyProtection="1">
      <protection locked="0"/>
    </xf>
    <xf numFmtId="3" fontId="15" fillId="2" borderId="54" xfId="0" applyNumberFormat="1" applyFont="1" applyFill="1" applyBorder="1" applyProtection="1">
      <protection locked="0"/>
    </xf>
    <xf numFmtId="3" fontId="27" fillId="2" borderId="1" xfId="0" applyNumberFormat="1" applyFont="1" applyFill="1" applyBorder="1" applyAlignment="1">
      <alignment vertical="center"/>
    </xf>
    <xf numFmtId="3" fontId="27" fillId="20" borderId="1" xfId="0" applyNumberFormat="1" applyFont="1" applyFill="1" applyBorder="1" applyAlignment="1">
      <alignment vertical="center"/>
    </xf>
    <xf numFmtId="0" fontId="28" fillId="0" borderId="4" xfId="0" quotePrefix="1" applyFont="1" applyBorder="1" applyAlignment="1">
      <alignment horizontal="left" wrapText="1"/>
    </xf>
    <xf numFmtId="0" fontId="22" fillId="0" borderId="0" xfId="0" applyFont="1" applyAlignment="1" applyProtection="1">
      <alignment vertical="center" wrapText="1"/>
      <protection locked="0"/>
    </xf>
    <xf numFmtId="3" fontId="5" fillId="6" borderId="0" xfId="0" applyNumberFormat="1" applyFont="1" applyFill="1"/>
    <xf numFmtId="3" fontId="6" fillId="2" borderId="0" xfId="0" applyNumberFormat="1" applyFont="1" applyFill="1"/>
    <xf numFmtId="3" fontId="14" fillId="2" borderId="5" xfId="0" applyNumberFormat="1" applyFont="1" applyFill="1" applyBorder="1" applyAlignment="1" applyProtection="1">
      <alignment horizontal="center"/>
      <protection locked="0"/>
    </xf>
    <xf numFmtId="3" fontId="6" fillId="8" borderId="0" xfId="0" applyNumberFormat="1" applyFont="1" applyFill="1"/>
    <xf numFmtId="3" fontId="7" fillId="5" borderId="9" xfId="0" applyNumberFormat="1" applyFont="1" applyFill="1" applyBorder="1"/>
    <xf numFmtId="3" fontId="7" fillId="9" borderId="11" xfId="0" applyNumberFormat="1" applyFont="1" applyFill="1" applyBorder="1" applyAlignment="1">
      <alignment horizontal="center" vertical="center"/>
    </xf>
    <xf numFmtId="3" fontId="15" fillId="0" borderId="0" xfId="0" applyNumberFormat="1" applyFont="1" applyAlignment="1" applyProtection="1">
      <alignment horizontal="right" vertical="top"/>
      <protection locked="0"/>
    </xf>
    <xf numFmtId="3" fontId="6" fillId="0" borderId="0" xfId="0" applyNumberFormat="1" applyFont="1" applyProtection="1">
      <protection locked="0"/>
    </xf>
    <xf numFmtId="3" fontId="6" fillId="2" borderId="0" xfId="0" applyNumberFormat="1" applyFont="1" applyFill="1" applyProtection="1">
      <protection locked="0"/>
    </xf>
    <xf numFmtId="3" fontId="0" fillId="0" borderId="0" xfId="0" applyNumberFormat="1"/>
    <xf numFmtId="0" fontId="3" fillId="0" borderId="57" xfId="0" applyFont="1" applyBorder="1" applyAlignment="1">
      <alignment horizontal="center" wrapText="1"/>
    </xf>
    <xf numFmtId="1" fontId="3" fillId="20" borderId="57" xfId="0" applyNumberFormat="1" applyFont="1" applyFill="1" applyBorder="1" applyAlignment="1">
      <alignment horizontal="center"/>
    </xf>
    <xf numFmtId="0" fontId="3" fillId="20" borderId="57" xfId="0" applyFont="1" applyFill="1" applyBorder="1" applyAlignment="1">
      <alignment wrapText="1"/>
    </xf>
    <xf numFmtId="0" fontId="3" fillId="35" borderId="57" xfId="0" applyFont="1" applyFill="1" applyBorder="1" applyAlignment="1">
      <alignment horizontal="center"/>
    </xf>
    <xf numFmtId="3" fontId="3" fillId="0" borderId="0" xfId="0" applyNumberFormat="1" applyFont="1"/>
    <xf numFmtId="4" fontId="3" fillId="0" borderId="0" xfId="0" applyNumberFormat="1" applyFont="1"/>
    <xf numFmtId="169" fontId="30" fillId="0" borderId="57" xfId="0" applyNumberFormat="1" applyFont="1" applyBorder="1" applyAlignment="1">
      <alignment horizontal="center"/>
    </xf>
    <xf numFmtId="0" fontId="30" fillId="0" borderId="57" xfId="0" applyFont="1" applyBorder="1" applyAlignment="1">
      <alignment wrapText="1"/>
    </xf>
    <xf numFmtId="0" fontId="30" fillId="0" borderId="57" xfId="0" applyFont="1" applyBorder="1" applyAlignment="1">
      <alignment horizontal="center" wrapText="1"/>
    </xf>
    <xf numFmtId="0" fontId="30" fillId="36" borderId="57" xfId="0" applyFont="1" applyFill="1" applyBorder="1" applyAlignment="1">
      <alignment horizontal="center"/>
    </xf>
    <xf numFmtId="3" fontId="30" fillId="0" borderId="0" xfId="0" applyNumberFormat="1" applyFont="1"/>
    <xf numFmtId="4" fontId="30" fillId="0" borderId="0" xfId="0" applyNumberFormat="1" applyFont="1"/>
    <xf numFmtId="170" fontId="30" fillId="0" borderId="0" xfId="0" applyNumberFormat="1" applyFont="1"/>
    <xf numFmtId="0" fontId="30" fillId="0" borderId="0" xfId="0" applyFont="1"/>
    <xf numFmtId="169" fontId="19" fillId="0" borderId="57" xfId="0" applyNumberFormat="1" applyFont="1" applyBorder="1" applyAlignment="1">
      <alignment horizontal="center"/>
    </xf>
    <xf numFmtId="0" fontId="19" fillId="0" borderId="57" xfId="0" applyFont="1" applyBorder="1" applyAlignment="1">
      <alignment wrapText="1"/>
    </xf>
    <xf numFmtId="0" fontId="0" fillId="15" borderId="57" xfId="0" applyFill="1" applyBorder="1" applyAlignment="1">
      <alignment horizontal="center" wrapText="1"/>
    </xf>
    <xf numFmtId="0" fontId="0" fillId="15" borderId="57" xfId="0" applyFill="1" applyBorder="1" applyAlignment="1">
      <alignment horizontal="center"/>
    </xf>
    <xf numFmtId="0" fontId="19" fillId="37" borderId="57" xfId="0" applyFont="1" applyFill="1" applyBorder="1" applyAlignment="1">
      <alignment horizontal="center"/>
    </xf>
    <xf numFmtId="3" fontId="22" fillId="0" borderId="0" xfId="0" applyNumberFormat="1" applyFont="1" applyAlignment="1">
      <alignment horizontal="right" vertical="center" wrapText="1"/>
    </xf>
    <xf numFmtId="4" fontId="0" fillId="0" borderId="0" xfId="0" applyNumberFormat="1"/>
    <xf numFmtId="170" fontId="0" fillId="0" borderId="0" xfId="0" applyNumberFormat="1"/>
    <xf numFmtId="0" fontId="19" fillId="0" borderId="0" xfId="0" applyFont="1"/>
    <xf numFmtId="169" fontId="0" fillId="0" borderId="57" xfId="0" applyNumberFormat="1" applyBorder="1" applyAlignment="1">
      <alignment horizontal="center"/>
    </xf>
    <xf numFmtId="0" fontId="30" fillId="15" borderId="57" xfId="0" applyFont="1" applyFill="1" applyBorder="1" applyAlignment="1">
      <alignment horizontal="right" wrapText="1"/>
    </xf>
    <xf numFmtId="0" fontId="19" fillId="15" borderId="57" xfId="0" applyFont="1" applyFill="1" applyBorder="1" applyAlignment="1">
      <alignment horizontal="center" wrapText="1"/>
    </xf>
    <xf numFmtId="0" fontId="0" fillId="0" borderId="57" xfId="0" applyBorder="1" applyAlignment="1">
      <alignment horizontal="center"/>
    </xf>
    <xf numFmtId="169" fontId="3" fillId="0" borderId="0" xfId="0" applyNumberFormat="1" applyFont="1"/>
    <xf numFmtId="171" fontId="0" fillId="15" borderId="57" xfId="0" applyNumberFormat="1" applyFill="1" applyBorder="1" applyAlignment="1">
      <alignment horizontal="center"/>
    </xf>
    <xf numFmtId="169" fontId="30" fillId="0" borderId="0" xfId="0" applyNumberFormat="1" applyFont="1"/>
    <xf numFmtId="169" fontId="0" fillId="0" borderId="0" xfId="0" applyNumberFormat="1"/>
    <xf numFmtId="169" fontId="31" fillId="0" borderId="57" xfId="0" applyNumberFormat="1" applyFont="1" applyBorder="1" applyAlignment="1">
      <alignment horizontal="center"/>
    </xf>
    <xf numFmtId="0" fontId="31" fillId="0" borderId="57" xfId="0" applyFont="1" applyBorder="1" applyAlignment="1">
      <alignment wrapText="1"/>
    </xf>
    <xf numFmtId="0" fontId="32" fillId="15" borderId="57" xfId="0" applyFont="1" applyFill="1" applyBorder="1" applyAlignment="1">
      <alignment horizontal="center" wrapText="1"/>
    </xf>
    <xf numFmtId="0" fontId="32" fillId="15" borderId="57" xfId="0" applyFont="1" applyFill="1" applyBorder="1" applyAlignment="1">
      <alignment horizontal="center"/>
    </xf>
    <xf numFmtId="0" fontId="31" fillId="37" borderId="57" xfId="0" applyFont="1" applyFill="1" applyBorder="1" applyAlignment="1">
      <alignment horizontal="center"/>
    </xf>
    <xf numFmtId="3" fontId="31" fillId="0" borderId="0" xfId="0" applyNumberFormat="1" applyFont="1" applyAlignment="1">
      <alignment horizontal="right" vertical="center" wrapText="1"/>
    </xf>
    <xf numFmtId="4" fontId="31" fillId="0" borderId="0" xfId="0" applyNumberFormat="1" applyFont="1"/>
    <xf numFmtId="170" fontId="19" fillId="0" borderId="0" xfId="0" applyNumberFormat="1" applyFont="1"/>
    <xf numFmtId="3" fontId="19" fillId="0" borderId="0" xfId="0" applyNumberFormat="1" applyFont="1"/>
    <xf numFmtId="3" fontId="31" fillId="0" borderId="0" xfId="0" applyNumberFormat="1" applyFont="1"/>
    <xf numFmtId="0" fontId="31" fillId="0" borderId="0" xfId="0" applyFont="1"/>
    <xf numFmtId="170" fontId="3" fillId="0" borderId="0" xfId="0" applyNumberFormat="1" applyFont="1"/>
    <xf numFmtId="169" fontId="0" fillId="0" borderId="0" xfId="0" applyNumberFormat="1" applyAlignment="1">
      <alignment horizontal="center"/>
    </xf>
    <xf numFmtId="0" fontId="0" fillId="0" borderId="0" xfId="0" applyAlignment="1">
      <alignment wrapText="1"/>
    </xf>
    <xf numFmtId="0" fontId="0" fillId="0" borderId="0" xfId="0" applyAlignment="1">
      <alignment horizontal="center" wrapText="1"/>
    </xf>
    <xf numFmtId="0" fontId="0" fillId="0" borderId="0" xfId="0" applyAlignment="1">
      <alignment horizontal="center"/>
    </xf>
    <xf numFmtId="0" fontId="33" fillId="0" borderId="0" xfId="0" applyFont="1" applyAlignment="1">
      <alignment horizontal="center"/>
    </xf>
    <xf numFmtId="172" fontId="0" fillId="0" borderId="0" xfId="0" applyNumberFormat="1"/>
    <xf numFmtId="172" fontId="3" fillId="0" borderId="0" xfId="0" applyNumberFormat="1" applyFont="1"/>
    <xf numFmtId="173" fontId="3" fillId="0" borderId="0" xfId="0" applyNumberFormat="1" applyFont="1"/>
    <xf numFmtId="173" fontId="0" fillId="0" borderId="0" xfId="0" applyNumberFormat="1"/>
    <xf numFmtId="0" fontId="3" fillId="0" borderId="58" xfId="0" applyFont="1" applyBorder="1" applyAlignment="1">
      <alignment horizontal="center" wrapText="1"/>
    </xf>
    <xf numFmtId="0" fontId="3" fillId="35" borderId="58" xfId="0" applyFont="1" applyFill="1" applyBorder="1" applyAlignment="1">
      <alignment horizontal="center"/>
    </xf>
    <xf numFmtId="0" fontId="3" fillId="33" borderId="4" xfId="0" applyFont="1" applyFill="1" applyBorder="1" applyAlignment="1">
      <alignment horizontal="center" wrapText="1"/>
    </xf>
    <xf numFmtId="0" fontId="3" fillId="0" borderId="4" xfId="0" applyFont="1" applyBorder="1"/>
    <xf numFmtId="0" fontId="21" fillId="15" borderId="1" xfId="0" applyFont="1" applyFill="1" applyBorder="1" applyAlignment="1">
      <alignment horizontal="center" wrapText="1"/>
    </xf>
    <xf numFmtId="0" fontId="3" fillId="29" borderId="4" xfId="0" applyFont="1" applyFill="1" applyBorder="1" applyAlignment="1">
      <alignment horizontal="center"/>
    </xf>
    <xf numFmtId="0" fontId="29" fillId="30" borderId="4" xfId="0" applyFont="1" applyFill="1" applyBorder="1" applyAlignment="1">
      <alignment horizontal="center" wrapText="1"/>
    </xf>
    <xf numFmtId="0" fontId="29" fillId="31" borderId="4" xfId="0" applyFont="1" applyFill="1" applyBorder="1" applyAlignment="1">
      <alignment horizontal="center" wrapText="1"/>
    </xf>
    <xf numFmtId="0" fontId="3" fillId="30" borderId="4" xfId="0" applyFont="1" applyFill="1" applyBorder="1" applyAlignment="1">
      <alignment horizontal="center" wrapText="1"/>
    </xf>
    <xf numFmtId="0" fontId="3" fillId="32" borderId="4" xfId="0" applyFont="1" applyFill="1" applyBorder="1" applyAlignment="1">
      <alignment horizontal="center" wrapText="1"/>
    </xf>
    <xf numFmtId="0" fontId="3" fillId="14" borderId="4" xfId="0" applyFont="1" applyFill="1" applyBorder="1" applyAlignment="1">
      <alignment horizontal="center" wrapText="1"/>
    </xf>
    <xf numFmtId="0" fontId="3" fillId="31" borderId="4" xfId="0" applyFont="1" applyFill="1" applyBorder="1" applyAlignment="1">
      <alignment horizontal="center" wrapText="1"/>
    </xf>
    <xf numFmtId="0" fontId="2" fillId="10" borderId="4" xfId="0" applyFont="1" applyFill="1" applyBorder="1" applyAlignment="1">
      <alignment horizontal="center" wrapText="1"/>
    </xf>
    <xf numFmtId="0" fontId="29" fillId="34" borderId="4" xfId="0" applyFont="1" applyFill="1" applyBorder="1" applyAlignment="1">
      <alignment horizontal="center" wrapText="1"/>
    </xf>
    <xf numFmtId="3" fontId="3" fillId="31" borderId="4" xfId="0" applyNumberFormat="1" applyFont="1" applyFill="1" applyBorder="1" applyAlignment="1">
      <alignment horizontal="center" wrapText="1"/>
    </xf>
    <xf numFmtId="174" fontId="3" fillId="0" borderId="0" xfId="0" applyNumberFormat="1" applyFont="1"/>
    <xf numFmtId="3" fontId="3" fillId="31" borderId="60" xfId="0" applyNumberFormat="1" applyFont="1" applyFill="1" applyBorder="1" applyAlignment="1">
      <alignment horizontal="center" wrapText="1"/>
    </xf>
    <xf numFmtId="3" fontId="3" fillId="23" borderId="4" xfId="0" applyNumberFormat="1" applyFont="1" applyFill="1" applyBorder="1" applyAlignment="1">
      <alignment horizontal="center" wrapText="1"/>
    </xf>
    <xf numFmtId="0" fontId="21" fillId="33" borderId="1" xfId="0" applyFont="1" applyFill="1" applyBorder="1" applyAlignment="1">
      <alignment horizontal="center" wrapText="1"/>
    </xf>
    <xf numFmtId="3" fontId="3" fillId="23" borderId="60" xfId="0" applyNumberFormat="1" applyFont="1" applyFill="1" applyBorder="1" applyAlignment="1">
      <alignment horizontal="center" wrapText="1"/>
    </xf>
    <xf numFmtId="175" fontId="0" fillId="0" borderId="0" xfId="0" applyNumberFormat="1"/>
    <xf numFmtId="0" fontId="35" fillId="0" borderId="1" xfId="0" applyFont="1" applyBorder="1"/>
    <xf numFmtId="1" fontId="0" fillId="0" borderId="0" xfId="0" applyNumberFormat="1"/>
    <xf numFmtId="3" fontId="3" fillId="0" borderId="60" xfId="0" applyNumberFormat="1" applyFont="1" applyBorder="1" applyAlignment="1">
      <alignment horizontal="center" wrapText="1"/>
    </xf>
    <xf numFmtId="3" fontId="3" fillId="33" borderId="60" xfId="0" applyNumberFormat="1" applyFont="1" applyFill="1" applyBorder="1" applyAlignment="1">
      <alignment horizontal="center" wrapText="1"/>
    </xf>
    <xf numFmtId="3" fontId="3" fillId="18" borderId="4" xfId="0" applyNumberFormat="1" applyFont="1" applyFill="1" applyBorder="1" applyAlignment="1">
      <alignment horizontal="center" wrapText="1"/>
    </xf>
    <xf numFmtId="172" fontId="3" fillId="23" borderId="4" xfId="0" applyNumberFormat="1" applyFont="1" applyFill="1" applyBorder="1" applyAlignment="1">
      <alignment horizontal="center" wrapText="1"/>
    </xf>
    <xf numFmtId="3" fontId="0" fillId="0" borderId="60" xfId="0" applyNumberFormat="1" applyBorder="1" applyAlignment="1">
      <alignment horizontal="center" wrapText="1"/>
    </xf>
    <xf numFmtId="0" fontId="35" fillId="0" borderId="0" xfId="0" applyFont="1" applyAlignment="1">
      <alignment vertical="top" wrapText="1"/>
    </xf>
    <xf numFmtId="0" fontId="35" fillId="42" borderId="0" xfId="0" applyFont="1" applyFill="1" applyAlignment="1">
      <alignment vertical="top" wrapText="1"/>
    </xf>
    <xf numFmtId="43" fontId="35" fillId="0" borderId="0" xfId="7" applyFont="1" applyAlignment="1">
      <alignment vertical="top" wrapText="1"/>
    </xf>
    <xf numFmtId="43" fontId="35" fillId="0" borderId="0" xfId="1" applyFont="1" applyAlignment="1">
      <alignment vertical="top" wrapText="1"/>
    </xf>
    <xf numFmtId="0" fontId="36" fillId="0" borderId="0" xfId="0" applyFont="1" applyAlignment="1">
      <alignment vertical="top" wrapText="1"/>
    </xf>
    <xf numFmtId="43" fontId="37" fillId="43" borderId="1" xfId="1" applyFont="1" applyFill="1" applyBorder="1" applyAlignment="1">
      <alignment horizontal="center" vertical="center" wrapText="1"/>
    </xf>
    <xf numFmtId="0" fontId="38" fillId="43" borderId="2" xfId="0" applyFont="1" applyFill="1" applyBorder="1" applyAlignment="1">
      <alignment horizontal="center"/>
    </xf>
    <xf numFmtId="0" fontId="39" fillId="0" borderId="0" xfId="0" applyFont="1" applyAlignment="1">
      <alignment horizontal="center"/>
    </xf>
    <xf numFmtId="0" fontId="35" fillId="0" borderId="1" xfId="0" applyFont="1" applyBorder="1" applyAlignment="1">
      <alignment wrapText="1"/>
    </xf>
    <xf numFmtId="167" fontId="35" fillId="0" borderId="5" xfId="1" applyNumberFormat="1" applyFont="1" applyBorder="1" applyAlignment="1">
      <alignment horizontal="center"/>
    </xf>
    <xf numFmtId="167" fontId="40" fillId="38" borderId="1" xfId="0" applyNumberFormat="1" applyFont="1" applyFill="1" applyBorder="1"/>
    <xf numFmtId="167" fontId="35" fillId="0" borderId="0" xfId="0" applyNumberFormat="1" applyFont="1"/>
    <xf numFmtId="43" fontId="35" fillId="0" borderId="0" xfId="7" applyFont="1" applyFill="1" applyAlignment="1">
      <alignment vertical="top" wrapText="1"/>
    </xf>
    <xf numFmtId="167" fontId="35" fillId="0" borderId="5" xfId="1" applyNumberFormat="1" applyFont="1" applyFill="1" applyBorder="1"/>
    <xf numFmtId="167" fontId="35" fillId="0" borderId="0" xfId="1" applyNumberFormat="1" applyFont="1" applyFill="1" applyBorder="1"/>
    <xf numFmtId="167" fontId="35" fillId="0" borderId="5" xfId="1" applyNumberFormat="1" applyFont="1" applyFill="1" applyBorder="1" applyAlignment="1">
      <alignment horizontal="center"/>
    </xf>
    <xf numFmtId="0" fontId="36" fillId="0" borderId="1" xfId="0" applyFont="1" applyBorder="1" applyAlignment="1">
      <alignment wrapText="1"/>
    </xf>
    <xf numFmtId="43" fontId="35" fillId="0" borderId="0" xfId="1" applyFont="1" applyFill="1" applyBorder="1"/>
    <xf numFmtId="167" fontId="35" fillId="0" borderId="1" xfId="1" applyNumberFormat="1" applyFont="1" applyFill="1" applyBorder="1"/>
    <xf numFmtId="167" fontId="36" fillId="0" borderId="0" xfId="0" applyNumberFormat="1" applyFont="1" applyAlignment="1">
      <alignment vertical="top" wrapText="1"/>
    </xf>
    <xf numFmtId="0" fontId="41" fillId="0" borderId="19" xfId="0" applyFont="1" applyBorder="1"/>
    <xf numFmtId="0" fontId="41" fillId="0" borderId="0" xfId="0" applyFont="1"/>
    <xf numFmtId="0" fontId="39" fillId="0" borderId="0" xfId="0" applyFont="1"/>
    <xf numFmtId="0" fontId="35" fillId="0" borderId="61" xfId="0" applyFont="1" applyBorder="1"/>
    <xf numFmtId="0" fontId="35" fillId="0" borderId="61" xfId="0" applyFont="1" applyBorder="1" applyAlignment="1">
      <alignment vertical="top" wrapText="1"/>
    </xf>
    <xf numFmtId="43" fontId="36" fillId="0" borderId="0" xfId="0" applyNumberFormat="1" applyFont="1" applyAlignment="1">
      <alignment vertical="top" wrapText="1"/>
    </xf>
    <xf numFmtId="43" fontId="37" fillId="43" borderId="4" xfId="1" applyFont="1" applyFill="1" applyBorder="1" applyAlignment="1">
      <alignment horizontal="center" vertical="center" wrapText="1"/>
    </xf>
    <xf numFmtId="0" fontId="39" fillId="38" borderId="3" xfId="0" applyFont="1" applyFill="1" applyBorder="1"/>
    <xf numFmtId="176" fontId="42" fillId="0" borderId="0" xfId="0" applyNumberFormat="1" applyFont="1" applyAlignment="1">
      <alignment vertical="top" wrapText="1"/>
    </xf>
    <xf numFmtId="177" fontId="35" fillId="0" borderId="0" xfId="0" applyNumberFormat="1" applyFont="1"/>
    <xf numFmtId="0" fontId="35" fillId="0" borderId="2" xfId="0" applyFont="1" applyBorder="1" applyAlignment="1">
      <alignment horizontal="left" vertical="center" wrapText="1"/>
    </xf>
    <xf numFmtId="0" fontId="35" fillId="0" borderId="16" xfId="0" applyFont="1" applyBorder="1" applyAlignment="1">
      <alignment horizontal="left" vertical="center" wrapText="1"/>
    </xf>
    <xf numFmtId="0" fontId="35" fillId="0" borderId="5" xfId="0" applyFont="1" applyBorder="1" applyAlignment="1">
      <alignment horizontal="left" vertical="center" wrapText="1"/>
    </xf>
    <xf numFmtId="176" fontId="39" fillId="38" borderId="2" xfId="1" applyNumberFormat="1" applyFont="1" applyFill="1" applyBorder="1"/>
    <xf numFmtId="0" fontId="35" fillId="0" borderId="1" xfId="0" applyFont="1" applyBorder="1" applyAlignment="1">
      <alignment horizontal="right"/>
    </xf>
    <xf numFmtId="164" fontId="36" fillId="0" borderId="0" xfId="0" applyNumberFormat="1" applyFont="1" applyAlignment="1">
      <alignment vertical="top" wrapText="1"/>
    </xf>
    <xf numFmtId="0" fontId="35" fillId="0" borderId="0" xfId="0" applyFont="1" applyAlignment="1">
      <alignment wrapText="1"/>
    </xf>
    <xf numFmtId="167" fontId="35" fillId="0" borderId="1" xfId="0" applyNumberFormat="1" applyFont="1" applyBorder="1" applyAlignment="1">
      <alignment horizontal="center"/>
    </xf>
    <xf numFmtId="0" fontId="42" fillId="0" borderId="0" xfId="0" applyFont="1" applyAlignment="1">
      <alignment vertical="top" wrapText="1"/>
    </xf>
    <xf numFmtId="167" fontId="35" fillId="0" borderId="1" xfId="0" applyNumberFormat="1" applyFont="1" applyBorder="1"/>
    <xf numFmtId="43" fontId="35" fillId="0" borderId="0" xfId="0" applyNumberFormat="1" applyFont="1"/>
    <xf numFmtId="167" fontId="36" fillId="0" borderId="0" xfId="0" applyNumberFormat="1" applyFont="1" applyAlignment="1">
      <alignment vertical="top"/>
    </xf>
    <xf numFmtId="0" fontId="39" fillId="2" borderId="0" xfId="0" applyFont="1" applyFill="1"/>
    <xf numFmtId="167" fontId="36" fillId="0" borderId="62" xfId="0" applyNumberFormat="1" applyFont="1" applyBorder="1" applyAlignment="1">
      <alignment wrapText="1"/>
    </xf>
    <xf numFmtId="167" fontId="36" fillId="0" borderId="62" xfId="0" applyNumberFormat="1" applyFont="1" applyBorder="1"/>
    <xf numFmtId="176" fontId="36" fillId="0" borderId="0" xfId="0" applyNumberFormat="1" applyFont="1" applyAlignment="1">
      <alignment vertical="top" wrapText="1"/>
    </xf>
    <xf numFmtId="43" fontId="35" fillId="0" borderId="1" xfId="0" applyNumberFormat="1" applyFont="1" applyBorder="1"/>
    <xf numFmtId="167" fontId="39" fillId="40" borderId="1" xfId="0" applyNumberFormat="1" applyFont="1" applyFill="1" applyBorder="1"/>
    <xf numFmtId="176" fontId="39" fillId="38" borderId="65" xfId="1" applyNumberFormat="1" applyFont="1" applyFill="1" applyBorder="1"/>
    <xf numFmtId="167" fontId="39" fillId="0" borderId="0" xfId="0" applyNumberFormat="1" applyFont="1"/>
    <xf numFmtId="0" fontId="39" fillId="38" borderId="3" xfId="0" applyFont="1" applyFill="1" applyBorder="1" applyAlignment="1">
      <alignment horizontal="center"/>
    </xf>
    <xf numFmtId="167" fontId="35" fillId="0" borderId="1" xfId="0" applyNumberFormat="1" applyFont="1" applyBorder="1" applyAlignment="1">
      <alignment horizontal="right"/>
    </xf>
    <xf numFmtId="176" fontId="39" fillId="38" borderId="1" xfId="1" applyNumberFormat="1" applyFont="1" applyFill="1" applyBorder="1"/>
    <xf numFmtId="167" fontId="35" fillId="0" borderId="0" xfId="0" applyNumberFormat="1" applyFont="1" applyAlignment="1">
      <alignment vertical="top" wrapText="1"/>
    </xf>
    <xf numFmtId="167" fontId="42" fillId="0" borderId="0" xfId="0" applyNumberFormat="1" applyFont="1" applyAlignment="1">
      <alignment vertical="top" wrapText="1"/>
    </xf>
    <xf numFmtId="167" fontId="36" fillId="0" borderId="1" xfId="0" applyNumberFormat="1" applyFont="1" applyBorder="1"/>
    <xf numFmtId="43" fontId="36" fillId="0" borderId="0" xfId="1" applyFont="1" applyFill="1" applyAlignment="1">
      <alignment vertical="top" wrapText="1"/>
    </xf>
    <xf numFmtId="0" fontId="39" fillId="0" borderId="19" xfId="0" applyFont="1" applyBorder="1" applyAlignment="1">
      <alignment horizontal="left" wrapText="1"/>
    </xf>
    <xf numFmtId="0" fontId="39" fillId="0" borderId="20" xfId="0" applyFont="1" applyBorder="1" applyAlignment="1">
      <alignment horizontal="left" wrapText="1"/>
    </xf>
    <xf numFmtId="167" fontId="39" fillId="0" borderId="1" xfId="0" applyNumberFormat="1" applyFont="1" applyBorder="1"/>
    <xf numFmtId="176" fontId="39" fillId="0" borderId="0" xfId="1" applyNumberFormat="1" applyFont="1" applyFill="1" applyBorder="1"/>
    <xf numFmtId="167" fontId="36" fillId="23" borderId="1" xfId="0" applyNumberFormat="1" applyFont="1" applyFill="1" applyBorder="1" applyAlignment="1">
      <alignment horizontal="right"/>
    </xf>
    <xf numFmtId="167" fontId="35" fillId="23" borderId="1" xfId="0" applyNumberFormat="1" applyFont="1" applyFill="1" applyBorder="1" applyAlignment="1">
      <alignment horizontal="right"/>
    </xf>
    <xf numFmtId="43" fontId="35" fillId="0" borderId="0" xfId="0" applyNumberFormat="1" applyFont="1" applyAlignment="1">
      <alignment vertical="top" wrapText="1"/>
    </xf>
    <xf numFmtId="43" fontId="36" fillId="0" borderId="0" xfId="1" applyFont="1" applyAlignment="1">
      <alignment vertical="top" wrapText="1"/>
    </xf>
    <xf numFmtId="164" fontId="39" fillId="38" borderId="1" xfId="0" applyNumberFormat="1" applyFont="1" applyFill="1" applyBorder="1" applyAlignment="1">
      <alignment horizontal="center"/>
    </xf>
    <xf numFmtId="0" fontId="40" fillId="0" borderId="0" xfId="0" applyFont="1"/>
    <xf numFmtId="167" fontId="36" fillId="0" borderId="0" xfId="0" applyNumberFormat="1" applyFont="1" applyAlignment="1">
      <alignment wrapText="1"/>
    </xf>
    <xf numFmtId="0" fontId="35" fillId="23" borderId="1" xfId="0" applyFont="1" applyFill="1" applyBorder="1" applyAlignment="1">
      <alignment horizontal="right"/>
    </xf>
    <xf numFmtId="0" fontId="35" fillId="0" borderId="66" xfId="0" applyFont="1" applyBorder="1" applyAlignment="1">
      <alignment horizontal="left"/>
    </xf>
    <xf numFmtId="0" fontId="35" fillId="0" borderId="16" xfId="0" applyFont="1" applyBorder="1" applyAlignment="1">
      <alignment horizontal="left"/>
    </xf>
    <xf numFmtId="0" fontId="35" fillId="0" borderId="5" xfId="0" applyFont="1" applyBorder="1" applyAlignment="1">
      <alignment horizontal="left"/>
    </xf>
    <xf numFmtId="176" fontId="35" fillId="0" borderId="0" xfId="0" applyNumberFormat="1" applyFont="1" applyAlignment="1">
      <alignment vertical="top" wrapText="1"/>
    </xf>
    <xf numFmtId="0" fontId="36" fillId="0" borderId="2" xfId="0" applyFont="1" applyBorder="1" applyAlignment="1">
      <alignment horizontal="left" vertical="center" wrapText="1"/>
    </xf>
    <xf numFmtId="0" fontId="45" fillId="0" borderId="16" xfId="0" applyFont="1" applyBorder="1" applyAlignment="1">
      <alignment horizontal="left" vertical="center" wrapText="1"/>
    </xf>
    <xf numFmtId="0" fontId="45" fillId="0" borderId="5" xfId="0" applyFont="1" applyBorder="1" applyAlignment="1">
      <alignment horizontal="left" vertical="center" wrapText="1"/>
    </xf>
    <xf numFmtId="43" fontId="36" fillId="0" borderId="1" xfId="0" applyNumberFormat="1" applyFont="1" applyBorder="1"/>
    <xf numFmtId="43" fontId="36" fillId="0" borderId="0" xfId="7" applyFont="1" applyAlignment="1">
      <alignment vertical="top" wrapText="1"/>
    </xf>
    <xf numFmtId="0" fontId="40" fillId="0" borderId="0" xfId="0" applyFont="1" applyAlignment="1">
      <alignment horizontal="left" vertical="top"/>
    </xf>
    <xf numFmtId="167" fontId="36" fillId="0" borderId="0" xfId="0" applyNumberFormat="1" applyFont="1" applyAlignment="1">
      <alignment horizontal="left" vertical="top" wrapText="1"/>
    </xf>
    <xf numFmtId="167" fontId="35" fillId="2" borderId="1" xfId="0" applyNumberFormat="1" applyFont="1" applyFill="1" applyBorder="1"/>
    <xf numFmtId="167" fontId="36" fillId="0" borderId="0" xfId="1" applyNumberFormat="1" applyFont="1" applyFill="1" applyBorder="1"/>
    <xf numFmtId="43" fontId="36" fillId="0" borderId="0" xfId="7" applyFont="1" applyFill="1" applyAlignment="1">
      <alignment vertical="top" wrapText="1"/>
    </xf>
    <xf numFmtId="0" fontId="40" fillId="0" borderId="62" xfId="0" applyFont="1" applyBorder="1" applyAlignment="1">
      <alignment horizontal="left" vertical="top"/>
    </xf>
    <xf numFmtId="0" fontId="36" fillId="0" borderId="0" xfId="0" applyFont="1"/>
    <xf numFmtId="0" fontId="35" fillId="0" borderId="0" xfId="0" applyFont="1"/>
    <xf numFmtId="0" fontId="36" fillId="0" borderId="0" xfId="0" applyFont="1" applyAlignment="1">
      <alignment vertical="top"/>
    </xf>
    <xf numFmtId="43" fontId="36" fillId="0" borderId="0" xfId="7" applyFont="1" applyFill="1" applyBorder="1" applyAlignment="1">
      <alignment vertical="top" wrapText="1"/>
    </xf>
    <xf numFmtId="43" fontId="35" fillId="0" borderId="0" xfId="7" applyFont="1" applyBorder="1" applyAlignment="1">
      <alignment vertical="top" wrapText="1"/>
    </xf>
    <xf numFmtId="167" fontId="35" fillId="23" borderId="1" xfId="0" applyNumberFormat="1" applyFont="1" applyFill="1" applyBorder="1"/>
    <xf numFmtId="167" fontId="39" fillId="38" borderId="1" xfId="0" applyNumberFormat="1" applyFont="1" applyFill="1" applyBorder="1"/>
    <xf numFmtId="167" fontId="36" fillId="0" borderId="0" xfId="0" applyNumberFormat="1" applyFont="1"/>
    <xf numFmtId="167" fontId="39" fillId="38" borderId="65" xfId="0" applyNumberFormat="1" applyFont="1" applyFill="1" applyBorder="1"/>
    <xf numFmtId="0" fontId="39" fillId="0" borderId="0" xfId="0" applyFont="1" applyAlignment="1">
      <alignment horizontal="center" vertical="top" wrapText="1"/>
    </xf>
    <xf numFmtId="167" fontId="36" fillId="23" borderId="1" xfId="0" applyNumberFormat="1" applyFont="1" applyFill="1" applyBorder="1"/>
    <xf numFmtId="0" fontId="39" fillId="38" borderId="1" xfId="0" applyFont="1" applyFill="1" applyBorder="1" applyAlignment="1">
      <alignment horizontal="center"/>
    </xf>
    <xf numFmtId="167" fontId="35" fillId="0" borderId="0" xfId="0" applyNumberFormat="1" applyFont="1" applyAlignment="1">
      <alignment wrapText="1"/>
    </xf>
    <xf numFmtId="167" fontId="40" fillId="0" borderId="0" xfId="0" applyNumberFormat="1" applyFont="1"/>
    <xf numFmtId="43" fontId="37" fillId="11" borderId="1" xfId="1" applyFont="1" applyFill="1" applyBorder="1" applyAlignment="1">
      <alignment horizontal="center" vertical="center" wrapText="1"/>
    </xf>
    <xf numFmtId="167" fontId="36" fillId="0" borderId="62" xfId="0" applyNumberFormat="1" applyFont="1" applyBorder="1" applyAlignment="1">
      <alignment horizontal="left" vertical="top" wrapText="1"/>
    </xf>
    <xf numFmtId="0" fontId="39" fillId="38" borderId="2" xfId="0" applyFont="1" applyFill="1" applyBorder="1"/>
    <xf numFmtId="43" fontId="37" fillId="0" borderId="0" xfId="1" applyFont="1" applyFill="1" applyBorder="1" applyAlignment="1">
      <alignment horizontal="center" vertical="center" wrapText="1"/>
    </xf>
    <xf numFmtId="167" fontId="39" fillId="38" borderId="2" xfId="0" applyNumberFormat="1" applyFont="1" applyFill="1" applyBorder="1"/>
    <xf numFmtId="43" fontId="35" fillId="0" borderId="1" xfId="1" applyFont="1" applyBorder="1"/>
    <xf numFmtId="164" fontId="39" fillId="0" borderId="0" xfId="0" applyNumberFormat="1" applyFont="1"/>
    <xf numFmtId="164" fontId="36" fillId="0" borderId="1" xfId="0" applyNumberFormat="1" applyFont="1" applyBorder="1"/>
    <xf numFmtId="167" fontId="39" fillId="38" borderId="67" xfId="0" applyNumberFormat="1" applyFont="1" applyFill="1" applyBorder="1"/>
    <xf numFmtId="0" fontId="40" fillId="0" borderId="0" xfId="0" applyFont="1" applyAlignment="1">
      <alignment horizontal="center" vertical="center"/>
    </xf>
    <xf numFmtId="167" fontId="36" fillId="0" borderId="1" xfId="10" applyNumberFormat="1" applyFont="1" applyFill="1" applyBorder="1" applyAlignment="1">
      <alignment horizontal="right"/>
    </xf>
    <xf numFmtId="0" fontId="39" fillId="38" borderId="2" xfId="0" applyFont="1" applyFill="1" applyBorder="1" applyAlignment="1">
      <alignment horizontal="center"/>
    </xf>
    <xf numFmtId="43" fontId="36" fillId="0" borderId="62" xfId="0" applyNumberFormat="1" applyFont="1" applyBorder="1" applyAlignment="1">
      <alignment horizontal="left" vertical="top" wrapText="1"/>
    </xf>
    <xf numFmtId="43" fontId="37" fillId="43" borderId="2" xfId="1" applyFont="1" applyFill="1" applyBorder="1" applyAlignment="1">
      <alignment horizontal="left" vertical="center" wrapText="1"/>
    </xf>
    <xf numFmtId="0" fontId="39" fillId="38" borderId="65" xfId="0" applyFont="1" applyFill="1" applyBorder="1" applyAlignment="1">
      <alignment horizontal="center"/>
    </xf>
    <xf numFmtId="0" fontId="46" fillId="0" borderId="0" xfId="0" applyFont="1"/>
    <xf numFmtId="167" fontId="47" fillId="0" borderId="2" xfId="11" applyNumberFormat="1" applyFont="1" applyBorder="1" applyAlignment="1">
      <alignment vertical="center"/>
    </xf>
    <xf numFmtId="0" fontId="36" fillId="0" borderId="16" xfId="0" applyFont="1" applyBorder="1"/>
    <xf numFmtId="0" fontId="36" fillId="0" borderId="5" xfId="0" applyFont="1" applyBorder="1"/>
    <xf numFmtId="167" fontId="36" fillId="0" borderId="16" xfId="11" applyNumberFormat="1" applyFont="1" applyFill="1" applyBorder="1" applyAlignment="1">
      <alignment vertical="center"/>
    </xf>
    <xf numFmtId="167" fontId="40" fillId="0" borderId="38" xfId="1" applyNumberFormat="1" applyFont="1" applyFill="1" applyBorder="1" applyAlignment="1">
      <alignment horizontal="center" vertical="top"/>
    </xf>
    <xf numFmtId="167" fontId="40" fillId="40" borderId="38" xfId="1" applyNumberFormat="1" applyFont="1" applyFill="1" applyBorder="1" applyAlignment="1">
      <alignment horizontal="center" vertical="top"/>
    </xf>
    <xf numFmtId="167" fontId="40" fillId="38" borderId="70" xfId="1" applyNumberFormat="1" applyFont="1" applyFill="1" applyBorder="1" applyAlignment="1">
      <alignment horizontal="right" vertical="top"/>
    </xf>
    <xf numFmtId="167" fontId="36" fillId="0" borderId="2" xfId="11" applyNumberFormat="1" applyFont="1" applyFill="1" applyBorder="1" applyAlignment="1">
      <alignment vertical="center"/>
    </xf>
    <xf numFmtId="167" fontId="36" fillId="0" borderId="1" xfId="11" applyNumberFormat="1" applyFont="1" applyFill="1" applyBorder="1" applyAlignment="1">
      <alignment vertical="center"/>
    </xf>
    <xf numFmtId="167" fontId="36" fillId="0" borderId="18" xfId="1" applyNumberFormat="1" applyFont="1" applyFill="1" applyBorder="1" applyAlignment="1">
      <alignment horizontal="right" vertical="top"/>
    </xf>
    <xf numFmtId="167" fontId="36" fillId="40" borderId="18" xfId="1" applyNumberFormat="1" applyFont="1" applyFill="1" applyBorder="1" applyAlignment="1">
      <alignment horizontal="right" vertical="top"/>
    </xf>
    <xf numFmtId="167" fontId="40" fillId="38" borderId="47" xfId="1" applyNumberFormat="1" applyFont="1" applyFill="1" applyBorder="1" applyAlignment="1">
      <alignment horizontal="right" vertical="top"/>
    </xf>
    <xf numFmtId="0" fontId="36" fillId="0" borderId="0" xfId="0" applyFont="1" applyAlignment="1">
      <alignment horizontal="left" vertical="top" wrapText="1"/>
    </xf>
    <xf numFmtId="167" fontId="36" fillId="0" borderId="5" xfId="11" applyNumberFormat="1" applyFont="1" applyFill="1" applyBorder="1" applyAlignment="1">
      <alignment vertical="center"/>
    </xf>
    <xf numFmtId="167" fontId="47" fillId="0" borderId="2" xfId="11" applyNumberFormat="1" applyFont="1" applyFill="1" applyBorder="1" applyAlignment="1">
      <alignment vertical="center"/>
    </xf>
    <xf numFmtId="167" fontId="36" fillId="0" borderId="5" xfId="1" applyNumberFormat="1" applyFont="1" applyFill="1" applyBorder="1" applyAlignment="1">
      <alignment horizontal="right" vertical="top"/>
    </xf>
    <xf numFmtId="0" fontId="36" fillId="0" borderId="71" xfId="0" applyFont="1" applyBorder="1"/>
    <xf numFmtId="167" fontId="36" fillId="0" borderId="5" xfId="1" applyNumberFormat="1" applyFont="1" applyFill="1" applyBorder="1" applyAlignment="1">
      <alignment horizontal="right" vertical="center"/>
    </xf>
    <xf numFmtId="43" fontId="36" fillId="40" borderId="18" xfId="1" applyFont="1" applyFill="1" applyBorder="1" applyAlignment="1">
      <alignment horizontal="right" vertical="top"/>
    </xf>
    <xf numFmtId="167" fontId="35" fillId="0" borderId="72" xfId="0" applyNumberFormat="1" applyFont="1" applyBorder="1" applyAlignment="1">
      <alignment vertical="center"/>
    </xf>
    <xf numFmtId="0" fontId="36" fillId="0" borderId="17" xfId="0" applyFont="1" applyBorder="1"/>
    <xf numFmtId="43" fontId="36" fillId="0" borderId="0" xfId="0" applyNumberFormat="1" applyFont="1" applyAlignment="1">
      <alignment horizontal="left" vertical="top" wrapText="1"/>
    </xf>
    <xf numFmtId="178" fontId="36" fillId="0" borderId="1" xfId="11" applyNumberFormat="1" applyFont="1" applyBorder="1" applyAlignment="1">
      <alignment vertical="center"/>
    </xf>
    <xf numFmtId="164" fontId="36" fillId="0" borderId="0" xfId="0" applyNumberFormat="1" applyFont="1" applyAlignment="1">
      <alignment horizontal="left" vertical="top" wrapText="1"/>
    </xf>
    <xf numFmtId="0" fontId="36" fillId="0" borderId="1" xfId="0" applyFont="1" applyBorder="1"/>
    <xf numFmtId="0" fontId="42" fillId="0" borderId="0" xfId="0" applyFont="1" applyAlignment="1">
      <alignment horizontal="left" vertical="center" wrapText="1"/>
    </xf>
    <xf numFmtId="179" fontId="35" fillId="0" borderId="1" xfId="7" applyNumberFormat="1" applyFont="1" applyFill="1" applyBorder="1" applyAlignment="1">
      <alignment vertical="top" wrapText="1"/>
    </xf>
    <xf numFmtId="167" fontId="36" fillId="0" borderId="1" xfId="1" applyNumberFormat="1" applyFont="1" applyFill="1" applyBorder="1" applyAlignment="1">
      <alignment horizontal="right" vertical="top"/>
    </xf>
    <xf numFmtId="0" fontId="44" fillId="0" borderId="1" xfId="12" applyFont="1" applyBorder="1" applyAlignment="1">
      <alignment horizontal="left" vertical="center"/>
    </xf>
    <xf numFmtId="0" fontId="44" fillId="0" borderId="2" xfId="12" applyFont="1" applyBorder="1" applyAlignment="1">
      <alignment horizontal="left" vertical="center"/>
    </xf>
    <xf numFmtId="167" fontId="36" fillId="0" borderId="2" xfId="11" applyNumberFormat="1" applyFont="1" applyFill="1" applyBorder="1" applyAlignment="1">
      <alignment horizontal="left" vertical="center"/>
    </xf>
    <xf numFmtId="179" fontId="35" fillId="0" borderId="0" xfId="7" applyNumberFormat="1" applyFont="1" applyFill="1" applyAlignment="1">
      <alignment vertical="top" wrapText="1"/>
    </xf>
    <xf numFmtId="167" fontId="36" fillId="0" borderId="2" xfId="11" applyNumberFormat="1" applyFont="1" applyBorder="1" applyAlignment="1">
      <alignment horizontal="left" vertical="center"/>
    </xf>
    <xf numFmtId="167" fontId="46" fillId="0" borderId="72" xfId="0" applyNumberFormat="1" applyFont="1" applyBorder="1" applyAlignment="1">
      <alignment vertical="center"/>
    </xf>
    <xf numFmtId="167" fontId="36" fillId="0" borderId="62" xfId="13" applyNumberFormat="1" applyFont="1" applyFill="1" applyBorder="1" applyAlignment="1">
      <alignment wrapText="1"/>
    </xf>
    <xf numFmtId="167" fontId="36" fillId="0" borderId="0" xfId="13" applyNumberFormat="1" applyFont="1" applyFill="1" applyBorder="1" applyAlignment="1">
      <alignment wrapText="1"/>
    </xf>
    <xf numFmtId="167" fontId="36" fillId="0" borderId="5" xfId="1" applyNumberFormat="1" applyFont="1" applyBorder="1" applyAlignment="1">
      <alignment horizontal="right" vertical="top"/>
    </xf>
    <xf numFmtId="167" fontId="36" fillId="40" borderId="17" xfId="1" applyNumberFormat="1" applyFont="1" applyFill="1" applyBorder="1" applyAlignment="1">
      <alignment horizontal="right" vertical="top"/>
    </xf>
    <xf numFmtId="0" fontId="39" fillId="0" borderId="16" xfId="0" applyFont="1" applyBorder="1"/>
    <xf numFmtId="0" fontId="39" fillId="0" borderId="5" xfId="0" applyFont="1" applyBorder="1"/>
    <xf numFmtId="3" fontId="35" fillId="2" borderId="1" xfId="0" applyNumberFormat="1" applyFont="1" applyFill="1" applyBorder="1"/>
    <xf numFmtId="0" fontId="36" fillId="0" borderId="32" xfId="0" applyFont="1" applyBorder="1" applyAlignment="1">
      <alignment vertical="center" wrapText="1"/>
    </xf>
    <xf numFmtId="0" fontId="36" fillId="0" borderId="0" xfId="0" applyFont="1" applyAlignment="1">
      <alignment vertical="center" wrapText="1"/>
    </xf>
    <xf numFmtId="167" fontId="36" fillId="0" borderId="32" xfId="0" applyNumberFormat="1" applyFont="1" applyBorder="1" applyAlignment="1">
      <alignment vertical="top" wrapText="1"/>
    </xf>
    <xf numFmtId="3" fontId="35" fillId="0" borderId="1" xfId="0" applyNumberFormat="1" applyFont="1" applyBorder="1"/>
    <xf numFmtId="0" fontId="39" fillId="0" borderId="17" xfId="0" applyFont="1" applyBorder="1"/>
    <xf numFmtId="0" fontId="39" fillId="0" borderId="18" xfId="0" applyFont="1" applyBorder="1"/>
    <xf numFmtId="167" fontId="36" fillId="0" borderId="3" xfId="11" applyNumberFormat="1" applyFont="1" applyFill="1" applyBorder="1" applyAlignment="1">
      <alignment vertical="center"/>
    </xf>
    <xf numFmtId="0" fontId="35" fillId="0" borderId="59" xfId="0" applyFont="1" applyBorder="1"/>
    <xf numFmtId="0" fontId="36" fillId="0" borderId="25" xfId="0" applyFont="1" applyBorder="1"/>
    <xf numFmtId="167" fontId="36" fillId="40" borderId="65" xfId="0" applyNumberFormat="1" applyFont="1" applyFill="1" applyBorder="1"/>
    <xf numFmtId="167" fontId="40" fillId="38" borderId="65" xfId="0" applyNumberFormat="1" applyFont="1" applyFill="1" applyBorder="1"/>
    <xf numFmtId="0" fontId="40" fillId="38" borderId="40" xfId="0" applyFont="1" applyFill="1" applyBorder="1" applyAlignment="1">
      <alignment horizontal="center"/>
    </xf>
    <xf numFmtId="43" fontId="37" fillId="0" borderId="0" xfId="1" applyFont="1" applyFill="1" applyBorder="1" applyAlignment="1">
      <alignment horizontal="left" vertical="center" wrapText="1"/>
    </xf>
    <xf numFmtId="43" fontId="37" fillId="0" borderId="16" xfId="1" applyFont="1" applyFill="1" applyBorder="1" applyAlignment="1">
      <alignment horizontal="left" vertical="center" wrapText="1"/>
    </xf>
    <xf numFmtId="43" fontId="37" fillId="0" borderId="5" xfId="1" applyFont="1" applyFill="1" applyBorder="1" applyAlignment="1">
      <alignment horizontal="left" vertical="center" wrapText="1"/>
    </xf>
    <xf numFmtId="43" fontId="37" fillId="0" borderId="5" xfId="1" applyFont="1" applyFill="1" applyBorder="1" applyAlignment="1">
      <alignment horizontal="center" vertical="center" wrapText="1"/>
    </xf>
    <xf numFmtId="167" fontId="40" fillId="0" borderId="73" xfId="1" applyNumberFormat="1" applyFont="1" applyFill="1" applyBorder="1" applyAlignment="1">
      <alignment horizontal="center" vertical="top"/>
    </xf>
    <xf numFmtId="167" fontId="40" fillId="40" borderId="74" xfId="1" applyNumberFormat="1" applyFont="1" applyFill="1" applyBorder="1" applyAlignment="1">
      <alignment horizontal="center" vertical="top"/>
    </xf>
    <xf numFmtId="167" fontId="40" fillId="38" borderId="53" xfId="1" applyNumberFormat="1" applyFont="1" applyFill="1" applyBorder="1" applyAlignment="1">
      <alignment horizontal="right" vertical="top"/>
    </xf>
    <xf numFmtId="0" fontId="40" fillId="0" borderId="62" xfId="0" applyFont="1" applyBorder="1"/>
    <xf numFmtId="178" fontId="40" fillId="0" borderId="0" xfId="1" applyNumberFormat="1" applyFont="1" applyFill="1" applyBorder="1" applyAlignment="1">
      <alignment horizontal="left" vertical="center" wrapText="1"/>
    </xf>
    <xf numFmtId="43" fontId="36" fillId="0" borderId="2" xfId="1" applyFont="1" applyFill="1" applyBorder="1" applyAlignment="1">
      <alignment horizontal="left" vertical="center"/>
    </xf>
    <xf numFmtId="43" fontId="37" fillId="0" borderId="17" xfId="1" applyFont="1" applyFill="1" applyBorder="1" applyAlignment="1">
      <alignment horizontal="left" vertical="center"/>
    </xf>
    <xf numFmtId="43" fontId="37" fillId="0" borderId="18" xfId="1" applyFont="1" applyFill="1" applyBorder="1" applyAlignment="1">
      <alignment horizontal="left" vertical="center" wrapText="1"/>
    </xf>
    <xf numFmtId="167" fontId="36" fillId="0" borderId="18" xfId="1" applyNumberFormat="1" applyFont="1" applyFill="1" applyBorder="1" applyAlignment="1">
      <alignment horizontal="center" vertical="center" wrapText="1"/>
    </xf>
    <xf numFmtId="167" fontId="36" fillId="0" borderId="18" xfId="1" applyNumberFormat="1" applyFont="1" applyFill="1" applyBorder="1" applyAlignment="1">
      <alignment horizontal="center" vertical="top"/>
    </xf>
    <xf numFmtId="167" fontId="36" fillId="40" borderId="18" xfId="1" applyNumberFormat="1" applyFont="1" applyFill="1" applyBorder="1" applyAlignment="1">
      <alignment horizontal="center" vertical="top"/>
    </xf>
    <xf numFmtId="0" fontId="40" fillId="0" borderId="32" xfId="0" applyFont="1" applyBorder="1" applyAlignment="1">
      <alignment wrapText="1"/>
    </xf>
    <xf numFmtId="0" fontId="40" fillId="0" borderId="0" xfId="0" applyFont="1" applyAlignment="1">
      <alignment wrapText="1"/>
    </xf>
    <xf numFmtId="167" fontId="36" fillId="0" borderId="1" xfId="1" applyNumberFormat="1" applyFont="1" applyFill="1" applyBorder="1" applyAlignment="1">
      <alignment horizontal="center" vertical="top"/>
    </xf>
    <xf numFmtId="43" fontId="36" fillId="0" borderId="3" xfId="1" applyFont="1" applyFill="1" applyBorder="1" applyAlignment="1">
      <alignment horizontal="left" vertical="center"/>
    </xf>
    <xf numFmtId="43" fontId="38" fillId="0" borderId="0" xfId="1" applyFont="1" applyFill="1" applyBorder="1" applyAlignment="1">
      <alignment horizontal="left" vertical="center" wrapText="1"/>
    </xf>
    <xf numFmtId="167" fontId="47" fillId="0" borderId="3" xfId="11" applyNumberFormat="1" applyFont="1" applyFill="1" applyBorder="1" applyAlignment="1">
      <alignment vertical="center"/>
    </xf>
    <xf numFmtId="43" fontId="37" fillId="0" borderId="17" xfId="1" applyFont="1" applyFill="1" applyBorder="1" applyAlignment="1">
      <alignment horizontal="left" vertical="center" wrapText="1"/>
    </xf>
    <xf numFmtId="43" fontId="37" fillId="0" borderId="18" xfId="1" applyFont="1" applyFill="1" applyBorder="1" applyAlignment="1">
      <alignment horizontal="center" vertical="center" wrapText="1"/>
    </xf>
    <xf numFmtId="167" fontId="40" fillId="0" borderId="71" xfId="1" applyNumberFormat="1" applyFont="1" applyFill="1" applyBorder="1" applyAlignment="1">
      <alignment horizontal="center" vertical="top"/>
    </xf>
    <xf numFmtId="0" fontId="36" fillId="0" borderId="16" xfId="0" applyFont="1" applyBorder="1" applyAlignment="1">
      <alignment horizontal="left"/>
    </xf>
    <xf numFmtId="0" fontId="36" fillId="0" borderId="5" xfId="0" applyFont="1" applyBorder="1" applyAlignment="1">
      <alignment horizontal="left"/>
    </xf>
    <xf numFmtId="43" fontId="36" fillId="40" borderId="18" xfId="1" applyFont="1" applyFill="1" applyBorder="1" applyAlignment="1">
      <alignment horizontal="center" vertical="top"/>
    </xf>
    <xf numFmtId="167" fontId="36" fillId="0" borderId="62" xfId="1" applyNumberFormat="1" applyFont="1" applyFill="1" applyBorder="1" applyAlignment="1">
      <alignment wrapText="1"/>
    </xf>
    <xf numFmtId="167" fontId="36" fillId="0" borderId="0" xfId="1" applyNumberFormat="1" applyFont="1" applyFill="1" applyBorder="1" applyAlignment="1">
      <alignment wrapText="1"/>
    </xf>
    <xf numFmtId="0" fontId="36" fillId="0" borderId="62" xfId="1" applyNumberFormat="1" applyFont="1" applyFill="1" applyBorder="1" applyAlignment="1">
      <alignment wrapText="1"/>
    </xf>
    <xf numFmtId="0" fontId="35" fillId="0" borderId="75" xfId="0" applyFont="1" applyBorder="1" applyAlignment="1">
      <alignment wrapText="1"/>
    </xf>
    <xf numFmtId="43" fontId="1" fillId="0" borderId="0" xfId="1" applyFont="1" applyFill="1"/>
    <xf numFmtId="43" fontId="36" fillId="0" borderId="0" xfId="1" applyFont="1" applyFill="1" applyBorder="1" applyAlignment="1">
      <alignment wrapText="1"/>
    </xf>
    <xf numFmtId="0" fontId="36" fillId="0" borderId="0" xfId="1" applyNumberFormat="1" applyFont="1" applyFill="1" applyBorder="1" applyAlignment="1">
      <alignment wrapText="1"/>
    </xf>
    <xf numFmtId="167" fontId="35" fillId="0" borderId="76" xfId="0" applyNumberFormat="1" applyFont="1" applyBorder="1" applyAlignment="1">
      <alignment horizontal="right" vertical="top"/>
    </xf>
    <xf numFmtId="167" fontId="35" fillId="0" borderId="77" xfId="0" applyNumberFormat="1" applyFont="1" applyBorder="1" applyAlignment="1">
      <alignment horizontal="right" vertical="top"/>
    </xf>
    <xf numFmtId="0" fontId="35" fillId="0" borderId="75" xfId="0" applyFont="1" applyBorder="1" applyAlignment="1">
      <alignment horizontal="left" vertical="top" wrapText="1"/>
    </xf>
    <xf numFmtId="0" fontId="40" fillId="0" borderId="71" xfId="0" applyFont="1" applyBorder="1"/>
    <xf numFmtId="0" fontId="36" fillId="0" borderId="2" xfId="0" applyFont="1" applyBorder="1"/>
    <xf numFmtId="167" fontId="42" fillId="0" borderId="62" xfId="1" applyNumberFormat="1" applyFont="1" applyFill="1" applyBorder="1" applyAlignment="1">
      <alignment wrapText="1"/>
    </xf>
    <xf numFmtId="167" fontId="42" fillId="0" borderId="0" xfId="1" applyNumberFormat="1" applyFont="1" applyFill="1" applyBorder="1" applyAlignment="1">
      <alignment wrapText="1"/>
    </xf>
    <xf numFmtId="0" fontId="36" fillId="0" borderId="78" xfId="0" applyFont="1" applyBorder="1"/>
    <xf numFmtId="0" fontId="36" fillId="0" borderId="61" xfId="0" applyFont="1" applyBorder="1"/>
    <xf numFmtId="167" fontId="36" fillId="0" borderId="38" xfId="1" applyNumberFormat="1" applyFont="1" applyFill="1" applyBorder="1" applyAlignment="1">
      <alignment horizontal="right" vertical="top"/>
    </xf>
    <xf numFmtId="167" fontId="36" fillId="0" borderId="71" xfId="1" applyNumberFormat="1" applyFont="1" applyFill="1" applyBorder="1" applyAlignment="1">
      <alignment horizontal="right" vertical="top"/>
    </xf>
    <xf numFmtId="0" fontId="39" fillId="0" borderId="79" xfId="0" applyFont="1" applyBorder="1"/>
    <xf numFmtId="167" fontId="39" fillId="40" borderId="79" xfId="0" applyNumberFormat="1" applyFont="1" applyFill="1" applyBorder="1"/>
    <xf numFmtId="167" fontId="40" fillId="38" borderId="65" xfId="1" applyNumberFormat="1" applyFont="1" applyFill="1" applyBorder="1" applyAlignment="1">
      <alignment horizontal="right" vertical="top"/>
    </xf>
    <xf numFmtId="167" fontId="40" fillId="0" borderId="0" xfId="0" applyNumberFormat="1" applyFont="1" applyAlignment="1">
      <alignment wrapText="1"/>
    </xf>
    <xf numFmtId="0" fontId="39" fillId="0" borderId="0" xfId="0" applyFont="1" applyAlignment="1">
      <alignment horizontal="left"/>
    </xf>
    <xf numFmtId="167" fontId="40" fillId="0" borderId="0" xfId="1" applyNumberFormat="1" applyFont="1" applyFill="1" applyBorder="1" applyAlignment="1">
      <alignment horizontal="right" vertical="top"/>
    </xf>
    <xf numFmtId="0" fontId="40" fillId="0" borderId="0" xfId="0" applyFont="1" applyAlignment="1">
      <alignment horizontal="center"/>
    </xf>
    <xf numFmtId="0" fontId="37" fillId="43" borderId="80" xfId="0" applyFont="1" applyFill="1" applyBorder="1" applyAlignment="1">
      <alignment horizontal="left" vertical="center"/>
    </xf>
    <xf numFmtId="0" fontId="37" fillId="43" borderId="81" xfId="0" applyFont="1" applyFill="1" applyBorder="1" applyAlignment="1">
      <alignment horizontal="left" vertical="center"/>
    </xf>
    <xf numFmtId="0" fontId="37" fillId="43" borderId="73" xfId="0" applyFont="1" applyFill="1" applyBorder="1" applyAlignment="1">
      <alignment horizontal="left" vertical="center"/>
    </xf>
    <xf numFmtId="0" fontId="38" fillId="43" borderId="80" xfId="0" applyFont="1" applyFill="1" applyBorder="1"/>
    <xf numFmtId="0" fontId="38" fillId="43" borderId="81" xfId="0" applyFont="1" applyFill="1" applyBorder="1"/>
    <xf numFmtId="0" fontId="37" fillId="43" borderId="4" xfId="0" applyFont="1" applyFill="1" applyBorder="1"/>
    <xf numFmtId="167" fontId="38" fillId="43" borderId="3" xfId="0" applyNumberFormat="1" applyFont="1" applyFill="1" applyBorder="1" applyAlignment="1">
      <alignment horizontal="center"/>
    </xf>
    <xf numFmtId="167" fontId="40" fillId="38" borderId="79" xfId="0" applyNumberFormat="1" applyFont="1" applyFill="1" applyBorder="1" applyAlignment="1">
      <alignment horizontal="center"/>
    </xf>
    <xf numFmtId="167" fontId="40" fillId="0" borderId="0" xfId="0" applyNumberFormat="1" applyFont="1" applyAlignment="1">
      <alignment horizontal="center"/>
    </xf>
    <xf numFmtId="0" fontId="36" fillId="0" borderId="66" xfId="0" applyFont="1" applyBorder="1"/>
    <xf numFmtId="0" fontId="36" fillId="0" borderId="16" xfId="0" applyFont="1" applyBorder="1" applyAlignment="1">
      <alignment wrapText="1"/>
    </xf>
    <xf numFmtId="176" fontId="36" fillId="2" borderId="1" xfId="0" applyNumberFormat="1" applyFont="1" applyFill="1" applyBorder="1" applyAlignment="1">
      <alignment horizontal="right" vertical="center"/>
    </xf>
    <xf numFmtId="167" fontId="36" fillId="0" borderId="3" xfId="1" applyNumberFormat="1" applyFont="1" applyFill="1" applyBorder="1"/>
    <xf numFmtId="167" fontId="40" fillId="38" borderId="82" xfId="1" applyNumberFormat="1" applyFont="1" applyFill="1" applyBorder="1" applyAlignment="1">
      <alignment horizontal="right" vertical="top"/>
    </xf>
    <xf numFmtId="0" fontId="36" fillId="0" borderId="19" xfId="0" applyFont="1" applyBorder="1" applyAlignment="1">
      <alignment wrapText="1"/>
    </xf>
    <xf numFmtId="0" fontId="36" fillId="2" borderId="1" xfId="0" applyFont="1" applyFill="1" applyBorder="1" applyAlignment="1">
      <alignment horizontal="center"/>
    </xf>
    <xf numFmtId="0" fontId="36" fillId="0" borderId="66" xfId="0" applyFont="1" applyBorder="1" applyAlignment="1">
      <alignment wrapText="1"/>
    </xf>
    <xf numFmtId="167" fontId="35" fillId="0" borderId="19" xfId="0" applyNumberFormat="1" applyFont="1" applyBorder="1" applyAlignment="1">
      <alignment wrapText="1"/>
    </xf>
    <xf numFmtId="0" fontId="35" fillId="2" borderId="1" xfId="0" applyFont="1" applyFill="1" applyBorder="1" applyAlignment="1">
      <alignment horizontal="center"/>
    </xf>
    <xf numFmtId="167" fontId="35" fillId="0" borderId="16" xfId="0" applyNumberFormat="1" applyFont="1" applyBorder="1"/>
    <xf numFmtId="167" fontId="36" fillId="0" borderId="16" xfId="0" applyNumberFormat="1" applyFont="1" applyBorder="1"/>
    <xf numFmtId="0" fontId="36" fillId="0" borderId="1" xfId="0" applyFont="1" applyBorder="1" applyAlignment="1">
      <alignment horizontal="center"/>
    </xf>
    <xf numFmtId="0" fontId="35" fillId="0" borderId="1" xfId="0" applyFont="1" applyBorder="1" applyAlignment="1">
      <alignment horizontal="center"/>
    </xf>
    <xf numFmtId="0" fontId="35" fillId="0" borderId="16" xfId="0" applyFont="1" applyBorder="1"/>
    <xf numFmtId="167" fontId="48" fillId="0" borderId="0" xfId="0" applyNumberFormat="1" applyFont="1"/>
    <xf numFmtId="167" fontId="48" fillId="0" borderId="0" xfId="0" applyNumberFormat="1" applyFont="1" applyAlignment="1">
      <alignment vertical="top" wrapText="1"/>
    </xf>
    <xf numFmtId="167" fontId="35" fillId="0" borderId="16" xfId="0" applyNumberFormat="1" applyFont="1" applyBorder="1" applyAlignment="1">
      <alignment horizontal="right"/>
    </xf>
    <xf numFmtId="167" fontId="49" fillId="0" borderId="0" xfId="0" applyNumberFormat="1" applyFont="1"/>
    <xf numFmtId="167" fontId="35" fillId="0" borderId="3" xfId="0" applyNumberFormat="1" applyFont="1" applyBorder="1"/>
    <xf numFmtId="167" fontId="35" fillId="0" borderId="19" xfId="0" applyNumberFormat="1" applyFont="1" applyBorder="1"/>
    <xf numFmtId="167" fontId="36" fillId="0" borderId="5" xfId="0" applyNumberFormat="1" applyFont="1" applyBorder="1"/>
    <xf numFmtId="167" fontId="36" fillId="0" borderId="3" xfId="0" applyNumberFormat="1" applyFont="1" applyBorder="1"/>
    <xf numFmtId="167" fontId="40" fillId="38" borderId="35" xfId="1" applyNumberFormat="1" applyFont="1" applyFill="1" applyBorder="1" applyAlignment="1">
      <alignment horizontal="right" vertical="top"/>
    </xf>
    <xf numFmtId="167" fontId="46" fillId="0" borderId="0" xfId="1" applyNumberFormat="1" applyFont="1" applyFill="1" applyBorder="1" applyAlignment="1">
      <alignment horizontal="left" vertical="top" wrapText="1"/>
    </xf>
    <xf numFmtId="176" fontId="36" fillId="0" borderId="0" xfId="0" applyNumberFormat="1" applyFont="1"/>
    <xf numFmtId="0" fontId="39" fillId="38" borderId="63" xfId="0" applyFont="1" applyFill="1" applyBorder="1" applyAlignment="1">
      <alignment horizontal="left"/>
    </xf>
    <xf numFmtId="0" fontId="39" fillId="38" borderId="64" xfId="0" applyFont="1" applyFill="1" applyBorder="1" applyAlignment="1">
      <alignment horizontal="left"/>
    </xf>
    <xf numFmtId="0" fontId="39" fillId="38" borderId="41" xfId="0" applyFont="1" applyFill="1" applyBorder="1" applyAlignment="1">
      <alignment horizontal="left"/>
    </xf>
    <xf numFmtId="167" fontId="39" fillId="44" borderId="38" xfId="0" applyNumberFormat="1" applyFont="1" applyFill="1" applyBorder="1"/>
    <xf numFmtId="167" fontId="40" fillId="38" borderId="83" xfId="0" applyNumberFormat="1" applyFont="1" applyFill="1" applyBorder="1"/>
    <xf numFmtId="0" fontId="35" fillId="0" borderId="71" xfId="0" applyFont="1" applyBorder="1"/>
    <xf numFmtId="167" fontId="37" fillId="43" borderId="84" xfId="0" applyNumberFormat="1" applyFont="1" applyFill="1" applyBorder="1" applyAlignment="1">
      <alignment horizontal="center"/>
    </xf>
    <xf numFmtId="167" fontId="40" fillId="38" borderId="84" xfId="0" applyNumberFormat="1" applyFont="1" applyFill="1" applyBorder="1" applyAlignment="1">
      <alignment horizontal="center"/>
    </xf>
    <xf numFmtId="0" fontId="37" fillId="43" borderId="80" xfId="0" applyFont="1" applyFill="1" applyBorder="1"/>
    <xf numFmtId="0" fontId="37" fillId="43" borderId="81" xfId="0" applyFont="1" applyFill="1" applyBorder="1"/>
    <xf numFmtId="0" fontId="37" fillId="43" borderId="84" xfId="0" applyFont="1" applyFill="1" applyBorder="1" applyAlignment="1">
      <alignment horizontal="center"/>
    </xf>
    <xf numFmtId="0" fontId="36" fillId="0" borderId="5" xfId="0" applyFont="1" applyBorder="1" applyAlignment="1">
      <alignment wrapText="1"/>
    </xf>
    <xf numFmtId="167" fontId="39" fillId="0" borderId="0" xfId="0" applyNumberFormat="1" applyFont="1" applyAlignment="1">
      <alignment wrapText="1"/>
    </xf>
    <xf numFmtId="0" fontId="42" fillId="0" borderId="0" xfId="0" applyFont="1"/>
    <xf numFmtId="43" fontId="42" fillId="0" borderId="0" xfId="0" applyNumberFormat="1" applyFont="1"/>
    <xf numFmtId="0" fontId="35" fillId="0" borderId="0" xfId="0" applyFont="1" applyAlignment="1">
      <alignment horizontal="center"/>
    </xf>
    <xf numFmtId="0" fontId="36" fillId="0" borderId="5" xfId="0" applyFont="1" applyBorder="1" applyAlignment="1">
      <alignment horizontal="left" vertical="top" wrapText="1"/>
    </xf>
    <xf numFmtId="0" fontId="36" fillId="0" borderId="85" xfId="0" applyFont="1" applyBorder="1" applyAlignment="1">
      <alignment wrapText="1"/>
    </xf>
    <xf numFmtId="0" fontId="36" fillId="0" borderId="59" xfId="0" applyFont="1" applyBorder="1"/>
    <xf numFmtId="167" fontId="36" fillId="0" borderId="59" xfId="0" applyNumberFormat="1" applyFont="1" applyBorder="1"/>
    <xf numFmtId="0" fontId="36" fillId="0" borderId="20" xfId="0" applyFont="1" applyBorder="1" applyAlignment="1">
      <alignment wrapText="1"/>
    </xf>
    <xf numFmtId="0" fontId="36" fillId="0" borderId="0" xfId="0" applyFont="1" applyAlignment="1">
      <alignment horizontal="center" vertical="top" wrapText="1"/>
    </xf>
    <xf numFmtId="0" fontId="39" fillId="38" borderId="37" xfId="0" applyFont="1" applyFill="1" applyBorder="1" applyAlignment="1">
      <alignment horizontal="left" vertical="center" wrapText="1"/>
    </xf>
    <xf numFmtId="0" fontId="39" fillId="38" borderId="38" xfId="0" applyFont="1" applyFill="1" applyBorder="1" applyAlignment="1">
      <alignment horizontal="left" vertical="center" wrapText="1"/>
    </xf>
    <xf numFmtId="167" fontId="35" fillId="38" borderId="38" xfId="1" applyNumberFormat="1" applyFont="1" applyFill="1" applyBorder="1"/>
    <xf numFmtId="167" fontId="36" fillId="0" borderId="71" xfId="0" applyNumberFormat="1" applyFont="1" applyBorder="1" applyAlignment="1">
      <alignment vertical="top"/>
    </xf>
    <xf numFmtId="0" fontId="35" fillId="45" borderId="0" xfId="0" applyFont="1" applyFill="1" applyAlignment="1">
      <alignment vertical="top" wrapText="1"/>
    </xf>
    <xf numFmtId="0" fontId="35" fillId="45" borderId="71" xfId="0" applyFont="1" applyFill="1" applyBorder="1" applyAlignment="1">
      <alignment vertical="top" wrapText="1"/>
    </xf>
    <xf numFmtId="0" fontId="39" fillId="0" borderId="86" xfId="0" applyFont="1" applyBorder="1" applyAlignment="1">
      <alignment vertical="top" wrapText="1"/>
    </xf>
    <xf numFmtId="43" fontId="35" fillId="0" borderId="84" xfId="7" applyFont="1" applyBorder="1" applyAlignment="1">
      <alignment vertical="top" wrapText="1"/>
    </xf>
    <xf numFmtId="0" fontId="35" fillId="0" borderId="84" xfId="0" applyFont="1" applyBorder="1" applyAlignment="1">
      <alignment vertical="top" wrapText="1"/>
    </xf>
    <xf numFmtId="0" fontId="39" fillId="0" borderId="84" xfId="0" applyFont="1" applyBorder="1" applyAlignment="1">
      <alignment horizontal="right" vertical="top" wrapText="1"/>
    </xf>
    <xf numFmtId="167" fontId="39" fillId="0" borderId="87" xfId="0" applyNumberFormat="1" applyFont="1" applyBorder="1" applyAlignment="1">
      <alignment vertical="top" wrapText="1"/>
    </xf>
    <xf numFmtId="167" fontId="39" fillId="42" borderId="84" xfId="0" applyNumberFormat="1" applyFont="1" applyFill="1" applyBorder="1" applyAlignment="1">
      <alignment vertical="top" wrapText="1"/>
    </xf>
    <xf numFmtId="167" fontId="39" fillId="0" borderId="0" xfId="0" applyNumberFormat="1" applyFont="1" applyAlignment="1">
      <alignment vertical="top" wrapText="1"/>
    </xf>
    <xf numFmtId="0" fontId="50" fillId="0" borderId="0" xfId="0" applyFont="1" applyAlignment="1">
      <alignment horizontal="center"/>
    </xf>
    <xf numFmtId="0" fontId="35" fillId="0" borderId="37" xfId="0" applyFont="1" applyBorder="1" applyAlignment="1">
      <alignment vertical="top" wrapText="1"/>
    </xf>
    <xf numFmtId="43" fontId="35" fillId="0" borderId="38" xfId="7" applyFont="1" applyBorder="1" applyAlignment="1">
      <alignment vertical="top" wrapText="1"/>
    </xf>
    <xf numFmtId="0" fontId="35" fillId="0" borderId="38" xfId="0" applyFont="1" applyBorder="1" applyAlignment="1">
      <alignment vertical="top" wrapText="1"/>
    </xf>
    <xf numFmtId="0" fontId="39" fillId="0" borderId="38" xfId="0" applyFont="1" applyBorder="1" applyAlignment="1">
      <alignment horizontal="right" vertical="top" wrapText="1"/>
    </xf>
    <xf numFmtId="167" fontId="40" fillId="0" borderId="40" xfId="0" applyNumberFormat="1" applyFont="1" applyBorder="1" applyAlignment="1">
      <alignment vertical="top" wrapText="1"/>
    </xf>
    <xf numFmtId="167" fontId="40" fillId="42" borderId="38" xfId="0" applyNumberFormat="1" applyFont="1" applyFill="1" applyBorder="1" applyAlignment="1">
      <alignment vertical="top" wrapText="1"/>
    </xf>
    <xf numFmtId="167" fontId="40" fillId="0" borderId="0" xfId="0" applyNumberFormat="1" applyFont="1" applyAlignment="1">
      <alignment vertical="top" wrapText="1"/>
    </xf>
    <xf numFmtId="43" fontId="36" fillId="0" borderId="0" xfId="0" applyNumberFormat="1" applyFont="1"/>
    <xf numFmtId="0" fontId="39" fillId="28" borderId="0" xfId="0" applyFont="1" applyFill="1" applyAlignment="1">
      <alignment horizontal="right"/>
    </xf>
    <xf numFmtId="0" fontId="39" fillId="0" borderId="0" xfId="0" applyFont="1" applyAlignment="1">
      <alignment vertical="top" wrapText="1"/>
    </xf>
    <xf numFmtId="0" fontId="39" fillId="0" borderId="1" xfId="0" applyFont="1" applyBorder="1" applyAlignment="1">
      <alignment horizontal="center" vertical="top" wrapText="1"/>
    </xf>
    <xf numFmtId="167" fontId="40" fillId="0" borderId="1" xfId="0" applyNumberFormat="1" applyFont="1" applyBorder="1" applyAlignment="1">
      <alignment vertical="top" wrapText="1"/>
    </xf>
    <xf numFmtId="43" fontId="37" fillId="0" borderId="0" xfId="0" applyNumberFormat="1" applyFont="1" applyAlignment="1">
      <alignment vertical="top" wrapText="1"/>
    </xf>
    <xf numFmtId="167" fontId="36" fillId="0" borderId="0" xfId="1" applyNumberFormat="1" applyFont="1" applyFill="1" applyAlignment="1">
      <alignment vertical="top" wrapText="1"/>
    </xf>
    <xf numFmtId="0" fontId="39" fillId="0" borderId="1" xfId="0" quotePrefix="1" applyFont="1" applyBorder="1" applyAlignment="1">
      <alignment horizontal="center" vertical="top" wrapText="1"/>
    </xf>
    <xf numFmtId="0" fontId="37" fillId="0" borderId="0" xfId="0" applyFont="1" applyAlignment="1">
      <alignment vertical="top" wrapText="1"/>
    </xf>
    <xf numFmtId="0" fontId="39" fillId="0" borderId="59" xfId="0" applyFont="1" applyBorder="1" applyAlignment="1">
      <alignment horizontal="center" vertical="top" wrapText="1"/>
    </xf>
    <xf numFmtId="167" fontId="40" fillId="0" borderId="59" xfId="0" applyNumberFormat="1" applyFont="1" applyBorder="1" applyAlignment="1">
      <alignment vertical="top" wrapText="1"/>
    </xf>
    <xf numFmtId="43" fontId="37" fillId="0" borderId="0" xfId="1" applyFont="1" applyAlignment="1">
      <alignment vertical="top" wrapText="1"/>
    </xf>
    <xf numFmtId="167" fontId="40" fillId="0" borderId="65" xfId="0" applyNumberFormat="1" applyFont="1" applyBorder="1" applyAlignment="1">
      <alignment vertical="top" wrapText="1"/>
    </xf>
    <xf numFmtId="167" fontId="37" fillId="0" borderId="0" xfId="1" applyNumberFormat="1" applyFont="1" applyAlignment="1">
      <alignment vertical="top" wrapText="1"/>
    </xf>
    <xf numFmtId="180" fontId="30" fillId="0" borderId="0" xfId="0" applyNumberFormat="1" applyFont="1"/>
    <xf numFmtId="180" fontId="0" fillId="0" borderId="0" xfId="0" applyNumberFormat="1"/>
    <xf numFmtId="0" fontId="3" fillId="38" borderId="17" xfId="0" applyFont="1" applyFill="1" applyBorder="1" applyAlignment="1">
      <alignment horizontal="center"/>
    </xf>
    <xf numFmtId="0" fontId="52" fillId="0" borderId="0" xfId="0" applyFont="1"/>
    <xf numFmtId="0" fontId="52" fillId="0" borderId="0" xfId="0" applyFont="1" applyAlignment="1">
      <alignment wrapText="1"/>
    </xf>
    <xf numFmtId="178" fontId="53" fillId="2" borderId="0" xfId="1" applyNumberFormat="1" applyFont="1" applyFill="1" applyAlignment="1">
      <alignment vertical="top" wrapText="1"/>
    </xf>
    <xf numFmtId="0" fontId="54" fillId="0" borderId="0" xfId="0" applyFont="1" applyAlignment="1">
      <alignment wrapText="1"/>
    </xf>
    <xf numFmtId="178" fontId="52" fillId="2" borderId="0" xfId="1" applyNumberFormat="1" applyFont="1" applyFill="1" applyAlignment="1">
      <alignment vertical="top" wrapText="1"/>
    </xf>
    <xf numFmtId="167" fontId="55" fillId="0" borderId="1" xfId="0" applyNumberFormat="1" applyFont="1" applyBorder="1" applyAlignment="1">
      <alignment wrapText="1"/>
    </xf>
    <xf numFmtId="0" fontId="55" fillId="0" borderId="1" xfId="0" applyFont="1" applyBorder="1"/>
    <xf numFmtId="0" fontId="55" fillId="0" borderId="0" xfId="0" applyFont="1"/>
    <xf numFmtId="43" fontId="55" fillId="0" borderId="1" xfId="0" applyNumberFormat="1" applyFont="1" applyBorder="1"/>
    <xf numFmtId="167" fontId="53" fillId="38" borderId="1" xfId="1" applyNumberFormat="1" applyFont="1" applyFill="1" applyBorder="1" applyAlignment="1">
      <alignment vertical="top"/>
    </xf>
    <xf numFmtId="0" fontId="52" fillId="0" borderId="1" xfId="0" applyFont="1" applyBorder="1"/>
    <xf numFmtId="167" fontId="55" fillId="0" borderId="1" xfId="0" applyNumberFormat="1" applyFont="1" applyBorder="1"/>
    <xf numFmtId="0" fontId="0" fillId="2" borderId="1" xfId="0" applyFill="1" applyBorder="1"/>
    <xf numFmtId="164" fontId="0" fillId="0" borderId="0" xfId="0" applyNumberFormat="1"/>
    <xf numFmtId="175" fontId="30" fillId="0" borderId="0" xfId="0" applyNumberFormat="1" applyFont="1"/>
    <xf numFmtId="180" fontId="3" fillId="0" borderId="0" xfId="0" applyNumberFormat="1" applyFont="1"/>
    <xf numFmtId="175" fontId="3" fillId="0" borderId="0" xfId="0" applyNumberFormat="1" applyFont="1"/>
    <xf numFmtId="3" fontId="3" fillId="23" borderId="21" xfId="0" applyNumberFormat="1" applyFont="1" applyFill="1" applyBorder="1" applyAlignment="1">
      <alignment wrapText="1"/>
    </xf>
    <xf numFmtId="3" fontId="3" fillId="23" borderId="59" xfId="0" applyNumberFormat="1" applyFont="1" applyFill="1" applyBorder="1" applyAlignment="1">
      <alignment wrapText="1"/>
    </xf>
    <xf numFmtId="3" fontId="3" fillId="23" borderId="3" xfId="0" applyNumberFormat="1" applyFont="1" applyFill="1" applyBorder="1" applyAlignment="1">
      <alignment horizontal="center" wrapText="1"/>
    </xf>
    <xf numFmtId="0" fontId="3" fillId="31" borderId="21" xfId="0" applyFont="1" applyFill="1" applyBorder="1" applyAlignment="1">
      <alignment wrapText="1"/>
    </xf>
    <xf numFmtId="1" fontId="3" fillId="0" borderId="58" xfId="0" applyNumberFormat="1" applyFont="1" applyBorder="1" applyAlignment="1">
      <alignment horizontal="center"/>
    </xf>
    <xf numFmtId="0" fontId="3" fillId="0" borderId="58" xfId="0" applyFont="1" applyBorder="1" applyAlignment="1">
      <alignment wrapText="1"/>
    </xf>
    <xf numFmtId="3" fontId="3" fillId="23" borderId="19" xfId="0" applyNumberFormat="1" applyFont="1" applyFill="1" applyBorder="1" applyAlignment="1">
      <alignment horizontal="center" wrapText="1"/>
    </xf>
    <xf numFmtId="3" fontId="3" fillId="23" borderId="21" xfId="0" applyNumberFormat="1" applyFont="1" applyFill="1" applyBorder="1" applyAlignment="1">
      <alignment horizontal="center" wrapText="1"/>
    </xf>
    <xf numFmtId="175" fontId="19" fillId="0" borderId="0" xfId="0" applyNumberFormat="1" applyFont="1"/>
    <xf numFmtId="182" fontId="3" fillId="0" borderId="0" xfId="0" applyNumberFormat="1" applyFont="1"/>
    <xf numFmtId="3" fontId="56" fillId="0" borderId="0" xfId="0" applyNumberFormat="1" applyFont="1"/>
    <xf numFmtId="3" fontId="3" fillId="23" borderId="60" xfId="0" applyNumberFormat="1" applyFont="1" applyFill="1" applyBorder="1" applyAlignment="1">
      <alignment wrapText="1"/>
    </xf>
    <xf numFmtId="0" fontId="57" fillId="0" borderId="0" xfId="0" applyFont="1" applyAlignment="1">
      <alignment horizontal="right" vertical="center"/>
    </xf>
    <xf numFmtId="167" fontId="40" fillId="0" borderId="0" xfId="0" applyNumberFormat="1" applyFont="1" applyAlignment="1">
      <alignment vertical="top"/>
    </xf>
    <xf numFmtId="3" fontId="3" fillId="23" borderId="1" xfId="0" applyNumberFormat="1" applyFont="1" applyFill="1" applyBorder="1" applyAlignment="1">
      <alignment horizontal="center" wrapText="1"/>
    </xf>
    <xf numFmtId="3" fontId="3" fillId="33" borderId="71" xfId="0" applyNumberFormat="1" applyFont="1" applyFill="1" applyBorder="1" applyAlignment="1">
      <alignment horizontal="center" wrapText="1"/>
    </xf>
    <xf numFmtId="167" fontId="55" fillId="0" borderId="1" xfId="0" applyNumberFormat="1" applyFont="1" applyBorder="1" applyAlignment="1">
      <alignment horizontal="left"/>
    </xf>
    <xf numFmtId="43" fontId="55" fillId="0" borderId="1" xfId="0" applyNumberFormat="1" applyFont="1" applyBorder="1" applyAlignment="1">
      <alignment horizontal="left"/>
    </xf>
    <xf numFmtId="43" fontId="52" fillId="0" borderId="1" xfId="0" applyNumberFormat="1" applyFont="1" applyBorder="1" applyAlignment="1">
      <alignment horizontal="left"/>
    </xf>
    <xf numFmtId="174" fontId="0" fillId="0" borderId="0" xfId="0" applyNumberFormat="1"/>
    <xf numFmtId="3" fontId="0" fillId="33" borderId="0" xfId="0" applyNumberFormat="1" applyFill="1" applyAlignment="1">
      <alignment horizontal="center" wrapText="1"/>
    </xf>
    <xf numFmtId="3" fontId="3" fillId="39" borderId="2" xfId="0" applyNumberFormat="1" applyFont="1" applyFill="1" applyBorder="1" applyAlignment="1">
      <alignment wrapText="1"/>
    </xf>
    <xf numFmtId="175" fontId="3" fillId="31" borderId="60" xfId="0" applyNumberFormat="1" applyFont="1" applyFill="1" applyBorder="1" applyAlignment="1">
      <alignment horizontal="center" wrapText="1"/>
    </xf>
    <xf numFmtId="3" fontId="3" fillId="31" borderId="1" xfId="0" applyNumberFormat="1" applyFont="1" applyFill="1" applyBorder="1" applyAlignment="1">
      <alignment horizontal="center" wrapText="1"/>
    </xf>
    <xf numFmtId="174" fontId="30" fillId="0" borderId="0" xfId="0" applyNumberFormat="1" applyFont="1"/>
    <xf numFmtId="173" fontId="30" fillId="0" borderId="0" xfId="0" applyNumberFormat="1" applyFont="1"/>
    <xf numFmtId="3" fontId="30" fillId="0" borderId="60" xfId="0" applyNumberFormat="1" applyFont="1" applyBorder="1" applyAlignment="1">
      <alignment horizontal="center" wrapText="1"/>
    </xf>
    <xf numFmtId="0" fontId="52" fillId="0" borderId="1" xfId="0" applyFont="1" applyBorder="1" applyAlignment="1">
      <alignment horizontal="center" wrapText="1"/>
    </xf>
    <xf numFmtId="167" fontId="52" fillId="0" borderId="1" xfId="1" applyNumberFormat="1" applyFont="1" applyBorder="1" applyAlignment="1">
      <alignment horizontal="center" wrapText="1"/>
    </xf>
    <xf numFmtId="0" fontId="52" fillId="0" borderId="0" xfId="0" applyFont="1" applyAlignment="1">
      <alignment horizontal="center" wrapText="1"/>
    </xf>
    <xf numFmtId="0" fontId="52" fillId="46" borderId="0" xfId="0" applyFont="1" applyFill="1" applyAlignment="1">
      <alignment wrapText="1"/>
    </xf>
    <xf numFmtId="167" fontId="53" fillId="0" borderId="1" xfId="0" applyNumberFormat="1" applyFont="1" applyBorder="1" applyAlignment="1">
      <alignment horizontal="left"/>
    </xf>
    <xf numFmtId="167" fontId="54" fillId="0" borderId="1" xfId="1" applyNumberFormat="1" applyFont="1" applyBorder="1" applyAlignment="1">
      <alignment wrapText="1"/>
    </xf>
    <xf numFmtId="167" fontId="54" fillId="0" borderId="1" xfId="0" applyNumberFormat="1" applyFont="1" applyBorder="1" applyAlignment="1">
      <alignment horizontal="left"/>
    </xf>
    <xf numFmtId="167" fontId="55" fillId="0" borderId="1" xfId="1" applyNumberFormat="1" applyFont="1" applyBorder="1"/>
    <xf numFmtId="0" fontId="53" fillId="0" borderId="0" xfId="0" applyFont="1" applyAlignment="1">
      <alignment wrapText="1"/>
    </xf>
    <xf numFmtId="9" fontId="54" fillId="0" borderId="0" xfId="14" applyFont="1" applyAlignment="1">
      <alignment horizontal="center" wrapText="1"/>
    </xf>
    <xf numFmtId="167" fontId="52" fillId="0" borderId="1" xfId="0" applyNumberFormat="1" applyFont="1" applyBorder="1" applyAlignment="1">
      <alignment horizontal="left"/>
    </xf>
    <xf numFmtId="167" fontId="52" fillId="0" borderId="1" xfId="1" applyNumberFormat="1" applyFont="1" applyBorder="1"/>
    <xf numFmtId="167" fontId="55" fillId="0" borderId="1" xfId="1" applyNumberFormat="1" applyFont="1" applyBorder="1" applyAlignment="1">
      <alignment wrapText="1"/>
    </xf>
    <xf numFmtId="167" fontId="55" fillId="42" borderId="1" xfId="0" applyNumberFormat="1" applyFont="1" applyFill="1" applyBorder="1" applyAlignment="1">
      <alignment wrapText="1"/>
    </xf>
    <xf numFmtId="167" fontId="55" fillId="42" borderId="1" xfId="1" applyNumberFormat="1" applyFont="1" applyFill="1" applyBorder="1"/>
    <xf numFmtId="9" fontId="54" fillId="0" borderId="0" xfId="14" applyFont="1" applyFill="1" applyAlignment="1">
      <alignment horizontal="center" wrapText="1"/>
    </xf>
    <xf numFmtId="164" fontId="52" fillId="0" borderId="0" xfId="0" applyNumberFormat="1" applyFont="1"/>
    <xf numFmtId="178" fontId="52" fillId="2" borderId="0" xfId="15" applyNumberFormat="1" applyFont="1" applyFill="1" applyAlignment="1">
      <alignment vertical="top" wrapText="1"/>
    </xf>
    <xf numFmtId="167" fontId="54" fillId="0" borderId="1" xfId="1" applyNumberFormat="1" applyFont="1" applyFill="1" applyBorder="1" applyAlignment="1">
      <alignment vertical="top"/>
    </xf>
    <xf numFmtId="167" fontId="53" fillId="0" borderId="1" xfId="1" applyNumberFormat="1" applyFont="1" applyFill="1" applyBorder="1" applyAlignment="1">
      <alignment vertical="top"/>
    </xf>
    <xf numFmtId="0" fontId="52" fillId="42" borderId="0" xfId="0" applyFont="1" applyFill="1" applyAlignment="1">
      <alignment vertical="top" wrapText="1"/>
    </xf>
    <xf numFmtId="43" fontId="55" fillId="0" borderId="1" xfId="1" applyFont="1" applyBorder="1" applyAlignment="1">
      <alignment vertical="center"/>
    </xf>
    <xf numFmtId="0" fontId="3" fillId="47" borderId="1" xfId="0" applyFont="1" applyFill="1" applyBorder="1"/>
    <xf numFmtId="43" fontId="3" fillId="47" borderId="1" xfId="1" applyFont="1" applyFill="1" applyBorder="1"/>
    <xf numFmtId="43" fontId="0" fillId="0" borderId="0" xfId="1" applyFont="1"/>
    <xf numFmtId="43" fontId="3" fillId="0" borderId="0" xfId="1" applyFont="1" applyFill="1"/>
    <xf numFmtId="164" fontId="3" fillId="47" borderId="1" xfId="0" applyNumberFormat="1" applyFont="1" applyFill="1" applyBorder="1"/>
    <xf numFmtId="167" fontId="3" fillId="47" borderId="1" xfId="1" applyNumberFormat="1" applyFont="1" applyFill="1" applyBorder="1"/>
    <xf numFmtId="164" fontId="3" fillId="47" borderId="1" xfId="0" applyNumberFormat="1" applyFont="1" applyFill="1" applyBorder="1" applyAlignment="1">
      <alignment horizontal="right"/>
    </xf>
    <xf numFmtId="9" fontId="0" fillId="0" borderId="0" xfId="14" applyFont="1"/>
    <xf numFmtId="2" fontId="3" fillId="47" borderId="1" xfId="0" applyNumberFormat="1" applyFont="1" applyFill="1" applyBorder="1" applyAlignment="1">
      <alignment horizontal="right"/>
    </xf>
    <xf numFmtId="0" fontId="1" fillId="0" borderId="0" xfId="0" applyFont="1"/>
    <xf numFmtId="167" fontId="0" fillId="0" borderId="0" xfId="1" applyNumberFormat="1" applyFont="1"/>
    <xf numFmtId="0" fontId="58" fillId="0" borderId="0" xfId="0" applyFont="1"/>
    <xf numFmtId="0" fontId="58" fillId="0" borderId="0" xfId="0" applyFont="1" applyAlignment="1">
      <alignment horizontal="center"/>
    </xf>
    <xf numFmtId="0" fontId="59" fillId="0" borderId="1" xfId="0" applyFont="1" applyBorder="1"/>
    <xf numFmtId="0" fontId="59" fillId="0" borderId="1" xfId="0" applyFont="1" applyBorder="1" applyAlignment="1">
      <alignment wrapText="1"/>
    </xf>
    <xf numFmtId="0" fontId="58" fillId="0" borderId="1" xfId="0" applyFont="1" applyBorder="1"/>
    <xf numFmtId="0" fontId="58" fillId="0" borderId="1" xfId="0" applyFont="1" applyBorder="1" applyAlignment="1">
      <alignment wrapText="1"/>
    </xf>
    <xf numFmtId="0" fontId="60" fillId="0" borderId="1" xfId="0" applyFont="1" applyBorder="1"/>
    <xf numFmtId="2" fontId="60" fillId="0" borderId="1" xfId="0" applyNumberFormat="1" applyFont="1" applyBorder="1"/>
    <xf numFmtId="0" fontId="58" fillId="0" borderId="1" xfId="0" applyFont="1" applyBorder="1" applyAlignment="1">
      <alignment vertical="center"/>
    </xf>
    <xf numFmtId="0" fontId="58" fillId="0" borderId="1" xfId="0" applyFont="1" applyBorder="1" applyAlignment="1">
      <alignment vertical="center" wrapText="1"/>
    </xf>
    <xf numFmtId="167" fontId="61" fillId="0" borderId="1" xfId="1" applyNumberFormat="1" applyFont="1" applyFill="1" applyBorder="1" applyAlignment="1">
      <alignment wrapText="1"/>
    </xf>
    <xf numFmtId="0" fontId="62" fillId="0" borderId="0" xfId="0" applyFont="1"/>
    <xf numFmtId="167" fontId="61" fillId="2" borderId="1" xfId="1" applyNumberFormat="1" applyFont="1" applyFill="1" applyBorder="1" applyAlignment="1">
      <alignment wrapText="1"/>
    </xf>
    <xf numFmtId="2" fontId="58" fillId="0" borderId="1" xfId="0" applyNumberFormat="1" applyFont="1" applyBorder="1"/>
    <xf numFmtId="9" fontId="58" fillId="0" borderId="1" xfId="14" applyFont="1" applyBorder="1" applyAlignment="1">
      <alignment horizontal="center" vertical="center" wrapText="1"/>
    </xf>
    <xf numFmtId="168" fontId="58" fillId="0" borderId="1" xfId="14" applyNumberFormat="1" applyFont="1" applyBorder="1" applyAlignment="1">
      <alignment horizontal="center" vertical="center" wrapText="1"/>
    </xf>
    <xf numFmtId="183" fontId="58" fillId="0" borderId="1" xfId="0" applyNumberFormat="1" applyFont="1" applyBorder="1"/>
    <xf numFmtId="10" fontId="58" fillId="0" borderId="1" xfId="14" applyNumberFormat="1" applyFont="1" applyBorder="1" applyAlignment="1">
      <alignment horizontal="center" vertical="center" wrapText="1"/>
    </xf>
    <xf numFmtId="184" fontId="58" fillId="0" borderId="1" xfId="0" applyNumberFormat="1" applyFont="1" applyBorder="1"/>
    <xf numFmtId="0" fontId="59" fillId="42" borderId="1" xfId="0" applyFont="1" applyFill="1" applyBorder="1" applyAlignment="1">
      <alignment horizontal="center" vertical="center"/>
    </xf>
    <xf numFmtId="2" fontId="59" fillId="42" borderId="1" xfId="0" applyNumberFormat="1" applyFont="1" applyFill="1" applyBorder="1"/>
    <xf numFmtId="0" fontId="58" fillId="42" borderId="1" xfId="0" applyFont="1" applyFill="1" applyBorder="1"/>
    <xf numFmtId="0" fontId="58" fillId="40" borderId="0" xfId="0" applyFont="1" applyFill="1"/>
    <xf numFmtId="0" fontId="58" fillId="0" borderId="0" xfId="0" applyFont="1" applyAlignment="1">
      <alignment horizontal="left" vertical="top" wrapText="1"/>
    </xf>
    <xf numFmtId="0" fontId="59" fillId="0" borderId="1" xfId="0" applyFont="1" applyBorder="1" applyAlignment="1">
      <alignment horizontal="left" vertical="top" wrapText="1"/>
    </xf>
    <xf numFmtId="0" fontId="58" fillId="0" borderId="1" xfId="0" applyFont="1" applyBorder="1" applyAlignment="1">
      <alignment horizontal="left" vertical="top" wrapText="1"/>
    </xf>
    <xf numFmtId="2" fontId="58" fillId="0" borderId="1" xfId="0" applyNumberFormat="1" applyFont="1" applyBorder="1" applyAlignment="1">
      <alignment horizontal="left" vertical="top" wrapText="1"/>
    </xf>
    <xf numFmtId="0" fontId="58" fillId="0" borderId="1" xfId="0" applyFont="1" applyBorder="1" applyAlignment="1">
      <alignment horizontal="center" vertical="top" wrapText="1"/>
    </xf>
    <xf numFmtId="9" fontId="58" fillId="0" borderId="1" xfId="14" applyFont="1" applyBorder="1" applyAlignment="1">
      <alignment horizontal="left" vertical="top" wrapText="1"/>
    </xf>
    <xf numFmtId="0" fontId="58" fillId="0" borderId="1" xfId="0" applyFont="1" applyBorder="1" applyAlignment="1">
      <alignment horizontal="center"/>
    </xf>
    <xf numFmtId="168" fontId="58" fillId="0" borderId="1" xfId="14" applyNumberFormat="1" applyFont="1" applyBorder="1" applyAlignment="1">
      <alignment horizontal="left" vertical="top" wrapText="1"/>
    </xf>
    <xf numFmtId="10" fontId="58" fillId="0" borderId="1" xfId="14" applyNumberFormat="1" applyFont="1" applyBorder="1" applyAlignment="1">
      <alignment horizontal="left" vertical="top" wrapText="1"/>
    </xf>
    <xf numFmtId="183" fontId="58" fillId="0" borderId="1" xfId="0" applyNumberFormat="1" applyFont="1" applyBorder="1" applyAlignment="1">
      <alignment horizontal="left" vertical="top" wrapText="1"/>
    </xf>
    <xf numFmtId="0" fontId="59" fillId="42" borderId="1" xfId="0" applyFont="1" applyFill="1" applyBorder="1" applyAlignment="1">
      <alignment horizontal="left" vertical="top" wrapText="1"/>
    </xf>
    <xf numFmtId="2" fontId="59" fillId="42" borderId="1" xfId="0" applyNumberFormat="1" applyFont="1" applyFill="1" applyBorder="1" applyAlignment="1">
      <alignment horizontal="left" vertical="top" wrapText="1"/>
    </xf>
    <xf numFmtId="0" fontId="58" fillId="42" borderId="1" xfId="0" applyFont="1" applyFill="1" applyBorder="1" applyAlignment="1">
      <alignment horizontal="center" vertical="top" wrapText="1"/>
    </xf>
    <xf numFmtId="0" fontId="58" fillId="42" borderId="1" xfId="0" applyFont="1" applyFill="1" applyBorder="1" applyAlignment="1">
      <alignment horizontal="left" vertical="top" wrapText="1"/>
    </xf>
    <xf numFmtId="183" fontId="59" fillId="42" borderId="1" xfId="0" applyNumberFormat="1" applyFont="1" applyFill="1" applyBorder="1" applyAlignment="1">
      <alignment horizontal="left" vertical="top" wrapText="1"/>
    </xf>
    <xf numFmtId="0" fontId="59" fillId="42" borderId="1" xfId="0" applyFont="1" applyFill="1" applyBorder="1" applyAlignment="1">
      <alignment vertical="top" wrapText="1"/>
    </xf>
    <xf numFmtId="0" fontId="58" fillId="0" borderId="1" xfId="0" applyFont="1" applyBorder="1" applyAlignment="1">
      <alignment horizontal="left" wrapText="1"/>
    </xf>
    <xf numFmtId="0" fontId="63" fillId="0" borderId="0" xfId="0" applyFont="1"/>
    <xf numFmtId="0" fontId="63" fillId="0" borderId="1" xfId="0" applyFont="1" applyBorder="1"/>
    <xf numFmtId="0" fontId="63" fillId="0" borderId="1" xfId="0" applyFont="1" applyBorder="1" applyAlignment="1">
      <alignment horizontal="left"/>
    </xf>
    <xf numFmtId="0" fontId="63" fillId="0" borderId="1" xfId="0" applyFont="1" applyBorder="1" applyAlignment="1">
      <alignment wrapText="1"/>
    </xf>
    <xf numFmtId="0" fontId="63" fillId="0" borderId="1" xfId="0" applyFont="1" applyBorder="1" applyAlignment="1">
      <alignment horizontal="center"/>
    </xf>
    <xf numFmtId="0" fontId="63" fillId="0" borderId="2" xfId="0" applyFont="1" applyBorder="1" applyAlignment="1">
      <alignment horizontal="center"/>
    </xf>
    <xf numFmtId="183" fontId="63" fillId="0" borderId="1" xfId="0" applyNumberFormat="1" applyFont="1" applyBorder="1" applyAlignment="1">
      <alignment horizontal="left"/>
    </xf>
    <xf numFmtId="0" fontId="58" fillId="2" borderId="0" xfId="0" applyFont="1" applyFill="1"/>
    <xf numFmtId="0" fontId="64" fillId="42" borderId="1" xfId="0" applyFont="1" applyFill="1" applyBorder="1"/>
    <xf numFmtId="44" fontId="64" fillId="42" borderId="1" xfId="2" applyFont="1" applyFill="1" applyBorder="1" applyAlignment="1">
      <alignment horizontal="left"/>
    </xf>
    <xf numFmtId="183" fontId="64" fillId="42" borderId="1" xfId="0" applyNumberFormat="1" applyFont="1" applyFill="1" applyBorder="1" applyAlignment="1">
      <alignment horizontal="left"/>
    </xf>
    <xf numFmtId="0" fontId="64" fillId="42" borderId="1" xfId="0" applyFont="1" applyFill="1" applyBorder="1" applyAlignment="1">
      <alignment horizontal="center"/>
    </xf>
    <xf numFmtId="175" fontId="58" fillId="40" borderId="0" xfId="0" applyNumberFormat="1" applyFont="1" applyFill="1"/>
    <xf numFmtId="175" fontId="58" fillId="40" borderId="0" xfId="0" applyNumberFormat="1" applyFont="1" applyFill="1" applyAlignment="1">
      <alignment horizontal="left"/>
    </xf>
    <xf numFmtId="175" fontId="58" fillId="40" borderId="0" xfId="0" applyNumberFormat="1" applyFont="1" applyFill="1" applyAlignment="1">
      <alignment horizontal="left" vertical="top" wrapText="1"/>
    </xf>
    <xf numFmtId="0" fontId="3" fillId="38" borderId="16" xfId="0" applyFont="1" applyFill="1" applyBorder="1" applyAlignment="1">
      <alignment horizontal="center"/>
    </xf>
    <xf numFmtId="175" fontId="3" fillId="18" borderId="0" xfId="0" applyNumberFormat="1" applyFont="1" applyFill="1"/>
    <xf numFmtId="3" fontId="3" fillId="40" borderId="0" xfId="1" applyNumberFormat="1" applyFont="1" applyFill="1"/>
    <xf numFmtId="0" fontId="0" fillId="39" borderId="89" xfId="0" applyFill="1" applyBorder="1"/>
    <xf numFmtId="0" fontId="0" fillId="39" borderId="92" xfId="0" applyFill="1" applyBorder="1" applyAlignment="1">
      <alignment wrapText="1"/>
    </xf>
    <xf numFmtId="0" fontId="0" fillId="48" borderId="1" xfId="0" applyFill="1" applyBorder="1" applyAlignment="1">
      <alignment wrapText="1"/>
    </xf>
    <xf numFmtId="0" fontId="0" fillId="49" borderId="1" xfId="0" applyFill="1" applyBorder="1" applyAlignment="1">
      <alignment wrapText="1"/>
    </xf>
    <xf numFmtId="0" fontId="0" fillId="21" borderId="1" xfId="0" applyFill="1" applyBorder="1" applyAlignment="1">
      <alignment wrapText="1"/>
    </xf>
    <xf numFmtId="0" fontId="0" fillId="40" borderId="1" xfId="0" applyFill="1" applyBorder="1" applyAlignment="1">
      <alignment wrapText="1"/>
    </xf>
    <xf numFmtId="0" fontId="0" fillId="18" borderId="1" xfId="0" applyFill="1" applyBorder="1" applyAlignment="1">
      <alignment wrapText="1"/>
    </xf>
    <xf numFmtId="0" fontId="0" fillId="29" borderId="1" xfId="0" applyFill="1" applyBorder="1" applyAlignment="1">
      <alignment wrapText="1"/>
    </xf>
    <xf numFmtId="0" fontId="0" fillId="29" borderId="93" xfId="0" applyFill="1" applyBorder="1" applyAlignment="1">
      <alignment wrapText="1"/>
    </xf>
    <xf numFmtId="0" fontId="0" fillId="39" borderId="92" xfId="0" applyFill="1" applyBorder="1"/>
    <xf numFmtId="167" fontId="3" fillId="48" borderId="1" xfId="1" applyNumberFormat="1" applyFont="1" applyFill="1" applyBorder="1"/>
    <xf numFmtId="167" fontId="0" fillId="48" borderId="1" xfId="1" applyNumberFormat="1" applyFont="1" applyFill="1" applyBorder="1"/>
    <xf numFmtId="167" fontId="3" fillId="49" borderId="1" xfId="1" applyNumberFormat="1" applyFont="1" applyFill="1" applyBorder="1"/>
    <xf numFmtId="167" fontId="0" fillId="49" borderId="1" xfId="1" applyNumberFormat="1" applyFont="1" applyFill="1" applyBorder="1"/>
    <xf numFmtId="167" fontId="3" fillId="21" borderId="1" xfId="1" applyNumberFormat="1" applyFont="1" applyFill="1" applyBorder="1"/>
    <xf numFmtId="167" fontId="0" fillId="21" borderId="1" xfId="1" applyNumberFormat="1" applyFont="1" applyFill="1" applyBorder="1"/>
    <xf numFmtId="167" fontId="3" fillId="40" borderId="1" xfId="1" applyNumberFormat="1" applyFont="1" applyFill="1" applyBorder="1"/>
    <xf numFmtId="167" fontId="0" fillId="40" borderId="1" xfId="1" applyNumberFormat="1" applyFont="1" applyFill="1" applyBorder="1"/>
    <xf numFmtId="167" fontId="3" fillId="18" borderId="1" xfId="1" applyNumberFormat="1" applyFont="1" applyFill="1" applyBorder="1"/>
    <xf numFmtId="167" fontId="0" fillId="18" borderId="1" xfId="1" applyNumberFormat="1" applyFont="1" applyFill="1" applyBorder="1"/>
    <xf numFmtId="167" fontId="3" fillId="29" borderId="1" xfId="1" applyNumberFormat="1" applyFont="1" applyFill="1" applyBorder="1"/>
    <xf numFmtId="167" fontId="0" fillId="29" borderId="1" xfId="1" applyNumberFormat="1" applyFont="1" applyFill="1" applyBorder="1"/>
    <xf numFmtId="167" fontId="3" fillId="29" borderId="93" xfId="0" applyNumberFormat="1" applyFont="1" applyFill="1" applyBorder="1"/>
    <xf numFmtId="167" fontId="0" fillId="0" borderId="0" xfId="0" applyNumberFormat="1"/>
    <xf numFmtId="0" fontId="0" fillId="39" borderId="94" xfId="0" applyFill="1" applyBorder="1"/>
    <xf numFmtId="167" fontId="3" fillId="48" borderId="59" xfId="1" applyNumberFormat="1" applyFont="1" applyFill="1" applyBorder="1"/>
    <xf numFmtId="167" fontId="0" fillId="48" borderId="95" xfId="1" applyNumberFormat="1" applyFont="1" applyFill="1" applyBorder="1"/>
    <xf numFmtId="167" fontId="3" fillId="48" borderId="95" xfId="1" applyNumberFormat="1" applyFont="1" applyFill="1" applyBorder="1"/>
    <xf numFmtId="167" fontId="3" fillId="49" borderId="95" xfId="1" applyNumberFormat="1" applyFont="1" applyFill="1" applyBorder="1"/>
    <xf numFmtId="167" fontId="0" fillId="49" borderId="95" xfId="1" applyNumberFormat="1" applyFont="1" applyFill="1" applyBorder="1"/>
    <xf numFmtId="167" fontId="3" fillId="21" borderId="95" xfId="1" applyNumberFormat="1" applyFont="1" applyFill="1" applyBorder="1"/>
    <xf numFmtId="167" fontId="0" fillId="21" borderId="95" xfId="1" applyNumberFormat="1" applyFont="1" applyFill="1" applyBorder="1"/>
    <xf numFmtId="167" fontId="3" fillId="40" borderId="95" xfId="1" applyNumberFormat="1" applyFont="1" applyFill="1" applyBorder="1"/>
    <xf numFmtId="167" fontId="0" fillId="40" borderId="95" xfId="1" applyNumberFormat="1" applyFont="1" applyFill="1" applyBorder="1"/>
    <xf numFmtId="167" fontId="3" fillId="18" borderId="95" xfId="1" applyNumberFormat="1" applyFont="1" applyFill="1" applyBorder="1"/>
    <xf numFmtId="167" fontId="0" fillId="18" borderId="95" xfId="1" applyNumberFormat="1" applyFont="1" applyFill="1" applyBorder="1"/>
    <xf numFmtId="167" fontId="3" fillId="29" borderId="95" xfId="1" applyNumberFormat="1" applyFont="1" applyFill="1" applyBorder="1"/>
    <xf numFmtId="167" fontId="0" fillId="29" borderId="95" xfId="1" applyNumberFormat="1" applyFont="1" applyFill="1" applyBorder="1"/>
    <xf numFmtId="167" fontId="3" fillId="29" borderId="96" xfId="0" applyNumberFormat="1" applyFont="1" applyFill="1" applyBorder="1"/>
    <xf numFmtId="167" fontId="0" fillId="0" borderId="65" xfId="0" applyNumberFormat="1" applyBorder="1"/>
    <xf numFmtId="0" fontId="0" fillId="29" borderId="97" xfId="0" applyFill="1" applyBorder="1"/>
    <xf numFmtId="0" fontId="0" fillId="29" borderId="99" xfId="0" applyFill="1" applyBorder="1"/>
    <xf numFmtId="0" fontId="65" fillId="29" borderId="89" xfId="0" applyFont="1" applyFill="1" applyBorder="1" applyAlignment="1">
      <alignment wrapText="1"/>
    </xf>
    <xf numFmtId="0" fontId="65" fillId="42" borderId="90" xfId="0" applyFont="1" applyFill="1" applyBorder="1"/>
    <xf numFmtId="0" fontId="66" fillId="42" borderId="91" xfId="0" applyFont="1" applyFill="1" applyBorder="1" applyAlignment="1">
      <alignment wrapText="1"/>
    </xf>
    <xf numFmtId="0" fontId="65" fillId="29" borderId="92" xfId="0" applyFont="1" applyFill="1" applyBorder="1" applyAlignment="1">
      <alignment wrapText="1"/>
    </xf>
    <xf numFmtId="167" fontId="65" fillId="42" borderId="1" xfId="0" applyNumberFormat="1" applyFont="1" applyFill="1" applyBorder="1"/>
    <xf numFmtId="167" fontId="65" fillId="42" borderId="93" xfId="0" applyNumberFormat="1" applyFont="1" applyFill="1" applyBorder="1"/>
    <xf numFmtId="167" fontId="65" fillId="29" borderId="92" xfId="0" applyNumberFormat="1" applyFont="1" applyFill="1" applyBorder="1" applyAlignment="1">
      <alignment wrapText="1"/>
    </xf>
    <xf numFmtId="43" fontId="67" fillId="42" borderId="1" xfId="0" applyNumberFormat="1" applyFont="1" applyFill="1" applyBorder="1"/>
    <xf numFmtId="185" fontId="65" fillId="42" borderId="1" xfId="2" applyNumberFormat="1" applyFont="1" applyFill="1" applyBorder="1"/>
    <xf numFmtId="44" fontId="65" fillId="42" borderId="93" xfId="2" applyFont="1" applyFill="1" applyBorder="1"/>
    <xf numFmtId="44" fontId="65" fillId="42" borderId="1" xfId="2" applyFont="1" applyFill="1" applyBorder="1"/>
    <xf numFmtId="186" fontId="0" fillId="0" borderId="0" xfId="0" applyNumberFormat="1"/>
    <xf numFmtId="0" fontId="65" fillId="29" borderId="92" xfId="0" applyFont="1" applyFill="1" applyBorder="1"/>
    <xf numFmtId="44" fontId="65" fillId="42" borderId="1" xfId="0" applyNumberFormat="1" applyFont="1" applyFill="1" applyBorder="1"/>
    <xf numFmtId="44" fontId="65" fillId="42" borderId="93" xfId="0" applyNumberFormat="1" applyFont="1" applyFill="1" applyBorder="1"/>
    <xf numFmtId="0" fontId="66" fillId="29" borderId="92" xfId="0" applyFont="1" applyFill="1" applyBorder="1" applyAlignment="1">
      <alignment wrapText="1"/>
    </xf>
    <xf numFmtId="44" fontId="66" fillId="42" borderId="1" xfId="0" applyNumberFormat="1" applyFont="1" applyFill="1" applyBorder="1"/>
    <xf numFmtId="44" fontId="66" fillId="42" borderId="93" xfId="0" applyNumberFormat="1" applyFont="1" applyFill="1" applyBorder="1"/>
    <xf numFmtId="0" fontId="0" fillId="0" borderId="93" xfId="0" applyBorder="1"/>
    <xf numFmtId="0" fontId="0" fillId="29" borderId="94" xfId="0" applyFill="1" applyBorder="1"/>
    <xf numFmtId="187" fontId="68" fillId="21" borderId="95" xfId="16" applyNumberFormat="1" applyFont="1" applyFill="1" applyBorder="1" applyAlignment="1">
      <alignment horizontal="center"/>
    </xf>
    <xf numFmtId="0" fontId="0" fillId="0" borderId="95" xfId="0" applyBorder="1"/>
    <xf numFmtId="0" fontId="0" fillId="0" borderId="96" xfId="0" applyBorder="1"/>
    <xf numFmtId="175" fontId="3" fillId="31" borderId="0" xfId="0" applyNumberFormat="1" applyFont="1" applyFill="1"/>
    <xf numFmtId="0" fontId="0" fillId="40" borderId="1" xfId="0" applyFill="1" applyBorder="1"/>
    <xf numFmtId="43" fontId="0" fillId="0" borderId="1" xfId="1" applyFont="1" applyBorder="1"/>
    <xf numFmtId="44" fontId="0" fillId="0" borderId="1" xfId="2" applyFont="1" applyBorder="1"/>
    <xf numFmtId="188" fontId="69" fillId="0" borderId="1" xfId="17" applyNumberFormat="1" applyFont="1" applyBorder="1" applyAlignment="1">
      <alignment horizontal="center"/>
    </xf>
    <xf numFmtId="0" fontId="0" fillId="0" borderId="1" xfId="0" applyBorder="1" applyAlignment="1">
      <alignment wrapText="1"/>
    </xf>
    <xf numFmtId="185" fontId="0" fillId="0" borderId="1" xfId="2" applyNumberFormat="1" applyFont="1" applyBorder="1"/>
    <xf numFmtId="0" fontId="0" fillId="42" borderId="0" xfId="0" applyFill="1"/>
    <xf numFmtId="44" fontId="0" fillId="42" borderId="1" xfId="2" applyFont="1" applyFill="1" applyBorder="1"/>
    <xf numFmtId="188" fontId="0" fillId="42" borderId="0" xfId="0" applyNumberFormat="1" applyFill="1"/>
    <xf numFmtId="167" fontId="0" fillId="42" borderId="60" xfId="1" applyNumberFormat="1" applyFont="1" applyFill="1" applyBorder="1"/>
    <xf numFmtId="188" fontId="69" fillId="42" borderId="60" xfId="17" applyNumberFormat="1" applyFont="1" applyFill="1" applyBorder="1" applyAlignment="1">
      <alignment horizontal="center"/>
    </xf>
    <xf numFmtId="0" fontId="57" fillId="0" borderId="1" xfId="18" applyFont="1" applyBorder="1" applyAlignment="1">
      <alignment horizontal="left" vertical="top" wrapText="1"/>
    </xf>
    <xf numFmtId="188" fontId="0" fillId="0" borderId="1" xfId="0" applyNumberFormat="1" applyBorder="1"/>
    <xf numFmtId="0" fontId="0" fillId="0" borderId="60" xfId="0" applyBorder="1"/>
    <xf numFmtId="188" fontId="69" fillId="0" borderId="0" xfId="17" applyNumberFormat="1" applyFont="1" applyAlignment="1">
      <alignment horizontal="center"/>
    </xf>
    <xf numFmtId="167" fontId="0" fillId="42" borderId="1" xfId="1" applyNumberFormat="1" applyFont="1" applyFill="1" applyBorder="1" applyAlignment="1">
      <alignment wrapText="1"/>
    </xf>
    <xf numFmtId="167" fontId="0" fillId="42" borderId="1" xfId="1" applyNumberFormat="1" applyFont="1" applyFill="1" applyBorder="1"/>
    <xf numFmtId="0" fontId="0" fillId="42" borderId="1" xfId="0" applyFill="1" applyBorder="1" applyAlignment="1">
      <alignment wrapText="1"/>
    </xf>
    <xf numFmtId="0" fontId="0" fillId="42" borderId="60" xfId="0" applyFill="1" applyBorder="1"/>
    <xf numFmtId="0" fontId="0" fillId="42" borderId="1" xfId="0" applyFill="1" applyBorder="1"/>
    <xf numFmtId="167" fontId="0" fillId="42" borderId="1" xfId="0" applyNumberFormat="1" applyFill="1" applyBorder="1" applyAlignment="1">
      <alignment wrapText="1"/>
    </xf>
    <xf numFmtId="0" fontId="0" fillId="2" borderId="1" xfId="0" applyFill="1" applyBorder="1" applyAlignment="1">
      <alignment wrapText="1"/>
    </xf>
    <xf numFmtId="0" fontId="0" fillId="2" borderId="60" xfId="0" applyFill="1" applyBorder="1"/>
    <xf numFmtId="178" fontId="0" fillId="2" borderId="1" xfId="1" applyNumberFormat="1" applyFont="1" applyFill="1" applyBorder="1" applyAlignment="1">
      <alignment wrapText="1"/>
    </xf>
    <xf numFmtId="167" fontId="0" fillId="2" borderId="1" xfId="0" applyNumberFormat="1" applyFill="1" applyBorder="1" applyAlignment="1">
      <alignment wrapText="1"/>
    </xf>
    <xf numFmtId="1" fontId="0" fillId="0" borderId="1" xfId="0" applyNumberFormat="1" applyBorder="1"/>
    <xf numFmtId="0" fontId="57" fillId="0" borderId="1" xfId="0" applyFont="1" applyBorder="1" applyAlignment="1">
      <alignment horizontal="left" vertical="top" wrapText="1"/>
    </xf>
    <xf numFmtId="188" fontId="0" fillId="0" borderId="59" xfId="0" applyNumberFormat="1" applyBorder="1"/>
    <xf numFmtId="0" fontId="22" fillId="2" borderId="1" xfId="0" applyFont="1" applyFill="1" applyBorder="1" applyAlignment="1">
      <alignment horizontal="left" vertical="top" wrapText="1"/>
    </xf>
    <xf numFmtId="0" fontId="22" fillId="2" borderId="59" xfId="0" applyFont="1" applyFill="1" applyBorder="1" applyAlignment="1">
      <alignment horizontal="left" vertical="top" wrapText="1"/>
    </xf>
    <xf numFmtId="0" fontId="0" fillId="0" borderId="59" xfId="0" applyBorder="1"/>
    <xf numFmtId="188" fontId="0" fillId="42" borderId="1" xfId="0" applyNumberFormat="1" applyFill="1" applyBorder="1"/>
    <xf numFmtId="0" fontId="24" fillId="0" borderId="1" xfId="0" applyFont="1" applyBorder="1" applyAlignment="1">
      <alignment horizontal="left" vertical="top" wrapText="1"/>
    </xf>
    <xf numFmtId="0" fontId="24" fillId="42" borderId="1" xfId="0" applyFont="1" applyFill="1" applyBorder="1" applyAlignment="1">
      <alignment horizontal="left" vertical="top" wrapText="1"/>
    </xf>
    <xf numFmtId="1" fontId="0" fillId="42" borderId="1" xfId="0" applyNumberFormat="1" applyFill="1" applyBorder="1"/>
    <xf numFmtId="0" fontId="22" fillId="0" borderId="1" xfId="0" applyFont="1" applyBorder="1" applyAlignment="1">
      <alignment horizontal="left" vertical="top" wrapText="1"/>
    </xf>
    <xf numFmtId="0" fontId="22" fillId="42" borderId="0" xfId="0" applyFont="1" applyFill="1" applyAlignment="1">
      <alignment horizontal="left" vertical="top" wrapText="1"/>
    </xf>
    <xf numFmtId="0" fontId="0" fillId="42" borderId="0" xfId="0" applyFill="1" applyAlignment="1">
      <alignment wrapText="1"/>
    </xf>
    <xf numFmtId="1" fontId="0" fillId="42" borderId="0" xfId="0" applyNumberFormat="1" applyFill="1"/>
    <xf numFmtId="0" fontId="22" fillId="0" borderId="1" xfId="18" applyFont="1" applyBorder="1" applyAlignment="1">
      <alignment horizontal="left" vertical="top" wrapText="1"/>
    </xf>
    <xf numFmtId="0" fontId="24" fillId="42" borderId="0" xfId="0" applyFont="1" applyFill="1" applyAlignment="1">
      <alignment horizontal="left" vertical="top" wrapText="1"/>
    </xf>
    <xf numFmtId="189" fontId="0" fillId="42" borderId="0" xfId="0" applyNumberFormat="1" applyFill="1"/>
    <xf numFmtId="189" fontId="0" fillId="0" borderId="0" xfId="0" applyNumberFormat="1"/>
    <xf numFmtId="0" fontId="70" fillId="28" borderId="0" xfId="0" applyFont="1" applyFill="1"/>
    <xf numFmtId="188" fontId="25" fillId="28" borderId="0" xfId="0" applyNumberFormat="1" applyFont="1" applyFill="1"/>
    <xf numFmtId="0" fontId="70" fillId="50" borderId="0" xfId="0" applyFont="1" applyFill="1"/>
    <xf numFmtId="44" fontId="70" fillId="50" borderId="0" xfId="2" applyFont="1" applyFill="1"/>
    <xf numFmtId="188" fontId="0" fillId="0" borderId="0" xfId="0" applyNumberFormat="1"/>
    <xf numFmtId="0" fontId="0" fillId="0" borderId="0" xfId="0" applyAlignment="1">
      <alignment horizontal="right"/>
    </xf>
    <xf numFmtId="190" fontId="0" fillId="0" borderId="0" xfId="0" applyNumberFormat="1"/>
    <xf numFmtId="181" fontId="3" fillId="0" borderId="0" xfId="0" applyNumberFormat="1" applyFont="1"/>
    <xf numFmtId="3" fontId="3" fillId="0" borderId="0" xfId="0" applyNumberFormat="1" applyFont="1" applyAlignment="1">
      <alignment horizontal="center"/>
    </xf>
    <xf numFmtId="3" fontId="30" fillId="0" borderId="0" xfId="0" applyNumberFormat="1" applyFont="1" applyAlignment="1">
      <alignment horizontal="center"/>
    </xf>
    <xf numFmtId="3" fontId="0" fillId="0" borderId="0" xfId="0" applyNumberFormat="1" applyAlignment="1">
      <alignment horizontal="center"/>
    </xf>
    <xf numFmtId="3" fontId="19" fillId="0" borderId="0" xfId="0" applyNumberFormat="1" applyFont="1" applyAlignment="1">
      <alignment horizontal="center"/>
    </xf>
    <xf numFmtId="3" fontId="3" fillId="31" borderId="19" xfId="0" applyNumberFormat="1" applyFont="1" applyFill="1" applyBorder="1" applyAlignment="1">
      <alignment horizontal="center" wrapText="1"/>
    </xf>
    <xf numFmtId="0" fontId="3" fillId="31" borderId="19" xfId="0" applyFont="1" applyFill="1" applyBorder="1" applyAlignment="1">
      <alignment horizontal="center" wrapText="1"/>
    </xf>
    <xf numFmtId="3" fontId="3" fillId="33" borderId="21" xfId="0" applyNumberFormat="1" applyFont="1" applyFill="1" applyBorder="1" applyAlignment="1">
      <alignment wrapText="1"/>
    </xf>
    <xf numFmtId="3" fontId="3" fillId="33" borderId="20" xfId="0" applyNumberFormat="1" applyFont="1" applyFill="1" applyBorder="1" applyAlignment="1">
      <alignment wrapText="1"/>
    </xf>
    <xf numFmtId="0" fontId="3" fillId="38" borderId="4" xfId="0" applyFont="1" applyFill="1" applyBorder="1"/>
    <xf numFmtId="0" fontId="3" fillId="31" borderId="19" xfId="0" applyFont="1" applyFill="1" applyBorder="1" applyAlignment="1">
      <alignment horizontal="center"/>
    </xf>
    <xf numFmtId="0" fontId="3" fillId="31" borderId="17" xfId="0" applyFont="1" applyFill="1" applyBorder="1" applyAlignment="1">
      <alignment horizontal="center"/>
    </xf>
    <xf numFmtId="3" fontId="3" fillId="33" borderId="62" xfId="0" applyNumberFormat="1" applyFont="1" applyFill="1" applyBorder="1" applyAlignment="1">
      <alignment horizontal="center" wrapText="1"/>
    </xf>
    <xf numFmtId="173" fontId="71" fillId="0" borderId="0" xfId="0" applyNumberFormat="1" applyFont="1"/>
    <xf numFmtId="0" fontId="56" fillId="0" borderId="0" xfId="0" applyFont="1"/>
    <xf numFmtId="0" fontId="31" fillId="15" borderId="57" xfId="0" applyFont="1" applyFill="1" applyBorder="1" applyAlignment="1">
      <alignment horizontal="center" wrapText="1"/>
    </xf>
    <xf numFmtId="0" fontId="31" fillId="15" borderId="57" xfId="0" applyFont="1" applyFill="1" applyBorder="1" applyAlignment="1">
      <alignment horizontal="center"/>
    </xf>
    <xf numFmtId="3" fontId="72" fillId="0" borderId="36" xfId="0" applyNumberFormat="1" applyFont="1" applyBorder="1"/>
    <xf numFmtId="180" fontId="71" fillId="0" borderId="0" xfId="0" applyNumberFormat="1" applyFont="1"/>
    <xf numFmtId="173" fontId="56" fillId="0" borderId="0" xfId="0" applyNumberFormat="1" applyFont="1"/>
    <xf numFmtId="174" fontId="56" fillId="0" borderId="0" xfId="0" applyNumberFormat="1" applyFont="1"/>
    <xf numFmtId="3" fontId="56" fillId="0" borderId="60" xfId="0" applyNumberFormat="1" applyFont="1" applyBorder="1" applyAlignment="1">
      <alignment horizontal="center" wrapText="1"/>
    </xf>
    <xf numFmtId="3" fontId="71" fillId="0" borderId="60" xfId="0" applyNumberFormat="1" applyFont="1" applyBorder="1" applyAlignment="1">
      <alignment horizontal="center" wrapText="1"/>
    </xf>
    <xf numFmtId="175" fontId="56" fillId="0" borderId="0" xfId="0" applyNumberFormat="1" applyFont="1"/>
    <xf numFmtId="3" fontId="73" fillId="0" borderId="36" xfId="0" applyNumberFormat="1" applyFont="1" applyBorder="1"/>
    <xf numFmtId="175" fontId="71" fillId="0" borderId="0" xfId="0" applyNumberFormat="1" applyFont="1"/>
    <xf numFmtId="3" fontId="0" fillId="34" borderId="16" xfId="0" applyNumberFormat="1" applyFill="1" applyBorder="1" applyAlignment="1">
      <alignment horizontal="center" wrapText="1"/>
    </xf>
    <xf numFmtId="3" fontId="0" fillId="39" borderId="71" xfId="0" applyNumberFormat="1" applyFill="1" applyBorder="1" applyAlignment="1">
      <alignment horizontal="center" wrapText="1"/>
    </xf>
    <xf numFmtId="0" fontId="3" fillId="33" borderId="3" xfId="0" applyFont="1" applyFill="1" applyBorder="1" applyAlignment="1">
      <alignment horizontal="center"/>
    </xf>
    <xf numFmtId="175" fontId="3" fillId="23" borderId="4" xfId="0" applyNumberFormat="1" applyFont="1" applyFill="1" applyBorder="1" applyAlignment="1">
      <alignment horizontal="center" wrapText="1"/>
    </xf>
    <xf numFmtId="0" fontId="3" fillId="39" borderId="16" xfId="0" applyFont="1" applyFill="1" applyBorder="1"/>
    <xf numFmtId="0" fontId="3" fillId="39" borderId="5" xfId="0" applyFont="1" applyFill="1" applyBorder="1"/>
    <xf numFmtId="0" fontId="3" fillId="33" borderId="2" xfId="0" applyFont="1" applyFill="1" applyBorder="1"/>
    <xf numFmtId="0" fontId="26" fillId="23" borderId="2" xfId="0" applyFont="1" applyFill="1" applyBorder="1" applyAlignment="1">
      <alignment wrapText="1"/>
    </xf>
    <xf numFmtId="3" fontId="0" fillId="33" borderId="60" xfId="0" applyNumberFormat="1" applyFill="1" applyBorder="1" applyAlignment="1">
      <alignment horizontal="center" wrapText="1"/>
    </xf>
    <xf numFmtId="0" fontId="59" fillId="0" borderId="1" xfId="0" applyFont="1" applyBorder="1" applyAlignment="1">
      <alignment horizontal="left"/>
    </xf>
    <xf numFmtId="0" fontId="63" fillId="0" borderId="1" xfId="0" applyFont="1" applyBorder="1" applyAlignment="1">
      <alignment horizontal="left" vertical="top" wrapText="1"/>
    </xf>
    <xf numFmtId="0" fontId="58" fillId="0" borderId="1" xfId="0" applyFont="1" applyBorder="1" applyAlignment="1">
      <alignment horizontal="left"/>
    </xf>
    <xf numFmtId="167" fontId="61" fillId="0" borderId="1" xfId="1" applyNumberFormat="1" applyFont="1" applyBorder="1" applyAlignment="1">
      <alignment wrapText="1"/>
    </xf>
    <xf numFmtId="175" fontId="3" fillId="51" borderId="0" xfId="0" applyNumberFormat="1" applyFont="1" applyFill="1"/>
    <xf numFmtId="167" fontId="61" fillId="2" borderId="1" xfId="1" applyNumberFormat="1" applyFont="1" applyFill="1" applyBorder="1" applyAlignment="1">
      <alignment horizontal="left" wrapText="1"/>
    </xf>
    <xf numFmtId="191" fontId="58" fillId="0" borderId="1" xfId="0" applyNumberFormat="1" applyFont="1" applyBorder="1" applyAlignment="1">
      <alignment horizontal="left" vertical="top" wrapText="1"/>
    </xf>
    <xf numFmtId="0" fontId="59" fillId="0" borderId="0" xfId="0" applyFont="1" applyAlignment="1">
      <alignment horizontal="left" vertical="top" wrapText="1"/>
    </xf>
    <xf numFmtId="175" fontId="3" fillId="31" borderId="4" xfId="0" applyNumberFormat="1" applyFont="1" applyFill="1" applyBorder="1" applyAlignment="1">
      <alignment horizontal="center" wrapText="1"/>
    </xf>
    <xf numFmtId="175" fontId="3" fillId="18" borderId="4" xfId="0" applyNumberFormat="1" applyFont="1" applyFill="1" applyBorder="1" applyAlignment="1">
      <alignment horizontal="center" wrapText="1"/>
    </xf>
    <xf numFmtId="192" fontId="0" fillId="0" borderId="0" xfId="0" applyNumberFormat="1"/>
    <xf numFmtId="192" fontId="3" fillId="0" borderId="0" xfId="0" applyNumberFormat="1" applyFont="1"/>
    <xf numFmtId="192" fontId="30" fillId="0" borderId="0" xfId="0" applyNumberFormat="1" applyFont="1"/>
    <xf numFmtId="0" fontId="3" fillId="29" borderId="4" xfId="0" applyFont="1" applyFill="1" applyBorder="1"/>
    <xf numFmtId="192" fontId="3" fillId="29" borderId="4" xfId="0" applyNumberFormat="1" applyFont="1" applyFill="1" applyBorder="1"/>
    <xf numFmtId="172" fontId="30" fillId="0" borderId="0" xfId="0" applyNumberFormat="1" applyFont="1"/>
    <xf numFmtId="0" fontId="74" fillId="0" borderId="0" xfId="19" applyFont="1"/>
    <xf numFmtId="0" fontId="77" fillId="0" borderId="0" xfId="20" applyFont="1" applyProtection="1">
      <alignment vertical="top"/>
    </xf>
    <xf numFmtId="0" fontId="0" fillId="0" borderId="0" xfId="0" applyAlignment="1">
      <alignment vertical="center"/>
    </xf>
    <xf numFmtId="0" fontId="74" fillId="0" borderId="0" xfId="19" applyFont="1" applyAlignment="1">
      <alignment wrapText="1"/>
    </xf>
    <xf numFmtId="0" fontId="75" fillId="53" borderId="100" xfId="19" applyFont="1" applyFill="1" applyBorder="1" applyAlignment="1">
      <alignment horizontal="center" vertical="center" wrapText="1"/>
    </xf>
    <xf numFmtId="0" fontId="75" fillId="53" borderId="101" xfId="19" applyFont="1" applyFill="1" applyBorder="1" applyAlignment="1">
      <alignment horizontal="left" vertical="center" wrapText="1"/>
    </xf>
    <xf numFmtId="0" fontId="75" fillId="53" borderId="102" xfId="19" applyFont="1" applyFill="1" applyBorder="1" applyAlignment="1">
      <alignment horizontal="center" vertical="center" wrapText="1"/>
    </xf>
    <xf numFmtId="0" fontId="75" fillId="53" borderId="0" xfId="19" applyFont="1" applyFill="1" applyAlignment="1">
      <alignment horizontal="center" vertical="center" wrapText="1"/>
    </xf>
    <xf numFmtId="0" fontId="75" fillId="53" borderId="101" xfId="19" applyFont="1" applyFill="1" applyBorder="1" applyAlignment="1">
      <alignment vertical="center" wrapText="1"/>
    </xf>
    <xf numFmtId="0" fontId="80" fillId="0" borderId="1" xfId="19" applyFont="1" applyBorder="1" applyAlignment="1">
      <alignment horizontal="center" vertical="top"/>
    </xf>
    <xf numFmtId="0" fontId="80" fillId="0" borderId="1" xfId="19" applyFont="1" applyBorder="1" applyAlignment="1">
      <alignment vertical="top" wrapText="1"/>
    </xf>
    <xf numFmtId="167" fontId="80" fillId="0" borderId="1" xfId="1" applyNumberFormat="1" applyFont="1" applyBorder="1" applyAlignment="1">
      <alignment horizontal="center" vertical="top"/>
    </xf>
    <xf numFmtId="179" fontId="80" fillId="0" borderId="1" xfId="1" applyNumberFormat="1" applyFont="1" applyBorder="1" applyAlignment="1" applyProtection="1">
      <alignment horizontal="right" vertical="top"/>
      <protection locked="0"/>
    </xf>
    <xf numFmtId="43" fontId="80" fillId="0" borderId="1" xfId="1" applyFont="1" applyBorder="1" applyAlignment="1">
      <alignment vertical="top"/>
    </xf>
    <xf numFmtId="0" fontId="80" fillId="0" borderId="59" xfId="19" applyFont="1" applyBorder="1" applyAlignment="1">
      <alignment horizontal="center" vertical="top"/>
    </xf>
    <xf numFmtId="0" fontId="80" fillId="0" borderId="21" xfId="19" applyFont="1" applyBorder="1" applyAlignment="1">
      <alignment vertical="top" wrapText="1"/>
    </xf>
    <xf numFmtId="167" fontId="80" fillId="0" borderId="59" xfId="1" applyNumberFormat="1" applyFont="1" applyBorder="1" applyAlignment="1">
      <alignment horizontal="center" vertical="top"/>
    </xf>
    <xf numFmtId="179" fontId="80" fillId="0" borderId="59" xfId="1" applyNumberFormat="1" applyFont="1" applyBorder="1" applyAlignment="1" applyProtection="1">
      <alignment horizontal="right" vertical="top"/>
      <protection locked="0"/>
    </xf>
    <xf numFmtId="193" fontId="75" fillId="0" borderId="25" xfId="1" applyNumberFormat="1" applyFont="1" applyFill="1" applyBorder="1" applyAlignment="1" applyProtection="1"/>
    <xf numFmtId="0" fontId="80" fillId="0" borderId="0" xfId="19" applyFont="1"/>
    <xf numFmtId="0" fontId="75" fillId="53" borderId="1" xfId="19" applyFont="1" applyFill="1" applyBorder="1" applyAlignment="1">
      <alignment horizontal="center" vertical="center" wrapText="1"/>
    </xf>
    <xf numFmtId="0" fontId="75" fillId="53" borderId="1" xfId="19" applyFont="1" applyFill="1" applyBorder="1" applyAlignment="1">
      <alignment horizontal="left" vertical="center" wrapText="1"/>
    </xf>
    <xf numFmtId="194" fontId="74" fillId="0" borderId="1" xfId="1" applyNumberFormat="1" applyFont="1" applyFill="1" applyBorder="1" applyAlignment="1" applyProtection="1"/>
    <xf numFmtId="0" fontId="74" fillId="0" borderId="1" xfId="19" applyFont="1" applyBorder="1"/>
    <xf numFmtId="193" fontId="75" fillId="0" borderId="1" xfId="1" applyNumberFormat="1" applyFont="1" applyFill="1" applyBorder="1" applyAlignment="1" applyProtection="1"/>
    <xf numFmtId="0" fontId="75" fillId="53" borderId="103" xfId="19" applyFont="1" applyFill="1" applyBorder="1" applyAlignment="1">
      <alignment horizontal="center" vertical="center" wrapText="1"/>
    </xf>
    <xf numFmtId="0" fontId="75" fillId="53" borderId="104" xfId="19" applyFont="1" applyFill="1" applyBorder="1" applyAlignment="1">
      <alignment horizontal="left" vertical="center" wrapText="1"/>
    </xf>
    <xf numFmtId="0" fontId="75" fillId="53" borderId="105" xfId="19" applyFont="1" applyFill="1" applyBorder="1" applyAlignment="1">
      <alignment horizontal="center" vertical="center" wrapText="1"/>
    </xf>
    <xf numFmtId="0" fontId="75" fillId="53" borderId="12" xfId="19" applyFont="1" applyFill="1" applyBorder="1" applyAlignment="1">
      <alignment horizontal="center" vertical="center" wrapText="1"/>
    </xf>
    <xf numFmtId="0" fontId="75" fillId="53" borderId="104" xfId="19" applyFont="1" applyFill="1" applyBorder="1" applyAlignment="1">
      <alignment horizontal="center" vertical="center" wrapText="1"/>
    </xf>
    <xf numFmtId="195" fontId="74" fillId="0" borderId="1" xfId="19" applyNumberFormat="1" applyFont="1" applyBorder="1"/>
    <xf numFmtId="0" fontId="81" fillId="0" borderId="0" xfId="19" applyFont="1"/>
    <xf numFmtId="164" fontId="81" fillId="0" borderId="0" xfId="19" applyNumberFormat="1" applyFont="1"/>
    <xf numFmtId="175" fontId="81" fillId="39" borderId="0" xfId="19" applyNumberFormat="1" applyFont="1" applyFill="1"/>
    <xf numFmtId="172" fontId="56" fillId="0" borderId="0" xfId="0" applyNumberFormat="1" applyFont="1"/>
    <xf numFmtId="175" fontId="3" fillId="39" borderId="16" xfId="0" applyNumberFormat="1" applyFont="1" applyFill="1" applyBorder="1"/>
    <xf numFmtId="3" fontId="82" fillId="0" borderId="36" xfId="0" applyNumberFormat="1" applyFont="1" applyBorder="1"/>
    <xf numFmtId="3" fontId="83" fillId="0" borderId="36" xfId="0" applyNumberFormat="1" applyFont="1" applyBorder="1"/>
    <xf numFmtId="0" fontId="84" fillId="2" borderId="1" xfId="0" applyFont="1" applyFill="1" applyBorder="1" applyAlignment="1">
      <alignment horizontal="left" wrapText="1"/>
    </xf>
    <xf numFmtId="0" fontId="0" fillId="54" borderId="0" xfId="0" applyFill="1" applyAlignment="1">
      <alignment wrapText="1"/>
    </xf>
    <xf numFmtId="3" fontId="22" fillId="54" borderId="106" xfId="0" applyNumberFormat="1" applyFont="1" applyFill="1" applyBorder="1" applyAlignment="1" applyProtection="1">
      <alignment horizontal="left" vertical="center" wrapText="1"/>
      <protection locked="0"/>
    </xf>
    <xf numFmtId="3" fontId="22" fillId="54" borderId="0" xfId="0" applyNumberFormat="1" applyFont="1" applyFill="1" applyAlignment="1" applyProtection="1">
      <alignment horizontal="left" vertical="center" wrapText="1"/>
      <protection locked="0"/>
    </xf>
    <xf numFmtId="3" fontId="22" fillId="0" borderId="0" xfId="0" applyNumberFormat="1" applyFont="1" applyAlignment="1" applyProtection="1">
      <alignment horizontal="left" vertical="center" wrapText="1"/>
      <protection locked="0"/>
    </xf>
    <xf numFmtId="175" fontId="0" fillId="38" borderId="0" xfId="0" applyNumberFormat="1" applyFill="1"/>
    <xf numFmtId="175" fontId="3" fillId="39" borderId="16" xfId="0" applyNumberFormat="1" applyFont="1" applyFill="1" applyBorder="1" applyAlignment="1">
      <alignment horizontal="center" wrapText="1"/>
    </xf>
    <xf numFmtId="0" fontId="28" fillId="0" borderId="35" xfId="0" applyFont="1" applyBorder="1" applyProtection="1">
      <protection locked="0"/>
    </xf>
    <xf numFmtId="0" fontId="82" fillId="0" borderId="1" xfId="0" applyFont="1" applyBorder="1"/>
    <xf numFmtId="0" fontId="28" fillId="0" borderId="1" xfId="0" applyFont="1" applyBorder="1" applyAlignment="1" applyProtection="1">
      <alignment wrapText="1"/>
      <protection locked="0"/>
    </xf>
    <xf numFmtId="3" fontId="82" fillId="0" borderId="2" xfId="0" applyNumberFormat="1" applyFont="1" applyBorder="1"/>
    <xf numFmtId="3" fontId="28" fillId="0" borderId="35" xfId="0" applyNumberFormat="1" applyFont="1" applyBorder="1"/>
    <xf numFmtId="3" fontId="28" fillId="0" borderId="1" xfId="0" applyNumberFormat="1" applyFont="1" applyBorder="1"/>
    <xf numFmtId="3" fontId="28" fillId="0" borderId="36" xfId="0" applyNumberFormat="1" applyFont="1" applyBorder="1"/>
    <xf numFmtId="3" fontId="82" fillId="0" borderId="35" xfId="0" applyNumberFormat="1" applyFont="1" applyBorder="1"/>
    <xf numFmtId="3" fontId="82" fillId="0" borderId="1" xfId="0" applyNumberFormat="1" applyFont="1" applyBorder="1"/>
    <xf numFmtId="3" fontId="82" fillId="0" borderId="5" xfId="0" applyNumberFormat="1" applyFont="1" applyBorder="1"/>
    <xf numFmtId="3" fontId="28" fillId="2" borderId="47" xfId="0" applyNumberFormat="1" applyFont="1" applyFill="1" applyBorder="1" applyProtection="1">
      <protection locked="0"/>
    </xf>
    <xf numFmtId="0" fontId="82" fillId="2" borderId="0" xfId="0" applyFont="1" applyFill="1" applyProtection="1">
      <protection locked="0"/>
    </xf>
    <xf numFmtId="0" fontId="3" fillId="39" borderId="2" xfId="0" applyFont="1" applyFill="1" applyBorder="1" applyAlignment="1">
      <alignment horizontal="center"/>
    </xf>
    <xf numFmtId="175" fontId="3" fillId="49" borderId="4" xfId="0" applyNumberFormat="1" applyFont="1" applyFill="1" applyBorder="1" applyAlignment="1">
      <alignment horizontal="center" wrapText="1"/>
    </xf>
    <xf numFmtId="196" fontId="36" fillId="0" borderId="0" xfId="0" applyNumberFormat="1" applyFont="1" applyAlignment="1">
      <alignment vertical="top" wrapText="1"/>
    </xf>
    <xf numFmtId="0" fontId="45" fillId="55" borderId="0" xfId="0" applyFont="1" applyFill="1" applyAlignment="1">
      <alignment horizontal="center"/>
    </xf>
    <xf numFmtId="164" fontId="45" fillId="55" borderId="0" xfId="0" applyNumberFormat="1" applyFont="1" applyFill="1" applyAlignment="1">
      <alignment horizontal="center"/>
    </xf>
    <xf numFmtId="0" fontId="36" fillId="18" borderId="0" xfId="0" applyFont="1" applyFill="1"/>
    <xf numFmtId="0" fontId="40" fillId="18" borderId="0" xfId="0" applyFont="1" applyFill="1"/>
    <xf numFmtId="0" fontId="15" fillId="0" borderId="1" xfId="0" applyFont="1" applyBorder="1" applyAlignment="1" applyProtection="1">
      <alignment vertical="top"/>
      <protection locked="0"/>
    </xf>
    <xf numFmtId="0" fontId="19" fillId="0" borderId="58" xfId="0" applyFont="1" applyBorder="1" applyAlignment="1">
      <alignment wrapText="1"/>
    </xf>
    <xf numFmtId="175" fontId="72" fillId="0" borderId="36" xfId="0" applyNumberFormat="1" applyFont="1" applyBorder="1"/>
    <xf numFmtId="3" fontId="72" fillId="0" borderId="1" xfId="0" applyNumberFormat="1" applyFont="1" applyBorder="1"/>
    <xf numFmtId="175" fontId="3" fillId="0" borderId="36" xfId="0" applyNumberFormat="1" applyFont="1" applyBorder="1"/>
    <xf numFmtId="175" fontId="3" fillId="0" borderId="1" xfId="0" applyNumberFormat="1" applyFont="1" applyBorder="1"/>
    <xf numFmtId="0" fontId="0" fillId="39" borderId="16" xfId="0" applyFill="1" applyBorder="1"/>
    <xf numFmtId="0" fontId="86" fillId="56" borderId="83" xfId="21" applyFont="1" applyFill="1" applyBorder="1" applyAlignment="1">
      <alignment horizontal="center" vertical="center"/>
    </xf>
    <xf numFmtId="0" fontId="86" fillId="56" borderId="79" xfId="21" applyFont="1" applyFill="1" applyBorder="1" applyAlignment="1">
      <alignment horizontal="center" vertical="center" wrapText="1"/>
    </xf>
    <xf numFmtId="179" fontId="86" fillId="56" borderId="79" xfId="11" applyNumberFormat="1" applyFont="1" applyFill="1" applyBorder="1" applyAlignment="1">
      <alignment horizontal="center" vertical="center" wrapText="1"/>
    </xf>
    <xf numFmtId="197" fontId="88" fillId="0" borderId="35" xfId="21" applyNumberFormat="1" applyFont="1" applyBorder="1" applyAlignment="1">
      <alignment horizontal="left" vertical="center" wrapText="1"/>
    </xf>
    <xf numFmtId="197" fontId="86" fillId="14" borderId="37" xfId="21" applyNumberFormat="1" applyFont="1" applyFill="1" applyBorder="1" applyAlignment="1">
      <alignment horizontal="center" wrapText="1"/>
    </xf>
    <xf numFmtId="175" fontId="3" fillId="33" borderId="16" xfId="0" applyNumberFormat="1" applyFont="1" applyFill="1" applyBorder="1" applyAlignment="1">
      <alignment horizontal="center" wrapText="1"/>
    </xf>
    <xf numFmtId="3" fontId="3" fillId="33" borderId="16" xfId="0" applyNumberFormat="1" applyFont="1" applyFill="1" applyBorder="1" applyAlignment="1">
      <alignment horizontal="center" wrapText="1"/>
    </xf>
    <xf numFmtId="0" fontId="0" fillId="21" borderId="0" xfId="0" applyFill="1"/>
    <xf numFmtId="43" fontId="3" fillId="21" borderId="0" xfId="1" applyFont="1" applyFill="1" applyAlignment="1">
      <alignment horizontal="center" vertical="center"/>
    </xf>
    <xf numFmtId="0" fontId="3" fillId="54" borderId="0" xfId="0" applyFont="1" applyFill="1"/>
    <xf numFmtId="0" fontId="89" fillId="0" borderId="0" xfId="0" applyFont="1"/>
    <xf numFmtId="167" fontId="89" fillId="0" borderId="84" xfId="1" applyNumberFormat="1" applyFont="1" applyFill="1" applyBorder="1" applyAlignment="1">
      <alignment horizontal="left" vertical="center"/>
    </xf>
    <xf numFmtId="0" fontId="3" fillId="31" borderId="0" xfId="0" applyFont="1" applyFill="1"/>
    <xf numFmtId="0" fontId="0" fillId="31" borderId="0" xfId="0" applyFill="1"/>
    <xf numFmtId="43" fontId="3" fillId="31" borderId="0" xfId="1" applyFont="1" applyFill="1"/>
    <xf numFmtId="0" fontId="85" fillId="0" borderId="0" xfId="0" applyFont="1"/>
    <xf numFmtId="3" fontId="0" fillId="0" borderId="0" xfId="1" applyNumberFormat="1" applyFont="1"/>
    <xf numFmtId="0" fontId="3" fillId="39" borderId="16" xfId="0" applyFont="1" applyFill="1" applyBorder="1" applyAlignment="1">
      <alignment horizontal="center"/>
    </xf>
    <xf numFmtId="167" fontId="88" fillId="2" borderId="1" xfId="1" applyNumberFormat="1" applyFont="1" applyFill="1" applyBorder="1" applyAlignment="1">
      <alignment horizontal="center" vertical="center" wrapText="1"/>
    </xf>
    <xf numFmtId="167" fontId="88" fillId="14" borderId="1" xfId="1" applyNumberFormat="1" applyFont="1" applyFill="1" applyBorder="1" applyAlignment="1">
      <alignment horizontal="center"/>
    </xf>
    <xf numFmtId="0" fontId="88" fillId="0" borderId="1" xfId="0" applyFont="1" applyBorder="1" applyAlignment="1">
      <alignment wrapText="1"/>
    </xf>
    <xf numFmtId="0" fontId="88" fillId="2" borderId="1" xfId="0" applyFont="1" applyFill="1" applyBorder="1"/>
    <xf numFmtId="167" fontId="86" fillId="14" borderId="38" xfId="1" applyNumberFormat="1" applyFont="1" applyFill="1" applyBorder="1" applyAlignment="1">
      <alignment horizontal="center" vertical="center" wrapText="1"/>
    </xf>
    <xf numFmtId="167" fontId="86" fillId="14" borderId="38" xfId="1" applyNumberFormat="1" applyFont="1" applyFill="1" applyBorder="1" applyAlignment="1">
      <alignment horizontal="center"/>
    </xf>
    <xf numFmtId="175" fontId="81" fillId="40" borderId="0" xfId="19" applyNumberFormat="1" applyFont="1" applyFill="1"/>
    <xf numFmtId="175" fontId="0" fillId="40" borderId="0" xfId="1" applyNumberFormat="1" applyFont="1" applyFill="1"/>
    <xf numFmtId="175" fontId="82" fillId="0" borderId="36" xfId="0" applyNumberFormat="1" applyFont="1" applyBorder="1"/>
    <xf numFmtId="0" fontId="39" fillId="0" borderId="0" xfId="0" applyFont="1" applyAlignment="1">
      <alignment horizontal="right"/>
    </xf>
    <xf numFmtId="0" fontId="90" fillId="0" borderId="0" xfId="0" applyFont="1"/>
    <xf numFmtId="0" fontId="91" fillId="0" borderId="0" xfId="21" applyFont="1"/>
    <xf numFmtId="0" fontId="38" fillId="57" borderId="22" xfId="21" applyFont="1" applyFill="1" applyBorder="1" applyAlignment="1">
      <alignment vertical="center" wrapText="1"/>
    </xf>
    <xf numFmtId="0" fontId="93" fillId="2" borderId="32" xfId="21" applyFont="1" applyFill="1" applyBorder="1" applyAlignment="1">
      <alignment vertical="center" wrapText="1"/>
    </xf>
    <xf numFmtId="0" fontId="93" fillId="2" borderId="0" xfId="21" applyFont="1" applyFill="1" applyAlignment="1">
      <alignment horizontal="center"/>
    </xf>
    <xf numFmtId="0" fontId="91" fillId="2" borderId="33" xfId="21" applyFont="1" applyFill="1" applyBorder="1"/>
    <xf numFmtId="0" fontId="39" fillId="56" borderId="25" xfId="21" applyFont="1" applyFill="1" applyBorder="1" applyAlignment="1">
      <alignment horizontal="center" vertical="center"/>
    </xf>
    <xf numFmtId="0" fontId="39" fillId="56" borderId="23" xfId="21" applyFont="1" applyFill="1" applyBorder="1" applyAlignment="1">
      <alignment horizontal="center" vertical="center"/>
    </xf>
    <xf numFmtId="0" fontId="35" fillId="2" borderId="32" xfId="21" applyFont="1" applyFill="1" applyBorder="1" applyAlignment="1">
      <alignment vertical="center" wrapText="1"/>
    </xf>
    <xf numFmtId="0" fontId="35" fillId="2" borderId="0" xfId="21" applyFont="1" applyFill="1"/>
    <xf numFmtId="0" fontId="39" fillId="2" borderId="0" xfId="21" applyFont="1" applyFill="1"/>
    <xf numFmtId="0" fontId="35" fillId="2" borderId="33" xfId="21" applyFont="1" applyFill="1" applyBorder="1"/>
    <xf numFmtId="0" fontId="39" fillId="56" borderId="83" xfId="21" applyFont="1" applyFill="1" applyBorder="1" applyAlignment="1">
      <alignment vertical="center"/>
    </xf>
    <xf numFmtId="0" fontId="39" fillId="56" borderId="22" xfId="21" applyFont="1" applyFill="1" applyBorder="1" applyAlignment="1">
      <alignment horizontal="left" vertical="center"/>
    </xf>
    <xf numFmtId="0" fontId="39" fillId="2" borderId="32" xfId="21" applyFont="1" applyFill="1" applyBorder="1"/>
    <xf numFmtId="0" fontId="39" fillId="56" borderId="83" xfId="21" applyFont="1" applyFill="1" applyBorder="1" applyAlignment="1">
      <alignment horizontal="center" vertical="center"/>
    </xf>
    <xf numFmtId="0" fontId="39" fillId="56" borderId="79" xfId="21" applyFont="1" applyFill="1" applyBorder="1" applyAlignment="1">
      <alignment horizontal="center" vertical="center" wrapText="1"/>
    </xf>
    <xf numFmtId="179" fontId="39" fillId="56" borderId="79" xfId="11" applyNumberFormat="1" applyFont="1" applyFill="1" applyBorder="1" applyAlignment="1">
      <alignment horizontal="center" vertical="center" wrapText="1"/>
    </xf>
    <xf numFmtId="0" fontId="39" fillId="56" borderId="108" xfId="21" applyFont="1" applyFill="1" applyBorder="1" applyAlignment="1">
      <alignment horizontal="center" vertical="center" wrapText="1"/>
    </xf>
    <xf numFmtId="164" fontId="90" fillId="0" borderId="0" xfId="0" applyNumberFormat="1" applyFont="1"/>
    <xf numFmtId="167" fontId="35" fillId="58" borderId="1" xfId="13" applyNumberFormat="1" applyFont="1" applyFill="1" applyBorder="1" applyAlignment="1">
      <alignment horizontal="center" wrapText="1"/>
    </xf>
    <xf numFmtId="167" fontId="35" fillId="0" borderId="1" xfId="13" applyNumberFormat="1" applyFont="1" applyFill="1" applyBorder="1" applyAlignment="1">
      <alignment horizontal="center" wrapText="1"/>
    </xf>
    <xf numFmtId="167" fontId="35" fillId="14" borderId="1" xfId="13" applyNumberFormat="1" applyFont="1" applyFill="1" applyBorder="1" applyAlignment="1">
      <alignment horizontal="center"/>
    </xf>
    <xf numFmtId="0" fontId="35" fillId="58" borderId="36" xfId="21" applyFont="1" applyFill="1" applyBorder="1" applyAlignment="1">
      <alignment horizontal="left" vertical="top" wrapText="1"/>
    </xf>
    <xf numFmtId="198" fontId="90" fillId="0" borderId="0" xfId="0" applyNumberFormat="1" applyFont="1"/>
    <xf numFmtId="197" fontId="39" fillId="14" borderId="37" xfId="21" applyNumberFormat="1" applyFont="1" applyFill="1" applyBorder="1" applyAlignment="1">
      <alignment horizontal="center" wrapText="1"/>
    </xf>
    <xf numFmtId="167" fontId="39" fillId="14" borderId="38" xfId="13" applyNumberFormat="1" applyFont="1" applyFill="1" applyBorder="1" applyAlignment="1">
      <alignment horizontal="center" wrapText="1"/>
    </xf>
    <xf numFmtId="167" fontId="35" fillId="14" borderId="38" xfId="13" applyNumberFormat="1" applyFont="1" applyFill="1" applyBorder="1" applyAlignment="1">
      <alignment horizontal="center" wrapText="1"/>
    </xf>
    <xf numFmtId="167" fontId="36" fillId="14" borderId="39" xfId="13" applyNumberFormat="1" applyFont="1" applyFill="1" applyBorder="1" applyAlignment="1">
      <alignment horizontal="center" vertical="center" wrapText="1"/>
    </xf>
    <xf numFmtId="167" fontId="35" fillId="42" borderId="0" xfId="0" applyNumberFormat="1" applyFont="1" applyFill="1"/>
    <xf numFmtId="199" fontId="35" fillId="0" borderId="0" xfId="0" applyNumberFormat="1" applyFont="1"/>
    <xf numFmtId="196" fontId="35" fillId="0" borderId="0" xfId="0" applyNumberFormat="1" applyFont="1"/>
    <xf numFmtId="175" fontId="35" fillId="0" borderId="0" xfId="0" applyNumberFormat="1" applyFont="1"/>
    <xf numFmtId="167" fontId="90" fillId="0" borderId="0" xfId="0" applyNumberFormat="1" applyFont="1"/>
    <xf numFmtId="175" fontId="39" fillId="40" borderId="0" xfId="0" applyNumberFormat="1" applyFont="1" applyFill="1"/>
    <xf numFmtId="179" fontId="90" fillId="0" borderId="0" xfId="0" applyNumberFormat="1" applyFont="1"/>
    <xf numFmtId="164" fontId="94" fillId="0" borderId="0" xfId="0" applyNumberFormat="1" applyFont="1"/>
    <xf numFmtId="0" fontId="90" fillId="38" borderId="112" xfId="0" applyFont="1" applyFill="1" applyBorder="1"/>
    <xf numFmtId="0" fontId="90" fillId="38" borderId="113" xfId="0" applyFont="1" applyFill="1" applyBorder="1"/>
    <xf numFmtId="0" fontId="95" fillId="38" borderId="114" xfId="0" applyFont="1" applyFill="1" applyBorder="1"/>
    <xf numFmtId="0" fontId="90" fillId="0" borderId="115" xfId="0" applyFont="1" applyBorder="1"/>
    <xf numFmtId="167" fontId="90" fillId="0" borderId="116" xfId="0" applyNumberFormat="1" applyFont="1" applyBorder="1"/>
    <xf numFmtId="0" fontId="90" fillId="0" borderId="117" xfId="0" applyFont="1" applyBorder="1"/>
    <xf numFmtId="0" fontId="90" fillId="59" borderId="118" xfId="0" applyFont="1" applyFill="1" applyBorder="1"/>
    <xf numFmtId="167" fontId="95" fillId="59" borderId="119" xfId="0" applyNumberFormat="1" applyFont="1" applyFill="1" applyBorder="1"/>
    <xf numFmtId="0" fontId="90" fillId="59" borderId="120" xfId="0" applyFont="1" applyFill="1" applyBorder="1"/>
    <xf numFmtId="0" fontId="94" fillId="0" borderId="0" xfId="0" applyFont="1"/>
    <xf numFmtId="0" fontId="3" fillId="0" borderId="1" xfId="0" applyFont="1" applyBorder="1"/>
    <xf numFmtId="0" fontId="0" fillId="0" borderId="1" xfId="0" applyBorder="1" applyAlignment="1">
      <alignment vertical="center" wrapText="1"/>
    </xf>
    <xf numFmtId="3" fontId="0" fillId="0" borderId="1" xfId="0" applyNumberFormat="1" applyBorder="1" applyAlignment="1">
      <alignment horizontal="right" vertical="center" wrapText="1"/>
    </xf>
    <xf numFmtId="3" fontId="3" fillId="0" borderId="1" xfId="0" applyNumberFormat="1" applyFont="1" applyBorder="1"/>
    <xf numFmtId="4" fontId="3" fillId="0" borderId="1" xfId="0" applyNumberFormat="1" applyFont="1" applyBorder="1"/>
    <xf numFmtId="175" fontId="3" fillId="40" borderId="1" xfId="0" applyNumberFormat="1" applyFont="1" applyFill="1" applyBorder="1"/>
    <xf numFmtId="175" fontId="0" fillId="0" borderId="1" xfId="0" applyNumberFormat="1" applyBorder="1"/>
    <xf numFmtId="3" fontId="3" fillId="40" borderId="19" xfId="0" applyNumberFormat="1" applyFont="1" applyFill="1" applyBorder="1" applyAlignment="1">
      <alignment horizontal="center" wrapText="1"/>
    </xf>
    <xf numFmtId="0" fontId="3" fillId="40" borderId="19" xfId="0" applyFont="1" applyFill="1" applyBorder="1" applyAlignment="1">
      <alignment horizontal="center" wrapText="1"/>
    </xf>
    <xf numFmtId="3" fontId="3" fillId="40" borderId="20" xfId="0" applyNumberFormat="1" applyFont="1" applyFill="1" applyBorder="1" applyAlignment="1">
      <alignment horizontal="center" wrapText="1"/>
    </xf>
    <xf numFmtId="3" fontId="3" fillId="40" borderId="2" xfId="0" applyNumberFormat="1" applyFont="1" applyFill="1" applyBorder="1" applyAlignment="1">
      <alignment horizontal="center" wrapText="1"/>
    </xf>
    <xf numFmtId="180" fontId="3" fillId="40" borderId="4" xfId="0" applyNumberFormat="1" applyFont="1" applyFill="1" applyBorder="1" applyAlignment="1">
      <alignment horizontal="center" wrapText="1"/>
    </xf>
    <xf numFmtId="173" fontId="3" fillId="40" borderId="4" xfId="0" applyNumberFormat="1" applyFont="1" applyFill="1" applyBorder="1" applyAlignment="1">
      <alignment horizontal="center" wrapText="1"/>
    </xf>
    <xf numFmtId="174" fontId="3" fillId="40" borderId="19" xfId="0" applyNumberFormat="1" applyFont="1" applyFill="1" applyBorder="1" applyAlignment="1">
      <alignment horizontal="center" wrapText="1"/>
    </xf>
    <xf numFmtId="3" fontId="3" fillId="40" borderId="19" xfId="0" applyNumberFormat="1" applyFont="1" applyFill="1" applyBorder="1" applyAlignment="1">
      <alignment wrapText="1"/>
    </xf>
    <xf numFmtId="3" fontId="3" fillId="40" borderId="20" xfId="0" applyNumberFormat="1" applyFont="1" applyFill="1" applyBorder="1" applyAlignment="1">
      <alignment wrapText="1"/>
    </xf>
    <xf numFmtId="3" fontId="3" fillId="60" borderId="21" xfId="0" applyNumberFormat="1" applyFont="1" applyFill="1" applyBorder="1" applyAlignment="1">
      <alignment horizontal="center" wrapText="1"/>
    </xf>
    <xf numFmtId="3" fontId="3" fillId="31" borderId="0" xfId="0" applyNumberFormat="1" applyFont="1" applyFill="1" applyAlignment="1">
      <alignment horizontal="center" wrapText="1"/>
    </xf>
    <xf numFmtId="3" fontId="3" fillId="40" borderId="71" xfId="0" applyNumberFormat="1" applyFont="1" applyFill="1" applyBorder="1" applyAlignment="1">
      <alignment wrapText="1"/>
    </xf>
    <xf numFmtId="181" fontId="95" fillId="40" borderId="0" xfId="0" applyNumberFormat="1" applyFont="1" applyFill="1"/>
    <xf numFmtId="3" fontId="3" fillId="33" borderId="19" xfId="0" applyNumberFormat="1" applyFont="1" applyFill="1" applyBorder="1" applyAlignment="1">
      <alignment horizontal="center" wrapText="1"/>
    </xf>
    <xf numFmtId="3" fontId="3" fillId="33" borderId="17" xfId="0" applyNumberFormat="1" applyFont="1" applyFill="1" applyBorder="1" applyAlignment="1">
      <alignment horizontal="center" wrapText="1"/>
    </xf>
    <xf numFmtId="0" fontId="97" fillId="61" borderId="1" xfId="0" applyFont="1" applyFill="1" applyBorder="1" applyAlignment="1">
      <alignment vertical="center" wrapText="1"/>
    </xf>
    <xf numFmtId="0" fontId="97" fillId="61" borderId="1" xfId="0" applyFont="1" applyFill="1" applyBorder="1" applyAlignment="1">
      <alignment horizontal="center" vertical="center" wrapText="1"/>
    </xf>
    <xf numFmtId="0" fontId="0" fillId="61" borderId="1" xfId="0" applyFill="1" applyBorder="1" applyAlignment="1">
      <alignment horizontal="center" vertical="center" wrapText="1"/>
    </xf>
    <xf numFmtId="0" fontId="99" fillId="62" borderId="1" xfId="0" applyFont="1" applyFill="1" applyBorder="1" applyAlignment="1">
      <alignment horizontal="center" vertical="center" wrapText="1"/>
    </xf>
    <xf numFmtId="0" fontId="96" fillId="62" borderId="1" xfId="24" applyFill="1" applyBorder="1" applyAlignment="1">
      <alignment vertical="center" wrapText="1"/>
    </xf>
    <xf numFmtId="3" fontId="99" fillId="62" borderId="1" xfId="0" applyNumberFormat="1" applyFont="1" applyFill="1" applyBorder="1" applyAlignment="1">
      <alignment horizontal="center" vertical="center" wrapText="1"/>
    </xf>
    <xf numFmtId="3" fontId="0" fillId="0" borderId="1" xfId="0" applyNumberFormat="1" applyBorder="1"/>
    <xf numFmtId="0" fontId="26" fillId="0" borderId="1" xfId="0" applyFont="1" applyBorder="1"/>
    <xf numFmtId="200" fontId="0" fillId="0" borderId="0" xfId="0" applyNumberFormat="1"/>
    <xf numFmtId="175" fontId="0" fillId="52" borderId="0" xfId="0" applyNumberFormat="1" applyFill="1"/>
    <xf numFmtId="3" fontId="3" fillId="18" borderId="60" xfId="0" applyNumberFormat="1" applyFont="1" applyFill="1" applyBorder="1" applyAlignment="1">
      <alignment horizontal="center" wrapText="1"/>
    </xf>
    <xf numFmtId="9" fontId="3" fillId="0" borderId="0" xfId="0" applyNumberFormat="1" applyFont="1"/>
    <xf numFmtId="10" fontId="3" fillId="0" borderId="0" xfId="0" applyNumberFormat="1" applyFont="1"/>
    <xf numFmtId="201" fontId="3" fillId="50" borderId="0" xfId="0" applyNumberFormat="1" applyFont="1" applyFill="1"/>
    <xf numFmtId="10" fontId="3" fillId="50" borderId="0" xfId="0" applyNumberFormat="1" applyFont="1" applyFill="1"/>
    <xf numFmtId="0" fontId="3" fillId="51" borderId="4" xfId="0" applyFont="1" applyFill="1" applyBorder="1" applyAlignment="1">
      <alignment horizontal="center"/>
    </xf>
    <xf numFmtId="0" fontId="3" fillId="51" borderId="4" xfId="0" applyFont="1" applyFill="1" applyBorder="1"/>
    <xf numFmtId="10" fontId="3" fillId="51" borderId="0" xfId="0" applyNumberFormat="1" applyFont="1" applyFill="1"/>
    <xf numFmtId="182" fontId="3" fillId="0" borderId="0" xfId="0" applyNumberFormat="1" applyFont="1" applyAlignment="1">
      <alignment horizontal="center"/>
    </xf>
    <xf numFmtId="182" fontId="0" fillId="0" borderId="0" xfId="0" applyNumberFormat="1" applyAlignment="1">
      <alignment horizontal="center"/>
    </xf>
    <xf numFmtId="182" fontId="56" fillId="0" borderId="0" xfId="0" applyNumberFormat="1" applyFont="1" applyAlignment="1">
      <alignment horizontal="center"/>
    </xf>
    <xf numFmtId="182" fontId="31" fillId="0" borderId="0" xfId="0" applyNumberFormat="1" applyFont="1" applyAlignment="1">
      <alignment horizontal="center"/>
    </xf>
    <xf numFmtId="182" fontId="3" fillId="18" borderId="0" xfId="0" applyNumberFormat="1" applyFont="1" applyFill="1" applyAlignment="1">
      <alignment horizontal="center"/>
    </xf>
    <xf numFmtId="182" fontId="30" fillId="18" borderId="0" xfId="0" applyNumberFormat="1" applyFont="1" applyFill="1" applyAlignment="1">
      <alignment horizontal="center"/>
    </xf>
    <xf numFmtId="175" fontId="82" fillId="0" borderId="0" xfId="0" applyNumberFormat="1" applyFont="1"/>
    <xf numFmtId="175" fontId="83" fillId="0" borderId="0" xfId="0" applyNumberFormat="1" applyFont="1"/>
    <xf numFmtId="175" fontId="6" fillId="0" borderId="0" xfId="0" applyNumberFormat="1" applyFont="1"/>
    <xf numFmtId="0" fontId="0" fillId="33" borderId="16" xfId="0" applyFill="1" applyBorder="1" applyAlignment="1">
      <alignment horizontal="center"/>
    </xf>
    <xf numFmtId="0" fontId="0" fillId="15" borderId="0" xfId="0" applyFill="1" applyAlignment="1">
      <alignment horizontal="left" vertical="top" wrapText="1"/>
    </xf>
    <xf numFmtId="0" fontId="20" fillId="2" borderId="0" xfId="0" applyFont="1" applyFill="1" applyAlignment="1">
      <alignment horizontal="center"/>
    </xf>
    <xf numFmtId="167" fontId="7" fillId="5" borderId="27" xfId="1" applyNumberFormat="1" applyFont="1" applyFill="1" applyBorder="1" applyAlignment="1" applyProtection="1">
      <alignment horizontal="left" vertical="center" wrapText="1"/>
      <protection locked="0"/>
    </xf>
    <xf numFmtId="167" fontId="7" fillId="5" borderId="28" xfId="1" applyNumberFormat="1" applyFont="1" applyFill="1" applyBorder="1" applyAlignment="1" applyProtection="1">
      <alignment horizontal="left" vertical="center" wrapText="1"/>
      <protection locked="0"/>
    </xf>
    <xf numFmtId="3" fontId="7" fillId="5" borderId="42" xfId="3" applyNumberFormat="1" applyFont="1" applyFill="1" applyBorder="1" applyAlignment="1" applyProtection="1">
      <alignment horizontal="center" vertical="center"/>
      <protection locked="0"/>
    </xf>
    <xf numFmtId="3" fontId="7" fillId="5" borderId="27" xfId="3" applyNumberFormat="1" applyFont="1" applyFill="1" applyBorder="1" applyAlignment="1" applyProtection="1">
      <alignment horizontal="center" vertical="center"/>
      <protection locked="0"/>
    </xf>
    <xf numFmtId="3" fontId="7" fillId="5" borderId="55" xfId="3" applyNumberFormat="1" applyFont="1" applyFill="1" applyBorder="1" applyAlignment="1" applyProtection="1">
      <alignment horizontal="center" vertical="center"/>
      <protection locked="0"/>
    </xf>
    <xf numFmtId="167" fontId="13" fillId="6" borderId="56" xfId="1" applyNumberFormat="1" applyFont="1" applyFill="1" applyBorder="1" applyAlignment="1" applyProtection="1">
      <alignment horizontal="center" vertical="center"/>
      <protection locked="0"/>
    </xf>
    <xf numFmtId="167" fontId="13" fillId="6" borderId="25" xfId="1" applyNumberFormat="1" applyFont="1" applyFill="1" applyBorder="1" applyAlignment="1" applyProtection="1">
      <alignment horizontal="center" vertical="center"/>
      <protection locked="0"/>
    </xf>
    <xf numFmtId="0" fontId="3" fillId="31" borderId="21" xfId="0" applyFont="1" applyFill="1" applyBorder="1" applyAlignment="1">
      <alignment horizontal="center"/>
    </xf>
    <xf numFmtId="0" fontId="3" fillId="31" borderId="19" xfId="0" applyFont="1" applyFill="1" applyBorder="1" applyAlignment="1">
      <alignment horizontal="center"/>
    </xf>
    <xf numFmtId="0" fontId="3" fillId="31" borderId="20" xfId="0" applyFont="1" applyFill="1" applyBorder="1" applyAlignment="1">
      <alignment horizontal="center"/>
    </xf>
    <xf numFmtId="0" fontId="3" fillId="31" borderId="3" xfId="0" applyFont="1" applyFill="1" applyBorder="1" applyAlignment="1">
      <alignment horizontal="center"/>
    </xf>
    <xf numFmtId="0" fontId="3" fillId="31" borderId="17" xfId="0" applyFont="1" applyFill="1" applyBorder="1" applyAlignment="1">
      <alignment horizontal="center"/>
    </xf>
    <xf numFmtId="0" fontId="3" fillId="31" borderId="18" xfId="0" applyFont="1" applyFill="1" applyBorder="1" applyAlignment="1">
      <alignment horizontal="center"/>
    </xf>
    <xf numFmtId="0" fontId="3" fillId="33" borderId="16" xfId="0" applyFont="1" applyFill="1" applyBorder="1" applyAlignment="1">
      <alignment horizontal="center"/>
    </xf>
    <xf numFmtId="0" fontId="3" fillId="33" borderId="5" xfId="0" applyFont="1" applyFill="1" applyBorder="1" applyAlignment="1">
      <alignment horizontal="center"/>
    </xf>
    <xf numFmtId="3" fontId="3" fillId="33" borderId="21" xfId="0" applyNumberFormat="1" applyFont="1" applyFill="1" applyBorder="1" applyAlignment="1">
      <alignment horizontal="center" wrapText="1"/>
    </xf>
    <xf numFmtId="3" fontId="3" fillId="33" borderId="19" xfId="0" applyNumberFormat="1" applyFont="1" applyFill="1" applyBorder="1" applyAlignment="1">
      <alignment horizontal="center" wrapText="1"/>
    </xf>
    <xf numFmtId="3" fontId="3" fillId="33" borderId="3" xfId="0" applyNumberFormat="1" applyFont="1" applyFill="1" applyBorder="1" applyAlignment="1">
      <alignment horizontal="center" wrapText="1"/>
    </xf>
    <xf numFmtId="3" fontId="3" fillId="33" borderId="17" xfId="0" applyNumberFormat="1" applyFont="1" applyFill="1" applyBorder="1" applyAlignment="1">
      <alignment horizontal="center" wrapText="1"/>
    </xf>
    <xf numFmtId="3" fontId="3" fillId="39" borderId="19" xfId="0" applyNumberFormat="1" applyFont="1" applyFill="1" applyBorder="1" applyAlignment="1">
      <alignment horizontal="center" wrapText="1"/>
    </xf>
    <xf numFmtId="3" fontId="3" fillId="39" borderId="20" xfId="0" applyNumberFormat="1" applyFont="1" applyFill="1" applyBorder="1" applyAlignment="1">
      <alignment horizontal="center" wrapText="1"/>
    </xf>
    <xf numFmtId="182" fontId="3" fillId="18" borderId="20" xfId="0" applyNumberFormat="1" applyFont="1" applyFill="1" applyBorder="1" applyAlignment="1">
      <alignment horizontal="center" wrapText="1"/>
    </xf>
    <xf numFmtId="182" fontId="3" fillId="18" borderId="71" xfId="0" applyNumberFormat="1" applyFont="1" applyFill="1" applyBorder="1" applyAlignment="1">
      <alignment horizontal="center" wrapText="1"/>
    </xf>
    <xf numFmtId="0" fontId="26" fillId="23" borderId="2" xfId="0" applyFont="1" applyFill="1" applyBorder="1" applyAlignment="1">
      <alignment horizontal="center" wrapText="1"/>
    </xf>
    <xf numFmtId="0" fontId="26" fillId="23" borderId="16" xfId="0" applyFont="1" applyFill="1" applyBorder="1" applyAlignment="1">
      <alignment horizontal="center" wrapText="1"/>
    </xf>
    <xf numFmtId="0" fontId="26" fillId="23" borderId="5" xfId="0" applyFont="1" applyFill="1" applyBorder="1" applyAlignment="1">
      <alignment horizontal="center" wrapText="1"/>
    </xf>
    <xf numFmtId="3" fontId="3" fillId="33" borderId="2" xfId="0" applyNumberFormat="1" applyFont="1" applyFill="1" applyBorder="1" applyAlignment="1">
      <alignment horizontal="center" wrapText="1"/>
    </xf>
    <xf numFmtId="3" fontId="3" fillId="33" borderId="16" xfId="0" applyNumberFormat="1" applyFont="1" applyFill="1" applyBorder="1" applyAlignment="1">
      <alignment horizontal="center" wrapText="1"/>
    </xf>
    <xf numFmtId="3" fontId="3" fillId="33" borderId="5" xfId="0" applyNumberFormat="1" applyFont="1" applyFill="1" applyBorder="1" applyAlignment="1">
      <alignment horizontal="center" wrapText="1"/>
    </xf>
    <xf numFmtId="175" fontId="3" fillId="38" borderId="2" xfId="0" applyNumberFormat="1" applyFont="1" applyFill="1" applyBorder="1" applyAlignment="1">
      <alignment horizontal="center"/>
    </xf>
    <xf numFmtId="175" fontId="3" fillId="38" borderId="16" xfId="0" applyNumberFormat="1" applyFont="1" applyFill="1" applyBorder="1" applyAlignment="1">
      <alignment horizontal="center"/>
    </xf>
    <xf numFmtId="175" fontId="3" fillId="38" borderId="5" xfId="0" applyNumberFormat="1" applyFont="1" applyFill="1" applyBorder="1" applyAlignment="1">
      <alignment horizontal="center"/>
    </xf>
    <xf numFmtId="0" fontId="3" fillId="46" borderId="21" xfId="0" applyFont="1" applyFill="1" applyBorder="1" applyAlignment="1">
      <alignment horizontal="center"/>
    </xf>
    <xf numFmtId="0" fontId="3" fillId="46" borderId="20" xfId="0" applyFont="1" applyFill="1" applyBorder="1" applyAlignment="1">
      <alignment horizontal="center"/>
    </xf>
    <xf numFmtId="3" fontId="3" fillId="39" borderId="21" xfId="0" applyNumberFormat="1" applyFont="1" applyFill="1" applyBorder="1" applyAlignment="1">
      <alignment horizontal="center" wrapText="1"/>
    </xf>
    <xf numFmtId="175" fontId="3" fillId="39" borderId="2" xfId="0" applyNumberFormat="1" applyFont="1" applyFill="1" applyBorder="1" applyAlignment="1">
      <alignment horizontal="center" wrapText="1"/>
    </xf>
    <xf numFmtId="175" fontId="3" fillId="39" borderId="16" xfId="0" applyNumberFormat="1" applyFont="1" applyFill="1" applyBorder="1" applyAlignment="1">
      <alignment horizontal="center" wrapText="1"/>
    </xf>
    <xf numFmtId="175" fontId="3" fillId="39" borderId="5" xfId="0" applyNumberFormat="1" applyFont="1" applyFill="1" applyBorder="1" applyAlignment="1">
      <alignment horizontal="center" wrapText="1"/>
    </xf>
    <xf numFmtId="3" fontId="3" fillId="33" borderId="62" xfId="0" applyNumberFormat="1" applyFont="1" applyFill="1" applyBorder="1" applyAlignment="1">
      <alignment horizontal="center" wrapText="1"/>
    </xf>
    <xf numFmtId="3" fontId="3" fillId="33" borderId="0" xfId="0" applyNumberFormat="1" applyFont="1" applyFill="1" applyAlignment="1">
      <alignment horizontal="center" wrapText="1"/>
    </xf>
    <xf numFmtId="3" fontId="3" fillId="31" borderId="19" xfId="0" applyNumberFormat="1" applyFont="1" applyFill="1" applyBorder="1" applyAlignment="1">
      <alignment horizontal="center" wrapText="1"/>
    </xf>
    <xf numFmtId="3" fontId="3" fillId="31" borderId="20" xfId="0" applyNumberFormat="1" applyFont="1" applyFill="1" applyBorder="1" applyAlignment="1">
      <alignment horizontal="center" wrapText="1"/>
    </xf>
    <xf numFmtId="3" fontId="3" fillId="31" borderId="17" xfId="0" applyNumberFormat="1" applyFont="1" applyFill="1" applyBorder="1" applyAlignment="1">
      <alignment horizontal="center" wrapText="1"/>
    </xf>
    <xf numFmtId="3" fontId="3" fillId="31" borderId="18" xfId="0" applyNumberFormat="1" applyFont="1" applyFill="1" applyBorder="1" applyAlignment="1">
      <alignment horizontal="center" wrapText="1"/>
    </xf>
    <xf numFmtId="0" fontId="9" fillId="27" borderId="0" xfId="0" applyFont="1" applyFill="1" applyAlignment="1">
      <alignment horizontal="center"/>
    </xf>
    <xf numFmtId="169" fontId="3" fillId="33" borderId="57" xfId="0" applyNumberFormat="1" applyFont="1" applyFill="1" applyBorder="1" applyAlignment="1">
      <alignment horizontal="center"/>
    </xf>
    <xf numFmtId="0" fontId="3" fillId="33" borderId="57" xfId="0" applyFont="1" applyFill="1" applyBorder="1" applyAlignment="1">
      <alignment horizontal="left" wrapText="1"/>
    </xf>
    <xf numFmtId="0" fontId="3" fillId="28" borderId="57" xfId="0" applyFont="1" applyFill="1" applyBorder="1" applyAlignment="1">
      <alignment horizontal="center" wrapText="1"/>
    </xf>
    <xf numFmtId="0" fontId="3" fillId="33" borderId="4" xfId="0" applyFont="1" applyFill="1" applyBorder="1" applyAlignment="1">
      <alignment horizontal="center" wrapText="1"/>
    </xf>
    <xf numFmtId="0" fontId="3" fillId="33" borderId="4" xfId="0" applyFont="1" applyFill="1" applyBorder="1" applyAlignment="1">
      <alignment horizontal="center"/>
    </xf>
    <xf numFmtId="0" fontId="3" fillId="0" borderId="57" xfId="0" applyFont="1" applyBorder="1" applyAlignment="1">
      <alignment horizontal="center" wrapText="1"/>
    </xf>
    <xf numFmtId="3" fontId="34" fillId="29" borderId="0" xfId="0" applyNumberFormat="1" applyFont="1" applyFill="1" applyAlignment="1">
      <alignment horizontal="center" wrapText="1"/>
    </xf>
    <xf numFmtId="3" fontId="3" fillId="60" borderId="2" xfId="0" applyNumberFormat="1" applyFont="1" applyFill="1" applyBorder="1" applyAlignment="1">
      <alignment horizontal="center" wrapText="1"/>
    </xf>
    <xf numFmtId="3" fontId="3" fillId="60" borderId="16" xfId="0" applyNumberFormat="1" applyFont="1" applyFill="1" applyBorder="1" applyAlignment="1">
      <alignment horizontal="center" wrapText="1"/>
    </xf>
    <xf numFmtId="3" fontId="3" fillId="60" borderId="5" xfId="0" applyNumberFormat="1" applyFont="1" applyFill="1" applyBorder="1" applyAlignment="1">
      <alignment horizontal="center" wrapText="1"/>
    </xf>
    <xf numFmtId="0" fontId="3" fillId="33" borderId="2" xfId="0" applyFont="1" applyFill="1" applyBorder="1" applyAlignment="1">
      <alignment horizontal="center"/>
    </xf>
    <xf numFmtId="0" fontId="3" fillId="38" borderId="2" xfId="0" applyFont="1" applyFill="1" applyBorder="1" applyAlignment="1">
      <alignment horizontal="center"/>
    </xf>
    <xf numFmtId="0" fontId="3" fillId="38" borderId="16" xfId="0" applyFont="1" applyFill="1" applyBorder="1" applyAlignment="1">
      <alignment horizontal="center"/>
    </xf>
    <xf numFmtId="0" fontId="3" fillId="38" borderId="5" xfId="0" applyFont="1" applyFill="1" applyBorder="1" applyAlignment="1">
      <alignment horizontal="center"/>
    </xf>
    <xf numFmtId="3" fontId="3" fillId="41" borderId="59" xfId="0" applyNumberFormat="1" applyFont="1" applyFill="1" applyBorder="1" applyAlignment="1">
      <alignment horizontal="center" wrapText="1"/>
    </xf>
    <xf numFmtId="3" fontId="3" fillId="41" borderId="60" xfId="0" applyNumberFormat="1" applyFont="1" applyFill="1" applyBorder="1" applyAlignment="1">
      <alignment horizontal="center" wrapText="1"/>
    </xf>
    <xf numFmtId="3" fontId="3" fillId="41" borderId="4" xfId="0" applyNumberFormat="1" applyFont="1" applyFill="1" applyBorder="1" applyAlignment="1">
      <alignment horizontal="center" wrapText="1"/>
    </xf>
    <xf numFmtId="43" fontId="55" fillId="0" borderId="1" xfId="0" applyNumberFormat="1" applyFont="1" applyBorder="1" applyAlignment="1">
      <alignment horizontal="center"/>
    </xf>
    <xf numFmtId="0" fontId="52" fillId="0" borderId="1" xfId="0" applyFont="1" applyBorder="1" applyAlignment="1">
      <alignment horizontal="center"/>
    </xf>
    <xf numFmtId="0" fontId="0" fillId="0" borderId="1" xfId="0" applyBorder="1" applyAlignment="1">
      <alignment horizontal="center"/>
    </xf>
    <xf numFmtId="167" fontId="53" fillId="0" borderId="1" xfId="0" applyNumberFormat="1" applyFont="1" applyBorder="1" applyAlignment="1">
      <alignment horizontal="left"/>
    </xf>
    <xf numFmtId="0" fontId="54" fillId="0" borderId="0" xfId="0" applyFont="1" applyAlignment="1">
      <alignment vertical="top" wrapText="1"/>
    </xf>
    <xf numFmtId="43" fontId="52" fillId="0" borderId="1" xfId="0" applyNumberFormat="1" applyFont="1" applyBorder="1" applyAlignment="1">
      <alignment horizontal="left"/>
    </xf>
    <xf numFmtId="43" fontId="55" fillId="0" borderId="1" xfId="0" applyNumberFormat="1" applyFont="1" applyBorder="1" applyAlignment="1">
      <alignment horizontal="left"/>
    </xf>
    <xf numFmtId="167" fontId="52" fillId="0" borderId="1" xfId="0" applyNumberFormat="1" applyFont="1" applyBorder="1" applyAlignment="1">
      <alignment horizontal="left"/>
    </xf>
    <xf numFmtId="167" fontId="55" fillId="0" borderId="1" xfId="0" applyNumberFormat="1" applyFont="1" applyBorder="1" applyAlignment="1">
      <alignment horizontal="left"/>
    </xf>
    <xf numFmtId="167" fontId="55" fillId="0" borderId="1" xfId="0" applyNumberFormat="1" applyFont="1" applyBorder="1" applyAlignment="1">
      <alignment horizontal="center"/>
    </xf>
    <xf numFmtId="167" fontId="55" fillId="0" borderId="1" xfId="0" applyNumberFormat="1" applyFont="1" applyBorder="1" applyAlignment="1">
      <alignment horizontal="left" wrapText="1"/>
    </xf>
    <xf numFmtId="0" fontId="52" fillId="0" borderId="1" xfId="0" applyFont="1" applyBorder="1" applyAlignment="1">
      <alignment horizontal="left"/>
    </xf>
    <xf numFmtId="43" fontId="55" fillId="0" borderId="1" xfId="0" applyNumberFormat="1" applyFont="1" applyBorder="1" applyAlignment="1">
      <alignment horizontal="left" vertical="top" wrapText="1"/>
    </xf>
    <xf numFmtId="0" fontId="52" fillId="0" borderId="1" xfId="0" applyFont="1" applyBorder="1" applyAlignment="1">
      <alignment horizontal="left" wrapText="1"/>
    </xf>
    <xf numFmtId="167" fontId="52" fillId="0" borderId="2" xfId="0" applyNumberFormat="1" applyFont="1" applyBorder="1" applyAlignment="1">
      <alignment horizontal="left"/>
    </xf>
    <xf numFmtId="0" fontId="0" fillId="0" borderId="16" xfId="0" applyBorder="1" applyAlignment="1">
      <alignment horizontal="left"/>
    </xf>
    <xf numFmtId="0" fontId="0" fillId="0" borderId="5" xfId="0" applyBorder="1" applyAlignment="1">
      <alignment horizontal="left"/>
    </xf>
    <xf numFmtId="0" fontId="55" fillId="0" borderId="1" xfId="0" applyFont="1" applyBorder="1" applyAlignment="1">
      <alignment horizontal="center"/>
    </xf>
    <xf numFmtId="43" fontId="55" fillId="0" borderId="1" xfId="0" applyNumberFormat="1" applyFont="1" applyBorder="1" applyAlignment="1">
      <alignment horizontal="left" wrapText="1"/>
    </xf>
    <xf numFmtId="0" fontId="3" fillId="2" borderId="22" xfId="0" applyFont="1" applyFill="1" applyBorder="1" applyAlignment="1">
      <alignment horizontal="center"/>
    </xf>
    <xf numFmtId="0" fontId="3" fillId="2" borderId="25" xfId="0" applyFont="1" applyFill="1" applyBorder="1" applyAlignment="1">
      <alignment horizontal="center"/>
    </xf>
    <xf numFmtId="0" fontId="3" fillId="2" borderId="23" xfId="0" applyFont="1" applyFill="1" applyBorder="1" applyAlignment="1">
      <alignment horizontal="center"/>
    </xf>
    <xf numFmtId="0" fontId="3" fillId="0" borderId="2" xfId="0" applyFont="1" applyBorder="1" applyAlignment="1">
      <alignment horizontal="center"/>
    </xf>
    <xf numFmtId="0" fontId="3" fillId="0" borderId="5" xfId="0" applyFont="1" applyBorder="1" applyAlignment="1">
      <alignment horizontal="center"/>
    </xf>
    <xf numFmtId="43" fontId="37" fillId="43" borderId="3" xfId="1" applyFont="1" applyFill="1" applyBorder="1" applyAlignment="1">
      <alignment horizontal="center" vertical="center"/>
    </xf>
    <xf numFmtId="43" fontId="37" fillId="43" borderId="17" xfId="1" applyFont="1" applyFill="1" applyBorder="1" applyAlignment="1">
      <alignment horizontal="center" vertical="center"/>
    </xf>
    <xf numFmtId="43" fontId="37" fillId="43" borderId="18" xfId="1" applyFont="1" applyFill="1" applyBorder="1" applyAlignment="1">
      <alignment horizontal="center" vertical="center"/>
    </xf>
    <xf numFmtId="0" fontId="35" fillId="0" borderId="2" xfId="0" applyFont="1" applyBorder="1" applyAlignment="1">
      <alignment horizontal="left" vertical="center" wrapText="1"/>
    </xf>
    <xf numFmtId="0" fontId="35" fillId="0" borderId="16" xfId="0" applyFont="1" applyBorder="1" applyAlignment="1">
      <alignment horizontal="left" vertical="center" wrapText="1"/>
    </xf>
    <xf numFmtId="0" fontId="35" fillId="0" borderId="5" xfId="0" applyFont="1" applyBorder="1" applyAlignment="1">
      <alignment horizontal="left" vertical="center" wrapText="1"/>
    </xf>
    <xf numFmtId="0" fontId="35" fillId="0" borderId="2" xfId="0" applyFont="1" applyBorder="1" applyAlignment="1">
      <alignment horizontal="left" vertical="center"/>
    </xf>
    <xf numFmtId="0" fontId="35" fillId="0" borderId="16" xfId="0" applyFont="1" applyBorder="1" applyAlignment="1">
      <alignment horizontal="left" vertical="center"/>
    </xf>
    <xf numFmtId="0" fontId="35" fillId="0" borderId="5" xfId="0" applyFont="1" applyBorder="1" applyAlignment="1">
      <alignment horizontal="left" vertical="center"/>
    </xf>
    <xf numFmtId="0" fontId="39" fillId="38" borderId="63" xfId="0" applyFont="1" applyFill="1" applyBorder="1" applyAlignment="1">
      <alignment horizontal="left" wrapText="1"/>
    </xf>
    <xf numFmtId="0" fontId="39" fillId="38" borderId="64" xfId="0" applyFont="1" applyFill="1" applyBorder="1" applyAlignment="1">
      <alignment horizontal="left" wrapText="1"/>
    </xf>
    <xf numFmtId="0" fontId="39" fillId="38" borderId="41" xfId="0" applyFont="1" applyFill="1" applyBorder="1" applyAlignment="1">
      <alignment horizontal="left" wrapText="1"/>
    </xf>
    <xf numFmtId="43" fontId="37" fillId="43" borderId="2" xfId="1" applyFont="1" applyFill="1" applyBorder="1" applyAlignment="1">
      <alignment horizontal="left" vertical="center"/>
    </xf>
    <xf numFmtId="43" fontId="37" fillId="43" borderId="16" xfId="1" applyFont="1" applyFill="1" applyBorder="1" applyAlignment="1">
      <alignment horizontal="left" vertical="center"/>
    </xf>
    <xf numFmtId="43" fontId="37" fillId="43" borderId="5" xfId="1" applyFont="1" applyFill="1" applyBorder="1" applyAlignment="1">
      <alignment horizontal="left" vertical="center"/>
    </xf>
    <xf numFmtId="43" fontId="37" fillId="43" borderId="2" xfId="1" applyFont="1" applyFill="1" applyBorder="1" applyAlignment="1">
      <alignment horizontal="center" vertical="center"/>
    </xf>
    <xf numFmtId="43" fontId="37" fillId="43" borderId="16" xfId="1" applyFont="1" applyFill="1" applyBorder="1" applyAlignment="1">
      <alignment horizontal="center" vertical="center"/>
    </xf>
    <xf numFmtId="43" fontId="37" fillId="43" borderId="5" xfId="1" applyFont="1" applyFill="1" applyBorder="1" applyAlignment="1">
      <alignment horizontal="center" vertical="center"/>
    </xf>
    <xf numFmtId="0" fontId="35" fillId="0" borderId="66" xfId="0" applyFont="1" applyBorder="1" applyAlignment="1">
      <alignment horizontal="left"/>
    </xf>
    <xf numFmtId="0" fontId="35" fillId="0" borderId="16" xfId="0" applyFont="1" applyBorder="1" applyAlignment="1">
      <alignment horizontal="left"/>
    </xf>
    <xf numFmtId="0" fontId="35" fillId="0" borderId="5" xfId="0" applyFont="1" applyBorder="1" applyAlignment="1">
      <alignment horizontal="left"/>
    </xf>
    <xf numFmtId="0" fontId="36" fillId="0" borderId="2" xfId="0" applyFont="1" applyBorder="1" applyAlignment="1">
      <alignment horizontal="left" vertical="center" wrapText="1"/>
    </xf>
    <xf numFmtId="0" fontId="36" fillId="0" borderId="16" xfId="0" applyFont="1" applyBorder="1" applyAlignment="1">
      <alignment horizontal="left" vertical="center" wrapText="1"/>
    </xf>
    <xf numFmtId="0" fontId="36" fillId="0" borderId="5" xfId="0" applyFont="1" applyBorder="1" applyAlignment="1">
      <alignment horizontal="left" vertical="center" wrapText="1"/>
    </xf>
    <xf numFmtId="0" fontId="35" fillId="2" borderId="66" xfId="0" applyFont="1" applyFill="1" applyBorder="1" applyAlignment="1">
      <alignment horizontal="left"/>
    </xf>
    <xf numFmtId="0" fontId="35" fillId="2" borderId="16" xfId="0" applyFont="1" applyFill="1" applyBorder="1" applyAlignment="1">
      <alignment horizontal="left"/>
    </xf>
    <xf numFmtId="0" fontId="35" fillId="2" borderId="5" xfId="0" applyFont="1" applyFill="1" applyBorder="1" applyAlignment="1">
      <alignment horizontal="left"/>
    </xf>
    <xf numFmtId="43" fontId="37" fillId="11" borderId="2" xfId="1" applyFont="1" applyFill="1" applyBorder="1" applyAlignment="1">
      <alignment horizontal="center" vertical="center" wrapText="1"/>
    </xf>
    <xf numFmtId="43" fontId="37" fillId="11" borderId="16" xfId="1" applyFont="1" applyFill="1" applyBorder="1" applyAlignment="1">
      <alignment horizontal="center" vertical="center" wrapText="1"/>
    </xf>
    <xf numFmtId="43" fontId="37" fillId="11" borderId="5" xfId="1" applyFont="1" applyFill="1" applyBorder="1" applyAlignment="1">
      <alignment horizontal="center" vertical="center" wrapText="1"/>
    </xf>
    <xf numFmtId="0" fontId="39" fillId="38" borderId="66" xfId="0" applyFont="1" applyFill="1" applyBorder="1" applyAlignment="1">
      <alignment horizontal="left"/>
    </xf>
    <xf numFmtId="0" fontId="39" fillId="38" borderId="16" xfId="0" applyFont="1" applyFill="1" applyBorder="1" applyAlignment="1">
      <alignment horizontal="left"/>
    </xf>
    <xf numFmtId="0" fontId="39" fillId="38" borderId="5" xfId="0" applyFont="1" applyFill="1" applyBorder="1" applyAlignment="1">
      <alignment horizontal="left"/>
    </xf>
    <xf numFmtId="43" fontId="37" fillId="11" borderId="2" xfId="1" applyFont="1" applyFill="1" applyBorder="1" applyAlignment="1">
      <alignment horizontal="left" vertical="center" wrapText="1"/>
    </xf>
    <xf numFmtId="43" fontId="37" fillId="11" borderId="16" xfId="1" applyFont="1" applyFill="1" applyBorder="1" applyAlignment="1">
      <alignment horizontal="left" vertical="center" wrapText="1"/>
    </xf>
    <xf numFmtId="43" fontId="37" fillId="11" borderId="5" xfId="1" applyFont="1" applyFill="1" applyBorder="1" applyAlignment="1">
      <alignment horizontal="left" vertical="center" wrapText="1"/>
    </xf>
    <xf numFmtId="0" fontId="35" fillId="0" borderId="66" xfId="0" applyFont="1" applyBorder="1" applyAlignment="1">
      <alignment horizontal="left" wrapText="1"/>
    </xf>
    <xf numFmtId="0" fontId="35" fillId="0" borderId="16" xfId="0" applyFont="1" applyBorder="1" applyAlignment="1">
      <alignment horizontal="left" wrapText="1"/>
    </xf>
    <xf numFmtId="0" fontId="35" fillId="0" borderId="5" xfId="0" applyFont="1" applyBorder="1" applyAlignment="1">
      <alignment horizontal="left" wrapText="1"/>
    </xf>
    <xf numFmtId="167" fontId="36" fillId="0" borderId="2" xfId="10" applyNumberFormat="1" applyFont="1" applyFill="1" applyBorder="1" applyAlignment="1">
      <alignment horizontal="left"/>
    </xf>
    <xf numFmtId="167" fontId="36" fillId="0" borderId="16" xfId="10" applyNumberFormat="1" applyFont="1" applyFill="1" applyBorder="1" applyAlignment="1">
      <alignment horizontal="left"/>
    </xf>
    <xf numFmtId="167" fontId="36" fillId="0" borderId="5" xfId="10" applyNumberFormat="1" applyFont="1" applyFill="1" applyBorder="1" applyAlignment="1">
      <alignment horizontal="left"/>
    </xf>
    <xf numFmtId="43" fontId="37" fillId="43" borderId="2" xfId="1" applyFont="1" applyFill="1" applyBorder="1" applyAlignment="1">
      <alignment horizontal="left" vertical="center" wrapText="1"/>
    </xf>
    <xf numFmtId="43" fontId="37" fillId="43" borderId="16" xfId="1" applyFont="1" applyFill="1" applyBorder="1" applyAlignment="1">
      <alignment horizontal="left" vertical="center" wrapText="1"/>
    </xf>
    <xf numFmtId="43" fontId="37" fillId="43" borderId="5" xfId="1" applyFont="1" applyFill="1" applyBorder="1" applyAlignment="1">
      <alignment horizontal="left" vertical="center" wrapText="1"/>
    </xf>
    <xf numFmtId="43" fontId="37" fillId="43" borderId="21" xfId="1" applyFont="1" applyFill="1" applyBorder="1" applyAlignment="1">
      <alignment horizontal="left" vertical="center" wrapText="1"/>
    </xf>
    <xf numFmtId="167" fontId="38" fillId="43" borderId="68" xfId="1" applyNumberFormat="1" applyFont="1" applyFill="1" applyBorder="1" applyAlignment="1">
      <alignment horizontal="center" vertical="top"/>
    </xf>
    <xf numFmtId="167" fontId="38" fillId="43" borderId="69" xfId="1" applyNumberFormat="1" applyFont="1" applyFill="1" applyBorder="1" applyAlignment="1">
      <alignment horizontal="center" vertical="top"/>
    </xf>
    <xf numFmtId="0" fontId="42" fillId="0" borderId="32" xfId="0" applyFont="1" applyBorder="1" applyAlignment="1">
      <alignment horizontal="left" vertical="center" wrapText="1"/>
    </xf>
    <xf numFmtId="3" fontId="36" fillId="0" borderId="0" xfId="0" applyNumberFormat="1" applyFont="1" applyAlignment="1">
      <alignment horizontal="center"/>
    </xf>
    <xf numFmtId="43" fontId="35" fillId="0" borderId="1" xfId="7" applyFont="1" applyBorder="1" applyAlignment="1">
      <alignment horizontal="left" vertical="top"/>
    </xf>
    <xf numFmtId="43" fontId="37" fillId="43" borderId="40" xfId="1" applyFont="1" applyFill="1" applyBorder="1" applyAlignment="1">
      <alignment horizontal="center" vertical="center" wrapText="1"/>
    </xf>
    <xf numFmtId="43" fontId="37" fillId="43" borderId="41" xfId="1" applyFont="1" applyFill="1" applyBorder="1" applyAlignment="1">
      <alignment horizontal="center" vertical="center" wrapText="1"/>
    </xf>
    <xf numFmtId="0" fontId="36" fillId="0" borderId="16" xfId="0" applyFont="1" applyBorder="1" applyAlignment="1">
      <alignment horizontal="left"/>
    </xf>
    <xf numFmtId="0" fontId="36" fillId="0" borderId="5" xfId="0" applyFont="1" applyBorder="1" applyAlignment="1">
      <alignment horizontal="left"/>
    </xf>
    <xf numFmtId="0" fontId="36" fillId="0" borderId="2" xfId="0" applyFont="1" applyBorder="1" applyAlignment="1">
      <alignment horizontal="left"/>
    </xf>
    <xf numFmtId="0" fontId="35" fillId="38" borderId="22" xfId="0" applyFont="1" applyFill="1" applyBorder="1" applyAlignment="1">
      <alignment horizontal="left"/>
    </xf>
    <xf numFmtId="0" fontId="35" fillId="38" borderId="25" xfId="0" applyFont="1" applyFill="1" applyBorder="1" applyAlignment="1">
      <alignment horizontal="left"/>
    </xf>
    <xf numFmtId="43" fontId="35" fillId="0" borderId="2" xfId="7" applyFont="1" applyBorder="1" applyAlignment="1">
      <alignment horizontal="left" vertical="top"/>
    </xf>
    <xf numFmtId="43" fontId="35" fillId="0" borderId="16" xfId="7" applyFont="1" applyBorder="1" applyAlignment="1">
      <alignment horizontal="left" vertical="top"/>
    </xf>
    <xf numFmtId="43" fontId="35" fillId="0" borderId="5" xfId="7" applyFont="1" applyBorder="1" applyAlignment="1">
      <alignment horizontal="left" vertical="top"/>
    </xf>
    <xf numFmtId="43" fontId="35" fillId="0" borderId="1" xfId="7" applyFont="1" applyBorder="1" applyAlignment="1">
      <alignment horizontal="left" vertical="top" wrapText="1"/>
    </xf>
    <xf numFmtId="43" fontId="35" fillId="0" borderId="59" xfId="7" applyFont="1" applyBorder="1" applyAlignment="1">
      <alignment horizontal="left" vertical="top"/>
    </xf>
    <xf numFmtId="0" fontId="59" fillId="42" borderId="1" xfId="0" applyFont="1" applyFill="1" applyBorder="1" applyAlignment="1">
      <alignment horizontal="left" vertical="center"/>
    </xf>
    <xf numFmtId="0" fontId="59" fillId="42" borderId="1" xfId="0" applyFont="1" applyFill="1" applyBorder="1" applyAlignment="1">
      <alignment horizontal="left" vertical="top" wrapText="1"/>
    </xf>
    <xf numFmtId="0" fontId="58" fillId="0" borderId="1" xfId="0" applyFont="1" applyBorder="1" applyAlignment="1">
      <alignment horizontal="left" vertical="center"/>
    </xf>
    <xf numFmtId="43" fontId="61" fillId="0" borderId="2" xfId="1" applyFont="1" applyFill="1" applyBorder="1" applyAlignment="1"/>
    <xf numFmtId="43" fontId="61" fillId="0" borderId="5" xfId="1" applyFont="1" applyFill="1" applyBorder="1" applyAlignment="1"/>
    <xf numFmtId="43" fontId="61" fillId="2" borderId="2" xfId="1" applyFont="1" applyFill="1" applyBorder="1" applyAlignment="1"/>
    <xf numFmtId="43" fontId="61" fillId="2" borderId="5" xfId="1" applyFont="1" applyFill="1" applyBorder="1" applyAlignment="1"/>
    <xf numFmtId="0" fontId="59" fillId="0" borderId="1" xfId="0" applyFont="1" applyBorder="1" applyAlignment="1">
      <alignment horizontal="left" vertical="center"/>
    </xf>
    <xf numFmtId="0" fontId="58" fillId="0" borderId="2" xfId="0" applyFont="1" applyBorder="1" applyAlignment="1">
      <alignment horizontal="left" vertical="center"/>
    </xf>
    <xf numFmtId="0" fontId="58" fillId="0" borderId="16" xfId="0" applyFont="1" applyBorder="1" applyAlignment="1">
      <alignment horizontal="left" vertical="center"/>
    </xf>
    <xf numFmtId="0" fontId="58" fillId="0" borderId="5" xfId="0" applyFont="1" applyBorder="1" applyAlignment="1">
      <alignment horizontal="left" vertical="center"/>
    </xf>
    <xf numFmtId="0" fontId="59" fillId="0" borderId="2" xfId="0" applyFont="1" applyBorder="1" applyAlignment="1">
      <alignment horizontal="right"/>
    </xf>
    <xf numFmtId="0" fontId="59" fillId="0" borderId="5" xfId="0" applyFont="1" applyBorder="1" applyAlignment="1">
      <alignment horizontal="right"/>
    </xf>
    <xf numFmtId="0" fontId="58" fillId="0" borderId="2" xfId="0" applyFont="1" applyBorder="1" applyAlignment="1">
      <alignment horizontal="right"/>
    </xf>
    <xf numFmtId="0" fontId="58" fillId="0" borderId="5" xfId="0" applyFont="1" applyBorder="1" applyAlignment="1">
      <alignment horizontal="right"/>
    </xf>
    <xf numFmtId="2" fontId="58" fillId="0" borderId="2" xfId="0" applyNumberFormat="1" applyFont="1" applyBorder="1" applyAlignment="1">
      <alignment horizontal="right"/>
    </xf>
    <xf numFmtId="2" fontId="58" fillId="0" borderId="5" xfId="0" applyNumberFormat="1" applyFont="1" applyBorder="1" applyAlignment="1">
      <alignment horizontal="right"/>
    </xf>
    <xf numFmtId="2" fontId="58" fillId="0" borderId="2" xfId="0" applyNumberFormat="1" applyFont="1" applyBorder="1" applyAlignment="1">
      <alignment horizontal="right" vertical="center"/>
    </xf>
    <xf numFmtId="2" fontId="58" fillId="0" borderId="5" xfId="0" applyNumberFormat="1" applyFont="1" applyBorder="1" applyAlignment="1">
      <alignment horizontal="right" vertical="center"/>
    </xf>
    <xf numFmtId="0" fontId="58" fillId="0" borderId="2" xfId="0" applyFont="1" applyBorder="1" applyAlignment="1">
      <alignment horizontal="right" vertical="center"/>
    </xf>
    <xf numFmtId="0" fontId="58" fillId="0" borderId="5" xfId="0" applyFont="1" applyBorder="1" applyAlignment="1">
      <alignment horizontal="right" vertical="center"/>
    </xf>
    <xf numFmtId="0" fontId="92" fillId="58" borderId="25" xfId="21" applyFont="1" applyFill="1" applyBorder="1" applyAlignment="1">
      <alignment horizontal="center"/>
    </xf>
    <xf numFmtId="0" fontId="91" fillId="57" borderId="25" xfId="21" applyFont="1" applyFill="1" applyBorder="1" applyAlignment="1">
      <alignment horizontal="center"/>
    </xf>
    <xf numFmtId="0" fontId="91" fillId="57" borderId="23" xfId="21" applyFont="1" applyFill="1" applyBorder="1" applyAlignment="1">
      <alignment horizontal="center"/>
    </xf>
    <xf numFmtId="0" fontId="39" fillId="56" borderId="22" xfId="21" applyFont="1" applyFill="1" applyBorder="1" applyAlignment="1">
      <alignment horizontal="center" vertical="center"/>
    </xf>
    <xf numFmtId="0" fontId="39" fillId="56" borderId="25" xfId="21" applyFont="1" applyFill="1" applyBorder="1" applyAlignment="1">
      <alignment horizontal="center" vertical="center"/>
    </xf>
    <xf numFmtId="0" fontId="39" fillId="56" borderId="23" xfId="21" applyFont="1" applyFill="1" applyBorder="1" applyAlignment="1">
      <alignment horizontal="center" vertical="center"/>
    </xf>
    <xf numFmtId="1" fontId="41" fillId="58" borderId="107" xfId="21" applyNumberFormat="1" applyFont="1" applyFill="1" applyBorder="1" applyAlignment="1">
      <alignment vertical="center"/>
    </xf>
    <xf numFmtId="1" fontId="41" fillId="58" borderId="23" xfId="21" applyNumberFormat="1" applyFont="1" applyFill="1" applyBorder="1" applyAlignment="1">
      <alignment vertical="center"/>
    </xf>
    <xf numFmtId="0" fontId="3" fillId="29" borderId="109" xfId="0" applyFont="1" applyFill="1" applyBorder="1" applyAlignment="1">
      <alignment horizontal="center"/>
    </xf>
    <xf numFmtId="0" fontId="3" fillId="29" borderId="110" xfId="0" applyFont="1" applyFill="1" applyBorder="1" applyAlignment="1">
      <alignment horizontal="center"/>
    </xf>
    <xf numFmtId="0" fontId="3" fillId="29" borderId="111" xfId="0" applyFont="1" applyFill="1" applyBorder="1" applyAlignment="1">
      <alignment horizontal="center"/>
    </xf>
    <xf numFmtId="0" fontId="87" fillId="20" borderId="61" xfId="0" applyFont="1" applyFill="1" applyBorder="1" applyAlignment="1">
      <alignment horizontal="center"/>
    </xf>
    <xf numFmtId="167" fontId="86" fillId="14" borderId="40" xfId="1" applyNumberFormat="1" applyFont="1" applyFill="1" applyBorder="1" applyAlignment="1">
      <alignment horizontal="center" vertical="center" wrapText="1"/>
    </xf>
    <xf numFmtId="167" fontId="86" fillId="14" borderId="41" xfId="1" applyNumberFormat="1" applyFont="1" applyFill="1" applyBorder="1" applyAlignment="1">
      <alignment horizontal="center" vertical="center" wrapText="1"/>
    </xf>
    <xf numFmtId="0" fontId="75" fillId="52" borderId="1" xfId="19" applyFont="1" applyFill="1" applyBorder="1" applyAlignment="1">
      <alignment horizontal="center" wrapText="1"/>
    </xf>
    <xf numFmtId="0" fontId="81" fillId="0" borderId="1" xfId="19" applyFont="1" applyBorder="1" applyAlignment="1">
      <alignment horizontal="center"/>
    </xf>
    <xf numFmtId="0" fontId="81" fillId="0" borderId="22" xfId="19" applyFont="1" applyBorder="1" applyAlignment="1">
      <alignment horizontal="center"/>
    </xf>
    <xf numFmtId="0" fontId="81" fillId="0" borderId="25" xfId="19" applyFont="1" applyBorder="1" applyAlignment="1">
      <alignment horizontal="center"/>
    </xf>
    <xf numFmtId="0" fontId="81" fillId="0" borderId="23" xfId="19" applyFont="1" applyBorder="1" applyAlignment="1">
      <alignment horizontal="center"/>
    </xf>
    <xf numFmtId="0" fontId="75" fillId="52" borderId="2" xfId="19" applyFont="1" applyFill="1" applyBorder="1" applyAlignment="1">
      <alignment horizontal="center" vertical="center" wrapText="1"/>
    </xf>
    <xf numFmtId="0" fontId="75" fillId="52" borderId="16" xfId="19" applyFont="1" applyFill="1" applyBorder="1" applyAlignment="1">
      <alignment horizontal="center" vertical="center" wrapText="1"/>
    </xf>
    <xf numFmtId="0" fontId="75" fillId="52" borderId="5" xfId="19" applyFont="1" applyFill="1" applyBorder="1" applyAlignment="1">
      <alignment horizontal="center" vertical="center" wrapText="1"/>
    </xf>
    <xf numFmtId="0" fontId="75" fillId="52" borderId="22" xfId="19" applyFont="1" applyFill="1" applyBorder="1" applyAlignment="1">
      <alignment horizontal="center" wrapText="1"/>
    </xf>
    <xf numFmtId="0" fontId="75" fillId="52" borderId="25" xfId="19" applyFont="1" applyFill="1" applyBorder="1" applyAlignment="1">
      <alignment horizontal="center" wrapText="1"/>
    </xf>
    <xf numFmtId="0" fontId="0" fillId="38" borderId="90" xfId="0" applyFill="1" applyBorder="1" applyAlignment="1">
      <alignment horizontal="center"/>
    </xf>
    <xf numFmtId="0" fontId="0" fillId="38" borderId="91" xfId="0" applyFill="1" applyBorder="1" applyAlignment="1">
      <alignment horizontal="center"/>
    </xf>
    <xf numFmtId="0" fontId="65" fillId="29" borderId="98" xfId="0" applyFont="1" applyFill="1" applyBorder="1" applyAlignment="1">
      <alignment horizontal="center"/>
    </xf>
    <xf numFmtId="0" fontId="0" fillId="0" borderId="88" xfId="0" applyBorder="1" applyAlignment="1">
      <alignment horizontal="left" wrapText="1"/>
    </xf>
    <xf numFmtId="0" fontId="59" fillId="42" borderId="2" xfId="0" applyFont="1" applyFill="1" applyBorder="1" applyAlignment="1">
      <alignment horizontal="center" vertical="top" wrapText="1"/>
    </xf>
    <xf numFmtId="0" fontId="59" fillId="42" borderId="5" xfId="0" applyFont="1" applyFill="1" applyBorder="1" applyAlignment="1">
      <alignment horizontal="center" vertical="top" wrapText="1"/>
    </xf>
    <xf numFmtId="0" fontId="59" fillId="42" borderId="59" xfId="0" applyFont="1" applyFill="1" applyBorder="1" applyAlignment="1">
      <alignment horizontal="left" vertical="top" wrapText="1"/>
    </xf>
  </cellXfs>
  <cellStyles count="25">
    <cellStyle name="Comma" xfId="1" builtinId="3"/>
    <cellStyle name="Comma 10 3" xfId="15" xr:uid="{5D3D11EA-FEE3-43FC-A63E-CE62A8E3E41B}"/>
    <cellStyle name="Comma 129" xfId="6" xr:uid="{00000000-0005-0000-0000-000001000000}"/>
    <cellStyle name="Comma 2" xfId="7" xr:uid="{00000000-0005-0000-0000-000002000000}"/>
    <cellStyle name="Comma 2 3" xfId="23" xr:uid="{F859711A-FD08-4B6D-BD89-0581A3DAA375}"/>
    <cellStyle name="Comma 2 4" xfId="10" xr:uid="{D8B19B87-2F95-43FC-9D62-582904F7BA07}"/>
    <cellStyle name="Comma 3" xfId="11" xr:uid="{0440513C-D437-475A-AA77-47F118D7CEE0}"/>
    <cellStyle name="Comma 4" xfId="22" xr:uid="{16255B80-A088-44CF-86C4-43CD1AFFEE4B}"/>
    <cellStyle name="Comma 5" xfId="13" xr:uid="{11D8D7EF-5FAA-49C0-97C5-A727D28D91B0}"/>
    <cellStyle name="Currency" xfId="2" builtinId="4"/>
    <cellStyle name="Currency 2" xfId="8" xr:uid="{00000000-0005-0000-0000-000004000000}"/>
    <cellStyle name="Hyperlink" xfId="24" builtinId="8"/>
    <cellStyle name="Hyperlink 2" xfId="20" xr:uid="{93511303-2633-4AC1-9B01-FAD9DCA6DD33}"/>
    <cellStyle name="Normal" xfId="0" builtinId="0"/>
    <cellStyle name="Normal 10" xfId="9" xr:uid="{00000000-0005-0000-0000-000006000000}"/>
    <cellStyle name="Normal 17 5" xfId="4" xr:uid="{00000000-0005-0000-0000-000007000000}"/>
    <cellStyle name="Normal 19" xfId="3" xr:uid="{00000000-0005-0000-0000-000008000000}"/>
    <cellStyle name="Normal 2" xfId="16" xr:uid="{88D72CFA-0CCC-44E6-A0E8-5293025F2790}"/>
    <cellStyle name="Normal 3" xfId="12" xr:uid="{1A35FC9F-A06A-4B88-A39D-CAA7EB2CA76D}"/>
    <cellStyle name="Normal 4 4" xfId="18" xr:uid="{9C41358B-803E-4DA8-BD3B-D1EF8EE68B78}"/>
    <cellStyle name="Normal 49" xfId="5" xr:uid="{00000000-0005-0000-0000-000009000000}"/>
    <cellStyle name="Normal 5" xfId="17" xr:uid="{AB9CCA80-8785-4CFC-8A6D-653906DA4942}"/>
    <cellStyle name="Normal 7" xfId="19" xr:uid="{613BA758-E324-43C2-9F47-6CF5D494CAC3}"/>
    <cellStyle name="Normal_HYPOTHESES ATELIERS" xfId="21" xr:uid="{08AAF8C6-C318-4551-B861-96C17CCFEE64}"/>
    <cellStyle name="Percent" xfId="14" builtinId="5"/>
  </cellStyles>
  <dxfs count="125">
    <dxf>
      <font>
        <b/>
        <i val="0"/>
      </font>
      <fill>
        <patternFill>
          <bgColor rgb="FF92D050"/>
        </patternFill>
      </fill>
    </dxf>
    <dxf>
      <font>
        <b/>
        <i val="0"/>
      </font>
      <fill>
        <patternFill>
          <bgColor rgb="FFFF0000"/>
        </patternFill>
      </fill>
    </dxf>
    <dxf>
      <fill>
        <patternFill>
          <bgColor rgb="FF92D050"/>
        </patternFill>
      </fill>
    </dxf>
    <dxf>
      <font>
        <b/>
        <i val="0"/>
      </font>
      <fill>
        <patternFill>
          <bgColor rgb="FFFF0000"/>
        </patternFill>
      </fill>
    </dxf>
    <dxf>
      <font>
        <b/>
        <i val="0"/>
      </font>
      <fill>
        <patternFill>
          <bgColor rgb="FF92D050"/>
        </patternFill>
      </fill>
    </dxf>
    <dxf>
      <font>
        <b/>
        <i val="0"/>
      </font>
      <fill>
        <patternFill>
          <bgColor rgb="FFFF0000"/>
        </patternFill>
      </fill>
    </dxf>
    <dxf>
      <fill>
        <patternFill>
          <bgColor rgb="FF92D050"/>
        </patternFill>
      </fill>
    </dxf>
    <dxf>
      <font>
        <b/>
        <i val="0"/>
      </font>
      <fill>
        <patternFill>
          <bgColor rgb="FFFF0000"/>
        </patternFill>
      </fill>
    </dxf>
    <dxf>
      <font>
        <b/>
        <i val="0"/>
        <color theme="0"/>
      </font>
      <fill>
        <patternFill>
          <bgColor rgb="FF16365C"/>
        </patternFill>
      </fill>
    </dxf>
    <dxf>
      <font>
        <color theme="0"/>
      </font>
      <fill>
        <patternFill>
          <bgColor rgb="FF1F497D"/>
        </patternFill>
      </fill>
    </dxf>
    <dxf>
      <font>
        <color theme="0"/>
      </font>
      <fill>
        <patternFill>
          <bgColor theme="1" tint="0.499984740745262"/>
        </patternFill>
      </fill>
    </dxf>
    <dxf>
      <fill>
        <patternFill>
          <bgColor theme="0" tint="-0.14996795556505021"/>
        </patternFill>
      </fill>
    </dxf>
    <dxf>
      <fill>
        <patternFill>
          <bgColor theme="0"/>
        </patternFill>
      </fill>
    </dxf>
    <dxf>
      <font>
        <b/>
        <i val="0"/>
        <color theme="0"/>
      </font>
      <fill>
        <patternFill>
          <bgColor rgb="FF0F243E"/>
        </patternFill>
      </fill>
    </dxf>
    <dxf>
      <font>
        <color theme="0"/>
      </font>
      <fill>
        <patternFill>
          <bgColor rgb="FF1F497D"/>
        </patternFill>
      </fill>
    </dxf>
    <dxf>
      <font>
        <color theme="0"/>
      </font>
      <fill>
        <patternFill>
          <bgColor theme="1" tint="0.499984740745262"/>
        </patternFill>
      </fill>
    </dxf>
    <dxf>
      <fill>
        <patternFill>
          <bgColor theme="0" tint="-0.14996795556505021"/>
        </patternFill>
      </fill>
    </dxf>
    <dxf>
      <fill>
        <patternFill>
          <bgColor theme="0"/>
        </patternFill>
      </fill>
    </dxf>
    <dxf>
      <font>
        <b/>
        <i val="0"/>
        <color theme="0"/>
      </font>
      <fill>
        <patternFill>
          <bgColor rgb="FF0F243E"/>
        </patternFill>
      </fill>
    </dxf>
    <dxf>
      <font>
        <b/>
        <i val="0"/>
        <color theme="0"/>
      </font>
      <fill>
        <patternFill>
          <bgColor rgb="FF16365C"/>
        </patternFill>
      </fill>
    </dxf>
    <dxf>
      <font>
        <b/>
        <i val="0"/>
        <color theme="0"/>
      </font>
      <fill>
        <patternFill>
          <bgColor rgb="FF16365C"/>
        </patternFill>
      </fill>
    </dxf>
    <dxf>
      <font>
        <color theme="0"/>
      </font>
      <fill>
        <patternFill>
          <bgColor rgb="FF1F497D"/>
        </patternFill>
      </fill>
    </dxf>
    <dxf>
      <font>
        <color theme="0"/>
      </font>
      <fill>
        <patternFill>
          <bgColor theme="1" tint="0.499984740745262"/>
        </patternFill>
      </fill>
    </dxf>
    <dxf>
      <fill>
        <patternFill>
          <bgColor theme="0" tint="-0.14996795556505021"/>
        </patternFill>
      </fill>
    </dxf>
    <dxf>
      <fill>
        <patternFill>
          <bgColor theme="0"/>
        </patternFill>
      </fill>
    </dxf>
    <dxf>
      <font>
        <b/>
        <i val="0"/>
        <color theme="0"/>
      </font>
      <fill>
        <patternFill>
          <bgColor rgb="FF0F243E"/>
        </patternFill>
      </fill>
    </dxf>
    <dxf>
      <fill>
        <patternFill>
          <bgColor theme="6" tint="0.59996337778862885"/>
        </patternFill>
      </fill>
    </dxf>
    <dxf>
      <fill>
        <patternFill>
          <bgColor theme="6" tint="0.59996337778862885"/>
        </patternFill>
      </fill>
    </dxf>
    <dxf>
      <fill>
        <patternFill>
          <bgColor theme="2" tint="-0.24994659260841701"/>
        </patternFill>
      </fill>
    </dxf>
    <dxf>
      <fill>
        <patternFill>
          <bgColor theme="2" tint="-0.24994659260841701"/>
        </patternFill>
      </fill>
    </dxf>
    <dxf>
      <fill>
        <patternFill>
          <bgColor theme="4" tint="0.59996337778862885"/>
        </patternFill>
      </fill>
    </dxf>
    <dxf>
      <fill>
        <patternFill>
          <bgColor theme="4" tint="0.59996337778862885"/>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3" tint="0.749961851863155"/>
        </patternFill>
      </fill>
    </dxf>
    <dxf>
      <fill>
        <patternFill>
          <bgColor theme="3" tint="0.749961851863155"/>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bgColor theme="8" tint="0.59996337778862885"/>
        </patternFill>
      </fill>
    </dxf>
    <dxf>
      <fill>
        <patternFill>
          <bgColor theme="8" tint="0.59996337778862885"/>
        </patternFill>
      </fill>
    </dxf>
    <dxf>
      <fill>
        <patternFill>
          <bgColor theme="9" tint="0.59996337778862885"/>
        </patternFill>
      </fill>
    </dxf>
    <dxf>
      <fill>
        <patternFill>
          <bgColor theme="9" tint="0.59996337778862885"/>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ont>
        <strike val="0"/>
        <outline val="0"/>
        <shadow val="0"/>
        <u val="none"/>
        <vertAlign val="baseline"/>
        <sz val="10"/>
        <color rgb="FF0000FF"/>
        <name val="Calibri"/>
        <scheme val="minor"/>
      </font>
      <numFmt numFmtId="3" formatCode="#,##0"/>
      <border diagonalUp="0" diagonalDown="0">
        <left style="medium">
          <color auto="1"/>
        </left>
        <right style="medium">
          <color auto="1"/>
        </right>
        <top style="thin">
          <color auto="1"/>
        </top>
        <bottom style="thin">
          <color auto="1"/>
        </bottom>
        <vertical/>
      </border>
      <protection locked="0"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medium">
          <color indexed="64"/>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theme="1"/>
        <name val="Calibri"/>
        <scheme val="minor"/>
      </font>
      <numFmt numFmtId="3" formatCode="#,##0"/>
      <border diagonalUp="0" diagonalDown="0" outline="0">
        <left style="thin">
          <color auto="1"/>
        </left>
        <right style="thin">
          <color auto="1"/>
        </right>
        <top style="thin">
          <color auto="1"/>
        </top>
        <bottom style="thin">
          <color auto="1"/>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indexed="64"/>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medium">
          <color indexed="64"/>
        </left>
        <right style="thin">
          <color auto="1"/>
        </right>
        <top style="thin">
          <color auto="1"/>
        </top>
        <bottom style="thin">
          <color auto="1"/>
        </bottom>
      </border>
      <protection locked="1" hidden="0"/>
    </dxf>
    <dxf>
      <font>
        <strike val="0"/>
        <outline val="0"/>
        <shadow val="0"/>
        <u val="none"/>
        <vertAlign val="baseline"/>
        <sz val="10"/>
        <name val="Calibri"/>
        <scheme val="minor"/>
      </font>
      <numFmt numFmtId="3" formatCode="#,##0"/>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auto="1"/>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rgb="FF0000FF"/>
        <name val="Calibri"/>
        <scheme val="minor"/>
      </font>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FF"/>
        <name val="Calibri"/>
        <scheme val="minor"/>
      </font>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FF"/>
        <name val="Calibri"/>
        <family val="2"/>
        <scheme val="minor"/>
      </font>
      <fill>
        <patternFill patternType="solid">
          <fgColor indexed="64"/>
          <bgColor theme="0"/>
        </patternFill>
      </fill>
      <alignment horizontal="left"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rgb="FF0000FF"/>
        <name val="Calibri"/>
        <scheme val="minor"/>
      </font>
      <numFmt numFmtId="0" formatCode="General"/>
      <alignment horizontal="left" vertical="bottom" textRotation="0" wrapText="1" indent="0" justifyLastLine="0" shrinkToFit="0" readingOrder="0"/>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auto="1"/>
        </left>
        <right style="thin">
          <color indexed="64"/>
        </right>
        <top style="thin">
          <color indexed="64"/>
        </top>
        <bottom style="thin">
          <color indexed="64"/>
        </bottom>
      </border>
      <protection locked="1" hidden="0"/>
    </dxf>
    <dxf>
      <font>
        <strike val="0"/>
        <outline val="0"/>
        <shadow val="0"/>
        <u val="none"/>
        <vertAlign val="baseline"/>
        <sz val="10"/>
        <color rgb="FF0000FF"/>
        <name val="Calibri"/>
        <scheme val="minor"/>
      </font>
      <border diagonalUp="0" diagonalDown="0">
        <left style="thin">
          <color indexed="64"/>
        </left>
        <right style="thin">
          <color indexed="64"/>
        </right>
        <top style="thin">
          <color indexed="64"/>
        </top>
        <bottom style="thin">
          <color indexed="64"/>
        </bottom>
      </border>
      <protection locked="0" hidden="0"/>
    </dxf>
    <dxf>
      <font>
        <strike val="0"/>
        <outline val="0"/>
        <shadow val="0"/>
        <u val="none"/>
        <vertAlign val="baseline"/>
        <sz val="10"/>
        <name val="Calibri"/>
        <scheme val="minor"/>
      </font>
      <protection locked="0" hidden="0"/>
    </dxf>
    <dxf>
      <font>
        <b/>
        <i val="0"/>
        <strike val="0"/>
        <condense val="0"/>
        <extend val="0"/>
        <outline val="0"/>
        <shadow val="0"/>
        <u val="none"/>
        <vertAlign val="baseline"/>
        <sz val="10"/>
        <color theme="0"/>
        <name val="Calibri"/>
        <scheme val="minor"/>
      </font>
      <numFmt numFmtId="3" formatCode="#,##0"/>
      <fill>
        <patternFill patternType="solid">
          <fgColor indexed="64"/>
          <bgColor theme="1" tint="0.34998626667073579"/>
        </patternFill>
      </fill>
      <alignment horizontal="center" vertical="center" textRotation="0" wrapText="1"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numFmt numFmtId="165" formatCode="[$-409]d\ mmm\ yyyy;@"/>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numFmt numFmtId="0" formatCode="General"/>
      <fill>
        <patternFill patternType="none">
          <fgColor indexed="64"/>
          <bgColor auto="1"/>
        </patternFill>
      </fill>
      <alignment vertical="top" textRotation="0" indent="0" justifyLastLine="0" shrinkToFit="0" readingOrder="0"/>
      <protection locked="0" hidden="0"/>
    </dxf>
    <dxf>
      <font>
        <b val="0"/>
        <i val="0"/>
        <strike val="0"/>
        <condense val="0"/>
        <extend val="0"/>
        <outline val="0"/>
        <shadow val="0"/>
        <u val="none"/>
        <vertAlign val="baseline"/>
        <sz val="10"/>
        <color auto="1"/>
        <name val="Calibri"/>
        <family val="2"/>
        <scheme val="minor"/>
      </font>
      <numFmt numFmtId="4" formatCode="#,##0.00"/>
      <alignment horizontal="general" vertical="top" textRotation="0" wrapText="0" indent="0" justifyLastLine="0" shrinkToFit="0" readingOrder="0"/>
    </dxf>
    <dxf>
      <font>
        <strike val="0"/>
        <outline val="0"/>
        <shadow val="0"/>
        <u val="none"/>
        <vertAlign val="baseline"/>
        <sz val="10"/>
        <color auto="1"/>
        <name val="Calibri"/>
        <scheme val="minor"/>
      </font>
      <numFmt numFmtId="4" formatCode="#,##0.00"/>
      <fill>
        <patternFill patternType="none">
          <fgColor indexed="64"/>
          <bgColor auto="1"/>
        </patternFill>
      </fill>
      <alignment horizontal="general" vertical="top" textRotation="0" wrapText="0" indent="0" justifyLastLine="0" shrinkToFit="0" readingOrder="0"/>
      <protection locked="1" hidden="0"/>
    </dxf>
    <dxf>
      <font>
        <strike val="0"/>
        <outline val="0"/>
        <shadow val="0"/>
        <u val="none"/>
        <vertAlign val="baseline"/>
        <sz val="10"/>
        <color rgb="FF0000FF"/>
        <name val="Calibri"/>
        <scheme val="minor"/>
      </font>
      <numFmt numFmtId="3" formatCode="#,##0"/>
      <fill>
        <patternFill patternType="none">
          <fgColor indexed="64"/>
          <bgColor auto="1"/>
        </patternFill>
      </fill>
      <alignment horizontal="right"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b/>
        <i val="0"/>
        <strike val="0"/>
        <condense val="0"/>
        <extend val="0"/>
        <outline val="0"/>
        <shadow val="0"/>
        <u val="none"/>
        <vertAlign val="baseline"/>
        <sz val="10"/>
        <color theme="0"/>
        <name val="Calibri"/>
        <scheme val="minor"/>
      </font>
      <fill>
        <patternFill patternType="solid">
          <fgColor indexed="64"/>
          <bgColor theme="1"/>
        </patternFill>
      </fill>
      <alignment horizontal="general" vertical="center" textRotation="0" wrapText="0" indent="0" justifyLastLine="0" shrinkToFit="0" readingOrder="0"/>
      <border diagonalUp="0" diagonalDown="0">
        <left style="thin">
          <color theme="0"/>
        </left>
        <right style="thin">
          <color theme="0"/>
        </right>
        <top/>
        <bottom/>
      </border>
      <protection locked="1" hidden="0"/>
    </dxf>
    <dxf>
      <fill>
        <patternFill>
          <bgColor theme="0" tint="-0.14996795556505021"/>
        </patternFill>
      </fill>
      <border>
        <top style="thin">
          <color auto="1"/>
        </top>
        <bottom style="thin">
          <color auto="1"/>
        </bottom>
        <horizontal style="thin">
          <color auto="1"/>
        </horizontal>
      </border>
    </dxf>
  </dxfs>
  <tableStyles count="1" defaultTableStyle="TableStyleMedium2" defaultPivotStyle="PivotStyleLight16">
    <tableStyle name="Table Style 1" pivot="0" count="1" xr9:uid="{00000000-0011-0000-FFFF-FFFF00000000}">
      <tableStyleElement type="firstRowStripe" dxfId="124"/>
    </tableStyle>
  </tableStyles>
  <colors>
    <mruColors>
      <color rgb="FFFFFFFF"/>
      <color rgb="FF9F54AC"/>
      <color rgb="FF0000FF"/>
      <color rgb="FF16365C"/>
      <color rgb="FF0F243E"/>
      <color rgb="FFD8CFE3"/>
      <color rgb="FF8064A2"/>
      <color rgb="FFE26B0A"/>
      <color rgb="FF76933C"/>
      <color rgb="FF3186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6-1086-43BE-9CDA-F1E183A8F54B}"/>
              </c:ext>
            </c:extLst>
          </c:dPt>
          <c:dPt>
            <c:idx val="1"/>
            <c:invertIfNegative val="0"/>
            <c:bubble3D val="0"/>
            <c:extLst>
              <c:ext xmlns:c16="http://schemas.microsoft.com/office/drawing/2014/chart" uri="{C3380CC4-5D6E-409C-BE32-E72D297353CC}">
                <c16:uniqueId val="{0000000A-1086-43BE-9CDA-F1E183A8F54B}"/>
              </c:ext>
            </c:extLst>
          </c:dPt>
          <c:dPt>
            <c:idx val="2"/>
            <c:invertIfNegative val="0"/>
            <c:bubble3D val="0"/>
            <c:extLst>
              <c:ext xmlns:c16="http://schemas.microsoft.com/office/drawing/2014/chart" uri="{C3380CC4-5D6E-409C-BE32-E72D297353CC}">
                <c16:uniqueId val="{0000000C-1086-43BE-9CDA-F1E183A8F54B}"/>
              </c:ext>
            </c:extLst>
          </c:dPt>
          <c:dPt>
            <c:idx val="3"/>
            <c:invertIfNegative val="0"/>
            <c:bubble3D val="0"/>
            <c:extLst>
              <c:ext xmlns:c16="http://schemas.microsoft.com/office/drawing/2014/chart" uri="{C3380CC4-5D6E-409C-BE32-E72D297353CC}">
                <c16:uniqueId val="{0000000D-1086-43BE-9CDA-F1E183A8F54B}"/>
              </c:ext>
            </c:extLst>
          </c:dPt>
          <c:dPt>
            <c:idx val="4"/>
            <c:invertIfNegative val="0"/>
            <c:bubble3D val="0"/>
            <c:extLst>
              <c:ext xmlns:c16="http://schemas.microsoft.com/office/drawing/2014/chart" uri="{C3380CC4-5D6E-409C-BE32-E72D297353CC}">
                <c16:uniqueId val="{0000000E-1086-43BE-9CDA-F1E183A8F54B}"/>
              </c:ext>
            </c:extLst>
          </c:dPt>
          <c:dLbls>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'NSP Needs by Year'!$H$7:$L$7</c:f>
              <c:strCache>
                <c:ptCount val="5"/>
                <c:pt idx="0">
                  <c:v>2021</c:v>
                </c:pt>
                <c:pt idx="1">
                  <c:v>2022</c:v>
                </c:pt>
                <c:pt idx="2">
                  <c:v>2023</c:v>
                </c:pt>
                <c:pt idx="3">
                  <c:v>2024</c:v>
                </c:pt>
                <c:pt idx="4">
                  <c:v>2025</c:v>
                </c:pt>
              </c:strCache>
            </c:strRef>
          </c:cat>
          <c:val>
            <c:numRef>
              <c:f>'NSP Needs by Year'!$H$8:$L$8</c:f>
              <c:numCache>
                <c:formatCode>#,##0</c:formatCode>
                <c:ptCount val="5"/>
                <c:pt idx="0">
                  <c:v>0</c:v>
                </c:pt>
                <c:pt idx="1">
                  <c:v>0</c:v>
                </c:pt>
                <c:pt idx="2">
                  <c:v>0</c:v>
                </c:pt>
                <c:pt idx="3">
                  <c:v>0</c:v>
                </c:pt>
                <c:pt idx="4">
                  <c:v>7333767706282.3906</c:v>
                </c:pt>
              </c:numCache>
            </c:numRef>
          </c:val>
          <c:extLst>
            <c:ext xmlns:c16="http://schemas.microsoft.com/office/drawing/2014/chart" uri="{C3380CC4-5D6E-409C-BE32-E72D297353CC}">
              <c16:uniqueId val="{00000000-1086-43BE-9CDA-F1E183A8F54B}"/>
            </c:ext>
          </c:extLst>
        </c:ser>
        <c:dLbls>
          <c:dLblPos val="outEnd"/>
          <c:showLegendKey val="0"/>
          <c:showVal val="1"/>
          <c:showCatName val="0"/>
          <c:showSerName val="0"/>
          <c:showPercent val="0"/>
          <c:showBubbleSize val="0"/>
        </c:dLbls>
        <c:gapWidth val="219"/>
        <c:overlap val="-27"/>
        <c:axId val="1601021152"/>
        <c:axId val="1601019904"/>
      </c:barChart>
      <c:catAx>
        <c:axId val="16010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19904"/>
        <c:crosses val="autoZero"/>
        <c:auto val="1"/>
        <c:lblAlgn val="ctr"/>
        <c:lblOffset val="100"/>
        <c:noMultiLvlLbl val="0"/>
      </c:catAx>
      <c:valAx>
        <c:axId val="1601019904"/>
        <c:scaling>
          <c:orientation val="minMax"/>
        </c:scaling>
        <c:delete val="1"/>
        <c:axPos val="l"/>
        <c:numFmt formatCode="#,##0" sourceLinked="1"/>
        <c:majorTickMark val="none"/>
        <c:minorTickMark val="none"/>
        <c:tickLblPos val="nextTo"/>
        <c:crossAx val="1601021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'NSP Needs by Year'!$D$9</c:f>
              <c:strCache>
                <c:ptCount val="1"/>
                <c:pt idx="0">
                  <c:v>Objective 1</c:v>
                </c:pt>
              </c:strCache>
            </c:strRef>
          </c:tx>
          <c:spPr>
            <a:solidFill>
              <a:schemeClr val="accent1"/>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Year'!$H$9:$L$9</c:f>
              <c:numCache>
                <c:formatCode>#,##0</c:formatCode>
                <c:ptCount val="5"/>
                <c:pt idx="0">
                  <c:v>0</c:v>
                </c:pt>
                <c:pt idx="1">
                  <c:v>0</c:v>
                </c:pt>
                <c:pt idx="2">
                  <c:v>0</c:v>
                </c:pt>
                <c:pt idx="3">
                  <c:v>0</c:v>
                </c:pt>
                <c:pt idx="4">
                  <c:v>6858139697750.2949</c:v>
                </c:pt>
              </c:numCache>
            </c:numRef>
          </c:val>
          <c:extLst>
            <c:ext xmlns:c16="http://schemas.microsoft.com/office/drawing/2014/chart" uri="{C3380CC4-5D6E-409C-BE32-E72D297353CC}">
              <c16:uniqueId val="{00000000-AF5F-45BC-B59D-FE9EC70D75F4}"/>
            </c:ext>
          </c:extLst>
        </c:ser>
        <c:ser>
          <c:idx val="1"/>
          <c:order val="1"/>
          <c:tx>
            <c:strRef>
              <c:f>'NSP Needs by Year'!$D$10</c:f>
              <c:strCache>
                <c:ptCount val="1"/>
                <c:pt idx="0">
                  <c:v>Objective 2</c:v>
                </c:pt>
              </c:strCache>
            </c:strRef>
          </c:tx>
          <c:spPr>
            <a:solidFill>
              <a:schemeClr val="accent2"/>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Year'!$H$10:$L$10</c:f>
              <c:numCache>
                <c:formatCode>#,##0</c:formatCode>
                <c:ptCount val="5"/>
                <c:pt idx="0">
                  <c:v>0</c:v>
                </c:pt>
                <c:pt idx="1">
                  <c:v>0</c:v>
                </c:pt>
                <c:pt idx="2">
                  <c:v>0</c:v>
                </c:pt>
                <c:pt idx="3">
                  <c:v>0</c:v>
                </c:pt>
                <c:pt idx="4">
                  <c:v>441340633080.09705</c:v>
                </c:pt>
              </c:numCache>
            </c:numRef>
          </c:val>
          <c:extLst>
            <c:ext xmlns:c16="http://schemas.microsoft.com/office/drawing/2014/chart" uri="{C3380CC4-5D6E-409C-BE32-E72D297353CC}">
              <c16:uniqueId val="{00000001-AF5F-45BC-B59D-FE9EC70D75F4}"/>
            </c:ext>
          </c:extLst>
        </c:ser>
        <c:ser>
          <c:idx val="2"/>
          <c:order val="2"/>
          <c:tx>
            <c:strRef>
              <c:f>'NSP Needs by Year'!$D$11</c:f>
              <c:strCache>
                <c:ptCount val="1"/>
                <c:pt idx="0">
                  <c:v>Objective 3</c:v>
                </c:pt>
              </c:strCache>
            </c:strRef>
          </c:tx>
          <c:spPr>
            <a:solidFill>
              <a:schemeClr val="accent3"/>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Year'!$H$11:$L$11</c:f>
              <c:numCache>
                <c:formatCode>#,##0</c:formatCode>
                <c:ptCount val="5"/>
                <c:pt idx="0">
                  <c:v>0</c:v>
                </c:pt>
                <c:pt idx="1">
                  <c:v>0</c:v>
                </c:pt>
                <c:pt idx="2">
                  <c:v>0</c:v>
                </c:pt>
                <c:pt idx="3">
                  <c:v>0</c:v>
                </c:pt>
                <c:pt idx="4">
                  <c:v>9118142934</c:v>
                </c:pt>
              </c:numCache>
            </c:numRef>
          </c:val>
          <c:extLst>
            <c:ext xmlns:c16="http://schemas.microsoft.com/office/drawing/2014/chart" uri="{C3380CC4-5D6E-409C-BE32-E72D297353CC}">
              <c16:uniqueId val="{00000002-AF5F-45BC-B59D-FE9EC70D75F4}"/>
            </c:ext>
          </c:extLst>
        </c:ser>
        <c:ser>
          <c:idx val="3"/>
          <c:order val="3"/>
          <c:tx>
            <c:strRef>
              <c:f>'NSP Needs by Year'!$D$12</c:f>
              <c:strCache>
                <c:ptCount val="1"/>
                <c:pt idx="0">
                  <c:v>Objective 4</c:v>
                </c:pt>
              </c:strCache>
            </c:strRef>
          </c:tx>
          <c:spPr>
            <a:solidFill>
              <a:schemeClr val="accent4"/>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Year'!$H$12:$L$12</c:f>
              <c:numCache>
                <c:formatCode>#,##0</c:formatCode>
                <c:ptCount val="5"/>
                <c:pt idx="0">
                  <c:v>0</c:v>
                </c:pt>
                <c:pt idx="1">
                  <c:v>0</c:v>
                </c:pt>
                <c:pt idx="2">
                  <c:v>0</c:v>
                </c:pt>
                <c:pt idx="3">
                  <c:v>0</c:v>
                </c:pt>
                <c:pt idx="4">
                  <c:v>25063782518</c:v>
                </c:pt>
              </c:numCache>
            </c:numRef>
          </c:val>
          <c:extLst>
            <c:ext xmlns:c16="http://schemas.microsoft.com/office/drawing/2014/chart" uri="{C3380CC4-5D6E-409C-BE32-E72D297353CC}">
              <c16:uniqueId val="{00000003-AF5F-45BC-B59D-FE9EC70D75F4}"/>
            </c:ext>
          </c:extLst>
        </c:ser>
        <c:ser>
          <c:idx val="4"/>
          <c:order val="4"/>
          <c:tx>
            <c:strRef>
              <c:f>'NSP Needs by Year'!$D$13</c:f>
              <c:strCache>
                <c:ptCount val="1"/>
                <c:pt idx="0">
                  <c:v>Objective 5</c:v>
                </c:pt>
              </c:strCache>
            </c:strRef>
          </c:tx>
          <c:spPr>
            <a:solidFill>
              <a:schemeClr val="accent5"/>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Year'!$H$13:$L$13</c:f>
              <c:numCache>
                <c:formatCode>#,##0</c:formatCode>
                <c:ptCount val="5"/>
                <c:pt idx="0">
                  <c:v>0</c:v>
                </c:pt>
                <c:pt idx="1">
                  <c:v>0</c:v>
                </c:pt>
                <c:pt idx="2">
                  <c:v>0</c:v>
                </c:pt>
                <c:pt idx="3">
                  <c:v>0</c:v>
                </c:pt>
                <c:pt idx="4">
                  <c:v>105450000</c:v>
                </c:pt>
              </c:numCache>
            </c:numRef>
          </c:val>
          <c:extLst>
            <c:ext xmlns:c16="http://schemas.microsoft.com/office/drawing/2014/chart" uri="{C3380CC4-5D6E-409C-BE32-E72D297353CC}">
              <c16:uniqueId val="{00000004-AF5F-45BC-B59D-FE9EC70D75F4}"/>
            </c:ext>
          </c:extLst>
        </c:ser>
        <c:ser>
          <c:idx val="5"/>
          <c:order val="5"/>
          <c:tx>
            <c:strRef>
              <c:f>'NSP Needs by Year'!$D$14</c:f>
              <c:strCache>
                <c:ptCount val="1"/>
                <c:pt idx="0">
                  <c:v>Objective 6</c:v>
                </c:pt>
              </c:strCache>
            </c:strRef>
          </c:tx>
          <c:spPr>
            <a:solidFill>
              <a:schemeClr val="accent6"/>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Year'!$H$14:$L$14</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5-AF5F-45BC-B59D-FE9EC70D75F4}"/>
            </c:ext>
          </c:extLst>
        </c:ser>
        <c:dLbls>
          <c:showLegendKey val="0"/>
          <c:showVal val="0"/>
          <c:showCatName val="0"/>
          <c:showSerName val="0"/>
          <c:showPercent val="0"/>
          <c:showBubbleSize val="0"/>
        </c:dLbls>
        <c:gapWidth val="219"/>
        <c:overlap val="100"/>
        <c:axId val="1601021152"/>
        <c:axId val="1601019904"/>
      </c:barChart>
      <c:catAx>
        <c:axId val="16010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19904"/>
        <c:crosses val="autoZero"/>
        <c:auto val="1"/>
        <c:lblAlgn val="ctr"/>
        <c:lblOffset val="100"/>
        <c:noMultiLvlLbl val="0"/>
      </c:catAx>
      <c:valAx>
        <c:axId val="1601019904"/>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21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A8D088C0-29D1-4A0A-AF1E-BF2EA10D9F67}">
          <cx:dataId val="0"/>
          <cx:layoutPr>
            <cx:parentLabelLayout val="overlapping"/>
          </cx:layoutPr>
        </cx:series>
      </cx:plotAreaRegion>
    </cx:plotArea>
    <cx:legend pos="b" align="ctr" overlay="0"/>
  </cx:chart>
  <cx:spPr>
    <a:ln>
      <a:solidFill>
        <a:sysClr val="windowText" lastClr="000000"/>
      </a:solid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116417</xdr:colOff>
      <xdr:row>2</xdr:row>
      <xdr:rowOff>105833</xdr:rowOff>
    </xdr:from>
    <xdr:to>
      <xdr:col>14</xdr:col>
      <xdr:colOff>52917</xdr:colOff>
      <xdr:row>6</xdr:row>
      <xdr:rowOff>52917</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76250" y="486833"/>
          <a:ext cx="2243667" cy="899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F0000"/>
              </a:solidFill>
            </a:rPr>
            <a:t>INSERT LOGO</a:t>
          </a:r>
          <a:r>
            <a:rPr lang="en-US" sz="1100" b="1" baseline="0">
              <a:solidFill>
                <a:srgbClr val="FF0000"/>
              </a:solidFill>
            </a:rPr>
            <a:t> HERE</a:t>
          </a:r>
          <a:endParaRPr lang="en-US" sz="11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23</xdr:col>
      <xdr:colOff>0</xdr:colOff>
      <xdr:row>0</xdr:row>
      <xdr:rowOff>88900</xdr:rowOff>
    </xdr:from>
    <xdr:to>
      <xdr:col>26</xdr:col>
      <xdr:colOff>358776</xdr:colOff>
      <xdr:row>2</xdr:row>
      <xdr:rowOff>166687</xdr:rowOff>
    </xdr:to>
    <xdr:grpSp>
      <xdr:nvGrpSpPr>
        <xdr:cNvPr id="8" name="Group 7">
          <a:extLst>
            <a:ext uri="{FF2B5EF4-FFF2-40B4-BE49-F238E27FC236}">
              <a16:creationId xmlns:a16="http://schemas.microsoft.com/office/drawing/2014/main" id="{00000000-0008-0000-0500-000008000000}"/>
            </a:ext>
          </a:extLst>
        </xdr:cNvPr>
        <xdr:cNvGrpSpPr/>
      </xdr:nvGrpSpPr>
      <xdr:grpSpPr>
        <a:xfrm>
          <a:off x="19220447" y="88900"/>
          <a:ext cx="0" cy="498892"/>
          <a:chOff x="3638550" y="295275"/>
          <a:chExt cx="4450318" cy="490537"/>
        </a:xfrm>
      </xdr:grpSpPr>
      <xdr:sp macro="" textlink="">
        <xdr:nvSpPr>
          <xdr:cNvPr id="9" name="TextBox 8">
            <a:extLst>
              <a:ext uri="{FF2B5EF4-FFF2-40B4-BE49-F238E27FC236}">
                <a16:creationId xmlns:a16="http://schemas.microsoft.com/office/drawing/2014/main" id="{00000000-0008-0000-0500-000009000000}"/>
              </a:ext>
            </a:extLst>
          </xdr:cNvPr>
          <xdr:cNvSpPr txBox="1"/>
        </xdr:nvSpPr>
        <xdr:spPr>
          <a:xfrm>
            <a:off x="3867149" y="295275"/>
            <a:ext cx="4221719" cy="490537"/>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900" b="0">
                <a:solidFill>
                  <a:sysClr val="windowText" lastClr="000000"/>
                </a:solidFill>
              </a:rPr>
              <a:t>To change details regarding the </a:t>
            </a:r>
            <a:r>
              <a:rPr lang="en-US" sz="900" b="1">
                <a:solidFill>
                  <a:sysClr val="windowText" lastClr="000000"/>
                </a:solidFill>
              </a:rPr>
              <a:t>local currency</a:t>
            </a:r>
            <a:r>
              <a:rPr lang="en-US" sz="900" b="0">
                <a:solidFill>
                  <a:sysClr val="windowText" lastClr="000000"/>
                </a:solidFill>
              </a:rPr>
              <a:t> (e.g. currency unit, exchange rate),</a:t>
            </a:r>
            <a:r>
              <a:rPr lang="en-US" sz="900" b="0" baseline="0">
                <a:solidFill>
                  <a:sysClr val="windowText" lastClr="000000"/>
                </a:solidFill>
              </a:rPr>
              <a:t> refer to the Unit Cost tab.</a:t>
            </a:r>
            <a:endParaRPr lang="en-US" sz="900" b="0">
              <a:solidFill>
                <a:sysClr val="windowText" lastClr="000000"/>
              </a:solidFill>
            </a:endParaRPr>
          </a:p>
        </xdr:txBody>
      </xdr:sp>
      <xdr:grpSp>
        <xdr:nvGrpSpPr>
          <xdr:cNvPr id="10" name="Group 9">
            <a:extLst>
              <a:ext uri="{FF2B5EF4-FFF2-40B4-BE49-F238E27FC236}">
                <a16:creationId xmlns:a16="http://schemas.microsoft.com/office/drawing/2014/main" id="{00000000-0008-0000-0500-00000A000000}"/>
              </a:ext>
            </a:extLst>
          </xdr:cNvPr>
          <xdr:cNvGrpSpPr/>
        </xdr:nvGrpSpPr>
        <xdr:grpSpPr>
          <a:xfrm>
            <a:off x="3638550" y="304800"/>
            <a:ext cx="514418" cy="476250"/>
            <a:chOff x="3543300" y="1971675"/>
            <a:chExt cx="514418" cy="476250"/>
          </a:xfrm>
        </xdr:grpSpPr>
        <xdr:sp macro="" textlink="">
          <xdr:nvSpPr>
            <xdr:cNvPr id="11" name="Oval 10">
              <a:extLst>
                <a:ext uri="{FF2B5EF4-FFF2-40B4-BE49-F238E27FC236}">
                  <a16:creationId xmlns:a16="http://schemas.microsoft.com/office/drawing/2014/main" id="{00000000-0008-0000-0500-00000B000000}"/>
                </a:ext>
              </a:extLst>
            </xdr:cNvPr>
            <xdr:cNvSpPr/>
          </xdr:nvSpPr>
          <xdr:spPr>
            <a:xfrm>
              <a:off x="3543300" y="1971675"/>
              <a:ext cx="514418"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Oval 11">
              <a:extLst>
                <a:ext uri="{FF2B5EF4-FFF2-40B4-BE49-F238E27FC236}">
                  <a16:creationId xmlns:a16="http://schemas.microsoft.com/office/drawing/2014/main" id="{00000000-0008-0000-0500-00000C000000}"/>
                </a:ext>
              </a:extLst>
            </xdr:cNvPr>
            <xdr:cNvSpPr/>
          </xdr:nvSpPr>
          <xdr:spPr>
            <a:xfrm>
              <a:off x="3590926" y="2028825"/>
              <a:ext cx="418940"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grpSp>
    <xdr:clientData/>
  </xdr:twoCellAnchor>
  <xdr:twoCellAnchor>
    <xdr:from>
      <xdr:col>12</xdr:col>
      <xdr:colOff>0</xdr:colOff>
      <xdr:row>0</xdr:row>
      <xdr:rowOff>123825</xdr:rowOff>
    </xdr:from>
    <xdr:to>
      <xdr:col>13</xdr:col>
      <xdr:colOff>600075</xdr:colOff>
      <xdr:row>3</xdr:row>
      <xdr:rowOff>200025</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0572750" y="123825"/>
          <a:ext cx="1924050" cy="657225"/>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900" b="0">
              <a:solidFill>
                <a:sysClr val="windowText" lastClr="000000"/>
              </a:solidFill>
            </a:rPr>
            <a:t>To change </a:t>
          </a:r>
          <a:r>
            <a:rPr lang="en-US" sz="900" b="1">
              <a:solidFill>
                <a:sysClr val="windowText" lastClr="000000"/>
              </a:solidFill>
            </a:rPr>
            <a:t>Resource Details</a:t>
          </a:r>
          <a:r>
            <a:rPr lang="en-US" sz="900" b="0">
              <a:solidFill>
                <a:sysClr val="windowText" lastClr="000000"/>
              </a:solidFill>
            </a:rPr>
            <a:t> (e.g. unit</a:t>
          </a:r>
          <a:r>
            <a:rPr lang="en-US" sz="900" b="0" baseline="0">
              <a:solidFill>
                <a:sysClr val="windowText" lastClr="000000"/>
              </a:solidFill>
            </a:rPr>
            <a:t> costs), refer to the Unit Cost tab.</a:t>
          </a:r>
          <a:endParaRPr lang="en-US" sz="900" b="0">
            <a:solidFill>
              <a:sysClr val="windowText" lastClr="000000"/>
            </a:solidFill>
          </a:endParaRPr>
        </a:p>
      </xdr:txBody>
    </xdr:sp>
    <xdr:clientData/>
  </xdr:twoCellAnchor>
  <xdr:twoCellAnchor>
    <xdr:from>
      <xdr:col>11</xdr:col>
      <xdr:colOff>1866902</xdr:colOff>
      <xdr:row>0</xdr:row>
      <xdr:rowOff>238248</xdr:rowOff>
    </xdr:from>
    <xdr:to>
      <xdr:col>12</xdr:col>
      <xdr:colOff>229208</xdr:colOff>
      <xdr:row>3</xdr:row>
      <xdr:rowOff>123763</xdr:rowOff>
    </xdr:to>
    <xdr:grpSp>
      <xdr:nvGrpSpPr>
        <xdr:cNvPr id="32" name="Group 31">
          <a:extLst>
            <a:ext uri="{FF2B5EF4-FFF2-40B4-BE49-F238E27FC236}">
              <a16:creationId xmlns:a16="http://schemas.microsoft.com/office/drawing/2014/main" id="{00000000-0008-0000-0500-000020000000}"/>
            </a:ext>
          </a:extLst>
        </xdr:cNvPr>
        <xdr:cNvGrpSpPr/>
      </xdr:nvGrpSpPr>
      <xdr:grpSpPr>
        <a:xfrm>
          <a:off x="11401928" y="238248"/>
          <a:ext cx="407675" cy="477068"/>
          <a:chOff x="3543300" y="1971675"/>
          <a:chExt cx="514418" cy="476250"/>
        </a:xfrm>
      </xdr:grpSpPr>
      <xdr:sp macro="" textlink="">
        <xdr:nvSpPr>
          <xdr:cNvPr id="33" name="Oval 32">
            <a:extLst>
              <a:ext uri="{FF2B5EF4-FFF2-40B4-BE49-F238E27FC236}">
                <a16:creationId xmlns:a16="http://schemas.microsoft.com/office/drawing/2014/main" id="{00000000-0008-0000-0500-000021000000}"/>
              </a:ext>
            </a:extLst>
          </xdr:cNvPr>
          <xdr:cNvSpPr/>
        </xdr:nvSpPr>
        <xdr:spPr>
          <a:xfrm>
            <a:off x="3543300" y="1971675"/>
            <a:ext cx="514418"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Oval 33">
            <a:extLst>
              <a:ext uri="{FF2B5EF4-FFF2-40B4-BE49-F238E27FC236}">
                <a16:creationId xmlns:a16="http://schemas.microsoft.com/office/drawing/2014/main" id="{00000000-0008-0000-0500-000022000000}"/>
              </a:ext>
            </a:extLst>
          </xdr:cNvPr>
          <xdr:cNvSpPr/>
        </xdr:nvSpPr>
        <xdr:spPr>
          <a:xfrm>
            <a:off x="3590926" y="2028825"/>
            <a:ext cx="418940"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TextBox 34">
            <a:extLst>
              <a:ext uri="{FF2B5EF4-FFF2-40B4-BE49-F238E27FC236}">
                <a16:creationId xmlns:a16="http://schemas.microsoft.com/office/drawing/2014/main" id="{00000000-0008-0000-0500-000023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254000</xdr:colOff>
      <xdr:row>4</xdr:row>
      <xdr:rowOff>88900</xdr:rowOff>
    </xdr:from>
    <xdr:to>
      <xdr:col>5</xdr:col>
      <xdr:colOff>4787900</xdr:colOff>
      <xdr:row>7</xdr:row>
      <xdr:rowOff>219075</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787400" y="952500"/>
          <a:ext cx="5334000" cy="1082675"/>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1050" b="1" u="sng">
              <a:solidFill>
                <a:srgbClr val="FF0000"/>
              </a:solidFill>
            </a:rPr>
            <a:t>Do not</a:t>
          </a:r>
          <a:r>
            <a:rPr lang="en-US" sz="1050" b="1">
              <a:solidFill>
                <a:srgbClr val="FF0000"/>
              </a:solidFill>
            </a:rPr>
            <a:t> edit</a:t>
          </a:r>
          <a:r>
            <a:rPr lang="en-US" sz="1050" b="1" baseline="0">
              <a:solidFill>
                <a:srgbClr val="FF0000"/>
              </a:solidFill>
            </a:rPr>
            <a:t> this sheet directly</a:t>
          </a:r>
          <a:r>
            <a:rPr lang="en-US" sz="1050" b="0" baseline="0">
              <a:solidFill>
                <a:sysClr val="windowText" lastClr="000000"/>
              </a:solidFill>
            </a:rPr>
            <a:t>. This summary tab is an output of data from the Detailed Budget tab.</a:t>
          </a:r>
        </a:p>
        <a:p>
          <a:pPr algn="l"/>
          <a:endParaRPr lang="en-US" sz="1050" b="0" baseline="0">
            <a:solidFill>
              <a:sysClr val="windowText" lastClr="000000"/>
            </a:solidFill>
          </a:endParaRPr>
        </a:p>
        <a:p>
          <a:pPr algn="l"/>
          <a:r>
            <a:rPr lang="en-US" sz="1050" b="0">
              <a:solidFill>
                <a:sysClr val="windowText" lastClr="000000"/>
              </a:solidFill>
            </a:rPr>
            <a:t>T</a:t>
          </a:r>
          <a:r>
            <a:rPr lang="en-US" sz="1050" b="0" baseline="0">
              <a:solidFill>
                <a:sysClr val="windowText" lastClr="000000"/>
              </a:solidFill>
            </a:rPr>
            <a:t>his sheet is protected to prevent accidental editing. To unprotect, go to Review&gt;Unprotect Sheet. No password is required.</a:t>
          </a:r>
          <a:endParaRPr lang="en-US" sz="1050" b="0">
            <a:solidFill>
              <a:sysClr val="windowText" lastClr="000000"/>
            </a:solidFill>
          </a:endParaRPr>
        </a:p>
      </xdr:txBody>
    </xdr:sp>
    <xdr:clientData/>
  </xdr:twoCellAnchor>
  <xdr:twoCellAnchor>
    <xdr:from>
      <xdr:col>2</xdr:col>
      <xdr:colOff>146050</xdr:colOff>
      <xdr:row>5</xdr:row>
      <xdr:rowOff>187325</xdr:rowOff>
    </xdr:from>
    <xdr:to>
      <xdr:col>3</xdr:col>
      <xdr:colOff>441912</xdr:colOff>
      <xdr:row>6</xdr:row>
      <xdr:rowOff>282575</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495300" y="1250950"/>
          <a:ext cx="470487" cy="476250"/>
          <a:chOff x="3543300" y="1971675"/>
          <a:chExt cx="476250" cy="476250"/>
        </a:xfrm>
      </xdr:grpSpPr>
      <xdr:sp macro="" textlink="">
        <xdr:nvSpPr>
          <xdr:cNvPr id="4" name="Oval 3">
            <a:extLst>
              <a:ext uri="{FF2B5EF4-FFF2-40B4-BE49-F238E27FC236}">
                <a16:creationId xmlns:a16="http://schemas.microsoft.com/office/drawing/2014/main" id="{00000000-0008-0000-0200-000004000000}"/>
              </a:ext>
            </a:extLst>
          </xdr:cNvPr>
          <xdr:cNvSpPr/>
        </xdr:nvSpPr>
        <xdr:spPr>
          <a:xfrm>
            <a:off x="3543300" y="1971675"/>
            <a:ext cx="476250"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Oval 4">
            <a:extLst>
              <a:ext uri="{FF2B5EF4-FFF2-40B4-BE49-F238E27FC236}">
                <a16:creationId xmlns:a16="http://schemas.microsoft.com/office/drawing/2014/main" id="{00000000-0008-0000-0200-000005000000}"/>
              </a:ext>
            </a:extLst>
          </xdr:cNvPr>
          <xdr:cNvSpPr/>
        </xdr:nvSpPr>
        <xdr:spPr>
          <a:xfrm>
            <a:off x="3590925" y="2028825"/>
            <a:ext cx="371475"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clientData/>
  </xdr:twoCellAnchor>
  <xdr:twoCellAnchor>
    <xdr:from>
      <xdr:col>6</xdr:col>
      <xdr:colOff>1041400</xdr:colOff>
      <xdr:row>18</xdr:row>
      <xdr:rowOff>12700</xdr:rowOff>
    </xdr:from>
    <xdr:to>
      <xdr:col>12</xdr:col>
      <xdr:colOff>0</xdr:colOff>
      <xdr:row>32</xdr:row>
      <xdr:rowOff>88900</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165100</xdr:colOff>
      <xdr:row>18</xdr:row>
      <xdr:rowOff>12700</xdr:rowOff>
    </xdr:from>
    <xdr:to>
      <xdr:col>6</xdr:col>
      <xdr:colOff>0</xdr:colOff>
      <xdr:row>32</xdr:row>
      <xdr:rowOff>88900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7050" y="5280025"/>
              <a:ext cx="59499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1025525</xdr:colOff>
      <xdr:row>18</xdr:row>
      <xdr:rowOff>12700</xdr:rowOff>
    </xdr:from>
    <xdr:to>
      <xdr:col>17</xdr:col>
      <xdr:colOff>1031875</xdr:colOff>
      <xdr:row>32</xdr:row>
      <xdr:rowOff>88900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cchukwu\AppData\Local\Microsoft\Windows\INetCache\Content.Outlook\DG1V21CD\NGA_M_MSH_DetailedBudget%20DRAFT%20GC7%20wt%20MSH%20inputs.xlsx" TargetMode="External"/><Relationship Id="rId1" Type="http://schemas.openxmlformats.org/officeDocument/2006/relationships/externalLinkPath" Target="file:///C:\Users\cchukwu\AppData\Local\Microsoft\Windows\INetCache\Content.Outlook\DG1V21CD\NGA_M_MSH_DetailedBudget%20DRAFT%20GC7%20wt%20MSH%20inpu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C\E\Users\Jennifer%20Wong\Desktop\TB%20activiti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VERINLE\Downloads\SMC%202021%20Budget_MC_CRS%20Review.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Shekarau\2024%20SMC%20Operational%20Budget%20for%20Kwara%2015.05.2024%20FA%20Reviewed-29052024_State%20Extract_06062024.xlsx" TargetMode="External"/><Relationship Id="rId1" Type="http://schemas.openxmlformats.org/officeDocument/2006/relationships/externalLinkPath" Target="file:///C:\Users\User\Documents\Document%20Folders\Project%20Contracts\MACEPA\Pragmatic%20Plan%20Template\Quantification\Shekarau\2024%20SMC%20Operational%20Budget%20for%20Kwara%2015.05.2024%20FA%20Reviewed-29052024_State%20Extract_06062024.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Copy%20of%20CRS-SFH%20Kaduna%202022%20ITN%20Campaign%20Budget_14.04.2022.xls" TargetMode="External"/><Relationship Id="rId1" Type="http://schemas.openxmlformats.org/officeDocument/2006/relationships/externalLinkPath" Target="file:///C:\Users\User\Documents\Document%20Folders\Project%20Contracts\MACEPA\Pragmatic%20Plan%20Template\Quantification\Copy%20of%20CRS-SFH%20Kaduna%202022%20ITN%20Campaign%20Budget_14.04.2022.xls"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From%20Omo%20Eboh\IRS%20Budget_7%20States.xlsx" TargetMode="External"/><Relationship Id="rId1" Type="http://schemas.openxmlformats.org/officeDocument/2006/relationships/externalLinkPath" Target="file:///C:\Users\User\Documents\Document%20Folders\Project%20Contracts\MACEPA\Pragmatic%20Plan%20Template\From%20Omo%20Eboh\IRS%20Budget_7%20State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HOF_NMEP\Documents\Documents\NMEP\NFM-3%20Finance\FR\Budget\FR%20Budget\Near%20Final\Near%20Final%202\Final\FR1536-NGA-Z_DB_19Jan23_Draft_200323-FD5update.xlsx" TargetMode="External"/><Relationship Id="rId1" Type="http://schemas.openxmlformats.org/officeDocument/2006/relationships/externalLinkPath" Target="https://crsorg-my.sharepoint.com/Users/HOF_NMEP/Documents/Documents/NMEP/NFM-3%20Finance/FR/Budget/FR%20Budget/Near%20Final/Near%20Final%202/Final/FR1536-NGA-Z_DB_19Jan23_Draft_200323-FD5update.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HOF_NMEP\Documents\Documents\NMEP\NFM-3%20Finance\FR\Budget\FR%20Budget\FR1536-NGA-Z_DB_19Jan23_zero%20draft_02032023ea.xlsx" TargetMode="External"/><Relationship Id="rId1" Type="http://schemas.openxmlformats.org/officeDocument/2006/relationships/externalLinkPath" Target="https://crsorg-my.sharepoint.com/Users/HOF_NMEP/Documents/Documents/NMEP/NFM-3%20Finance/FR/Budget/FR%20Budget/FR1536-NGA-Z_DB_19Jan23_zero%20draft_02032023ea.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User\Downloads\Register%20Printing%20Budget.xlsx" TargetMode="External"/><Relationship Id="rId1" Type="http://schemas.openxmlformats.org/officeDocument/2006/relationships/externalLinkPath" Target="file:///C:\Users\User\Downloads\Register%20Printing%20Budge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C:\Users\Shinka\Downloads\NGA_M_NMEP_DetailedBudget_GC7%20FINAL1_31122023.xlsx" TargetMode="External"/><Relationship Id="rId1" Type="http://schemas.openxmlformats.org/officeDocument/2006/relationships/externalLinkPath" Target="file:///C:\Users\Shinka\Downloads\NGA_M_NMEP_DetailedBudget_GC7%20FINAL1_31122023.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Shekarau\PMC%20Budget%202025%20-2026.xlsx" TargetMode="External"/><Relationship Id="rId1" Type="http://schemas.openxmlformats.org/officeDocument/2006/relationships/externalLinkPath" Target="file:///C:\Users\User\Documents\Document%20Folders\Project%20Contracts\MACEPA\Pragmatic%20Plan%20Template\Quantification\Shekarau\PMC%20Budget%202025%20-202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Budget Summary"/>
      <sheetName val="Detailed Budget - HP"/>
      <sheetName val="Detailed Budget - Non-HP"/>
      <sheetName val="Free Sheet HR"/>
      <sheetName val="Assumptions HR"/>
      <sheetName val="Assumptions Other"/>
      <sheetName val="Summary ICR"/>
      <sheetName val="Assumptions TRC"/>
      <sheetName val="Summary by Intervention"/>
      <sheetName val="Summary by Cost Input"/>
      <sheetName val="Summary by Source of Funds"/>
      <sheetName val="Translations"/>
      <sheetName val="PR ICR Computation"/>
      <sheetName val="Free sheet-enter what you need"/>
      <sheetName val="ICR Rate"/>
      <sheetName val="Admin Sheet"/>
      <sheetName val="Recipient sheet"/>
      <sheetName val="Currencies"/>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s>
    <sheetDataSet>
      <sheetData sheetId="0"/>
      <sheetData sheetId="1"/>
      <sheetData sheetId="2">
        <row r="47">
          <cell r="G47">
            <v>1</v>
          </cell>
          <cell r="I47" t="str">
            <v>USD</v>
          </cell>
        </row>
        <row r="48">
          <cell r="G48">
            <v>2</v>
          </cell>
          <cell r="I48" t="str">
            <v>NGN</v>
          </cell>
        </row>
        <row r="49">
          <cell r="G49" t="str">
            <v/>
          </cell>
          <cell r="I49" t="str">
            <v>EUR</v>
          </cell>
        </row>
        <row r="50">
          <cell r="G50">
            <v>3</v>
          </cell>
          <cell r="I50" t="str">
            <v/>
          </cell>
        </row>
        <row r="51">
          <cell r="G51" t="str">
            <v/>
          </cell>
          <cell r="I51" t="str">
            <v/>
          </cell>
        </row>
        <row r="52">
          <cell r="G52" t="str">
            <v/>
          </cell>
          <cell r="I52" t="str">
            <v/>
          </cell>
        </row>
        <row r="53">
          <cell r="G53" t="str">
            <v/>
          </cell>
          <cell r="I53" t="str">
            <v/>
          </cell>
        </row>
        <row r="54">
          <cell r="G54" t="str">
            <v/>
          </cell>
          <cell r="I54" t="str">
            <v/>
          </cell>
        </row>
        <row r="55">
          <cell r="G55" t="str">
            <v/>
          </cell>
          <cell r="I55" t="str">
            <v/>
          </cell>
        </row>
        <row r="56">
          <cell r="G56" t="str">
            <v/>
          </cell>
          <cell r="I56" t="str">
            <v/>
          </cell>
        </row>
        <row r="57">
          <cell r="G57" t="str">
            <v/>
          </cell>
          <cell r="I57" t="str">
            <v/>
          </cell>
        </row>
        <row r="58">
          <cell r="G58" t="str">
            <v/>
          </cell>
          <cell r="I58" t="str">
            <v/>
          </cell>
        </row>
        <row r="59">
          <cell r="G59" t="str">
            <v/>
          </cell>
          <cell r="I59" t="str">
            <v/>
          </cell>
        </row>
        <row r="60">
          <cell r="G60" t="str">
            <v/>
          </cell>
          <cell r="I60" t="str">
            <v/>
          </cell>
        </row>
        <row r="61">
          <cell r="G61" t="str">
            <v/>
          </cell>
          <cell r="I61" t="str">
            <v/>
          </cell>
        </row>
        <row r="62">
          <cell r="G62" t="str">
            <v/>
          </cell>
          <cell r="I62" t="str">
            <v/>
          </cell>
        </row>
        <row r="63">
          <cell r="G63" t="str">
            <v/>
          </cell>
          <cell r="I63" t="str">
            <v/>
          </cell>
        </row>
        <row r="64">
          <cell r="G64" t="str">
            <v/>
          </cell>
          <cell r="I64" t="str">
            <v/>
          </cell>
        </row>
        <row r="65">
          <cell r="G65" t="str">
            <v/>
          </cell>
          <cell r="I65"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TB activities"/>
      <sheetName val="\Users\Jennifer Wong\Desktop\TB"/>
      <sheetName val="TB activities.xlsx"/>
      <sheetName val="\E\Users\Jennifer Wong\Desktop\"/>
      <sheetName val="TB%20activities.xlsx"/>
    </sheetNames>
    <definedNames>
      <definedName name="Header1" refersTo="#REF!"/>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no Budget"/>
      <sheetName val="Jigawa budget"/>
      <sheetName val="Kaduna budget"/>
      <sheetName val="Niger budget"/>
      <sheetName val="Budget checks"/>
      <sheetName val="Resource list"/>
      <sheetName val="Quantifications"/>
      <sheetName val="Short-term personnel"/>
      <sheetName val="Target population"/>
    </sheetNames>
    <sheetDataSet>
      <sheetData sheetId="0" refreshError="1">
        <row r="2">
          <cell r="A2">
            <v>1</v>
          </cell>
        </row>
        <row r="116">
          <cell r="A116">
            <v>2</v>
          </cell>
        </row>
        <row r="149">
          <cell r="A149">
            <v>3</v>
          </cell>
        </row>
        <row r="284">
          <cell r="A284">
            <v>4</v>
          </cell>
        </row>
        <row r="324">
          <cell r="A324">
            <v>5</v>
          </cell>
        </row>
        <row r="374">
          <cell r="A374">
            <v>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Budget_checks"/>
      <sheetName val="Kwara Budget"/>
      <sheetName val="Quantifications_Personnel&amp;Tools"/>
      <sheetName val="Resource list"/>
      <sheetName val="Target Population"/>
      <sheetName val="Sheet1"/>
    </sheetNames>
    <sheetDataSet>
      <sheetData sheetId="0" refreshError="1"/>
      <sheetData sheetId="1">
        <row r="4">
          <cell r="B4" t="str">
            <v xml:space="preserve"> COORDINATION AND PLANNING</v>
          </cell>
        </row>
        <row r="8">
          <cell r="B8" t="str">
            <v>PROCUREMENT (NON-SMC DRUGS)</v>
          </cell>
        </row>
        <row r="9">
          <cell r="B9" t="str">
            <v>2.1  Printing of SMC training and implementation tools</v>
          </cell>
        </row>
        <row r="16">
          <cell r="F16">
            <v>24333061.927479453</v>
          </cell>
        </row>
        <row r="18">
          <cell r="B18" t="str">
            <v>2.2 Production of visibility materials</v>
          </cell>
        </row>
        <row r="25">
          <cell r="F25">
            <v>16474804.239287673</v>
          </cell>
        </row>
        <row r="27">
          <cell r="B27" t="str">
            <v>2.3  Procurement of PPEs</v>
          </cell>
        </row>
        <row r="30">
          <cell r="F30">
            <v>0</v>
          </cell>
        </row>
        <row r="42">
          <cell r="F42">
            <v>1108000</v>
          </cell>
        </row>
        <row r="46">
          <cell r="B46" t="str">
            <v>TRAINING FOR SMC DELIVERY</v>
          </cell>
        </row>
        <row r="48">
          <cell r="B48" t="str">
            <v>3.1 Conduct training of State trainers/supervisors (5/LGA) - 3days non-residential/Residential for far LGAs with one day arrival</v>
          </cell>
        </row>
        <row r="66">
          <cell r="F66">
            <v>8115200</v>
          </cell>
        </row>
        <row r="68">
          <cell r="B68" t="str">
            <v>3.2 Training of Health Facility Workers</v>
          </cell>
        </row>
        <row r="96">
          <cell r="F96">
            <v>19123448</v>
          </cell>
        </row>
        <row r="98">
          <cell r="B98" t="str">
            <v>3.3 Training of Participants - Community Drug Distributors (CDDs)</v>
          </cell>
        </row>
        <row r="128">
          <cell r="F128">
            <v>69000814.246575356</v>
          </cell>
        </row>
        <row r="130">
          <cell r="B130" t="str">
            <v>3.4 Training of Health Educators on SMC SBC</v>
          </cell>
        </row>
        <row r="148">
          <cell r="F148">
            <v>1734400</v>
          </cell>
        </row>
        <row r="151">
          <cell r="B151" t="str">
            <v>3.5 1-day orientation for Town Announcers</v>
          </cell>
        </row>
        <row r="161">
          <cell r="F161">
            <v>4318500</v>
          </cell>
        </row>
        <row r="163">
          <cell r="B163" t="str">
            <v>3.6 1-day orientation for Lead Mothers</v>
          </cell>
        </row>
        <row r="168">
          <cell r="F168">
            <v>0</v>
          </cell>
        </row>
        <row r="171">
          <cell r="B171" t="str">
            <v>LOGISTICS (OTHER PSM COST)</v>
          </cell>
        </row>
        <row r="172">
          <cell r="B172" t="str">
            <v>4.1 Support Commodity Management Review Meetings to develop and review distribution plan for each cycle</v>
          </cell>
        </row>
        <row r="185">
          <cell r="F185">
            <v>1726800</v>
          </cell>
        </row>
        <row r="187">
          <cell r="B187" t="str">
            <v>4.2 Packaging materials</v>
          </cell>
        </row>
        <row r="189">
          <cell r="F189">
            <v>0</v>
          </cell>
        </row>
        <row r="191">
          <cell r="B191" t="str">
            <v>4.3 Last Mile Distribution</v>
          </cell>
        </row>
        <row r="194">
          <cell r="F194">
            <v>0</v>
          </cell>
        </row>
        <row r="196">
          <cell r="B196" t="str">
            <v>4.4 Reverse logistics</v>
          </cell>
        </row>
        <row r="199">
          <cell r="F199">
            <v>0</v>
          </cell>
        </row>
        <row r="201">
          <cell r="B201" t="str">
            <v>ADMINISTRATION OF SPAQ TO ELIGIBLE CHILDREN (SMC CAMPAIGN PERSONNEL)</v>
          </cell>
        </row>
        <row r="203">
          <cell r="B203" t="str">
            <v>5.1 Distribution Allowance for CDDs</v>
          </cell>
        </row>
        <row r="207">
          <cell r="F207">
            <v>446946575.34246582</v>
          </cell>
        </row>
        <row r="208">
          <cell r="B208" t="str">
            <v>5.2 Transport Allowance for  CDD Recorder Provisioning and Reconciliation days</v>
          </cell>
        </row>
        <row r="212">
          <cell r="F212">
            <v>26816794.520547949</v>
          </cell>
        </row>
        <row r="215">
          <cell r="B215" t="str">
            <v xml:space="preserve">5.3 Distribution Allowances for Town Announcers </v>
          </cell>
        </row>
        <row r="218">
          <cell r="F218">
            <v>66624000</v>
          </cell>
        </row>
        <row r="221">
          <cell r="B221" t="str">
            <v>5.4 Distribution Allowances for Lead Mothers</v>
          </cell>
        </row>
        <row r="224">
          <cell r="F224">
            <v>0</v>
          </cell>
        </row>
        <row r="227">
          <cell r="B227" t="str">
            <v>5.5 Distribution/Monitoring Allowance for health facility workers</v>
          </cell>
        </row>
        <row r="234">
          <cell r="F234">
            <v>114916000</v>
          </cell>
        </row>
        <row r="237">
          <cell r="B237" t="str">
            <v>5.6 Distribution/Monitoring Allowance for LGA team</v>
          </cell>
        </row>
        <row r="242">
          <cell r="F242">
            <v>13992000</v>
          </cell>
        </row>
        <row r="244">
          <cell r="B244" t="str">
            <v>5.7 Allowance for State team</v>
          </cell>
        </row>
        <row r="252">
          <cell r="F252">
            <v>8968000</v>
          </cell>
        </row>
        <row r="254">
          <cell r="B254" t="str">
            <v>5.8 Allowance LGA TAs  (10-days per cycle) to provide compliance oversight functions during campaign and  conduct post review after the campaign</v>
          </cell>
          <cell r="C254" t="str">
            <v>No. of days</v>
          </cell>
        </row>
        <row r="257">
          <cell r="F257">
            <v>11000000</v>
          </cell>
        </row>
        <row r="259">
          <cell r="B259" t="str">
            <v>NON-SMC PERSONNEL COST</v>
          </cell>
        </row>
        <row r="260">
          <cell r="B260" t="str">
            <v>6.1 Biodata capturing  for SMC Personnel</v>
          </cell>
        </row>
        <row r="265">
          <cell r="F265">
            <v>0</v>
          </cell>
        </row>
        <row r="268">
          <cell r="B268" t="str">
            <v>6.2 End of Cycle Review Meetings at state level (4cycles)</v>
          </cell>
          <cell r="C268" t="str">
            <v>No. of days</v>
          </cell>
        </row>
        <row r="277">
          <cell r="F277">
            <v>4923200</v>
          </cell>
        </row>
        <row r="280">
          <cell r="B280" t="str">
            <v>6.3 Allowance for SMEP personnels and TAs</v>
          </cell>
          <cell r="C280" t="str">
            <v>No of days</v>
          </cell>
        </row>
        <row r="291">
          <cell r="F291">
            <v>11198200</v>
          </cell>
        </row>
      </sheetData>
      <sheetData sheetId="2">
        <row r="9">
          <cell r="C9">
            <v>652542</v>
          </cell>
        </row>
      </sheetData>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sting Table"/>
      <sheetName val="ITN Mass Campaign Budget"/>
      <sheetName val=" Micro quantification"/>
    </sheetNames>
    <sheetDataSet>
      <sheetData sheetId="0"/>
      <sheetData sheetId="1"/>
      <sheetData sheetId="2">
        <row r="29">
          <cell r="C29">
            <v>9811519</v>
          </cell>
          <cell r="E29">
            <v>5450843.888888889</v>
          </cell>
          <cell r="G29">
            <v>255</v>
          </cell>
          <cell r="H29">
            <v>2269</v>
          </cell>
          <cell r="I29">
            <v>4538</v>
          </cell>
          <cell r="J29">
            <v>2269</v>
          </cell>
          <cell r="L29">
            <v>44</v>
          </cell>
          <cell r="M29">
            <v>792</v>
          </cell>
          <cell r="R29">
            <v>135</v>
          </cell>
          <cell r="S29">
            <v>127</v>
          </cell>
          <cell r="U29">
            <v>1275</v>
          </cell>
          <cell r="V29">
            <v>1311.45</v>
          </cell>
          <cell r="W29">
            <v>5218.6999999999989</v>
          </cell>
          <cell r="Y29">
            <v>9983.600000000004</v>
          </cell>
          <cell r="Z29">
            <v>2609.3499999999995</v>
          </cell>
          <cell r="AA29">
            <v>5218.6999999999989</v>
          </cell>
          <cell r="AB29">
            <v>871.2</v>
          </cell>
          <cell r="AC29">
            <v>126.5</v>
          </cell>
          <cell r="AE29">
            <v>98115.190000000017</v>
          </cell>
          <cell r="AF29">
            <v>9189.4500000000007</v>
          </cell>
          <cell r="AG29">
            <v>5346</v>
          </cell>
          <cell r="AH29">
            <v>19224</v>
          </cell>
          <cell r="AI29">
            <v>16020</v>
          </cell>
          <cell r="AJ29">
            <v>7484.3999999999987</v>
          </cell>
          <cell r="AK29">
            <v>62.10000000000003</v>
          </cell>
          <cell r="AL29">
            <v>517.5</v>
          </cell>
          <cell r="AM29">
            <v>793.5</v>
          </cell>
          <cell r="AN29">
            <v>17017.5</v>
          </cell>
          <cell r="AO29">
            <v>15315.75</v>
          </cell>
          <cell r="AP29">
            <v>9076</v>
          </cell>
          <cell r="AQ29">
            <v>7750.9800000000014</v>
          </cell>
          <cell r="AR29">
            <v>167.244</v>
          </cell>
          <cell r="AS29">
            <v>2382.4499999999998</v>
          </cell>
          <cell r="AU29">
            <v>4538</v>
          </cell>
          <cell r="AV29">
            <v>2292</v>
          </cell>
          <cell r="AX29">
            <v>4166</v>
          </cell>
          <cell r="AY29">
            <v>10892.699999999999</v>
          </cell>
        </row>
        <row r="30">
          <cell r="E30">
            <v>5509778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sheetName val="Pre implementation"/>
      <sheetName val="Implementation"/>
      <sheetName val="Post implementation"/>
    </sheetNames>
    <sheetDataSet>
      <sheetData sheetId="0" refreshError="1"/>
      <sheetData sheetId="1">
        <row r="5">
          <cell r="C5">
            <v>20675000</v>
          </cell>
        </row>
        <row r="22">
          <cell r="C22">
            <v>48800000</v>
          </cell>
        </row>
        <row r="39">
          <cell r="C39">
            <v>74970000</v>
          </cell>
        </row>
        <row r="53">
          <cell r="C53">
            <v>70088000</v>
          </cell>
        </row>
        <row r="72">
          <cell r="C72">
            <v>239610000</v>
          </cell>
        </row>
        <row r="92">
          <cell r="C92">
            <v>99900000</v>
          </cell>
        </row>
        <row r="106">
          <cell r="C106">
            <v>74592000</v>
          </cell>
        </row>
      </sheetData>
      <sheetData sheetId="2">
        <row r="5">
          <cell r="C5">
            <v>131040000</v>
          </cell>
        </row>
        <row r="24">
          <cell r="C24">
            <v>932840000</v>
          </cell>
        </row>
        <row r="48">
          <cell r="C48">
            <v>1607350000</v>
          </cell>
        </row>
        <row r="70">
          <cell r="E70">
            <v>4925099700</v>
          </cell>
        </row>
        <row r="79">
          <cell r="C79">
            <v>136472000</v>
          </cell>
        </row>
      </sheetData>
      <sheetData sheetId="3">
        <row r="6">
          <cell r="D6">
            <v>44694000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Detailed Budget - HP"/>
      <sheetName val="Detailed Budget - Non-HP"/>
      <sheetName val="HL Analysis-1"/>
      <sheetName val="HLA-2"/>
      <sheetName val="Numbering"/>
      <sheetName val="Budget Summary"/>
      <sheetName val="Summary by Intervention"/>
      <sheetName val="Summary by Cost Input"/>
      <sheetName val="Assumptions TRC"/>
      <sheetName val="Assumption ICR"/>
      <sheetName val="Assumptions Other"/>
      <sheetName val="Assumption Others-2"/>
      <sheetName val="Assumptions HR"/>
      <sheetName val="Free sheet-enter what you need"/>
      <sheetName val="Summary by Source of Funds"/>
      <sheetName val="Translations"/>
      <sheetName val="Summary ICR"/>
      <sheetName val="ICR Rate"/>
      <sheetName val="Admin Sheet"/>
      <sheetName val="Recipient sheet"/>
      <sheetName val="Currencies"/>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 val="FR1536-NGA-Z_DB_19Jan23_Draft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1">
          <cell r="C1">
            <v>0</v>
          </cell>
        </row>
        <row r="557">
          <cell r="A557" t="str">
            <v>Implementer Name</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Detailed Budget - Non-HP"/>
      <sheetName val="Detailed Budget - HP"/>
      <sheetName val="Assumptions TRC"/>
      <sheetName val="Assumptions Other"/>
      <sheetName val="Budget Summary"/>
      <sheetName val="Summary by Intervention"/>
      <sheetName val="Summary by Cost Input"/>
      <sheetName val="Summary by Source of Funds"/>
      <sheetName val="Translations"/>
      <sheetName val="Summary ICR"/>
      <sheetName val="ICR Rate"/>
      <sheetName val="Admin Sheet"/>
      <sheetName val="Recipient sheet"/>
      <sheetName val="Currencies"/>
      <sheetName val="Assumptions HR"/>
      <sheetName val="Free sheet-enter what you need"/>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 val="FR1536-NGA-Z_DB_19Jan23_zero 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C1">
            <v>0</v>
          </cell>
        </row>
        <row r="573">
          <cell r="A573" t="str">
            <v>Comments</v>
          </cell>
        </row>
        <row r="577">
          <cell r="A577" t="str">
            <v>Unit cost</v>
          </cell>
        </row>
        <row r="580">
          <cell r="A580" t="str">
            <v>Description</v>
          </cell>
        </row>
        <row r="584">
          <cell r="A584" t="str">
            <v>Payment Currency</v>
          </cell>
        </row>
        <row r="585">
          <cell r="A585" t="str">
            <v>Total in Payment Currency</v>
          </cell>
        </row>
        <row r="637">
          <cell r="A637" t="str">
            <v>Budget line reference (Implementer Number.Budget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MIS Printing for MSH&amp;NMEP Sts"/>
      <sheetName val="HMIS Printing 2023_Gomb &amp; Kwara"/>
      <sheetName val="Distribution-Matrix-States"/>
    </sheetNames>
    <sheetDataSet>
      <sheetData sheetId="0" refreshError="1"/>
      <sheetData sheetId="1">
        <row r="24">
          <cell r="G24">
            <v>164605000</v>
          </cell>
        </row>
        <row r="26">
          <cell r="G26">
            <v>164605</v>
          </cell>
        </row>
      </sheetData>
      <sheetData sheetId="2">
        <row r="8">
          <cell r="D8">
            <v>4749</v>
          </cell>
          <cell r="E8">
            <v>9498</v>
          </cell>
          <cell r="F8">
            <v>29500</v>
          </cell>
          <cell r="G8">
            <v>29500</v>
          </cell>
          <cell r="H8">
            <v>47000</v>
          </cell>
          <cell r="I8">
            <v>47000</v>
          </cell>
          <cell r="J8">
            <v>9498</v>
          </cell>
          <cell r="K8">
            <v>4380</v>
          </cell>
          <cell r="L8">
            <v>29500</v>
          </cell>
          <cell r="M8">
            <v>4199.6022608331587</v>
          </cell>
          <cell r="N8">
            <v>2699.6841440303224</v>
          </cell>
          <cell r="O8">
            <v>9498</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Budget Summary"/>
      <sheetName val="Summary by Intervention"/>
      <sheetName val="Summary by Cost Input"/>
      <sheetName val="Summary by Source of Funds"/>
      <sheetName val="Translations"/>
      <sheetName val="Summary ICR"/>
      <sheetName val="ICR Rate"/>
      <sheetName val="Admin Sheet"/>
      <sheetName val="Recipient sheet"/>
      <sheetName val="Currencies"/>
      <sheetName val="Detailed Budget - HP"/>
      <sheetName val="Detailed Budget - Non-HP"/>
      <sheetName val="Sheet1"/>
      <sheetName val="ITN _ LFA worksheet "/>
      <sheetName val="SMC _ LFA worksheet"/>
      <sheetName val="Assumptions TRC"/>
      <sheetName val="Assumptions Other"/>
      <sheetName val="Free Worksheet"/>
      <sheetName val="Unit Rates"/>
      <sheetName val="LFA PSM Worksheet"/>
      <sheetName val="Free Worksheet FA "/>
      <sheetName val="Free sheet-enter what you need"/>
      <sheetName val="Training analysis"/>
      <sheetName val="SMC &amp; ITN integration"/>
      <sheetName val="Lead mothers analysis"/>
      <sheetName val="ITN efficiency"/>
      <sheetName val="Annex - ITN and SMC Imp. A"/>
      <sheetName val="Free pivot table"/>
      <sheetName val="Investment Landscape Overview"/>
      <sheetName val="Financial Triggers - Budget"/>
      <sheetName val="Financial Triggers - Budget (2)"/>
      <sheetName val="Workplan &amp; Summary Budget"/>
      <sheetName val="Detailed budget-Reviewed"/>
      <sheetName val="Meeting budget"/>
      <sheetName val="RDT QAQC Summary"/>
      <sheetName val="Field work&amp;visit to HFs"/>
      <sheetName val="Implementation personnel"/>
      <sheetName val="Data Anaylsis"/>
      <sheetName val="wharehouse sampling_Lot testing"/>
      <sheetName val="Activity Budget"/>
      <sheetName val="Project 3-Years Cost"/>
      <sheetName val="Action Plan - Pivot"/>
      <sheetName val="Action Plan - Reference Data"/>
      <sheetName val="0. Refresh Pivot Tables"/>
      <sheetName val="Action Plan - Pivot Analytic"/>
      <sheetName val="apttusmetadata"/>
    </sheetNames>
    <sheetDataSet>
      <sheetData sheetId="0"/>
      <sheetData sheetId="1"/>
      <sheetData sheetId="2">
        <row r="46">
          <cell r="G46"/>
        </row>
      </sheetData>
      <sheetData sheetId="3"/>
      <sheetData sheetId="4"/>
      <sheetData sheetId="5"/>
      <sheetData sheetId="6"/>
      <sheetData sheetId="7"/>
      <sheetData sheetId="8">
        <row r="577">
          <cell r="A577" t="str">
            <v>Unit cost</v>
          </cell>
        </row>
        <row r="580">
          <cell r="A580" t="str">
            <v>Description</v>
          </cell>
        </row>
        <row r="581">
          <cell r="A581" t="str">
            <v>Number of Person (s)</v>
          </cell>
        </row>
        <row r="582">
          <cell r="A582" t="str">
            <v>Number of days, KM, Liters</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udget"/>
      <sheetName val="Target"/>
      <sheetName val="Assumption Sheet"/>
      <sheetName val="Sheet1"/>
    </sheetNames>
    <sheetDataSet>
      <sheetData sheetId="0"/>
      <sheetData sheetId="1">
        <row r="11">
          <cell r="I11">
            <v>3849526.9094694965</v>
          </cell>
        </row>
      </sheetData>
      <sheetData sheetId="2"/>
      <sheetData sheetId="3">
        <row r="3">
          <cell r="B3">
            <v>55000</v>
          </cell>
        </row>
        <row r="4">
          <cell r="B4">
            <v>55000</v>
          </cell>
        </row>
        <row r="6">
          <cell r="B6">
            <v>45000</v>
          </cell>
        </row>
        <row r="9">
          <cell r="B9">
            <v>200000</v>
          </cell>
        </row>
        <row r="12">
          <cell r="B12">
            <v>52000</v>
          </cell>
        </row>
        <row r="15">
          <cell r="B15">
            <v>96000</v>
          </cell>
        </row>
        <row r="19">
          <cell r="B19">
            <v>10000</v>
          </cell>
        </row>
        <row r="20">
          <cell r="B20">
            <v>2000</v>
          </cell>
        </row>
        <row r="25">
          <cell r="B25">
            <v>3300</v>
          </cell>
        </row>
        <row r="27">
          <cell r="B27">
            <v>5200</v>
          </cell>
        </row>
        <row r="30">
          <cell r="B30">
            <v>390000</v>
          </cell>
        </row>
        <row r="31">
          <cell r="B31">
            <v>240000</v>
          </cell>
        </row>
        <row r="32">
          <cell r="B32">
            <v>130000</v>
          </cell>
        </row>
        <row r="34">
          <cell r="B34">
            <v>1000</v>
          </cell>
        </row>
      </sheetData>
    </sheetDataSet>
  </externalBook>
</externalLink>
</file>

<file path=xl/persons/person.xml><?xml version="1.0" encoding="utf-8"?>
<personList xmlns="http://schemas.microsoft.com/office/spreadsheetml/2018/threadedcomments" xmlns:x="http://schemas.openxmlformats.org/spreadsheetml/2006/main">
  <person displayName="HP" id="{97E78B79-ECC6-40E7-AD9E-61F4B3B9D726}" userId="HP" providerId="None"/>
  <person displayName="User" id="{3A49AD03-E82E-42EA-8011-3A05F17AD76A}" userId="User"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blUnitCost" displayName="TblUnitCost" ref="B10:L505" totalsRowShown="0" headerRowDxfId="123" dataDxfId="122">
  <autoFilter ref="B10:L505" xr:uid="{00000000-0009-0000-0100-000003000000}"/>
  <tableColumns count="11">
    <tableColumn id="1" xr3:uid="{00000000-0010-0000-0100-000001000000}" name="Resource" dataDxfId="121"/>
    <tableColumn id="2" xr3:uid="{00000000-0010-0000-0100-000002000000}" name="Unit" dataDxfId="120"/>
    <tableColumn id="4" xr3:uid="{00000000-0010-0000-0100-000004000000}" name="Year" dataDxfId="119"/>
    <tableColumn id="5" xr3:uid="{00000000-0010-0000-0100-000005000000}" name="Currency" dataDxfId="118"/>
    <tableColumn id="6" xr3:uid="{00000000-0010-0000-0100-000006000000}" name="Cost" dataDxfId="117"/>
    <tableColumn id="7" xr3:uid="{00000000-0010-0000-0100-000007000000}" name="LCU" dataDxfId="116">
      <calculatedColumnFormula>IF(TblUnitCost[[#This Row],[Currency]]=LCU, TblUnitCost[[#This Row],[Cost]], IF(TblUnitCost[[#This Row],[Currency]]=ACU, TblUnitCost[[#This Row],[Cost]]*FX_Rate, "Check Ref Currency"))</calculatedColumnFormula>
    </tableColumn>
    <tableColumn id="3" xr3:uid="{618C91A3-2B17-4B4F-8801-CD315FD5051F}" name="USD Equivalence" dataDxfId="115">
      <calculatedColumnFormula>TblUnitCost[[#This Row],[Cost]]/1600</calculatedColumnFormula>
    </tableColumn>
    <tableColumn id="25" xr3:uid="{00000000-0010-0000-0100-000019000000}" name="Notes" dataDxfId="114"/>
    <tableColumn id="30" xr3:uid="{00000000-0010-0000-0100-00001E000000}" name="Source" dataDxfId="113"/>
    <tableColumn id="31" xr3:uid="{00000000-0010-0000-0100-00001F000000}" name="Updated" dataDxfId="112"/>
    <tableColumn id="32" xr3:uid="{00000000-0010-0000-0100-000020000000}" name="Validated?" dataDxfId="111"/>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blDetailBudget" displayName="TblDetailBudget" ref="B7:AJ614" totalsRowShown="0" headerRowDxfId="110" dataDxfId="109" headerRowCellStyle="Normal 19">
  <autoFilter ref="B7:AJ614" xr:uid="{00000000-0009-0000-0100-000004000000}"/>
  <tableColumns count="35">
    <tableColumn id="1" xr3:uid="{00000000-0010-0000-0000-000001000000}" name="Level" dataDxfId="108"/>
    <tableColumn id="2" xr3:uid="{00000000-0010-0000-0000-000002000000}" name="Numbering" dataDxfId="107">
      <calculatedColumnFormula>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calculatedColumnFormula>
    </tableColumn>
    <tableColumn id="4" xr3:uid="{00000000-0010-0000-0000-000004000000}" name="Lvl 1 Header" dataDxfId="106">
      <calculatedColumnFormula>IF(TblDetailBudget[[#This Row],[Level]]="", "", COUNTIFS($B$8:TblDetailBudget[[#This Row],[Level]], Lvl1Hdr))</calculatedColumnFormula>
    </tableColumn>
    <tableColumn id="5" xr3:uid="{00000000-0010-0000-0000-000005000000}" name="Lvl 2 Header" dataDxfId="105">
      <calculatedColumnFormula>IF(TblDetailBudget[[#This Row],[Level]]="", "", COUNTIFS($B$8:TblDetailBudget[[#This Row],[Level]], Lvl2Hdr, $D$8:TblDetailBudget[[#This Row],[Lvl 1 Header]], TblDetailBudget[[#This Row],[Lvl 1 Header]]))</calculatedColumnFormula>
    </tableColumn>
    <tableColumn id="6" xr3:uid="{00000000-0010-0000-0000-000006000000}" name="Lvl 3 Header" dataDxfId="104">
      <calculatedColumnFormula>IF(TblDetailBudget[[#This Row],[Level]]="", "", COUNTIFS($B$8:TblDetailBudget[[#This Row],[Level]], Lvl3Hdr, $D$8:TblDetailBudget[[#This Row],[Lvl 1 Header]], TblDetailBudget[[#This Row],[Lvl 1 Header]], $E$8:TblDetailBudget[[#This Row],[Lvl 2 Header]], TblDetailBudget[[#This Row],[Lvl 2 Header]]))</calculatedColumnFormula>
    </tableColumn>
    <tableColumn id="7" xr3:uid="{00000000-0010-0000-0000-000007000000}" name="Lvl 4 Header" dataDxfId="103">
      <calculatedColumnFormula>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calculatedColumnFormula>
    </tableColumn>
    <tableColumn id="8" xr3:uid="{00000000-0010-0000-0000-000008000000}" name="Lvl Bottom Header" dataDxfId="102">
      <calculatedColumnFormula>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calculatedColumnFormula>
    </tableColumn>
    <tableColumn id="9" xr3:uid="{00000000-0010-0000-0000-000009000000}" name="Row Title" dataDxfId="101"/>
    <tableColumn id="13" xr3:uid="{BB761CB7-4710-45B7-B19F-57FA25B2E332}" name="Implementation Level" dataDxfId="100"/>
    <tableColumn id="45" xr3:uid="{00000000-0010-0000-0000-00002D000000}" name="Justification/_x000a_Assumption/_x000a_Comments" dataDxfId="99"/>
    <tableColumn id="87" xr3:uid="{00000000-0010-0000-0000-000057000000}" name="Costing Progress Notations" dataDxfId="98"/>
    <tableColumn id="12" xr3:uid="{00000000-0010-0000-0000-00000C000000}" name="Unit Type" dataDxfId="97">
      <calculatedColumnFormula>IF(TblDetailBudget[[#This Row],[Level]]=LvlBottomHdr, IFERROR(INDEX(TblUnitCost[Unit], MATCH(TblDetailBudget[[#This Row],[Row Title]], TblUnitCost[Resource], 0)), "Invalid Resource"), "")</calculatedColumnFormula>
    </tableColumn>
    <tableColumn id="14" xr3:uid="{00000000-0010-0000-0000-00000E000000}" name="Baseline Unit Cost (LCU)" dataDxfId="96">
      <calculatedColumnFormula>IF(TblDetailBudget[[#This Row],[Level]]=LvlBottomHdr, IFERROR(INDEX(TblUnitCost[LCU], MATCH(TblDetailBudget[[#This Row],[Row Title]], TblUnitCost[Resource], 0)), "Invalid Resource"), "")</calculatedColumnFormula>
    </tableColumn>
    <tableColumn id="10" xr3:uid="{00000000-0010-0000-0000-00000A000000}" name="Quantity" dataDxfId="95"/>
    <tableColumn id="17" xr3:uid="{00000000-0010-0000-0000-000011000000}" name="Person" dataDxfId="94"/>
    <tableColumn id="42" xr3:uid="{00000000-0010-0000-0000-00002A000000}" name="Frequency" dataDxfId="93"/>
    <tableColumn id="46" xr3:uid="{00000000-0010-0000-0000-00002E000000}" name="2021 Quant" dataDxfId="92"/>
    <tableColumn id="47" xr3:uid="{00000000-0010-0000-0000-00002F000000}" name="2022 Quant" dataDxfId="91"/>
    <tableColumn id="48" xr3:uid="{00000000-0010-0000-0000-000030000000}" name="2023 Quant" dataDxfId="90"/>
    <tableColumn id="49" xr3:uid="{00000000-0010-0000-0000-000031000000}" name="2024 Quant" dataDxfId="89"/>
    <tableColumn id="50" xr3:uid="{00000000-0010-0000-0000-000032000000}" name="2025 Quant" dataDxfId="88"/>
    <tableColumn id="88" xr3:uid="{00000000-0010-0000-0000-000058000000}" name="Total Quantity" dataDxfId="87">
      <calculatedColumnFormula>IF(TblDetailBudget[[#This Row],[Level]]=LvlBottomHdr, IF(SUM(TblDetailBudget[[#This Row],[2021 Quant]:[2025 Quant]])&gt;0, SUM(TblDetailBudget[[#This Row],[2021 Quant]:[2025 Quant]]), ""), "")</calculatedColumnFormula>
    </tableColumn>
    <tableColumn id="75" xr3:uid="{00000000-0010-0000-0000-00004B000000}" name="2021 Cost (LCU)" dataDxfId="86">
      <calculatedColumnFormula>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calculatedColumnFormula>
    </tableColumn>
    <tableColumn id="76" xr3:uid="{00000000-0010-0000-0000-00004C000000}" name="2022 Cost (LCU)" dataDxfId="85">
      <calculatedColumnFormula>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calculatedColumnFormula>
    </tableColumn>
    <tableColumn id="77" xr3:uid="{00000000-0010-0000-0000-00004D000000}" name="2023 Cost (LCU)" dataDxfId="84">
      <calculatedColumnFormula>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calculatedColumnFormula>
    </tableColumn>
    <tableColumn id="78" xr3:uid="{00000000-0010-0000-0000-00004E000000}" name="2024 Cost (LCU)" dataDxfId="83">
      <calculatedColumnFormula>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calculatedColumnFormula>
    </tableColumn>
    <tableColumn id="79" xr3:uid="{00000000-0010-0000-0000-00004F000000}" name="2025 Cost (LCU)" dataDxfId="82">
      <calculatedColumnFormula>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calculatedColumnFormula>
    </tableColumn>
    <tableColumn id="80" xr3:uid="{00000000-0010-0000-0000-000050000000}" name="Total Cost (LCU)" dataDxfId="81">
      <calculatedColumnFormula>SUM(TblDetailBudget[[#This Row],[2021 Cost (LCU)]:[2025 Cost (LCU)]])</calculatedColumnFormula>
    </tableColumn>
    <tableColumn id="81" xr3:uid="{00000000-0010-0000-0000-000051000000}" name="2021 Cost (USD)" dataDxfId="80">
      <calculatedColumnFormula>IFERROR(SUM(TblDetailBudget[[#This Row],[2021 Cost (LCU)]])/FX_Rate, "")</calculatedColumnFormula>
    </tableColumn>
    <tableColumn id="82" xr3:uid="{00000000-0010-0000-0000-000052000000}" name="2022 Cost (USD)" dataDxfId="79">
      <calculatedColumnFormula>IFERROR(SUM(TblDetailBudget[[#This Row],[2022 Cost (LCU)]])/FX_Rate, "")</calculatedColumnFormula>
    </tableColumn>
    <tableColumn id="83" xr3:uid="{00000000-0010-0000-0000-000053000000}" name="2023 Cost (USD)" dataDxfId="78">
      <calculatedColumnFormula>IFERROR(SUM(TblDetailBudget[[#This Row],[2023 Cost (LCU)]])/FX_Rate, "")</calculatedColumnFormula>
    </tableColumn>
    <tableColumn id="84" xr3:uid="{00000000-0010-0000-0000-000054000000}" name="2024 Cost (USD)" dataDxfId="77">
      <calculatedColumnFormula>IFERROR(SUM(TblDetailBudget[[#This Row],[2024 Cost (LCU)]])/FX_Rate, "")</calculatedColumnFormula>
    </tableColumn>
    <tableColumn id="85" xr3:uid="{00000000-0010-0000-0000-000055000000}" name="2025 Cost (USD)" dataDxfId="76">
      <calculatedColumnFormula>IFERROR(SUM(TblDetailBudget[[#This Row],[2025 Cost (LCU)]])/FX_Rate, "")</calculatedColumnFormula>
    </tableColumn>
    <tableColumn id="86" xr3:uid="{00000000-0010-0000-0000-000056000000}" name="Total Cost (USD)" dataDxfId="75">
      <calculatedColumnFormula>SUM(TblDetailBudget[[#This Row],[2021 Cost (USD)]:[2025 Cost (USD)]])</calculatedColumnFormula>
    </tableColumn>
    <tableColumn id="3" xr3:uid="{00000000-0010-0000-0000-000003000000}" name="Prioritization" dataDxfId="7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B5" personId="{3A49AD03-E82E-42EA-8011-3A05F17AD76A}" id="{FAC66F45-CC2B-4C59-9528-6AF58DB1C893}">
    <text xml:space="preserve"> Projection from 2026 population census figures</text>
  </threadedComment>
  <threadedComment ref="BJ5" personId="{3A49AD03-E82E-42EA-8011-3A05F17AD76A}" id="{48C5FC83-450E-42EB-A158-332794E251A3}">
    <text>Assumption: 2 persons per net</text>
  </threadedComment>
  <threadedComment ref="BR5" personId="{3A49AD03-E82E-42EA-8011-3A05F17AD76A}" id="{61403145-B9D3-47D9-BAAF-4500482E6CA9}">
    <text>0.5kg Bti per hectare   
  24 contact times</text>
  </threadedComment>
  <threadedComment ref="CA5" personId="{3A49AD03-E82E-42EA-8011-3A05F17AD76A}" id="{D350B5C5-DFF9-4964-8E7D-E1C8E0AC208B}">
    <text xml:space="preserve">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ext>
  </threadedComment>
  <threadedComment ref="CB5" personId="{3A49AD03-E82E-42EA-8011-3A05F17AD76A}" id="{84A4AD66-6B36-4FC2-9E34-47FA4D324262}">
    <text xml:space="preserve">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ext>
  </threadedComment>
  <threadedComment ref="CE5" personId="{3A49AD03-E82E-42EA-8011-3A05F17AD76A}" id="{F3E83B16-6DF3-4C30-8226-F90880985A0E}">
    <text>The quantification of case management commodities was done by GF for each state without disaggregating to LGAs. We decided to disaggregate proportionately to the LGAs using the proportionate distribution of the pregnant women among the LGAs.</text>
  </threadedComment>
  <threadedComment ref="CI5" personId="{3A49AD03-E82E-42EA-8011-3A05F17AD76A}" id="{863FC372-88E6-484F-9007-B7A53CFA37A9}">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K5" personId="{3A49AD03-E82E-42EA-8011-3A05F17AD76A}" id="{CD2E8AB5-D9E2-4398-ACC3-EFCF6959AB4E}">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M5" personId="{3A49AD03-E82E-42EA-8011-3A05F17AD76A}" id="{0CB00338-FCFE-4C9F-937D-7603C0A92CAF}">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O5" personId="{3A49AD03-E82E-42EA-8011-3A05F17AD76A}" id="{0FEAE6F7-1851-4F10-BA7B-3CC631E3FC7A}">
    <text>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ext>
  </threadedComment>
  <threadedComment ref="CT5" personId="{3A49AD03-E82E-42EA-8011-3A05F17AD76A}" id="{C2286DE1-3585-4BF3-B7D2-E69D8AAED1C0}">
    <text>The cost of distribution from the state’s store to the LGAs and from LGAs to the distribution hubs (costed per bale of ITNs) was separated from the operational (campaign) cost.</text>
  </threadedComment>
  <threadedComment ref="FG5" personId="{3A49AD03-E82E-42EA-8011-3A05F17AD76A}" id="{3E18D08C-DB04-4B56-820B-700A3CA11D24}">
    <text>Assumptions:
% Seeking healthcare services
 in public sector = 42.3
% Seeking healthcare services in private sector = 57.7</text>
  </threadedComment>
</ThreadedComments>
</file>

<file path=xl/threadedComments/threadedComment2.xml><?xml version="1.0" encoding="utf-8"?>
<ThreadedComments xmlns="http://schemas.microsoft.com/office/spreadsheetml/2018/threadedcomments" xmlns:x="http://schemas.openxmlformats.org/spreadsheetml/2006/main">
  <threadedComment ref="F12" personId="{97E78B79-ECC6-40E7-AD9E-61F4B3B9D726}" id="{5BE39BA5-06A4-4ABD-8D1F-9283D2E9FB77}">
    <text>Depends on the no of LGAs targeted for visit for the State supervisors. e.g 15 persons</text>
  </threadedComment>
  <threadedComment ref="F13" personId="{97E78B79-ECC6-40E7-AD9E-61F4B3B9D726}" id="{E26E37B0-61C0-4FE5-8DCE-7F94255A97ED}">
    <text>Depends on the no of LGAs targeted for visit for the State supervisors. e.g 15 persons</text>
  </threadedComment>
  <threadedComment ref="F14" personId="{97E78B79-ECC6-40E7-AD9E-61F4B3B9D726}" id="{C02134E5-CA00-4005-917B-23AA55A66366}">
    <text>Depends on the no of LGAs targeted for visit for the State supervisors. e.g 15 persons</text>
  </threadedComment>
  <threadedComment ref="F15" personId="{97E78B79-ECC6-40E7-AD9E-61F4B3B9D726}" id="{B4B5A0B7-95C1-43A7-8AAA-BF2CF7D3816A}">
    <text>Depends on the number of supported HFs. e.g assume 720 HFs are supported</text>
  </threadedComment>
  <threadedComment ref="F16" personId="{97E78B79-ECC6-40E7-AD9E-61F4B3B9D726}" id="{0ECB775D-2291-4B50-A4E5-316B2109B014}">
    <text>Depends on the bumber LGA in the state</text>
  </threadedComment>
  <threadedComment ref="F17" personId="{97E78B79-ECC6-40E7-AD9E-61F4B3B9D726}" id="{AEB1441D-8BAC-4F4A-B9E5-27C59855B672}">
    <text>OIC and LGA team are entitled for lunch</text>
  </threadedComment>
  <threadedComment ref="Q20" personId="{3A49AD03-E82E-42EA-8011-3A05F17AD76A}" id="{EB7D1C1A-D241-4705-B373-03FD683096B3}">
    <text/>
  </threadedComment>
  <threadedComment ref="F22" personId="{97E78B79-ECC6-40E7-AD9E-61F4B3B9D726}" id="{81F0E95A-D366-4953-9260-48EEB7D41F8A}">
    <text>Depends on the no of SHF and THFs in the state. assume there are 45 secondary and tertiary HFs</text>
  </threadedComment>
  <threadedComment ref="F23" personId="{97E78B79-ECC6-40E7-AD9E-61F4B3B9D726}" id="{DF1CDEE7-FA54-4DF6-9271-D0E99C5079AD}">
    <text>Depends on the no of SHF and THFs in the state. assume there are 45 secondary and tertiary HFs</text>
  </threadedComment>
  <threadedComment ref="F28" personId="{97E78B79-ECC6-40E7-AD9E-61F4B3B9D726}" id="{64C1DB81-2AF9-420D-BD5C-577AB5F01E82}">
    <text>Depends on the number of HFs in the state. Each validation officer will visit maximum of 2HFs per day. Assume the total no of HF is 890</text>
  </threadedComment>
  <threadedComment ref="F29" personId="{97E78B79-ECC6-40E7-AD9E-61F4B3B9D726}" id="{DDCC49D2-292A-4E23-BC7F-2BBA80A13122}">
    <text>Depends on the total no of LGAs in the state. Assume we have 40 LGAs</text>
  </threadedComment>
  <threadedComment ref="F30" personId="{97E78B79-ECC6-40E7-AD9E-61F4B3B9D726}" id="{4F7AF70C-4C86-4596-84D6-01A4DA5B67AF}">
    <text>Depends on the number of HFs in the state. Each validation officer will visit maximum of 2HFs per day. Assume the total no of HF is 890</text>
  </threadedComment>
  <threadedComment ref="F35" personId="{97E78B79-ECC6-40E7-AD9E-61F4B3B9D726}" id="{2B9447F1-F676-49E5-A924-EC98C50C514A}">
    <text>Depends on the no of LGAs targeted for visit for the State supervisors. e.g 5 persons</text>
  </threadedComment>
  <threadedComment ref="F36" personId="{97E78B79-ECC6-40E7-AD9E-61F4B3B9D726}" id="{0202E146-480E-4D29-9414-D27DECEDFE7B}">
    <text>Depends on the no of LGAs targeted for visit for the State supervisors. e.g 5 persons</text>
  </threadedComment>
  <threadedComment ref="F37" personId="{97E78B79-ECC6-40E7-AD9E-61F4B3B9D726}" id="{C46A8A46-F42B-4F07-A93A-4EF6E61E4F21}">
    <text>Depends on the no of LGAs targeted for visit for the State supervisors. e.g 15 persons</text>
  </threadedComment>
  <threadedComment ref="F38" personId="{97E78B79-ECC6-40E7-AD9E-61F4B3B9D726}" id="{AD32D12E-BCE2-4147-964B-A5343AF134E2}">
    <text>Depends on the number of supported HFs. e.g assume 720 HFs are supported</text>
  </threadedComment>
  <threadedComment ref="F44" personId="{97E78B79-ECC6-40E7-AD9E-61F4B3B9D726}" id="{1D84C444-CA67-4C08-B3ED-14F51E1F4EB9}">
    <text xml:space="preserve">Depends on the no of LGAs </text>
  </threadedComment>
  <threadedComment ref="F49" personId="{97E78B79-ECC6-40E7-AD9E-61F4B3B9D726}" id="{F6144A0C-84B2-4615-AA73-D31CFD1D8DD1}">
    <text xml:space="preserve">Depends on the no of LGAs 
</text>
  </threadedComment>
  <threadedComment ref="F50" personId="{97E78B79-ECC6-40E7-AD9E-61F4B3B9D726}" id="{FF3F3A84-F50C-400F-9708-FA95C0E3E73D}">
    <text xml:space="preserve">Depends on the no of LGAs 
</text>
  </threadedComment>
  <threadedComment ref="F51" personId="{97E78B79-ECC6-40E7-AD9E-61F4B3B9D726}" id="{0EC63946-0398-4940-8E26-43667EA0E3C3}">
    <text>Depends on the no of LGAs targeted for visit for the State supervisors. e.g 15 persons</text>
  </threadedComment>
  <threadedComment ref="F52" personId="{97E78B79-ECC6-40E7-AD9E-61F4B3B9D726}" id="{27F82091-49F1-491C-BFD1-237D2C7ABCA0}">
    <text xml:space="preserve">Depends on the no of LGAs 
</text>
  </threadedComment>
  <threadedComment ref="F53" personId="{97E78B79-ECC6-40E7-AD9E-61F4B3B9D726}" id="{7DA188D9-67DE-4A2D-A0B1-B32843F204F7}">
    <text>Total expected participants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3" Type="http://schemas.openxmlformats.org/officeDocument/2006/relationships/hyperlink" Target="http://en.wikipedia.org/wiki/Imo_State" TargetMode="External"/><Relationship Id="rId18" Type="http://schemas.openxmlformats.org/officeDocument/2006/relationships/hyperlink" Target="http://en.wikipedia.org/wiki/Ondo_State" TargetMode="External"/><Relationship Id="rId26" Type="http://schemas.openxmlformats.org/officeDocument/2006/relationships/hyperlink" Target="http://en.wikipedia.org/wiki/Adamawa_State" TargetMode="External"/><Relationship Id="rId21" Type="http://schemas.openxmlformats.org/officeDocument/2006/relationships/hyperlink" Target="http://en.wikipedia.org/wiki/Zamfara_State" TargetMode="External"/><Relationship Id="rId34" Type="http://schemas.openxmlformats.org/officeDocument/2006/relationships/hyperlink" Target="http://en.wikipedia.org/wiki/Ebonyi_State" TargetMode="External"/><Relationship Id="rId7" Type="http://schemas.openxmlformats.org/officeDocument/2006/relationships/hyperlink" Target="http://en.wikipedia.org/wiki/Bauchi_State" TargetMode="External"/><Relationship Id="rId12" Type="http://schemas.openxmlformats.org/officeDocument/2006/relationships/hyperlink" Target="http://en.wikipedia.org/wiki/Delta_State%2C_Nigeria" TargetMode="External"/><Relationship Id="rId17" Type="http://schemas.openxmlformats.org/officeDocument/2006/relationships/hyperlink" Target="http://en.wikipedia.org/wiki/Sokoto_State" TargetMode="External"/><Relationship Id="rId25" Type="http://schemas.openxmlformats.org/officeDocument/2006/relationships/hyperlink" Target="http://en.wikipedia.org/wiki/Plateau_State" TargetMode="External"/><Relationship Id="rId33" Type="http://schemas.openxmlformats.org/officeDocument/2006/relationships/hyperlink" Target="http://en.wikipedia.org/wiki/Taraba_State" TargetMode="External"/><Relationship Id="rId2" Type="http://schemas.openxmlformats.org/officeDocument/2006/relationships/hyperlink" Target="http://en.wikipedia.org/wiki/Lagos_State" TargetMode="External"/><Relationship Id="rId16" Type="http://schemas.openxmlformats.org/officeDocument/2006/relationships/hyperlink" Target="http://en.wikipedia.org/wiki/Ogun_State" TargetMode="External"/><Relationship Id="rId20" Type="http://schemas.openxmlformats.org/officeDocument/2006/relationships/hyperlink" Target="http://en.wikipedia.org/wiki/Kogi_State" TargetMode="External"/><Relationship Id="rId29" Type="http://schemas.openxmlformats.org/officeDocument/2006/relationships/hyperlink" Target="http://en.wikipedia.org/wiki/Ekiti_State" TargetMode="External"/><Relationship Id="rId1" Type="http://schemas.openxmlformats.org/officeDocument/2006/relationships/hyperlink" Target="http://en.wikipedia.org/wiki/Kano_State" TargetMode="External"/><Relationship Id="rId6" Type="http://schemas.openxmlformats.org/officeDocument/2006/relationships/hyperlink" Target="http://en.wikipedia.org/wiki/Rivers_State" TargetMode="External"/><Relationship Id="rId11" Type="http://schemas.openxmlformats.org/officeDocument/2006/relationships/hyperlink" Target="http://en.wikipedia.org/wiki/Borno_State" TargetMode="External"/><Relationship Id="rId24" Type="http://schemas.openxmlformats.org/officeDocument/2006/relationships/hyperlink" Target="http://en.wikipedia.org/wiki/Edo_State" TargetMode="External"/><Relationship Id="rId32" Type="http://schemas.openxmlformats.org/officeDocument/2006/relationships/hyperlink" Target="http://en.wikipedia.org/wiki/Yobe_State" TargetMode="External"/><Relationship Id="rId37" Type="http://schemas.openxmlformats.org/officeDocument/2006/relationships/hyperlink" Target="http://en.wikipedia.org/wiki/Federal_Capital_Territory" TargetMode="External"/><Relationship Id="rId5" Type="http://schemas.openxmlformats.org/officeDocument/2006/relationships/hyperlink" Target="http://en.wikipedia.org/wiki/Oyo_State" TargetMode="External"/><Relationship Id="rId15" Type="http://schemas.openxmlformats.org/officeDocument/2006/relationships/hyperlink" Target="http://en.wikipedia.org/wiki/Akwa_Ibom_State" TargetMode="External"/><Relationship Id="rId23" Type="http://schemas.openxmlformats.org/officeDocument/2006/relationships/hyperlink" Target="http://en.wikipedia.org/wiki/Kebbi_State" TargetMode="External"/><Relationship Id="rId28" Type="http://schemas.openxmlformats.org/officeDocument/2006/relationships/hyperlink" Target="http://en.wikipedia.org/wiki/Abia_State" TargetMode="External"/><Relationship Id="rId36" Type="http://schemas.openxmlformats.org/officeDocument/2006/relationships/hyperlink" Target="http://en.wikipedia.org/wiki/Bayelsa_State" TargetMode="External"/><Relationship Id="rId10" Type="http://schemas.openxmlformats.org/officeDocument/2006/relationships/hyperlink" Target="http://en.wikipedia.org/wiki/Anambra_State" TargetMode="External"/><Relationship Id="rId19" Type="http://schemas.openxmlformats.org/officeDocument/2006/relationships/hyperlink" Target="http://en.wikipedia.org/wiki/Osun_State" TargetMode="External"/><Relationship Id="rId31" Type="http://schemas.openxmlformats.org/officeDocument/2006/relationships/hyperlink" Target="http://en.wikipedia.org/wiki/Gombe_State" TargetMode="External"/><Relationship Id="rId4" Type="http://schemas.openxmlformats.org/officeDocument/2006/relationships/hyperlink" Target="http://en.wikipedia.org/wiki/Katsina_State" TargetMode="External"/><Relationship Id="rId9" Type="http://schemas.openxmlformats.org/officeDocument/2006/relationships/hyperlink" Target="http://en.wikipedia.org/wiki/Benue_State" TargetMode="External"/><Relationship Id="rId14" Type="http://schemas.openxmlformats.org/officeDocument/2006/relationships/hyperlink" Target="http://en.wikipedia.org/wiki/Niger_State" TargetMode="External"/><Relationship Id="rId22" Type="http://schemas.openxmlformats.org/officeDocument/2006/relationships/hyperlink" Target="http://en.wikipedia.org/wiki/Enugu_State" TargetMode="External"/><Relationship Id="rId27" Type="http://schemas.openxmlformats.org/officeDocument/2006/relationships/hyperlink" Target="http://en.wikipedia.org/wiki/Cross_River_State" TargetMode="External"/><Relationship Id="rId30" Type="http://schemas.openxmlformats.org/officeDocument/2006/relationships/hyperlink" Target="http://en.wikipedia.org/wiki/Kwara_State" TargetMode="External"/><Relationship Id="rId35" Type="http://schemas.openxmlformats.org/officeDocument/2006/relationships/hyperlink" Target="http://en.wikipedia.org/wiki/Nasarawa_State" TargetMode="External"/><Relationship Id="rId8" Type="http://schemas.openxmlformats.org/officeDocument/2006/relationships/hyperlink" Target="http://en.wikipedia.org/wiki/Jigawa_State" TargetMode="External"/><Relationship Id="rId3" Type="http://schemas.openxmlformats.org/officeDocument/2006/relationships/hyperlink" Target="http://en.wikipedia.org/wiki/Kaduna_State" TargetMode="Externa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499984740745262"/>
    <pageSetUpPr autoPageBreaks="0"/>
  </sheetPr>
  <dimension ref="A1:CZ109"/>
  <sheetViews>
    <sheetView showGridLines="0" showRowColHeaders="0" topLeftCell="AZ1" zoomScale="60" zoomScaleNormal="60" zoomScaleSheetLayoutView="50" workbookViewId="0">
      <selection activeCell="G19" sqref="G19"/>
    </sheetView>
  </sheetViews>
  <sheetFormatPr defaultColWidth="5.7109375" defaultRowHeight="15"/>
  <cols>
    <col min="1" max="4" width="2.7109375" customWidth="1"/>
    <col min="5" max="9" width="4.7109375" customWidth="1"/>
    <col min="10" max="45" width="2.7109375" customWidth="1"/>
    <col min="46" max="51" width="3.28515625" customWidth="1"/>
    <col min="52" max="54" width="3.7109375" customWidth="1"/>
    <col min="55" max="72" width="2.7109375" customWidth="1"/>
  </cols>
  <sheetData>
    <row r="1" spans="1:104">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row>
    <row r="2" spans="1:104">
      <c r="A2" s="10"/>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row>
    <row r="3" spans="1:104">
      <c r="A3" s="10"/>
      <c r="B3" s="12"/>
      <c r="C3" s="2"/>
      <c r="D3" s="2"/>
      <c r="E3" s="2"/>
      <c r="F3" s="2"/>
      <c r="G3" s="2"/>
      <c r="H3" s="2"/>
      <c r="I3" s="2"/>
      <c r="J3" s="2"/>
      <c r="K3" s="2"/>
      <c r="L3" s="2"/>
      <c r="M3" s="2"/>
      <c r="N3" s="2"/>
      <c r="O3" s="2"/>
      <c r="P3" s="12"/>
      <c r="Q3" s="2"/>
      <c r="R3" s="2"/>
      <c r="S3" s="2"/>
      <c r="T3" s="2"/>
      <c r="U3" s="2"/>
      <c r="V3" s="2"/>
      <c r="W3" s="2"/>
      <c r="X3" s="2"/>
      <c r="Y3" s="2"/>
      <c r="Z3" s="2"/>
      <c r="AA3" s="2"/>
      <c r="AB3" s="2"/>
      <c r="AC3" s="2"/>
      <c r="AD3" s="2"/>
      <c r="AE3" s="2"/>
      <c r="AF3" s="2"/>
      <c r="AG3" s="2"/>
      <c r="AH3" s="2"/>
      <c r="AI3" s="2"/>
      <c r="AJ3" s="2"/>
      <c r="AK3" s="2"/>
      <c r="AL3" s="2"/>
      <c r="AM3" s="2"/>
      <c r="AN3" s="2"/>
      <c r="AO3" s="2"/>
      <c r="AP3" s="2"/>
      <c r="AQ3" s="2"/>
      <c r="AR3" s="12"/>
      <c r="AS3" s="2"/>
      <c r="AT3" s="2"/>
      <c r="AU3" s="2"/>
      <c r="AV3" s="2"/>
      <c r="AW3" s="2"/>
      <c r="AX3" s="2"/>
      <c r="AY3" s="2"/>
      <c r="AZ3" s="2"/>
      <c r="BA3" s="2"/>
      <c r="BB3" s="2"/>
      <c r="BC3" s="2"/>
      <c r="BD3" s="2"/>
      <c r="BE3" s="12"/>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row>
    <row r="4" spans="1:104" ht="23.25">
      <c r="A4" s="10"/>
      <c r="B4" s="12"/>
      <c r="C4" s="2"/>
      <c r="D4" s="2"/>
      <c r="E4" s="2"/>
      <c r="F4" s="2"/>
      <c r="G4" s="2"/>
      <c r="H4" s="2"/>
      <c r="I4" s="2"/>
      <c r="J4" s="2"/>
      <c r="K4" s="2"/>
      <c r="L4" s="2"/>
      <c r="M4" s="2"/>
      <c r="N4" s="2"/>
      <c r="O4" s="2"/>
      <c r="P4" s="12"/>
      <c r="Q4" s="2"/>
      <c r="R4" s="1090" t="s">
        <v>2429</v>
      </c>
      <c r="S4" s="1090"/>
      <c r="T4" s="1090"/>
      <c r="U4" s="1090"/>
      <c r="V4" s="1090"/>
      <c r="W4" s="1090"/>
      <c r="X4" s="1090"/>
      <c r="Y4" s="1090"/>
      <c r="Z4" s="1090"/>
      <c r="AA4" s="1090"/>
      <c r="AB4" s="1090"/>
      <c r="AC4" s="1090"/>
      <c r="AD4" s="1090"/>
      <c r="AE4" s="1090"/>
      <c r="AF4" s="1090"/>
      <c r="AG4" s="1090"/>
      <c r="AH4" s="1090"/>
      <c r="AI4" s="1090"/>
      <c r="AJ4" s="1090"/>
      <c r="AK4" s="1090"/>
      <c r="AL4" s="1090"/>
      <c r="AM4" s="1090"/>
      <c r="AN4" s="1090"/>
      <c r="AO4" s="1090"/>
      <c r="AP4" s="1090"/>
      <c r="AQ4" s="2"/>
      <c r="AR4" s="12"/>
      <c r="AS4" s="2"/>
      <c r="AT4" s="6" t="s">
        <v>0</v>
      </c>
      <c r="AU4" s="2"/>
      <c r="AV4" s="2"/>
      <c r="AW4" s="2"/>
      <c r="AX4" s="2"/>
      <c r="AY4" s="2"/>
      <c r="AZ4" s="2"/>
      <c r="BA4" s="2"/>
      <c r="BB4" s="2"/>
      <c r="BC4" s="2"/>
      <c r="BD4" s="2"/>
      <c r="BE4" s="12"/>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row>
    <row r="5" spans="1:104" ht="13.5" customHeight="1">
      <c r="A5" s="10"/>
      <c r="B5" s="12"/>
      <c r="C5" s="2"/>
      <c r="D5" s="2"/>
      <c r="E5" s="2"/>
      <c r="F5" s="2"/>
      <c r="G5" s="2"/>
      <c r="H5" s="2"/>
      <c r="I5" s="2"/>
      <c r="J5" s="2"/>
      <c r="K5" s="2"/>
      <c r="L5" s="2"/>
      <c r="M5" s="2"/>
      <c r="N5" s="2"/>
      <c r="O5" s="2"/>
      <c r="P5" s="12"/>
      <c r="Q5" s="2"/>
      <c r="R5" s="7"/>
      <c r="S5" s="2"/>
      <c r="T5" s="2"/>
      <c r="U5" s="2"/>
      <c r="V5" s="2"/>
      <c r="W5" s="2"/>
      <c r="X5" s="2"/>
      <c r="Y5" s="2"/>
      <c r="Z5" s="2"/>
      <c r="AA5" s="2"/>
      <c r="AB5" s="2"/>
      <c r="AC5" s="2"/>
      <c r="AD5" s="2"/>
      <c r="AE5" s="2"/>
      <c r="AF5" s="2"/>
      <c r="AG5" s="2"/>
      <c r="AH5" s="2"/>
      <c r="AI5" s="2"/>
      <c r="AJ5" s="2"/>
      <c r="AK5" s="2"/>
      <c r="AL5" s="2"/>
      <c r="AM5" s="2"/>
      <c r="AN5" s="2"/>
      <c r="AO5" s="2"/>
      <c r="AP5" s="2"/>
      <c r="AQ5" s="2"/>
      <c r="AR5" s="12"/>
      <c r="AS5" s="2"/>
      <c r="AT5" s="21" t="s">
        <v>104</v>
      </c>
      <c r="AU5" s="2"/>
      <c r="AV5" s="2"/>
      <c r="AW5" s="2"/>
      <c r="AX5" s="2"/>
      <c r="AY5" s="2"/>
      <c r="AZ5" s="2"/>
      <c r="BA5" s="2"/>
      <c r="BB5" s="2"/>
      <c r="BC5" s="2"/>
      <c r="BD5" s="2"/>
      <c r="BE5" s="12"/>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row>
    <row r="6" spans="1:104" ht="23.25">
      <c r="A6" s="10"/>
      <c r="B6" s="12"/>
      <c r="C6" s="2"/>
      <c r="D6" s="2"/>
      <c r="E6" s="2"/>
      <c r="F6" s="2"/>
      <c r="G6" s="2"/>
      <c r="H6" s="2"/>
      <c r="I6" s="2"/>
      <c r="J6" s="2"/>
      <c r="K6" s="2"/>
      <c r="L6" s="2"/>
      <c r="M6" s="2"/>
      <c r="N6" s="2"/>
      <c r="O6" s="2"/>
      <c r="P6" s="12"/>
      <c r="Q6" s="2"/>
      <c r="R6" s="1090" t="str">
        <f>'NSP Needs by Year'!H7&amp;"-"&amp;'NSP Needs by Year'!L7</f>
        <v>2021-2025</v>
      </c>
      <c r="S6" s="1090"/>
      <c r="T6" s="1090"/>
      <c r="U6" s="1090"/>
      <c r="V6" s="1090"/>
      <c r="W6" s="1090"/>
      <c r="X6" s="1090"/>
      <c r="Y6" s="1090"/>
      <c r="Z6" s="1090"/>
      <c r="AA6" s="1090"/>
      <c r="AB6" s="1090"/>
      <c r="AC6" s="1090"/>
      <c r="AD6" s="1090"/>
      <c r="AE6" s="1090"/>
      <c r="AF6" s="1090"/>
      <c r="AG6" s="1090"/>
      <c r="AH6" s="1090"/>
      <c r="AI6" s="1090"/>
      <c r="AJ6" s="1090"/>
      <c r="AK6" s="1090"/>
      <c r="AL6" s="1090"/>
      <c r="AM6" s="1090"/>
      <c r="AN6" s="1090"/>
      <c r="AO6" s="1090"/>
      <c r="AP6" s="1090"/>
      <c r="AQ6" s="2"/>
      <c r="AR6" s="12"/>
      <c r="AS6" s="2"/>
      <c r="AT6" s="20" t="s">
        <v>105</v>
      </c>
      <c r="AU6" s="2"/>
      <c r="AV6" s="2"/>
      <c r="AW6" s="2"/>
      <c r="AX6" s="2"/>
      <c r="AY6" s="2"/>
      <c r="AZ6" s="2"/>
      <c r="BA6" s="2"/>
      <c r="BB6" s="2"/>
      <c r="BC6" s="2"/>
      <c r="BD6" s="2"/>
      <c r="BE6" s="12"/>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row>
    <row r="7" spans="1:104">
      <c r="A7" s="10"/>
      <c r="B7" s="12"/>
      <c r="C7" s="2"/>
      <c r="D7" s="2"/>
      <c r="E7" s="2"/>
      <c r="F7" s="2"/>
      <c r="G7" s="2"/>
      <c r="H7" s="2"/>
      <c r="I7" s="2"/>
      <c r="J7" s="2"/>
      <c r="K7" s="2"/>
      <c r="L7" s="2"/>
      <c r="M7" s="2"/>
      <c r="N7" s="2"/>
      <c r="O7" s="2"/>
      <c r="P7" s="12"/>
      <c r="Q7" s="2"/>
      <c r="R7" s="2"/>
      <c r="S7" s="2"/>
      <c r="T7" s="2"/>
      <c r="U7" s="2"/>
      <c r="V7" s="2"/>
      <c r="W7" s="2"/>
      <c r="X7" s="2"/>
      <c r="Y7" s="2"/>
      <c r="Z7" s="2"/>
      <c r="AA7" s="2"/>
      <c r="AB7" s="2"/>
      <c r="AC7" s="2"/>
      <c r="AD7" s="2"/>
      <c r="AE7" s="2"/>
      <c r="AF7" s="2"/>
      <c r="AG7" s="2"/>
      <c r="AH7" s="2"/>
      <c r="AI7" s="2"/>
      <c r="AJ7" s="2"/>
      <c r="AK7" s="2"/>
      <c r="AL7" s="2"/>
      <c r="AM7" s="2"/>
      <c r="AN7" s="2"/>
      <c r="AO7" s="2"/>
      <c r="AP7" s="2"/>
      <c r="AQ7" s="2"/>
      <c r="AR7" s="12"/>
      <c r="AS7" s="2"/>
      <c r="AT7" s="2"/>
      <c r="AU7" s="2"/>
      <c r="AV7" s="2"/>
      <c r="AW7" s="2"/>
      <c r="AX7" s="2"/>
      <c r="AY7" s="2"/>
      <c r="AZ7" s="2"/>
      <c r="BA7" s="2"/>
      <c r="BB7" s="2"/>
      <c r="BC7" s="2"/>
      <c r="BD7" s="2"/>
      <c r="BE7" s="12"/>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row>
    <row r="8" spans="1:104">
      <c r="A8" s="10"/>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row>
    <row r="9" spans="1:104">
      <c r="A9" s="10"/>
      <c r="B9" s="1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12"/>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row>
    <row r="10" spans="1:104">
      <c r="A10" s="10"/>
      <c r="B10" s="12"/>
      <c r="C10" s="2"/>
      <c r="D10" s="11" t="s">
        <v>1</v>
      </c>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2"/>
      <c r="BE10" s="12"/>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row>
    <row r="11" spans="1:104">
      <c r="A11" s="10"/>
      <c r="B11" s="12"/>
      <c r="C11" s="2"/>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2"/>
      <c r="BE11" s="12"/>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row>
    <row r="12" spans="1:104">
      <c r="A12" s="10"/>
      <c r="B12" s="12"/>
      <c r="C12" s="2"/>
      <c r="D12" s="8"/>
      <c r="E12" s="22" t="s">
        <v>2</v>
      </c>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8"/>
      <c r="BD12" s="2"/>
      <c r="BE12" s="12"/>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row>
    <row r="13" spans="1:104">
      <c r="A13" s="10"/>
      <c r="B13" s="12"/>
      <c r="C13" s="2"/>
      <c r="D13" s="8"/>
      <c r="E13" s="23" t="s">
        <v>3</v>
      </c>
      <c r="F13" s="23"/>
      <c r="G13" s="23"/>
      <c r="H13" s="23"/>
      <c r="I13" s="24"/>
      <c r="J13" s="13"/>
      <c r="K13" s="14" t="s">
        <v>4</v>
      </c>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8"/>
      <c r="BD13" s="2"/>
      <c r="BE13" s="12"/>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row>
    <row r="14" spans="1:104">
      <c r="A14" s="10"/>
      <c r="B14" s="12"/>
      <c r="C14" s="2"/>
      <c r="D14" s="8"/>
      <c r="E14" s="25" t="s">
        <v>5</v>
      </c>
      <c r="F14" s="25"/>
      <c r="G14" s="25"/>
      <c r="H14" s="25"/>
      <c r="I14" s="26"/>
      <c r="J14" s="15"/>
      <c r="K14" s="16" t="s">
        <v>6</v>
      </c>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8"/>
      <c r="BD14" s="2"/>
      <c r="BE14" s="12"/>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row>
    <row r="15" spans="1:104">
      <c r="A15" s="10"/>
      <c r="B15" s="12"/>
      <c r="C15" s="2"/>
      <c r="D15" s="8"/>
      <c r="E15" s="27" t="s">
        <v>5</v>
      </c>
      <c r="F15" s="27"/>
      <c r="G15" s="27"/>
      <c r="H15" s="27"/>
      <c r="I15" s="28"/>
      <c r="J15" s="17"/>
      <c r="K15" s="18" t="s">
        <v>6</v>
      </c>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8"/>
      <c r="BD15" s="2"/>
      <c r="BE15" s="12"/>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row>
    <row r="16" spans="1:104">
      <c r="A16" s="10"/>
      <c r="B16" s="12"/>
      <c r="C16" s="2"/>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2"/>
      <c r="BE16" s="12"/>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row>
    <row r="17" spans="1:104">
      <c r="A17" s="10"/>
      <c r="B17" s="12"/>
      <c r="C17" s="2"/>
      <c r="D17" s="8"/>
      <c r="E17" s="31" t="s">
        <v>7</v>
      </c>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8"/>
      <c r="BD17" s="2"/>
      <c r="BE17" s="12"/>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row>
    <row r="18" spans="1:104">
      <c r="A18" s="10"/>
      <c r="B18" s="12"/>
      <c r="C18" s="2"/>
      <c r="D18" s="8"/>
      <c r="E18" s="29" t="s">
        <v>8</v>
      </c>
      <c r="F18" s="29"/>
      <c r="G18" s="29"/>
      <c r="H18" s="29"/>
      <c r="I18" s="30"/>
      <c r="J18" s="15"/>
      <c r="K18" s="16" t="s">
        <v>9</v>
      </c>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8"/>
      <c r="BD18" s="2"/>
      <c r="BE18" s="12"/>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row>
    <row r="19" spans="1:104">
      <c r="A19" s="10"/>
      <c r="B19" s="12"/>
      <c r="C19" s="2"/>
      <c r="D19" s="8"/>
      <c r="E19" s="29" t="s">
        <v>10</v>
      </c>
      <c r="F19" s="29"/>
      <c r="G19" s="29"/>
      <c r="H19" s="29"/>
      <c r="I19" s="30"/>
      <c r="J19" s="15"/>
      <c r="K19" s="16" t="s">
        <v>11</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8"/>
      <c r="BD19" s="2"/>
      <c r="BE19" s="12"/>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row>
    <row r="20" spans="1:104">
      <c r="A20" s="10"/>
      <c r="B20" s="12"/>
      <c r="C20" s="2"/>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2"/>
      <c r="BE20" s="12"/>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row>
    <row r="21" spans="1:104">
      <c r="A21" s="10"/>
      <c r="B21" s="12"/>
      <c r="C21" s="2"/>
      <c r="D21" s="8"/>
      <c r="E21" s="32" t="s">
        <v>12</v>
      </c>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8"/>
      <c r="BD21" s="2"/>
      <c r="BE21" s="12"/>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row>
    <row r="22" spans="1:104">
      <c r="A22" s="10"/>
      <c r="B22" s="12"/>
      <c r="C22" s="2"/>
      <c r="D22" s="8"/>
      <c r="E22" s="33" t="s">
        <v>13</v>
      </c>
      <c r="F22" s="33"/>
      <c r="G22" s="33"/>
      <c r="H22" s="33"/>
      <c r="I22" s="34"/>
      <c r="J22" s="13"/>
      <c r="K22" s="14" t="s">
        <v>14</v>
      </c>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8"/>
      <c r="BD22" s="2"/>
      <c r="BE22" s="12"/>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row>
    <row r="23" spans="1:104">
      <c r="A23" s="10"/>
      <c r="B23" s="12"/>
      <c r="C23" s="2"/>
      <c r="D23" s="8"/>
      <c r="E23" s="35" t="s">
        <v>13</v>
      </c>
      <c r="F23" s="35"/>
      <c r="G23" s="35"/>
      <c r="H23" s="35"/>
      <c r="I23" s="36"/>
      <c r="J23" s="15"/>
      <c r="K23" s="16" t="s">
        <v>14</v>
      </c>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8"/>
      <c r="BD23" s="2"/>
      <c r="BE23" s="12"/>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row>
    <row r="24" spans="1:104">
      <c r="A24" s="10"/>
      <c r="B24" s="12"/>
      <c r="C24" s="2"/>
      <c r="D24" s="8"/>
      <c r="E24" s="35" t="s">
        <v>13</v>
      </c>
      <c r="F24" s="35"/>
      <c r="G24" s="35"/>
      <c r="H24" s="35"/>
      <c r="I24" s="36"/>
      <c r="J24" s="15"/>
      <c r="K24" s="16" t="s">
        <v>14</v>
      </c>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8"/>
      <c r="BD24" s="2"/>
      <c r="BE24" s="12"/>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row>
    <row r="25" spans="1:104">
      <c r="A25" s="10"/>
      <c r="B25" s="12"/>
      <c r="C25" s="2"/>
      <c r="D25" s="8"/>
      <c r="E25" s="37" t="s">
        <v>13</v>
      </c>
      <c r="F25" s="37"/>
      <c r="G25" s="37"/>
      <c r="H25" s="37"/>
      <c r="I25" s="38"/>
      <c r="J25" s="17"/>
      <c r="K25" s="18" t="s">
        <v>14</v>
      </c>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8"/>
      <c r="BD25" s="2"/>
      <c r="BE25" s="12"/>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row>
    <row r="26" spans="1:104">
      <c r="A26" s="10"/>
      <c r="B26" s="12"/>
      <c r="C26" s="2"/>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2"/>
      <c r="BE26" s="12"/>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row>
    <row r="27" spans="1:104">
      <c r="A27" s="10"/>
      <c r="B27" s="12"/>
      <c r="C27" s="2"/>
      <c r="D27" s="8"/>
      <c r="E27" s="19" t="s">
        <v>15</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8"/>
      <c r="BD27" s="2"/>
      <c r="BE27" s="12"/>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row>
    <row r="28" spans="1:104">
      <c r="A28" s="10"/>
      <c r="B28" s="12"/>
      <c r="C28" s="2"/>
      <c r="D28" s="8"/>
      <c r="E28" s="39" t="s">
        <v>16</v>
      </c>
      <c r="F28" s="39"/>
      <c r="G28" s="39"/>
      <c r="H28" s="39"/>
      <c r="I28" s="39"/>
      <c r="J28" s="17"/>
      <c r="K28" s="18" t="s">
        <v>17</v>
      </c>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8"/>
      <c r="BD28" s="2"/>
      <c r="BE28" s="12"/>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row>
    <row r="29" spans="1:104">
      <c r="A29" s="10"/>
      <c r="B29" s="12"/>
      <c r="C29" s="2"/>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2"/>
      <c r="BE29" s="12"/>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row>
    <row r="30" spans="1:104">
      <c r="A30" s="10"/>
      <c r="B30" s="1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12"/>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row>
    <row r="31" spans="1:104">
      <c r="A31" s="10"/>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row>
    <row r="32" spans="1:104">
      <c r="A32" s="10"/>
      <c r="B32" s="1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12"/>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row>
    <row r="33" spans="1:104">
      <c r="A33" s="10"/>
      <c r="B33" s="12"/>
      <c r="C33" s="2"/>
      <c r="D33" s="11" t="s">
        <v>18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2"/>
      <c r="BE33" s="12"/>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row>
    <row r="34" spans="1:104">
      <c r="A34" s="10"/>
      <c r="B34" s="12"/>
      <c r="C34" s="2"/>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2"/>
      <c r="BE34" s="12"/>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row>
    <row r="35" spans="1:104" ht="15" customHeight="1">
      <c r="A35" s="10"/>
      <c r="B35" s="12"/>
      <c r="C35" s="2"/>
      <c r="D35" s="9"/>
      <c r="E35" s="1089" t="s">
        <v>19</v>
      </c>
      <c r="F35" s="1089"/>
      <c r="G35" s="1089"/>
      <c r="H35" s="1089"/>
      <c r="I35" s="1089"/>
      <c r="J35" s="1089"/>
      <c r="K35" s="1089"/>
      <c r="L35" s="1089"/>
      <c r="M35" s="1089"/>
      <c r="N35" s="1089"/>
      <c r="O35" s="1089"/>
      <c r="P35" s="1089"/>
      <c r="Q35" s="1089"/>
      <c r="R35" s="1089"/>
      <c r="S35" s="1089"/>
      <c r="T35" s="1089"/>
      <c r="U35" s="1089"/>
      <c r="V35" s="1089"/>
      <c r="W35" s="1089"/>
      <c r="X35" s="1089"/>
      <c r="Y35" s="1089"/>
      <c r="Z35" s="1089"/>
      <c r="AA35" s="1089"/>
      <c r="AB35" s="1089"/>
      <c r="AC35" s="1089"/>
      <c r="AD35" s="1089"/>
      <c r="AE35" s="1089"/>
      <c r="AF35" s="1089"/>
      <c r="AG35" s="1089"/>
      <c r="AH35" s="1089"/>
      <c r="AI35" s="1089"/>
      <c r="AJ35" s="1089"/>
      <c r="AK35" s="1089"/>
      <c r="AL35" s="1089"/>
      <c r="AM35" s="1089"/>
      <c r="AN35" s="1089"/>
      <c r="AO35" s="1089"/>
      <c r="AP35" s="1089"/>
      <c r="AQ35" s="1089"/>
      <c r="AR35" s="1089"/>
      <c r="AS35" s="1089"/>
      <c r="AT35" s="1089"/>
      <c r="AU35" s="1089"/>
      <c r="AV35" s="1089"/>
      <c r="AW35" s="1089"/>
      <c r="AX35" s="1089"/>
      <c r="AY35" s="1089"/>
      <c r="AZ35" s="1089"/>
      <c r="BA35" s="1089"/>
      <c r="BB35" s="1089"/>
      <c r="BC35" s="9"/>
      <c r="BD35" s="2"/>
      <c r="BE35" s="12"/>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row>
    <row r="36" spans="1:104">
      <c r="A36" s="10"/>
      <c r="B36" s="12"/>
      <c r="C36" s="2"/>
      <c r="D36" s="9"/>
      <c r="E36" s="1089"/>
      <c r="F36" s="1089"/>
      <c r="G36" s="1089"/>
      <c r="H36" s="1089"/>
      <c r="I36" s="1089"/>
      <c r="J36" s="1089"/>
      <c r="K36" s="1089"/>
      <c r="L36" s="1089"/>
      <c r="M36" s="1089"/>
      <c r="N36" s="1089"/>
      <c r="O36" s="1089"/>
      <c r="P36" s="1089"/>
      <c r="Q36" s="1089"/>
      <c r="R36" s="1089"/>
      <c r="S36" s="1089"/>
      <c r="T36" s="1089"/>
      <c r="U36" s="1089"/>
      <c r="V36" s="1089"/>
      <c r="W36" s="1089"/>
      <c r="X36" s="1089"/>
      <c r="Y36" s="1089"/>
      <c r="Z36" s="1089"/>
      <c r="AA36" s="1089"/>
      <c r="AB36" s="1089"/>
      <c r="AC36" s="1089"/>
      <c r="AD36" s="1089"/>
      <c r="AE36" s="1089"/>
      <c r="AF36" s="1089"/>
      <c r="AG36" s="1089"/>
      <c r="AH36" s="1089"/>
      <c r="AI36" s="1089"/>
      <c r="AJ36" s="1089"/>
      <c r="AK36" s="1089"/>
      <c r="AL36" s="1089"/>
      <c r="AM36" s="1089"/>
      <c r="AN36" s="1089"/>
      <c r="AO36" s="1089"/>
      <c r="AP36" s="1089"/>
      <c r="AQ36" s="1089"/>
      <c r="AR36" s="1089"/>
      <c r="AS36" s="1089"/>
      <c r="AT36" s="1089"/>
      <c r="AU36" s="1089"/>
      <c r="AV36" s="1089"/>
      <c r="AW36" s="1089"/>
      <c r="AX36" s="1089"/>
      <c r="AY36" s="1089"/>
      <c r="AZ36" s="1089"/>
      <c r="BA36" s="1089"/>
      <c r="BB36" s="1089"/>
      <c r="BC36" s="9"/>
      <c r="BD36" s="2"/>
      <c r="BE36" s="12"/>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row>
    <row r="37" spans="1:104">
      <c r="A37" s="10"/>
      <c r="B37" s="12"/>
      <c r="C37" s="2"/>
      <c r="D37" s="9"/>
      <c r="E37" s="1089"/>
      <c r="F37" s="1089"/>
      <c r="G37" s="1089"/>
      <c r="H37" s="1089"/>
      <c r="I37" s="1089"/>
      <c r="J37" s="1089"/>
      <c r="K37" s="1089"/>
      <c r="L37" s="1089"/>
      <c r="M37" s="1089"/>
      <c r="N37" s="1089"/>
      <c r="O37" s="1089"/>
      <c r="P37" s="1089"/>
      <c r="Q37" s="1089"/>
      <c r="R37" s="1089"/>
      <c r="S37" s="1089"/>
      <c r="T37" s="1089"/>
      <c r="U37" s="1089"/>
      <c r="V37" s="1089"/>
      <c r="W37" s="1089"/>
      <c r="X37" s="1089"/>
      <c r="Y37" s="1089"/>
      <c r="Z37" s="1089"/>
      <c r="AA37" s="1089"/>
      <c r="AB37" s="1089"/>
      <c r="AC37" s="1089"/>
      <c r="AD37" s="1089"/>
      <c r="AE37" s="1089"/>
      <c r="AF37" s="1089"/>
      <c r="AG37" s="1089"/>
      <c r="AH37" s="1089"/>
      <c r="AI37" s="1089"/>
      <c r="AJ37" s="1089"/>
      <c r="AK37" s="1089"/>
      <c r="AL37" s="1089"/>
      <c r="AM37" s="1089"/>
      <c r="AN37" s="1089"/>
      <c r="AO37" s="1089"/>
      <c r="AP37" s="1089"/>
      <c r="AQ37" s="1089"/>
      <c r="AR37" s="1089"/>
      <c r="AS37" s="1089"/>
      <c r="AT37" s="1089"/>
      <c r="AU37" s="1089"/>
      <c r="AV37" s="1089"/>
      <c r="AW37" s="1089"/>
      <c r="AX37" s="1089"/>
      <c r="AY37" s="1089"/>
      <c r="AZ37" s="1089"/>
      <c r="BA37" s="1089"/>
      <c r="BB37" s="1089"/>
      <c r="BC37" s="9"/>
      <c r="BD37" s="2"/>
      <c r="BE37" s="12"/>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row>
    <row r="38" spans="1:104">
      <c r="A38" s="10"/>
      <c r="B38" s="12"/>
      <c r="C38" s="2"/>
      <c r="D38" s="9"/>
      <c r="E38" s="1089"/>
      <c r="F38" s="1089"/>
      <c r="G38" s="1089"/>
      <c r="H38" s="1089"/>
      <c r="I38" s="1089"/>
      <c r="J38" s="1089"/>
      <c r="K38" s="1089"/>
      <c r="L38" s="1089"/>
      <c r="M38" s="1089"/>
      <c r="N38" s="1089"/>
      <c r="O38" s="1089"/>
      <c r="P38" s="1089"/>
      <c r="Q38" s="1089"/>
      <c r="R38" s="1089"/>
      <c r="S38" s="1089"/>
      <c r="T38" s="1089"/>
      <c r="U38" s="1089"/>
      <c r="V38" s="1089"/>
      <c r="W38" s="1089"/>
      <c r="X38" s="1089"/>
      <c r="Y38" s="1089"/>
      <c r="Z38" s="1089"/>
      <c r="AA38" s="1089"/>
      <c r="AB38" s="1089"/>
      <c r="AC38" s="1089"/>
      <c r="AD38" s="1089"/>
      <c r="AE38" s="1089"/>
      <c r="AF38" s="1089"/>
      <c r="AG38" s="1089"/>
      <c r="AH38" s="1089"/>
      <c r="AI38" s="1089"/>
      <c r="AJ38" s="1089"/>
      <c r="AK38" s="1089"/>
      <c r="AL38" s="1089"/>
      <c r="AM38" s="1089"/>
      <c r="AN38" s="1089"/>
      <c r="AO38" s="1089"/>
      <c r="AP38" s="1089"/>
      <c r="AQ38" s="1089"/>
      <c r="AR38" s="1089"/>
      <c r="AS38" s="1089"/>
      <c r="AT38" s="1089"/>
      <c r="AU38" s="1089"/>
      <c r="AV38" s="1089"/>
      <c r="AW38" s="1089"/>
      <c r="AX38" s="1089"/>
      <c r="AY38" s="1089"/>
      <c r="AZ38" s="1089"/>
      <c r="BA38" s="1089"/>
      <c r="BB38" s="1089"/>
      <c r="BC38" s="9"/>
      <c r="BD38" s="2"/>
      <c r="BE38" s="12"/>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row>
    <row r="39" spans="1:104">
      <c r="A39" s="10"/>
      <c r="B39" s="12"/>
      <c r="C39" s="2"/>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2"/>
      <c r="BE39" s="12"/>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row>
    <row r="40" spans="1:104">
      <c r="A40" s="10"/>
      <c r="B40" s="1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12"/>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row>
    <row r="41" spans="1:104">
      <c r="A41" s="10"/>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row>
    <row r="42" spans="1:104">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row>
    <row r="43" spans="1:104">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row>
    <row r="44" spans="1:10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row>
    <row r="45" spans="1:104">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row>
    <row r="46" spans="1:104">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row>
    <row r="47" spans="1:104">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row>
    <row r="48" spans="1:104">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row>
    <row r="49" spans="1:104">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row>
    <row r="50" spans="1:104">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row>
    <row r="51" spans="1:104">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row>
    <row r="52" spans="1:104">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row>
    <row r="53" spans="1:104">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row>
    <row r="54" spans="1:10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row>
    <row r="55" spans="1:104">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row>
    <row r="56" spans="1:104">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row>
    <row r="57" spans="1:104">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row>
    <row r="58" spans="1:104">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row>
    <row r="59" spans="1:104">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row>
    <row r="60" spans="1:104">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row>
    <row r="61" spans="1:104">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row>
    <row r="62" spans="1:104">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row>
    <row r="63" spans="1:104">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row>
    <row r="64" spans="1:10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row>
    <row r="65" spans="1:104">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row>
    <row r="66" spans="1:104">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row>
    <row r="67" spans="1:104">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row>
    <row r="68" spans="1:104">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row>
    <row r="69" spans="1:104">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row>
    <row r="70" spans="1:104">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row>
    <row r="71" spans="1:104">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row>
    <row r="72" spans="1:104">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row>
    <row r="73" spans="1:104">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row>
    <row r="74" spans="1:10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row>
    <row r="75" spans="1:104">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row>
    <row r="76" spans="1:104">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row>
    <row r="77" spans="1:104">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row>
    <row r="78" spans="1:104">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row>
    <row r="79" spans="1:104">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row>
    <row r="80" spans="1:104">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row>
    <row r="81" spans="1:104">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row>
    <row r="82" spans="1:104">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row>
    <row r="83" spans="1:104">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row>
    <row r="84" spans="1:10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row>
    <row r="85" spans="1:104">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row>
    <row r="86" spans="1:104">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row>
    <row r="87" spans="1:104">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row>
    <row r="88" spans="1:104">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row>
    <row r="89" spans="1:104">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row>
    <row r="90" spans="1:104">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row>
    <row r="91" spans="1:104">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row>
    <row r="92" spans="1:104">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row>
    <row r="93" spans="1:104">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row>
    <row r="94" spans="1:10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row>
    <row r="95" spans="1:104">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row>
    <row r="96" spans="1:104">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row>
    <row r="97" spans="1:104">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row>
    <row r="98" spans="1:104">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row>
    <row r="99" spans="1:104">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row>
    <row r="100" spans="1:104">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row>
    <row r="101" spans="1:104">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row>
    <row r="102" spans="1:104">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row>
    <row r="103" spans="1:104">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row>
    <row r="104" spans="1: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row>
    <row r="105" spans="1:104">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row>
    <row r="106" spans="1:104">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row>
    <row r="107" spans="1:104">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row>
    <row r="108" spans="1:104">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row>
    <row r="109" spans="1:104">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row>
  </sheetData>
  <mergeCells count="3">
    <mergeCell ref="E35:BB38"/>
    <mergeCell ref="R4:AP4"/>
    <mergeCell ref="R6:AP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pageSetUpPr autoPageBreaks="0"/>
  </sheetPr>
  <dimension ref="B1:L930"/>
  <sheetViews>
    <sheetView zoomScale="125" zoomScaleNormal="130" workbookViewId="0">
      <pane xSplit="3" ySplit="10" topLeftCell="D74" activePane="bottomRight" state="frozenSplit"/>
      <selection activeCell="G19" sqref="G19"/>
      <selection pane="topRight" activeCell="G19" sqref="G19"/>
      <selection pane="bottomLeft" activeCell="G19" sqref="G19"/>
      <selection pane="bottomRight" activeCell="F21" sqref="F21"/>
    </sheetView>
  </sheetViews>
  <sheetFormatPr defaultColWidth="9.140625" defaultRowHeight="12.75" outlineLevelCol="1"/>
  <cols>
    <col min="1" max="1" width="2" style="41" customWidth="1"/>
    <col min="2" max="2" width="65" style="41" customWidth="1"/>
    <col min="3" max="3" width="16.140625" style="41" customWidth="1"/>
    <col min="4" max="4" width="8.7109375" style="41" customWidth="1"/>
    <col min="5" max="5" width="9.5703125" style="41" customWidth="1"/>
    <col min="6" max="6" width="13.28515625" style="195" customWidth="1"/>
    <col min="7" max="7" width="19.85546875" style="41" hidden="1" customWidth="1" outlineLevel="1"/>
    <col min="8" max="8" width="16.140625" style="41" customWidth="1" outlineLevel="1"/>
    <col min="9" max="10" width="30.7109375" style="41" customWidth="1"/>
    <col min="11" max="11" width="14.28515625" style="41" customWidth="1"/>
    <col min="12" max="13" width="30.7109375" style="41" customWidth="1"/>
    <col min="14" max="16384" width="9.140625" style="41"/>
  </cols>
  <sheetData>
    <row r="1" spans="2:12" s="43" customFormat="1" ht="18.75">
      <c r="B1" s="42" t="s">
        <v>74</v>
      </c>
      <c r="C1" s="92"/>
      <c r="D1" s="92"/>
      <c r="E1" s="92"/>
      <c r="F1" s="187"/>
      <c r="G1" s="92"/>
      <c r="H1" s="92"/>
      <c r="I1" s="92"/>
      <c r="J1" s="92"/>
      <c r="K1" s="92"/>
      <c r="L1" s="92"/>
    </row>
    <row r="2" spans="2:12" s="43" customFormat="1" ht="10.15" customHeight="1">
      <c r="F2" s="188"/>
    </row>
    <row r="3" spans="2:12" s="43" customFormat="1">
      <c r="B3" s="44" t="s">
        <v>75</v>
      </c>
      <c r="C3" s="87" t="s">
        <v>141</v>
      </c>
      <c r="D3" s="143" t="s">
        <v>76</v>
      </c>
      <c r="E3" s="144"/>
      <c r="F3" s="189" t="s">
        <v>142</v>
      </c>
    </row>
    <row r="4" spans="2:12" s="43" customFormat="1">
      <c r="B4" s="44" t="s">
        <v>77</v>
      </c>
      <c r="C4" s="87" t="s">
        <v>111</v>
      </c>
      <c r="D4" s="143" t="str">
        <f>"Exchange Rate: 1 "&amp;ACU&amp;" = ? LCU"</f>
        <v>Exchange Rate: 1 USD = ? LCU</v>
      </c>
      <c r="E4" s="144"/>
      <c r="F4" s="189">
        <v>1600</v>
      </c>
    </row>
    <row r="5" spans="2:12" s="43" customFormat="1">
      <c r="F5" s="188"/>
    </row>
    <row r="6" spans="2:12" s="43" customFormat="1" ht="10.15" customHeight="1">
      <c r="F6" s="188"/>
    </row>
    <row r="7" spans="2:12" s="43" customFormat="1" ht="5.25" customHeight="1">
      <c r="B7" s="45"/>
      <c r="C7" s="45"/>
      <c r="D7" s="45"/>
      <c r="E7" s="45"/>
      <c r="F7" s="190"/>
      <c r="G7" s="46"/>
      <c r="H7" s="46"/>
      <c r="I7" s="45"/>
      <c r="J7" s="45"/>
      <c r="K7" s="45"/>
      <c r="L7" s="45"/>
    </row>
    <row r="8" spans="2:12" s="43" customFormat="1" ht="15" customHeight="1">
      <c r="B8" s="47" t="s">
        <v>78</v>
      </c>
      <c r="C8" s="47"/>
      <c r="D8" s="48" t="s">
        <v>79</v>
      </c>
      <c r="E8" s="49"/>
      <c r="F8" s="191"/>
      <c r="G8" s="49"/>
      <c r="H8" s="49"/>
      <c r="I8" s="50" t="s">
        <v>80</v>
      </c>
      <c r="J8" s="51"/>
      <c r="K8" s="51"/>
      <c r="L8" s="51"/>
    </row>
    <row r="9" spans="2:12" s="43" customFormat="1">
      <c r="B9" s="52"/>
      <c r="C9" s="53"/>
      <c r="D9" s="54" t="s">
        <v>13</v>
      </c>
      <c r="E9" s="54" t="s">
        <v>13</v>
      </c>
      <c r="F9" s="192" t="s">
        <v>13</v>
      </c>
      <c r="G9" s="54" t="s">
        <v>81</v>
      </c>
      <c r="H9" s="54"/>
      <c r="I9" s="55"/>
      <c r="J9" s="56"/>
      <c r="K9" s="56"/>
      <c r="L9" s="57"/>
    </row>
    <row r="10" spans="2:12" s="43" customFormat="1">
      <c r="B10" s="52" t="s">
        <v>82</v>
      </c>
      <c r="C10" s="58" t="s">
        <v>71</v>
      </c>
      <c r="D10" s="59" t="s">
        <v>83</v>
      </c>
      <c r="E10" s="59" t="s">
        <v>84</v>
      </c>
      <c r="F10" s="192" t="s">
        <v>85</v>
      </c>
      <c r="G10" s="59" t="s">
        <v>86</v>
      </c>
      <c r="H10" s="59" t="s">
        <v>2337</v>
      </c>
      <c r="I10" s="60" t="s">
        <v>18</v>
      </c>
      <c r="J10" s="60" t="s">
        <v>87</v>
      </c>
      <c r="K10" s="60" t="s">
        <v>88</v>
      </c>
      <c r="L10" s="57" t="s">
        <v>89</v>
      </c>
    </row>
    <row r="11" spans="2:12" ht="14.25" customHeight="1">
      <c r="B11" s="96" t="s">
        <v>2303</v>
      </c>
      <c r="C11" s="96" t="s">
        <v>2416</v>
      </c>
      <c r="D11" s="97">
        <v>2024</v>
      </c>
      <c r="E11" s="97" t="s">
        <v>141</v>
      </c>
      <c r="F11" s="193">
        <f>'Cost inputs for LLIN &amp; SP '!F8</f>
        <v>5584.9688863999991</v>
      </c>
      <c r="G11" s="103">
        <f>IF(TblUnitCost[[#This Row],[Currency]]=LCU, TblUnitCost[[#This Row],[Cost]], IF(TblUnitCost[[#This Row],[Currency]]=ACU, TblUnitCost[[#This Row],[Cost]]*FX_Rate, "Check Ref Currency"))</f>
        <v>5584.9688863999991</v>
      </c>
      <c r="H11" s="103">
        <f>TblUnitCost[[#This Row],[Cost]]/1600</f>
        <v>3.4906055539999996</v>
      </c>
      <c r="I11" s="96" t="s">
        <v>2302</v>
      </c>
      <c r="J11" s="96" t="s">
        <v>2339</v>
      </c>
      <c r="K11" s="98"/>
      <c r="L11" s="96"/>
    </row>
    <row r="12" spans="2:12" ht="14.25" customHeight="1">
      <c r="B12" s="96" t="s">
        <v>2564</v>
      </c>
      <c r="C12" s="96" t="s">
        <v>2558</v>
      </c>
      <c r="D12" s="97">
        <v>2024</v>
      </c>
      <c r="E12" s="97" t="s">
        <v>141</v>
      </c>
      <c r="F12" s="193">
        <v>10000</v>
      </c>
      <c r="G12" s="103">
        <f>IF(TblUnitCost[[#This Row],[Currency]]=LCU, TblUnitCost[[#This Row],[Cost]], IF(TblUnitCost[[#This Row],[Currency]]=ACU, TblUnitCost[[#This Row],[Cost]]*FX_Rate, "Check Ref Currency"))</f>
        <v>10000</v>
      </c>
      <c r="H12" s="103">
        <f>TblUnitCost[[#This Row],[Cost]]/1600</f>
        <v>6.25</v>
      </c>
      <c r="I12" s="96" t="s">
        <v>2304</v>
      </c>
      <c r="J12" s="96" t="s">
        <v>2338</v>
      </c>
      <c r="K12" s="98"/>
      <c r="L12" s="96"/>
    </row>
    <row r="13" spans="2:12" ht="14.25" customHeight="1">
      <c r="B13" s="96" t="s">
        <v>2281</v>
      </c>
      <c r="C13" s="96" t="s">
        <v>2416</v>
      </c>
      <c r="D13" s="97">
        <v>2024</v>
      </c>
      <c r="E13" s="97" t="s">
        <v>141</v>
      </c>
      <c r="F13" s="193">
        <f>'Cost inputs for ITN Campaign'!J544</f>
        <v>584</v>
      </c>
      <c r="G13" s="103">
        <f>IF(TblUnitCost[[#This Row],[Currency]]=LCU, TblUnitCost[[#This Row],[Cost]], IF(TblUnitCost[[#This Row],[Currency]]=ACU, TblUnitCost[[#This Row],[Cost]]*FX_Rate, "Check Ref Currency"))</f>
        <v>584</v>
      </c>
      <c r="H13" s="103">
        <f>TblUnitCost[[#This Row],[Cost]]/1600</f>
        <v>0.36499999999999999</v>
      </c>
      <c r="I13" s="96" t="s">
        <v>2304</v>
      </c>
      <c r="J13" s="96" t="s">
        <v>2338</v>
      </c>
      <c r="K13" s="98"/>
      <c r="L13" s="96"/>
    </row>
    <row r="14" spans="2:12" ht="14.25" customHeight="1">
      <c r="B14" s="96" t="s">
        <v>2555</v>
      </c>
      <c r="C14" s="96" t="s">
        <v>2556</v>
      </c>
      <c r="D14" s="97">
        <v>2024</v>
      </c>
      <c r="E14" s="97" t="s">
        <v>141</v>
      </c>
      <c r="F14" s="193">
        <v>8000000</v>
      </c>
      <c r="G14" s="103">
        <f>IF(TblUnitCost[[#This Row],[Currency]]=LCU, TblUnitCost[[#This Row],[Cost]], IF(TblUnitCost[[#This Row],[Currency]]=ACU, TblUnitCost[[#This Row],[Cost]]*FX_Rate, "Check Ref Currency"))</f>
        <v>8000000</v>
      </c>
      <c r="H14" s="103">
        <f>TblUnitCost[[#This Row],[Cost]]/1600</f>
        <v>5000</v>
      </c>
      <c r="I14" s="96" t="s">
        <v>2302</v>
      </c>
      <c r="J14" s="96" t="s">
        <v>2339</v>
      </c>
      <c r="K14" s="98"/>
      <c r="L14" s="96"/>
    </row>
    <row r="15" spans="2:12" ht="14.25" customHeight="1">
      <c r="B15" s="96" t="s">
        <v>2305</v>
      </c>
      <c r="C15" s="96" t="s">
        <v>2416</v>
      </c>
      <c r="D15" s="97">
        <v>2024</v>
      </c>
      <c r="E15" s="97" t="s">
        <v>141</v>
      </c>
      <c r="F15" s="193">
        <f>'Cost inputs for LLIN &amp; SP '!F8</f>
        <v>5584.9688863999991</v>
      </c>
      <c r="G15" s="103">
        <f>IF(TblUnitCost[[#This Row],[Currency]]=LCU, TblUnitCost[[#This Row],[Cost]], IF(TblUnitCost[[#This Row],[Currency]]=ACU, TblUnitCost[[#This Row],[Cost]]*FX_Rate, "Check Ref Currency"))</f>
        <v>5584.9688863999991</v>
      </c>
      <c r="H15" s="103">
        <f>TblUnitCost[[#This Row],[Cost]]/1600</f>
        <v>3.4906055539999996</v>
      </c>
      <c r="I15" s="96" t="s">
        <v>2302</v>
      </c>
      <c r="J15" s="96" t="s">
        <v>2338</v>
      </c>
      <c r="K15" s="98"/>
      <c r="L15" s="96"/>
    </row>
    <row r="16" spans="2:12" ht="14.25" customHeight="1">
      <c r="B16" s="96" t="s">
        <v>2282</v>
      </c>
      <c r="C16" s="96" t="s">
        <v>2416</v>
      </c>
      <c r="D16" s="97">
        <v>2024</v>
      </c>
      <c r="E16" s="97" t="s">
        <v>141</v>
      </c>
      <c r="F16" s="193">
        <f>F15*0.25</f>
        <v>1396.2422215999998</v>
      </c>
      <c r="G16" s="103">
        <f>IF(TblUnitCost[[#This Row],[Currency]]=LCU, TblUnitCost[[#This Row],[Cost]], IF(TblUnitCost[[#This Row],[Currency]]=ACU, TblUnitCost[[#This Row],[Cost]]*FX_Rate, "Check Ref Currency"))</f>
        <v>1396.2422215999998</v>
      </c>
      <c r="H16" s="103">
        <f>TblUnitCost[[#This Row],[Cost]]/1600</f>
        <v>0.8726513884999999</v>
      </c>
      <c r="I16" s="96" t="s">
        <v>2302</v>
      </c>
      <c r="J16" s="96" t="s">
        <v>2338</v>
      </c>
      <c r="K16" s="98"/>
      <c r="L16" s="96"/>
    </row>
    <row r="17" spans="2:12" ht="14.25" customHeight="1">
      <c r="B17" s="96" t="s">
        <v>2741</v>
      </c>
      <c r="C17" s="96" t="s">
        <v>2742</v>
      </c>
      <c r="D17" s="97">
        <v>2024</v>
      </c>
      <c r="E17" s="97" t="s">
        <v>141</v>
      </c>
      <c r="F17" s="193">
        <f>'Cost Inputs for IRS'!F23</f>
        <v>347858863000</v>
      </c>
      <c r="G17" s="103">
        <f>IF(TblUnitCost[[#This Row],[Currency]]=LCU, TblUnitCost[[#This Row],[Cost]], IF(TblUnitCost[[#This Row],[Currency]]=ACU, TblUnitCost[[#This Row],[Cost]]*FX_Rate, "Check Ref Currency"))</f>
        <v>347858863000</v>
      </c>
      <c r="H17" s="103">
        <f>TblUnitCost[[#This Row],[Cost]]/1600</f>
        <v>217411789.375</v>
      </c>
      <c r="I17" s="96"/>
      <c r="J17" s="96"/>
      <c r="K17" s="98"/>
      <c r="L17" s="96"/>
    </row>
    <row r="18" spans="2:12" ht="14.25" customHeight="1">
      <c r="B18" s="96" t="s">
        <v>2890</v>
      </c>
      <c r="C18" s="96" t="s">
        <v>2891</v>
      </c>
      <c r="D18" s="97">
        <v>2024</v>
      </c>
      <c r="E18" s="97" t="s">
        <v>141</v>
      </c>
      <c r="F18" s="193">
        <f>'Cost inputs for LSM'!J43</f>
        <v>102400</v>
      </c>
      <c r="G18" s="103">
        <f>IF(TblUnitCost[[#This Row],[Currency]]=LCU, TblUnitCost[[#This Row],[Cost]], IF(TblUnitCost[[#This Row],[Currency]]=ACU, TblUnitCost[[#This Row],[Cost]]*FX_Rate, "Check Ref Currency"))</f>
        <v>102400</v>
      </c>
      <c r="H18" s="103">
        <f>TblUnitCost[[#This Row],[Cost]]/1600</f>
        <v>64</v>
      </c>
      <c r="I18" s="96"/>
      <c r="J18" s="96"/>
      <c r="K18" s="98"/>
      <c r="L18" s="96"/>
    </row>
    <row r="19" spans="2:12" ht="14.25" customHeight="1">
      <c r="B19" s="96" t="s">
        <v>2889</v>
      </c>
      <c r="C19" s="96" t="s">
        <v>2742</v>
      </c>
      <c r="D19" s="97">
        <v>2024</v>
      </c>
      <c r="E19" s="97" t="s">
        <v>141</v>
      </c>
      <c r="F19" s="193">
        <f>'Cost inputs for LSM'!J44</f>
        <v>35805000</v>
      </c>
      <c r="G19" s="103">
        <f>IF(TblUnitCost[[#This Row],[Currency]]=LCU, TblUnitCost[[#This Row],[Cost]], IF(TblUnitCost[[#This Row],[Currency]]=ACU, TblUnitCost[[#This Row],[Cost]]*FX_Rate, "Check Ref Currency"))</f>
        <v>35805000</v>
      </c>
      <c r="H19" s="103">
        <f>TblUnitCost[[#This Row],[Cost]]/1600</f>
        <v>22378.125</v>
      </c>
      <c r="I19" s="96"/>
      <c r="J19" s="96"/>
      <c r="K19" s="98"/>
      <c r="L19" s="96"/>
    </row>
    <row r="20" spans="2:12" ht="14.25" customHeight="1">
      <c r="B20" s="96" t="s">
        <v>2589</v>
      </c>
      <c r="C20" s="96" t="s">
        <v>2590</v>
      </c>
      <c r="D20" s="97">
        <v>2024</v>
      </c>
      <c r="E20" s="97" t="s">
        <v>141</v>
      </c>
      <c r="F20" s="193">
        <v>6400</v>
      </c>
      <c r="G20" s="103">
        <f>IF(TblUnitCost[[#This Row],[Currency]]=LCU, TblUnitCost[[#This Row],[Cost]], IF(TblUnitCost[[#This Row],[Currency]]=ACU, TblUnitCost[[#This Row],[Cost]]*FX_Rate, "Check Ref Currency"))</f>
        <v>6400</v>
      </c>
      <c r="H20" s="103">
        <f>TblUnitCost[[#This Row],[Cost]]/1600</f>
        <v>4</v>
      </c>
      <c r="I20" s="96" t="s">
        <v>2565</v>
      </c>
      <c r="J20" s="96" t="s">
        <v>2565</v>
      </c>
      <c r="K20" s="98"/>
      <c r="L20" s="96"/>
    </row>
    <row r="21" spans="2:12" ht="14.25" customHeight="1">
      <c r="B21" s="96" t="s">
        <v>2587</v>
      </c>
      <c r="C21" s="96" t="s">
        <v>2418</v>
      </c>
      <c r="D21" s="97">
        <v>2024</v>
      </c>
      <c r="E21" s="97" t="s">
        <v>141</v>
      </c>
      <c r="F21" s="193">
        <v>1600</v>
      </c>
      <c r="G21" s="103">
        <f>IF(TblUnitCost[[#This Row],[Currency]]=LCU, TblUnitCost[[#This Row],[Cost]], IF(TblUnitCost[[#This Row],[Currency]]=ACU, TblUnitCost[[#This Row],[Cost]]*FX_Rate, "Check Ref Currency"))</f>
        <v>1600</v>
      </c>
      <c r="H21" s="103">
        <f>TblUnitCost[[#This Row],[Cost]]/1600</f>
        <v>1</v>
      </c>
      <c r="I21" s="96" t="s">
        <v>2565</v>
      </c>
      <c r="J21" s="96" t="s">
        <v>2565</v>
      </c>
      <c r="K21" s="98"/>
      <c r="L21" s="96"/>
    </row>
    <row r="22" spans="2:12" ht="14.25" customHeight="1">
      <c r="B22" s="96" t="s">
        <v>2283</v>
      </c>
      <c r="C22" s="96" t="s">
        <v>2417</v>
      </c>
      <c r="D22" s="97">
        <v>2024</v>
      </c>
      <c r="E22" s="97" t="s">
        <v>141</v>
      </c>
      <c r="F22" s="193">
        <v>390</v>
      </c>
      <c r="G22" s="103">
        <f>IF(TblUnitCost[[#This Row],[Currency]]=LCU, TblUnitCost[[#This Row],[Cost]], IF(TblUnitCost[[#This Row],[Currency]]=ACU, TblUnitCost[[#This Row],[Cost]]*FX_Rate, "Check Ref Currency"))</f>
        <v>390</v>
      </c>
      <c r="H22" s="103">
        <f>TblUnitCost[[#This Row],[Cost]]/1600</f>
        <v>0.24374999999999999</v>
      </c>
      <c r="I22" s="96" t="s">
        <v>2302</v>
      </c>
      <c r="J22" s="96" t="s">
        <v>2338</v>
      </c>
      <c r="K22" s="98"/>
      <c r="L22" s="96"/>
    </row>
    <row r="23" spans="2:12" ht="14.25" customHeight="1">
      <c r="B23" s="96" t="s">
        <v>2284</v>
      </c>
      <c r="C23" s="96" t="s">
        <v>2417</v>
      </c>
      <c r="D23" s="97">
        <v>2024</v>
      </c>
      <c r="E23" s="97" t="s">
        <v>141</v>
      </c>
      <c r="F23" s="193">
        <v>435</v>
      </c>
      <c r="G23" s="103">
        <f>IF(TblUnitCost[[#This Row],[Currency]]=LCU, TblUnitCost[[#This Row],[Cost]], IF(TblUnitCost[[#This Row],[Currency]]=ACU, TblUnitCost[[#This Row],[Cost]]*FX_Rate, "Check Ref Currency"))</f>
        <v>435</v>
      </c>
      <c r="H23" s="103">
        <f>TblUnitCost[[#This Row],[Cost]]/1600</f>
        <v>0.27187499999999998</v>
      </c>
      <c r="I23" s="96" t="s">
        <v>2302</v>
      </c>
      <c r="J23" s="96" t="s">
        <v>2338</v>
      </c>
      <c r="K23" s="98"/>
      <c r="L23" s="96"/>
    </row>
    <row r="24" spans="2:12" ht="14.25" customHeight="1">
      <c r="B24" s="96" t="s">
        <v>2408</v>
      </c>
      <c r="C24" s="96" t="s">
        <v>2418</v>
      </c>
      <c r="D24" s="97">
        <v>2024</v>
      </c>
      <c r="E24" s="97" t="s">
        <v>141</v>
      </c>
      <c r="F24" s="193">
        <f>'Cost inputs for SMC Campaign'!H64</f>
        <v>2128</v>
      </c>
      <c r="G24" s="103">
        <f>IF(TblUnitCost[[#This Row],[Currency]]=LCU, TblUnitCost[[#This Row],[Cost]], IF(TblUnitCost[[#This Row],[Currency]]=ACU, TblUnitCost[[#This Row],[Cost]]*FX_Rate, "Check Ref Currency"))</f>
        <v>2128</v>
      </c>
      <c r="H24" s="103">
        <f>TblUnitCost[[#This Row],[Cost]]/1600</f>
        <v>1.33</v>
      </c>
      <c r="I24" s="96" t="s">
        <v>2302</v>
      </c>
      <c r="J24" s="96" t="s">
        <v>2338</v>
      </c>
      <c r="K24" s="98"/>
      <c r="L24" s="96"/>
    </row>
    <row r="25" spans="2:12" ht="14.25" customHeight="1">
      <c r="B25" s="96" t="s">
        <v>2536</v>
      </c>
      <c r="C25" s="96" t="s">
        <v>2419</v>
      </c>
      <c r="D25" s="97">
        <v>2024</v>
      </c>
      <c r="E25" s="97" t="s">
        <v>141</v>
      </c>
      <c r="F25" s="193">
        <f>'Cost inputs for PMC commodities'!J22</f>
        <v>327</v>
      </c>
      <c r="G25" s="103">
        <f>IF(TblUnitCost[[#This Row],[Currency]]=LCU, TblUnitCost[[#This Row],[Cost]], IF(TblUnitCost[[#This Row],[Currency]]=ACU, TblUnitCost[[#This Row],[Cost]]*FX_Rate, "Check Ref Currency"))</f>
        <v>327</v>
      </c>
      <c r="H25" s="103">
        <f>TblUnitCost[[#This Row],[Cost]]/1600</f>
        <v>0.204375</v>
      </c>
      <c r="I25" s="96" t="s">
        <v>2302</v>
      </c>
      <c r="J25" s="96" t="s">
        <v>2338</v>
      </c>
      <c r="K25" s="98"/>
      <c r="L25" s="96"/>
    </row>
    <row r="26" spans="2:12" ht="14.25" customHeight="1">
      <c r="B26" s="96" t="s">
        <v>2535</v>
      </c>
      <c r="C26" s="96" t="s">
        <v>2418</v>
      </c>
      <c r="D26" s="97">
        <v>2024</v>
      </c>
      <c r="E26" s="97" t="s">
        <v>141</v>
      </c>
      <c r="F26" s="193">
        <f>'Cost inputs-PMC SP Distribution'!J80</f>
        <v>130</v>
      </c>
      <c r="G26" s="103">
        <f>IF(TblUnitCost[[#This Row],[Currency]]=LCU, TblUnitCost[[#This Row],[Cost]], IF(TblUnitCost[[#This Row],[Currency]]=ACU, TblUnitCost[[#This Row],[Cost]]*FX_Rate, "Check Ref Currency"))</f>
        <v>130</v>
      </c>
      <c r="H26" s="103">
        <f>TblUnitCost[[#This Row],[Cost]]/1600</f>
        <v>8.1250000000000003E-2</v>
      </c>
      <c r="I26" s="96" t="s">
        <v>2302</v>
      </c>
      <c r="J26" s="96" t="s">
        <v>2338</v>
      </c>
      <c r="K26" s="98"/>
      <c r="L26" s="96"/>
    </row>
    <row r="27" spans="2:12" ht="14.25" customHeight="1">
      <c r="B27" s="96" t="s">
        <v>2285</v>
      </c>
      <c r="C27" s="96" t="s">
        <v>2419</v>
      </c>
      <c r="D27" s="97">
        <v>2024</v>
      </c>
      <c r="E27" s="97" t="s">
        <v>141</v>
      </c>
      <c r="F27" s="193">
        <f>'Cost inputs for LLIN &amp; SP '!F27</f>
        <v>808.92950399999995</v>
      </c>
      <c r="G27" s="103">
        <f>IF(TblUnitCost[[#This Row],[Currency]]=LCU, TblUnitCost[[#This Row],[Cost]], IF(TblUnitCost[[#This Row],[Currency]]=ACU, TblUnitCost[[#This Row],[Cost]]*FX_Rate, "Check Ref Currency"))</f>
        <v>808.92950399999995</v>
      </c>
      <c r="H27" s="103">
        <f>TblUnitCost[[#This Row],[Cost]]/1600</f>
        <v>0.50558093999999998</v>
      </c>
      <c r="I27" s="96" t="s">
        <v>2302</v>
      </c>
      <c r="J27" s="96" t="s">
        <v>2338</v>
      </c>
      <c r="K27" s="98"/>
      <c r="L27" s="96"/>
    </row>
    <row r="28" spans="2:12" ht="14.25" customHeight="1">
      <c r="B28" s="96" t="s">
        <v>2567</v>
      </c>
      <c r="C28" s="96" t="s">
        <v>2419</v>
      </c>
      <c r="D28" s="97">
        <v>2024</v>
      </c>
      <c r="E28" s="97" t="s">
        <v>141</v>
      </c>
      <c r="F28" s="193">
        <f>F27*0.25</f>
        <v>202.23237599999999</v>
      </c>
      <c r="G28" s="103"/>
      <c r="H28" s="103">
        <f>TblUnitCost[[#This Row],[Cost]]/1600</f>
        <v>0.12639523499999999</v>
      </c>
      <c r="I28" s="96" t="s">
        <v>2302</v>
      </c>
      <c r="J28" s="96" t="s">
        <v>2338</v>
      </c>
      <c r="K28" s="98"/>
      <c r="L28" s="96"/>
    </row>
    <row r="29" spans="2:12" ht="14.25" customHeight="1">
      <c r="B29" s="96" t="s">
        <v>2588</v>
      </c>
      <c r="C29" s="96" t="s">
        <v>2419</v>
      </c>
      <c r="D29" s="97">
        <v>2024</v>
      </c>
      <c r="E29" s="97" t="s">
        <v>141</v>
      </c>
      <c r="F29" s="193">
        <f>F27*0.25</f>
        <v>202.23237599999999</v>
      </c>
      <c r="G29" s="103">
        <f>IF(TblUnitCost[[#This Row],[Currency]]=LCU, TblUnitCost[[#This Row],[Cost]], IF(TblUnitCost[[#This Row],[Currency]]=ACU, TblUnitCost[[#This Row],[Cost]]*FX_Rate, "Check Ref Currency"))</f>
        <v>202.23237599999999</v>
      </c>
      <c r="H29" s="103">
        <f>TblUnitCost[[#This Row],[Cost]]/1600</f>
        <v>0.12639523499999999</v>
      </c>
      <c r="I29" s="96" t="s">
        <v>2302</v>
      </c>
      <c r="J29" s="96" t="s">
        <v>2338</v>
      </c>
      <c r="K29" s="98"/>
      <c r="L29" s="96"/>
    </row>
    <row r="30" spans="2:12" ht="14.25" customHeight="1">
      <c r="B30" s="96" t="s">
        <v>2286</v>
      </c>
      <c r="C30" s="96" t="s">
        <v>2420</v>
      </c>
      <c r="D30" s="97">
        <v>2024</v>
      </c>
      <c r="E30" s="97" t="s">
        <v>141</v>
      </c>
      <c r="F30" s="193">
        <f>'Cost inputs CM commodities'!I21</f>
        <v>1952</v>
      </c>
      <c r="G30" s="103">
        <f>IF(TblUnitCost[[#This Row],[Currency]]=LCU, TblUnitCost[[#This Row],[Cost]], IF(TblUnitCost[[#This Row],[Currency]]=ACU, TblUnitCost[[#This Row],[Cost]]*FX_Rate, "Check Ref Currency"))</f>
        <v>1952</v>
      </c>
      <c r="H30" s="103">
        <f>TblUnitCost[[#This Row],[Cost]]/1600</f>
        <v>1.22</v>
      </c>
      <c r="I30" s="96" t="s">
        <v>2302</v>
      </c>
      <c r="J30" s="96" t="s">
        <v>2338</v>
      </c>
      <c r="K30" s="98"/>
      <c r="L30" s="96"/>
    </row>
    <row r="31" spans="2:12" ht="14.25" customHeight="1">
      <c r="B31" s="96" t="s">
        <v>2287</v>
      </c>
      <c r="C31" s="96" t="s">
        <v>2420</v>
      </c>
      <c r="D31" s="97">
        <v>2024</v>
      </c>
      <c r="E31" s="97" t="s">
        <v>141</v>
      </c>
      <c r="F31" s="193">
        <f>F30*0.25</f>
        <v>488</v>
      </c>
      <c r="G31" s="103">
        <f>IF(TblUnitCost[[#This Row],[Currency]]=LCU, TblUnitCost[[#This Row],[Cost]], IF(TblUnitCost[[#This Row],[Currency]]=ACU, TblUnitCost[[#This Row],[Cost]]*FX_Rate, "Check Ref Currency"))</f>
        <v>488</v>
      </c>
      <c r="H31" s="103">
        <f>TblUnitCost[[#This Row],[Cost]]/1600</f>
        <v>0.30499999999999999</v>
      </c>
      <c r="I31" s="96" t="s">
        <v>2302</v>
      </c>
      <c r="J31" s="96" t="s">
        <v>2338</v>
      </c>
      <c r="K31" s="98"/>
      <c r="L31" s="96"/>
    </row>
    <row r="32" spans="2:12" ht="14.25" customHeight="1">
      <c r="B32" s="96" t="s">
        <v>2422</v>
      </c>
      <c r="C32" s="96" t="s">
        <v>2421</v>
      </c>
      <c r="D32" s="97">
        <v>2024</v>
      </c>
      <c r="E32" s="97" t="s">
        <v>141</v>
      </c>
      <c r="F32" s="193">
        <f>'Cost inputs CM commodities'!G27</f>
        <v>3205</v>
      </c>
      <c r="G32" s="103">
        <f>IF(TblUnitCost[[#This Row],[Currency]]=LCU, TblUnitCost[[#This Row],[Cost]], IF(TblUnitCost[[#This Row],[Currency]]=ACU, TblUnitCost[[#This Row],[Cost]]*FX_Rate, "Check Ref Currency"))</f>
        <v>3205</v>
      </c>
      <c r="H32" s="103">
        <f>TblUnitCost[[#This Row],[Cost]]/1600</f>
        <v>2.0031249999999998</v>
      </c>
      <c r="I32" s="96" t="s">
        <v>2302</v>
      </c>
      <c r="J32" s="96" t="s">
        <v>2338</v>
      </c>
      <c r="K32" s="98"/>
      <c r="L32" s="96"/>
    </row>
    <row r="33" spans="2:12" ht="14.25" customHeight="1">
      <c r="B33" s="96" t="s">
        <v>2547</v>
      </c>
      <c r="C33" s="96" t="s">
        <v>2421</v>
      </c>
      <c r="D33" s="97">
        <v>2024</v>
      </c>
      <c r="E33" s="97" t="s">
        <v>141</v>
      </c>
      <c r="F33" s="193">
        <f>F32*0.25</f>
        <v>801.25</v>
      </c>
      <c r="G33" s="103">
        <f>IF(TblUnitCost[[#This Row],[Currency]]=LCU, TblUnitCost[[#This Row],[Cost]], IF(TblUnitCost[[#This Row],[Currency]]=ACU, TblUnitCost[[#This Row],[Cost]]*FX_Rate, "Check Ref Currency"))</f>
        <v>801.25</v>
      </c>
      <c r="H33" s="103">
        <f>TblUnitCost[[#This Row],[Cost]]/1600</f>
        <v>0.50078124999999996</v>
      </c>
      <c r="I33" s="96" t="s">
        <v>2302</v>
      </c>
      <c r="J33" s="96" t="s">
        <v>2338</v>
      </c>
      <c r="K33" s="98"/>
      <c r="L33" s="96"/>
    </row>
    <row r="34" spans="2:12" ht="14.25" customHeight="1">
      <c r="B34" s="96" t="s">
        <v>2402</v>
      </c>
      <c r="C34" s="96" t="s">
        <v>2423</v>
      </c>
      <c r="D34" s="97">
        <v>2024</v>
      </c>
      <c r="E34" s="97" t="s">
        <v>141</v>
      </c>
      <c r="F34" s="193">
        <f>'Cost inputs CM commodities'!G58</f>
        <v>703</v>
      </c>
      <c r="G34" s="103">
        <f>IF(TblUnitCost[[#This Row],[Currency]]=LCU, TblUnitCost[[#This Row],[Cost]], IF(TblUnitCost[[#This Row],[Currency]]=ACU, TblUnitCost[[#This Row],[Cost]]*FX_Rate, "Check Ref Currency"))</f>
        <v>703</v>
      </c>
      <c r="H34" s="103">
        <f>TblUnitCost[[#This Row],[Cost]]/1600</f>
        <v>0.43937500000000002</v>
      </c>
      <c r="I34" s="96" t="s">
        <v>2302</v>
      </c>
      <c r="J34" s="96" t="s">
        <v>2338</v>
      </c>
      <c r="K34" s="98"/>
      <c r="L34" s="96"/>
    </row>
    <row r="35" spans="2:12" ht="14.25" customHeight="1">
      <c r="B35" s="96" t="s">
        <v>2403</v>
      </c>
      <c r="C35" s="96" t="s">
        <v>2423</v>
      </c>
      <c r="D35" s="97">
        <v>2024</v>
      </c>
      <c r="E35" s="97" t="s">
        <v>141</v>
      </c>
      <c r="F35" s="193">
        <f>F34*0.25</f>
        <v>175.75</v>
      </c>
      <c r="G35" s="103">
        <f>IF(TblUnitCost[[#This Row],[Currency]]=LCU, TblUnitCost[[#This Row],[Cost]], IF(TblUnitCost[[#This Row],[Currency]]=ACU, TblUnitCost[[#This Row],[Cost]]*FX_Rate, "Check Ref Currency"))</f>
        <v>175.75</v>
      </c>
      <c r="H35" s="103">
        <f>TblUnitCost[[#This Row],[Cost]]/1600</f>
        <v>0.10984375</v>
      </c>
      <c r="I35" s="96" t="s">
        <v>2302</v>
      </c>
      <c r="J35" s="96" t="s">
        <v>2338</v>
      </c>
      <c r="K35" s="98"/>
      <c r="L35" s="96"/>
    </row>
    <row r="36" spans="2:12" ht="14.25" customHeight="1">
      <c r="B36" s="96" t="s">
        <v>2398</v>
      </c>
      <c r="C36" s="96" t="s">
        <v>2424</v>
      </c>
      <c r="D36" s="97">
        <v>2024</v>
      </c>
      <c r="E36" s="97" t="s">
        <v>141</v>
      </c>
      <c r="F36" s="193">
        <f>'Cost inputs CM commodities'!G50</f>
        <v>740</v>
      </c>
      <c r="G36" s="103">
        <f>IF(TblUnitCost[[#This Row],[Currency]]=LCU, TblUnitCost[[#This Row],[Cost]], IF(TblUnitCost[[#This Row],[Currency]]=ACU, TblUnitCost[[#This Row],[Cost]]*FX_Rate, "Check Ref Currency"))</f>
        <v>740</v>
      </c>
      <c r="H36" s="103">
        <f>TblUnitCost[[#This Row],[Cost]]/1600</f>
        <v>0.46250000000000002</v>
      </c>
      <c r="I36" s="96" t="s">
        <v>2302</v>
      </c>
      <c r="J36" s="96" t="s">
        <v>2338</v>
      </c>
      <c r="K36" s="98"/>
      <c r="L36" s="96"/>
    </row>
    <row r="37" spans="2:12" ht="14.25" customHeight="1">
      <c r="B37" s="96" t="s">
        <v>2399</v>
      </c>
      <c r="C37" s="96" t="s">
        <v>2424</v>
      </c>
      <c r="D37" s="97">
        <v>2024</v>
      </c>
      <c r="E37" s="97" t="s">
        <v>141</v>
      </c>
      <c r="F37" s="193">
        <f>F36*0.25</f>
        <v>185</v>
      </c>
      <c r="G37" s="103">
        <f>IF(TblUnitCost[[#This Row],[Currency]]=LCU, TblUnitCost[[#This Row],[Cost]], IF(TblUnitCost[[#This Row],[Currency]]=ACU, TblUnitCost[[#This Row],[Cost]]*FX_Rate, "Check Ref Currency"))</f>
        <v>185</v>
      </c>
      <c r="H37" s="103">
        <f>TblUnitCost[[#This Row],[Cost]]/1600</f>
        <v>0.11562500000000001</v>
      </c>
      <c r="I37" s="96" t="s">
        <v>2302</v>
      </c>
      <c r="J37" s="96" t="s">
        <v>2338</v>
      </c>
      <c r="K37" s="98"/>
      <c r="L37" s="96"/>
    </row>
    <row r="38" spans="2:12" ht="14.25" customHeight="1">
      <c r="B38" s="96" t="s">
        <v>2809</v>
      </c>
      <c r="C38" s="96" t="s">
        <v>2808</v>
      </c>
      <c r="D38" s="97">
        <v>2024</v>
      </c>
      <c r="E38" s="97" t="s">
        <v>141</v>
      </c>
      <c r="F38" s="193">
        <f>'Cost input for EQA for CM'!B14</f>
        <v>3622523</v>
      </c>
      <c r="G38" s="103">
        <f>IF(TblUnitCost[[#This Row],[Currency]]=LCU, TblUnitCost[[#This Row],[Cost]], IF(TblUnitCost[[#This Row],[Currency]]=ACU, TblUnitCost[[#This Row],[Cost]]*FX_Rate, "Check Ref Currency"))</f>
        <v>3622523</v>
      </c>
      <c r="H38" s="103">
        <f>TblUnitCost[[#This Row],[Cost]]/1600</f>
        <v>2264.0768750000002</v>
      </c>
      <c r="I38" s="96" t="s">
        <v>2806</v>
      </c>
      <c r="J38" s="96"/>
      <c r="K38" s="98"/>
      <c r="L38" s="96"/>
    </row>
    <row r="39" spans="2:12" ht="14.25" customHeight="1">
      <c r="B39" s="96" t="s">
        <v>2807</v>
      </c>
      <c r="C39" s="96" t="s">
        <v>2810</v>
      </c>
      <c r="D39" s="97">
        <v>2024</v>
      </c>
      <c r="E39" s="97" t="s">
        <v>141</v>
      </c>
      <c r="F39" s="193">
        <f>'Cost input-NHMIS Tools Printing'!D35</f>
        <v>173564</v>
      </c>
      <c r="G39" s="103">
        <f>IF(TblUnitCost[[#This Row],[Currency]]=LCU, TblUnitCost[[#This Row],[Cost]], IF(TblUnitCost[[#This Row],[Currency]]=ACU, TblUnitCost[[#This Row],[Cost]]*FX_Rate, "Check Ref Currency"))</f>
        <v>173564</v>
      </c>
      <c r="H39" s="103">
        <f>TblUnitCost[[#This Row],[Cost]]/1600</f>
        <v>108.47750000000001</v>
      </c>
      <c r="I39" s="96"/>
      <c r="J39" s="96"/>
      <c r="K39" s="98"/>
      <c r="L39" s="96"/>
    </row>
    <row r="40" spans="2:12" ht="14.25" customHeight="1">
      <c r="B40" s="96" t="s">
        <v>2811</v>
      </c>
      <c r="C40" s="96" t="s">
        <v>2633</v>
      </c>
      <c r="D40" s="97">
        <v>2024</v>
      </c>
      <c r="E40" s="97" t="s">
        <v>141</v>
      </c>
      <c r="F40" s="193">
        <f>'Cost input-NHMIS Tools Distribu'!G27</f>
        <v>532494</v>
      </c>
      <c r="G40" s="103">
        <f>IF(TblUnitCost[[#This Row],[Currency]]=LCU, TblUnitCost[[#This Row],[Cost]], IF(TblUnitCost[[#This Row],[Currency]]=ACU, TblUnitCost[[#This Row],[Cost]]*FX_Rate, "Check Ref Currency"))</f>
        <v>532494</v>
      </c>
      <c r="H40" s="103">
        <f>TblUnitCost[[#This Row],[Cost]]/1600</f>
        <v>332.80874999999997</v>
      </c>
      <c r="I40" s="96" t="s">
        <v>2302</v>
      </c>
      <c r="J40" s="96" t="s">
        <v>2338</v>
      </c>
      <c r="K40" s="98"/>
      <c r="L40" s="96"/>
    </row>
    <row r="41" spans="2:12" ht="14.25" customHeight="1">
      <c r="B41" s="96" t="s">
        <v>2738</v>
      </c>
      <c r="C41" s="96" t="s">
        <v>2744</v>
      </c>
      <c r="D41" s="97">
        <v>2024</v>
      </c>
      <c r="E41" s="97" t="s">
        <v>141</v>
      </c>
      <c r="F41" s="193">
        <f>'Cost inputs for M&amp;E activities'!Q20</f>
        <v>3213154</v>
      </c>
      <c r="G41" s="103">
        <f>IF(TblUnitCost[[#This Row],[Currency]]=LCU, TblUnitCost[[#This Row],[Cost]], IF(TblUnitCost[[#This Row],[Currency]]=ACU, TblUnitCost[[#This Row],[Cost]]*FX_Rate, "Check Ref Currency"))</f>
        <v>3213154</v>
      </c>
      <c r="H41" s="103">
        <f>TblUnitCost[[#This Row],[Cost]]/1600</f>
        <v>2008.2212500000001</v>
      </c>
      <c r="I41" s="96" t="s">
        <v>2302</v>
      </c>
      <c r="J41" s="96" t="s">
        <v>2338</v>
      </c>
      <c r="K41" s="98"/>
      <c r="L41" s="96"/>
    </row>
    <row r="42" spans="2:12" ht="14.25" customHeight="1">
      <c r="B42" s="96" t="s">
        <v>2632</v>
      </c>
      <c r="C42" s="96" t="s">
        <v>2633</v>
      </c>
      <c r="D42" s="97">
        <v>2024</v>
      </c>
      <c r="E42" s="97" t="s">
        <v>141</v>
      </c>
      <c r="F42" s="193">
        <f>'Cost inputs for M&amp;E activities'!K58</f>
        <v>4681778</v>
      </c>
      <c r="G42" s="103">
        <f>IF(TblUnitCost[[#This Row],[Currency]]=LCU, TblUnitCost[[#This Row],[Cost]], IF(TblUnitCost[[#This Row],[Currency]]=ACU, TblUnitCost[[#This Row],[Cost]]*FX_Rate, "Check Ref Currency"))</f>
        <v>4681778</v>
      </c>
      <c r="H42" s="103">
        <f>TblUnitCost[[#This Row],[Cost]]/1600</f>
        <v>2926.1112499999999</v>
      </c>
      <c r="I42" s="96" t="s">
        <v>2302</v>
      </c>
      <c r="J42" s="96" t="s">
        <v>2338</v>
      </c>
      <c r="K42" s="98"/>
      <c r="L42" s="96"/>
    </row>
    <row r="43" spans="2:12" ht="14.25" customHeight="1">
      <c r="B43" s="96" t="s">
        <v>2825</v>
      </c>
      <c r="C43" s="96" t="s">
        <v>2744</v>
      </c>
      <c r="D43" s="97">
        <v>2024</v>
      </c>
      <c r="E43" s="97" t="s">
        <v>141</v>
      </c>
      <c r="F43" s="193">
        <v>2850000</v>
      </c>
      <c r="G43" s="103">
        <f>IF(TblUnitCost[[#This Row],[Currency]]=LCU, TblUnitCost[[#This Row],[Cost]], IF(TblUnitCost[[#This Row],[Currency]]=ACU, TblUnitCost[[#This Row],[Cost]]*FX_Rate, "Check Ref Currency"))</f>
        <v>2850000</v>
      </c>
      <c r="H43" s="103">
        <f>TblUnitCost[[#This Row],[Cost]]/1600</f>
        <v>1781.25</v>
      </c>
      <c r="I43" s="96" t="s">
        <v>2302</v>
      </c>
      <c r="J43" s="96" t="s">
        <v>2338</v>
      </c>
      <c r="K43" s="98"/>
      <c r="L43" s="96"/>
    </row>
    <row r="44" spans="2:12" ht="14.25" customHeight="1">
      <c r="B44" s="96" t="s">
        <v>113</v>
      </c>
      <c r="C44" s="96" t="s">
        <v>2425</v>
      </c>
      <c r="D44" s="97">
        <v>2024</v>
      </c>
      <c r="E44" s="97" t="s">
        <v>141</v>
      </c>
      <c r="F44" s="193"/>
      <c r="G44" s="103">
        <f>IF(TblUnitCost[[#This Row],[Currency]]=LCU, TblUnitCost[[#This Row],[Cost]], IF(TblUnitCost[[#This Row],[Currency]]=ACU, TblUnitCost[[#This Row],[Cost]]*FX_Rate, "Check Ref Currency"))</f>
        <v>0</v>
      </c>
      <c r="H44" s="103">
        <f>TblUnitCost[[#This Row],[Cost]]/1600</f>
        <v>0</v>
      </c>
      <c r="I44" s="96"/>
      <c r="J44" s="96"/>
      <c r="K44" s="98"/>
      <c r="L44" s="96"/>
    </row>
    <row r="45" spans="2:12" ht="14.25" customHeight="1">
      <c r="B45" s="96" t="s">
        <v>114</v>
      </c>
      <c r="C45" s="96" t="s">
        <v>2425</v>
      </c>
      <c r="D45" s="97">
        <v>2024</v>
      </c>
      <c r="E45" s="97" t="s">
        <v>141</v>
      </c>
      <c r="F45" s="193"/>
      <c r="G45" s="103">
        <f>IF(TblUnitCost[[#This Row],[Currency]]=LCU, TblUnitCost[[#This Row],[Cost]], IF(TblUnitCost[[#This Row],[Currency]]=ACU, TblUnitCost[[#This Row],[Cost]]*FX_Rate, "Check Ref Currency"))</f>
        <v>0</v>
      </c>
      <c r="H45" s="103">
        <f>TblUnitCost[[#This Row],[Cost]]/1600</f>
        <v>0</v>
      </c>
      <c r="I45" s="96"/>
      <c r="J45" s="96"/>
      <c r="K45" s="98"/>
      <c r="L45" s="96"/>
    </row>
    <row r="46" spans="2:12" ht="14.25" customHeight="1">
      <c r="B46" s="96" t="s">
        <v>115</v>
      </c>
      <c r="C46" s="96" t="s">
        <v>2425</v>
      </c>
      <c r="D46" s="97">
        <v>2024</v>
      </c>
      <c r="E46" s="97" t="s">
        <v>141</v>
      </c>
      <c r="F46" s="193"/>
      <c r="G46" s="103">
        <f>IF(TblUnitCost[[#This Row],[Currency]]=LCU, TblUnitCost[[#This Row],[Cost]], IF(TblUnitCost[[#This Row],[Currency]]=ACU, TblUnitCost[[#This Row],[Cost]]*FX_Rate, "Check Ref Currency"))</f>
        <v>0</v>
      </c>
      <c r="H46" s="103">
        <f>TblUnitCost[[#This Row],[Cost]]/1600</f>
        <v>0</v>
      </c>
      <c r="I46" s="96"/>
      <c r="J46" s="96"/>
      <c r="K46" s="98"/>
      <c r="L46" s="96"/>
    </row>
    <row r="47" spans="2:12">
      <c r="B47" s="96" t="s">
        <v>116</v>
      </c>
      <c r="C47" s="96" t="s">
        <v>2425</v>
      </c>
      <c r="D47" s="97">
        <v>2024</v>
      </c>
      <c r="E47" s="97" t="s">
        <v>141</v>
      </c>
      <c r="F47" s="193"/>
      <c r="G47" s="103"/>
      <c r="H47" s="103">
        <f>TblUnitCost[[#This Row],[Cost]]/1600</f>
        <v>0</v>
      </c>
      <c r="I47" s="96"/>
      <c r="J47" s="96"/>
      <c r="K47" s="98"/>
      <c r="L47" s="96"/>
    </row>
    <row r="48" spans="2:12">
      <c r="B48" s="96" t="s">
        <v>117</v>
      </c>
      <c r="C48" s="96" t="s">
        <v>2425</v>
      </c>
      <c r="D48" s="97">
        <v>2024</v>
      </c>
      <c r="E48" s="97" t="s">
        <v>141</v>
      </c>
      <c r="F48" s="193"/>
      <c r="G48" s="103"/>
      <c r="H48" s="103">
        <f>TblUnitCost[[#This Row],[Cost]]/1600</f>
        <v>0</v>
      </c>
      <c r="I48" s="96"/>
      <c r="J48" s="96"/>
      <c r="K48" s="98"/>
      <c r="L48" s="96"/>
    </row>
    <row r="49" spans="2:12">
      <c r="B49" s="96" t="s">
        <v>118</v>
      </c>
      <c r="C49" s="96" t="s">
        <v>2425</v>
      </c>
      <c r="D49" s="97">
        <v>2024</v>
      </c>
      <c r="E49" s="97" t="s">
        <v>141</v>
      </c>
      <c r="F49" s="193"/>
      <c r="G49" s="103">
        <f>IF(TblUnitCost[[#This Row],[Currency]]=LCU, TblUnitCost[[#This Row],[Cost]], IF(TblUnitCost[[#This Row],[Currency]]=ACU, TblUnitCost[[#This Row],[Cost]]*FX_Rate, "Check Ref Currency"))</f>
        <v>0</v>
      </c>
      <c r="H49" s="103">
        <f>TblUnitCost[[#This Row],[Cost]]/1600</f>
        <v>0</v>
      </c>
      <c r="I49" s="96"/>
      <c r="J49" s="96"/>
      <c r="K49" s="98"/>
      <c r="L49" s="96"/>
    </row>
    <row r="50" spans="2:12">
      <c r="B50" s="96" t="s">
        <v>119</v>
      </c>
      <c r="C50" s="96" t="s">
        <v>2425</v>
      </c>
      <c r="D50" s="97">
        <v>2024</v>
      </c>
      <c r="E50" s="97" t="s">
        <v>141</v>
      </c>
      <c r="F50" s="193"/>
      <c r="G50" s="103">
        <f>IF(TblUnitCost[[#This Row],[Currency]]=LCU, TblUnitCost[[#This Row],[Cost]], IF(TblUnitCost[[#This Row],[Currency]]=ACU, TblUnitCost[[#This Row],[Cost]]*FX_Rate, "Check Ref Currency"))</f>
        <v>0</v>
      </c>
      <c r="H50" s="103">
        <f>TblUnitCost[[#This Row],[Cost]]/1600</f>
        <v>0</v>
      </c>
      <c r="I50" s="96"/>
      <c r="J50" s="96"/>
      <c r="K50" s="98"/>
      <c r="L50" s="96"/>
    </row>
    <row r="51" spans="2:12">
      <c r="B51" s="96" t="s">
        <v>120</v>
      </c>
      <c r="C51" s="96" t="s">
        <v>2425</v>
      </c>
      <c r="D51" s="97">
        <v>2024</v>
      </c>
      <c r="E51" s="97" t="s">
        <v>141</v>
      </c>
      <c r="F51" s="193"/>
      <c r="G51" s="103">
        <f>IF(TblUnitCost[[#This Row],[Currency]]=LCU, TblUnitCost[[#This Row],[Cost]], IF(TblUnitCost[[#This Row],[Currency]]=ACU, TblUnitCost[[#This Row],[Cost]]*FX_Rate, "Check Ref Currency"))</f>
        <v>0</v>
      </c>
      <c r="H51" s="103">
        <f>TblUnitCost[[#This Row],[Cost]]/1600</f>
        <v>0</v>
      </c>
      <c r="I51" s="96"/>
      <c r="J51" s="96"/>
      <c r="K51" s="98"/>
      <c r="L51" s="96"/>
    </row>
    <row r="52" spans="2:12">
      <c r="B52" s="96" t="s">
        <v>121</v>
      </c>
      <c r="C52" s="96" t="s">
        <v>2425</v>
      </c>
      <c r="D52" s="97">
        <v>2024</v>
      </c>
      <c r="E52" s="97" t="s">
        <v>141</v>
      </c>
      <c r="F52" s="193"/>
      <c r="G52" s="103">
        <f>IF(TblUnitCost[[#This Row],[Currency]]=LCU, TblUnitCost[[#This Row],[Cost]], IF(TblUnitCost[[#This Row],[Currency]]=ACU, TblUnitCost[[#This Row],[Cost]]*FX_Rate, "Check Ref Currency"))</f>
        <v>0</v>
      </c>
      <c r="H52" s="103">
        <f>TblUnitCost[[#This Row],[Cost]]/1600</f>
        <v>0</v>
      </c>
      <c r="I52" s="96"/>
      <c r="J52" s="96"/>
      <c r="K52" s="98"/>
      <c r="L52" s="96"/>
    </row>
    <row r="53" spans="2:12">
      <c r="B53" s="96" t="s">
        <v>122</v>
      </c>
      <c r="C53" s="96" t="s">
        <v>2425</v>
      </c>
      <c r="D53" s="97">
        <v>2024</v>
      </c>
      <c r="E53" s="97" t="s">
        <v>141</v>
      </c>
      <c r="F53" s="193"/>
      <c r="G53" s="103">
        <f>IF(TblUnitCost[[#This Row],[Currency]]=LCU, TblUnitCost[[#This Row],[Cost]], IF(TblUnitCost[[#This Row],[Currency]]=ACU, TblUnitCost[[#This Row],[Cost]]*FX_Rate, "Check Ref Currency"))</f>
        <v>0</v>
      </c>
      <c r="H53" s="103">
        <f>TblUnitCost[[#This Row],[Cost]]/1600</f>
        <v>0</v>
      </c>
      <c r="I53" s="96"/>
      <c r="J53" s="96"/>
      <c r="K53" s="98"/>
      <c r="L53" s="96"/>
    </row>
    <row r="54" spans="2:12">
      <c r="B54" s="96" t="s">
        <v>123</v>
      </c>
      <c r="C54" s="96" t="s">
        <v>2425</v>
      </c>
      <c r="D54" s="97">
        <v>2024</v>
      </c>
      <c r="E54" s="97" t="s">
        <v>141</v>
      </c>
      <c r="F54" s="193"/>
      <c r="G54" s="103">
        <f>IF(TblUnitCost[[#This Row],[Currency]]=LCU, TblUnitCost[[#This Row],[Cost]], IF(TblUnitCost[[#This Row],[Currency]]=ACU, TblUnitCost[[#This Row],[Cost]]*FX_Rate, "Check Ref Currency"))</f>
        <v>0</v>
      </c>
      <c r="H54" s="103">
        <f>TblUnitCost[[#This Row],[Cost]]/1600</f>
        <v>0</v>
      </c>
      <c r="I54" s="96"/>
      <c r="J54" s="96"/>
      <c r="K54" s="98"/>
      <c r="L54" s="96"/>
    </row>
    <row r="55" spans="2:12">
      <c r="B55" s="96" t="s">
        <v>124</v>
      </c>
      <c r="C55" s="96" t="s">
        <v>2425</v>
      </c>
      <c r="D55" s="97">
        <v>2024</v>
      </c>
      <c r="E55" s="97" t="s">
        <v>141</v>
      </c>
      <c r="F55" s="193"/>
      <c r="G55" s="103">
        <f>IF(TblUnitCost[[#This Row],[Currency]]=LCU, TblUnitCost[[#This Row],[Cost]], IF(TblUnitCost[[#This Row],[Currency]]=ACU, TblUnitCost[[#This Row],[Cost]]*FX_Rate, "Check Ref Currency"))</f>
        <v>0</v>
      </c>
      <c r="H55" s="103">
        <f>TblUnitCost[[#This Row],[Cost]]/1600</f>
        <v>0</v>
      </c>
      <c r="I55" s="96"/>
      <c r="J55" s="96"/>
      <c r="K55" s="98"/>
      <c r="L55" s="96"/>
    </row>
    <row r="56" spans="2:12">
      <c r="B56" s="96" t="s">
        <v>2288</v>
      </c>
      <c r="C56" s="96" t="s">
        <v>2264</v>
      </c>
      <c r="D56" s="97">
        <v>2024</v>
      </c>
      <c r="E56" s="97" t="s">
        <v>141</v>
      </c>
      <c r="F56" s="193"/>
      <c r="G56" s="103">
        <f>IF(TblUnitCost[[#This Row],[Currency]]=LCU, TblUnitCost[[#This Row],[Cost]], IF(TblUnitCost[[#This Row],[Currency]]=ACU, TblUnitCost[[#This Row],[Cost]]*FX_Rate, "Check Ref Currency"))</f>
        <v>0</v>
      </c>
      <c r="H56" s="103">
        <f>TblUnitCost[[#This Row],[Cost]]/1600</f>
        <v>0</v>
      </c>
      <c r="I56" s="96"/>
      <c r="J56" s="96"/>
      <c r="K56" s="98"/>
      <c r="L56" s="96"/>
    </row>
    <row r="57" spans="2:12">
      <c r="B57" s="96" t="s">
        <v>125</v>
      </c>
      <c r="C57" s="96" t="s">
        <v>110</v>
      </c>
      <c r="D57" s="97">
        <v>2024</v>
      </c>
      <c r="E57" s="97" t="s">
        <v>141</v>
      </c>
      <c r="F57" s="193"/>
      <c r="G57" s="103">
        <f>IF(TblUnitCost[[#This Row],[Currency]]=LCU, TblUnitCost[[#This Row],[Cost]], IF(TblUnitCost[[#This Row],[Currency]]=ACU, TblUnitCost[[#This Row],[Cost]]*FX_Rate, "Check Ref Currency"))</f>
        <v>0</v>
      </c>
      <c r="H57" s="103">
        <f>TblUnitCost[[#This Row],[Cost]]/1600</f>
        <v>0</v>
      </c>
      <c r="I57" s="96"/>
      <c r="J57" s="96"/>
      <c r="K57" s="98"/>
      <c r="L57" s="96"/>
    </row>
    <row r="58" spans="2:12">
      <c r="B58" s="96" t="s">
        <v>126</v>
      </c>
      <c r="C58" s="96" t="s">
        <v>2426</v>
      </c>
      <c r="D58" s="97">
        <v>2024</v>
      </c>
      <c r="E58" s="97" t="s">
        <v>141</v>
      </c>
      <c r="F58" s="193"/>
      <c r="G58" s="103">
        <f>IF(TblUnitCost[[#This Row],[Currency]]=LCU, TblUnitCost[[#This Row],[Cost]], IF(TblUnitCost[[#This Row],[Currency]]=ACU, TblUnitCost[[#This Row],[Cost]]*FX_Rate, "Check Ref Currency"))</f>
        <v>0</v>
      </c>
      <c r="H58" s="103">
        <f>TblUnitCost[[#This Row],[Cost]]/1600</f>
        <v>0</v>
      </c>
      <c r="I58" s="96"/>
      <c r="J58" s="96"/>
      <c r="K58" s="98"/>
      <c r="L58" s="96"/>
    </row>
    <row r="59" spans="2:12">
      <c r="B59" s="96" t="s">
        <v>127</v>
      </c>
      <c r="C59" s="96" t="s">
        <v>2426</v>
      </c>
      <c r="D59" s="97">
        <v>2024</v>
      </c>
      <c r="E59" s="97" t="s">
        <v>141</v>
      </c>
      <c r="F59" s="193"/>
      <c r="G59" s="103">
        <f>IF(TblUnitCost[[#This Row],[Currency]]=LCU, TblUnitCost[[#This Row],[Cost]], IF(TblUnitCost[[#This Row],[Currency]]=ACU, TblUnitCost[[#This Row],[Cost]]*FX_Rate, "Check Ref Currency"))</f>
        <v>0</v>
      </c>
      <c r="H59" s="103">
        <f>TblUnitCost[[#This Row],[Cost]]/1600</f>
        <v>0</v>
      </c>
      <c r="I59" s="96"/>
      <c r="J59" s="96"/>
      <c r="K59" s="98"/>
      <c r="L59" s="96"/>
    </row>
    <row r="60" spans="2:12">
      <c r="B60" s="96" t="s">
        <v>128</v>
      </c>
      <c r="C60" s="96" t="s">
        <v>110</v>
      </c>
      <c r="D60" s="97">
        <v>2024</v>
      </c>
      <c r="E60" s="97" t="s">
        <v>141</v>
      </c>
      <c r="F60" s="193"/>
      <c r="G60" s="103">
        <f>IF(TblUnitCost[[#This Row],[Currency]]=LCU, TblUnitCost[[#This Row],[Cost]], IF(TblUnitCost[[#This Row],[Currency]]=ACU, TblUnitCost[[#This Row],[Cost]]*FX_Rate, "Check Ref Currency"))</f>
        <v>0</v>
      </c>
      <c r="H60" s="103">
        <f>TblUnitCost[[#This Row],[Cost]]/1600</f>
        <v>0</v>
      </c>
      <c r="I60" s="96"/>
      <c r="J60" s="96"/>
      <c r="K60" s="98"/>
      <c r="L60" s="96"/>
    </row>
    <row r="61" spans="2:12">
      <c r="B61" s="96" t="s">
        <v>72</v>
      </c>
      <c r="C61" s="96" t="s">
        <v>2415</v>
      </c>
      <c r="D61" s="97">
        <v>2024</v>
      </c>
      <c r="E61" s="97" t="s">
        <v>141</v>
      </c>
      <c r="F61" s="193">
        <v>5000</v>
      </c>
      <c r="G61" s="103">
        <f>IF(TblUnitCost[[#This Row],[Currency]]=LCU, TblUnitCost[[#This Row],[Cost]], IF(TblUnitCost[[#This Row],[Currency]]=ACU, TblUnitCost[[#This Row],[Cost]]*FX_Rate, "Check Ref Currency"))</f>
        <v>5000</v>
      </c>
      <c r="H61" s="103">
        <f>TblUnitCost[[#This Row],[Cost]]/1600</f>
        <v>3.125</v>
      </c>
      <c r="I61" s="96"/>
      <c r="J61" s="96"/>
      <c r="K61" s="98"/>
      <c r="L61" s="96"/>
    </row>
    <row r="62" spans="2:12">
      <c r="B62" s="96" t="s">
        <v>129</v>
      </c>
      <c r="C62" s="96" t="s">
        <v>2415</v>
      </c>
      <c r="D62" s="97">
        <v>2024</v>
      </c>
      <c r="E62" s="97" t="s">
        <v>141</v>
      </c>
      <c r="F62" s="193"/>
      <c r="G62" s="103">
        <f>IF(TblUnitCost[[#This Row],[Currency]]=LCU, TblUnitCost[[#This Row],[Cost]], IF(TblUnitCost[[#This Row],[Currency]]=ACU, TblUnitCost[[#This Row],[Cost]]*FX_Rate, "Check Ref Currency"))</f>
        <v>0</v>
      </c>
      <c r="H62" s="103">
        <f>TblUnitCost[[#This Row],[Cost]]/1600</f>
        <v>0</v>
      </c>
      <c r="I62" s="96"/>
      <c r="J62" s="96"/>
      <c r="K62" s="98"/>
      <c r="L62" s="96"/>
    </row>
    <row r="63" spans="2:12">
      <c r="B63" s="96" t="s">
        <v>130</v>
      </c>
      <c r="C63" s="96" t="s">
        <v>2415</v>
      </c>
      <c r="D63" s="97">
        <v>2024</v>
      </c>
      <c r="E63" s="97" t="s">
        <v>141</v>
      </c>
      <c r="F63" s="193"/>
      <c r="G63" s="103">
        <f>IF(TblUnitCost[[#This Row],[Currency]]=LCU, TblUnitCost[[#This Row],[Cost]], IF(TblUnitCost[[#This Row],[Currency]]=ACU, TblUnitCost[[#This Row],[Cost]]*FX_Rate, "Check Ref Currency"))</f>
        <v>0</v>
      </c>
      <c r="H63" s="103">
        <f>TblUnitCost[[#This Row],[Cost]]/1600</f>
        <v>0</v>
      </c>
      <c r="I63" s="96"/>
      <c r="J63" s="96"/>
      <c r="K63" s="98"/>
      <c r="L63" s="96"/>
    </row>
    <row r="64" spans="2:12">
      <c r="B64" s="96" t="s">
        <v>131</v>
      </c>
      <c r="C64" s="96" t="s">
        <v>2415</v>
      </c>
      <c r="D64" s="97">
        <v>2024</v>
      </c>
      <c r="E64" s="97" t="s">
        <v>141</v>
      </c>
      <c r="F64" s="193"/>
      <c r="G64" s="103">
        <f>IF(TblUnitCost[[#This Row],[Currency]]=LCU, TblUnitCost[[#This Row],[Cost]], IF(TblUnitCost[[#This Row],[Currency]]=ACU, TblUnitCost[[#This Row],[Cost]]*FX_Rate, "Check Ref Currency"))</f>
        <v>0</v>
      </c>
      <c r="H64" s="103">
        <f>TblUnitCost[[#This Row],[Cost]]/1600</f>
        <v>0</v>
      </c>
      <c r="I64" s="96"/>
      <c r="J64" s="96"/>
      <c r="K64" s="98"/>
      <c r="L64" s="96"/>
    </row>
    <row r="65" spans="2:12">
      <c r="B65" s="96" t="s">
        <v>132</v>
      </c>
      <c r="C65" s="96" t="s">
        <v>2415</v>
      </c>
      <c r="D65" s="97">
        <v>2024</v>
      </c>
      <c r="E65" s="97" t="s">
        <v>141</v>
      </c>
      <c r="F65" s="193"/>
      <c r="G65" s="103">
        <f>IF(TblUnitCost[[#This Row],[Currency]]=LCU, TblUnitCost[[#This Row],[Cost]], IF(TblUnitCost[[#This Row],[Currency]]=ACU, TblUnitCost[[#This Row],[Cost]]*FX_Rate, "Check Ref Currency"))</f>
        <v>0</v>
      </c>
      <c r="H65" s="103">
        <f>TblUnitCost[[#This Row],[Cost]]/1600</f>
        <v>0</v>
      </c>
      <c r="I65" s="96"/>
      <c r="J65" s="96"/>
      <c r="K65" s="98"/>
      <c r="L65" s="96"/>
    </row>
    <row r="66" spans="2:12">
      <c r="B66" s="96" t="s">
        <v>133</v>
      </c>
      <c r="C66" s="96" t="s">
        <v>2415</v>
      </c>
      <c r="D66" s="97">
        <v>2024</v>
      </c>
      <c r="E66" s="97" t="s">
        <v>141</v>
      </c>
      <c r="F66" s="193"/>
      <c r="G66" s="103">
        <f>IF(TblUnitCost[[#This Row],[Currency]]=LCU, TblUnitCost[[#This Row],[Cost]], IF(TblUnitCost[[#This Row],[Currency]]=ACU, TblUnitCost[[#This Row],[Cost]]*FX_Rate, "Check Ref Currency"))</f>
        <v>0</v>
      </c>
      <c r="H66" s="103">
        <f>TblUnitCost[[#This Row],[Cost]]/1600</f>
        <v>0</v>
      </c>
      <c r="I66" s="96"/>
      <c r="J66" s="96"/>
      <c r="K66" s="98"/>
      <c r="L66" s="96"/>
    </row>
    <row r="67" spans="2:12">
      <c r="B67" s="96" t="s">
        <v>134</v>
      </c>
      <c r="C67" s="96" t="s">
        <v>2415</v>
      </c>
      <c r="D67" s="97">
        <v>2024</v>
      </c>
      <c r="E67" s="97" t="s">
        <v>141</v>
      </c>
      <c r="F67" s="193"/>
      <c r="G67" s="103">
        <f>IF(TblUnitCost[[#This Row],[Currency]]=LCU, TblUnitCost[[#This Row],[Cost]], IF(TblUnitCost[[#This Row],[Currency]]=ACU, TblUnitCost[[#This Row],[Cost]]*FX_Rate, "Check Ref Currency"))</f>
        <v>0</v>
      </c>
      <c r="H67" s="103">
        <f>TblUnitCost[[#This Row],[Cost]]/1600</f>
        <v>0</v>
      </c>
      <c r="I67" s="96"/>
      <c r="J67" s="96"/>
      <c r="K67" s="98"/>
      <c r="L67" s="96"/>
    </row>
    <row r="68" spans="2:12">
      <c r="B68" s="96" t="s">
        <v>135</v>
      </c>
      <c r="C68" s="96" t="s">
        <v>2427</v>
      </c>
      <c r="D68" s="97">
        <v>2024</v>
      </c>
      <c r="E68" s="97" t="s">
        <v>141</v>
      </c>
      <c r="F68" s="193"/>
      <c r="G68" s="103">
        <f>IF(TblUnitCost[[#This Row],[Currency]]=LCU, TblUnitCost[[#This Row],[Cost]], IF(TblUnitCost[[#This Row],[Currency]]=ACU, TblUnitCost[[#This Row],[Cost]]*FX_Rate, "Check Ref Currency"))</f>
        <v>0</v>
      </c>
      <c r="H68" s="103">
        <f>TblUnitCost[[#This Row],[Cost]]/1600</f>
        <v>0</v>
      </c>
      <c r="I68" s="96"/>
      <c r="J68" s="96"/>
      <c r="K68" s="98"/>
      <c r="L68" s="96"/>
    </row>
    <row r="69" spans="2:12">
      <c r="B69" s="96" t="s">
        <v>136</v>
      </c>
      <c r="C69" s="96" t="s">
        <v>2427</v>
      </c>
      <c r="D69" s="97">
        <v>2024</v>
      </c>
      <c r="E69" s="97" t="s">
        <v>141</v>
      </c>
      <c r="F69" s="193"/>
      <c r="G69" s="103">
        <f>IF(TblUnitCost[[#This Row],[Currency]]=LCU, TblUnitCost[[#This Row],[Cost]], IF(TblUnitCost[[#This Row],[Currency]]=ACU, TblUnitCost[[#This Row],[Cost]]*FX_Rate, "Check Ref Currency"))</f>
        <v>0</v>
      </c>
      <c r="H69" s="103">
        <f>TblUnitCost[[#This Row],[Cost]]/1600</f>
        <v>0</v>
      </c>
      <c r="I69" s="96"/>
      <c r="J69" s="96"/>
      <c r="K69" s="98"/>
      <c r="L69" s="96"/>
    </row>
    <row r="70" spans="2:12">
      <c r="B70" s="96" t="s">
        <v>137</v>
      </c>
      <c r="C70" s="96" t="s">
        <v>2427</v>
      </c>
      <c r="D70" s="97">
        <v>2024</v>
      </c>
      <c r="E70" s="97" t="s">
        <v>141</v>
      </c>
      <c r="F70" s="193"/>
      <c r="G70" s="103">
        <f>IF(TblUnitCost[[#This Row],[Currency]]=LCU, TblUnitCost[[#This Row],[Cost]], IF(TblUnitCost[[#This Row],[Currency]]=ACU, TblUnitCost[[#This Row],[Cost]]*FX_Rate, "Check Ref Currency"))</f>
        <v>0</v>
      </c>
      <c r="H70" s="103">
        <f>TblUnitCost[[#This Row],[Cost]]/1600</f>
        <v>0</v>
      </c>
      <c r="I70" s="96"/>
      <c r="J70" s="96"/>
      <c r="K70" s="98"/>
      <c r="L70" s="96"/>
    </row>
    <row r="71" spans="2:12">
      <c r="B71" s="96" t="s">
        <v>73</v>
      </c>
      <c r="C71" s="96" t="s">
        <v>2264</v>
      </c>
      <c r="D71" s="97">
        <v>2024</v>
      </c>
      <c r="E71" s="97" t="s">
        <v>141</v>
      </c>
      <c r="F71" s="193">
        <v>2000</v>
      </c>
      <c r="G71" s="103">
        <f>IF(TblUnitCost[[#This Row],[Currency]]=LCU, TblUnitCost[[#This Row],[Cost]], IF(TblUnitCost[[#This Row],[Currency]]=ACU, TblUnitCost[[#This Row],[Cost]]*FX_Rate, "Check Ref Currency"))</f>
        <v>2000</v>
      </c>
      <c r="H71" s="103">
        <f>TblUnitCost[[#This Row],[Cost]]/1600</f>
        <v>1.25</v>
      </c>
      <c r="I71" s="96"/>
      <c r="J71" s="96"/>
      <c r="K71" s="98"/>
      <c r="L71" s="96"/>
    </row>
    <row r="72" spans="2:12">
      <c r="B72" s="96" t="s">
        <v>2675</v>
      </c>
      <c r="C72" s="96" t="s">
        <v>2415</v>
      </c>
      <c r="D72" s="97">
        <v>2024</v>
      </c>
      <c r="E72" s="97" t="s">
        <v>141</v>
      </c>
      <c r="F72" s="193">
        <f>'Cost inputs for Workshops'!D2</f>
        <v>274467</v>
      </c>
      <c r="G72" s="103">
        <f>IF(TblUnitCost[[#This Row],[Currency]]=LCU, TblUnitCost[[#This Row],[Cost]], IF(TblUnitCost[[#This Row],[Currency]]=ACU, TblUnitCost[[#This Row],[Cost]]*FX_Rate, "Check Ref Currency"))</f>
        <v>274467</v>
      </c>
      <c r="H72" s="103">
        <f>TblUnitCost[[#This Row],[Cost]]/1600</f>
        <v>171.541875</v>
      </c>
      <c r="I72" s="96"/>
      <c r="J72" s="96" t="s">
        <v>2338</v>
      </c>
      <c r="K72" s="98"/>
      <c r="L72" s="96"/>
    </row>
    <row r="73" spans="2:12">
      <c r="B73" s="96" t="s">
        <v>2676</v>
      </c>
      <c r="C73" s="96" t="s">
        <v>2415</v>
      </c>
      <c r="D73" s="97">
        <v>2024</v>
      </c>
      <c r="E73" s="97" t="s">
        <v>141</v>
      </c>
      <c r="F73" s="193">
        <f>'Cost inputs for Workshops'!D13</f>
        <v>97133</v>
      </c>
      <c r="G73" s="103">
        <f>IF(TblUnitCost[[#This Row],[Currency]]=LCU, TblUnitCost[[#This Row],[Cost]], IF(TblUnitCost[[#This Row],[Currency]]=ACU, TblUnitCost[[#This Row],[Cost]]*FX_Rate, "Check Ref Currency"))</f>
        <v>97133</v>
      </c>
      <c r="H73" s="103">
        <f>TblUnitCost[[#This Row],[Cost]]/1600</f>
        <v>60.708125000000003</v>
      </c>
      <c r="I73" s="96"/>
      <c r="J73" s="96" t="s">
        <v>2338</v>
      </c>
      <c r="K73" s="98"/>
      <c r="L73" s="96"/>
    </row>
    <row r="74" spans="2:12">
      <c r="B74" s="96" t="s">
        <v>2677</v>
      </c>
      <c r="C74" s="96" t="s">
        <v>2415</v>
      </c>
      <c r="D74" s="97">
        <v>2024</v>
      </c>
      <c r="E74" s="97" t="s">
        <v>141</v>
      </c>
      <c r="F74" s="193">
        <f>'Cost inputs for Workshops'!D22</f>
        <v>141567</v>
      </c>
      <c r="G74" s="103">
        <f>IF(TblUnitCost[[#This Row],[Currency]]=LCU, TblUnitCost[[#This Row],[Cost]], IF(TblUnitCost[[#This Row],[Currency]]=ACU, TblUnitCost[[#This Row],[Cost]]*FX_Rate, "Check Ref Currency"))</f>
        <v>141567</v>
      </c>
      <c r="H74" s="103">
        <f>TblUnitCost[[#This Row],[Cost]]/1600</f>
        <v>88.479375000000005</v>
      </c>
      <c r="I74" s="96"/>
      <c r="J74" s="96" t="s">
        <v>2338</v>
      </c>
      <c r="K74" s="98"/>
      <c r="L74" s="96"/>
    </row>
    <row r="75" spans="2:12">
      <c r="B75" s="96" t="s">
        <v>2678</v>
      </c>
      <c r="C75" s="96" t="s">
        <v>2415</v>
      </c>
      <c r="D75" s="97">
        <v>2024</v>
      </c>
      <c r="E75" s="97" t="s">
        <v>141</v>
      </c>
      <c r="F75" s="193">
        <f>'Cost inputs for Workshops'!D32</f>
        <v>86967</v>
      </c>
      <c r="G75" s="103">
        <f>IF(TblUnitCost[[#This Row],[Currency]]=LCU, TblUnitCost[[#This Row],[Cost]], IF(TblUnitCost[[#This Row],[Currency]]=ACU, TblUnitCost[[#This Row],[Cost]]*FX_Rate, "Check Ref Currency"))</f>
        <v>86967</v>
      </c>
      <c r="H75" s="103">
        <f>TblUnitCost[[#This Row],[Cost]]/1600</f>
        <v>54.354374999999997</v>
      </c>
      <c r="I75" s="96"/>
      <c r="J75" s="96" t="s">
        <v>2338</v>
      </c>
      <c r="K75" s="98"/>
      <c r="L75" s="96"/>
    </row>
    <row r="76" spans="2:12">
      <c r="B76" s="96" t="s">
        <v>2679</v>
      </c>
      <c r="C76" s="96" t="s">
        <v>2415</v>
      </c>
      <c r="D76" s="97">
        <v>2024</v>
      </c>
      <c r="E76" s="97" t="s">
        <v>141</v>
      </c>
      <c r="F76" s="193">
        <f>'Cost inputs for Workshops'!D41</f>
        <v>83278</v>
      </c>
      <c r="G76" s="103">
        <f>IF(TblUnitCost[[#This Row],[Currency]]=LCU, TblUnitCost[[#This Row],[Cost]], IF(TblUnitCost[[#This Row],[Currency]]=ACU, TblUnitCost[[#This Row],[Cost]]*FX_Rate, "Check Ref Currency"))</f>
        <v>83278</v>
      </c>
      <c r="H76" s="103">
        <f>TblUnitCost[[#This Row],[Cost]]/1600</f>
        <v>52.048749999999998</v>
      </c>
      <c r="I76" s="96"/>
      <c r="J76" s="96" t="s">
        <v>2338</v>
      </c>
      <c r="K76" s="98"/>
      <c r="L76" s="96"/>
    </row>
    <row r="77" spans="2:12">
      <c r="B77" s="96" t="s">
        <v>2279</v>
      </c>
      <c r="C77" s="96" t="s">
        <v>2264</v>
      </c>
      <c r="D77" s="97">
        <v>2024</v>
      </c>
      <c r="E77" s="97" t="s">
        <v>141</v>
      </c>
      <c r="F77" s="193"/>
      <c r="G77" s="103">
        <f>IF(TblUnitCost[[#This Row],[Currency]]=LCU, TblUnitCost[[#This Row],[Cost]], IF(TblUnitCost[[#This Row],[Currency]]=ACU, TblUnitCost[[#This Row],[Cost]]*FX_Rate, "Check Ref Currency"))</f>
        <v>0</v>
      </c>
      <c r="H77" s="103">
        <f>TblUnitCost[[#This Row],[Cost]]/1600</f>
        <v>0</v>
      </c>
      <c r="I77" s="96"/>
      <c r="J77" s="96"/>
      <c r="K77" s="98"/>
      <c r="L77" s="96"/>
    </row>
    <row r="78" spans="2:12">
      <c r="B78" s="96" t="s">
        <v>138</v>
      </c>
      <c r="C78" s="96" t="s">
        <v>2264</v>
      </c>
      <c r="D78" s="97">
        <v>2024</v>
      </c>
      <c r="E78" s="97" t="s">
        <v>141</v>
      </c>
      <c r="F78" s="193"/>
      <c r="G78" s="103">
        <f>IF(TblUnitCost[[#This Row],[Currency]]=LCU, TblUnitCost[[#This Row],[Cost]], IF(TblUnitCost[[#This Row],[Currency]]=ACU, TblUnitCost[[#This Row],[Cost]]*FX_Rate, "Check Ref Currency"))</f>
        <v>0</v>
      </c>
      <c r="H78" s="103">
        <f>TblUnitCost[[#This Row],[Cost]]/1600</f>
        <v>0</v>
      </c>
      <c r="I78" s="96"/>
      <c r="J78" s="96"/>
      <c r="K78" s="98"/>
      <c r="L78" s="96"/>
    </row>
    <row r="79" spans="2:12">
      <c r="B79" s="96" t="s">
        <v>2280</v>
      </c>
      <c r="C79" s="96" t="s">
        <v>2264</v>
      </c>
      <c r="D79" s="97">
        <v>2024</v>
      </c>
      <c r="E79" s="97" t="s">
        <v>141</v>
      </c>
      <c r="F79" s="193"/>
      <c r="G79" s="103">
        <f>IF(TblUnitCost[[#This Row],[Currency]]=LCU, TblUnitCost[[#This Row],[Cost]], IF(TblUnitCost[[#This Row],[Currency]]=ACU, TblUnitCost[[#This Row],[Cost]]*FX_Rate, "Check Ref Currency"))</f>
        <v>0</v>
      </c>
      <c r="H79" s="103">
        <f>TblUnitCost[[#This Row],[Cost]]/1600</f>
        <v>0</v>
      </c>
      <c r="I79" s="96"/>
      <c r="J79" s="96"/>
      <c r="K79" s="98"/>
      <c r="L79" s="96"/>
    </row>
    <row r="80" spans="2:12">
      <c r="B80" s="96" t="s">
        <v>1843</v>
      </c>
      <c r="C80" s="96" t="s">
        <v>2264</v>
      </c>
      <c r="D80" s="97">
        <v>2024</v>
      </c>
      <c r="E80" s="97" t="s">
        <v>141</v>
      </c>
      <c r="F80" s="193">
        <v>7500</v>
      </c>
      <c r="G80" s="103">
        <f>IF(TblUnitCost[[#This Row],[Currency]]=LCU, TblUnitCost[[#This Row],[Cost]], IF(TblUnitCost[[#This Row],[Currency]]=ACU, TblUnitCost[[#This Row],[Cost]]*FX_Rate, "Check Ref Currency"))</f>
        <v>7500</v>
      </c>
      <c r="H80" s="103">
        <f>TblUnitCost[[#This Row],[Cost]]/1600</f>
        <v>4.6875</v>
      </c>
      <c r="I80" s="96"/>
      <c r="J80" s="96"/>
      <c r="K80" s="98"/>
      <c r="L80" s="96"/>
    </row>
    <row r="81" spans="2:12">
      <c r="B81" s="96" t="s">
        <v>1842</v>
      </c>
      <c r="C81" s="96" t="s">
        <v>2264</v>
      </c>
      <c r="D81" s="97">
        <v>2024</v>
      </c>
      <c r="E81" s="97" t="s">
        <v>141</v>
      </c>
      <c r="F81" s="193">
        <v>15000</v>
      </c>
      <c r="G81" s="103">
        <f>IF(TblUnitCost[[#This Row],[Currency]]=LCU, TblUnitCost[[#This Row],[Cost]], IF(TblUnitCost[[#This Row],[Currency]]=ACU, TblUnitCost[[#This Row],[Cost]]*FX_Rate, "Check Ref Currency"))</f>
        <v>15000</v>
      </c>
      <c r="H81" s="103">
        <f>TblUnitCost[[#This Row],[Cost]]/1600</f>
        <v>9.375</v>
      </c>
      <c r="I81" s="96"/>
      <c r="J81" s="96"/>
      <c r="K81" s="98"/>
      <c r="L81" s="96"/>
    </row>
    <row r="82" spans="2:12">
      <c r="B82" s="96" t="s">
        <v>1844</v>
      </c>
      <c r="C82" s="96" t="s">
        <v>2264</v>
      </c>
      <c r="D82" s="97">
        <v>2024</v>
      </c>
      <c r="E82" s="97" t="s">
        <v>141</v>
      </c>
      <c r="F82" s="193">
        <v>5000</v>
      </c>
      <c r="G82" s="103">
        <f>IF(TblUnitCost[[#This Row],[Currency]]=LCU, TblUnitCost[[#This Row],[Cost]], IF(TblUnitCost[[#This Row],[Currency]]=ACU, TblUnitCost[[#This Row],[Cost]]*FX_Rate, "Check Ref Currency"))</f>
        <v>5000</v>
      </c>
      <c r="H82" s="103">
        <f>TblUnitCost[[#This Row],[Cost]]/1600</f>
        <v>3.125</v>
      </c>
      <c r="I82" s="96"/>
      <c r="J82" s="96"/>
      <c r="K82" s="98"/>
      <c r="L82" s="96"/>
    </row>
    <row r="83" spans="2:12">
      <c r="B83" s="96" t="s">
        <v>140</v>
      </c>
      <c r="C83" s="96" t="s">
        <v>2424</v>
      </c>
      <c r="D83" s="97">
        <v>2024</v>
      </c>
      <c r="E83" s="97" t="s">
        <v>141</v>
      </c>
      <c r="F83" s="193"/>
      <c r="G83" s="103">
        <f>IF(TblUnitCost[[#This Row],[Currency]]=LCU, TblUnitCost[[#This Row],[Cost]], IF(TblUnitCost[[#This Row],[Currency]]=ACU, TblUnitCost[[#This Row],[Cost]]*FX_Rate, "Check Ref Currency"))</f>
        <v>0</v>
      </c>
      <c r="H83" s="103">
        <f>TblUnitCost[[#This Row],[Cost]]/1600</f>
        <v>0</v>
      </c>
      <c r="I83" s="96"/>
      <c r="J83" s="96"/>
      <c r="K83" s="98"/>
      <c r="L83" s="96"/>
    </row>
    <row r="84" spans="2:12">
      <c r="B84" s="96" t="s">
        <v>166</v>
      </c>
      <c r="C84" s="96" t="s">
        <v>2415</v>
      </c>
      <c r="D84" s="97">
        <v>2024</v>
      </c>
      <c r="E84" s="97" t="s">
        <v>141</v>
      </c>
      <c r="F84" s="193">
        <v>50000</v>
      </c>
      <c r="G84" s="103">
        <f>IF(TblUnitCost[[#This Row],[Currency]]=LCU, TblUnitCost[[#This Row],[Cost]], IF(TblUnitCost[[#This Row],[Currency]]=ACU, TblUnitCost[[#This Row],[Cost]]*FX_Rate, "Check Ref Currency"))</f>
        <v>50000</v>
      </c>
      <c r="H84" s="103">
        <f>TblUnitCost[[#This Row],[Cost]]/1600</f>
        <v>31.25</v>
      </c>
      <c r="I84" s="96"/>
      <c r="J84" s="96"/>
      <c r="K84" s="98"/>
      <c r="L84" s="96"/>
    </row>
    <row r="85" spans="2:12">
      <c r="B85" s="96" t="s">
        <v>167</v>
      </c>
      <c r="C85" s="96" t="s">
        <v>2415</v>
      </c>
      <c r="D85" s="97">
        <v>2024</v>
      </c>
      <c r="E85" s="97" t="s">
        <v>141</v>
      </c>
      <c r="F85" s="193">
        <v>30000</v>
      </c>
      <c r="G85" s="103">
        <f>IF(TblUnitCost[[#This Row],[Currency]]=LCU, TblUnitCost[[#This Row],[Cost]], IF(TblUnitCost[[#This Row],[Currency]]=ACU, TblUnitCost[[#This Row],[Cost]]*FX_Rate, "Check Ref Currency"))</f>
        <v>30000</v>
      </c>
      <c r="H85" s="103">
        <f>TblUnitCost[[#This Row],[Cost]]/1600</f>
        <v>18.75</v>
      </c>
      <c r="I85" s="96"/>
      <c r="J85" s="96"/>
      <c r="K85" s="98"/>
      <c r="L85" s="96"/>
    </row>
    <row r="86" spans="2:12">
      <c r="B86" s="96" t="s">
        <v>168</v>
      </c>
      <c r="C86" s="96" t="s">
        <v>2415</v>
      </c>
      <c r="D86" s="97">
        <v>2024</v>
      </c>
      <c r="E86" s="97" t="s">
        <v>141</v>
      </c>
      <c r="F86" s="193">
        <v>20000</v>
      </c>
      <c r="G86" s="103">
        <f>IF(TblUnitCost[[#This Row],[Currency]]=LCU, TblUnitCost[[#This Row],[Cost]], IF(TblUnitCost[[#This Row],[Currency]]=ACU, TblUnitCost[[#This Row],[Cost]]*FX_Rate, "Check Ref Currency"))</f>
        <v>20000</v>
      </c>
      <c r="H86" s="103">
        <f>TblUnitCost[[#This Row],[Cost]]/1600</f>
        <v>12.5</v>
      </c>
      <c r="I86" s="96"/>
      <c r="J86" s="96"/>
      <c r="K86" s="98"/>
      <c r="L86" s="96"/>
    </row>
    <row r="87" spans="2:12">
      <c r="B87" s="96"/>
      <c r="C87" s="96"/>
      <c r="D87" s="97"/>
      <c r="E87" s="97"/>
      <c r="F87" s="193"/>
      <c r="G87" s="103"/>
      <c r="H87" s="103"/>
      <c r="I87" s="96"/>
      <c r="J87" s="96"/>
      <c r="K87" s="98"/>
      <c r="L87" s="96"/>
    </row>
    <row r="88" spans="2:12">
      <c r="B88" s="96"/>
      <c r="C88" s="96"/>
      <c r="D88" s="97"/>
      <c r="E88" s="97"/>
      <c r="F88" s="193"/>
      <c r="G88" s="103"/>
      <c r="H88" s="103"/>
      <c r="I88" s="96"/>
      <c r="J88" s="96"/>
      <c r="K88" s="98"/>
      <c r="L88" s="96"/>
    </row>
    <row r="89" spans="2:12">
      <c r="B89" s="96"/>
      <c r="C89" s="96"/>
      <c r="D89" s="97"/>
      <c r="E89" s="97"/>
      <c r="F89" s="193"/>
      <c r="G89" s="103"/>
      <c r="H89" s="103"/>
      <c r="I89" s="96"/>
      <c r="J89" s="96"/>
      <c r="K89" s="98"/>
      <c r="L89" s="96"/>
    </row>
    <row r="90" spans="2:12">
      <c r="B90" s="96"/>
      <c r="C90" s="96"/>
      <c r="D90" s="97"/>
      <c r="E90" s="97"/>
      <c r="F90" s="193"/>
      <c r="G90" s="103"/>
      <c r="H90" s="103"/>
      <c r="I90" s="96"/>
      <c r="J90" s="96"/>
      <c r="K90" s="98"/>
      <c r="L90" s="96"/>
    </row>
    <row r="91" spans="2:12">
      <c r="B91" s="96"/>
      <c r="C91" s="96"/>
      <c r="D91" s="97"/>
      <c r="E91" s="97"/>
      <c r="F91" s="193"/>
      <c r="G91" s="103"/>
      <c r="H91" s="103"/>
      <c r="I91" s="96"/>
      <c r="J91" s="96"/>
      <c r="K91" s="98"/>
      <c r="L91" s="96"/>
    </row>
    <row r="92" spans="2:12">
      <c r="B92" s="96"/>
      <c r="C92" s="96"/>
      <c r="D92" s="97"/>
      <c r="E92" s="97"/>
      <c r="F92" s="193"/>
      <c r="G92" s="103" t="str">
        <f>IF(TblUnitCost[[#This Row],[Currency]]=LCU, TblUnitCost[[#This Row],[Cost]], IF(TblUnitCost[[#This Row],[Currency]]=ACU, TblUnitCost[[#This Row],[Cost]]*FX_Rate, "Check Ref Currency"))</f>
        <v>Check Ref Currency</v>
      </c>
      <c r="H92" s="103">
        <f>TblUnitCost[[#This Row],[Cost]]/1600</f>
        <v>0</v>
      </c>
      <c r="I92" s="96"/>
      <c r="J92" s="96"/>
      <c r="K92" s="98"/>
      <c r="L92" s="96"/>
    </row>
    <row r="93" spans="2:12">
      <c r="B93" s="96"/>
      <c r="C93" s="96"/>
      <c r="D93" s="97"/>
      <c r="E93" s="97"/>
      <c r="F93" s="193"/>
      <c r="G93" s="103"/>
      <c r="H93" s="103">
        <f>TblUnitCost[[#This Row],[Cost]]/1600</f>
        <v>0</v>
      </c>
      <c r="I93" s="96"/>
      <c r="J93" s="96"/>
      <c r="K93" s="98"/>
      <c r="L93" s="96"/>
    </row>
    <row r="94" spans="2:12">
      <c r="B94" s="96"/>
      <c r="C94" s="96"/>
      <c r="D94" s="97"/>
      <c r="E94" s="97"/>
      <c r="F94" s="193"/>
      <c r="G94" s="103"/>
      <c r="H94" s="103">
        <f>TblUnitCost[[#This Row],[Cost]]/1600</f>
        <v>0</v>
      </c>
      <c r="I94" s="96"/>
      <c r="J94" s="96"/>
      <c r="K94" s="98"/>
      <c r="L94" s="96"/>
    </row>
    <row r="95" spans="2:12">
      <c r="B95" s="96"/>
      <c r="C95" s="96"/>
      <c r="D95" s="97"/>
      <c r="E95" s="97"/>
      <c r="F95" s="193"/>
      <c r="G95" s="103" t="str">
        <f>IF(TblUnitCost[[#This Row],[Currency]]=LCU, TblUnitCost[[#This Row],[Cost]], IF(TblUnitCost[[#This Row],[Currency]]=ACU, TblUnitCost[[#This Row],[Cost]]*FX_Rate, "Check Ref Currency"))</f>
        <v>Check Ref Currency</v>
      </c>
      <c r="H95" s="103">
        <f>TblUnitCost[[#This Row],[Cost]]/1600</f>
        <v>0</v>
      </c>
      <c r="I95" s="96"/>
      <c r="J95" s="96"/>
      <c r="K95" s="98"/>
      <c r="L95" s="96"/>
    </row>
    <row r="96" spans="2:12">
      <c r="B96" s="96"/>
      <c r="C96" s="96"/>
      <c r="D96" s="97"/>
      <c r="E96" s="97"/>
      <c r="F96" s="193"/>
      <c r="G96" s="103" t="str">
        <f>IF(TblUnitCost[[#This Row],[Currency]]=LCU, TblUnitCost[[#This Row],[Cost]], IF(TblUnitCost[[#This Row],[Currency]]=ACU, TblUnitCost[[#This Row],[Cost]]*FX_Rate, "Check Ref Currency"))</f>
        <v>Check Ref Currency</v>
      </c>
      <c r="H96" s="103">
        <f>TblUnitCost[[#This Row],[Cost]]/1600</f>
        <v>0</v>
      </c>
      <c r="I96" s="96"/>
      <c r="J96" s="96"/>
      <c r="K96" s="98"/>
      <c r="L96" s="96"/>
    </row>
    <row r="97" spans="2:12">
      <c r="B97" s="96"/>
      <c r="C97" s="96"/>
      <c r="D97" s="97"/>
      <c r="E97" s="97"/>
      <c r="F97" s="193"/>
      <c r="G97" s="103"/>
      <c r="H97" s="103">
        <f>TblUnitCost[[#This Row],[Cost]]/1600</f>
        <v>0</v>
      </c>
      <c r="I97" s="96"/>
      <c r="J97" s="96"/>
      <c r="K97" s="98"/>
      <c r="L97" s="96"/>
    </row>
    <row r="98" spans="2:12">
      <c r="B98" s="96"/>
      <c r="C98" s="96"/>
      <c r="D98" s="97"/>
      <c r="E98" s="97"/>
      <c r="F98" s="193"/>
      <c r="G98" s="103"/>
      <c r="H98" s="103">
        <f>TblUnitCost[[#This Row],[Cost]]/1600</f>
        <v>0</v>
      </c>
      <c r="I98" s="96"/>
      <c r="J98" s="96"/>
      <c r="K98" s="98"/>
      <c r="L98" s="96"/>
    </row>
    <row r="99" spans="2:12">
      <c r="B99" s="96"/>
      <c r="C99" s="96"/>
      <c r="D99" s="97"/>
      <c r="E99" s="97"/>
      <c r="F99" s="193"/>
      <c r="G99" s="103"/>
      <c r="H99" s="103">
        <f>TblUnitCost[[#This Row],[Cost]]/1600</f>
        <v>0</v>
      </c>
      <c r="I99" s="96"/>
      <c r="J99" s="96"/>
      <c r="K99" s="98"/>
      <c r="L99" s="96"/>
    </row>
    <row r="100" spans="2:12">
      <c r="B100" s="96"/>
      <c r="C100" s="96"/>
      <c r="D100" s="97"/>
      <c r="E100" s="97"/>
      <c r="F100" s="193"/>
      <c r="G100" s="103"/>
      <c r="H100" s="103">
        <f>TblUnitCost[[#This Row],[Cost]]/1600</f>
        <v>0</v>
      </c>
      <c r="I100" s="96"/>
      <c r="J100" s="96"/>
      <c r="K100" s="98"/>
      <c r="L100" s="96"/>
    </row>
    <row r="101" spans="2:12">
      <c r="B101" s="96"/>
      <c r="C101" s="96"/>
      <c r="D101" s="97"/>
      <c r="E101" s="97"/>
      <c r="F101" s="193"/>
      <c r="G101" s="103"/>
      <c r="H101" s="103">
        <f>TblUnitCost[[#This Row],[Cost]]/1600</f>
        <v>0</v>
      </c>
      <c r="I101" s="96"/>
      <c r="J101" s="96"/>
      <c r="K101" s="98"/>
      <c r="L101" s="96"/>
    </row>
    <row r="102" spans="2:12">
      <c r="B102" s="96"/>
      <c r="C102" s="96"/>
      <c r="D102" s="97"/>
      <c r="E102" s="97"/>
      <c r="F102" s="193"/>
      <c r="G102" s="103" t="str">
        <f>IF(TblUnitCost[[#This Row],[Currency]]=LCU, TblUnitCost[[#This Row],[Cost]], IF(TblUnitCost[[#This Row],[Currency]]=ACU, TblUnitCost[[#This Row],[Cost]]*FX_Rate, "Check Ref Currency"))</f>
        <v>Check Ref Currency</v>
      </c>
      <c r="H102" s="103">
        <f>TblUnitCost[[#This Row],[Cost]]/1600</f>
        <v>0</v>
      </c>
      <c r="I102" s="96"/>
      <c r="J102" s="96"/>
      <c r="K102" s="98"/>
      <c r="L102" s="96"/>
    </row>
    <row r="103" spans="2:12">
      <c r="B103" s="96"/>
      <c r="C103" s="96"/>
      <c r="D103" s="97"/>
      <c r="E103" s="97"/>
      <c r="F103" s="193"/>
      <c r="G103" s="103" t="str">
        <f>IF(TblUnitCost[[#This Row],[Currency]]=LCU, TblUnitCost[[#This Row],[Cost]], IF(TblUnitCost[[#This Row],[Currency]]=ACU, TblUnitCost[[#This Row],[Cost]]*FX_Rate, "Check Ref Currency"))</f>
        <v>Check Ref Currency</v>
      </c>
      <c r="H103" s="103">
        <f>TblUnitCost[[#This Row],[Cost]]/1600</f>
        <v>0</v>
      </c>
      <c r="I103" s="96"/>
      <c r="J103" s="96"/>
      <c r="K103" s="98"/>
      <c r="L103" s="96"/>
    </row>
    <row r="104" spans="2:12">
      <c r="B104" s="96"/>
      <c r="C104" s="96"/>
      <c r="D104" s="97"/>
      <c r="E104" s="97"/>
      <c r="F104" s="193"/>
      <c r="G104" s="103" t="str">
        <f>IF(TblUnitCost[[#This Row],[Currency]]=LCU, TblUnitCost[[#This Row],[Cost]], IF(TblUnitCost[[#This Row],[Currency]]=ACU, TblUnitCost[[#This Row],[Cost]]*FX_Rate, "Check Ref Currency"))</f>
        <v>Check Ref Currency</v>
      </c>
      <c r="H104" s="103">
        <f>TblUnitCost[[#This Row],[Cost]]/1600</f>
        <v>0</v>
      </c>
      <c r="I104" s="96"/>
      <c r="J104" s="96"/>
      <c r="K104" s="98"/>
      <c r="L104" s="96"/>
    </row>
    <row r="105" spans="2:12">
      <c r="B105" s="96"/>
      <c r="C105" s="96"/>
      <c r="D105" s="97"/>
      <c r="E105" s="97"/>
      <c r="F105" s="193"/>
      <c r="G105" s="103" t="str">
        <f>IF(TblUnitCost[[#This Row],[Currency]]=LCU, TblUnitCost[[#This Row],[Cost]], IF(TblUnitCost[[#This Row],[Currency]]=ACU, TblUnitCost[[#This Row],[Cost]]*FX_Rate, "Check Ref Currency"))</f>
        <v>Check Ref Currency</v>
      </c>
      <c r="H105" s="103">
        <f>TblUnitCost[[#This Row],[Cost]]/1600</f>
        <v>0</v>
      </c>
      <c r="I105" s="96"/>
      <c r="J105" s="96"/>
      <c r="K105" s="98"/>
      <c r="L105" s="96"/>
    </row>
    <row r="106" spans="2:12">
      <c r="B106" s="96"/>
      <c r="C106" s="96"/>
      <c r="D106" s="97"/>
      <c r="E106" s="97"/>
      <c r="F106" s="193"/>
      <c r="G106" s="103" t="str">
        <f>IF(TblUnitCost[[#This Row],[Currency]]=LCU, TblUnitCost[[#This Row],[Cost]], IF(TblUnitCost[[#This Row],[Currency]]=ACU, TblUnitCost[[#This Row],[Cost]]*FX_Rate, "Check Ref Currency"))</f>
        <v>Check Ref Currency</v>
      </c>
      <c r="H106" s="103">
        <f>TblUnitCost[[#This Row],[Cost]]/1600</f>
        <v>0</v>
      </c>
      <c r="I106" s="96"/>
      <c r="J106" s="96"/>
      <c r="K106" s="98"/>
      <c r="L106" s="96"/>
    </row>
    <row r="107" spans="2:12">
      <c r="B107" s="96"/>
      <c r="C107" s="96"/>
      <c r="D107" s="97"/>
      <c r="E107" s="97"/>
      <c r="F107" s="193"/>
      <c r="G107" s="103" t="str">
        <f>IF(TblUnitCost[[#This Row],[Currency]]=LCU, TblUnitCost[[#This Row],[Cost]], IF(TblUnitCost[[#This Row],[Currency]]=ACU, TblUnitCost[[#This Row],[Cost]]*FX_Rate, "Check Ref Currency"))</f>
        <v>Check Ref Currency</v>
      </c>
      <c r="H107" s="103">
        <f>TblUnitCost[[#This Row],[Cost]]/1600</f>
        <v>0</v>
      </c>
      <c r="I107" s="96"/>
      <c r="J107" s="96"/>
      <c r="K107" s="98"/>
      <c r="L107" s="96"/>
    </row>
    <row r="108" spans="2:12">
      <c r="B108" s="96"/>
      <c r="C108" s="96"/>
      <c r="D108" s="97"/>
      <c r="E108" s="97"/>
      <c r="F108" s="193"/>
      <c r="G108" s="103" t="str">
        <f>IF(TblUnitCost[[#This Row],[Currency]]=LCU, TblUnitCost[[#This Row],[Cost]], IF(TblUnitCost[[#This Row],[Currency]]=ACU, TblUnitCost[[#This Row],[Cost]]*FX_Rate, "Check Ref Currency"))</f>
        <v>Check Ref Currency</v>
      </c>
      <c r="H108" s="103">
        <f>TblUnitCost[[#This Row],[Cost]]/1600</f>
        <v>0</v>
      </c>
      <c r="I108" s="96"/>
      <c r="J108" s="96"/>
      <c r="K108" s="98"/>
      <c r="L108" s="96"/>
    </row>
    <row r="109" spans="2:12">
      <c r="B109" s="96"/>
      <c r="C109" s="96"/>
      <c r="D109" s="97"/>
      <c r="E109" s="97"/>
      <c r="F109" s="193"/>
      <c r="G109" s="103" t="str">
        <f>IF(TblUnitCost[[#This Row],[Currency]]=LCU, TblUnitCost[[#This Row],[Cost]], IF(TblUnitCost[[#This Row],[Currency]]=ACU, TblUnitCost[[#This Row],[Cost]]*FX_Rate, "Check Ref Currency"))</f>
        <v>Check Ref Currency</v>
      </c>
      <c r="H109" s="103">
        <f>TblUnitCost[[#This Row],[Cost]]/1600</f>
        <v>0</v>
      </c>
      <c r="I109" s="96"/>
      <c r="J109" s="96"/>
      <c r="K109" s="98"/>
      <c r="L109" s="96"/>
    </row>
    <row r="110" spans="2:12">
      <c r="B110" s="96"/>
      <c r="C110" s="96"/>
      <c r="D110" s="97"/>
      <c r="E110" s="97"/>
      <c r="F110" s="193"/>
      <c r="G110" s="103" t="str">
        <f>IF(TblUnitCost[[#This Row],[Currency]]=LCU, TblUnitCost[[#This Row],[Cost]], IF(TblUnitCost[[#This Row],[Currency]]=ACU, TblUnitCost[[#This Row],[Cost]]*FX_Rate, "Check Ref Currency"))</f>
        <v>Check Ref Currency</v>
      </c>
      <c r="H110" s="103">
        <f>TblUnitCost[[#This Row],[Cost]]/1600</f>
        <v>0</v>
      </c>
      <c r="I110" s="96"/>
      <c r="J110" s="96"/>
      <c r="K110" s="98"/>
      <c r="L110" s="96"/>
    </row>
    <row r="111" spans="2:12">
      <c r="B111" s="96"/>
      <c r="C111" s="96"/>
      <c r="D111" s="97"/>
      <c r="E111" s="97"/>
      <c r="F111" s="193"/>
      <c r="G111" s="103" t="str">
        <f>IF(TblUnitCost[[#This Row],[Currency]]=LCU, TblUnitCost[[#This Row],[Cost]], IF(TblUnitCost[[#This Row],[Currency]]=ACU, TblUnitCost[[#This Row],[Cost]]*FX_Rate, "Check Ref Currency"))</f>
        <v>Check Ref Currency</v>
      </c>
      <c r="H111" s="103">
        <f>TblUnitCost[[#This Row],[Cost]]/1600</f>
        <v>0</v>
      </c>
      <c r="I111" s="96"/>
      <c r="J111" s="96"/>
      <c r="K111" s="98"/>
      <c r="L111" s="96"/>
    </row>
    <row r="112" spans="2:12">
      <c r="B112" s="96"/>
      <c r="C112" s="96"/>
      <c r="D112" s="97"/>
      <c r="E112" s="97"/>
      <c r="F112" s="193"/>
      <c r="G112" s="103" t="str">
        <f>IF(TblUnitCost[[#This Row],[Currency]]=LCU, TblUnitCost[[#This Row],[Cost]], IF(TblUnitCost[[#This Row],[Currency]]=ACU, TblUnitCost[[#This Row],[Cost]]*FX_Rate, "Check Ref Currency"))</f>
        <v>Check Ref Currency</v>
      </c>
      <c r="H112" s="103">
        <f>TblUnitCost[[#This Row],[Cost]]/1600</f>
        <v>0</v>
      </c>
      <c r="I112" s="96"/>
      <c r="J112" s="96"/>
      <c r="K112" s="98"/>
      <c r="L112" s="96"/>
    </row>
    <row r="113" spans="2:12">
      <c r="B113" s="96"/>
      <c r="C113" s="96"/>
      <c r="D113" s="97"/>
      <c r="E113" s="97"/>
      <c r="F113" s="193"/>
      <c r="G113" s="103" t="str">
        <f>IF(TblUnitCost[[#This Row],[Currency]]=LCU, TblUnitCost[[#This Row],[Cost]], IF(TblUnitCost[[#This Row],[Currency]]=ACU, TblUnitCost[[#This Row],[Cost]]*FX_Rate, "Check Ref Currency"))</f>
        <v>Check Ref Currency</v>
      </c>
      <c r="H113" s="103">
        <f>TblUnitCost[[#This Row],[Cost]]/1600</f>
        <v>0</v>
      </c>
      <c r="I113" s="96"/>
      <c r="J113" s="96"/>
      <c r="K113" s="98"/>
      <c r="L113" s="96"/>
    </row>
    <row r="114" spans="2:12">
      <c r="B114" s="96"/>
      <c r="C114" s="96"/>
      <c r="D114" s="97"/>
      <c r="E114" s="97"/>
      <c r="F114" s="193"/>
      <c r="G114" s="103" t="str">
        <f>IF(TblUnitCost[[#This Row],[Currency]]=LCU, TblUnitCost[[#This Row],[Cost]], IF(TblUnitCost[[#This Row],[Currency]]=ACU, TblUnitCost[[#This Row],[Cost]]*FX_Rate, "Check Ref Currency"))</f>
        <v>Check Ref Currency</v>
      </c>
      <c r="H114" s="103">
        <f>TblUnitCost[[#This Row],[Cost]]/1600</f>
        <v>0</v>
      </c>
      <c r="I114" s="96"/>
      <c r="J114" s="96"/>
      <c r="K114" s="98"/>
      <c r="L114" s="96"/>
    </row>
    <row r="115" spans="2:12">
      <c r="B115" s="96"/>
      <c r="C115" s="96"/>
      <c r="D115" s="97"/>
      <c r="E115" s="97"/>
      <c r="F115" s="193"/>
      <c r="G115" s="103" t="str">
        <f>IF(TblUnitCost[[#This Row],[Currency]]=LCU, TblUnitCost[[#This Row],[Cost]], IF(TblUnitCost[[#This Row],[Currency]]=ACU, TblUnitCost[[#This Row],[Cost]]*FX_Rate, "Check Ref Currency"))</f>
        <v>Check Ref Currency</v>
      </c>
      <c r="H115" s="103">
        <f>TblUnitCost[[#This Row],[Cost]]/1600</f>
        <v>0</v>
      </c>
      <c r="I115" s="96"/>
      <c r="J115" s="96"/>
      <c r="K115" s="98"/>
      <c r="L115" s="96"/>
    </row>
    <row r="116" spans="2:12">
      <c r="B116" s="96"/>
      <c r="C116" s="96"/>
      <c r="D116" s="97"/>
      <c r="E116" s="97"/>
      <c r="F116" s="193"/>
      <c r="G116" s="103" t="str">
        <f>IF(TblUnitCost[[#This Row],[Currency]]=LCU, TblUnitCost[[#This Row],[Cost]], IF(TblUnitCost[[#This Row],[Currency]]=ACU, TblUnitCost[[#This Row],[Cost]]*FX_Rate, "Check Ref Currency"))</f>
        <v>Check Ref Currency</v>
      </c>
      <c r="H116" s="103">
        <f>TblUnitCost[[#This Row],[Cost]]/1600</f>
        <v>0</v>
      </c>
      <c r="I116" s="96"/>
      <c r="J116" s="96"/>
      <c r="K116" s="98"/>
      <c r="L116" s="96"/>
    </row>
    <row r="117" spans="2:12">
      <c r="B117" s="96"/>
      <c r="C117" s="96"/>
      <c r="D117" s="97"/>
      <c r="E117" s="97"/>
      <c r="F117" s="193"/>
      <c r="G117" s="103" t="str">
        <f>IF(TblUnitCost[[#This Row],[Currency]]=LCU, TblUnitCost[[#This Row],[Cost]], IF(TblUnitCost[[#This Row],[Currency]]=ACU, TblUnitCost[[#This Row],[Cost]]*FX_Rate, "Check Ref Currency"))</f>
        <v>Check Ref Currency</v>
      </c>
      <c r="H117" s="103">
        <f>TblUnitCost[[#This Row],[Cost]]/1600</f>
        <v>0</v>
      </c>
      <c r="I117" s="96"/>
      <c r="J117" s="96"/>
      <c r="K117" s="98"/>
      <c r="L117" s="96"/>
    </row>
    <row r="118" spans="2:12">
      <c r="B118" s="96"/>
      <c r="C118" s="96"/>
      <c r="D118" s="97"/>
      <c r="E118" s="97"/>
      <c r="F118" s="193"/>
      <c r="G118" s="103" t="str">
        <f>IF(TblUnitCost[[#This Row],[Currency]]=LCU, TblUnitCost[[#This Row],[Cost]], IF(TblUnitCost[[#This Row],[Currency]]=ACU, TblUnitCost[[#This Row],[Cost]]*FX_Rate, "Check Ref Currency"))</f>
        <v>Check Ref Currency</v>
      </c>
      <c r="H118" s="103">
        <f>TblUnitCost[[#This Row],[Cost]]/1600</f>
        <v>0</v>
      </c>
      <c r="I118" s="96"/>
      <c r="J118" s="96"/>
      <c r="K118" s="98"/>
      <c r="L118" s="96"/>
    </row>
    <row r="119" spans="2:12">
      <c r="B119" s="96"/>
      <c r="C119" s="96"/>
      <c r="D119" s="97"/>
      <c r="E119" s="97"/>
      <c r="F119" s="193"/>
      <c r="G119" s="103" t="str">
        <f>IF(TblUnitCost[[#This Row],[Currency]]=LCU, TblUnitCost[[#This Row],[Cost]], IF(TblUnitCost[[#This Row],[Currency]]=ACU, TblUnitCost[[#This Row],[Cost]]*FX_Rate, "Check Ref Currency"))</f>
        <v>Check Ref Currency</v>
      </c>
      <c r="H119" s="103">
        <f>TblUnitCost[[#This Row],[Cost]]/1600</f>
        <v>0</v>
      </c>
      <c r="I119" s="96"/>
      <c r="J119" s="96"/>
      <c r="K119" s="98"/>
      <c r="L119" s="96"/>
    </row>
    <row r="120" spans="2:12">
      <c r="B120" s="96"/>
      <c r="C120" s="96"/>
      <c r="D120" s="97"/>
      <c r="E120" s="97"/>
      <c r="F120" s="193"/>
      <c r="G120" s="103" t="str">
        <f>IF(TblUnitCost[[#This Row],[Currency]]=LCU, TblUnitCost[[#This Row],[Cost]], IF(TblUnitCost[[#This Row],[Currency]]=ACU, TblUnitCost[[#This Row],[Cost]]*FX_Rate, "Check Ref Currency"))</f>
        <v>Check Ref Currency</v>
      </c>
      <c r="H120" s="103">
        <f>TblUnitCost[[#This Row],[Cost]]/1600</f>
        <v>0</v>
      </c>
      <c r="I120" s="96"/>
      <c r="J120" s="96"/>
      <c r="K120" s="98"/>
      <c r="L120" s="96"/>
    </row>
    <row r="121" spans="2:12">
      <c r="B121" s="96"/>
      <c r="C121" s="96"/>
      <c r="D121" s="97"/>
      <c r="E121" s="97"/>
      <c r="F121" s="193"/>
      <c r="G121" s="103" t="str">
        <f>IF(TblUnitCost[[#This Row],[Currency]]=LCU, TblUnitCost[[#This Row],[Cost]], IF(TblUnitCost[[#This Row],[Currency]]=ACU, TblUnitCost[[#This Row],[Cost]]*FX_Rate, "Check Ref Currency"))</f>
        <v>Check Ref Currency</v>
      </c>
      <c r="H121" s="103">
        <f>TblUnitCost[[#This Row],[Cost]]/1600</f>
        <v>0</v>
      </c>
      <c r="I121" s="96"/>
      <c r="J121" s="96"/>
      <c r="K121" s="98"/>
      <c r="L121" s="96"/>
    </row>
    <row r="122" spans="2:12">
      <c r="B122" s="96"/>
      <c r="C122" s="96"/>
      <c r="D122" s="97"/>
      <c r="E122" s="97"/>
      <c r="F122" s="193"/>
      <c r="G122" s="103" t="str">
        <f>IF(TblUnitCost[[#This Row],[Currency]]=LCU, TblUnitCost[[#This Row],[Cost]], IF(TblUnitCost[[#This Row],[Currency]]=ACU, TblUnitCost[[#This Row],[Cost]]*FX_Rate, "Check Ref Currency"))</f>
        <v>Check Ref Currency</v>
      </c>
      <c r="H122" s="103">
        <f>TblUnitCost[[#This Row],[Cost]]/1600</f>
        <v>0</v>
      </c>
      <c r="I122" s="96"/>
      <c r="J122" s="96"/>
      <c r="K122" s="98"/>
      <c r="L122" s="96"/>
    </row>
    <row r="123" spans="2:12">
      <c r="B123" s="96"/>
      <c r="C123" s="96"/>
      <c r="D123" s="97"/>
      <c r="E123" s="97"/>
      <c r="F123" s="193"/>
      <c r="G123" s="103" t="str">
        <f>IF(TblUnitCost[[#This Row],[Currency]]=LCU, TblUnitCost[[#This Row],[Cost]], IF(TblUnitCost[[#This Row],[Currency]]=ACU, TblUnitCost[[#This Row],[Cost]]*FX_Rate, "Check Ref Currency"))</f>
        <v>Check Ref Currency</v>
      </c>
      <c r="H123" s="103">
        <f>TblUnitCost[[#This Row],[Cost]]/1600</f>
        <v>0</v>
      </c>
      <c r="I123" s="96"/>
      <c r="J123" s="96"/>
      <c r="K123" s="98"/>
      <c r="L123" s="96"/>
    </row>
    <row r="124" spans="2:12">
      <c r="B124" s="96"/>
      <c r="C124" s="96"/>
      <c r="D124" s="97"/>
      <c r="E124" s="97"/>
      <c r="F124" s="193"/>
      <c r="G124" s="103" t="str">
        <f>IF(TblUnitCost[[#This Row],[Currency]]=LCU, TblUnitCost[[#This Row],[Cost]], IF(TblUnitCost[[#This Row],[Currency]]=ACU, TblUnitCost[[#This Row],[Cost]]*FX_Rate, "Check Ref Currency"))</f>
        <v>Check Ref Currency</v>
      </c>
      <c r="H124" s="103">
        <f>TblUnitCost[[#This Row],[Cost]]/1600</f>
        <v>0</v>
      </c>
      <c r="I124" s="96"/>
      <c r="J124" s="96"/>
      <c r="K124" s="98"/>
      <c r="L124" s="96"/>
    </row>
    <row r="125" spans="2:12">
      <c r="B125" s="96"/>
      <c r="C125" s="96"/>
      <c r="D125" s="97"/>
      <c r="E125" s="97"/>
      <c r="F125" s="193"/>
      <c r="G125" s="103" t="str">
        <f>IF(TblUnitCost[[#This Row],[Currency]]=LCU, TblUnitCost[[#This Row],[Cost]], IF(TblUnitCost[[#This Row],[Currency]]=ACU, TblUnitCost[[#This Row],[Cost]]*FX_Rate, "Check Ref Currency"))</f>
        <v>Check Ref Currency</v>
      </c>
      <c r="H125" s="103">
        <f>TblUnitCost[[#This Row],[Cost]]/1600</f>
        <v>0</v>
      </c>
      <c r="I125" s="96"/>
      <c r="J125" s="96"/>
      <c r="K125" s="98"/>
      <c r="L125" s="96"/>
    </row>
    <row r="126" spans="2:12">
      <c r="B126" s="96"/>
      <c r="C126" s="96"/>
      <c r="D126" s="97"/>
      <c r="E126" s="97"/>
      <c r="F126" s="193"/>
      <c r="G126" s="103" t="str">
        <f>IF(TblUnitCost[[#This Row],[Currency]]=LCU, TblUnitCost[[#This Row],[Cost]], IF(TblUnitCost[[#This Row],[Currency]]=ACU, TblUnitCost[[#This Row],[Cost]]*FX_Rate, "Check Ref Currency"))</f>
        <v>Check Ref Currency</v>
      </c>
      <c r="H126" s="103">
        <f>TblUnitCost[[#This Row],[Cost]]/1600</f>
        <v>0</v>
      </c>
      <c r="I126" s="96"/>
      <c r="J126" s="96"/>
      <c r="K126" s="98"/>
      <c r="L126" s="96"/>
    </row>
    <row r="127" spans="2:12">
      <c r="B127" s="96"/>
      <c r="C127" s="96"/>
      <c r="D127" s="97"/>
      <c r="E127" s="97"/>
      <c r="F127" s="193"/>
      <c r="G127" s="103" t="str">
        <f>IF(TblUnitCost[[#This Row],[Currency]]=LCU, TblUnitCost[[#This Row],[Cost]], IF(TblUnitCost[[#This Row],[Currency]]=ACU, TblUnitCost[[#This Row],[Cost]]*FX_Rate, "Check Ref Currency"))</f>
        <v>Check Ref Currency</v>
      </c>
      <c r="H127" s="103">
        <f>TblUnitCost[[#This Row],[Cost]]/1600</f>
        <v>0</v>
      </c>
      <c r="I127" s="96"/>
      <c r="J127" s="96"/>
      <c r="K127" s="98"/>
      <c r="L127" s="96"/>
    </row>
    <row r="128" spans="2:12">
      <c r="B128" s="96"/>
      <c r="C128" s="96"/>
      <c r="D128" s="97"/>
      <c r="E128" s="97"/>
      <c r="F128" s="193"/>
      <c r="G128" s="103" t="str">
        <f>IF(TblUnitCost[[#This Row],[Currency]]=LCU, TblUnitCost[[#This Row],[Cost]], IF(TblUnitCost[[#This Row],[Currency]]=ACU, TblUnitCost[[#This Row],[Cost]]*FX_Rate, "Check Ref Currency"))</f>
        <v>Check Ref Currency</v>
      </c>
      <c r="H128" s="103">
        <f>TblUnitCost[[#This Row],[Cost]]/1600</f>
        <v>0</v>
      </c>
      <c r="I128" s="96"/>
      <c r="J128" s="96"/>
      <c r="K128" s="98"/>
      <c r="L128" s="96"/>
    </row>
    <row r="129" spans="2:12">
      <c r="B129" s="96"/>
      <c r="C129" s="96"/>
      <c r="D129" s="97"/>
      <c r="E129" s="97"/>
      <c r="F129" s="193"/>
      <c r="G129" s="103" t="str">
        <f>IF(TblUnitCost[[#This Row],[Currency]]=LCU, TblUnitCost[[#This Row],[Cost]], IF(TblUnitCost[[#This Row],[Currency]]=ACU, TblUnitCost[[#This Row],[Cost]]*FX_Rate, "Check Ref Currency"))</f>
        <v>Check Ref Currency</v>
      </c>
      <c r="H129" s="103">
        <f>TblUnitCost[[#This Row],[Cost]]/1600</f>
        <v>0</v>
      </c>
      <c r="I129" s="96"/>
      <c r="J129" s="96"/>
      <c r="K129" s="98"/>
      <c r="L129" s="96"/>
    </row>
    <row r="130" spans="2:12">
      <c r="B130" s="96"/>
      <c r="C130" s="96"/>
      <c r="D130" s="97"/>
      <c r="E130" s="97"/>
      <c r="F130" s="193"/>
      <c r="G130" s="103" t="str">
        <f>IF(TblUnitCost[[#This Row],[Currency]]=LCU, TblUnitCost[[#This Row],[Cost]], IF(TblUnitCost[[#This Row],[Currency]]=ACU, TblUnitCost[[#This Row],[Cost]]*FX_Rate, "Check Ref Currency"))</f>
        <v>Check Ref Currency</v>
      </c>
      <c r="H130" s="103">
        <f>TblUnitCost[[#This Row],[Cost]]/1600</f>
        <v>0</v>
      </c>
      <c r="I130" s="96"/>
      <c r="J130" s="96"/>
      <c r="K130" s="98"/>
      <c r="L130" s="96"/>
    </row>
    <row r="131" spans="2:12">
      <c r="B131" s="96"/>
      <c r="C131" s="96"/>
      <c r="D131" s="97"/>
      <c r="E131" s="97"/>
      <c r="F131" s="193"/>
      <c r="G131" s="103" t="str">
        <f>IF(TblUnitCost[[#This Row],[Currency]]=LCU, TblUnitCost[[#This Row],[Cost]], IF(TblUnitCost[[#This Row],[Currency]]=ACU, TblUnitCost[[#This Row],[Cost]]*FX_Rate, "Check Ref Currency"))</f>
        <v>Check Ref Currency</v>
      </c>
      <c r="H131" s="103">
        <f>TblUnitCost[[#This Row],[Cost]]/1600</f>
        <v>0</v>
      </c>
      <c r="I131" s="96"/>
      <c r="J131" s="96"/>
      <c r="K131" s="98"/>
      <c r="L131" s="96"/>
    </row>
    <row r="132" spans="2:12">
      <c r="B132" s="96"/>
      <c r="C132" s="96"/>
      <c r="D132" s="97"/>
      <c r="E132" s="97"/>
      <c r="F132" s="193"/>
      <c r="G132" s="103" t="str">
        <f>IF(TblUnitCost[[#This Row],[Currency]]=LCU, TblUnitCost[[#This Row],[Cost]], IF(TblUnitCost[[#This Row],[Currency]]=ACU, TblUnitCost[[#This Row],[Cost]]*FX_Rate, "Check Ref Currency"))</f>
        <v>Check Ref Currency</v>
      </c>
      <c r="H132" s="103">
        <f>TblUnitCost[[#This Row],[Cost]]/1600</f>
        <v>0</v>
      </c>
      <c r="I132" s="96"/>
      <c r="J132" s="96"/>
      <c r="K132" s="98"/>
      <c r="L132" s="96"/>
    </row>
    <row r="133" spans="2:12">
      <c r="B133" s="96"/>
      <c r="C133" s="96"/>
      <c r="D133" s="97"/>
      <c r="E133" s="97"/>
      <c r="F133" s="193"/>
      <c r="G133" s="103" t="str">
        <f>IF(TblUnitCost[[#This Row],[Currency]]=LCU, TblUnitCost[[#This Row],[Cost]], IF(TblUnitCost[[#This Row],[Currency]]=ACU, TblUnitCost[[#This Row],[Cost]]*FX_Rate, "Check Ref Currency"))</f>
        <v>Check Ref Currency</v>
      </c>
      <c r="H133" s="103">
        <f>TblUnitCost[[#This Row],[Cost]]/1600</f>
        <v>0</v>
      </c>
      <c r="I133" s="96"/>
      <c r="J133" s="96"/>
      <c r="K133" s="98"/>
      <c r="L133" s="96"/>
    </row>
    <row r="134" spans="2:12">
      <c r="B134" s="96"/>
      <c r="C134" s="96"/>
      <c r="D134" s="97"/>
      <c r="E134" s="97"/>
      <c r="F134" s="193"/>
      <c r="G134" s="103" t="str">
        <f>IF(TblUnitCost[[#This Row],[Currency]]=LCU, TblUnitCost[[#This Row],[Cost]], IF(TblUnitCost[[#This Row],[Currency]]=ACU, TblUnitCost[[#This Row],[Cost]]*FX_Rate, "Check Ref Currency"))</f>
        <v>Check Ref Currency</v>
      </c>
      <c r="H134" s="103">
        <f>TblUnitCost[[#This Row],[Cost]]/1600</f>
        <v>0</v>
      </c>
      <c r="I134" s="96"/>
      <c r="J134" s="96"/>
      <c r="K134" s="98"/>
      <c r="L134" s="96"/>
    </row>
    <row r="135" spans="2:12">
      <c r="B135" s="96"/>
      <c r="C135" s="96"/>
      <c r="D135" s="97"/>
      <c r="E135" s="97"/>
      <c r="F135" s="193"/>
      <c r="G135" s="103" t="str">
        <f>IF(TblUnitCost[[#This Row],[Currency]]=LCU, TblUnitCost[[#This Row],[Cost]], IF(TblUnitCost[[#This Row],[Currency]]=ACU, TblUnitCost[[#This Row],[Cost]]*FX_Rate, "Check Ref Currency"))</f>
        <v>Check Ref Currency</v>
      </c>
      <c r="H135" s="103">
        <f>TblUnitCost[[#This Row],[Cost]]/1600</f>
        <v>0</v>
      </c>
      <c r="I135" s="96"/>
      <c r="J135" s="96"/>
      <c r="K135" s="98"/>
      <c r="L135" s="96"/>
    </row>
    <row r="136" spans="2:12">
      <c r="B136" s="96"/>
      <c r="C136" s="96"/>
      <c r="D136" s="97"/>
      <c r="E136" s="97"/>
      <c r="F136" s="193"/>
      <c r="G136" s="103" t="str">
        <f>IF(TblUnitCost[[#This Row],[Currency]]=LCU, TblUnitCost[[#This Row],[Cost]], IF(TblUnitCost[[#This Row],[Currency]]=ACU, TblUnitCost[[#This Row],[Cost]]*FX_Rate, "Check Ref Currency"))</f>
        <v>Check Ref Currency</v>
      </c>
      <c r="H136" s="103">
        <f>TblUnitCost[[#This Row],[Cost]]/1600</f>
        <v>0</v>
      </c>
      <c r="I136" s="96"/>
      <c r="J136" s="96"/>
      <c r="K136" s="98"/>
      <c r="L136" s="96"/>
    </row>
    <row r="137" spans="2:12">
      <c r="B137" s="96"/>
      <c r="C137" s="96"/>
      <c r="D137" s="97"/>
      <c r="E137" s="97"/>
      <c r="F137" s="193"/>
      <c r="G137" s="103" t="str">
        <f>IF(TblUnitCost[[#This Row],[Currency]]=LCU, TblUnitCost[[#This Row],[Cost]], IF(TblUnitCost[[#This Row],[Currency]]=ACU, TblUnitCost[[#This Row],[Cost]]*FX_Rate, "Check Ref Currency"))</f>
        <v>Check Ref Currency</v>
      </c>
      <c r="H137" s="103">
        <f>TblUnitCost[[#This Row],[Cost]]/1600</f>
        <v>0</v>
      </c>
      <c r="I137" s="96"/>
      <c r="J137" s="96"/>
      <c r="K137" s="98"/>
      <c r="L137" s="96"/>
    </row>
    <row r="138" spans="2:12">
      <c r="B138" s="96"/>
      <c r="C138" s="96"/>
      <c r="D138" s="97"/>
      <c r="E138" s="97"/>
      <c r="F138" s="193"/>
      <c r="G138" s="103" t="str">
        <f>IF(TblUnitCost[[#This Row],[Currency]]=LCU, TblUnitCost[[#This Row],[Cost]], IF(TblUnitCost[[#This Row],[Currency]]=ACU, TblUnitCost[[#This Row],[Cost]]*FX_Rate, "Check Ref Currency"))</f>
        <v>Check Ref Currency</v>
      </c>
      <c r="H138" s="103">
        <f>TblUnitCost[[#This Row],[Cost]]/1600</f>
        <v>0</v>
      </c>
      <c r="I138" s="96"/>
      <c r="J138" s="96"/>
      <c r="K138" s="98"/>
      <c r="L138" s="96"/>
    </row>
    <row r="139" spans="2:12">
      <c r="B139" s="96"/>
      <c r="C139" s="96"/>
      <c r="D139" s="97"/>
      <c r="E139" s="97"/>
      <c r="F139" s="193"/>
      <c r="G139" s="103" t="str">
        <f>IF(TblUnitCost[[#This Row],[Currency]]=LCU, TblUnitCost[[#This Row],[Cost]], IF(TblUnitCost[[#This Row],[Currency]]=ACU, TblUnitCost[[#This Row],[Cost]]*FX_Rate, "Check Ref Currency"))</f>
        <v>Check Ref Currency</v>
      </c>
      <c r="H139" s="103">
        <f>TblUnitCost[[#This Row],[Cost]]/1600</f>
        <v>0</v>
      </c>
      <c r="I139" s="96"/>
      <c r="J139" s="96"/>
      <c r="K139" s="98"/>
      <c r="L139" s="96"/>
    </row>
    <row r="140" spans="2:12">
      <c r="B140" s="96"/>
      <c r="C140" s="96"/>
      <c r="D140" s="97"/>
      <c r="E140" s="97"/>
      <c r="F140" s="193"/>
      <c r="G140" s="103" t="str">
        <f>IF(TblUnitCost[[#This Row],[Currency]]=LCU, TblUnitCost[[#This Row],[Cost]], IF(TblUnitCost[[#This Row],[Currency]]=ACU, TblUnitCost[[#This Row],[Cost]]*FX_Rate, "Check Ref Currency"))</f>
        <v>Check Ref Currency</v>
      </c>
      <c r="H140" s="103">
        <f>TblUnitCost[[#This Row],[Cost]]/1600</f>
        <v>0</v>
      </c>
      <c r="I140" s="96"/>
      <c r="J140" s="96"/>
      <c r="K140" s="98"/>
      <c r="L140" s="96"/>
    </row>
    <row r="141" spans="2:12">
      <c r="B141" s="96"/>
      <c r="C141" s="96"/>
      <c r="D141" s="97"/>
      <c r="E141" s="97"/>
      <c r="F141" s="193"/>
      <c r="G141" s="103" t="str">
        <f>IF(TblUnitCost[[#This Row],[Currency]]=LCU, TblUnitCost[[#This Row],[Cost]], IF(TblUnitCost[[#This Row],[Currency]]=ACU, TblUnitCost[[#This Row],[Cost]]*FX_Rate, "Check Ref Currency"))</f>
        <v>Check Ref Currency</v>
      </c>
      <c r="H141" s="103">
        <f>TblUnitCost[[#This Row],[Cost]]/1600</f>
        <v>0</v>
      </c>
      <c r="I141" s="96"/>
      <c r="J141" s="96"/>
      <c r="K141" s="98"/>
      <c r="L141" s="96"/>
    </row>
    <row r="142" spans="2:12">
      <c r="B142" s="96"/>
      <c r="C142" s="96"/>
      <c r="D142" s="97"/>
      <c r="E142" s="97"/>
      <c r="F142" s="193"/>
      <c r="G142" s="103" t="str">
        <f>IF(TblUnitCost[[#This Row],[Currency]]=LCU, TblUnitCost[[#This Row],[Cost]], IF(TblUnitCost[[#This Row],[Currency]]=ACU, TblUnitCost[[#This Row],[Cost]]*FX_Rate, "Check Ref Currency"))</f>
        <v>Check Ref Currency</v>
      </c>
      <c r="H142" s="103">
        <f>TblUnitCost[[#This Row],[Cost]]/1600</f>
        <v>0</v>
      </c>
      <c r="I142" s="96"/>
      <c r="J142" s="96"/>
      <c r="K142" s="98"/>
      <c r="L142" s="96"/>
    </row>
    <row r="143" spans="2:12">
      <c r="B143" s="96"/>
      <c r="C143" s="96"/>
      <c r="D143" s="97"/>
      <c r="E143" s="97"/>
      <c r="F143" s="193"/>
      <c r="G143" s="103" t="str">
        <f>IF(TblUnitCost[[#This Row],[Currency]]=LCU, TblUnitCost[[#This Row],[Cost]], IF(TblUnitCost[[#This Row],[Currency]]=ACU, TblUnitCost[[#This Row],[Cost]]*FX_Rate, "Check Ref Currency"))</f>
        <v>Check Ref Currency</v>
      </c>
      <c r="H143" s="103">
        <f>TblUnitCost[[#This Row],[Cost]]/1600</f>
        <v>0</v>
      </c>
      <c r="I143" s="96"/>
      <c r="J143" s="96"/>
      <c r="K143" s="98"/>
      <c r="L143" s="96"/>
    </row>
    <row r="144" spans="2:12">
      <c r="B144" s="96"/>
      <c r="C144" s="96"/>
      <c r="D144" s="97"/>
      <c r="E144" s="97"/>
      <c r="F144" s="193"/>
      <c r="G144" s="103" t="str">
        <f>IF(TblUnitCost[[#This Row],[Currency]]=LCU, TblUnitCost[[#This Row],[Cost]], IF(TblUnitCost[[#This Row],[Currency]]=ACU, TblUnitCost[[#This Row],[Cost]]*FX_Rate, "Check Ref Currency"))</f>
        <v>Check Ref Currency</v>
      </c>
      <c r="H144" s="103">
        <f>TblUnitCost[[#This Row],[Cost]]/1600</f>
        <v>0</v>
      </c>
      <c r="I144" s="96"/>
      <c r="J144" s="96"/>
      <c r="K144" s="98"/>
      <c r="L144" s="96"/>
    </row>
    <row r="145" spans="2:12">
      <c r="B145" s="96"/>
      <c r="C145" s="96"/>
      <c r="D145" s="97"/>
      <c r="E145" s="97"/>
      <c r="F145" s="193"/>
      <c r="G145" s="103" t="str">
        <f>IF(TblUnitCost[[#This Row],[Currency]]=LCU, TblUnitCost[[#This Row],[Cost]], IF(TblUnitCost[[#This Row],[Currency]]=ACU, TblUnitCost[[#This Row],[Cost]]*FX_Rate, "Check Ref Currency"))</f>
        <v>Check Ref Currency</v>
      </c>
      <c r="H145" s="103">
        <f>TblUnitCost[[#This Row],[Cost]]/1600</f>
        <v>0</v>
      </c>
      <c r="I145" s="96"/>
      <c r="J145" s="96"/>
      <c r="K145" s="98"/>
      <c r="L145" s="96"/>
    </row>
    <row r="146" spans="2:12">
      <c r="B146" s="96"/>
      <c r="C146" s="96"/>
      <c r="D146" s="97"/>
      <c r="E146" s="97"/>
      <c r="F146" s="193"/>
      <c r="G146" s="103" t="str">
        <f>IF(TblUnitCost[[#This Row],[Currency]]=LCU, TblUnitCost[[#This Row],[Cost]], IF(TblUnitCost[[#This Row],[Currency]]=ACU, TblUnitCost[[#This Row],[Cost]]*FX_Rate, "Check Ref Currency"))</f>
        <v>Check Ref Currency</v>
      </c>
      <c r="H146" s="103">
        <f>TblUnitCost[[#This Row],[Cost]]/1600</f>
        <v>0</v>
      </c>
      <c r="I146" s="96"/>
      <c r="J146" s="96"/>
      <c r="K146" s="98"/>
      <c r="L146" s="96"/>
    </row>
    <row r="147" spans="2:12">
      <c r="B147" s="96"/>
      <c r="C147" s="96"/>
      <c r="D147" s="97"/>
      <c r="E147" s="97"/>
      <c r="F147" s="193"/>
      <c r="G147" s="103" t="str">
        <f>IF(TblUnitCost[[#This Row],[Currency]]=LCU, TblUnitCost[[#This Row],[Cost]], IF(TblUnitCost[[#This Row],[Currency]]=ACU, TblUnitCost[[#This Row],[Cost]]*FX_Rate, "Check Ref Currency"))</f>
        <v>Check Ref Currency</v>
      </c>
      <c r="H147" s="103">
        <f>TblUnitCost[[#This Row],[Cost]]/1600</f>
        <v>0</v>
      </c>
      <c r="I147" s="96"/>
      <c r="J147" s="96"/>
      <c r="K147" s="98"/>
      <c r="L147" s="96"/>
    </row>
    <row r="148" spans="2:12">
      <c r="B148" s="96"/>
      <c r="C148" s="96"/>
      <c r="D148" s="97"/>
      <c r="E148" s="97"/>
      <c r="F148" s="193"/>
      <c r="G148" s="103" t="str">
        <f>IF(TblUnitCost[[#This Row],[Currency]]=LCU, TblUnitCost[[#This Row],[Cost]], IF(TblUnitCost[[#This Row],[Currency]]=ACU, TblUnitCost[[#This Row],[Cost]]*FX_Rate, "Check Ref Currency"))</f>
        <v>Check Ref Currency</v>
      </c>
      <c r="H148" s="103">
        <f>TblUnitCost[[#This Row],[Cost]]/1600</f>
        <v>0</v>
      </c>
      <c r="I148" s="96"/>
      <c r="J148" s="96"/>
      <c r="K148" s="98"/>
      <c r="L148" s="96"/>
    </row>
    <row r="149" spans="2:12">
      <c r="B149" s="96"/>
      <c r="C149" s="96"/>
      <c r="D149" s="97"/>
      <c r="E149" s="97"/>
      <c r="F149" s="193"/>
      <c r="G149" s="103" t="str">
        <f>IF(TblUnitCost[[#This Row],[Currency]]=LCU, TblUnitCost[[#This Row],[Cost]], IF(TblUnitCost[[#This Row],[Currency]]=ACU, TblUnitCost[[#This Row],[Cost]]*FX_Rate, "Check Ref Currency"))</f>
        <v>Check Ref Currency</v>
      </c>
      <c r="H149" s="103">
        <f>TblUnitCost[[#This Row],[Cost]]/1600</f>
        <v>0</v>
      </c>
      <c r="I149" s="96"/>
      <c r="J149" s="96"/>
      <c r="K149" s="98"/>
      <c r="L149" s="96"/>
    </row>
    <row r="150" spans="2:12">
      <c r="B150" s="96"/>
      <c r="C150" s="96"/>
      <c r="D150" s="97"/>
      <c r="E150" s="97"/>
      <c r="F150" s="193"/>
      <c r="G150" s="103" t="str">
        <f>IF(TblUnitCost[[#This Row],[Currency]]=LCU, TblUnitCost[[#This Row],[Cost]], IF(TblUnitCost[[#This Row],[Currency]]=ACU, TblUnitCost[[#This Row],[Cost]]*FX_Rate, "Check Ref Currency"))</f>
        <v>Check Ref Currency</v>
      </c>
      <c r="H150" s="103">
        <f>TblUnitCost[[#This Row],[Cost]]/1600</f>
        <v>0</v>
      </c>
      <c r="I150" s="96"/>
      <c r="J150" s="96"/>
      <c r="K150" s="98"/>
      <c r="L150" s="96"/>
    </row>
    <row r="151" spans="2:12">
      <c r="B151" s="96"/>
      <c r="C151" s="96"/>
      <c r="D151" s="97"/>
      <c r="E151" s="97"/>
      <c r="F151" s="193"/>
      <c r="G151" s="103" t="str">
        <f>IF(TblUnitCost[[#This Row],[Currency]]=LCU, TblUnitCost[[#This Row],[Cost]], IF(TblUnitCost[[#This Row],[Currency]]=ACU, TblUnitCost[[#This Row],[Cost]]*FX_Rate, "Check Ref Currency"))</f>
        <v>Check Ref Currency</v>
      </c>
      <c r="H151" s="103">
        <f>TblUnitCost[[#This Row],[Cost]]/1600</f>
        <v>0</v>
      </c>
      <c r="I151" s="96"/>
      <c r="J151" s="96"/>
      <c r="K151" s="98"/>
      <c r="L151" s="96"/>
    </row>
    <row r="152" spans="2:12">
      <c r="B152" s="96"/>
      <c r="C152" s="96"/>
      <c r="D152" s="97"/>
      <c r="E152" s="97"/>
      <c r="F152" s="193"/>
      <c r="G152" s="103" t="str">
        <f>IF(TblUnitCost[[#This Row],[Currency]]=LCU, TblUnitCost[[#This Row],[Cost]], IF(TblUnitCost[[#This Row],[Currency]]=ACU, TblUnitCost[[#This Row],[Cost]]*FX_Rate, "Check Ref Currency"))</f>
        <v>Check Ref Currency</v>
      </c>
      <c r="H152" s="103">
        <f>TblUnitCost[[#This Row],[Cost]]/1600</f>
        <v>0</v>
      </c>
      <c r="I152" s="96"/>
      <c r="J152" s="96"/>
      <c r="K152" s="98"/>
      <c r="L152" s="96"/>
    </row>
    <row r="153" spans="2:12">
      <c r="B153" s="96"/>
      <c r="C153" s="96"/>
      <c r="D153" s="97"/>
      <c r="E153" s="97"/>
      <c r="F153" s="193"/>
      <c r="G153" s="103" t="str">
        <f>IF(TblUnitCost[[#This Row],[Currency]]=LCU, TblUnitCost[[#This Row],[Cost]], IF(TblUnitCost[[#This Row],[Currency]]=ACU, TblUnitCost[[#This Row],[Cost]]*FX_Rate, "Check Ref Currency"))</f>
        <v>Check Ref Currency</v>
      </c>
      <c r="H153" s="103">
        <f>TblUnitCost[[#This Row],[Cost]]/1600</f>
        <v>0</v>
      </c>
      <c r="I153" s="96"/>
      <c r="J153" s="96"/>
      <c r="K153" s="98"/>
      <c r="L153" s="96"/>
    </row>
    <row r="154" spans="2:12">
      <c r="B154" s="96"/>
      <c r="C154" s="96"/>
      <c r="D154" s="97"/>
      <c r="E154" s="97"/>
      <c r="F154" s="193"/>
      <c r="G154" s="103" t="str">
        <f>IF(TblUnitCost[[#This Row],[Currency]]=LCU, TblUnitCost[[#This Row],[Cost]], IF(TblUnitCost[[#This Row],[Currency]]=ACU, TblUnitCost[[#This Row],[Cost]]*FX_Rate, "Check Ref Currency"))</f>
        <v>Check Ref Currency</v>
      </c>
      <c r="H154" s="103">
        <f>TblUnitCost[[#This Row],[Cost]]/1600</f>
        <v>0</v>
      </c>
      <c r="I154" s="96"/>
      <c r="J154" s="96"/>
      <c r="K154" s="98"/>
      <c r="L154" s="96"/>
    </row>
    <row r="155" spans="2:12">
      <c r="B155" s="96"/>
      <c r="C155" s="96"/>
      <c r="D155" s="97"/>
      <c r="E155" s="97"/>
      <c r="F155" s="193"/>
      <c r="G155" s="103" t="str">
        <f>IF(TblUnitCost[[#This Row],[Currency]]=LCU, TblUnitCost[[#This Row],[Cost]], IF(TblUnitCost[[#This Row],[Currency]]=ACU, TblUnitCost[[#This Row],[Cost]]*FX_Rate, "Check Ref Currency"))</f>
        <v>Check Ref Currency</v>
      </c>
      <c r="H155" s="103">
        <f>TblUnitCost[[#This Row],[Cost]]/1600</f>
        <v>0</v>
      </c>
      <c r="I155" s="96"/>
      <c r="J155" s="96"/>
      <c r="K155" s="98"/>
      <c r="L155" s="96"/>
    </row>
    <row r="156" spans="2:12">
      <c r="B156" s="96"/>
      <c r="C156" s="96"/>
      <c r="D156" s="97"/>
      <c r="E156" s="97"/>
      <c r="F156" s="193"/>
      <c r="G156" s="103" t="str">
        <f>IF(TblUnitCost[[#This Row],[Currency]]=LCU, TblUnitCost[[#This Row],[Cost]], IF(TblUnitCost[[#This Row],[Currency]]=ACU, TblUnitCost[[#This Row],[Cost]]*FX_Rate, "Check Ref Currency"))</f>
        <v>Check Ref Currency</v>
      </c>
      <c r="H156" s="103">
        <f>TblUnitCost[[#This Row],[Cost]]/1600</f>
        <v>0</v>
      </c>
      <c r="I156" s="96"/>
      <c r="J156" s="96"/>
      <c r="K156" s="98"/>
      <c r="L156" s="96"/>
    </row>
    <row r="157" spans="2:12">
      <c r="B157" s="96"/>
      <c r="C157" s="96"/>
      <c r="D157" s="97"/>
      <c r="E157" s="97"/>
      <c r="F157" s="193"/>
      <c r="G157" s="103" t="str">
        <f>IF(TblUnitCost[[#This Row],[Currency]]=LCU, TblUnitCost[[#This Row],[Cost]], IF(TblUnitCost[[#This Row],[Currency]]=ACU, TblUnitCost[[#This Row],[Cost]]*FX_Rate, "Check Ref Currency"))</f>
        <v>Check Ref Currency</v>
      </c>
      <c r="H157" s="103">
        <f>TblUnitCost[[#This Row],[Cost]]/1600</f>
        <v>0</v>
      </c>
      <c r="I157" s="96"/>
      <c r="J157" s="96"/>
      <c r="K157" s="98"/>
      <c r="L157" s="96"/>
    </row>
    <row r="158" spans="2:12">
      <c r="B158" s="96"/>
      <c r="C158" s="96"/>
      <c r="D158" s="97"/>
      <c r="E158" s="97"/>
      <c r="F158" s="193"/>
      <c r="G158" s="103" t="str">
        <f>IF(TblUnitCost[[#This Row],[Currency]]=LCU, TblUnitCost[[#This Row],[Cost]], IF(TblUnitCost[[#This Row],[Currency]]=ACU, TblUnitCost[[#This Row],[Cost]]*FX_Rate, "Check Ref Currency"))</f>
        <v>Check Ref Currency</v>
      </c>
      <c r="H158" s="103">
        <f>TblUnitCost[[#This Row],[Cost]]/1600</f>
        <v>0</v>
      </c>
      <c r="I158" s="96"/>
      <c r="J158" s="96"/>
      <c r="K158" s="98"/>
      <c r="L158" s="96"/>
    </row>
    <row r="159" spans="2:12">
      <c r="B159" s="96"/>
      <c r="C159" s="96"/>
      <c r="D159" s="97"/>
      <c r="E159" s="97"/>
      <c r="F159" s="193"/>
      <c r="G159" s="103" t="str">
        <f>IF(TblUnitCost[[#This Row],[Currency]]=LCU, TblUnitCost[[#This Row],[Cost]], IF(TblUnitCost[[#This Row],[Currency]]=ACU, TblUnitCost[[#This Row],[Cost]]*FX_Rate, "Check Ref Currency"))</f>
        <v>Check Ref Currency</v>
      </c>
      <c r="H159" s="103">
        <f>TblUnitCost[[#This Row],[Cost]]/1600</f>
        <v>0</v>
      </c>
      <c r="I159" s="96"/>
      <c r="J159" s="96"/>
      <c r="K159" s="98"/>
      <c r="L159" s="96"/>
    </row>
    <row r="160" spans="2:12">
      <c r="B160" s="96"/>
      <c r="C160" s="96"/>
      <c r="D160" s="97"/>
      <c r="E160" s="97"/>
      <c r="F160" s="193"/>
      <c r="G160" s="103" t="str">
        <f>IF(TblUnitCost[[#This Row],[Currency]]=LCU, TblUnitCost[[#This Row],[Cost]], IF(TblUnitCost[[#This Row],[Currency]]=ACU, TblUnitCost[[#This Row],[Cost]]*FX_Rate, "Check Ref Currency"))</f>
        <v>Check Ref Currency</v>
      </c>
      <c r="H160" s="103">
        <f>TblUnitCost[[#This Row],[Cost]]/1600</f>
        <v>0</v>
      </c>
      <c r="I160" s="96"/>
      <c r="J160" s="96"/>
      <c r="K160" s="98"/>
      <c r="L160" s="96"/>
    </row>
    <row r="161" spans="2:12">
      <c r="B161" s="96"/>
      <c r="C161" s="96"/>
      <c r="D161" s="97"/>
      <c r="E161" s="97"/>
      <c r="F161" s="193"/>
      <c r="G161" s="103" t="str">
        <f>IF(TblUnitCost[[#This Row],[Currency]]=LCU, TblUnitCost[[#This Row],[Cost]], IF(TblUnitCost[[#This Row],[Currency]]=ACU, TblUnitCost[[#This Row],[Cost]]*FX_Rate, "Check Ref Currency"))</f>
        <v>Check Ref Currency</v>
      </c>
      <c r="H161" s="103">
        <f>TblUnitCost[[#This Row],[Cost]]/1600</f>
        <v>0</v>
      </c>
      <c r="I161" s="96"/>
      <c r="J161" s="96"/>
      <c r="K161" s="98"/>
      <c r="L161" s="96"/>
    </row>
    <row r="162" spans="2:12">
      <c r="B162" s="96"/>
      <c r="C162" s="96"/>
      <c r="D162" s="97"/>
      <c r="E162" s="97"/>
      <c r="F162" s="193"/>
      <c r="G162" s="103" t="str">
        <f>IF(TblUnitCost[[#This Row],[Currency]]=LCU, TblUnitCost[[#This Row],[Cost]], IF(TblUnitCost[[#This Row],[Currency]]=ACU, TblUnitCost[[#This Row],[Cost]]*FX_Rate, "Check Ref Currency"))</f>
        <v>Check Ref Currency</v>
      </c>
      <c r="H162" s="103">
        <f>TblUnitCost[[#This Row],[Cost]]/1600</f>
        <v>0</v>
      </c>
      <c r="I162" s="96"/>
      <c r="J162" s="96"/>
      <c r="K162" s="98"/>
      <c r="L162" s="96"/>
    </row>
    <row r="163" spans="2:12">
      <c r="B163" s="96"/>
      <c r="C163" s="96"/>
      <c r="D163" s="97"/>
      <c r="E163" s="97"/>
      <c r="F163" s="193"/>
      <c r="G163" s="103" t="str">
        <f>IF(TblUnitCost[[#This Row],[Currency]]=LCU, TblUnitCost[[#This Row],[Cost]], IF(TblUnitCost[[#This Row],[Currency]]=ACU, TblUnitCost[[#This Row],[Cost]]*FX_Rate, "Check Ref Currency"))</f>
        <v>Check Ref Currency</v>
      </c>
      <c r="H163" s="103">
        <f>TblUnitCost[[#This Row],[Cost]]/1600</f>
        <v>0</v>
      </c>
      <c r="I163" s="96"/>
      <c r="J163" s="96"/>
      <c r="K163" s="98"/>
      <c r="L163" s="96"/>
    </row>
    <row r="164" spans="2:12">
      <c r="B164" s="96"/>
      <c r="C164" s="96"/>
      <c r="D164" s="97"/>
      <c r="E164" s="97"/>
      <c r="F164" s="193"/>
      <c r="G164" s="103" t="str">
        <f>IF(TblUnitCost[[#This Row],[Currency]]=LCU, TblUnitCost[[#This Row],[Cost]], IF(TblUnitCost[[#This Row],[Currency]]=ACU, TblUnitCost[[#This Row],[Cost]]*FX_Rate, "Check Ref Currency"))</f>
        <v>Check Ref Currency</v>
      </c>
      <c r="H164" s="103">
        <f>TblUnitCost[[#This Row],[Cost]]/1600</f>
        <v>0</v>
      </c>
      <c r="I164" s="96"/>
      <c r="J164" s="96"/>
      <c r="K164" s="98"/>
      <c r="L164" s="96"/>
    </row>
    <row r="165" spans="2:12">
      <c r="B165" s="96"/>
      <c r="C165" s="96"/>
      <c r="D165" s="97"/>
      <c r="E165" s="97"/>
      <c r="F165" s="193"/>
      <c r="G165" s="103" t="str">
        <f>IF(TblUnitCost[[#This Row],[Currency]]=LCU, TblUnitCost[[#This Row],[Cost]], IF(TblUnitCost[[#This Row],[Currency]]=ACU, TblUnitCost[[#This Row],[Cost]]*FX_Rate, "Check Ref Currency"))</f>
        <v>Check Ref Currency</v>
      </c>
      <c r="H165" s="103">
        <f>TblUnitCost[[#This Row],[Cost]]/1600</f>
        <v>0</v>
      </c>
      <c r="I165" s="96"/>
      <c r="J165" s="96"/>
      <c r="K165" s="98"/>
      <c r="L165" s="96"/>
    </row>
    <row r="166" spans="2:12">
      <c r="B166" s="96"/>
      <c r="C166" s="96"/>
      <c r="D166" s="97"/>
      <c r="E166" s="97"/>
      <c r="F166" s="193"/>
      <c r="G166" s="103" t="str">
        <f>IF(TblUnitCost[[#This Row],[Currency]]=LCU, TblUnitCost[[#This Row],[Cost]], IF(TblUnitCost[[#This Row],[Currency]]=ACU, TblUnitCost[[#This Row],[Cost]]*FX_Rate, "Check Ref Currency"))</f>
        <v>Check Ref Currency</v>
      </c>
      <c r="H166" s="103">
        <f>TblUnitCost[[#This Row],[Cost]]/1600</f>
        <v>0</v>
      </c>
      <c r="I166" s="96"/>
      <c r="J166" s="96"/>
      <c r="K166" s="98"/>
      <c r="L166" s="96"/>
    </row>
    <row r="167" spans="2:12">
      <c r="B167" s="96"/>
      <c r="C167" s="96"/>
      <c r="D167" s="97"/>
      <c r="E167" s="97"/>
      <c r="F167" s="193"/>
      <c r="G167" s="103" t="str">
        <f>IF(TblUnitCost[[#This Row],[Currency]]=LCU, TblUnitCost[[#This Row],[Cost]], IF(TblUnitCost[[#This Row],[Currency]]=ACU, TblUnitCost[[#This Row],[Cost]]*FX_Rate, "Check Ref Currency"))</f>
        <v>Check Ref Currency</v>
      </c>
      <c r="H167" s="103">
        <f>TblUnitCost[[#This Row],[Cost]]/1600</f>
        <v>0</v>
      </c>
      <c r="I167" s="96"/>
      <c r="J167" s="96"/>
      <c r="K167" s="98"/>
      <c r="L167" s="96"/>
    </row>
    <row r="168" spans="2:12">
      <c r="B168" s="96"/>
      <c r="C168" s="96"/>
      <c r="D168" s="97"/>
      <c r="E168" s="97"/>
      <c r="F168" s="193"/>
      <c r="G168" s="103" t="str">
        <f>IF(TblUnitCost[[#This Row],[Currency]]=LCU, TblUnitCost[[#This Row],[Cost]], IF(TblUnitCost[[#This Row],[Currency]]=ACU, TblUnitCost[[#This Row],[Cost]]*FX_Rate, "Check Ref Currency"))</f>
        <v>Check Ref Currency</v>
      </c>
      <c r="H168" s="103">
        <f>TblUnitCost[[#This Row],[Cost]]/1600</f>
        <v>0</v>
      </c>
      <c r="I168" s="96"/>
      <c r="J168" s="96"/>
      <c r="K168" s="98"/>
      <c r="L168" s="96"/>
    </row>
    <row r="169" spans="2:12">
      <c r="B169" s="96"/>
      <c r="C169" s="96"/>
      <c r="D169" s="97"/>
      <c r="E169" s="97"/>
      <c r="F169" s="193"/>
      <c r="G169" s="103" t="str">
        <f>IF(TblUnitCost[[#This Row],[Currency]]=LCU, TblUnitCost[[#This Row],[Cost]], IF(TblUnitCost[[#This Row],[Currency]]=ACU, TblUnitCost[[#This Row],[Cost]]*FX_Rate, "Check Ref Currency"))</f>
        <v>Check Ref Currency</v>
      </c>
      <c r="H169" s="103">
        <f>TblUnitCost[[#This Row],[Cost]]/1600</f>
        <v>0</v>
      </c>
      <c r="I169" s="96"/>
      <c r="J169" s="96"/>
      <c r="K169" s="98"/>
      <c r="L169" s="96"/>
    </row>
    <row r="170" spans="2:12">
      <c r="B170" s="96"/>
      <c r="C170" s="96"/>
      <c r="D170" s="97"/>
      <c r="E170" s="97"/>
      <c r="F170" s="193"/>
      <c r="G170" s="103" t="str">
        <f>IF(TblUnitCost[[#This Row],[Currency]]=LCU, TblUnitCost[[#This Row],[Cost]], IF(TblUnitCost[[#This Row],[Currency]]=ACU, TblUnitCost[[#This Row],[Cost]]*FX_Rate, "Check Ref Currency"))</f>
        <v>Check Ref Currency</v>
      </c>
      <c r="H170" s="103">
        <f>TblUnitCost[[#This Row],[Cost]]/1600</f>
        <v>0</v>
      </c>
      <c r="I170" s="96"/>
      <c r="J170" s="96"/>
      <c r="K170" s="98"/>
      <c r="L170" s="96"/>
    </row>
    <row r="171" spans="2:12">
      <c r="B171" s="96"/>
      <c r="C171" s="96"/>
      <c r="D171" s="97"/>
      <c r="E171" s="97"/>
      <c r="F171" s="193"/>
      <c r="G171" s="103" t="str">
        <f>IF(TblUnitCost[[#This Row],[Currency]]=LCU, TblUnitCost[[#This Row],[Cost]], IF(TblUnitCost[[#This Row],[Currency]]=ACU, TblUnitCost[[#This Row],[Cost]]*FX_Rate, "Check Ref Currency"))</f>
        <v>Check Ref Currency</v>
      </c>
      <c r="H171" s="103">
        <f>TblUnitCost[[#This Row],[Cost]]/1600</f>
        <v>0</v>
      </c>
      <c r="I171" s="96"/>
      <c r="J171" s="96"/>
      <c r="K171" s="98"/>
      <c r="L171" s="96"/>
    </row>
    <row r="172" spans="2:12">
      <c r="B172" s="96"/>
      <c r="C172" s="96"/>
      <c r="D172" s="97"/>
      <c r="E172" s="97"/>
      <c r="F172" s="193"/>
      <c r="G172" s="103" t="str">
        <f>IF(TblUnitCost[[#This Row],[Currency]]=LCU, TblUnitCost[[#This Row],[Cost]], IF(TblUnitCost[[#This Row],[Currency]]=ACU, TblUnitCost[[#This Row],[Cost]]*FX_Rate, "Check Ref Currency"))</f>
        <v>Check Ref Currency</v>
      </c>
      <c r="H172" s="103">
        <f>TblUnitCost[[#This Row],[Cost]]/1600</f>
        <v>0</v>
      </c>
      <c r="I172" s="96"/>
      <c r="J172" s="96"/>
      <c r="K172" s="98"/>
      <c r="L172" s="96"/>
    </row>
    <row r="173" spans="2:12">
      <c r="B173" s="96"/>
      <c r="C173" s="96"/>
      <c r="D173" s="97"/>
      <c r="E173" s="97"/>
      <c r="F173" s="193"/>
      <c r="G173" s="103" t="str">
        <f>IF(TblUnitCost[[#This Row],[Currency]]=LCU, TblUnitCost[[#This Row],[Cost]], IF(TblUnitCost[[#This Row],[Currency]]=ACU, TblUnitCost[[#This Row],[Cost]]*FX_Rate, "Check Ref Currency"))</f>
        <v>Check Ref Currency</v>
      </c>
      <c r="H173" s="103">
        <f>TblUnitCost[[#This Row],[Cost]]/1600</f>
        <v>0</v>
      </c>
      <c r="I173" s="96"/>
      <c r="J173" s="96"/>
      <c r="K173" s="98"/>
      <c r="L173" s="96"/>
    </row>
    <row r="174" spans="2:12">
      <c r="B174" s="96"/>
      <c r="C174" s="96"/>
      <c r="D174" s="97"/>
      <c r="E174" s="97"/>
      <c r="F174" s="193"/>
      <c r="G174" s="103" t="str">
        <f>IF(TblUnitCost[[#This Row],[Currency]]=LCU, TblUnitCost[[#This Row],[Cost]], IF(TblUnitCost[[#This Row],[Currency]]=ACU, TblUnitCost[[#This Row],[Cost]]*FX_Rate, "Check Ref Currency"))</f>
        <v>Check Ref Currency</v>
      </c>
      <c r="H174" s="103">
        <f>TblUnitCost[[#This Row],[Cost]]/1600</f>
        <v>0</v>
      </c>
      <c r="I174" s="96"/>
      <c r="J174" s="96"/>
      <c r="K174" s="98"/>
      <c r="L174" s="96"/>
    </row>
    <row r="175" spans="2:12">
      <c r="B175" s="96"/>
      <c r="C175" s="96"/>
      <c r="D175" s="97"/>
      <c r="E175" s="97"/>
      <c r="F175" s="193"/>
      <c r="G175" s="103" t="str">
        <f>IF(TblUnitCost[[#This Row],[Currency]]=LCU, TblUnitCost[[#This Row],[Cost]], IF(TblUnitCost[[#This Row],[Currency]]=ACU, TblUnitCost[[#This Row],[Cost]]*FX_Rate, "Check Ref Currency"))</f>
        <v>Check Ref Currency</v>
      </c>
      <c r="H175" s="103">
        <f>TblUnitCost[[#This Row],[Cost]]/1600</f>
        <v>0</v>
      </c>
      <c r="I175" s="96"/>
      <c r="J175" s="96"/>
      <c r="K175" s="98"/>
      <c r="L175" s="96"/>
    </row>
    <row r="176" spans="2:12">
      <c r="B176" s="96"/>
      <c r="C176" s="96"/>
      <c r="D176" s="97"/>
      <c r="E176" s="97"/>
      <c r="F176" s="193"/>
      <c r="G176" s="103" t="str">
        <f>IF(TblUnitCost[[#This Row],[Currency]]=LCU, TblUnitCost[[#This Row],[Cost]], IF(TblUnitCost[[#This Row],[Currency]]=ACU, TblUnitCost[[#This Row],[Cost]]*FX_Rate, "Check Ref Currency"))</f>
        <v>Check Ref Currency</v>
      </c>
      <c r="H176" s="103">
        <f>TblUnitCost[[#This Row],[Cost]]/1600</f>
        <v>0</v>
      </c>
      <c r="I176" s="96"/>
      <c r="J176" s="96"/>
      <c r="K176" s="98"/>
      <c r="L176" s="96"/>
    </row>
    <row r="177" spans="2:12">
      <c r="B177" s="96"/>
      <c r="C177" s="96"/>
      <c r="D177" s="97"/>
      <c r="E177" s="97"/>
      <c r="F177" s="193"/>
      <c r="G177" s="103" t="str">
        <f>IF(TblUnitCost[[#This Row],[Currency]]=LCU, TblUnitCost[[#This Row],[Cost]], IF(TblUnitCost[[#This Row],[Currency]]=ACU, TblUnitCost[[#This Row],[Cost]]*FX_Rate, "Check Ref Currency"))</f>
        <v>Check Ref Currency</v>
      </c>
      <c r="H177" s="103">
        <f>TblUnitCost[[#This Row],[Cost]]/1600</f>
        <v>0</v>
      </c>
      <c r="I177" s="96"/>
      <c r="J177" s="96"/>
      <c r="K177" s="98"/>
      <c r="L177" s="96"/>
    </row>
    <row r="178" spans="2:12">
      <c r="B178" s="96"/>
      <c r="C178" s="96"/>
      <c r="D178" s="97"/>
      <c r="E178" s="97"/>
      <c r="F178" s="193"/>
      <c r="G178" s="103" t="str">
        <f>IF(TblUnitCost[[#This Row],[Currency]]=LCU, TblUnitCost[[#This Row],[Cost]], IF(TblUnitCost[[#This Row],[Currency]]=ACU, TblUnitCost[[#This Row],[Cost]]*FX_Rate, "Check Ref Currency"))</f>
        <v>Check Ref Currency</v>
      </c>
      <c r="H178" s="103">
        <f>TblUnitCost[[#This Row],[Cost]]/1600</f>
        <v>0</v>
      </c>
      <c r="I178" s="96"/>
      <c r="J178" s="96"/>
      <c r="K178" s="98"/>
      <c r="L178" s="96"/>
    </row>
    <row r="179" spans="2:12">
      <c r="B179" s="96"/>
      <c r="C179" s="96"/>
      <c r="D179" s="97"/>
      <c r="E179" s="97"/>
      <c r="F179" s="193"/>
      <c r="G179" s="103" t="str">
        <f>IF(TblUnitCost[[#This Row],[Currency]]=LCU, TblUnitCost[[#This Row],[Cost]], IF(TblUnitCost[[#This Row],[Currency]]=ACU, TblUnitCost[[#This Row],[Cost]]*FX_Rate, "Check Ref Currency"))</f>
        <v>Check Ref Currency</v>
      </c>
      <c r="H179" s="103">
        <f>TblUnitCost[[#This Row],[Cost]]/1600</f>
        <v>0</v>
      </c>
      <c r="I179" s="96"/>
      <c r="J179" s="96"/>
      <c r="K179" s="98"/>
      <c r="L179" s="96"/>
    </row>
    <row r="180" spans="2:12">
      <c r="B180" s="96"/>
      <c r="C180" s="96"/>
      <c r="D180" s="97"/>
      <c r="E180" s="97"/>
      <c r="F180" s="193"/>
      <c r="G180" s="103" t="str">
        <f>IF(TblUnitCost[[#This Row],[Currency]]=LCU, TblUnitCost[[#This Row],[Cost]], IF(TblUnitCost[[#This Row],[Currency]]=ACU, TblUnitCost[[#This Row],[Cost]]*FX_Rate, "Check Ref Currency"))</f>
        <v>Check Ref Currency</v>
      </c>
      <c r="H180" s="103">
        <f>TblUnitCost[[#This Row],[Cost]]/1600</f>
        <v>0</v>
      </c>
      <c r="I180" s="96"/>
      <c r="J180" s="96"/>
      <c r="K180" s="98"/>
      <c r="L180" s="96"/>
    </row>
    <row r="181" spans="2:12">
      <c r="B181" s="96"/>
      <c r="C181" s="96"/>
      <c r="D181" s="97"/>
      <c r="E181" s="97"/>
      <c r="F181" s="193"/>
      <c r="G181" s="103" t="str">
        <f>IF(TblUnitCost[[#This Row],[Currency]]=LCU, TblUnitCost[[#This Row],[Cost]], IF(TblUnitCost[[#This Row],[Currency]]=ACU, TblUnitCost[[#This Row],[Cost]]*FX_Rate, "Check Ref Currency"))</f>
        <v>Check Ref Currency</v>
      </c>
      <c r="H181" s="103">
        <f>TblUnitCost[[#This Row],[Cost]]/1600</f>
        <v>0</v>
      </c>
      <c r="I181" s="96"/>
      <c r="J181" s="96"/>
      <c r="K181" s="98"/>
      <c r="L181" s="96"/>
    </row>
    <row r="182" spans="2:12">
      <c r="B182" s="96"/>
      <c r="C182" s="96"/>
      <c r="D182" s="97"/>
      <c r="E182" s="97"/>
      <c r="F182" s="193"/>
      <c r="G182" s="103" t="str">
        <f>IF(TblUnitCost[[#This Row],[Currency]]=LCU, TblUnitCost[[#This Row],[Cost]], IF(TblUnitCost[[#This Row],[Currency]]=ACU, TblUnitCost[[#This Row],[Cost]]*FX_Rate, "Check Ref Currency"))</f>
        <v>Check Ref Currency</v>
      </c>
      <c r="H182" s="103">
        <f>TblUnitCost[[#This Row],[Cost]]/1600</f>
        <v>0</v>
      </c>
      <c r="I182" s="96"/>
      <c r="J182" s="96"/>
      <c r="K182" s="98"/>
      <c r="L182" s="96"/>
    </row>
    <row r="183" spans="2:12">
      <c r="B183" s="96"/>
      <c r="C183" s="96"/>
      <c r="D183" s="97"/>
      <c r="E183" s="97"/>
      <c r="F183" s="193"/>
      <c r="G183" s="103" t="str">
        <f>IF(TblUnitCost[[#This Row],[Currency]]=LCU, TblUnitCost[[#This Row],[Cost]], IF(TblUnitCost[[#This Row],[Currency]]=ACU, TblUnitCost[[#This Row],[Cost]]*FX_Rate, "Check Ref Currency"))</f>
        <v>Check Ref Currency</v>
      </c>
      <c r="H183" s="103">
        <f>TblUnitCost[[#This Row],[Cost]]/1600</f>
        <v>0</v>
      </c>
      <c r="I183" s="96"/>
      <c r="J183" s="96"/>
      <c r="K183" s="98"/>
      <c r="L183" s="96"/>
    </row>
    <row r="184" spans="2:12">
      <c r="B184" s="96"/>
      <c r="C184" s="96"/>
      <c r="D184" s="97"/>
      <c r="E184" s="97"/>
      <c r="F184" s="193"/>
      <c r="G184" s="103" t="str">
        <f>IF(TblUnitCost[[#This Row],[Currency]]=LCU, TblUnitCost[[#This Row],[Cost]], IF(TblUnitCost[[#This Row],[Currency]]=ACU, TblUnitCost[[#This Row],[Cost]]*FX_Rate, "Check Ref Currency"))</f>
        <v>Check Ref Currency</v>
      </c>
      <c r="H184" s="103">
        <f>TblUnitCost[[#This Row],[Cost]]/1600</f>
        <v>0</v>
      </c>
      <c r="I184" s="96"/>
      <c r="J184" s="96"/>
      <c r="K184" s="98"/>
      <c r="L184" s="96"/>
    </row>
    <row r="185" spans="2:12">
      <c r="B185" s="96"/>
      <c r="C185" s="96"/>
      <c r="D185" s="97"/>
      <c r="E185" s="97"/>
      <c r="F185" s="193"/>
      <c r="G185" s="103" t="str">
        <f>IF(TblUnitCost[[#This Row],[Currency]]=LCU, TblUnitCost[[#This Row],[Cost]], IF(TblUnitCost[[#This Row],[Currency]]=ACU, TblUnitCost[[#This Row],[Cost]]*FX_Rate, "Check Ref Currency"))</f>
        <v>Check Ref Currency</v>
      </c>
      <c r="H185" s="103">
        <f>TblUnitCost[[#This Row],[Cost]]/1600</f>
        <v>0</v>
      </c>
      <c r="I185" s="96"/>
      <c r="J185" s="96"/>
      <c r="K185" s="98"/>
      <c r="L185" s="96"/>
    </row>
    <row r="186" spans="2:12">
      <c r="B186" s="96"/>
      <c r="C186" s="96"/>
      <c r="D186" s="97"/>
      <c r="E186" s="97"/>
      <c r="F186" s="193"/>
      <c r="G186" s="103" t="str">
        <f>IF(TblUnitCost[[#This Row],[Currency]]=LCU, TblUnitCost[[#This Row],[Cost]], IF(TblUnitCost[[#This Row],[Currency]]=ACU, TblUnitCost[[#This Row],[Cost]]*FX_Rate, "Check Ref Currency"))</f>
        <v>Check Ref Currency</v>
      </c>
      <c r="H186" s="103">
        <f>TblUnitCost[[#This Row],[Cost]]/1600</f>
        <v>0</v>
      </c>
      <c r="I186" s="96"/>
      <c r="J186" s="96"/>
      <c r="K186" s="98"/>
      <c r="L186" s="96"/>
    </row>
    <row r="187" spans="2:12">
      <c r="B187" s="96"/>
      <c r="C187" s="96"/>
      <c r="D187" s="97"/>
      <c r="E187" s="97"/>
      <c r="F187" s="193"/>
      <c r="G187" s="103" t="str">
        <f>IF(TblUnitCost[[#This Row],[Currency]]=LCU, TblUnitCost[[#This Row],[Cost]], IF(TblUnitCost[[#This Row],[Currency]]=ACU, TblUnitCost[[#This Row],[Cost]]*FX_Rate, "Check Ref Currency"))</f>
        <v>Check Ref Currency</v>
      </c>
      <c r="H187" s="103">
        <f>TblUnitCost[[#This Row],[Cost]]/1600</f>
        <v>0</v>
      </c>
      <c r="I187" s="96"/>
      <c r="J187" s="96"/>
      <c r="K187" s="98"/>
      <c r="L187" s="96"/>
    </row>
    <row r="188" spans="2:12">
      <c r="B188" s="96"/>
      <c r="C188" s="96"/>
      <c r="D188" s="97"/>
      <c r="E188" s="97"/>
      <c r="F188" s="193"/>
      <c r="G188" s="103" t="str">
        <f>IF(TblUnitCost[[#This Row],[Currency]]=LCU, TblUnitCost[[#This Row],[Cost]], IF(TblUnitCost[[#This Row],[Currency]]=ACU, TblUnitCost[[#This Row],[Cost]]*FX_Rate, "Check Ref Currency"))</f>
        <v>Check Ref Currency</v>
      </c>
      <c r="H188" s="103">
        <f>TblUnitCost[[#This Row],[Cost]]/1600</f>
        <v>0</v>
      </c>
      <c r="I188" s="96"/>
      <c r="J188" s="96"/>
      <c r="K188" s="98"/>
      <c r="L188" s="96"/>
    </row>
    <row r="189" spans="2:12">
      <c r="B189" s="96"/>
      <c r="C189" s="96"/>
      <c r="D189" s="97"/>
      <c r="E189" s="97"/>
      <c r="F189" s="193"/>
      <c r="G189" s="103" t="str">
        <f>IF(TblUnitCost[[#This Row],[Currency]]=LCU, TblUnitCost[[#This Row],[Cost]], IF(TblUnitCost[[#This Row],[Currency]]=ACU, TblUnitCost[[#This Row],[Cost]]*FX_Rate, "Check Ref Currency"))</f>
        <v>Check Ref Currency</v>
      </c>
      <c r="H189" s="103">
        <f>TblUnitCost[[#This Row],[Cost]]/1600</f>
        <v>0</v>
      </c>
      <c r="I189" s="96"/>
      <c r="J189" s="96"/>
      <c r="K189" s="98"/>
      <c r="L189" s="96"/>
    </row>
    <row r="190" spans="2:12">
      <c r="B190" s="96"/>
      <c r="C190" s="96"/>
      <c r="D190" s="97"/>
      <c r="E190" s="97"/>
      <c r="F190" s="193"/>
      <c r="G190" s="103" t="str">
        <f>IF(TblUnitCost[[#This Row],[Currency]]=LCU, TblUnitCost[[#This Row],[Cost]], IF(TblUnitCost[[#This Row],[Currency]]=ACU, TblUnitCost[[#This Row],[Cost]]*FX_Rate, "Check Ref Currency"))</f>
        <v>Check Ref Currency</v>
      </c>
      <c r="H190" s="103">
        <f>TblUnitCost[[#This Row],[Cost]]/1600</f>
        <v>0</v>
      </c>
      <c r="I190" s="96"/>
      <c r="J190" s="96"/>
      <c r="K190" s="98"/>
      <c r="L190" s="96"/>
    </row>
    <row r="191" spans="2:12">
      <c r="B191" s="96"/>
      <c r="C191" s="96"/>
      <c r="D191" s="97"/>
      <c r="E191" s="97"/>
      <c r="F191" s="193"/>
      <c r="G191" s="103" t="str">
        <f>IF(TblUnitCost[[#This Row],[Currency]]=LCU, TblUnitCost[[#This Row],[Cost]], IF(TblUnitCost[[#This Row],[Currency]]=ACU, TblUnitCost[[#This Row],[Cost]]*FX_Rate, "Check Ref Currency"))</f>
        <v>Check Ref Currency</v>
      </c>
      <c r="H191" s="103">
        <f>TblUnitCost[[#This Row],[Cost]]/1600</f>
        <v>0</v>
      </c>
      <c r="I191" s="96"/>
      <c r="J191" s="96"/>
      <c r="K191" s="98"/>
      <c r="L191" s="96"/>
    </row>
    <row r="192" spans="2:12">
      <c r="B192" s="96"/>
      <c r="C192" s="96"/>
      <c r="D192" s="97"/>
      <c r="E192" s="97"/>
      <c r="F192" s="193"/>
      <c r="G192" s="103" t="str">
        <f>IF(TblUnitCost[[#This Row],[Currency]]=LCU, TblUnitCost[[#This Row],[Cost]], IF(TblUnitCost[[#This Row],[Currency]]=ACU, TblUnitCost[[#This Row],[Cost]]*FX_Rate, "Check Ref Currency"))</f>
        <v>Check Ref Currency</v>
      </c>
      <c r="H192" s="103">
        <f>TblUnitCost[[#This Row],[Cost]]/1600</f>
        <v>0</v>
      </c>
      <c r="I192" s="96"/>
      <c r="J192" s="96"/>
      <c r="K192" s="98"/>
      <c r="L192" s="96"/>
    </row>
    <row r="193" spans="2:12">
      <c r="B193" s="96"/>
      <c r="C193" s="96"/>
      <c r="D193" s="97"/>
      <c r="E193" s="97"/>
      <c r="F193" s="193"/>
      <c r="G193" s="103" t="str">
        <f>IF(TblUnitCost[[#This Row],[Currency]]=LCU, TblUnitCost[[#This Row],[Cost]], IF(TblUnitCost[[#This Row],[Currency]]=ACU, TblUnitCost[[#This Row],[Cost]]*FX_Rate, "Check Ref Currency"))</f>
        <v>Check Ref Currency</v>
      </c>
      <c r="H193" s="103">
        <f>TblUnitCost[[#This Row],[Cost]]/1600</f>
        <v>0</v>
      </c>
      <c r="I193" s="96"/>
      <c r="J193" s="96"/>
      <c r="K193" s="98"/>
      <c r="L193" s="96"/>
    </row>
    <row r="194" spans="2:12">
      <c r="B194" s="96"/>
      <c r="C194" s="96"/>
      <c r="D194" s="97"/>
      <c r="E194" s="97"/>
      <c r="F194" s="193"/>
      <c r="G194" s="103" t="str">
        <f>IF(TblUnitCost[[#This Row],[Currency]]=LCU, TblUnitCost[[#This Row],[Cost]], IF(TblUnitCost[[#This Row],[Currency]]=ACU, TblUnitCost[[#This Row],[Cost]]*FX_Rate, "Check Ref Currency"))</f>
        <v>Check Ref Currency</v>
      </c>
      <c r="H194" s="103">
        <f>TblUnitCost[[#This Row],[Cost]]/1600</f>
        <v>0</v>
      </c>
      <c r="I194" s="96"/>
      <c r="J194" s="96"/>
      <c r="K194" s="98"/>
      <c r="L194" s="96"/>
    </row>
    <row r="195" spans="2:12">
      <c r="B195" s="96"/>
      <c r="C195" s="96"/>
      <c r="D195" s="97"/>
      <c r="E195" s="97"/>
      <c r="F195" s="193"/>
      <c r="G195" s="103" t="str">
        <f>IF(TblUnitCost[[#This Row],[Currency]]=LCU, TblUnitCost[[#This Row],[Cost]], IF(TblUnitCost[[#This Row],[Currency]]=ACU, TblUnitCost[[#This Row],[Cost]]*FX_Rate, "Check Ref Currency"))</f>
        <v>Check Ref Currency</v>
      </c>
      <c r="H195" s="103">
        <f>TblUnitCost[[#This Row],[Cost]]/1600</f>
        <v>0</v>
      </c>
      <c r="I195" s="96"/>
      <c r="J195" s="96"/>
      <c r="K195" s="98"/>
      <c r="L195" s="96"/>
    </row>
    <row r="196" spans="2:12">
      <c r="B196" s="96"/>
      <c r="C196" s="96"/>
      <c r="D196" s="97"/>
      <c r="E196" s="97"/>
      <c r="F196" s="193"/>
      <c r="G196" s="103" t="str">
        <f>IF(TblUnitCost[[#This Row],[Currency]]=LCU, TblUnitCost[[#This Row],[Cost]], IF(TblUnitCost[[#This Row],[Currency]]=ACU, TblUnitCost[[#This Row],[Cost]]*FX_Rate, "Check Ref Currency"))</f>
        <v>Check Ref Currency</v>
      </c>
      <c r="H196" s="103">
        <f>TblUnitCost[[#This Row],[Cost]]/1600</f>
        <v>0</v>
      </c>
      <c r="I196" s="96"/>
      <c r="J196" s="96"/>
      <c r="K196" s="98"/>
      <c r="L196" s="96"/>
    </row>
    <row r="197" spans="2:12">
      <c r="B197" s="96"/>
      <c r="C197" s="96"/>
      <c r="D197" s="97"/>
      <c r="E197" s="97"/>
      <c r="F197" s="193"/>
      <c r="G197" s="103" t="str">
        <f>IF(TblUnitCost[[#This Row],[Currency]]=LCU, TblUnitCost[[#This Row],[Cost]], IF(TblUnitCost[[#This Row],[Currency]]=ACU, TblUnitCost[[#This Row],[Cost]]*FX_Rate, "Check Ref Currency"))</f>
        <v>Check Ref Currency</v>
      </c>
      <c r="H197" s="103">
        <f>TblUnitCost[[#This Row],[Cost]]/1600</f>
        <v>0</v>
      </c>
      <c r="I197" s="96"/>
      <c r="J197" s="96"/>
      <c r="K197" s="98"/>
      <c r="L197" s="96"/>
    </row>
    <row r="198" spans="2:12">
      <c r="B198" s="96"/>
      <c r="C198" s="96"/>
      <c r="D198" s="97"/>
      <c r="E198" s="97"/>
      <c r="F198" s="193"/>
      <c r="G198" s="103" t="str">
        <f>IF(TblUnitCost[[#This Row],[Currency]]=LCU, TblUnitCost[[#This Row],[Cost]], IF(TblUnitCost[[#This Row],[Currency]]=ACU, TblUnitCost[[#This Row],[Cost]]*FX_Rate, "Check Ref Currency"))</f>
        <v>Check Ref Currency</v>
      </c>
      <c r="H198" s="103">
        <f>TblUnitCost[[#This Row],[Cost]]/1600</f>
        <v>0</v>
      </c>
      <c r="I198" s="96"/>
      <c r="J198" s="96"/>
      <c r="K198" s="98"/>
      <c r="L198" s="96"/>
    </row>
    <row r="199" spans="2:12">
      <c r="B199" s="96"/>
      <c r="C199" s="96"/>
      <c r="D199" s="97"/>
      <c r="E199" s="97"/>
      <c r="F199" s="193"/>
      <c r="G199" s="103" t="str">
        <f>IF(TblUnitCost[[#This Row],[Currency]]=LCU, TblUnitCost[[#This Row],[Cost]], IF(TblUnitCost[[#This Row],[Currency]]=ACU, TblUnitCost[[#This Row],[Cost]]*FX_Rate, "Check Ref Currency"))</f>
        <v>Check Ref Currency</v>
      </c>
      <c r="H199" s="103">
        <f>TblUnitCost[[#This Row],[Cost]]/1600</f>
        <v>0</v>
      </c>
      <c r="I199" s="96"/>
      <c r="J199" s="96"/>
      <c r="K199" s="98"/>
      <c r="L199" s="96"/>
    </row>
    <row r="200" spans="2:12">
      <c r="B200" s="96"/>
      <c r="C200" s="96"/>
      <c r="D200" s="97"/>
      <c r="E200" s="97"/>
      <c r="F200" s="193"/>
      <c r="G200" s="103" t="str">
        <f>IF(TblUnitCost[[#This Row],[Currency]]=LCU, TblUnitCost[[#This Row],[Cost]], IF(TblUnitCost[[#This Row],[Currency]]=ACU, TblUnitCost[[#This Row],[Cost]]*FX_Rate, "Check Ref Currency"))</f>
        <v>Check Ref Currency</v>
      </c>
      <c r="H200" s="103">
        <f>TblUnitCost[[#This Row],[Cost]]/1600</f>
        <v>0</v>
      </c>
      <c r="I200" s="96"/>
      <c r="J200" s="96"/>
      <c r="K200" s="98"/>
      <c r="L200" s="96"/>
    </row>
    <row r="201" spans="2:12">
      <c r="B201" s="96"/>
      <c r="C201" s="96"/>
      <c r="D201" s="97"/>
      <c r="E201" s="97"/>
      <c r="F201" s="193"/>
      <c r="G201" s="103" t="str">
        <f>IF(TblUnitCost[[#This Row],[Currency]]=LCU, TblUnitCost[[#This Row],[Cost]], IF(TblUnitCost[[#This Row],[Currency]]=ACU, TblUnitCost[[#This Row],[Cost]]*FX_Rate, "Check Ref Currency"))</f>
        <v>Check Ref Currency</v>
      </c>
      <c r="H201" s="103">
        <f>TblUnitCost[[#This Row],[Cost]]/1600</f>
        <v>0</v>
      </c>
      <c r="I201" s="96"/>
      <c r="J201" s="96"/>
      <c r="K201" s="98"/>
      <c r="L201" s="96"/>
    </row>
    <row r="202" spans="2:12">
      <c r="B202" s="96"/>
      <c r="C202" s="96"/>
      <c r="D202" s="97"/>
      <c r="E202" s="97"/>
      <c r="F202" s="193"/>
      <c r="G202" s="103" t="str">
        <f>IF(TblUnitCost[[#This Row],[Currency]]=LCU, TblUnitCost[[#This Row],[Cost]], IF(TblUnitCost[[#This Row],[Currency]]=ACU, TblUnitCost[[#This Row],[Cost]]*FX_Rate, "Check Ref Currency"))</f>
        <v>Check Ref Currency</v>
      </c>
      <c r="H202" s="103">
        <f>TblUnitCost[[#This Row],[Cost]]/1600</f>
        <v>0</v>
      </c>
      <c r="I202" s="96"/>
      <c r="J202" s="96"/>
      <c r="K202" s="98"/>
      <c r="L202" s="96"/>
    </row>
    <row r="203" spans="2:12">
      <c r="B203" s="96"/>
      <c r="C203" s="96"/>
      <c r="D203" s="97"/>
      <c r="E203" s="97"/>
      <c r="F203" s="193"/>
      <c r="G203" s="103" t="str">
        <f>IF(TblUnitCost[[#This Row],[Currency]]=LCU, TblUnitCost[[#This Row],[Cost]], IF(TblUnitCost[[#This Row],[Currency]]=ACU, TblUnitCost[[#This Row],[Cost]]*FX_Rate, "Check Ref Currency"))</f>
        <v>Check Ref Currency</v>
      </c>
      <c r="H203" s="103">
        <f>TblUnitCost[[#This Row],[Cost]]/1600</f>
        <v>0</v>
      </c>
      <c r="I203" s="96"/>
      <c r="J203" s="96"/>
      <c r="K203" s="98"/>
      <c r="L203" s="96"/>
    </row>
    <row r="204" spans="2:12">
      <c r="B204" s="96"/>
      <c r="C204" s="96"/>
      <c r="D204" s="97"/>
      <c r="E204" s="97"/>
      <c r="F204" s="193"/>
      <c r="G204" s="103" t="str">
        <f>IF(TblUnitCost[[#This Row],[Currency]]=LCU, TblUnitCost[[#This Row],[Cost]], IF(TblUnitCost[[#This Row],[Currency]]=ACU, TblUnitCost[[#This Row],[Cost]]*FX_Rate, "Check Ref Currency"))</f>
        <v>Check Ref Currency</v>
      </c>
      <c r="H204" s="103">
        <f>TblUnitCost[[#This Row],[Cost]]/1600</f>
        <v>0</v>
      </c>
      <c r="I204" s="96"/>
      <c r="J204" s="96"/>
      <c r="K204" s="98"/>
      <c r="L204" s="96"/>
    </row>
    <row r="205" spans="2:12">
      <c r="B205" s="96"/>
      <c r="C205" s="96"/>
      <c r="D205" s="97"/>
      <c r="E205" s="97"/>
      <c r="F205" s="193"/>
      <c r="G205" s="103" t="str">
        <f>IF(TblUnitCost[[#This Row],[Currency]]=LCU, TblUnitCost[[#This Row],[Cost]], IF(TblUnitCost[[#This Row],[Currency]]=ACU, TblUnitCost[[#This Row],[Cost]]*FX_Rate, "Check Ref Currency"))</f>
        <v>Check Ref Currency</v>
      </c>
      <c r="H205" s="103">
        <f>TblUnitCost[[#This Row],[Cost]]/1600</f>
        <v>0</v>
      </c>
      <c r="I205" s="96"/>
      <c r="J205" s="96"/>
      <c r="K205" s="98"/>
      <c r="L205" s="96"/>
    </row>
    <row r="206" spans="2:12">
      <c r="B206" s="96"/>
      <c r="C206" s="96"/>
      <c r="D206" s="97"/>
      <c r="E206" s="97"/>
      <c r="F206" s="193"/>
      <c r="G206" s="103" t="str">
        <f>IF(TblUnitCost[[#This Row],[Currency]]=LCU, TblUnitCost[[#This Row],[Cost]], IF(TblUnitCost[[#This Row],[Currency]]=ACU, TblUnitCost[[#This Row],[Cost]]*FX_Rate, "Check Ref Currency"))</f>
        <v>Check Ref Currency</v>
      </c>
      <c r="H206" s="103">
        <f>TblUnitCost[[#This Row],[Cost]]/1600</f>
        <v>0</v>
      </c>
      <c r="I206" s="96"/>
      <c r="J206" s="96"/>
      <c r="K206" s="98"/>
      <c r="L206" s="96"/>
    </row>
    <row r="207" spans="2:12">
      <c r="B207" s="96"/>
      <c r="C207" s="96"/>
      <c r="D207" s="97"/>
      <c r="E207" s="97"/>
      <c r="F207" s="193"/>
      <c r="G207" s="103" t="str">
        <f>IF(TblUnitCost[[#This Row],[Currency]]=LCU, TblUnitCost[[#This Row],[Cost]], IF(TblUnitCost[[#This Row],[Currency]]=ACU, TblUnitCost[[#This Row],[Cost]]*FX_Rate, "Check Ref Currency"))</f>
        <v>Check Ref Currency</v>
      </c>
      <c r="H207" s="103">
        <f>TblUnitCost[[#This Row],[Cost]]/1600</f>
        <v>0</v>
      </c>
      <c r="I207" s="96"/>
      <c r="J207" s="96"/>
      <c r="K207" s="98"/>
      <c r="L207" s="96"/>
    </row>
    <row r="208" spans="2:12">
      <c r="B208" s="96"/>
      <c r="C208" s="96"/>
      <c r="D208" s="97"/>
      <c r="E208" s="97"/>
      <c r="F208" s="193"/>
      <c r="G208" s="103" t="str">
        <f>IF(TblUnitCost[[#This Row],[Currency]]=LCU, TblUnitCost[[#This Row],[Cost]], IF(TblUnitCost[[#This Row],[Currency]]=ACU, TblUnitCost[[#This Row],[Cost]]*FX_Rate, "Check Ref Currency"))</f>
        <v>Check Ref Currency</v>
      </c>
      <c r="H208" s="103">
        <f>TblUnitCost[[#This Row],[Cost]]/1600</f>
        <v>0</v>
      </c>
      <c r="I208" s="96"/>
      <c r="J208" s="96"/>
      <c r="K208" s="98"/>
      <c r="L208" s="96"/>
    </row>
    <row r="209" spans="2:12">
      <c r="B209" s="96"/>
      <c r="C209" s="96"/>
      <c r="D209" s="97"/>
      <c r="E209" s="97"/>
      <c r="F209" s="193"/>
      <c r="G209" s="103" t="str">
        <f>IF(TblUnitCost[[#This Row],[Currency]]=LCU, TblUnitCost[[#This Row],[Cost]], IF(TblUnitCost[[#This Row],[Currency]]=ACU, TblUnitCost[[#This Row],[Cost]]*FX_Rate, "Check Ref Currency"))</f>
        <v>Check Ref Currency</v>
      </c>
      <c r="H209" s="103">
        <f>TblUnitCost[[#This Row],[Cost]]/1600</f>
        <v>0</v>
      </c>
      <c r="I209" s="96"/>
      <c r="J209" s="96"/>
      <c r="K209" s="98"/>
      <c r="L209" s="96"/>
    </row>
    <row r="210" spans="2:12">
      <c r="B210" s="96"/>
      <c r="C210" s="96"/>
      <c r="D210" s="97"/>
      <c r="E210" s="97"/>
      <c r="F210" s="193"/>
      <c r="G210" s="103" t="str">
        <f>IF(TblUnitCost[[#This Row],[Currency]]=LCU, TblUnitCost[[#This Row],[Cost]], IF(TblUnitCost[[#This Row],[Currency]]=ACU, TblUnitCost[[#This Row],[Cost]]*FX_Rate, "Check Ref Currency"))</f>
        <v>Check Ref Currency</v>
      </c>
      <c r="H210" s="103">
        <f>TblUnitCost[[#This Row],[Cost]]/1600</f>
        <v>0</v>
      </c>
      <c r="I210" s="96"/>
      <c r="J210" s="96"/>
      <c r="K210" s="98"/>
      <c r="L210" s="96"/>
    </row>
    <row r="211" spans="2:12">
      <c r="B211" s="96"/>
      <c r="C211" s="96"/>
      <c r="D211" s="97"/>
      <c r="E211" s="97"/>
      <c r="F211" s="193"/>
      <c r="G211" s="103" t="str">
        <f>IF(TblUnitCost[[#This Row],[Currency]]=LCU, TblUnitCost[[#This Row],[Cost]], IF(TblUnitCost[[#This Row],[Currency]]=ACU, TblUnitCost[[#This Row],[Cost]]*FX_Rate, "Check Ref Currency"))</f>
        <v>Check Ref Currency</v>
      </c>
      <c r="H211" s="103">
        <f>TblUnitCost[[#This Row],[Cost]]/1600</f>
        <v>0</v>
      </c>
      <c r="I211" s="96"/>
      <c r="J211" s="96"/>
      <c r="K211" s="98"/>
      <c r="L211" s="96"/>
    </row>
    <row r="212" spans="2:12">
      <c r="B212" s="96"/>
      <c r="C212" s="96"/>
      <c r="D212" s="97"/>
      <c r="E212" s="97"/>
      <c r="F212" s="193"/>
      <c r="G212" s="103" t="str">
        <f>IF(TblUnitCost[[#This Row],[Currency]]=LCU, TblUnitCost[[#This Row],[Cost]], IF(TblUnitCost[[#This Row],[Currency]]=ACU, TblUnitCost[[#This Row],[Cost]]*FX_Rate, "Check Ref Currency"))</f>
        <v>Check Ref Currency</v>
      </c>
      <c r="H212" s="103">
        <f>TblUnitCost[[#This Row],[Cost]]/1600</f>
        <v>0</v>
      </c>
      <c r="I212" s="96"/>
      <c r="J212" s="96"/>
      <c r="K212" s="98"/>
      <c r="L212" s="96"/>
    </row>
    <row r="213" spans="2:12">
      <c r="B213" s="96"/>
      <c r="C213" s="96"/>
      <c r="D213" s="97"/>
      <c r="E213" s="97"/>
      <c r="F213" s="193"/>
      <c r="G213" s="103" t="str">
        <f>IF(TblUnitCost[[#This Row],[Currency]]=LCU, TblUnitCost[[#This Row],[Cost]], IF(TblUnitCost[[#This Row],[Currency]]=ACU, TblUnitCost[[#This Row],[Cost]]*FX_Rate, "Check Ref Currency"))</f>
        <v>Check Ref Currency</v>
      </c>
      <c r="H213" s="103">
        <f>TblUnitCost[[#This Row],[Cost]]/1600</f>
        <v>0</v>
      </c>
      <c r="I213" s="96"/>
      <c r="J213" s="96"/>
      <c r="K213" s="98"/>
      <c r="L213" s="96"/>
    </row>
    <row r="214" spans="2:12">
      <c r="B214" s="96"/>
      <c r="C214" s="96"/>
      <c r="D214" s="97"/>
      <c r="E214" s="97"/>
      <c r="F214" s="193"/>
      <c r="G214" s="103" t="str">
        <f>IF(TblUnitCost[[#This Row],[Currency]]=LCU, TblUnitCost[[#This Row],[Cost]], IF(TblUnitCost[[#This Row],[Currency]]=ACU, TblUnitCost[[#This Row],[Cost]]*FX_Rate, "Check Ref Currency"))</f>
        <v>Check Ref Currency</v>
      </c>
      <c r="H214" s="103">
        <f>TblUnitCost[[#This Row],[Cost]]/1600</f>
        <v>0</v>
      </c>
      <c r="I214" s="96"/>
      <c r="J214" s="96"/>
      <c r="K214" s="98"/>
      <c r="L214" s="96"/>
    </row>
    <row r="215" spans="2:12">
      <c r="B215" s="96"/>
      <c r="C215" s="96"/>
      <c r="D215" s="97"/>
      <c r="E215" s="97"/>
      <c r="F215" s="193"/>
      <c r="G215" s="103" t="str">
        <f>IF(TblUnitCost[[#This Row],[Currency]]=LCU, TblUnitCost[[#This Row],[Cost]], IF(TblUnitCost[[#This Row],[Currency]]=ACU, TblUnitCost[[#This Row],[Cost]]*FX_Rate, "Check Ref Currency"))</f>
        <v>Check Ref Currency</v>
      </c>
      <c r="H215" s="103">
        <f>TblUnitCost[[#This Row],[Cost]]/1600</f>
        <v>0</v>
      </c>
      <c r="I215" s="96"/>
      <c r="J215" s="96"/>
      <c r="K215" s="98"/>
      <c r="L215" s="96"/>
    </row>
    <row r="216" spans="2:12">
      <c r="B216" s="96"/>
      <c r="C216" s="96"/>
      <c r="D216" s="97"/>
      <c r="E216" s="97"/>
      <c r="F216" s="193"/>
      <c r="G216" s="103" t="str">
        <f>IF(TblUnitCost[[#This Row],[Currency]]=LCU, TblUnitCost[[#This Row],[Cost]], IF(TblUnitCost[[#This Row],[Currency]]=ACU, TblUnitCost[[#This Row],[Cost]]*FX_Rate, "Check Ref Currency"))</f>
        <v>Check Ref Currency</v>
      </c>
      <c r="H216" s="103">
        <f>TblUnitCost[[#This Row],[Cost]]/1600</f>
        <v>0</v>
      </c>
      <c r="I216" s="96"/>
      <c r="J216" s="96"/>
      <c r="K216" s="98"/>
      <c r="L216" s="96"/>
    </row>
    <row r="217" spans="2:12">
      <c r="B217" s="96"/>
      <c r="C217" s="96"/>
      <c r="D217" s="97"/>
      <c r="E217" s="97"/>
      <c r="F217" s="193"/>
      <c r="G217" s="103" t="str">
        <f>IF(TblUnitCost[[#This Row],[Currency]]=LCU, TblUnitCost[[#This Row],[Cost]], IF(TblUnitCost[[#This Row],[Currency]]=ACU, TblUnitCost[[#This Row],[Cost]]*FX_Rate, "Check Ref Currency"))</f>
        <v>Check Ref Currency</v>
      </c>
      <c r="H217" s="103">
        <f>TblUnitCost[[#This Row],[Cost]]/1600</f>
        <v>0</v>
      </c>
      <c r="I217" s="96"/>
      <c r="J217" s="96"/>
      <c r="K217" s="98"/>
      <c r="L217" s="96"/>
    </row>
    <row r="218" spans="2:12">
      <c r="B218" s="96"/>
      <c r="C218" s="96"/>
      <c r="D218" s="97"/>
      <c r="E218" s="97"/>
      <c r="F218" s="193"/>
      <c r="G218" s="103" t="str">
        <f>IF(TblUnitCost[[#This Row],[Currency]]=LCU, TblUnitCost[[#This Row],[Cost]], IF(TblUnitCost[[#This Row],[Currency]]=ACU, TblUnitCost[[#This Row],[Cost]]*FX_Rate, "Check Ref Currency"))</f>
        <v>Check Ref Currency</v>
      </c>
      <c r="H218" s="103">
        <f>TblUnitCost[[#This Row],[Cost]]/1600</f>
        <v>0</v>
      </c>
      <c r="I218" s="96"/>
      <c r="J218" s="96"/>
      <c r="K218" s="98"/>
      <c r="L218" s="96"/>
    </row>
    <row r="219" spans="2:12">
      <c r="B219" s="96"/>
      <c r="C219" s="96"/>
      <c r="D219" s="97"/>
      <c r="E219" s="97"/>
      <c r="F219" s="193"/>
      <c r="G219" s="103" t="str">
        <f>IF(TblUnitCost[[#This Row],[Currency]]=LCU, TblUnitCost[[#This Row],[Cost]], IF(TblUnitCost[[#This Row],[Currency]]=ACU, TblUnitCost[[#This Row],[Cost]]*FX_Rate, "Check Ref Currency"))</f>
        <v>Check Ref Currency</v>
      </c>
      <c r="H219" s="103">
        <f>TblUnitCost[[#This Row],[Cost]]/1600</f>
        <v>0</v>
      </c>
      <c r="I219" s="96"/>
      <c r="J219" s="96"/>
      <c r="K219" s="98"/>
      <c r="L219" s="96"/>
    </row>
    <row r="220" spans="2:12">
      <c r="B220" s="96"/>
      <c r="C220" s="96"/>
      <c r="D220" s="97"/>
      <c r="E220" s="97"/>
      <c r="F220" s="193"/>
      <c r="G220" s="103" t="str">
        <f>IF(TblUnitCost[[#This Row],[Currency]]=LCU, TblUnitCost[[#This Row],[Cost]], IF(TblUnitCost[[#This Row],[Currency]]=ACU, TblUnitCost[[#This Row],[Cost]]*FX_Rate, "Check Ref Currency"))</f>
        <v>Check Ref Currency</v>
      </c>
      <c r="H220" s="103">
        <f>TblUnitCost[[#This Row],[Cost]]/1600</f>
        <v>0</v>
      </c>
      <c r="I220" s="96"/>
      <c r="J220" s="96"/>
      <c r="K220" s="98"/>
      <c r="L220" s="96"/>
    </row>
    <row r="221" spans="2:12">
      <c r="B221" s="96"/>
      <c r="C221" s="96"/>
      <c r="D221" s="97"/>
      <c r="E221" s="97"/>
      <c r="F221" s="193"/>
      <c r="G221" s="103" t="str">
        <f>IF(TblUnitCost[[#This Row],[Currency]]=LCU, TblUnitCost[[#This Row],[Cost]], IF(TblUnitCost[[#This Row],[Currency]]=ACU, TblUnitCost[[#This Row],[Cost]]*FX_Rate, "Check Ref Currency"))</f>
        <v>Check Ref Currency</v>
      </c>
      <c r="H221" s="103">
        <f>TblUnitCost[[#This Row],[Cost]]/1600</f>
        <v>0</v>
      </c>
      <c r="I221" s="96"/>
      <c r="J221" s="96"/>
      <c r="K221" s="98"/>
      <c r="L221" s="96"/>
    </row>
    <row r="222" spans="2:12">
      <c r="B222" s="96"/>
      <c r="C222" s="96"/>
      <c r="D222" s="97"/>
      <c r="E222" s="97"/>
      <c r="F222" s="193"/>
      <c r="G222" s="103" t="str">
        <f>IF(TblUnitCost[[#This Row],[Currency]]=LCU, TblUnitCost[[#This Row],[Cost]], IF(TblUnitCost[[#This Row],[Currency]]=ACU, TblUnitCost[[#This Row],[Cost]]*FX_Rate, "Check Ref Currency"))</f>
        <v>Check Ref Currency</v>
      </c>
      <c r="H222" s="103">
        <f>TblUnitCost[[#This Row],[Cost]]/1600</f>
        <v>0</v>
      </c>
      <c r="I222" s="96"/>
      <c r="J222" s="96"/>
      <c r="K222" s="98"/>
      <c r="L222" s="96"/>
    </row>
    <row r="223" spans="2:12">
      <c r="B223" s="96"/>
      <c r="C223" s="96"/>
      <c r="D223" s="97"/>
      <c r="E223" s="97"/>
      <c r="F223" s="193"/>
      <c r="G223" s="103" t="str">
        <f>IF(TblUnitCost[[#This Row],[Currency]]=LCU, TblUnitCost[[#This Row],[Cost]], IF(TblUnitCost[[#This Row],[Currency]]=ACU, TblUnitCost[[#This Row],[Cost]]*FX_Rate, "Check Ref Currency"))</f>
        <v>Check Ref Currency</v>
      </c>
      <c r="H223" s="103">
        <f>TblUnitCost[[#This Row],[Cost]]/1600</f>
        <v>0</v>
      </c>
      <c r="I223" s="96"/>
      <c r="J223" s="96"/>
      <c r="K223" s="98"/>
      <c r="L223" s="96"/>
    </row>
    <row r="224" spans="2:12">
      <c r="B224" s="96"/>
      <c r="C224" s="96"/>
      <c r="D224" s="97"/>
      <c r="E224" s="97"/>
      <c r="F224" s="193"/>
      <c r="G224" s="103" t="str">
        <f>IF(TblUnitCost[[#This Row],[Currency]]=LCU, TblUnitCost[[#This Row],[Cost]], IF(TblUnitCost[[#This Row],[Currency]]=ACU, TblUnitCost[[#This Row],[Cost]]*FX_Rate, "Check Ref Currency"))</f>
        <v>Check Ref Currency</v>
      </c>
      <c r="H224" s="103">
        <f>TblUnitCost[[#This Row],[Cost]]/1600</f>
        <v>0</v>
      </c>
      <c r="I224" s="96"/>
      <c r="J224" s="96"/>
      <c r="K224" s="98"/>
      <c r="L224" s="96"/>
    </row>
    <row r="225" spans="2:12">
      <c r="B225" s="96"/>
      <c r="C225" s="96"/>
      <c r="D225" s="97"/>
      <c r="E225" s="97"/>
      <c r="F225" s="193"/>
      <c r="G225" s="103" t="str">
        <f>IF(TblUnitCost[[#This Row],[Currency]]=LCU, TblUnitCost[[#This Row],[Cost]], IF(TblUnitCost[[#This Row],[Currency]]=ACU, TblUnitCost[[#This Row],[Cost]]*FX_Rate, "Check Ref Currency"))</f>
        <v>Check Ref Currency</v>
      </c>
      <c r="H225" s="103">
        <f>TblUnitCost[[#This Row],[Cost]]/1600</f>
        <v>0</v>
      </c>
      <c r="I225" s="96"/>
      <c r="J225" s="96"/>
      <c r="K225" s="98"/>
      <c r="L225" s="96"/>
    </row>
    <row r="226" spans="2:12">
      <c r="B226" s="96"/>
      <c r="C226" s="96"/>
      <c r="D226" s="97"/>
      <c r="E226" s="97"/>
      <c r="F226" s="193"/>
      <c r="G226" s="103" t="str">
        <f>IF(TblUnitCost[[#This Row],[Currency]]=LCU, TblUnitCost[[#This Row],[Cost]], IF(TblUnitCost[[#This Row],[Currency]]=ACU, TblUnitCost[[#This Row],[Cost]]*FX_Rate, "Check Ref Currency"))</f>
        <v>Check Ref Currency</v>
      </c>
      <c r="H226" s="103">
        <f>TblUnitCost[[#This Row],[Cost]]/1600</f>
        <v>0</v>
      </c>
      <c r="I226" s="96"/>
      <c r="J226" s="96"/>
      <c r="K226" s="98"/>
      <c r="L226" s="96"/>
    </row>
    <row r="227" spans="2:12">
      <c r="B227" s="96"/>
      <c r="C227" s="96"/>
      <c r="D227" s="97"/>
      <c r="E227" s="97"/>
      <c r="F227" s="193"/>
      <c r="G227" s="103" t="str">
        <f>IF(TblUnitCost[[#This Row],[Currency]]=LCU, TblUnitCost[[#This Row],[Cost]], IF(TblUnitCost[[#This Row],[Currency]]=ACU, TblUnitCost[[#This Row],[Cost]]*FX_Rate, "Check Ref Currency"))</f>
        <v>Check Ref Currency</v>
      </c>
      <c r="H227" s="103">
        <f>TblUnitCost[[#This Row],[Cost]]/1600</f>
        <v>0</v>
      </c>
      <c r="I227" s="96"/>
      <c r="J227" s="96"/>
      <c r="K227" s="98"/>
      <c r="L227" s="96"/>
    </row>
    <row r="228" spans="2:12">
      <c r="B228" s="96"/>
      <c r="C228" s="96"/>
      <c r="D228" s="97"/>
      <c r="E228" s="97"/>
      <c r="F228" s="193"/>
      <c r="G228" s="103" t="str">
        <f>IF(TblUnitCost[[#This Row],[Currency]]=LCU, TblUnitCost[[#This Row],[Cost]], IF(TblUnitCost[[#This Row],[Currency]]=ACU, TblUnitCost[[#This Row],[Cost]]*FX_Rate, "Check Ref Currency"))</f>
        <v>Check Ref Currency</v>
      </c>
      <c r="H228" s="103">
        <f>TblUnitCost[[#This Row],[Cost]]/1600</f>
        <v>0</v>
      </c>
      <c r="I228" s="96"/>
      <c r="J228" s="96"/>
      <c r="K228" s="98"/>
      <c r="L228" s="96"/>
    </row>
    <row r="229" spans="2:12">
      <c r="B229" s="96"/>
      <c r="C229" s="96"/>
      <c r="D229" s="97"/>
      <c r="E229" s="97"/>
      <c r="F229" s="193"/>
      <c r="G229" s="103" t="str">
        <f>IF(TblUnitCost[[#This Row],[Currency]]=LCU, TblUnitCost[[#This Row],[Cost]], IF(TblUnitCost[[#This Row],[Currency]]=ACU, TblUnitCost[[#This Row],[Cost]]*FX_Rate, "Check Ref Currency"))</f>
        <v>Check Ref Currency</v>
      </c>
      <c r="H229" s="103">
        <f>TblUnitCost[[#This Row],[Cost]]/1600</f>
        <v>0</v>
      </c>
      <c r="I229" s="96"/>
      <c r="J229" s="96"/>
      <c r="K229" s="98"/>
      <c r="L229" s="96"/>
    </row>
    <row r="230" spans="2:12">
      <c r="B230" s="96"/>
      <c r="C230" s="96"/>
      <c r="D230" s="97"/>
      <c r="E230" s="97"/>
      <c r="F230" s="193"/>
      <c r="G230" s="103" t="str">
        <f>IF(TblUnitCost[[#This Row],[Currency]]=LCU, TblUnitCost[[#This Row],[Cost]], IF(TblUnitCost[[#This Row],[Currency]]=ACU, TblUnitCost[[#This Row],[Cost]]*FX_Rate, "Check Ref Currency"))</f>
        <v>Check Ref Currency</v>
      </c>
      <c r="H230" s="103">
        <f>TblUnitCost[[#This Row],[Cost]]/1600</f>
        <v>0</v>
      </c>
      <c r="I230" s="96"/>
      <c r="J230" s="96"/>
      <c r="K230" s="98"/>
      <c r="L230" s="96"/>
    </row>
    <row r="231" spans="2:12">
      <c r="B231" s="96"/>
      <c r="C231" s="96"/>
      <c r="D231" s="97"/>
      <c r="E231" s="97"/>
      <c r="F231" s="193"/>
      <c r="G231" s="103" t="str">
        <f>IF(TblUnitCost[[#This Row],[Currency]]=LCU, TblUnitCost[[#This Row],[Cost]], IF(TblUnitCost[[#This Row],[Currency]]=ACU, TblUnitCost[[#This Row],[Cost]]*FX_Rate, "Check Ref Currency"))</f>
        <v>Check Ref Currency</v>
      </c>
      <c r="H231" s="103">
        <f>TblUnitCost[[#This Row],[Cost]]/1600</f>
        <v>0</v>
      </c>
      <c r="I231" s="96"/>
      <c r="J231" s="96"/>
      <c r="K231" s="98"/>
      <c r="L231" s="96"/>
    </row>
    <row r="232" spans="2:12">
      <c r="B232" s="96"/>
      <c r="C232" s="96"/>
      <c r="D232" s="97"/>
      <c r="E232" s="97"/>
      <c r="F232" s="193"/>
      <c r="G232" s="103" t="str">
        <f>IF(TblUnitCost[[#This Row],[Currency]]=LCU, TblUnitCost[[#This Row],[Cost]], IF(TblUnitCost[[#This Row],[Currency]]=ACU, TblUnitCost[[#This Row],[Cost]]*FX_Rate, "Check Ref Currency"))</f>
        <v>Check Ref Currency</v>
      </c>
      <c r="H232" s="103">
        <f>TblUnitCost[[#This Row],[Cost]]/1600</f>
        <v>0</v>
      </c>
      <c r="I232" s="96"/>
      <c r="J232" s="96"/>
      <c r="K232" s="98"/>
      <c r="L232" s="96"/>
    </row>
    <row r="233" spans="2:12">
      <c r="B233" s="96"/>
      <c r="C233" s="96"/>
      <c r="D233" s="97"/>
      <c r="E233" s="97"/>
      <c r="F233" s="193"/>
      <c r="G233" s="103" t="str">
        <f>IF(TblUnitCost[[#This Row],[Currency]]=LCU, TblUnitCost[[#This Row],[Cost]], IF(TblUnitCost[[#This Row],[Currency]]=ACU, TblUnitCost[[#This Row],[Cost]]*FX_Rate, "Check Ref Currency"))</f>
        <v>Check Ref Currency</v>
      </c>
      <c r="H233" s="103">
        <f>TblUnitCost[[#This Row],[Cost]]/1600</f>
        <v>0</v>
      </c>
      <c r="I233" s="96"/>
      <c r="J233" s="96"/>
      <c r="K233" s="98"/>
      <c r="L233" s="96"/>
    </row>
    <row r="234" spans="2:12">
      <c r="B234" s="96"/>
      <c r="C234" s="96"/>
      <c r="D234" s="97"/>
      <c r="E234" s="97"/>
      <c r="F234" s="193"/>
      <c r="G234" s="103" t="str">
        <f>IF(TblUnitCost[[#This Row],[Currency]]=LCU, TblUnitCost[[#This Row],[Cost]], IF(TblUnitCost[[#This Row],[Currency]]=ACU, TblUnitCost[[#This Row],[Cost]]*FX_Rate, "Check Ref Currency"))</f>
        <v>Check Ref Currency</v>
      </c>
      <c r="H234" s="103">
        <f>TblUnitCost[[#This Row],[Cost]]/1600</f>
        <v>0</v>
      </c>
      <c r="I234" s="96"/>
      <c r="J234" s="96"/>
      <c r="K234" s="98"/>
      <c r="L234" s="96"/>
    </row>
    <row r="235" spans="2:12">
      <c r="B235" s="96"/>
      <c r="C235" s="96"/>
      <c r="D235" s="97"/>
      <c r="E235" s="97"/>
      <c r="F235" s="193"/>
      <c r="G235" s="103" t="str">
        <f>IF(TblUnitCost[[#This Row],[Currency]]=LCU, TblUnitCost[[#This Row],[Cost]], IF(TblUnitCost[[#This Row],[Currency]]=ACU, TblUnitCost[[#This Row],[Cost]]*FX_Rate, "Check Ref Currency"))</f>
        <v>Check Ref Currency</v>
      </c>
      <c r="H235" s="103">
        <f>TblUnitCost[[#This Row],[Cost]]/1600</f>
        <v>0</v>
      </c>
      <c r="I235" s="96"/>
      <c r="J235" s="96"/>
      <c r="K235" s="98"/>
      <c r="L235" s="96"/>
    </row>
    <row r="236" spans="2:12">
      <c r="B236" s="96"/>
      <c r="C236" s="96"/>
      <c r="D236" s="97"/>
      <c r="E236" s="97"/>
      <c r="F236" s="193"/>
      <c r="G236" s="103" t="str">
        <f>IF(TblUnitCost[[#This Row],[Currency]]=LCU, TblUnitCost[[#This Row],[Cost]], IF(TblUnitCost[[#This Row],[Currency]]=ACU, TblUnitCost[[#This Row],[Cost]]*FX_Rate, "Check Ref Currency"))</f>
        <v>Check Ref Currency</v>
      </c>
      <c r="H236" s="103">
        <f>TblUnitCost[[#This Row],[Cost]]/1600</f>
        <v>0</v>
      </c>
      <c r="I236" s="96"/>
      <c r="J236" s="96"/>
      <c r="K236" s="98"/>
      <c r="L236" s="96"/>
    </row>
    <row r="237" spans="2:12">
      <c r="B237" s="96"/>
      <c r="C237" s="96"/>
      <c r="D237" s="97"/>
      <c r="E237" s="97"/>
      <c r="F237" s="193"/>
      <c r="G237" s="103" t="str">
        <f>IF(TblUnitCost[[#This Row],[Currency]]=LCU, TblUnitCost[[#This Row],[Cost]], IF(TblUnitCost[[#This Row],[Currency]]=ACU, TblUnitCost[[#This Row],[Cost]]*FX_Rate, "Check Ref Currency"))</f>
        <v>Check Ref Currency</v>
      </c>
      <c r="H237" s="103">
        <f>TblUnitCost[[#This Row],[Cost]]/1600</f>
        <v>0</v>
      </c>
      <c r="I237" s="96"/>
      <c r="J237" s="96"/>
      <c r="K237" s="98"/>
      <c r="L237" s="96"/>
    </row>
    <row r="238" spans="2:12">
      <c r="B238" s="96"/>
      <c r="C238" s="96"/>
      <c r="D238" s="97"/>
      <c r="E238" s="97"/>
      <c r="F238" s="193"/>
      <c r="G238" s="103" t="str">
        <f>IF(TblUnitCost[[#This Row],[Currency]]=LCU, TblUnitCost[[#This Row],[Cost]], IF(TblUnitCost[[#This Row],[Currency]]=ACU, TblUnitCost[[#This Row],[Cost]]*FX_Rate, "Check Ref Currency"))</f>
        <v>Check Ref Currency</v>
      </c>
      <c r="H238" s="103">
        <f>TblUnitCost[[#This Row],[Cost]]/1600</f>
        <v>0</v>
      </c>
      <c r="I238" s="96"/>
      <c r="J238" s="96"/>
      <c r="K238" s="98"/>
      <c r="L238" s="96"/>
    </row>
    <row r="239" spans="2:12">
      <c r="B239" s="96"/>
      <c r="C239" s="96"/>
      <c r="D239" s="97"/>
      <c r="E239" s="97"/>
      <c r="F239" s="193"/>
      <c r="G239" s="103" t="str">
        <f>IF(TblUnitCost[[#This Row],[Currency]]=LCU, TblUnitCost[[#This Row],[Cost]], IF(TblUnitCost[[#This Row],[Currency]]=ACU, TblUnitCost[[#This Row],[Cost]]*FX_Rate, "Check Ref Currency"))</f>
        <v>Check Ref Currency</v>
      </c>
      <c r="H239" s="103">
        <f>TblUnitCost[[#This Row],[Cost]]/1600</f>
        <v>0</v>
      </c>
      <c r="I239" s="96"/>
      <c r="J239" s="96"/>
      <c r="K239" s="98"/>
      <c r="L239" s="96"/>
    </row>
    <row r="240" spans="2:12">
      <c r="B240" s="96"/>
      <c r="C240" s="96"/>
      <c r="D240" s="97"/>
      <c r="E240" s="97"/>
      <c r="F240" s="193"/>
      <c r="G240" s="103" t="str">
        <f>IF(TblUnitCost[[#This Row],[Currency]]=LCU, TblUnitCost[[#This Row],[Cost]], IF(TblUnitCost[[#This Row],[Currency]]=ACU, TblUnitCost[[#This Row],[Cost]]*FX_Rate, "Check Ref Currency"))</f>
        <v>Check Ref Currency</v>
      </c>
      <c r="H240" s="103">
        <f>TblUnitCost[[#This Row],[Cost]]/1600</f>
        <v>0</v>
      </c>
      <c r="I240" s="96"/>
      <c r="J240" s="96"/>
      <c r="K240" s="98"/>
      <c r="L240" s="96"/>
    </row>
    <row r="241" spans="2:12">
      <c r="B241" s="96"/>
      <c r="C241" s="96"/>
      <c r="D241" s="97"/>
      <c r="E241" s="97"/>
      <c r="F241" s="193"/>
      <c r="G241" s="103" t="str">
        <f>IF(TblUnitCost[[#This Row],[Currency]]=LCU, TblUnitCost[[#This Row],[Cost]], IF(TblUnitCost[[#This Row],[Currency]]=ACU, TblUnitCost[[#This Row],[Cost]]*FX_Rate, "Check Ref Currency"))</f>
        <v>Check Ref Currency</v>
      </c>
      <c r="H241" s="103">
        <f>TblUnitCost[[#This Row],[Cost]]/1600</f>
        <v>0</v>
      </c>
      <c r="I241" s="96"/>
      <c r="J241" s="96"/>
      <c r="K241" s="98"/>
      <c r="L241" s="96"/>
    </row>
    <row r="242" spans="2:12">
      <c r="B242" s="96"/>
      <c r="C242" s="96"/>
      <c r="D242" s="97"/>
      <c r="E242" s="97"/>
      <c r="F242" s="193"/>
      <c r="G242" s="103" t="str">
        <f>IF(TblUnitCost[[#This Row],[Currency]]=LCU, TblUnitCost[[#This Row],[Cost]], IF(TblUnitCost[[#This Row],[Currency]]=ACU, TblUnitCost[[#This Row],[Cost]]*FX_Rate, "Check Ref Currency"))</f>
        <v>Check Ref Currency</v>
      </c>
      <c r="H242" s="103">
        <f>TblUnitCost[[#This Row],[Cost]]/1600</f>
        <v>0</v>
      </c>
      <c r="I242" s="96"/>
      <c r="J242" s="96"/>
      <c r="K242" s="98"/>
      <c r="L242" s="96"/>
    </row>
    <row r="243" spans="2:12">
      <c r="B243" s="96"/>
      <c r="C243" s="96"/>
      <c r="D243" s="97"/>
      <c r="E243" s="97"/>
      <c r="F243" s="193"/>
      <c r="G243" s="103" t="str">
        <f>IF(TblUnitCost[[#This Row],[Currency]]=LCU, TblUnitCost[[#This Row],[Cost]], IF(TblUnitCost[[#This Row],[Currency]]=ACU, TblUnitCost[[#This Row],[Cost]]*FX_Rate, "Check Ref Currency"))</f>
        <v>Check Ref Currency</v>
      </c>
      <c r="H243" s="103">
        <f>TblUnitCost[[#This Row],[Cost]]/1600</f>
        <v>0</v>
      </c>
      <c r="I243" s="96"/>
      <c r="J243" s="96"/>
      <c r="K243" s="98"/>
      <c r="L243" s="96"/>
    </row>
    <row r="244" spans="2:12">
      <c r="B244" s="96"/>
      <c r="C244" s="96"/>
      <c r="D244" s="97"/>
      <c r="E244" s="97"/>
      <c r="F244" s="193"/>
      <c r="G244" s="103" t="str">
        <f>IF(TblUnitCost[[#This Row],[Currency]]=LCU, TblUnitCost[[#This Row],[Cost]], IF(TblUnitCost[[#This Row],[Currency]]=ACU, TblUnitCost[[#This Row],[Cost]]*FX_Rate, "Check Ref Currency"))</f>
        <v>Check Ref Currency</v>
      </c>
      <c r="H244" s="103">
        <f>TblUnitCost[[#This Row],[Cost]]/1600</f>
        <v>0</v>
      </c>
      <c r="I244" s="96"/>
      <c r="J244" s="96"/>
      <c r="K244" s="98"/>
      <c r="L244" s="96"/>
    </row>
    <row r="245" spans="2:12">
      <c r="B245" s="96"/>
      <c r="C245" s="96"/>
      <c r="D245" s="97"/>
      <c r="E245" s="97"/>
      <c r="F245" s="193"/>
      <c r="G245" s="103" t="str">
        <f>IF(TblUnitCost[[#This Row],[Currency]]=LCU, TblUnitCost[[#This Row],[Cost]], IF(TblUnitCost[[#This Row],[Currency]]=ACU, TblUnitCost[[#This Row],[Cost]]*FX_Rate, "Check Ref Currency"))</f>
        <v>Check Ref Currency</v>
      </c>
      <c r="H245" s="103">
        <f>TblUnitCost[[#This Row],[Cost]]/1600</f>
        <v>0</v>
      </c>
      <c r="I245" s="96"/>
      <c r="J245" s="96"/>
      <c r="K245" s="98"/>
      <c r="L245" s="96"/>
    </row>
    <row r="246" spans="2:12">
      <c r="B246" s="96"/>
      <c r="C246" s="96"/>
      <c r="D246" s="97"/>
      <c r="E246" s="97"/>
      <c r="F246" s="193"/>
      <c r="G246" s="103" t="str">
        <f>IF(TblUnitCost[[#This Row],[Currency]]=LCU, TblUnitCost[[#This Row],[Cost]], IF(TblUnitCost[[#This Row],[Currency]]=ACU, TblUnitCost[[#This Row],[Cost]]*FX_Rate, "Check Ref Currency"))</f>
        <v>Check Ref Currency</v>
      </c>
      <c r="H246" s="103">
        <f>TblUnitCost[[#This Row],[Cost]]/1600</f>
        <v>0</v>
      </c>
      <c r="I246" s="96"/>
      <c r="J246" s="96"/>
      <c r="K246" s="98"/>
      <c r="L246" s="96"/>
    </row>
    <row r="247" spans="2:12">
      <c r="B247" s="96"/>
      <c r="C247" s="96"/>
      <c r="D247" s="97"/>
      <c r="E247" s="97"/>
      <c r="F247" s="193"/>
      <c r="G247" s="103" t="str">
        <f>IF(TblUnitCost[[#This Row],[Currency]]=LCU, TblUnitCost[[#This Row],[Cost]], IF(TblUnitCost[[#This Row],[Currency]]=ACU, TblUnitCost[[#This Row],[Cost]]*FX_Rate, "Check Ref Currency"))</f>
        <v>Check Ref Currency</v>
      </c>
      <c r="H247" s="103">
        <f>TblUnitCost[[#This Row],[Cost]]/1600</f>
        <v>0</v>
      </c>
      <c r="I247" s="96"/>
      <c r="J247" s="96"/>
      <c r="K247" s="98"/>
      <c r="L247" s="96"/>
    </row>
    <row r="248" spans="2:12">
      <c r="B248" s="96"/>
      <c r="C248" s="96"/>
      <c r="D248" s="97"/>
      <c r="E248" s="97"/>
      <c r="F248" s="193"/>
      <c r="G248" s="103" t="str">
        <f>IF(TblUnitCost[[#This Row],[Currency]]=LCU, TblUnitCost[[#This Row],[Cost]], IF(TblUnitCost[[#This Row],[Currency]]=ACU, TblUnitCost[[#This Row],[Cost]]*FX_Rate, "Check Ref Currency"))</f>
        <v>Check Ref Currency</v>
      </c>
      <c r="H248" s="103">
        <f>TblUnitCost[[#This Row],[Cost]]/1600</f>
        <v>0</v>
      </c>
      <c r="I248" s="96"/>
      <c r="J248" s="96"/>
      <c r="K248" s="98"/>
      <c r="L248" s="96"/>
    </row>
    <row r="249" spans="2:12">
      <c r="B249" s="96"/>
      <c r="C249" s="96"/>
      <c r="D249" s="97"/>
      <c r="E249" s="97"/>
      <c r="F249" s="193"/>
      <c r="G249" s="103" t="str">
        <f>IF(TblUnitCost[[#This Row],[Currency]]=LCU, TblUnitCost[[#This Row],[Cost]], IF(TblUnitCost[[#This Row],[Currency]]=ACU, TblUnitCost[[#This Row],[Cost]]*FX_Rate, "Check Ref Currency"))</f>
        <v>Check Ref Currency</v>
      </c>
      <c r="H249" s="103">
        <f>TblUnitCost[[#This Row],[Cost]]/1600</f>
        <v>0</v>
      </c>
      <c r="I249" s="96"/>
      <c r="J249" s="96"/>
      <c r="K249" s="98"/>
      <c r="L249" s="96"/>
    </row>
    <row r="250" spans="2:12">
      <c r="B250" s="96"/>
      <c r="C250" s="96"/>
      <c r="D250" s="97"/>
      <c r="E250" s="97"/>
      <c r="F250" s="193"/>
      <c r="G250" s="103" t="str">
        <f>IF(TblUnitCost[[#This Row],[Currency]]=LCU, TblUnitCost[[#This Row],[Cost]], IF(TblUnitCost[[#This Row],[Currency]]=ACU, TblUnitCost[[#This Row],[Cost]]*FX_Rate, "Check Ref Currency"))</f>
        <v>Check Ref Currency</v>
      </c>
      <c r="H250" s="103">
        <f>TblUnitCost[[#This Row],[Cost]]/1600</f>
        <v>0</v>
      </c>
      <c r="I250" s="96"/>
      <c r="J250" s="96"/>
      <c r="K250" s="98"/>
      <c r="L250" s="96"/>
    </row>
    <row r="251" spans="2:12">
      <c r="B251" s="96"/>
      <c r="C251" s="96"/>
      <c r="D251" s="97"/>
      <c r="E251" s="97"/>
      <c r="F251" s="193"/>
      <c r="G251" s="103" t="str">
        <f>IF(TblUnitCost[[#This Row],[Currency]]=LCU, TblUnitCost[[#This Row],[Cost]], IF(TblUnitCost[[#This Row],[Currency]]=ACU, TblUnitCost[[#This Row],[Cost]]*FX_Rate, "Check Ref Currency"))</f>
        <v>Check Ref Currency</v>
      </c>
      <c r="H251" s="103">
        <f>TblUnitCost[[#This Row],[Cost]]/1600</f>
        <v>0</v>
      </c>
      <c r="I251" s="96"/>
      <c r="J251" s="96"/>
      <c r="K251" s="98"/>
      <c r="L251" s="96"/>
    </row>
    <row r="252" spans="2:12">
      <c r="B252" s="96"/>
      <c r="C252" s="96"/>
      <c r="D252" s="97"/>
      <c r="E252" s="97"/>
      <c r="F252" s="193"/>
      <c r="G252" s="103" t="str">
        <f>IF(TblUnitCost[[#This Row],[Currency]]=LCU, TblUnitCost[[#This Row],[Cost]], IF(TblUnitCost[[#This Row],[Currency]]=ACU, TblUnitCost[[#This Row],[Cost]]*FX_Rate, "Check Ref Currency"))</f>
        <v>Check Ref Currency</v>
      </c>
      <c r="H252" s="103">
        <f>TblUnitCost[[#This Row],[Cost]]/1600</f>
        <v>0</v>
      </c>
      <c r="I252" s="96"/>
      <c r="J252" s="96"/>
      <c r="K252" s="98"/>
      <c r="L252" s="96"/>
    </row>
    <row r="253" spans="2:12">
      <c r="B253" s="96"/>
      <c r="C253" s="96"/>
      <c r="D253" s="97"/>
      <c r="E253" s="97"/>
      <c r="F253" s="193"/>
      <c r="G253" s="103" t="str">
        <f>IF(TblUnitCost[[#This Row],[Currency]]=LCU, TblUnitCost[[#This Row],[Cost]], IF(TblUnitCost[[#This Row],[Currency]]=ACU, TblUnitCost[[#This Row],[Cost]]*FX_Rate, "Check Ref Currency"))</f>
        <v>Check Ref Currency</v>
      </c>
      <c r="H253" s="103">
        <f>TblUnitCost[[#This Row],[Cost]]/1600</f>
        <v>0</v>
      </c>
      <c r="I253" s="96"/>
      <c r="J253" s="96"/>
      <c r="K253" s="98"/>
      <c r="L253" s="96"/>
    </row>
    <row r="254" spans="2:12">
      <c r="B254" s="96"/>
      <c r="C254" s="96"/>
      <c r="D254" s="97"/>
      <c r="E254" s="97"/>
      <c r="F254" s="193"/>
      <c r="G254" s="103" t="str">
        <f>IF(TblUnitCost[[#This Row],[Currency]]=LCU, TblUnitCost[[#This Row],[Cost]], IF(TblUnitCost[[#This Row],[Currency]]=ACU, TblUnitCost[[#This Row],[Cost]]*FX_Rate, "Check Ref Currency"))</f>
        <v>Check Ref Currency</v>
      </c>
      <c r="H254" s="103">
        <f>TblUnitCost[[#This Row],[Cost]]/1600</f>
        <v>0</v>
      </c>
      <c r="I254" s="96"/>
      <c r="J254" s="96"/>
      <c r="K254" s="98"/>
      <c r="L254" s="96"/>
    </row>
    <row r="255" spans="2:12">
      <c r="B255" s="96"/>
      <c r="C255" s="96"/>
      <c r="D255" s="97"/>
      <c r="E255" s="97"/>
      <c r="F255" s="193"/>
      <c r="G255" s="103" t="str">
        <f>IF(TblUnitCost[[#This Row],[Currency]]=LCU, TblUnitCost[[#This Row],[Cost]], IF(TblUnitCost[[#This Row],[Currency]]=ACU, TblUnitCost[[#This Row],[Cost]]*FX_Rate, "Check Ref Currency"))</f>
        <v>Check Ref Currency</v>
      </c>
      <c r="H255" s="103">
        <f>TblUnitCost[[#This Row],[Cost]]/1600</f>
        <v>0</v>
      </c>
      <c r="I255" s="96"/>
      <c r="J255" s="96"/>
      <c r="K255" s="98"/>
      <c r="L255" s="96"/>
    </row>
    <row r="256" spans="2:12">
      <c r="B256" s="96"/>
      <c r="C256" s="96"/>
      <c r="D256" s="97"/>
      <c r="E256" s="97"/>
      <c r="F256" s="193"/>
      <c r="G256" s="103" t="str">
        <f>IF(TblUnitCost[[#This Row],[Currency]]=LCU, TblUnitCost[[#This Row],[Cost]], IF(TblUnitCost[[#This Row],[Currency]]=ACU, TblUnitCost[[#This Row],[Cost]]*FX_Rate, "Check Ref Currency"))</f>
        <v>Check Ref Currency</v>
      </c>
      <c r="H256" s="103">
        <f>TblUnitCost[[#This Row],[Cost]]/1600</f>
        <v>0</v>
      </c>
      <c r="I256" s="96"/>
      <c r="J256" s="96"/>
      <c r="K256" s="98"/>
      <c r="L256" s="96"/>
    </row>
    <row r="257" spans="2:12">
      <c r="B257" s="96"/>
      <c r="C257" s="96"/>
      <c r="D257" s="97"/>
      <c r="E257" s="97"/>
      <c r="F257" s="193"/>
      <c r="G257" s="103" t="str">
        <f>IF(TblUnitCost[[#This Row],[Currency]]=LCU, TblUnitCost[[#This Row],[Cost]], IF(TblUnitCost[[#This Row],[Currency]]=ACU, TblUnitCost[[#This Row],[Cost]]*FX_Rate, "Check Ref Currency"))</f>
        <v>Check Ref Currency</v>
      </c>
      <c r="H257" s="103">
        <f>TblUnitCost[[#This Row],[Cost]]/1600</f>
        <v>0</v>
      </c>
      <c r="I257" s="96"/>
      <c r="J257" s="96"/>
      <c r="K257" s="98"/>
      <c r="L257" s="96"/>
    </row>
    <row r="258" spans="2:12">
      <c r="B258" s="96"/>
      <c r="C258" s="96"/>
      <c r="D258" s="97"/>
      <c r="E258" s="97"/>
      <c r="F258" s="193"/>
      <c r="G258" s="103" t="str">
        <f>IF(TblUnitCost[[#This Row],[Currency]]=LCU, TblUnitCost[[#This Row],[Cost]], IF(TblUnitCost[[#This Row],[Currency]]=ACU, TblUnitCost[[#This Row],[Cost]]*FX_Rate, "Check Ref Currency"))</f>
        <v>Check Ref Currency</v>
      </c>
      <c r="H258" s="103">
        <f>TblUnitCost[[#This Row],[Cost]]/1600</f>
        <v>0</v>
      </c>
      <c r="I258" s="96"/>
      <c r="J258" s="96"/>
      <c r="K258" s="98"/>
      <c r="L258" s="96"/>
    </row>
    <row r="259" spans="2:12">
      <c r="B259" s="96"/>
      <c r="C259" s="96"/>
      <c r="D259" s="97"/>
      <c r="E259" s="97"/>
      <c r="F259" s="193"/>
      <c r="G259" s="103" t="str">
        <f>IF(TblUnitCost[[#This Row],[Currency]]=LCU, TblUnitCost[[#This Row],[Cost]], IF(TblUnitCost[[#This Row],[Currency]]=ACU, TblUnitCost[[#This Row],[Cost]]*FX_Rate, "Check Ref Currency"))</f>
        <v>Check Ref Currency</v>
      </c>
      <c r="H259" s="103">
        <f>TblUnitCost[[#This Row],[Cost]]/1600</f>
        <v>0</v>
      </c>
      <c r="I259" s="96"/>
      <c r="J259" s="96"/>
      <c r="K259" s="98"/>
      <c r="L259" s="96"/>
    </row>
    <row r="260" spans="2:12">
      <c r="B260" s="96"/>
      <c r="C260" s="96"/>
      <c r="D260" s="97"/>
      <c r="E260" s="97"/>
      <c r="F260" s="193"/>
      <c r="G260" s="103" t="str">
        <f>IF(TblUnitCost[[#This Row],[Currency]]=LCU, TblUnitCost[[#This Row],[Cost]], IF(TblUnitCost[[#This Row],[Currency]]=ACU, TblUnitCost[[#This Row],[Cost]]*FX_Rate, "Check Ref Currency"))</f>
        <v>Check Ref Currency</v>
      </c>
      <c r="H260" s="103">
        <f>TblUnitCost[[#This Row],[Cost]]/1600</f>
        <v>0</v>
      </c>
      <c r="I260" s="96"/>
      <c r="J260" s="96"/>
      <c r="K260" s="98"/>
      <c r="L260" s="96"/>
    </row>
    <row r="261" spans="2:12">
      <c r="B261" s="96"/>
      <c r="C261" s="96"/>
      <c r="D261" s="97"/>
      <c r="E261" s="97"/>
      <c r="F261" s="193"/>
      <c r="G261" s="103" t="str">
        <f>IF(TblUnitCost[[#This Row],[Currency]]=LCU, TblUnitCost[[#This Row],[Cost]], IF(TblUnitCost[[#This Row],[Currency]]=ACU, TblUnitCost[[#This Row],[Cost]]*FX_Rate, "Check Ref Currency"))</f>
        <v>Check Ref Currency</v>
      </c>
      <c r="H261" s="103">
        <f>TblUnitCost[[#This Row],[Cost]]/1600</f>
        <v>0</v>
      </c>
      <c r="I261" s="96"/>
      <c r="J261" s="96"/>
      <c r="K261" s="98"/>
      <c r="L261" s="96"/>
    </row>
    <row r="262" spans="2:12">
      <c r="B262" s="96"/>
      <c r="C262" s="96"/>
      <c r="D262" s="97"/>
      <c r="E262" s="97"/>
      <c r="F262" s="193"/>
      <c r="G262" s="103" t="str">
        <f>IF(TblUnitCost[[#This Row],[Currency]]=LCU, TblUnitCost[[#This Row],[Cost]], IF(TblUnitCost[[#This Row],[Currency]]=ACU, TblUnitCost[[#This Row],[Cost]]*FX_Rate, "Check Ref Currency"))</f>
        <v>Check Ref Currency</v>
      </c>
      <c r="H262" s="103">
        <f>TblUnitCost[[#This Row],[Cost]]/1600</f>
        <v>0</v>
      </c>
      <c r="I262" s="96"/>
      <c r="J262" s="96"/>
      <c r="K262" s="98"/>
      <c r="L262" s="96"/>
    </row>
    <row r="263" spans="2:12">
      <c r="B263" s="96"/>
      <c r="C263" s="96"/>
      <c r="D263" s="97"/>
      <c r="E263" s="97"/>
      <c r="F263" s="193"/>
      <c r="G263" s="103" t="str">
        <f>IF(TblUnitCost[[#This Row],[Currency]]=LCU, TblUnitCost[[#This Row],[Cost]], IF(TblUnitCost[[#This Row],[Currency]]=ACU, TblUnitCost[[#This Row],[Cost]]*FX_Rate, "Check Ref Currency"))</f>
        <v>Check Ref Currency</v>
      </c>
      <c r="H263" s="103">
        <f>TblUnitCost[[#This Row],[Cost]]/1600</f>
        <v>0</v>
      </c>
      <c r="I263" s="96"/>
      <c r="J263" s="96"/>
      <c r="K263" s="98"/>
      <c r="L263" s="96"/>
    </row>
    <row r="264" spans="2:12">
      <c r="B264" s="96"/>
      <c r="C264" s="96"/>
      <c r="D264" s="97"/>
      <c r="E264" s="97"/>
      <c r="F264" s="193"/>
      <c r="G264" s="103" t="str">
        <f>IF(TblUnitCost[[#This Row],[Currency]]=LCU, TblUnitCost[[#This Row],[Cost]], IF(TblUnitCost[[#This Row],[Currency]]=ACU, TblUnitCost[[#This Row],[Cost]]*FX_Rate, "Check Ref Currency"))</f>
        <v>Check Ref Currency</v>
      </c>
      <c r="H264" s="103">
        <f>TblUnitCost[[#This Row],[Cost]]/1600</f>
        <v>0</v>
      </c>
      <c r="I264" s="96"/>
      <c r="J264" s="96"/>
      <c r="K264" s="98"/>
      <c r="L264" s="96"/>
    </row>
    <row r="265" spans="2:12">
      <c r="B265" s="96"/>
      <c r="C265" s="96"/>
      <c r="D265" s="97"/>
      <c r="E265" s="97"/>
      <c r="F265" s="193"/>
      <c r="G265" s="103" t="str">
        <f>IF(TblUnitCost[[#This Row],[Currency]]=LCU, TblUnitCost[[#This Row],[Cost]], IF(TblUnitCost[[#This Row],[Currency]]=ACU, TblUnitCost[[#This Row],[Cost]]*FX_Rate, "Check Ref Currency"))</f>
        <v>Check Ref Currency</v>
      </c>
      <c r="H265" s="103">
        <f>TblUnitCost[[#This Row],[Cost]]/1600</f>
        <v>0</v>
      </c>
      <c r="I265" s="96"/>
      <c r="J265" s="96"/>
      <c r="K265" s="98"/>
      <c r="L265" s="96"/>
    </row>
    <row r="266" spans="2:12">
      <c r="B266" s="96"/>
      <c r="C266" s="96"/>
      <c r="D266" s="97"/>
      <c r="E266" s="97"/>
      <c r="F266" s="193"/>
      <c r="G266" s="103" t="str">
        <f>IF(TblUnitCost[[#This Row],[Currency]]=LCU, TblUnitCost[[#This Row],[Cost]], IF(TblUnitCost[[#This Row],[Currency]]=ACU, TblUnitCost[[#This Row],[Cost]]*FX_Rate, "Check Ref Currency"))</f>
        <v>Check Ref Currency</v>
      </c>
      <c r="H266" s="103">
        <f>TblUnitCost[[#This Row],[Cost]]/1600</f>
        <v>0</v>
      </c>
      <c r="I266" s="96"/>
      <c r="J266" s="96"/>
      <c r="K266" s="98"/>
      <c r="L266" s="96"/>
    </row>
    <row r="267" spans="2:12">
      <c r="B267" s="96"/>
      <c r="C267" s="96"/>
      <c r="D267" s="97"/>
      <c r="E267" s="97"/>
      <c r="F267" s="193"/>
      <c r="G267" s="103" t="str">
        <f>IF(TblUnitCost[[#This Row],[Currency]]=LCU, TblUnitCost[[#This Row],[Cost]], IF(TblUnitCost[[#This Row],[Currency]]=ACU, TblUnitCost[[#This Row],[Cost]]*FX_Rate, "Check Ref Currency"))</f>
        <v>Check Ref Currency</v>
      </c>
      <c r="H267" s="103">
        <f>TblUnitCost[[#This Row],[Cost]]/1600</f>
        <v>0</v>
      </c>
      <c r="I267" s="96"/>
      <c r="J267" s="96"/>
      <c r="K267" s="98"/>
      <c r="L267" s="96"/>
    </row>
    <row r="268" spans="2:12">
      <c r="B268" s="96"/>
      <c r="C268" s="96"/>
      <c r="D268" s="97"/>
      <c r="E268" s="97"/>
      <c r="F268" s="193"/>
      <c r="G268" s="103" t="str">
        <f>IF(TblUnitCost[[#This Row],[Currency]]=LCU, TblUnitCost[[#This Row],[Cost]], IF(TblUnitCost[[#This Row],[Currency]]=ACU, TblUnitCost[[#This Row],[Cost]]*FX_Rate, "Check Ref Currency"))</f>
        <v>Check Ref Currency</v>
      </c>
      <c r="H268" s="103">
        <f>TblUnitCost[[#This Row],[Cost]]/1600</f>
        <v>0</v>
      </c>
      <c r="I268" s="96"/>
      <c r="J268" s="96"/>
      <c r="K268" s="98"/>
      <c r="L268" s="96"/>
    </row>
    <row r="269" spans="2:12">
      <c r="B269" s="96"/>
      <c r="C269" s="96"/>
      <c r="D269" s="97"/>
      <c r="E269" s="97"/>
      <c r="F269" s="193"/>
      <c r="G269" s="103" t="str">
        <f>IF(TblUnitCost[[#This Row],[Currency]]=LCU, TblUnitCost[[#This Row],[Cost]], IF(TblUnitCost[[#This Row],[Currency]]=ACU, TblUnitCost[[#This Row],[Cost]]*FX_Rate, "Check Ref Currency"))</f>
        <v>Check Ref Currency</v>
      </c>
      <c r="H269" s="103">
        <f>TblUnitCost[[#This Row],[Cost]]/1600</f>
        <v>0</v>
      </c>
      <c r="I269" s="96"/>
      <c r="J269" s="96"/>
      <c r="K269" s="98"/>
      <c r="L269" s="96"/>
    </row>
    <row r="270" spans="2:12">
      <c r="B270" s="96"/>
      <c r="C270" s="96"/>
      <c r="D270" s="97"/>
      <c r="E270" s="97"/>
      <c r="F270" s="193"/>
      <c r="G270" s="103" t="str">
        <f>IF(TblUnitCost[[#This Row],[Currency]]=LCU, TblUnitCost[[#This Row],[Cost]], IF(TblUnitCost[[#This Row],[Currency]]=ACU, TblUnitCost[[#This Row],[Cost]]*FX_Rate, "Check Ref Currency"))</f>
        <v>Check Ref Currency</v>
      </c>
      <c r="H270" s="103">
        <f>TblUnitCost[[#This Row],[Cost]]/1600</f>
        <v>0</v>
      </c>
      <c r="I270" s="96"/>
      <c r="J270" s="96"/>
      <c r="K270" s="98"/>
      <c r="L270" s="96"/>
    </row>
    <row r="271" spans="2:12">
      <c r="B271" s="96"/>
      <c r="C271" s="96"/>
      <c r="D271" s="97"/>
      <c r="E271" s="97"/>
      <c r="F271" s="193"/>
      <c r="G271" s="103" t="str">
        <f>IF(TblUnitCost[[#This Row],[Currency]]=LCU, TblUnitCost[[#This Row],[Cost]], IF(TblUnitCost[[#This Row],[Currency]]=ACU, TblUnitCost[[#This Row],[Cost]]*FX_Rate, "Check Ref Currency"))</f>
        <v>Check Ref Currency</v>
      </c>
      <c r="H271" s="103">
        <f>TblUnitCost[[#This Row],[Cost]]/1600</f>
        <v>0</v>
      </c>
      <c r="I271" s="96"/>
      <c r="J271" s="96"/>
      <c r="K271" s="98"/>
      <c r="L271" s="96"/>
    </row>
    <row r="272" spans="2:12">
      <c r="B272" s="96"/>
      <c r="C272" s="96"/>
      <c r="D272" s="97"/>
      <c r="E272" s="97"/>
      <c r="F272" s="193"/>
      <c r="G272" s="103" t="str">
        <f>IF(TblUnitCost[[#This Row],[Currency]]=LCU, TblUnitCost[[#This Row],[Cost]], IF(TblUnitCost[[#This Row],[Currency]]=ACU, TblUnitCost[[#This Row],[Cost]]*FX_Rate, "Check Ref Currency"))</f>
        <v>Check Ref Currency</v>
      </c>
      <c r="H272" s="103">
        <f>TblUnitCost[[#This Row],[Cost]]/1600</f>
        <v>0</v>
      </c>
      <c r="I272" s="96"/>
      <c r="J272" s="96"/>
      <c r="K272" s="98"/>
      <c r="L272" s="96"/>
    </row>
    <row r="273" spans="2:12">
      <c r="B273" s="96"/>
      <c r="C273" s="96"/>
      <c r="D273" s="97"/>
      <c r="E273" s="97"/>
      <c r="F273" s="193"/>
      <c r="G273" s="103" t="str">
        <f>IF(TblUnitCost[[#This Row],[Currency]]=LCU, TblUnitCost[[#This Row],[Cost]], IF(TblUnitCost[[#This Row],[Currency]]=ACU, TblUnitCost[[#This Row],[Cost]]*FX_Rate, "Check Ref Currency"))</f>
        <v>Check Ref Currency</v>
      </c>
      <c r="H273" s="103">
        <f>TblUnitCost[[#This Row],[Cost]]/1600</f>
        <v>0</v>
      </c>
      <c r="I273" s="96"/>
      <c r="J273" s="96"/>
      <c r="K273" s="98"/>
      <c r="L273" s="96"/>
    </row>
    <row r="274" spans="2:12">
      <c r="B274" s="96"/>
      <c r="C274" s="96"/>
      <c r="D274" s="97"/>
      <c r="E274" s="97"/>
      <c r="F274" s="193"/>
      <c r="G274" s="103" t="str">
        <f>IF(TblUnitCost[[#This Row],[Currency]]=LCU, TblUnitCost[[#This Row],[Cost]], IF(TblUnitCost[[#This Row],[Currency]]=ACU, TblUnitCost[[#This Row],[Cost]]*FX_Rate, "Check Ref Currency"))</f>
        <v>Check Ref Currency</v>
      </c>
      <c r="H274" s="103">
        <f>TblUnitCost[[#This Row],[Cost]]/1600</f>
        <v>0</v>
      </c>
      <c r="I274" s="96"/>
      <c r="J274" s="96"/>
      <c r="K274" s="98"/>
      <c r="L274" s="96"/>
    </row>
    <row r="275" spans="2:12">
      <c r="B275" s="96"/>
      <c r="C275" s="96"/>
      <c r="D275" s="97"/>
      <c r="E275" s="97"/>
      <c r="F275" s="193"/>
      <c r="G275" s="103" t="str">
        <f>IF(TblUnitCost[[#This Row],[Currency]]=LCU, TblUnitCost[[#This Row],[Cost]], IF(TblUnitCost[[#This Row],[Currency]]=ACU, TblUnitCost[[#This Row],[Cost]]*FX_Rate, "Check Ref Currency"))</f>
        <v>Check Ref Currency</v>
      </c>
      <c r="H275" s="103">
        <f>TblUnitCost[[#This Row],[Cost]]/1600</f>
        <v>0</v>
      </c>
      <c r="I275" s="96"/>
      <c r="J275" s="96"/>
      <c r="K275" s="98"/>
      <c r="L275" s="96"/>
    </row>
    <row r="276" spans="2:12">
      <c r="B276" s="96"/>
      <c r="C276" s="96"/>
      <c r="D276" s="97"/>
      <c r="E276" s="97"/>
      <c r="F276" s="193"/>
      <c r="G276" s="103" t="str">
        <f>IF(TblUnitCost[[#This Row],[Currency]]=LCU, TblUnitCost[[#This Row],[Cost]], IF(TblUnitCost[[#This Row],[Currency]]=ACU, TblUnitCost[[#This Row],[Cost]]*FX_Rate, "Check Ref Currency"))</f>
        <v>Check Ref Currency</v>
      </c>
      <c r="H276" s="103">
        <f>TblUnitCost[[#This Row],[Cost]]/1600</f>
        <v>0</v>
      </c>
      <c r="I276" s="96"/>
      <c r="J276" s="96"/>
      <c r="K276" s="98"/>
      <c r="L276" s="96"/>
    </row>
    <row r="277" spans="2:12">
      <c r="B277" s="96"/>
      <c r="C277" s="96"/>
      <c r="D277" s="97"/>
      <c r="E277" s="97"/>
      <c r="F277" s="193"/>
      <c r="G277" s="103" t="str">
        <f>IF(TblUnitCost[[#This Row],[Currency]]=LCU, TblUnitCost[[#This Row],[Cost]], IF(TblUnitCost[[#This Row],[Currency]]=ACU, TblUnitCost[[#This Row],[Cost]]*FX_Rate, "Check Ref Currency"))</f>
        <v>Check Ref Currency</v>
      </c>
      <c r="H277" s="103">
        <f>TblUnitCost[[#This Row],[Cost]]/1600</f>
        <v>0</v>
      </c>
      <c r="I277" s="96"/>
      <c r="J277" s="96"/>
      <c r="K277" s="98"/>
      <c r="L277" s="96"/>
    </row>
    <row r="278" spans="2:12">
      <c r="B278" s="96"/>
      <c r="C278" s="96"/>
      <c r="D278" s="97"/>
      <c r="E278" s="97"/>
      <c r="F278" s="193"/>
      <c r="G278" s="103" t="str">
        <f>IF(TblUnitCost[[#This Row],[Currency]]=LCU, TblUnitCost[[#This Row],[Cost]], IF(TblUnitCost[[#This Row],[Currency]]=ACU, TblUnitCost[[#This Row],[Cost]]*FX_Rate, "Check Ref Currency"))</f>
        <v>Check Ref Currency</v>
      </c>
      <c r="H278" s="103">
        <f>TblUnitCost[[#This Row],[Cost]]/1600</f>
        <v>0</v>
      </c>
      <c r="I278" s="96"/>
      <c r="J278" s="96"/>
      <c r="K278" s="98"/>
      <c r="L278" s="96"/>
    </row>
    <row r="279" spans="2:12">
      <c r="B279" s="96"/>
      <c r="C279" s="96"/>
      <c r="D279" s="97"/>
      <c r="E279" s="97"/>
      <c r="F279" s="193"/>
      <c r="G279" s="103" t="str">
        <f>IF(TblUnitCost[[#This Row],[Currency]]=LCU, TblUnitCost[[#This Row],[Cost]], IF(TblUnitCost[[#This Row],[Currency]]=ACU, TblUnitCost[[#This Row],[Cost]]*FX_Rate, "Check Ref Currency"))</f>
        <v>Check Ref Currency</v>
      </c>
      <c r="H279" s="103">
        <f>TblUnitCost[[#This Row],[Cost]]/1600</f>
        <v>0</v>
      </c>
      <c r="I279" s="96"/>
      <c r="J279" s="96"/>
      <c r="K279" s="98"/>
      <c r="L279" s="96"/>
    </row>
    <row r="280" spans="2:12">
      <c r="B280" s="96"/>
      <c r="C280" s="96"/>
      <c r="D280" s="97"/>
      <c r="E280" s="97"/>
      <c r="F280" s="193"/>
      <c r="G280" s="103" t="str">
        <f>IF(TblUnitCost[[#This Row],[Currency]]=LCU, TblUnitCost[[#This Row],[Cost]], IF(TblUnitCost[[#This Row],[Currency]]=ACU, TblUnitCost[[#This Row],[Cost]]*FX_Rate, "Check Ref Currency"))</f>
        <v>Check Ref Currency</v>
      </c>
      <c r="H280" s="103">
        <f>TblUnitCost[[#This Row],[Cost]]/1600</f>
        <v>0</v>
      </c>
      <c r="I280" s="96"/>
      <c r="J280" s="96"/>
      <c r="K280" s="98"/>
      <c r="L280" s="96"/>
    </row>
    <row r="281" spans="2:12">
      <c r="B281" s="96"/>
      <c r="C281" s="96"/>
      <c r="D281" s="97"/>
      <c r="E281" s="97"/>
      <c r="F281" s="193"/>
      <c r="G281" s="103" t="str">
        <f>IF(TblUnitCost[[#This Row],[Currency]]=LCU, TblUnitCost[[#This Row],[Cost]], IF(TblUnitCost[[#This Row],[Currency]]=ACU, TblUnitCost[[#This Row],[Cost]]*FX_Rate, "Check Ref Currency"))</f>
        <v>Check Ref Currency</v>
      </c>
      <c r="H281" s="103">
        <f>TblUnitCost[[#This Row],[Cost]]/1600</f>
        <v>0</v>
      </c>
      <c r="I281" s="96"/>
      <c r="J281" s="96"/>
      <c r="K281" s="98"/>
      <c r="L281" s="96"/>
    </row>
    <row r="282" spans="2:12">
      <c r="B282" s="96"/>
      <c r="C282" s="96"/>
      <c r="D282" s="97"/>
      <c r="E282" s="97"/>
      <c r="F282" s="193"/>
      <c r="G282" s="103" t="str">
        <f>IF(TblUnitCost[[#This Row],[Currency]]=LCU, TblUnitCost[[#This Row],[Cost]], IF(TblUnitCost[[#This Row],[Currency]]=ACU, TblUnitCost[[#This Row],[Cost]]*FX_Rate, "Check Ref Currency"))</f>
        <v>Check Ref Currency</v>
      </c>
      <c r="H282" s="103">
        <f>TblUnitCost[[#This Row],[Cost]]/1600</f>
        <v>0</v>
      </c>
      <c r="I282" s="96"/>
      <c r="J282" s="96"/>
      <c r="K282" s="98"/>
      <c r="L282" s="96"/>
    </row>
    <row r="283" spans="2:12">
      <c r="B283" s="96"/>
      <c r="C283" s="96"/>
      <c r="D283" s="97"/>
      <c r="E283" s="97"/>
      <c r="F283" s="193"/>
      <c r="G283" s="103" t="str">
        <f>IF(TblUnitCost[[#This Row],[Currency]]=LCU, TblUnitCost[[#This Row],[Cost]], IF(TblUnitCost[[#This Row],[Currency]]=ACU, TblUnitCost[[#This Row],[Cost]]*FX_Rate, "Check Ref Currency"))</f>
        <v>Check Ref Currency</v>
      </c>
      <c r="H283" s="103">
        <f>TblUnitCost[[#This Row],[Cost]]/1600</f>
        <v>0</v>
      </c>
      <c r="I283" s="96"/>
      <c r="J283" s="96"/>
      <c r="K283" s="98"/>
      <c r="L283" s="96"/>
    </row>
    <row r="284" spans="2:12">
      <c r="B284" s="96"/>
      <c r="C284" s="96"/>
      <c r="D284" s="97"/>
      <c r="E284" s="97"/>
      <c r="F284" s="193"/>
      <c r="G284" s="103" t="str">
        <f>IF(TblUnitCost[[#This Row],[Currency]]=LCU, TblUnitCost[[#This Row],[Cost]], IF(TblUnitCost[[#This Row],[Currency]]=ACU, TblUnitCost[[#This Row],[Cost]]*FX_Rate, "Check Ref Currency"))</f>
        <v>Check Ref Currency</v>
      </c>
      <c r="H284" s="103">
        <f>TblUnitCost[[#This Row],[Cost]]/1600</f>
        <v>0</v>
      </c>
      <c r="I284" s="96"/>
      <c r="J284" s="96"/>
      <c r="K284" s="98"/>
      <c r="L284" s="96"/>
    </row>
    <row r="285" spans="2:12">
      <c r="B285" s="96"/>
      <c r="C285" s="96"/>
      <c r="D285" s="97"/>
      <c r="E285" s="97"/>
      <c r="F285" s="193"/>
      <c r="G285" s="103" t="str">
        <f>IF(TblUnitCost[[#This Row],[Currency]]=LCU, TblUnitCost[[#This Row],[Cost]], IF(TblUnitCost[[#This Row],[Currency]]=ACU, TblUnitCost[[#This Row],[Cost]]*FX_Rate, "Check Ref Currency"))</f>
        <v>Check Ref Currency</v>
      </c>
      <c r="H285" s="103">
        <f>TblUnitCost[[#This Row],[Cost]]/1600</f>
        <v>0</v>
      </c>
      <c r="I285" s="96"/>
      <c r="J285" s="96"/>
      <c r="K285" s="98"/>
      <c r="L285" s="96"/>
    </row>
    <row r="286" spans="2:12">
      <c r="B286" s="96"/>
      <c r="C286" s="96"/>
      <c r="D286" s="97"/>
      <c r="E286" s="97"/>
      <c r="F286" s="193"/>
      <c r="G286" s="103" t="str">
        <f>IF(TblUnitCost[[#This Row],[Currency]]=LCU, TblUnitCost[[#This Row],[Cost]], IF(TblUnitCost[[#This Row],[Currency]]=ACU, TblUnitCost[[#This Row],[Cost]]*FX_Rate, "Check Ref Currency"))</f>
        <v>Check Ref Currency</v>
      </c>
      <c r="H286" s="103">
        <f>TblUnitCost[[#This Row],[Cost]]/1600</f>
        <v>0</v>
      </c>
      <c r="I286" s="96"/>
      <c r="J286" s="96"/>
      <c r="K286" s="98"/>
      <c r="L286" s="96"/>
    </row>
    <row r="287" spans="2:12">
      <c r="B287" s="96"/>
      <c r="C287" s="96"/>
      <c r="D287" s="97"/>
      <c r="E287" s="97"/>
      <c r="F287" s="193"/>
      <c r="G287" s="103" t="str">
        <f>IF(TblUnitCost[[#This Row],[Currency]]=LCU, TblUnitCost[[#This Row],[Cost]], IF(TblUnitCost[[#This Row],[Currency]]=ACU, TblUnitCost[[#This Row],[Cost]]*FX_Rate, "Check Ref Currency"))</f>
        <v>Check Ref Currency</v>
      </c>
      <c r="H287" s="103">
        <f>TblUnitCost[[#This Row],[Cost]]/1600</f>
        <v>0</v>
      </c>
      <c r="I287" s="96"/>
      <c r="J287" s="96"/>
      <c r="K287" s="98"/>
      <c r="L287" s="96"/>
    </row>
    <row r="288" spans="2:12">
      <c r="B288" s="96"/>
      <c r="C288" s="96"/>
      <c r="D288" s="97"/>
      <c r="E288" s="97"/>
      <c r="F288" s="193"/>
      <c r="G288" s="103" t="str">
        <f>IF(TblUnitCost[[#This Row],[Currency]]=LCU, TblUnitCost[[#This Row],[Cost]], IF(TblUnitCost[[#This Row],[Currency]]=ACU, TblUnitCost[[#This Row],[Cost]]*FX_Rate, "Check Ref Currency"))</f>
        <v>Check Ref Currency</v>
      </c>
      <c r="H288" s="103">
        <f>TblUnitCost[[#This Row],[Cost]]/1600</f>
        <v>0</v>
      </c>
      <c r="I288" s="96"/>
      <c r="J288" s="96"/>
      <c r="K288" s="98"/>
      <c r="L288" s="96"/>
    </row>
    <row r="289" spans="2:12">
      <c r="B289" s="96"/>
      <c r="C289" s="96"/>
      <c r="D289" s="97"/>
      <c r="E289" s="97"/>
      <c r="F289" s="193"/>
      <c r="G289" s="103" t="str">
        <f>IF(TblUnitCost[[#This Row],[Currency]]=LCU, TblUnitCost[[#This Row],[Cost]], IF(TblUnitCost[[#This Row],[Currency]]=ACU, TblUnitCost[[#This Row],[Cost]]*FX_Rate, "Check Ref Currency"))</f>
        <v>Check Ref Currency</v>
      </c>
      <c r="H289" s="103">
        <f>TblUnitCost[[#This Row],[Cost]]/1600</f>
        <v>0</v>
      </c>
      <c r="I289" s="96"/>
      <c r="J289" s="96"/>
      <c r="K289" s="98"/>
      <c r="L289" s="96"/>
    </row>
    <row r="290" spans="2:12">
      <c r="B290" s="96"/>
      <c r="C290" s="96"/>
      <c r="D290" s="97"/>
      <c r="E290" s="97"/>
      <c r="F290" s="193"/>
      <c r="G290" s="103" t="str">
        <f>IF(TblUnitCost[[#This Row],[Currency]]=LCU, TblUnitCost[[#This Row],[Cost]], IF(TblUnitCost[[#This Row],[Currency]]=ACU, TblUnitCost[[#This Row],[Cost]]*FX_Rate, "Check Ref Currency"))</f>
        <v>Check Ref Currency</v>
      </c>
      <c r="H290" s="103">
        <f>TblUnitCost[[#This Row],[Cost]]/1600</f>
        <v>0</v>
      </c>
      <c r="I290" s="96"/>
      <c r="J290" s="96"/>
      <c r="K290" s="98"/>
      <c r="L290" s="96"/>
    </row>
    <row r="291" spans="2:12">
      <c r="B291" s="96"/>
      <c r="C291" s="96"/>
      <c r="D291" s="97"/>
      <c r="E291" s="97"/>
      <c r="F291" s="193"/>
      <c r="G291" s="103" t="str">
        <f>IF(TblUnitCost[[#This Row],[Currency]]=LCU, TblUnitCost[[#This Row],[Cost]], IF(TblUnitCost[[#This Row],[Currency]]=ACU, TblUnitCost[[#This Row],[Cost]]*FX_Rate, "Check Ref Currency"))</f>
        <v>Check Ref Currency</v>
      </c>
      <c r="H291" s="103">
        <f>TblUnitCost[[#This Row],[Cost]]/1600</f>
        <v>0</v>
      </c>
      <c r="I291" s="96"/>
      <c r="J291" s="96"/>
      <c r="K291" s="98"/>
      <c r="L291" s="96"/>
    </row>
    <row r="292" spans="2:12">
      <c r="B292" s="96"/>
      <c r="C292" s="96"/>
      <c r="D292" s="97"/>
      <c r="E292" s="97"/>
      <c r="F292" s="193"/>
      <c r="G292" s="103" t="str">
        <f>IF(TblUnitCost[[#This Row],[Currency]]=LCU, TblUnitCost[[#This Row],[Cost]], IF(TblUnitCost[[#This Row],[Currency]]=ACU, TblUnitCost[[#This Row],[Cost]]*FX_Rate, "Check Ref Currency"))</f>
        <v>Check Ref Currency</v>
      </c>
      <c r="H292" s="103">
        <f>TblUnitCost[[#This Row],[Cost]]/1600</f>
        <v>0</v>
      </c>
      <c r="I292" s="96"/>
      <c r="J292" s="96"/>
      <c r="K292" s="98"/>
      <c r="L292" s="96"/>
    </row>
    <row r="293" spans="2:12">
      <c r="B293" s="96"/>
      <c r="C293" s="96"/>
      <c r="D293" s="97"/>
      <c r="E293" s="97"/>
      <c r="F293" s="193"/>
      <c r="G293" s="103" t="str">
        <f>IF(TblUnitCost[[#This Row],[Currency]]=LCU, TblUnitCost[[#This Row],[Cost]], IF(TblUnitCost[[#This Row],[Currency]]=ACU, TblUnitCost[[#This Row],[Cost]]*FX_Rate, "Check Ref Currency"))</f>
        <v>Check Ref Currency</v>
      </c>
      <c r="H293" s="103">
        <f>TblUnitCost[[#This Row],[Cost]]/1600</f>
        <v>0</v>
      </c>
      <c r="I293" s="96"/>
      <c r="J293" s="96"/>
      <c r="K293" s="98"/>
      <c r="L293" s="96"/>
    </row>
    <row r="294" spans="2:12">
      <c r="B294" s="96"/>
      <c r="C294" s="96"/>
      <c r="D294" s="97"/>
      <c r="E294" s="97"/>
      <c r="F294" s="193"/>
      <c r="G294" s="103" t="str">
        <f>IF(TblUnitCost[[#This Row],[Currency]]=LCU, TblUnitCost[[#This Row],[Cost]], IF(TblUnitCost[[#This Row],[Currency]]=ACU, TblUnitCost[[#This Row],[Cost]]*FX_Rate, "Check Ref Currency"))</f>
        <v>Check Ref Currency</v>
      </c>
      <c r="H294" s="103">
        <f>TblUnitCost[[#This Row],[Cost]]/1600</f>
        <v>0</v>
      </c>
      <c r="I294" s="96"/>
      <c r="J294" s="96"/>
      <c r="K294" s="98"/>
      <c r="L294" s="96"/>
    </row>
    <row r="295" spans="2:12">
      <c r="B295" s="96"/>
      <c r="C295" s="96"/>
      <c r="D295" s="97"/>
      <c r="E295" s="97"/>
      <c r="F295" s="193"/>
      <c r="G295" s="103" t="str">
        <f>IF(TblUnitCost[[#This Row],[Currency]]=LCU, TblUnitCost[[#This Row],[Cost]], IF(TblUnitCost[[#This Row],[Currency]]=ACU, TblUnitCost[[#This Row],[Cost]]*FX_Rate, "Check Ref Currency"))</f>
        <v>Check Ref Currency</v>
      </c>
      <c r="H295" s="103">
        <f>TblUnitCost[[#This Row],[Cost]]/1600</f>
        <v>0</v>
      </c>
      <c r="I295" s="96"/>
      <c r="J295" s="96"/>
      <c r="K295" s="98"/>
      <c r="L295" s="96"/>
    </row>
    <row r="296" spans="2:12">
      <c r="B296" s="96"/>
      <c r="C296" s="96"/>
      <c r="D296" s="97"/>
      <c r="E296" s="97"/>
      <c r="F296" s="193"/>
      <c r="G296" s="103" t="str">
        <f>IF(TblUnitCost[[#This Row],[Currency]]=LCU, TblUnitCost[[#This Row],[Cost]], IF(TblUnitCost[[#This Row],[Currency]]=ACU, TblUnitCost[[#This Row],[Cost]]*FX_Rate, "Check Ref Currency"))</f>
        <v>Check Ref Currency</v>
      </c>
      <c r="H296" s="103">
        <f>TblUnitCost[[#This Row],[Cost]]/1600</f>
        <v>0</v>
      </c>
      <c r="I296" s="96"/>
      <c r="J296" s="96"/>
      <c r="K296" s="98"/>
      <c r="L296" s="96"/>
    </row>
    <row r="297" spans="2:12">
      <c r="B297" s="96"/>
      <c r="C297" s="96"/>
      <c r="D297" s="97"/>
      <c r="E297" s="97"/>
      <c r="F297" s="193"/>
      <c r="G297" s="103" t="str">
        <f>IF(TblUnitCost[[#This Row],[Currency]]=LCU, TblUnitCost[[#This Row],[Cost]], IF(TblUnitCost[[#This Row],[Currency]]=ACU, TblUnitCost[[#This Row],[Cost]]*FX_Rate, "Check Ref Currency"))</f>
        <v>Check Ref Currency</v>
      </c>
      <c r="H297" s="103">
        <f>TblUnitCost[[#This Row],[Cost]]/1600</f>
        <v>0</v>
      </c>
      <c r="I297" s="96"/>
      <c r="J297" s="96"/>
      <c r="K297" s="98"/>
      <c r="L297" s="96"/>
    </row>
    <row r="298" spans="2:12">
      <c r="B298" s="96"/>
      <c r="C298" s="96"/>
      <c r="D298" s="97"/>
      <c r="E298" s="97"/>
      <c r="F298" s="193"/>
      <c r="G298" s="103" t="str">
        <f>IF(TblUnitCost[[#This Row],[Currency]]=LCU, TblUnitCost[[#This Row],[Cost]], IF(TblUnitCost[[#This Row],[Currency]]=ACU, TblUnitCost[[#This Row],[Cost]]*FX_Rate, "Check Ref Currency"))</f>
        <v>Check Ref Currency</v>
      </c>
      <c r="H298" s="103">
        <f>TblUnitCost[[#This Row],[Cost]]/1600</f>
        <v>0</v>
      </c>
      <c r="I298" s="96"/>
      <c r="J298" s="96"/>
      <c r="K298" s="98"/>
      <c r="L298" s="96"/>
    </row>
    <row r="299" spans="2:12">
      <c r="B299" s="96"/>
      <c r="C299" s="96"/>
      <c r="D299" s="97"/>
      <c r="E299" s="97"/>
      <c r="F299" s="193"/>
      <c r="G299" s="103" t="str">
        <f>IF(TblUnitCost[[#This Row],[Currency]]=LCU, TblUnitCost[[#This Row],[Cost]], IF(TblUnitCost[[#This Row],[Currency]]=ACU, TblUnitCost[[#This Row],[Cost]]*FX_Rate, "Check Ref Currency"))</f>
        <v>Check Ref Currency</v>
      </c>
      <c r="H299" s="103">
        <f>TblUnitCost[[#This Row],[Cost]]/1600</f>
        <v>0</v>
      </c>
      <c r="I299" s="96"/>
      <c r="J299" s="96"/>
      <c r="K299" s="98"/>
      <c r="L299" s="96"/>
    </row>
    <row r="300" spans="2:12">
      <c r="B300" s="96"/>
      <c r="C300" s="96"/>
      <c r="D300" s="97"/>
      <c r="E300" s="97"/>
      <c r="F300" s="193"/>
      <c r="G300" s="103" t="str">
        <f>IF(TblUnitCost[[#This Row],[Currency]]=LCU, TblUnitCost[[#This Row],[Cost]], IF(TblUnitCost[[#This Row],[Currency]]=ACU, TblUnitCost[[#This Row],[Cost]]*FX_Rate, "Check Ref Currency"))</f>
        <v>Check Ref Currency</v>
      </c>
      <c r="H300" s="103">
        <f>TblUnitCost[[#This Row],[Cost]]/1600</f>
        <v>0</v>
      </c>
      <c r="I300" s="96"/>
      <c r="J300" s="96"/>
      <c r="K300" s="98"/>
      <c r="L300" s="96"/>
    </row>
    <row r="301" spans="2:12">
      <c r="B301" s="96"/>
      <c r="C301" s="96"/>
      <c r="D301" s="97"/>
      <c r="E301" s="97"/>
      <c r="F301" s="193"/>
      <c r="G301" s="103" t="str">
        <f>IF(TblUnitCost[[#This Row],[Currency]]=LCU, TblUnitCost[[#This Row],[Cost]], IF(TblUnitCost[[#This Row],[Currency]]=ACU, TblUnitCost[[#This Row],[Cost]]*FX_Rate, "Check Ref Currency"))</f>
        <v>Check Ref Currency</v>
      </c>
      <c r="H301" s="103">
        <f>TblUnitCost[[#This Row],[Cost]]/1600</f>
        <v>0</v>
      </c>
      <c r="I301" s="96"/>
      <c r="J301" s="96"/>
      <c r="K301" s="98"/>
      <c r="L301" s="96"/>
    </row>
    <row r="302" spans="2:12">
      <c r="B302" s="96"/>
      <c r="C302" s="96"/>
      <c r="D302" s="97"/>
      <c r="E302" s="97"/>
      <c r="F302" s="193"/>
      <c r="G302" s="103" t="str">
        <f>IF(TblUnitCost[[#This Row],[Currency]]=LCU, TblUnitCost[[#This Row],[Cost]], IF(TblUnitCost[[#This Row],[Currency]]=ACU, TblUnitCost[[#This Row],[Cost]]*FX_Rate, "Check Ref Currency"))</f>
        <v>Check Ref Currency</v>
      </c>
      <c r="H302" s="103">
        <f>TblUnitCost[[#This Row],[Cost]]/1600</f>
        <v>0</v>
      </c>
      <c r="I302" s="96"/>
      <c r="J302" s="96"/>
      <c r="K302" s="98"/>
      <c r="L302" s="96"/>
    </row>
    <row r="303" spans="2:12">
      <c r="B303" s="96"/>
      <c r="C303" s="96"/>
      <c r="D303" s="97"/>
      <c r="E303" s="97"/>
      <c r="F303" s="193"/>
      <c r="G303" s="103" t="str">
        <f>IF(TblUnitCost[[#This Row],[Currency]]=LCU, TblUnitCost[[#This Row],[Cost]], IF(TblUnitCost[[#This Row],[Currency]]=ACU, TblUnitCost[[#This Row],[Cost]]*FX_Rate, "Check Ref Currency"))</f>
        <v>Check Ref Currency</v>
      </c>
      <c r="H303" s="103">
        <f>TblUnitCost[[#This Row],[Cost]]/1600</f>
        <v>0</v>
      </c>
      <c r="I303" s="96"/>
      <c r="J303" s="96"/>
      <c r="K303" s="98"/>
      <c r="L303" s="96"/>
    </row>
    <row r="304" spans="2:12">
      <c r="B304" s="96"/>
      <c r="C304" s="96"/>
      <c r="D304" s="97"/>
      <c r="E304" s="97"/>
      <c r="F304" s="193"/>
      <c r="G304" s="103" t="str">
        <f>IF(TblUnitCost[[#This Row],[Currency]]=LCU, TblUnitCost[[#This Row],[Cost]], IF(TblUnitCost[[#This Row],[Currency]]=ACU, TblUnitCost[[#This Row],[Cost]]*FX_Rate, "Check Ref Currency"))</f>
        <v>Check Ref Currency</v>
      </c>
      <c r="H304" s="103">
        <f>TblUnitCost[[#This Row],[Cost]]/1600</f>
        <v>0</v>
      </c>
      <c r="I304" s="96"/>
      <c r="J304" s="96"/>
      <c r="K304" s="98"/>
      <c r="L304" s="96"/>
    </row>
    <row r="305" spans="2:12">
      <c r="B305" s="96"/>
      <c r="C305" s="96"/>
      <c r="D305" s="97"/>
      <c r="E305" s="97"/>
      <c r="F305" s="193"/>
      <c r="G305" s="103" t="str">
        <f>IF(TblUnitCost[[#This Row],[Currency]]=LCU, TblUnitCost[[#This Row],[Cost]], IF(TblUnitCost[[#This Row],[Currency]]=ACU, TblUnitCost[[#This Row],[Cost]]*FX_Rate, "Check Ref Currency"))</f>
        <v>Check Ref Currency</v>
      </c>
      <c r="H305" s="103">
        <f>TblUnitCost[[#This Row],[Cost]]/1600</f>
        <v>0</v>
      </c>
      <c r="I305" s="96"/>
      <c r="J305" s="96"/>
      <c r="K305" s="98"/>
      <c r="L305" s="96"/>
    </row>
    <row r="306" spans="2:12">
      <c r="B306" s="96"/>
      <c r="C306" s="96"/>
      <c r="D306" s="97"/>
      <c r="E306" s="97"/>
      <c r="F306" s="193"/>
      <c r="G306" s="103" t="str">
        <f>IF(TblUnitCost[[#This Row],[Currency]]=LCU, TblUnitCost[[#This Row],[Cost]], IF(TblUnitCost[[#This Row],[Currency]]=ACU, TblUnitCost[[#This Row],[Cost]]*FX_Rate, "Check Ref Currency"))</f>
        <v>Check Ref Currency</v>
      </c>
      <c r="H306" s="103">
        <f>TblUnitCost[[#This Row],[Cost]]/1600</f>
        <v>0</v>
      </c>
      <c r="I306" s="96"/>
      <c r="J306" s="96"/>
      <c r="K306" s="98"/>
      <c r="L306" s="96"/>
    </row>
    <row r="307" spans="2:12">
      <c r="B307" s="96"/>
      <c r="C307" s="96"/>
      <c r="D307" s="97"/>
      <c r="E307" s="97"/>
      <c r="F307" s="193"/>
      <c r="G307" s="103" t="str">
        <f>IF(TblUnitCost[[#This Row],[Currency]]=LCU, TblUnitCost[[#This Row],[Cost]], IF(TblUnitCost[[#This Row],[Currency]]=ACU, TblUnitCost[[#This Row],[Cost]]*FX_Rate, "Check Ref Currency"))</f>
        <v>Check Ref Currency</v>
      </c>
      <c r="H307" s="103">
        <f>TblUnitCost[[#This Row],[Cost]]/1600</f>
        <v>0</v>
      </c>
      <c r="I307" s="96"/>
      <c r="J307" s="96"/>
      <c r="K307" s="98"/>
      <c r="L307" s="96"/>
    </row>
    <row r="308" spans="2:12">
      <c r="B308" s="96"/>
      <c r="C308" s="96"/>
      <c r="D308" s="97"/>
      <c r="E308" s="97"/>
      <c r="F308" s="193"/>
      <c r="G308" s="103" t="str">
        <f>IF(TblUnitCost[[#This Row],[Currency]]=LCU, TblUnitCost[[#This Row],[Cost]], IF(TblUnitCost[[#This Row],[Currency]]=ACU, TblUnitCost[[#This Row],[Cost]]*FX_Rate, "Check Ref Currency"))</f>
        <v>Check Ref Currency</v>
      </c>
      <c r="H308" s="103">
        <f>TblUnitCost[[#This Row],[Cost]]/1600</f>
        <v>0</v>
      </c>
      <c r="I308" s="96"/>
      <c r="J308" s="96"/>
      <c r="K308" s="98"/>
      <c r="L308" s="96"/>
    </row>
    <row r="309" spans="2:12">
      <c r="B309" s="96"/>
      <c r="C309" s="96"/>
      <c r="D309" s="97"/>
      <c r="E309" s="97"/>
      <c r="F309" s="193"/>
      <c r="G309" s="103" t="str">
        <f>IF(TblUnitCost[[#This Row],[Currency]]=LCU, TblUnitCost[[#This Row],[Cost]], IF(TblUnitCost[[#This Row],[Currency]]=ACU, TblUnitCost[[#This Row],[Cost]]*FX_Rate, "Check Ref Currency"))</f>
        <v>Check Ref Currency</v>
      </c>
      <c r="H309" s="103">
        <f>TblUnitCost[[#This Row],[Cost]]/1600</f>
        <v>0</v>
      </c>
      <c r="I309" s="96"/>
      <c r="J309" s="96"/>
      <c r="K309" s="98"/>
      <c r="L309" s="96"/>
    </row>
    <row r="310" spans="2:12">
      <c r="B310" s="96"/>
      <c r="C310" s="96"/>
      <c r="D310" s="97"/>
      <c r="E310" s="97"/>
      <c r="F310" s="193"/>
      <c r="G310" s="103" t="str">
        <f>IF(TblUnitCost[[#This Row],[Currency]]=LCU, TblUnitCost[[#This Row],[Cost]], IF(TblUnitCost[[#This Row],[Currency]]=ACU, TblUnitCost[[#This Row],[Cost]]*FX_Rate, "Check Ref Currency"))</f>
        <v>Check Ref Currency</v>
      </c>
      <c r="H310" s="103">
        <f>TblUnitCost[[#This Row],[Cost]]/1600</f>
        <v>0</v>
      </c>
      <c r="I310" s="96"/>
      <c r="J310" s="96"/>
      <c r="K310" s="98"/>
      <c r="L310" s="96"/>
    </row>
    <row r="311" spans="2:12">
      <c r="B311" s="96"/>
      <c r="C311" s="96"/>
      <c r="D311" s="97"/>
      <c r="E311" s="97"/>
      <c r="F311" s="193"/>
      <c r="G311" s="103" t="str">
        <f>IF(TblUnitCost[[#This Row],[Currency]]=LCU, TblUnitCost[[#This Row],[Cost]], IF(TblUnitCost[[#This Row],[Currency]]=ACU, TblUnitCost[[#This Row],[Cost]]*FX_Rate, "Check Ref Currency"))</f>
        <v>Check Ref Currency</v>
      </c>
      <c r="H311" s="103">
        <f>TblUnitCost[[#This Row],[Cost]]/1600</f>
        <v>0</v>
      </c>
      <c r="I311" s="96"/>
      <c r="J311" s="96"/>
      <c r="K311" s="98"/>
      <c r="L311" s="96"/>
    </row>
    <row r="312" spans="2:12">
      <c r="B312" s="96"/>
      <c r="C312" s="96"/>
      <c r="D312" s="97"/>
      <c r="E312" s="97"/>
      <c r="F312" s="193"/>
      <c r="G312" s="103" t="str">
        <f>IF(TblUnitCost[[#This Row],[Currency]]=LCU, TblUnitCost[[#This Row],[Cost]], IF(TblUnitCost[[#This Row],[Currency]]=ACU, TblUnitCost[[#This Row],[Cost]]*FX_Rate, "Check Ref Currency"))</f>
        <v>Check Ref Currency</v>
      </c>
      <c r="H312" s="103">
        <f>TblUnitCost[[#This Row],[Cost]]/1600</f>
        <v>0</v>
      </c>
      <c r="I312" s="96"/>
      <c r="J312" s="96"/>
      <c r="K312" s="98"/>
      <c r="L312" s="96"/>
    </row>
    <row r="313" spans="2:12">
      <c r="B313" s="96"/>
      <c r="C313" s="96"/>
      <c r="D313" s="97"/>
      <c r="E313" s="97"/>
      <c r="F313" s="193"/>
      <c r="G313" s="103" t="str">
        <f>IF(TblUnitCost[[#This Row],[Currency]]=LCU, TblUnitCost[[#This Row],[Cost]], IF(TblUnitCost[[#This Row],[Currency]]=ACU, TblUnitCost[[#This Row],[Cost]]*FX_Rate, "Check Ref Currency"))</f>
        <v>Check Ref Currency</v>
      </c>
      <c r="H313" s="103">
        <f>TblUnitCost[[#This Row],[Cost]]/1600</f>
        <v>0</v>
      </c>
      <c r="I313" s="96"/>
      <c r="J313" s="96"/>
      <c r="K313" s="98"/>
      <c r="L313" s="96"/>
    </row>
    <row r="314" spans="2:12">
      <c r="B314" s="96"/>
      <c r="C314" s="96"/>
      <c r="D314" s="97"/>
      <c r="E314" s="97"/>
      <c r="F314" s="193"/>
      <c r="G314" s="103" t="str">
        <f>IF(TblUnitCost[[#This Row],[Currency]]=LCU, TblUnitCost[[#This Row],[Cost]], IF(TblUnitCost[[#This Row],[Currency]]=ACU, TblUnitCost[[#This Row],[Cost]]*FX_Rate, "Check Ref Currency"))</f>
        <v>Check Ref Currency</v>
      </c>
      <c r="H314" s="103">
        <f>TblUnitCost[[#This Row],[Cost]]/1600</f>
        <v>0</v>
      </c>
      <c r="I314" s="96"/>
      <c r="J314" s="96"/>
      <c r="K314" s="98"/>
      <c r="L314" s="96"/>
    </row>
    <row r="315" spans="2:12">
      <c r="B315" s="96"/>
      <c r="C315" s="96"/>
      <c r="D315" s="97"/>
      <c r="E315" s="97"/>
      <c r="F315" s="193"/>
      <c r="G315" s="103" t="str">
        <f>IF(TblUnitCost[[#This Row],[Currency]]=LCU, TblUnitCost[[#This Row],[Cost]], IF(TblUnitCost[[#This Row],[Currency]]=ACU, TblUnitCost[[#This Row],[Cost]]*FX_Rate, "Check Ref Currency"))</f>
        <v>Check Ref Currency</v>
      </c>
      <c r="H315" s="103">
        <f>TblUnitCost[[#This Row],[Cost]]/1600</f>
        <v>0</v>
      </c>
      <c r="I315" s="96"/>
      <c r="J315" s="96"/>
      <c r="K315" s="98"/>
      <c r="L315" s="96"/>
    </row>
    <row r="316" spans="2:12">
      <c r="B316" s="96"/>
      <c r="C316" s="96"/>
      <c r="D316" s="97"/>
      <c r="E316" s="97"/>
      <c r="F316" s="193"/>
      <c r="G316" s="103" t="str">
        <f>IF(TblUnitCost[[#This Row],[Currency]]=LCU, TblUnitCost[[#This Row],[Cost]], IF(TblUnitCost[[#This Row],[Currency]]=ACU, TblUnitCost[[#This Row],[Cost]]*FX_Rate, "Check Ref Currency"))</f>
        <v>Check Ref Currency</v>
      </c>
      <c r="H316" s="103">
        <f>TblUnitCost[[#This Row],[Cost]]/1600</f>
        <v>0</v>
      </c>
      <c r="I316" s="96"/>
      <c r="J316" s="96"/>
      <c r="K316" s="98"/>
      <c r="L316" s="96"/>
    </row>
    <row r="317" spans="2:12">
      <c r="B317" s="96"/>
      <c r="C317" s="96"/>
      <c r="D317" s="97"/>
      <c r="E317" s="97"/>
      <c r="F317" s="193"/>
      <c r="G317" s="103" t="str">
        <f>IF(TblUnitCost[[#This Row],[Currency]]=LCU, TblUnitCost[[#This Row],[Cost]], IF(TblUnitCost[[#This Row],[Currency]]=ACU, TblUnitCost[[#This Row],[Cost]]*FX_Rate, "Check Ref Currency"))</f>
        <v>Check Ref Currency</v>
      </c>
      <c r="H317" s="103">
        <f>TblUnitCost[[#This Row],[Cost]]/1600</f>
        <v>0</v>
      </c>
      <c r="I317" s="96"/>
      <c r="J317" s="96"/>
      <c r="K317" s="98"/>
      <c r="L317" s="96"/>
    </row>
    <row r="318" spans="2:12">
      <c r="B318" s="96"/>
      <c r="C318" s="96"/>
      <c r="D318" s="97"/>
      <c r="E318" s="97"/>
      <c r="F318" s="193"/>
      <c r="G318" s="103" t="str">
        <f>IF(TblUnitCost[[#This Row],[Currency]]=LCU, TblUnitCost[[#This Row],[Cost]], IF(TblUnitCost[[#This Row],[Currency]]=ACU, TblUnitCost[[#This Row],[Cost]]*FX_Rate, "Check Ref Currency"))</f>
        <v>Check Ref Currency</v>
      </c>
      <c r="H318" s="103">
        <f>TblUnitCost[[#This Row],[Cost]]/1600</f>
        <v>0</v>
      </c>
      <c r="I318" s="96"/>
      <c r="J318" s="96"/>
      <c r="K318" s="98"/>
      <c r="L318" s="96"/>
    </row>
    <row r="319" spans="2:12">
      <c r="B319" s="96"/>
      <c r="C319" s="96"/>
      <c r="D319" s="97"/>
      <c r="E319" s="97"/>
      <c r="F319" s="193"/>
      <c r="G319" s="103" t="str">
        <f>IF(TblUnitCost[[#This Row],[Currency]]=LCU, TblUnitCost[[#This Row],[Cost]], IF(TblUnitCost[[#This Row],[Currency]]=ACU, TblUnitCost[[#This Row],[Cost]]*FX_Rate, "Check Ref Currency"))</f>
        <v>Check Ref Currency</v>
      </c>
      <c r="H319" s="103">
        <f>TblUnitCost[[#This Row],[Cost]]/1600</f>
        <v>0</v>
      </c>
      <c r="I319" s="96"/>
      <c r="J319" s="96"/>
      <c r="K319" s="98"/>
      <c r="L319" s="96"/>
    </row>
    <row r="320" spans="2:12">
      <c r="B320" s="96"/>
      <c r="C320" s="96"/>
      <c r="D320" s="97"/>
      <c r="E320" s="97"/>
      <c r="F320" s="193"/>
      <c r="G320" s="103" t="str">
        <f>IF(TblUnitCost[[#This Row],[Currency]]=LCU, TblUnitCost[[#This Row],[Cost]], IF(TblUnitCost[[#This Row],[Currency]]=ACU, TblUnitCost[[#This Row],[Cost]]*FX_Rate, "Check Ref Currency"))</f>
        <v>Check Ref Currency</v>
      </c>
      <c r="H320" s="103">
        <f>TblUnitCost[[#This Row],[Cost]]/1600</f>
        <v>0</v>
      </c>
      <c r="I320" s="96"/>
      <c r="J320" s="96"/>
      <c r="K320" s="98"/>
      <c r="L320" s="96"/>
    </row>
    <row r="321" spans="2:12">
      <c r="B321" s="96"/>
      <c r="C321" s="96"/>
      <c r="D321" s="97"/>
      <c r="E321" s="97"/>
      <c r="F321" s="193"/>
      <c r="G321" s="103" t="str">
        <f>IF(TblUnitCost[[#This Row],[Currency]]=LCU, TblUnitCost[[#This Row],[Cost]], IF(TblUnitCost[[#This Row],[Currency]]=ACU, TblUnitCost[[#This Row],[Cost]]*FX_Rate, "Check Ref Currency"))</f>
        <v>Check Ref Currency</v>
      </c>
      <c r="H321" s="103">
        <f>TblUnitCost[[#This Row],[Cost]]/1600</f>
        <v>0</v>
      </c>
      <c r="I321" s="96"/>
      <c r="J321" s="96"/>
      <c r="K321" s="98"/>
      <c r="L321" s="96"/>
    </row>
    <row r="322" spans="2:12">
      <c r="B322" s="96"/>
      <c r="C322" s="96"/>
      <c r="D322" s="97"/>
      <c r="E322" s="97"/>
      <c r="F322" s="193"/>
      <c r="G322" s="103" t="str">
        <f>IF(TblUnitCost[[#This Row],[Currency]]=LCU, TblUnitCost[[#This Row],[Cost]], IF(TblUnitCost[[#This Row],[Currency]]=ACU, TblUnitCost[[#This Row],[Cost]]*FX_Rate, "Check Ref Currency"))</f>
        <v>Check Ref Currency</v>
      </c>
      <c r="H322" s="103">
        <f>TblUnitCost[[#This Row],[Cost]]/1600</f>
        <v>0</v>
      </c>
      <c r="I322" s="96"/>
      <c r="J322" s="96"/>
      <c r="K322" s="98"/>
      <c r="L322" s="96"/>
    </row>
    <row r="323" spans="2:12">
      <c r="B323" s="96"/>
      <c r="C323" s="96"/>
      <c r="D323" s="97"/>
      <c r="E323" s="97"/>
      <c r="F323" s="193"/>
      <c r="G323" s="103" t="str">
        <f>IF(TblUnitCost[[#This Row],[Currency]]=LCU, TblUnitCost[[#This Row],[Cost]], IF(TblUnitCost[[#This Row],[Currency]]=ACU, TblUnitCost[[#This Row],[Cost]]*FX_Rate, "Check Ref Currency"))</f>
        <v>Check Ref Currency</v>
      </c>
      <c r="H323" s="103">
        <f>TblUnitCost[[#This Row],[Cost]]/1600</f>
        <v>0</v>
      </c>
      <c r="I323" s="96"/>
      <c r="J323" s="96"/>
      <c r="K323" s="98"/>
      <c r="L323" s="96"/>
    </row>
    <row r="324" spans="2:12">
      <c r="B324" s="96"/>
      <c r="C324" s="96"/>
      <c r="D324" s="97"/>
      <c r="E324" s="97"/>
      <c r="F324" s="193"/>
      <c r="G324" s="103" t="str">
        <f>IF(TblUnitCost[[#This Row],[Currency]]=LCU, TblUnitCost[[#This Row],[Cost]], IF(TblUnitCost[[#This Row],[Currency]]=ACU, TblUnitCost[[#This Row],[Cost]]*FX_Rate, "Check Ref Currency"))</f>
        <v>Check Ref Currency</v>
      </c>
      <c r="H324" s="103">
        <f>TblUnitCost[[#This Row],[Cost]]/1600</f>
        <v>0</v>
      </c>
      <c r="I324" s="96"/>
      <c r="J324" s="96"/>
      <c r="K324" s="98"/>
      <c r="L324" s="96"/>
    </row>
    <row r="325" spans="2:12">
      <c r="B325" s="96"/>
      <c r="C325" s="96"/>
      <c r="D325" s="97"/>
      <c r="E325" s="97"/>
      <c r="F325" s="193"/>
      <c r="G325" s="103" t="str">
        <f>IF(TblUnitCost[[#This Row],[Currency]]=LCU, TblUnitCost[[#This Row],[Cost]], IF(TblUnitCost[[#This Row],[Currency]]=ACU, TblUnitCost[[#This Row],[Cost]]*FX_Rate, "Check Ref Currency"))</f>
        <v>Check Ref Currency</v>
      </c>
      <c r="H325" s="103">
        <f>TblUnitCost[[#This Row],[Cost]]/1600</f>
        <v>0</v>
      </c>
      <c r="I325" s="96"/>
      <c r="J325" s="96"/>
      <c r="K325" s="98"/>
      <c r="L325" s="96"/>
    </row>
    <row r="326" spans="2:12">
      <c r="B326" s="96"/>
      <c r="C326" s="96"/>
      <c r="D326" s="97"/>
      <c r="E326" s="97"/>
      <c r="F326" s="193"/>
      <c r="G326" s="103" t="str">
        <f>IF(TblUnitCost[[#This Row],[Currency]]=LCU, TblUnitCost[[#This Row],[Cost]], IF(TblUnitCost[[#This Row],[Currency]]=ACU, TblUnitCost[[#This Row],[Cost]]*FX_Rate, "Check Ref Currency"))</f>
        <v>Check Ref Currency</v>
      </c>
      <c r="H326" s="103">
        <f>TblUnitCost[[#This Row],[Cost]]/1600</f>
        <v>0</v>
      </c>
      <c r="I326" s="96"/>
      <c r="J326" s="96"/>
      <c r="K326" s="98"/>
      <c r="L326" s="96"/>
    </row>
    <row r="327" spans="2:12">
      <c r="B327" s="96"/>
      <c r="C327" s="96"/>
      <c r="D327" s="97"/>
      <c r="E327" s="97"/>
      <c r="F327" s="193"/>
      <c r="G327" s="103" t="str">
        <f>IF(TblUnitCost[[#This Row],[Currency]]=LCU, TblUnitCost[[#This Row],[Cost]], IF(TblUnitCost[[#This Row],[Currency]]=ACU, TblUnitCost[[#This Row],[Cost]]*FX_Rate, "Check Ref Currency"))</f>
        <v>Check Ref Currency</v>
      </c>
      <c r="H327" s="103">
        <f>TblUnitCost[[#This Row],[Cost]]/1600</f>
        <v>0</v>
      </c>
      <c r="I327" s="96"/>
      <c r="J327" s="96"/>
      <c r="K327" s="98"/>
      <c r="L327" s="96"/>
    </row>
    <row r="328" spans="2:12">
      <c r="B328" s="96"/>
      <c r="C328" s="96"/>
      <c r="D328" s="97"/>
      <c r="E328" s="97"/>
      <c r="F328" s="193"/>
      <c r="G328" s="103" t="str">
        <f>IF(TblUnitCost[[#This Row],[Currency]]=LCU, TblUnitCost[[#This Row],[Cost]], IF(TblUnitCost[[#This Row],[Currency]]=ACU, TblUnitCost[[#This Row],[Cost]]*FX_Rate, "Check Ref Currency"))</f>
        <v>Check Ref Currency</v>
      </c>
      <c r="H328" s="103">
        <f>TblUnitCost[[#This Row],[Cost]]/1600</f>
        <v>0</v>
      </c>
      <c r="I328" s="96"/>
      <c r="J328" s="96"/>
      <c r="K328" s="98"/>
      <c r="L328" s="96"/>
    </row>
    <row r="329" spans="2:12">
      <c r="B329" s="96"/>
      <c r="C329" s="96"/>
      <c r="D329" s="97"/>
      <c r="E329" s="97"/>
      <c r="F329" s="193"/>
      <c r="G329" s="103" t="str">
        <f>IF(TblUnitCost[[#This Row],[Currency]]=LCU, TblUnitCost[[#This Row],[Cost]], IF(TblUnitCost[[#This Row],[Currency]]=ACU, TblUnitCost[[#This Row],[Cost]]*FX_Rate, "Check Ref Currency"))</f>
        <v>Check Ref Currency</v>
      </c>
      <c r="H329" s="103">
        <f>TblUnitCost[[#This Row],[Cost]]/1600</f>
        <v>0</v>
      </c>
      <c r="I329" s="96"/>
      <c r="J329" s="96"/>
      <c r="K329" s="98"/>
      <c r="L329" s="96"/>
    </row>
    <row r="330" spans="2:12">
      <c r="B330" s="96"/>
      <c r="C330" s="96"/>
      <c r="D330" s="97"/>
      <c r="E330" s="97"/>
      <c r="F330" s="193"/>
      <c r="G330" s="103" t="str">
        <f>IF(TblUnitCost[[#This Row],[Currency]]=LCU, TblUnitCost[[#This Row],[Cost]], IF(TblUnitCost[[#This Row],[Currency]]=ACU, TblUnitCost[[#This Row],[Cost]]*FX_Rate, "Check Ref Currency"))</f>
        <v>Check Ref Currency</v>
      </c>
      <c r="H330" s="103">
        <f>TblUnitCost[[#This Row],[Cost]]/1600</f>
        <v>0</v>
      </c>
      <c r="I330" s="96"/>
      <c r="J330" s="96"/>
      <c r="K330" s="98"/>
      <c r="L330" s="96"/>
    </row>
    <row r="331" spans="2:12">
      <c r="B331" s="96"/>
      <c r="C331" s="96"/>
      <c r="D331" s="97"/>
      <c r="E331" s="97"/>
      <c r="F331" s="193"/>
      <c r="G331" s="103" t="str">
        <f>IF(TblUnitCost[[#This Row],[Currency]]=LCU, TblUnitCost[[#This Row],[Cost]], IF(TblUnitCost[[#This Row],[Currency]]=ACU, TblUnitCost[[#This Row],[Cost]]*FX_Rate, "Check Ref Currency"))</f>
        <v>Check Ref Currency</v>
      </c>
      <c r="H331" s="103">
        <f>TblUnitCost[[#This Row],[Cost]]/1600</f>
        <v>0</v>
      </c>
      <c r="I331" s="96"/>
      <c r="J331" s="96"/>
      <c r="K331" s="98"/>
      <c r="L331" s="96"/>
    </row>
    <row r="332" spans="2:12">
      <c r="B332" s="96"/>
      <c r="C332" s="96"/>
      <c r="D332" s="97"/>
      <c r="E332" s="97"/>
      <c r="F332" s="193"/>
      <c r="G332" s="103" t="str">
        <f>IF(TblUnitCost[[#This Row],[Currency]]=LCU, TblUnitCost[[#This Row],[Cost]], IF(TblUnitCost[[#This Row],[Currency]]=ACU, TblUnitCost[[#This Row],[Cost]]*FX_Rate, "Check Ref Currency"))</f>
        <v>Check Ref Currency</v>
      </c>
      <c r="H332" s="103">
        <f>TblUnitCost[[#This Row],[Cost]]/1600</f>
        <v>0</v>
      </c>
      <c r="I332" s="96"/>
      <c r="J332" s="96"/>
      <c r="K332" s="98"/>
      <c r="L332" s="96"/>
    </row>
    <row r="333" spans="2:12">
      <c r="B333" s="96"/>
      <c r="C333" s="96"/>
      <c r="D333" s="97"/>
      <c r="E333" s="97"/>
      <c r="F333" s="193"/>
      <c r="G333" s="103" t="str">
        <f>IF(TblUnitCost[[#This Row],[Currency]]=LCU, TblUnitCost[[#This Row],[Cost]], IF(TblUnitCost[[#This Row],[Currency]]=ACU, TblUnitCost[[#This Row],[Cost]]*FX_Rate, "Check Ref Currency"))</f>
        <v>Check Ref Currency</v>
      </c>
      <c r="H333" s="103">
        <f>TblUnitCost[[#This Row],[Cost]]/1600</f>
        <v>0</v>
      </c>
      <c r="I333" s="96"/>
      <c r="J333" s="96"/>
      <c r="K333" s="98"/>
      <c r="L333" s="96"/>
    </row>
    <row r="334" spans="2:12">
      <c r="B334" s="96"/>
      <c r="C334" s="96"/>
      <c r="D334" s="97"/>
      <c r="E334" s="97"/>
      <c r="F334" s="193"/>
      <c r="G334" s="103" t="str">
        <f>IF(TblUnitCost[[#This Row],[Currency]]=LCU, TblUnitCost[[#This Row],[Cost]], IF(TblUnitCost[[#This Row],[Currency]]=ACU, TblUnitCost[[#This Row],[Cost]]*FX_Rate, "Check Ref Currency"))</f>
        <v>Check Ref Currency</v>
      </c>
      <c r="H334" s="103">
        <f>TblUnitCost[[#This Row],[Cost]]/1600</f>
        <v>0</v>
      </c>
      <c r="I334" s="96"/>
      <c r="J334" s="96"/>
      <c r="K334" s="98"/>
      <c r="L334" s="96"/>
    </row>
    <row r="335" spans="2:12">
      <c r="B335" s="96"/>
      <c r="C335" s="96"/>
      <c r="D335" s="97"/>
      <c r="E335" s="97"/>
      <c r="F335" s="193"/>
      <c r="G335" s="103" t="str">
        <f>IF(TblUnitCost[[#This Row],[Currency]]=LCU, TblUnitCost[[#This Row],[Cost]], IF(TblUnitCost[[#This Row],[Currency]]=ACU, TblUnitCost[[#This Row],[Cost]]*FX_Rate, "Check Ref Currency"))</f>
        <v>Check Ref Currency</v>
      </c>
      <c r="H335" s="103">
        <f>TblUnitCost[[#This Row],[Cost]]/1600</f>
        <v>0</v>
      </c>
      <c r="I335" s="96"/>
      <c r="J335" s="96"/>
      <c r="K335" s="98"/>
      <c r="L335" s="96"/>
    </row>
    <row r="336" spans="2:12">
      <c r="B336" s="96"/>
      <c r="C336" s="96"/>
      <c r="D336" s="97"/>
      <c r="E336" s="97"/>
      <c r="F336" s="193"/>
      <c r="G336" s="103" t="str">
        <f>IF(TblUnitCost[[#This Row],[Currency]]=LCU, TblUnitCost[[#This Row],[Cost]], IF(TblUnitCost[[#This Row],[Currency]]=ACU, TblUnitCost[[#This Row],[Cost]]*FX_Rate, "Check Ref Currency"))</f>
        <v>Check Ref Currency</v>
      </c>
      <c r="H336" s="103">
        <f>TblUnitCost[[#This Row],[Cost]]/1600</f>
        <v>0</v>
      </c>
      <c r="I336" s="96"/>
      <c r="J336" s="96"/>
      <c r="K336" s="98"/>
      <c r="L336" s="96"/>
    </row>
    <row r="337" spans="2:12">
      <c r="B337" s="96"/>
      <c r="C337" s="96"/>
      <c r="D337" s="97"/>
      <c r="E337" s="97"/>
      <c r="F337" s="193"/>
      <c r="G337" s="103" t="str">
        <f>IF(TblUnitCost[[#This Row],[Currency]]=LCU, TblUnitCost[[#This Row],[Cost]], IF(TblUnitCost[[#This Row],[Currency]]=ACU, TblUnitCost[[#This Row],[Cost]]*FX_Rate, "Check Ref Currency"))</f>
        <v>Check Ref Currency</v>
      </c>
      <c r="H337" s="103">
        <f>TblUnitCost[[#This Row],[Cost]]/1600</f>
        <v>0</v>
      </c>
      <c r="I337" s="96"/>
      <c r="J337" s="96"/>
      <c r="K337" s="98"/>
      <c r="L337" s="96"/>
    </row>
    <row r="338" spans="2:12">
      <c r="B338" s="96"/>
      <c r="C338" s="96"/>
      <c r="D338" s="97"/>
      <c r="E338" s="97"/>
      <c r="F338" s="193"/>
      <c r="G338" s="103" t="str">
        <f>IF(TblUnitCost[[#This Row],[Currency]]=LCU, TblUnitCost[[#This Row],[Cost]], IF(TblUnitCost[[#This Row],[Currency]]=ACU, TblUnitCost[[#This Row],[Cost]]*FX_Rate, "Check Ref Currency"))</f>
        <v>Check Ref Currency</v>
      </c>
      <c r="H338" s="103">
        <f>TblUnitCost[[#This Row],[Cost]]/1600</f>
        <v>0</v>
      </c>
      <c r="I338" s="96"/>
      <c r="J338" s="96"/>
      <c r="K338" s="98"/>
      <c r="L338" s="96"/>
    </row>
    <row r="339" spans="2:12">
      <c r="B339" s="96"/>
      <c r="C339" s="96"/>
      <c r="D339" s="97"/>
      <c r="E339" s="97"/>
      <c r="F339" s="193"/>
      <c r="G339" s="103" t="str">
        <f>IF(TblUnitCost[[#This Row],[Currency]]=LCU, TblUnitCost[[#This Row],[Cost]], IF(TblUnitCost[[#This Row],[Currency]]=ACU, TblUnitCost[[#This Row],[Cost]]*FX_Rate, "Check Ref Currency"))</f>
        <v>Check Ref Currency</v>
      </c>
      <c r="H339" s="103">
        <f>TblUnitCost[[#This Row],[Cost]]/1600</f>
        <v>0</v>
      </c>
      <c r="I339" s="96"/>
      <c r="J339" s="96"/>
      <c r="K339" s="98"/>
      <c r="L339" s="96"/>
    </row>
    <row r="340" spans="2:12">
      <c r="B340" s="96"/>
      <c r="C340" s="96"/>
      <c r="D340" s="97"/>
      <c r="E340" s="97"/>
      <c r="F340" s="193"/>
      <c r="G340" s="103" t="str">
        <f>IF(TblUnitCost[[#This Row],[Currency]]=LCU, TblUnitCost[[#This Row],[Cost]], IF(TblUnitCost[[#This Row],[Currency]]=ACU, TblUnitCost[[#This Row],[Cost]]*FX_Rate, "Check Ref Currency"))</f>
        <v>Check Ref Currency</v>
      </c>
      <c r="H340" s="103">
        <f>TblUnitCost[[#This Row],[Cost]]/1600</f>
        <v>0</v>
      </c>
      <c r="I340" s="96"/>
      <c r="J340" s="96"/>
      <c r="K340" s="98"/>
      <c r="L340" s="96"/>
    </row>
    <row r="341" spans="2:12">
      <c r="B341" s="96"/>
      <c r="C341" s="96"/>
      <c r="D341" s="97"/>
      <c r="E341" s="97"/>
      <c r="F341" s="193"/>
      <c r="G341" s="103" t="str">
        <f>IF(TblUnitCost[[#This Row],[Currency]]=LCU, TblUnitCost[[#This Row],[Cost]], IF(TblUnitCost[[#This Row],[Currency]]=ACU, TblUnitCost[[#This Row],[Cost]]*FX_Rate, "Check Ref Currency"))</f>
        <v>Check Ref Currency</v>
      </c>
      <c r="H341" s="103">
        <f>TblUnitCost[[#This Row],[Cost]]/1600</f>
        <v>0</v>
      </c>
      <c r="I341" s="96"/>
      <c r="J341" s="96"/>
      <c r="K341" s="98"/>
      <c r="L341" s="96"/>
    </row>
    <row r="342" spans="2:12">
      <c r="B342" s="96"/>
      <c r="C342" s="96"/>
      <c r="D342" s="97"/>
      <c r="E342" s="97"/>
      <c r="F342" s="193"/>
      <c r="G342" s="103" t="str">
        <f>IF(TblUnitCost[[#This Row],[Currency]]=LCU, TblUnitCost[[#This Row],[Cost]], IF(TblUnitCost[[#This Row],[Currency]]=ACU, TblUnitCost[[#This Row],[Cost]]*FX_Rate, "Check Ref Currency"))</f>
        <v>Check Ref Currency</v>
      </c>
      <c r="H342" s="103">
        <f>TblUnitCost[[#This Row],[Cost]]/1600</f>
        <v>0</v>
      </c>
      <c r="I342" s="96"/>
      <c r="J342" s="96"/>
      <c r="K342" s="98"/>
      <c r="L342" s="96"/>
    </row>
    <row r="343" spans="2:12">
      <c r="B343" s="96"/>
      <c r="C343" s="96"/>
      <c r="D343" s="97"/>
      <c r="E343" s="97"/>
      <c r="F343" s="193"/>
      <c r="G343" s="103" t="str">
        <f>IF(TblUnitCost[[#This Row],[Currency]]=LCU, TblUnitCost[[#This Row],[Cost]], IF(TblUnitCost[[#This Row],[Currency]]=ACU, TblUnitCost[[#This Row],[Cost]]*FX_Rate, "Check Ref Currency"))</f>
        <v>Check Ref Currency</v>
      </c>
      <c r="H343" s="103">
        <f>TblUnitCost[[#This Row],[Cost]]/1600</f>
        <v>0</v>
      </c>
      <c r="I343" s="96"/>
      <c r="J343" s="96"/>
      <c r="K343" s="98"/>
      <c r="L343" s="96"/>
    </row>
    <row r="344" spans="2:12">
      <c r="B344" s="96"/>
      <c r="C344" s="96"/>
      <c r="D344" s="97"/>
      <c r="E344" s="97"/>
      <c r="F344" s="193"/>
      <c r="G344" s="103" t="str">
        <f>IF(TblUnitCost[[#This Row],[Currency]]=LCU, TblUnitCost[[#This Row],[Cost]], IF(TblUnitCost[[#This Row],[Currency]]=ACU, TblUnitCost[[#This Row],[Cost]]*FX_Rate, "Check Ref Currency"))</f>
        <v>Check Ref Currency</v>
      </c>
      <c r="H344" s="103">
        <f>TblUnitCost[[#This Row],[Cost]]/1600</f>
        <v>0</v>
      </c>
      <c r="I344" s="96"/>
      <c r="J344" s="96"/>
      <c r="K344" s="98"/>
      <c r="L344" s="96"/>
    </row>
    <row r="345" spans="2:12">
      <c r="B345" s="96"/>
      <c r="C345" s="96"/>
      <c r="D345" s="97"/>
      <c r="E345" s="97"/>
      <c r="F345" s="193"/>
      <c r="G345" s="103" t="str">
        <f>IF(TblUnitCost[[#This Row],[Currency]]=LCU, TblUnitCost[[#This Row],[Cost]], IF(TblUnitCost[[#This Row],[Currency]]=ACU, TblUnitCost[[#This Row],[Cost]]*FX_Rate, "Check Ref Currency"))</f>
        <v>Check Ref Currency</v>
      </c>
      <c r="H345" s="103">
        <f>TblUnitCost[[#This Row],[Cost]]/1600</f>
        <v>0</v>
      </c>
      <c r="I345" s="96"/>
      <c r="J345" s="96"/>
      <c r="K345" s="98"/>
      <c r="L345" s="96"/>
    </row>
    <row r="346" spans="2:12">
      <c r="B346" s="96"/>
      <c r="C346" s="96"/>
      <c r="D346" s="97"/>
      <c r="E346" s="97"/>
      <c r="F346" s="193"/>
      <c r="G346" s="103" t="str">
        <f>IF(TblUnitCost[[#This Row],[Currency]]=LCU, TblUnitCost[[#This Row],[Cost]], IF(TblUnitCost[[#This Row],[Currency]]=ACU, TblUnitCost[[#This Row],[Cost]]*FX_Rate, "Check Ref Currency"))</f>
        <v>Check Ref Currency</v>
      </c>
      <c r="H346" s="103">
        <f>TblUnitCost[[#This Row],[Cost]]/1600</f>
        <v>0</v>
      </c>
      <c r="I346" s="96"/>
      <c r="J346" s="96"/>
      <c r="K346" s="98"/>
      <c r="L346" s="96"/>
    </row>
    <row r="347" spans="2:12">
      <c r="B347" s="96"/>
      <c r="C347" s="96"/>
      <c r="D347" s="97"/>
      <c r="E347" s="97"/>
      <c r="F347" s="193"/>
      <c r="G347" s="103" t="str">
        <f>IF(TblUnitCost[[#This Row],[Currency]]=LCU, TblUnitCost[[#This Row],[Cost]], IF(TblUnitCost[[#This Row],[Currency]]=ACU, TblUnitCost[[#This Row],[Cost]]*FX_Rate, "Check Ref Currency"))</f>
        <v>Check Ref Currency</v>
      </c>
      <c r="H347" s="103">
        <f>TblUnitCost[[#This Row],[Cost]]/1600</f>
        <v>0</v>
      </c>
      <c r="I347" s="96"/>
      <c r="J347" s="96"/>
      <c r="K347" s="98"/>
      <c r="L347" s="96"/>
    </row>
    <row r="348" spans="2:12">
      <c r="B348" s="96"/>
      <c r="C348" s="96"/>
      <c r="D348" s="97"/>
      <c r="E348" s="97"/>
      <c r="F348" s="193"/>
      <c r="G348" s="103" t="str">
        <f>IF(TblUnitCost[[#This Row],[Currency]]=LCU, TblUnitCost[[#This Row],[Cost]], IF(TblUnitCost[[#This Row],[Currency]]=ACU, TblUnitCost[[#This Row],[Cost]]*FX_Rate, "Check Ref Currency"))</f>
        <v>Check Ref Currency</v>
      </c>
      <c r="H348" s="103">
        <f>TblUnitCost[[#This Row],[Cost]]/1600</f>
        <v>0</v>
      </c>
      <c r="I348" s="96"/>
      <c r="J348" s="96"/>
      <c r="K348" s="98"/>
      <c r="L348" s="96"/>
    </row>
    <row r="349" spans="2:12">
      <c r="B349" s="96"/>
      <c r="C349" s="96"/>
      <c r="D349" s="97"/>
      <c r="E349" s="97"/>
      <c r="F349" s="193"/>
      <c r="G349" s="103" t="str">
        <f>IF(TblUnitCost[[#This Row],[Currency]]=LCU, TblUnitCost[[#This Row],[Cost]], IF(TblUnitCost[[#This Row],[Currency]]=ACU, TblUnitCost[[#This Row],[Cost]]*FX_Rate, "Check Ref Currency"))</f>
        <v>Check Ref Currency</v>
      </c>
      <c r="H349" s="103">
        <f>TblUnitCost[[#This Row],[Cost]]/1600</f>
        <v>0</v>
      </c>
      <c r="I349" s="96"/>
      <c r="J349" s="96"/>
      <c r="K349" s="98"/>
      <c r="L349" s="96"/>
    </row>
    <row r="350" spans="2:12">
      <c r="B350" s="96"/>
      <c r="C350" s="96"/>
      <c r="D350" s="97"/>
      <c r="E350" s="97"/>
      <c r="F350" s="193"/>
      <c r="G350" s="103" t="str">
        <f>IF(TblUnitCost[[#This Row],[Currency]]=LCU, TblUnitCost[[#This Row],[Cost]], IF(TblUnitCost[[#This Row],[Currency]]=ACU, TblUnitCost[[#This Row],[Cost]]*FX_Rate, "Check Ref Currency"))</f>
        <v>Check Ref Currency</v>
      </c>
      <c r="H350" s="103">
        <f>TblUnitCost[[#This Row],[Cost]]/1600</f>
        <v>0</v>
      </c>
      <c r="I350" s="96"/>
      <c r="J350" s="96"/>
      <c r="K350" s="98"/>
      <c r="L350" s="96"/>
    </row>
    <row r="351" spans="2:12">
      <c r="B351" s="96"/>
      <c r="C351" s="96"/>
      <c r="D351" s="97"/>
      <c r="E351" s="97"/>
      <c r="F351" s="193"/>
      <c r="G351" s="103" t="str">
        <f>IF(TblUnitCost[[#This Row],[Currency]]=LCU, TblUnitCost[[#This Row],[Cost]], IF(TblUnitCost[[#This Row],[Currency]]=ACU, TblUnitCost[[#This Row],[Cost]]*FX_Rate, "Check Ref Currency"))</f>
        <v>Check Ref Currency</v>
      </c>
      <c r="H351" s="103">
        <f>TblUnitCost[[#This Row],[Cost]]/1600</f>
        <v>0</v>
      </c>
      <c r="I351" s="96"/>
      <c r="J351" s="96"/>
      <c r="K351" s="98"/>
      <c r="L351" s="96"/>
    </row>
    <row r="352" spans="2:12">
      <c r="B352" s="96"/>
      <c r="C352" s="96"/>
      <c r="D352" s="97"/>
      <c r="E352" s="97"/>
      <c r="F352" s="193"/>
      <c r="G352" s="103" t="str">
        <f>IF(TblUnitCost[[#This Row],[Currency]]=LCU, TblUnitCost[[#This Row],[Cost]], IF(TblUnitCost[[#This Row],[Currency]]=ACU, TblUnitCost[[#This Row],[Cost]]*FX_Rate, "Check Ref Currency"))</f>
        <v>Check Ref Currency</v>
      </c>
      <c r="H352" s="103">
        <f>TblUnitCost[[#This Row],[Cost]]/1600</f>
        <v>0</v>
      </c>
      <c r="I352" s="96"/>
      <c r="J352" s="96"/>
      <c r="K352" s="98"/>
      <c r="L352" s="96"/>
    </row>
    <row r="353" spans="2:12">
      <c r="B353" s="96"/>
      <c r="C353" s="96"/>
      <c r="D353" s="97"/>
      <c r="E353" s="97"/>
      <c r="F353" s="193"/>
      <c r="G353" s="103" t="str">
        <f>IF(TblUnitCost[[#This Row],[Currency]]=LCU, TblUnitCost[[#This Row],[Cost]], IF(TblUnitCost[[#This Row],[Currency]]=ACU, TblUnitCost[[#This Row],[Cost]]*FX_Rate, "Check Ref Currency"))</f>
        <v>Check Ref Currency</v>
      </c>
      <c r="H353" s="103">
        <f>TblUnitCost[[#This Row],[Cost]]/1600</f>
        <v>0</v>
      </c>
      <c r="I353" s="96"/>
      <c r="J353" s="96"/>
      <c r="K353" s="98"/>
      <c r="L353" s="96"/>
    </row>
    <row r="354" spans="2:12">
      <c r="B354" s="96"/>
      <c r="C354" s="96"/>
      <c r="D354" s="97"/>
      <c r="E354" s="97"/>
      <c r="F354" s="193"/>
      <c r="G354" s="103" t="str">
        <f>IF(TblUnitCost[[#This Row],[Currency]]=LCU, TblUnitCost[[#This Row],[Cost]], IF(TblUnitCost[[#This Row],[Currency]]=ACU, TblUnitCost[[#This Row],[Cost]]*FX_Rate, "Check Ref Currency"))</f>
        <v>Check Ref Currency</v>
      </c>
      <c r="H354" s="103">
        <f>TblUnitCost[[#This Row],[Cost]]/1600</f>
        <v>0</v>
      </c>
      <c r="I354" s="96"/>
      <c r="J354" s="96"/>
      <c r="K354" s="98"/>
      <c r="L354" s="96"/>
    </row>
    <row r="355" spans="2:12">
      <c r="B355" s="96"/>
      <c r="C355" s="96"/>
      <c r="D355" s="97"/>
      <c r="E355" s="97"/>
      <c r="F355" s="193"/>
      <c r="G355" s="103" t="str">
        <f>IF(TblUnitCost[[#This Row],[Currency]]=LCU, TblUnitCost[[#This Row],[Cost]], IF(TblUnitCost[[#This Row],[Currency]]=ACU, TblUnitCost[[#This Row],[Cost]]*FX_Rate, "Check Ref Currency"))</f>
        <v>Check Ref Currency</v>
      </c>
      <c r="H355" s="103">
        <f>TblUnitCost[[#This Row],[Cost]]/1600</f>
        <v>0</v>
      </c>
      <c r="I355" s="96"/>
      <c r="J355" s="96"/>
      <c r="K355" s="98"/>
      <c r="L355" s="96"/>
    </row>
    <row r="356" spans="2:12">
      <c r="B356" s="96"/>
      <c r="C356" s="96"/>
      <c r="D356" s="97"/>
      <c r="E356" s="97"/>
      <c r="F356" s="193"/>
      <c r="G356" s="103" t="str">
        <f>IF(TblUnitCost[[#This Row],[Currency]]=LCU, TblUnitCost[[#This Row],[Cost]], IF(TblUnitCost[[#This Row],[Currency]]=ACU, TblUnitCost[[#This Row],[Cost]]*FX_Rate, "Check Ref Currency"))</f>
        <v>Check Ref Currency</v>
      </c>
      <c r="H356" s="103">
        <f>TblUnitCost[[#This Row],[Cost]]/1600</f>
        <v>0</v>
      </c>
      <c r="I356" s="96"/>
      <c r="J356" s="96"/>
      <c r="K356" s="98"/>
      <c r="L356" s="96"/>
    </row>
    <row r="357" spans="2:12">
      <c r="B357" s="96"/>
      <c r="C357" s="96"/>
      <c r="D357" s="97"/>
      <c r="E357" s="97"/>
      <c r="F357" s="193"/>
      <c r="G357" s="103" t="str">
        <f>IF(TblUnitCost[[#This Row],[Currency]]=LCU, TblUnitCost[[#This Row],[Cost]], IF(TblUnitCost[[#This Row],[Currency]]=ACU, TblUnitCost[[#This Row],[Cost]]*FX_Rate, "Check Ref Currency"))</f>
        <v>Check Ref Currency</v>
      </c>
      <c r="H357" s="103">
        <f>TblUnitCost[[#This Row],[Cost]]/1600</f>
        <v>0</v>
      </c>
      <c r="I357" s="96"/>
      <c r="J357" s="96"/>
      <c r="K357" s="98"/>
      <c r="L357" s="96"/>
    </row>
    <row r="358" spans="2:12">
      <c r="B358" s="96"/>
      <c r="C358" s="96"/>
      <c r="D358" s="97"/>
      <c r="E358" s="97"/>
      <c r="F358" s="193"/>
      <c r="G358" s="103" t="str">
        <f>IF(TblUnitCost[[#This Row],[Currency]]=LCU, TblUnitCost[[#This Row],[Cost]], IF(TblUnitCost[[#This Row],[Currency]]=ACU, TblUnitCost[[#This Row],[Cost]]*FX_Rate, "Check Ref Currency"))</f>
        <v>Check Ref Currency</v>
      </c>
      <c r="H358" s="103">
        <f>TblUnitCost[[#This Row],[Cost]]/1600</f>
        <v>0</v>
      </c>
      <c r="I358" s="96"/>
      <c r="J358" s="96"/>
      <c r="K358" s="98"/>
      <c r="L358" s="96"/>
    </row>
    <row r="359" spans="2:12">
      <c r="B359" s="96"/>
      <c r="C359" s="96"/>
      <c r="D359" s="97"/>
      <c r="E359" s="97"/>
      <c r="F359" s="193"/>
      <c r="G359" s="103" t="str">
        <f>IF(TblUnitCost[[#This Row],[Currency]]=LCU, TblUnitCost[[#This Row],[Cost]], IF(TblUnitCost[[#This Row],[Currency]]=ACU, TblUnitCost[[#This Row],[Cost]]*FX_Rate, "Check Ref Currency"))</f>
        <v>Check Ref Currency</v>
      </c>
      <c r="H359" s="103">
        <f>TblUnitCost[[#This Row],[Cost]]/1600</f>
        <v>0</v>
      </c>
      <c r="I359" s="96"/>
      <c r="J359" s="96"/>
      <c r="K359" s="98"/>
      <c r="L359" s="96"/>
    </row>
    <row r="360" spans="2:12">
      <c r="B360" s="96"/>
      <c r="C360" s="96"/>
      <c r="D360" s="97"/>
      <c r="E360" s="97"/>
      <c r="F360" s="193"/>
      <c r="G360" s="103" t="str">
        <f>IF(TblUnitCost[[#This Row],[Currency]]=LCU, TblUnitCost[[#This Row],[Cost]], IF(TblUnitCost[[#This Row],[Currency]]=ACU, TblUnitCost[[#This Row],[Cost]]*FX_Rate, "Check Ref Currency"))</f>
        <v>Check Ref Currency</v>
      </c>
      <c r="H360" s="103">
        <f>TblUnitCost[[#This Row],[Cost]]/1600</f>
        <v>0</v>
      </c>
      <c r="I360" s="96"/>
      <c r="J360" s="96"/>
      <c r="K360" s="98"/>
      <c r="L360" s="96"/>
    </row>
    <row r="361" spans="2:12">
      <c r="B361" s="96"/>
      <c r="C361" s="96"/>
      <c r="D361" s="97"/>
      <c r="E361" s="97"/>
      <c r="F361" s="193"/>
      <c r="G361" s="103" t="str">
        <f>IF(TblUnitCost[[#This Row],[Currency]]=LCU, TblUnitCost[[#This Row],[Cost]], IF(TblUnitCost[[#This Row],[Currency]]=ACU, TblUnitCost[[#This Row],[Cost]]*FX_Rate, "Check Ref Currency"))</f>
        <v>Check Ref Currency</v>
      </c>
      <c r="H361" s="103">
        <f>TblUnitCost[[#This Row],[Cost]]/1600</f>
        <v>0</v>
      </c>
      <c r="I361" s="96"/>
      <c r="J361" s="96"/>
      <c r="K361" s="98"/>
      <c r="L361" s="96"/>
    </row>
    <row r="362" spans="2:12">
      <c r="B362" s="96"/>
      <c r="C362" s="96"/>
      <c r="D362" s="97"/>
      <c r="E362" s="97"/>
      <c r="F362" s="193"/>
      <c r="G362" s="103" t="str">
        <f>IF(TblUnitCost[[#This Row],[Currency]]=LCU, TblUnitCost[[#This Row],[Cost]], IF(TblUnitCost[[#This Row],[Currency]]=ACU, TblUnitCost[[#This Row],[Cost]]*FX_Rate, "Check Ref Currency"))</f>
        <v>Check Ref Currency</v>
      </c>
      <c r="H362" s="103">
        <f>TblUnitCost[[#This Row],[Cost]]/1600</f>
        <v>0</v>
      </c>
      <c r="I362" s="96"/>
      <c r="J362" s="96"/>
      <c r="K362" s="98"/>
      <c r="L362" s="96"/>
    </row>
    <row r="363" spans="2:12">
      <c r="B363" s="96"/>
      <c r="C363" s="96"/>
      <c r="D363" s="97"/>
      <c r="E363" s="97"/>
      <c r="F363" s="193"/>
      <c r="G363" s="103" t="str">
        <f>IF(TblUnitCost[[#This Row],[Currency]]=LCU, TblUnitCost[[#This Row],[Cost]], IF(TblUnitCost[[#This Row],[Currency]]=ACU, TblUnitCost[[#This Row],[Cost]]*FX_Rate, "Check Ref Currency"))</f>
        <v>Check Ref Currency</v>
      </c>
      <c r="H363" s="103">
        <f>TblUnitCost[[#This Row],[Cost]]/1600</f>
        <v>0</v>
      </c>
      <c r="I363" s="96"/>
      <c r="J363" s="96"/>
      <c r="K363" s="98"/>
      <c r="L363" s="96"/>
    </row>
    <row r="364" spans="2:12">
      <c r="B364" s="96"/>
      <c r="C364" s="96"/>
      <c r="D364" s="97"/>
      <c r="E364" s="97"/>
      <c r="F364" s="193"/>
      <c r="G364" s="103" t="str">
        <f>IF(TblUnitCost[[#This Row],[Currency]]=LCU, TblUnitCost[[#This Row],[Cost]], IF(TblUnitCost[[#This Row],[Currency]]=ACU, TblUnitCost[[#This Row],[Cost]]*FX_Rate, "Check Ref Currency"))</f>
        <v>Check Ref Currency</v>
      </c>
      <c r="H364" s="103">
        <f>TblUnitCost[[#This Row],[Cost]]/1600</f>
        <v>0</v>
      </c>
      <c r="I364" s="96"/>
      <c r="J364" s="96"/>
      <c r="K364" s="98"/>
      <c r="L364" s="96"/>
    </row>
    <row r="365" spans="2:12">
      <c r="B365" s="96"/>
      <c r="C365" s="96"/>
      <c r="D365" s="97"/>
      <c r="E365" s="97"/>
      <c r="F365" s="193"/>
      <c r="G365" s="103" t="str">
        <f>IF(TblUnitCost[[#This Row],[Currency]]=LCU, TblUnitCost[[#This Row],[Cost]], IF(TblUnitCost[[#This Row],[Currency]]=ACU, TblUnitCost[[#This Row],[Cost]]*FX_Rate, "Check Ref Currency"))</f>
        <v>Check Ref Currency</v>
      </c>
      <c r="H365" s="103">
        <f>TblUnitCost[[#This Row],[Cost]]/1600</f>
        <v>0</v>
      </c>
      <c r="I365" s="96"/>
      <c r="J365" s="96"/>
      <c r="K365" s="98"/>
      <c r="L365" s="96"/>
    </row>
    <row r="366" spans="2:12">
      <c r="B366" s="96"/>
      <c r="C366" s="96"/>
      <c r="D366" s="97"/>
      <c r="E366" s="97"/>
      <c r="F366" s="193"/>
      <c r="G366" s="103" t="str">
        <f>IF(TblUnitCost[[#This Row],[Currency]]=LCU, TblUnitCost[[#This Row],[Cost]], IF(TblUnitCost[[#This Row],[Currency]]=ACU, TblUnitCost[[#This Row],[Cost]]*FX_Rate, "Check Ref Currency"))</f>
        <v>Check Ref Currency</v>
      </c>
      <c r="H366" s="103">
        <f>TblUnitCost[[#This Row],[Cost]]/1600</f>
        <v>0</v>
      </c>
      <c r="I366" s="96"/>
      <c r="J366" s="96"/>
      <c r="K366" s="98"/>
      <c r="L366" s="96"/>
    </row>
    <row r="367" spans="2:12">
      <c r="B367" s="96"/>
      <c r="C367" s="96"/>
      <c r="D367" s="97"/>
      <c r="E367" s="97"/>
      <c r="F367" s="193"/>
      <c r="G367" s="103" t="str">
        <f>IF(TblUnitCost[[#This Row],[Currency]]=LCU, TblUnitCost[[#This Row],[Cost]], IF(TblUnitCost[[#This Row],[Currency]]=ACU, TblUnitCost[[#This Row],[Cost]]*FX_Rate, "Check Ref Currency"))</f>
        <v>Check Ref Currency</v>
      </c>
      <c r="H367" s="103">
        <f>TblUnitCost[[#This Row],[Cost]]/1600</f>
        <v>0</v>
      </c>
      <c r="I367" s="96"/>
      <c r="J367" s="96"/>
      <c r="K367" s="98"/>
      <c r="L367" s="96"/>
    </row>
    <row r="368" spans="2:12">
      <c r="B368" s="96"/>
      <c r="C368" s="96"/>
      <c r="D368" s="97"/>
      <c r="E368" s="97"/>
      <c r="F368" s="193"/>
      <c r="G368" s="103" t="str">
        <f>IF(TblUnitCost[[#This Row],[Currency]]=LCU, TblUnitCost[[#This Row],[Cost]], IF(TblUnitCost[[#This Row],[Currency]]=ACU, TblUnitCost[[#This Row],[Cost]]*FX_Rate, "Check Ref Currency"))</f>
        <v>Check Ref Currency</v>
      </c>
      <c r="H368" s="103">
        <f>TblUnitCost[[#This Row],[Cost]]/1600</f>
        <v>0</v>
      </c>
      <c r="I368" s="96"/>
      <c r="J368" s="96"/>
      <c r="K368" s="98"/>
      <c r="L368" s="96"/>
    </row>
    <row r="369" spans="2:12">
      <c r="B369" s="96"/>
      <c r="C369" s="96"/>
      <c r="D369" s="97"/>
      <c r="E369" s="97"/>
      <c r="F369" s="193"/>
      <c r="G369" s="103" t="str">
        <f>IF(TblUnitCost[[#This Row],[Currency]]=LCU, TblUnitCost[[#This Row],[Cost]], IF(TblUnitCost[[#This Row],[Currency]]=ACU, TblUnitCost[[#This Row],[Cost]]*FX_Rate, "Check Ref Currency"))</f>
        <v>Check Ref Currency</v>
      </c>
      <c r="H369" s="103">
        <f>TblUnitCost[[#This Row],[Cost]]/1600</f>
        <v>0</v>
      </c>
      <c r="I369" s="96"/>
      <c r="J369" s="96"/>
      <c r="K369" s="98"/>
      <c r="L369" s="96"/>
    </row>
    <row r="370" spans="2:12">
      <c r="B370" s="96"/>
      <c r="C370" s="96"/>
      <c r="D370" s="97"/>
      <c r="E370" s="97"/>
      <c r="F370" s="193"/>
      <c r="G370" s="103" t="str">
        <f>IF(TblUnitCost[[#This Row],[Currency]]=LCU, TblUnitCost[[#This Row],[Cost]], IF(TblUnitCost[[#This Row],[Currency]]=ACU, TblUnitCost[[#This Row],[Cost]]*FX_Rate, "Check Ref Currency"))</f>
        <v>Check Ref Currency</v>
      </c>
      <c r="H370" s="103">
        <f>TblUnitCost[[#This Row],[Cost]]/1600</f>
        <v>0</v>
      </c>
      <c r="I370" s="96"/>
      <c r="J370" s="96"/>
      <c r="K370" s="98"/>
      <c r="L370" s="96"/>
    </row>
    <row r="371" spans="2:12">
      <c r="B371" s="96"/>
      <c r="C371" s="96"/>
      <c r="D371" s="97"/>
      <c r="E371" s="97"/>
      <c r="F371" s="193"/>
      <c r="G371" s="103" t="str">
        <f>IF(TblUnitCost[[#This Row],[Currency]]=LCU, TblUnitCost[[#This Row],[Cost]], IF(TblUnitCost[[#This Row],[Currency]]=ACU, TblUnitCost[[#This Row],[Cost]]*FX_Rate, "Check Ref Currency"))</f>
        <v>Check Ref Currency</v>
      </c>
      <c r="H371" s="103">
        <f>TblUnitCost[[#This Row],[Cost]]/1600</f>
        <v>0</v>
      </c>
      <c r="I371" s="96"/>
      <c r="J371" s="96"/>
      <c r="K371" s="98"/>
      <c r="L371" s="96"/>
    </row>
    <row r="372" spans="2:12">
      <c r="B372" s="96"/>
      <c r="C372" s="96"/>
      <c r="D372" s="97"/>
      <c r="E372" s="97"/>
      <c r="F372" s="193"/>
      <c r="G372" s="103" t="str">
        <f>IF(TblUnitCost[[#This Row],[Currency]]=LCU, TblUnitCost[[#This Row],[Cost]], IF(TblUnitCost[[#This Row],[Currency]]=ACU, TblUnitCost[[#This Row],[Cost]]*FX_Rate, "Check Ref Currency"))</f>
        <v>Check Ref Currency</v>
      </c>
      <c r="H372" s="103">
        <f>TblUnitCost[[#This Row],[Cost]]/1600</f>
        <v>0</v>
      </c>
      <c r="I372" s="96"/>
      <c r="J372" s="96"/>
      <c r="K372" s="98"/>
      <c r="L372" s="96"/>
    </row>
    <row r="373" spans="2:12">
      <c r="B373" s="96"/>
      <c r="C373" s="96"/>
      <c r="D373" s="97"/>
      <c r="E373" s="97"/>
      <c r="F373" s="193"/>
      <c r="G373" s="103" t="str">
        <f>IF(TblUnitCost[[#This Row],[Currency]]=LCU, TblUnitCost[[#This Row],[Cost]], IF(TblUnitCost[[#This Row],[Currency]]=ACU, TblUnitCost[[#This Row],[Cost]]*FX_Rate, "Check Ref Currency"))</f>
        <v>Check Ref Currency</v>
      </c>
      <c r="H373" s="103">
        <f>TblUnitCost[[#This Row],[Cost]]/1600</f>
        <v>0</v>
      </c>
      <c r="I373" s="96"/>
      <c r="J373" s="96"/>
      <c r="K373" s="98"/>
      <c r="L373" s="96"/>
    </row>
    <row r="374" spans="2:12">
      <c r="B374" s="96"/>
      <c r="C374" s="96"/>
      <c r="D374" s="97"/>
      <c r="E374" s="97"/>
      <c r="F374" s="193"/>
      <c r="G374" s="103" t="str">
        <f>IF(TblUnitCost[[#This Row],[Currency]]=LCU, TblUnitCost[[#This Row],[Cost]], IF(TblUnitCost[[#This Row],[Currency]]=ACU, TblUnitCost[[#This Row],[Cost]]*FX_Rate, "Check Ref Currency"))</f>
        <v>Check Ref Currency</v>
      </c>
      <c r="H374" s="103">
        <f>TblUnitCost[[#This Row],[Cost]]/1600</f>
        <v>0</v>
      </c>
      <c r="I374" s="96"/>
      <c r="J374" s="96"/>
      <c r="K374" s="98"/>
      <c r="L374" s="96"/>
    </row>
    <row r="375" spans="2:12">
      <c r="B375" s="96"/>
      <c r="C375" s="96"/>
      <c r="D375" s="97"/>
      <c r="E375" s="97"/>
      <c r="F375" s="193"/>
      <c r="G375" s="103" t="str">
        <f>IF(TblUnitCost[[#This Row],[Currency]]=LCU, TblUnitCost[[#This Row],[Cost]], IF(TblUnitCost[[#This Row],[Currency]]=ACU, TblUnitCost[[#This Row],[Cost]]*FX_Rate, "Check Ref Currency"))</f>
        <v>Check Ref Currency</v>
      </c>
      <c r="H375" s="103">
        <f>TblUnitCost[[#This Row],[Cost]]/1600</f>
        <v>0</v>
      </c>
      <c r="I375" s="96"/>
      <c r="J375" s="96"/>
      <c r="K375" s="98"/>
      <c r="L375" s="96"/>
    </row>
    <row r="376" spans="2:12">
      <c r="B376" s="96"/>
      <c r="C376" s="96"/>
      <c r="D376" s="97"/>
      <c r="E376" s="97"/>
      <c r="F376" s="193"/>
      <c r="G376" s="103" t="str">
        <f>IF(TblUnitCost[[#This Row],[Currency]]=LCU, TblUnitCost[[#This Row],[Cost]], IF(TblUnitCost[[#This Row],[Currency]]=ACU, TblUnitCost[[#This Row],[Cost]]*FX_Rate, "Check Ref Currency"))</f>
        <v>Check Ref Currency</v>
      </c>
      <c r="H376" s="103">
        <f>TblUnitCost[[#This Row],[Cost]]/1600</f>
        <v>0</v>
      </c>
      <c r="I376" s="96"/>
      <c r="J376" s="96"/>
      <c r="K376" s="98"/>
      <c r="L376" s="96"/>
    </row>
    <row r="377" spans="2:12">
      <c r="B377" s="96"/>
      <c r="C377" s="96"/>
      <c r="D377" s="97"/>
      <c r="E377" s="97"/>
      <c r="F377" s="193"/>
      <c r="G377" s="103" t="str">
        <f>IF(TblUnitCost[[#This Row],[Currency]]=LCU, TblUnitCost[[#This Row],[Cost]], IF(TblUnitCost[[#This Row],[Currency]]=ACU, TblUnitCost[[#This Row],[Cost]]*FX_Rate, "Check Ref Currency"))</f>
        <v>Check Ref Currency</v>
      </c>
      <c r="H377" s="103">
        <f>TblUnitCost[[#This Row],[Cost]]/1600</f>
        <v>0</v>
      </c>
      <c r="I377" s="96"/>
      <c r="J377" s="96"/>
      <c r="K377" s="98"/>
      <c r="L377" s="96"/>
    </row>
    <row r="378" spans="2:12">
      <c r="B378" s="96"/>
      <c r="C378" s="96"/>
      <c r="D378" s="97"/>
      <c r="E378" s="97"/>
      <c r="F378" s="193"/>
      <c r="G378" s="103" t="str">
        <f>IF(TblUnitCost[[#This Row],[Currency]]=LCU, TblUnitCost[[#This Row],[Cost]], IF(TblUnitCost[[#This Row],[Currency]]=ACU, TblUnitCost[[#This Row],[Cost]]*FX_Rate, "Check Ref Currency"))</f>
        <v>Check Ref Currency</v>
      </c>
      <c r="H378" s="103">
        <f>TblUnitCost[[#This Row],[Cost]]/1600</f>
        <v>0</v>
      </c>
      <c r="I378" s="96"/>
      <c r="J378" s="96"/>
      <c r="K378" s="98"/>
      <c r="L378" s="96"/>
    </row>
    <row r="379" spans="2:12">
      <c r="B379" s="96"/>
      <c r="C379" s="96"/>
      <c r="D379" s="97"/>
      <c r="E379" s="97"/>
      <c r="F379" s="193"/>
      <c r="G379" s="103" t="str">
        <f>IF(TblUnitCost[[#This Row],[Currency]]=LCU, TblUnitCost[[#This Row],[Cost]], IF(TblUnitCost[[#This Row],[Currency]]=ACU, TblUnitCost[[#This Row],[Cost]]*FX_Rate, "Check Ref Currency"))</f>
        <v>Check Ref Currency</v>
      </c>
      <c r="H379" s="103">
        <f>TblUnitCost[[#This Row],[Cost]]/1600</f>
        <v>0</v>
      </c>
      <c r="I379" s="96"/>
      <c r="J379" s="96"/>
      <c r="K379" s="98"/>
      <c r="L379" s="96"/>
    </row>
    <row r="380" spans="2:12">
      <c r="B380" s="96"/>
      <c r="C380" s="96"/>
      <c r="D380" s="97"/>
      <c r="E380" s="97"/>
      <c r="F380" s="193"/>
      <c r="G380" s="103" t="str">
        <f>IF(TblUnitCost[[#This Row],[Currency]]=LCU, TblUnitCost[[#This Row],[Cost]], IF(TblUnitCost[[#This Row],[Currency]]=ACU, TblUnitCost[[#This Row],[Cost]]*FX_Rate, "Check Ref Currency"))</f>
        <v>Check Ref Currency</v>
      </c>
      <c r="H380" s="103">
        <f>TblUnitCost[[#This Row],[Cost]]/1600</f>
        <v>0</v>
      </c>
      <c r="I380" s="96"/>
      <c r="J380" s="96"/>
      <c r="K380" s="98"/>
      <c r="L380" s="96"/>
    </row>
    <row r="381" spans="2:12">
      <c r="B381" s="96"/>
      <c r="C381" s="96"/>
      <c r="D381" s="97"/>
      <c r="E381" s="97"/>
      <c r="F381" s="193"/>
      <c r="G381" s="103" t="str">
        <f>IF(TblUnitCost[[#This Row],[Currency]]=LCU, TblUnitCost[[#This Row],[Cost]], IF(TblUnitCost[[#This Row],[Currency]]=ACU, TblUnitCost[[#This Row],[Cost]]*FX_Rate, "Check Ref Currency"))</f>
        <v>Check Ref Currency</v>
      </c>
      <c r="H381" s="103">
        <f>TblUnitCost[[#This Row],[Cost]]/1600</f>
        <v>0</v>
      </c>
      <c r="I381" s="96"/>
      <c r="J381" s="96"/>
      <c r="K381" s="98"/>
      <c r="L381" s="96"/>
    </row>
    <row r="382" spans="2:12">
      <c r="B382" s="96"/>
      <c r="C382" s="96"/>
      <c r="D382" s="97"/>
      <c r="E382" s="97"/>
      <c r="F382" s="193"/>
      <c r="G382" s="103" t="str">
        <f>IF(TblUnitCost[[#This Row],[Currency]]=LCU, TblUnitCost[[#This Row],[Cost]], IF(TblUnitCost[[#This Row],[Currency]]=ACU, TblUnitCost[[#This Row],[Cost]]*FX_Rate, "Check Ref Currency"))</f>
        <v>Check Ref Currency</v>
      </c>
      <c r="H382" s="103">
        <f>TblUnitCost[[#This Row],[Cost]]/1600</f>
        <v>0</v>
      </c>
      <c r="I382" s="96"/>
      <c r="J382" s="96"/>
      <c r="K382" s="98"/>
      <c r="L382" s="96"/>
    </row>
    <row r="383" spans="2:12">
      <c r="B383" s="96"/>
      <c r="C383" s="96"/>
      <c r="D383" s="97"/>
      <c r="E383" s="97"/>
      <c r="F383" s="193"/>
      <c r="G383" s="103" t="str">
        <f>IF(TblUnitCost[[#This Row],[Currency]]=LCU, TblUnitCost[[#This Row],[Cost]], IF(TblUnitCost[[#This Row],[Currency]]=ACU, TblUnitCost[[#This Row],[Cost]]*FX_Rate, "Check Ref Currency"))</f>
        <v>Check Ref Currency</v>
      </c>
      <c r="H383" s="103">
        <f>TblUnitCost[[#This Row],[Cost]]/1600</f>
        <v>0</v>
      </c>
      <c r="I383" s="96"/>
      <c r="J383" s="96"/>
      <c r="K383" s="98"/>
      <c r="L383" s="96"/>
    </row>
    <row r="384" spans="2:12">
      <c r="B384" s="96"/>
      <c r="C384" s="96"/>
      <c r="D384" s="97"/>
      <c r="E384" s="97"/>
      <c r="F384" s="193"/>
      <c r="G384" s="103" t="str">
        <f>IF(TblUnitCost[[#This Row],[Currency]]=LCU, TblUnitCost[[#This Row],[Cost]], IF(TblUnitCost[[#This Row],[Currency]]=ACU, TblUnitCost[[#This Row],[Cost]]*FX_Rate, "Check Ref Currency"))</f>
        <v>Check Ref Currency</v>
      </c>
      <c r="H384" s="103">
        <f>TblUnitCost[[#This Row],[Cost]]/1600</f>
        <v>0</v>
      </c>
      <c r="I384" s="96"/>
      <c r="J384" s="96"/>
      <c r="K384" s="98"/>
      <c r="L384" s="96"/>
    </row>
    <row r="385" spans="2:12">
      <c r="B385" s="96"/>
      <c r="C385" s="96"/>
      <c r="D385" s="97"/>
      <c r="E385" s="97"/>
      <c r="F385" s="193"/>
      <c r="G385" s="103" t="str">
        <f>IF(TblUnitCost[[#This Row],[Currency]]=LCU, TblUnitCost[[#This Row],[Cost]], IF(TblUnitCost[[#This Row],[Currency]]=ACU, TblUnitCost[[#This Row],[Cost]]*FX_Rate, "Check Ref Currency"))</f>
        <v>Check Ref Currency</v>
      </c>
      <c r="H385" s="103">
        <f>TblUnitCost[[#This Row],[Cost]]/1600</f>
        <v>0</v>
      </c>
      <c r="I385" s="96"/>
      <c r="J385" s="96"/>
      <c r="K385" s="98"/>
      <c r="L385" s="96"/>
    </row>
    <row r="386" spans="2:12">
      <c r="B386" s="96"/>
      <c r="C386" s="96"/>
      <c r="D386" s="97"/>
      <c r="E386" s="97"/>
      <c r="F386" s="193"/>
      <c r="G386" s="103" t="str">
        <f>IF(TblUnitCost[[#This Row],[Currency]]=LCU, TblUnitCost[[#This Row],[Cost]], IF(TblUnitCost[[#This Row],[Currency]]=ACU, TblUnitCost[[#This Row],[Cost]]*FX_Rate, "Check Ref Currency"))</f>
        <v>Check Ref Currency</v>
      </c>
      <c r="H386" s="103">
        <f>TblUnitCost[[#This Row],[Cost]]/1600</f>
        <v>0</v>
      </c>
      <c r="I386" s="96"/>
      <c r="J386" s="96"/>
      <c r="K386" s="98"/>
      <c r="L386" s="96"/>
    </row>
    <row r="387" spans="2:12">
      <c r="B387" s="96"/>
      <c r="C387" s="96"/>
      <c r="D387" s="97"/>
      <c r="E387" s="97"/>
      <c r="F387" s="193"/>
      <c r="G387" s="103" t="str">
        <f>IF(TblUnitCost[[#This Row],[Currency]]=LCU, TblUnitCost[[#This Row],[Cost]], IF(TblUnitCost[[#This Row],[Currency]]=ACU, TblUnitCost[[#This Row],[Cost]]*FX_Rate, "Check Ref Currency"))</f>
        <v>Check Ref Currency</v>
      </c>
      <c r="H387" s="103">
        <f>TblUnitCost[[#This Row],[Cost]]/1600</f>
        <v>0</v>
      </c>
      <c r="I387" s="96"/>
      <c r="J387" s="96"/>
      <c r="K387" s="98"/>
      <c r="L387" s="96"/>
    </row>
    <row r="388" spans="2:12">
      <c r="B388" s="96"/>
      <c r="C388" s="96"/>
      <c r="D388" s="97"/>
      <c r="E388" s="97"/>
      <c r="F388" s="193"/>
      <c r="G388" s="103" t="str">
        <f>IF(TblUnitCost[[#This Row],[Currency]]=LCU, TblUnitCost[[#This Row],[Cost]], IF(TblUnitCost[[#This Row],[Currency]]=ACU, TblUnitCost[[#This Row],[Cost]]*FX_Rate, "Check Ref Currency"))</f>
        <v>Check Ref Currency</v>
      </c>
      <c r="H388" s="103">
        <f>TblUnitCost[[#This Row],[Cost]]/1600</f>
        <v>0</v>
      </c>
      <c r="I388" s="96"/>
      <c r="J388" s="96"/>
      <c r="K388" s="98"/>
      <c r="L388" s="96"/>
    </row>
    <row r="389" spans="2:12">
      <c r="B389" s="96"/>
      <c r="C389" s="96"/>
      <c r="D389" s="97"/>
      <c r="E389" s="97"/>
      <c r="F389" s="193"/>
      <c r="G389" s="103" t="str">
        <f>IF(TblUnitCost[[#This Row],[Currency]]=LCU, TblUnitCost[[#This Row],[Cost]], IF(TblUnitCost[[#This Row],[Currency]]=ACU, TblUnitCost[[#This Row],[Cost]]*FX_Rate, "Check Ref Currency"))</f>
        <v>Check Ref Currency</v>
      </c>
      <c r="H389" s="103">
        <f>TblUnitCost[[#This Row],[Cost]]/1600</f>
        <v>0</v>
      </c>
      <c r="I389" s="96"/>
      <c r="J389" s="96"/>
      <c r="K389" s="98"/>
      <c r="L389" s="96"/>
    </row>
    <row r="390" spans="2:12">
      <c r="B390" s="96"/>
      <c r="C390" s="96"/>
      <c r="D390" s="97"/>
      <c r="E390" s="97"/>
      <c r="F390" s="193"/>
      <c r="G390" s="103" t="str">
        <f>IF(TblUnitCost[[#This Row],[Currency]]=LCU, TblUnitCost[[#This Row],[Cost]], IF(TblUnitCost[[#This Row],[Currency]]=ACU, TblUnitCost[[#This Row],[Cost]]*FX_Rate, "Check Ref Currency"))</f>
        <v>Check Ref Currency</v>
      </c>
      <c r="H390" s="103">
        <f>TblUnitCost[[#This Row],[Cost]]/1600</f>
        <v>0</v>
      </c>
      <c r="I390" s="96"/>
      <c r="J390" s="96"/>
      <c r="K390" s="98"/>
      <c r="L390" s="96"/>
    </row>
    <row r="391" spans="2:12">
      <c r="B391" s="96"/>
      <c r="C391" s="96"/>
      <c r="D391" s="97"/>
      <c r="E391" s="97"/>
      <c r="F391" s="193"/>
      <c r="G391" s="103" t="str">
        <f>IF(TblUnitCost[[#This Row],[Currency]]=LCU, TblUnitCost[[#This Row],[Cost]], IF(TblUnitCost[[#This Row],[Currency]]=ACU, TblUnitCost[[#This Row],[Cost]]*FX_Rate, "Check Ref Currency"))</f>
        <v>Check Ref Currency</v>
      </c>
      <c r="H391" s="103">
        <f>TblUnitCost[[#This Row],[Cost]]/1600</f>
        <v>0</v>
      </c>
      <c r="I391" s="96"/>
      <c r="J391" s="96"/>
      <c r="K391" s="98"/>
      <c r="L391" s="96"/>
    </row>
    <row r="392" spans="2:12">
      <c r="B392" s="96"/>
      <c r="C392" s="96"/>
      <c r="D392" s="97"/>
      <c r="E392" s="97"/>
      <c r="F392" s="193"/>
      <c r="G392" s="103" t="str">
        <f>IF(TblUnitCost[[#This Row],[Currency]]=LCU, TblUnitCost[[#This Row],[Cost]], IF(TblUnitCost[[#This Row],[Currency]]=ACU, TblUnitCost[[#This Row],[Cost]]*FX_Rate, "Check Ref Currency"))</f>
        <v>Check Ref Currency</v>
      </c>
      <c r="H392" s="103">
        <f>TblUnitCost[[#This Row],[Cost]]/1600</f>
        <v>0</v>
      </c>
      <c r="I392" s="96"/>
      <c r="J392" s="96"/>
      <c r="K392" s="98"/>
      <c r="L392" s="96"/>
    </row>
    <row r="393" spans="2:12">
      <c r="B393" s="96"/>
      <c r="C393" s="96"/>
      <c r="D393" s="97"/>
      <c r="E393" s="97"/>
      <c r="F393" s="193"/>
      <c r="G393" s="103" t="str">
        <f>IF(TblUnitCost[[#This Row],[Currency]]=LCU, TblUnitCost[[#This Row],[Cost]], IF(TblUnitCost[[#This Row],[Currency]]=ACU, TblUnitCost[[#This Row],[Cost]]*FX_Rate, "Check Ref Currency"))</f>
        <v>Check Ref Currency</v>
      </c>
      <c r="H393" s="103">
        <f>TblUnitCost[[#This Row],[Cost]]/1600</f>
        <v>0</v>
      </c>
      <c r="I393" s="96"/>
      <c r="J393" s="96"/>
      <c r="K393" s="98"/>
      <c r="L393" s="96"/>
    </row>
    <row r="394" spans="2:12">
      <c r="B394" s="96"/>
      <c r="C394" s="96"/>
      <c r="D394" s="97"/>
      <c r="E394" s="97"/>
      <c r="F394" s="193"/>
      <c r="G394" s="103" t="str">
        <f>IF(TblUnitCost[[#This Row],[Currency]]=LCU, TblUnitCost[[#This Row],[Cost]], IF(TblUnitCost[[#This Row],[Currency]]=ACU, TblUnitCost[[#This Row],[Cost]]*FX_Rate, "Check Ref Currency"))</f>
        <v>Check Ref Currency</v>
      </c>
      <c r="H394" s="103">
        <f>TblUnitCost[[#This Row],[Cost]]/1600</f>
        <v>0</v>
      </c>
      <c r="I394" s="96"/>
      <c r="J394" s="96"/>
      <c r="K394" s="98"/>
      <c r="L394" s="96"/>
    </row>
    <row r="395" spans="2:12">
      <c r="B395" s="96"/>
      <c r="C395" s="96"/>
      <c r="D395" s="97"/>
      <c r="E395" s="97"/>
      <c r="F395" s="193"/>
      <c r="G395" s="103" t="str">
        <f>IF(TblUnitCost[[#This Row],[Currency]]=LCU, TblUnitCost[[#This Row],[Cost]], IF(TblUnitCost[[#This Row],[Currency]]=ACU, TblUnitCost[[#This Row],[Cost]]*FX_Rate, "Check Ref Currency"))</f>
        <v>Check Ref Currency</v>
      </c>
      <c r="H395" s="103">
        <f>TblUnitCost[[#This Row],[Cost]]/1600</f>
        <v>0</v>
      </c>
      <c r="I395" s="96"/>
      <c r="J395" s="96"/>
      <c r="K395" s="98"/>
      <c r="L395" s="96"/>
    </row>
    <row r="396" spans="2:12">
      <c r="B396" s="96"/>
      <c r="C396" s="96"/>
      <c r="D396" s="97"/>
      <c r="E396" s="97"/>
      <c r="F396" s="193"/>
      <c r="G396" s="103" t="str">
        <f>IF(TblUnitCost[[#This Row],[Currency]]=LCU, TblUnitCost[[#This Row],[Cost]], IF(TblUnitCost[[#This Row],[Currency]]=ACU, TblUnitCost[[#This Row],[Cost]]*FX_Rate, "Check Ref Currency"))</f>
        <v>Check Ref Currency</v>
      </c>
      <c r="H396" s="103">
        <f>TblUnitCost[[#This Row],[Cost]]/1600</f>
        <v>0</v>
      </c>
      <c r="I396" s="96"/>
      <c r="J396" s="96"/>
      <c r="K396" s="98"/>
      <c r="L396" s="96"/>
    </row>
    <row r="397" spans="2:12">
      <c r="B397" s="96"/>
      <c r="C397" s="96"/>
      <c r="D397" s="97"/>
      <c r="E397" s="97"/>
      <c r="F397" s="193"/>
      <c r="G397" s="103" t="str">
        <f>IF(TblUnitCost[[#This Row],[Currency]]=LCU, TblUnitCost[[#This Row],[Cost]], IF(TblUnitCost[[#This Row],[Currency]]=ACU, TblUnitCost[[#This Row],[Cost]]*FX_Rate, "Check Ref Currency"))</f>
        <v>Check Ref Currency</v>
      </c>
      <c r="H397" s="103">
        <f>TblUnitCost[[#This Row],[Cost]]/1600</f>
        <v>0</v>
      </c>
      <c r="I397" s="96"/>
      <c r="J397" s="96"/>
      <c r="K397" s="98"/>
      <c r="L397" s="96"/>
    </row>
    <row r="398" spans="2:12">
      <c r="B398" s="96"/>
      <c r="C398" s="96"/>
      <c r="D398" s="97"/>
      <c r="E398" s="97"/>
      <c r="F398" s="193"/>
      <c r="G398" s="103" t="str">
        <f>IF(TblUnitCost[[#This Row],[Currency]]=LCU, TblUnitCost[[#This Row],[Cost]], IF(TblUnitCost[[#This Row],[Currency]]=ACU, TblUnitCost[[#This Row],[Cost]]*FX_Rate, "Check Ref Currency"))</f>
        <v>Check Ref Currency</v>
      </c>
      <c r="H398" s="103">
        <f>TblUnitCost[[#This Row],[Cost]]/1600</f>
        <v>0</v>
      </c>
      <c r="I398" s="96"/>
      <c r="J398" s="96"/>
      <c r="K398" s="98"/>
      <c r="L398" s="96"/>
    </row>
    <row r="399" spans="2:12">
      <c r="B399" s="96"/>
      <c r="C399" s="96"/>
      <c r="D399" s="97"/>
      <c r="E399" s="97"/>
      <c r="F399" s="193"/>
      <c r="G399" s="103" t="str">
        <f>IF(TblUnitCost[[#This Row],[Currency]]=LCU, TblUnitCost[[#This Row],[Cost]], IF(TblUnitCost[[#This Row],[Currency]]=ACU, TblUnitCost[[#This Row],[Cost]]*FX_Rate, "Check Ref Currency"))</f>
        <v>Check Ref Currency</v>
      </c>
      <c r="H399" s="103">
        <f>TblUnitCost[[#This Row],[Cost]]/1600</f>
        <v>0</v>
      </c>
      <c r="I399" s="96"/>
      <c r="J399" s="96"/>
      <c r="K399" s="98"/>
      <c r="L399" s="96"/>
    </row>
    <row r="400" spans="2:12">
      <c r="B400" s="96"/>
      <c r="C400" s="96"/>
      <c r="D400" s="97"/>
      <c r="E400" s="97"/>
      <c r="F400" s="193"/>
      <c r="G400" s="103" t="str">
        <f>IF(TblUnitCost[[#This Row],[Currency]]=LCU, TblUnitCost[[#This Row],[Cost]], IF(TblUnitCost[[#This Row],[Currency]]=ACU, TblUnitCost[[#This Row],[Cost]]*FX_Rate, "Check Ref Currency"))</f>
        <v>Check Ref Currency</v>
      </c>
      <c r="H400" s="103">
        <f>TblUnitCost[[#This Row],[Cost]]/1600</f>
        <v>0</v>
      </c>
      <c r="I400" s="96"/>
      <c r="J400" s="96"/>
      <c r="K400" s="98"/>
      <c r="L400" s="96"/>
    </row>
    <row r="401" spans="2:12">
      <c r="B401" s="96"/>
      <c r="C401" s="96"/>
      <c r="D401" s="97"/>
      <c r="E401" s="97"/>
      <c r="F401" s="193"/>
      <c r="G401" s="103" t="str">
        <f>IF(TblUnitCost[[#This Row],[Currency]]=LCU, TblUnitCost[[#This Row],[Cost]], IF(TblUnitCost[[#This Row],[Currency]]=ACU, TblUnitCost[[#This Row],[Cost]]*FX_Rate, "Check Ref Currency"))</f>
        <v>Check Ref Currency</v>
      </c>
      <c r="H401" s="103">
        <f>TblUnitCost[[#This Row],[Cost]]/1600</f>
        <v>0</v>
      </c>
      <c r="I401" s="96"/>
      <c r="J401" s="96"/>
      <c r="K401" s="98"/>
      <c r="L401" s="96"/>
    </row>
    <row r="402" spans="2:12">
      <c r="B402" s="96"/>
      <c r="C402" s="96"/>
      <c r="D402" s="97"/>
      <c r="E402" s="97"/>
      <c r="F402" s="193"/>
      <c r="G402" s="103" t="str">
        <f>IF(TblUnitCost[[#This Row],[Currency]]=LCU, TblUnitCost[[#This Row],[Cost]], IF(TblUnitCost[[#This Row],[Currency]]=ACU, TblUnitCost[[#This Row],[Cost]]*FX_Rate, "Check Ref Currency"))</f>
        <v>Check Ref Currency</v>
      </c>
      <c r="H402" s="103">
        <f>TblUnitCost[[#This Row],[Cost]]/1600</f>
        <v>0</v>
      </c>
      <c r="I402" s="96"/>
      <c r="J402" s="96"/>
      <c r="K402" s="98"/>
      <c r="L402" s="96"/>
    </row>
    <row r="403" spans="2:12">
      <c r="B403" s="96"/>
      <c r="C403" s="96"/>
      <c r="D403" s="97"/>
      <c r="E403" s="97"/>
      <c r="F403" s="193"/>
      <c r="G403" s="103" t="str">
        <f>IF(TblUnitCost[[#This Row],[Currency]]=LCU, TblUnitCost[[#This Row],[Cost]], IF(TblUnitCost[[#This Row],[Currency]]=ACU, TblUnitCost[[#This Row],[Cost]]*FX_Rate, "Check Ref Currency"))</f>
        <v>Check Ref Currency</v>
      </c>
      <c r="H403" s="103">
        <f>TblUnitCost[[#This Row],[Cost]]/1600</f>
        <v>0</v>
      </c>
      <c r="I403" s="96"/>
      <c r="J403" s="96"/>
      <c r="K403" s="98"/>
      <c r="L403" s="96"/>
    </row>
    <row r="404" spans="2:12">
      <c r="B404" s="96"/>
      <c r="C404" s="96"/>
      <c r="D404" s="97"/>
      <c r="E404" s="97"/>
      <c r="F404" s="193"/>
      <c r="G404" s="103" t="str">
        <f>IF(TblUnitCost[[#This Row],[Currency]]=LCU, TblUnitCost[[#This Row],[Cost]], IF(TblUnitCost[[#This Row],[Currency]]=ACU, TblUnitCost[[#This Row],[Cost]]*FX_Rate, "Check Ref Currency"))</f>
        <v>Check Ref Currency</v>
      </c>
      <c r="H404" s="103">
        <f>TblUnitCost[[#This Row],[Cost]]/1600</f>
        <v>0</v>
      </c>
      <c r="I404" s="96"/>
      <c r="J404" s="96"/>
      <c r="K404" s="98"/>
      <c r="L404" s="96"/>
    </row>
    <row r="405" spans="2:12">
      <c r="B405" s="96"/>
      <c r="C405" s="96"/>
      <c r="D405" s="97"/>
      <c r="E405" s="97"/>
      <c r="F405" s="193"/>
      <c r="G405" s="103" t="str">
        <f>IF(TblUnitCost[[#This Row],[Currency]]=LCU, TblUnitCost[[#This Row],[Cost]], IF(TblUnitCost[[#This Row],[Currency]]=ACU, TblUnitCost[[#This Row],[Cost]]*FX_Rate, "Check Ref Currency"))</f>
        <v>Check Ref Currency</v>
      </c>
      <c r="H405" s="103">
        <f>TblUnitCost[[#This Row],[Cost]]/1600</f>
        <v>0</v>
      </c>
      <c r="I405" s="96"/>
      <c r="J405" s="96"/>
      <c r="K405" s="98"/>
      <c r="L405" s="96"/>
    </row>
    <row r="406" spans="2:12">
      <c r="B406" s="96"/>
      <c r="C406" s="96"/>
      <c r="D406" s="97"/>
      <c r="E406" s="97"/>
      <c r="F406" s="193"/>
      <c r="G406" s="103" t="str">
        <f>IF(TblUnitCost[[#This Row],[Currency]]=LCU, TblUnitCost[[#This Row],[Cost]], IF(TblUnitCost[[#This Row],[Currency]]=ACU, TblUnitCost[[#This Row],[Cost]]*FX_Rate, "Check Ref Currency"))</f>
        <v>Check Ref Currency</v>
      </c>
      <c r="H406" s="103">
        <f>TblUnitCost[[#This Row],[Cost]]/1600</f>
        <v>0</v>
      </c>
      <c r="I406" s="96"/>
      <c r="J406" s="96"/>
      <c r="K406" s="98"/>
      <c r="L406" s="96"/>
    </row>
    <row r="407" spans="2:12">
      <c r="B407" s="96"/>
      <c r="C407" s="96"/>
      <c r="D407" s="97"/>
      <c r="E407" s="97"/>
      <c r="F407" s="193"/>
      <c r="G407" s="103" t="str">
        <f>IF(TblUnitCost[[#This Row],[Currency]]=LCU, TblUnitCost[[#This Row],[Cost]], IF(TblUnitCost[[#This Row],[Currency]]=ACU, TblUnitCost[[#This Row],[Cost]]*FX_Rate, "Check Ref Currency"))</f>
        <v>Check Ref Currency</v>
      </c>
      <c r="H407" s="103">
        <f>TblUnitCost[[#This Row],[Cost]]/1600</f>
        <v>0</v>
      </c>
      <c r="I407" s="96"/>
      <c r="J407" s="96"/>
      <c r="K407" s="98"/>
      <c r="L407" s="96"/>
    </row>
    <row r="408" spans="2:12">
      <c r="B408" s="96"/>
      <c r="C408" s="96"/>
      <c r="D408" s="97"/>
      <c r="E408" s="97"/>
      <c r="F408" s="193"/>
      <c r="G408" s="103" t="str">
        <f>IF(TblUnitCost[[#This Row],[Currency]]=LCU, TblUnitCost[[#This Row],[Cost]], IF(TblUnitCost[[#This Row],[Currency]]=ACU, TblUnitCost[[#This Row],[Cost]]*FX_Rate, "Check Ref Currency"))</f>
        <v>Check Ref Currency</v>
      </c>
      <c r="H408" s="103">
        <f>TblUnitCost[[#This Row],[Cost]]/1600</f>
        <v>0</v>
      </c>
      <c r="I408" s="96"/>
      <c r="J408" s="96"/>
      <c r="K408" s="98"/>
      <c r="L408" s="96"/>
    </row>
    <row r="409" spans="2:12">
      <c r="B409" s="96"/>
      <c r="C409" s="96"/>
      <c r="D409" s="97"/>
      <c r="E409" s="97"/>
      <c r="F409" s="193"/>
      <c r="G409" s="103" t="str">
        <f>IF(TblUnitCost[[#This Row],[Currency]]=LCU, TblUnitCost[[#This Row],[Cost]], IF(TblUnitCost[[#This Row],[Currency]]=ACU, TblUnitCost[[#This Row],[Cost]]*FX_Rate, "Check Ref Currency"))</f>
        <v>Check Ref Currency</v>
      </c>
      <c r="H409" s="103">
        <f>TblUnitCost[[#This Row],[Cost]]/1600</f>
        <v>0</v>
      </c>
      <c r="I409" s="96"/>
      <c r="J409" s="96"/>
      <c r="K409" s="98"/>
      <c r="L409" s="96"/>
    </row>
    <row r="410" spans="2:12">
      <c r="B410" s="96"/>
      <c r="C410" s="96"/>
      <c r="D410" s="97"/>
      <c r="E410" s="97"/>
      <c r="F410" s="193"/>
      <c r="G410" s="103" t="str">
        <f>IF(TblUnitCost[[#This Row],[Currency]]=LCU, TblUnitCost[[#This Row],[Cost]], IF(TblUnitCost[[#This Row],[Currency]]=ACU, TblUnitCost[[#This Row],[Cost]]*FX_Rate, "Check Ref Currency"))</f>
        <v>Check Ref Currency</v>
      </c>
      <c r="H410" s="103">
        <f>TblUnitCost[[#This Row],[Cost]]/1600</f>
        <v>0</v>
      </c>
      <c r="I410" s="96"/>
      <c r="J410" s="96"/>
      <c r="K410" s="98"/>
      <c r="L410" s="96"/>
    </row>
    <row r="411" spans="2:12">
      <c r="B411" s="96"/>
      <c r="C411" s="96"/>
      <c r="D411" s="97"/>
      <c r="E411" s="97"/>
      <c r="F411" s="193"/>
      <c r="G411" s="103" t="str">
        <f>IF(TblUnitCost[[#This Row],[Currency]]=LCU, TblUnitCost[[#This Row],[Cost]], IF(TblUnitCost[[#This Row],[Currency]]=ACU, TblUnitCost[[#This Row],[Cost]]*FX_Rate, "Check Ref Currency"))</f>
        <v>Check Ref Currency</v>
      </c>
      <c r="H411" s="103">
        <f>TblUnitCost[[#This Row],[Cost]]/1600</f>
        <v>0</v>
      </c>
      <c r="I411" s="96"/>
      <c r="J411" s="96"/>
      <c r="K411" s="98"/>
      <c r="L411" s="96"/>
    </row>
    <row r="412" spans="2:12">
      <c r="B412" s="96"/>
      <c r="C412" s="96"/>
      <c r="D412" s="97"/>
      <c r="E412" s="97"/>
      <c r="F412" s="193"/>
      <c r="G412" s="103" t="str">
        <f>IF(TblUnitCost[[#This Row],[Currency]]=LCU, TblUnitCost[[#This Row],[Cost]], IF(TblUnitCost[[#This Row],[Currency]]=ACU, TblUnitCost[[#This Row],[Cost]]*FX_Rate, "Check Ref Currency"))</f>
        <v>Check Ref Currency</v>
      </c>
      <c r="H412" s="103">
        <f>TblUnitCost[[#This Row],[Cost]]/1600</f>
        <v>0</v>
      </c>
      <c r="I412" s="96"/>
      <c r="J412" s="96"/>
      <c r="K412" s="98"/>
      <c r="L412" s="96"/>
    </row>
    <row r="413" spans="2:12">
      <c r="B413" s="96"/>
      <c r="C413" s="96"/>
      <c r="D413" s="97"/>
      <c r="E413" s="97"/>
      <c r="F413" s="193"/>
      <c r="G413" s="103" t="str">
        <f>IF(TblUnitCost[[#This Row],[Currency]]=LCU, TblUnitCost[[#This Row],[Cost]], IF(TblUnitCost[[#This Row],[Currency]]=ACU, TblUnitCost[[#This Row],[Cost]]*FX_Rate, "Check Ref Currency"))</f>
        <v>Check Ref Currency</v>
      </c>
      <c r="H413" s="103">
        <f>TblUnitCost[[#This Row],[Cost]]/1600</f>
        <v>0</v>
      </c>
      <c r="I413" s="96"/>
      <c r="J413" s="96"/>
      <c r="K413" s="98"/>
      <c r="L413" s="96"/>
    </row>
    <row r="414" spans="2:12">
      <c r="B414" s="96"/>
      <c r="C414" s="96"/>
      <c r="D414" s="97"/>
      <c r="E414" s="97"/>
      <c r="F414" s="193"/>
      <c r="G414" s="103" t="str">
        <f>IF(TblUnitCost[[#This Row],[Currency]]=LCU, TblUnitCost[[#This Row],[Cost]], IF(TblUnitCost[[#This Row],[Currency]]=ACU, TblUnitCost[[#This Row],[Cost]]*FX_Rate, "Check Ref Currency"))</f>
        <v>Check Ref Currency</v>
      </c>
      <c r="H414" s="103">
        <f>TblUnitCost[[#This Row],[Cost]]/1600</f>
        <v>0</v>
      </c>
      <c r="I414" s="96"/>
      <c r="J414" s="96"/>
      <c r="K414" s="98"/>
      <c r="L414" s="96"/>
    </row>
    <row r="415" spans="2:12">
      <c r="B415" s="96"/>
      <c r="C415" s="96"/>
      <c r="D415" s="97"/>
      <c r="E415" s="97"/>
      <c r="F415" s="193"/>
      <c r="G415" s="103" t="str">
        <f>IF(TblUnitCost[[#This Row],[Currency]]=LCU, TblUnitCost[[#This Row],[Cost]], IF(TblUnitCost[[#This Row],[Currency]]=ACU, TblUnitCost[[#This Row],[Cost]]*FX_Rate, "Check Ref Currency"))</f>
        <v>Check Ref Currency</v>
      </c>
      <c r="H415" s="103">
        <f>TblUnitCost[[#This Row],[Cost]]/1600</f>
        <v>0</v>
      </c>
      <c r="I415" s="96"/>
      <c r="J415" s="96"/>
      <c r="K415" s="98"/>
      <c r="L415" s="96"/>
    </row>
    <row r="416" spans="2:12">
      <c r="B416" s="96"/>
      <c r="C416" s="96"/>
      <c r="D416" s="97"/>
      <c r="E416" s="97"/>
      <c r="F416" s="193"/>
      <c r="G416" s="103" t="str">
        <f>IF(TblUnitCost[[#This Row],[Currency]]=LCU, TblUnitCost[[#This Row],[Cost]], IF(TblUnitCost[[#This Row],[Currency]]=ACU, TblUnitCost[[#This Row],[Cost]]*FX_Rate, "Check Ref Currency"))</f>
        <v>Check Ref Currency</v>
      </c>
      <c r="H416" s="103">
        <f>TblUnitCost[[#This Row],[Cost]]/1600</f>
        <v>0</v>
      </c>
      <c r="I416" s="96"/>
      <c r="J416" s="96"/>
      <c r="K416" s="98"/>
      <c r="L416" s="96"/>
    </row>
    <row r="417" spans="2:12">
      <c r="B417" s="96"/>
      <c r="C417" s="96"/>
      <c r="D417" s="97"/>
      <c r="E417" s="97"/>
      <c r="F417" s="193"/>
      <c r="G417" s="103" t="str">
        <f>IF(TblUnitCost[[#This Row],[Currency]]=LCU, TblUnitCost[[#This Row],[Cost]], IF(TblUnitCost[[#This Row],[Currency]]=ACU, TblUnitCost[[#This Row],[Cost]]*FX_Rate, "Check Ref Currency"))</f>
        <v>Check Ref Currency</v>
      </c>
      <c r="H417" s="103">
        <f>TblUnitCost[[#This Row],[Cost]]/1600</f>
        <v>0</v>
      </c>
      <c r="I417" s="96"/>
      <c r="J417" s="96"/>
      <c r="K417" s="98"/>
      <c r="L417" s="96"/>
    </row>
    <row r="418" spans="2:12">
      <c r="B418" s="96"/>
      <c r="C418" s="96"/>
      <c r="D418" s="97"/>
      <c r="E418" s="97"/>
      <c r="F418" s="193"/>
      <c r="G418" s="103" t="str">
        <f>IF(TblUnitCost[[#This Row],[Currency]]=LCU, TblUnitCost[[#This Row],[Cost]], IF(TblUnitCost[[#This Row],[Currency]]=ACU, TblUnitCost[[#This Row],[Cost]]*FX_Rate, "Check Ref Currency"))</f>
        <v>Check Ref Currency</v>
      </c>
      <c r="H418" s="103">
        <f>TblUnitCost[[#This Row],[Cost]]/1600</f>
        <v>0</v>
      </c>
      <c r="I418" s="96"/>
      <c r="J418" s="96"/>
      <c r="K418" s="98"/>
      <c r="L418" s="96"/>
    </row>
    <row r="419" spans="2:12">
      <c r="B419" s="96"/>
      <c r="C419" s="96"/>
      <c r="D419" s="97"/>
      <c r="E419" s="97"/>
      <c r="F419" s="193"/>
      <c r="G419" s="103" t="str">
        <f>IF(TblUnitCost[[#This Row],[Currency]]=LCU, TblUnitCost[[#This Row],[Cost]], IF(TblUnitCost[[#This Row],[Currency]]=ACU, TblUnitCost[[#This Row],[Cost]]*FX_Rate, "Check Ref Currency"))</f>
        <v>Check Ref Currency</v>
      </c>
      <c r="H419" s="103">
        <f>TblUnitCost[[#This Row],[Cost]]/1600</f>
        <v>0</v>
      </c>
      <c r="I419" s="96"/>
      <c r="J419" s="96"/>
      <c r="K419" s="98"/>
      <c r="L419" s="96"/>
    </row>
    <row r="420" spans="2:12">
      <c r="B420" s="96"/>
      <c r="C420" s="96"/>
      <c r="D420" s="97"/>
      <c r="E420" s="97"/>
      <c r="F420" s="193"/>
      <c r="G420" s="103" t="str">
        <f>IF(TblUnitCost[[#This Row],[Currency]]=LCU, TblUnitCost[[#This Row],[Cost]], IF(TblUnitCost[[#This Row],[Currency]]=ACU, TblUnitCost[[#This Row],[Cost]]*FX_Rate, "Check Ref Currency"))</f>
        <v>Check Ref Currency</v>
      </c>
      <c r="H420" s="103">
        <f>TblUnitCost[[#This Row],[Cost]]/1600</f>
        <v>0</v>
      </c>
      <c r="I420" s="96"/>
      <c r="J420" s="96"/>
      <c r="K420" s="98"/>
      <c r="L420" s="96"/>
    </row>
    <row r="421" spans="2:12">
      <c r="B421" s="96"/>
      <c r="C421" s="96"/>
      <c r="D421" s="97"/>
      <c r="E421" s="97"/>
      <c r="F421" s="193"/>
      <c r="G421" s="103" t="str">
        <f>IF(TblUnitCost[[#This Row],[Currency]]=LCU, TblUnitCost[[#This Row],[Cost]], IF(TblUnitCost[[#This Row],[Currency]]=ACU, TblUnitCost[[#This Row],[Cost]]*FX_Rate, "Check Ref Currency"))</f>
        <v>Check Ref Currency</v>
      </c>
      <c r="H421" s="103">
        <f>TblUnitCost[[#This Row],[Cost]]/1600</f>
        <v>0</v>
      </c>
      <c r="I421" s="96"/>
      <c r="J421" s="96"/>
      <c r="K421" s="98"/>
      <c r="L421" s="96"/>
    </row>
    <row r="422" spans="2:12">
      <c r="B422" s="96"/>
      <c r="C422" s="96"/>
      <c r="D422" s="97"/>
      <c r="E422" s="97"/>
      <c r="F422" s="193"/>
      <c r="G422" s="103" t="str">
        <f>IF(TblUnitCost[[#This Row],[Currency]]=LCU, TblUnitCost[[#This Row],[Cost]], IF(TblUnitCost[[#This Row],[Currency]]=ACU, TblUnitCost[[#This Row],[Cost]]*FX_Rate, "Check Ref Currency"))</f>
        <v>Check Ref Currency</v>
      </c>
      <c r="H422" s="103">
        <f>TblUnitCost[[#This Row],[Cost]]/1600</f>
        <v>0</v>
      </c>
      <c r="I422" s="96"/>
      <c r="J422" s="96"/>
      <c r="K422" s="98"/>
      <c r="L422" s="96"/>
    </row>
    <row r="423" spans="2:12">
      <c r="B423" s="96"/>
      <c r="C423" s="96"/>
      <c r="D423" s="97"/>
      <c r="E423" s="97"/>
      <c r="F423" s="193"/>
      <c r="G423" s="103" t="str">
        <f>IF(TblUnitCost[[#This Row],[Currency]]=LCU, TblUnitCost[[#This Row],[Cost]], IF(TblUnitCost[[#This Row],[Currency]]=ACU, TblUnitCost[[#This Row],[Cost]]*FX_Rate, "Check Ref Currency"))</f>
        <v>Check Ref Currency</v>
      </c>
      <c r="H423" s="103">
        <f>TblUnitCost[[#This Row],[Cost]]/1600</f>
        <v>0</v>
      </c>
      <c r="I423" s="96"/>
      <c r="J423" s="96"/>
      <c r="K423" s="98"/>
      <c r="L423" s="96"/>
    </row>
    <row r="424" spans="2:12">
      <c r="B424" s="96"/>
      <c r="C424" s="96"/>
      <c r="D424" s="97"/>
      <c r="E424" s="97"/>
      <c r="F424" s="193"/>
      <c r="G424" s="103" t="str">
        <f>IF(TblUnitCost[[#This Row],[Currency]]=LCU, TblUnitCost[[#This Row],[Cost]], IF(TblUnitCost[[#This Row],[Currency]]=ACU, TblUnitCost[[#This Row],[Cost]]*FX_Rate, "Check Ref Currency"))</f>
        <v>Check Ref Currency</v>
      </c>
      <c r="H424" s="103">
        <f>TblUnitCost[[#This Row],[Cost]]/1600</f>
        <v>0</v>
      </c>
      <c r="I424" s="96"/>
      <c r="J424" s="96"/>
      <c r="K424" s="98"/>
      <c r="L424" s="96"/>
    </row>
    <row r="425" spans="2:12">
      <c r="B425" s="96"/>
      <c r="C425" s="96"/>
      <c r="D425" s="97"/>
      <c r="E425" s="97"/>
      <c r="F425" s="193"/>
      <c r="G425" s="103" t="str">
        <f>IF(TblUnitCost[[#This Row],[Currency]]=LCU, TblUnitCost[[#This Row],[Cost]], IF(TblUnitCost[[#This Row],[Currency]]=ACU, TblUnitCost[[#This Row],[Cost]]*FX_Rate, "Check Ref Currency"))</f>
        <v>Check Ref Currency</v>
      </c>
      <c r="H425" s="103">
        <f>TblUnitCost[[#This Row],[Cost]]/1600</f>
        <v>0</v>
      </c>
      <c r="I425" s="96"/>
      <c r="J425" s="96"/>
      <c r="K425" s="98"/>
      <c r="L425" s="96"/>
    </row>
    <row r="426" spans="2:12">
      <c r="B426" s="96"/>
      <c r="C426" s="96"/>
      <c r="D426" s="97"/>
      <c r="E426" s="97"/>
      <c r="F426" s="193"/>
      <c r="G426" s="103" t="str">
        <f>IF(TblUnitCost[[#This Row],[Currency]]=LCU, TblUnitCost[[#This Row],[Cost]], IF(TblUnitCost[[#This Row],[Currency]]=ACU, TblUnitCost[[#This Row],[Cost]]*FX_Rate, "Check Ref Currency"))</f>
        <v>Check Ref Currency</v>
      </c>
      <c r="H426" s="103">
        <f>TblUnitCost[[#This Row],[Cost]]/1600</f>
        <v>0</v>
      </c>
      <c r="I426" s="96"/>
      <c r="J426" s="96"/>
      <c r="K426" s="98"/>
      <c r="L426" s="96"/>
    </row>
    <row r="427" spans="2:12">
      <c r="B427" s="96"/>
      <c r="C427" s="96"/>
      <c r="D427" s="97"/>
      <c r="E427" s="97"/>
      <c r="F427" s="193"/>
      <c r="G427" s="103" t="str">
        <f>IF(TblUnitCost[[#This Row],[Currency]]=LCU, TblUnitCost[[#This Row],[Cost]], IF(TblUnitCost[[#This Row],[Currency]]=ACU, TblUnitCost[[#This Row],[Cost]]*FX_Rate, "Check Ref Currency"))</f>
        <v>Check Ref Currency</v>
      </c>
      <c r="H427" s="103">
        <f>TblUnitCost[[#This Row],[Cost]]/1600</f>
        <v>0</v>
      </c>
      <c r="I427" s="96"/>
      <c r="J427" s="96"/>
      <c r="K427" s="98"/>
      <c r="L427" s="96"/>
    </row>
    <row r="428" spans="2:12">
      <c r="B428" s="96"/>
      <c r="C428" s="96"/>
      <c r="D428" s="97"/>
      <c r="E428" s="97"/>
      <c r="F428" s="193"/>
      <c r="G428" s="103" t="str">
        <f>IF(TblUnitCost[[#This Row],[Currency]]=LCU, TblUnitCost[[#This Row],[Cost]], IF(TblUnitCost[[#This Row],[Currency]]=ACU, TblUnitCost[[#This Row],[Cost]]*FX_Rate, "Check Ref Currency"))</f>
        <v>Check Ref Currency</v>
      </c>
      <c r="H428" s="103">
        <f>TblUnitCost[[#This Row],[Cost]]/1600</f>
        <v>0</v>
      </c>
      <c r="I428" s="96"/>
      <c r="J428" s="96"/>
      <c r="K428" s="98"/>
      <c r="L428" s="96"/>
    </row>
    <row r="429" spans="2:12">
      <c r="B429" s="96"/>
      <c r="C429" s="96"/>
      <c r="D429" s="97"/>
      <c r="E429" s="97"/>
      <c r="F429" s="193"/>
      <c r="G429" s="103" t="str">
        <f>IF(TblUnitCost[[#This Row],[Currency]]=LCU, TblUnitCost[[#This Row],[Cost]], IF(TblUnitCost[[#This Row],[Currency]]=ACU, TblUnitCost[[#This Row],[Cost]]*FX_Rate, "Check Ref Currency"))</f>
        <v>Check Ref Currency</v>
      </c>
      <c r="H429" s="103">
        <f>TblUnitCost[[#This Row],[Cost]]/1600</f>
        <v>0</v>
      </c>
      <c r="I429" s="96"/>
      <c r="J429" s="96"/>
      <c r="K429" s="98"/>
      <c r="L429" s="96"/>
    </row>
    <row r="430" spans="2:12">
      <c r="B430" s="96"/>
      <c r="C430" s="96"/>
      <c r="D430" s="97"/>
      <c r="E430" s="97"/>
      <c r="F430" s="193"/>
      <c r="G430" s="103" t="str">
        <f>IF(TblUnitCost[[#This Row],[Currency]]=LCU, TblUnitCost[[#This Row],[Cost]], IF(TblUnitCost[[#This Row],[Currency]]=ACU, TblUnitCost[[#This Row],[Cost]]*FX_Rate, "Check Ref Currency"))</f>
        <v>Check Ref Currency</v>
      </c>
      <c r="H430" s="103">
        <f>TblUnitCost[[#This Row],[Cost]]/1600</f>
        <v>0</v>
      </c>
      <c r="I430" s="96"/>
      <c r="J430" s="96"/>
      <c r="K430" s="98"/>
      <c r="L430" s="96"/>
    </row>
    <row r="431" spans="2:12">
      <c r="B431" s="96"/>
      <c r="C431" s="96"/>
      <c r="D431" s="97"/>
      <c r="E431" s="97"/>
      <c r="F431" s="193"/>
      <c r="G431" s="103" t="str">
        <f>IF(TblUnitCost[[#This Row],[Currency]]=LCU, TblUnitCost[[#This Row],[Cost]], IF(TblUnitCost[[#This Row],[Currency]]=ACU, TblUnitCost[[#This Row],[Cost]]*FX_Rate, "Check Ref Currency"))</f>
        <v>Check Ref Currency</v>
      </c>
      <c r="H431" s="103">
        <f>TblUnitCost[[#This Row],[Cost]]/1600</f>
        <v>0</v>
      </c>
      <c r="I431" s="96"/>
      <c r="J431" s="96"/>
      <c r="K431" s="98"/>
      <c r="L431" s="96"/>
    </row>
    <row r="432" spans="2:12">
      <c r="B432" s="96"/>
      <c r="C432" s="96"/>
      <c r="D432" s="97"/>
      <c r="E432" s="97"/>
      <c r="F432" s="193"/>
      <c r="G432" s="103" t="str">
        <f>IF(TblUnitCost[[#This Row],[Currency]]=LCU, TblUnitCost[[#This Row],[Cost]], IF(TblUnitCost[[#This Row],[Currency]]=ACU, TblUnitCost[[#This Row],[Cost]]*FX_Rate, "Check Ref Currency"))</f>
        <v>Check Ref Currency</v>
      </c>
      <c r="H432" s="103">
        <f>TblUnitCost[[#This Row],[Cost]]/1600</f>
        <v>0</v>
      </c>
      <c r="I432" s="96"/>
      <c r="J432" s="96"/>
      <c r="K432" s="98"/>
      <c r="L432" s="96"/>
    </row>
    <row r="433" spans="2:12">
      <c r="B433" s="96"/>
      <c r="C433" s="96"/>
      <c r="D433" s="97"/>
      <c r="E433" s="97"/>
      <c r="F433" s="193"/>
      <c r="G433" s="103" t="str">
        <f>IF(TblUnitCost[[#This Row],[Currency]]=LCU, TblUnitCost[[#This Row],[Cost]], IF(TblUnitCost[[#This Row],[Currency]]=ACU, TblUnitCost[[#This Row],[Cost]]*FX_Rate, "Check Ref Currency"))</f>
        <v>Check Ref Currency</v>
      </c>
      <c r="H433" s="103">
        <f>TblUnitCost[[#This Row],[Cost]]/1600</f>
        <v>0</v>
      </c>
      <c r="I433" s="96"/>
      <c r="J433" s="96"/>
      <c r="K433" s="98"/>
      <c r="L433" s="96"/>
    </row>
    <row r="434" spans="2:12">
      <c r="B434" s="96"/>
      <c r="C434" s="96"/>
      <c r="D434" s="97"/>
      <c r="E434" s="97"/>
      <c r="F434" s="193"/>
      <c r="G434" s="103" t="str">
        <f>IF(TblUnitCost[[#This Row],[Currency]]=LCU, TblUnitCost[[#This Row],[Cost]], IF(TblUnitCost[[#This Row],[Currency]]=ACU, TblUnitCost[[#This Row],[Cost]]*FX_Rate, "Check Ref Currency"))</f>
        <v>Check Ref Currency</v>
      </c>
      <c r="H434" s="103">
        <f>TblUnitCost[[#This Row],[Cost]]/1600</f>
        <v>0</v>
      </c>
      <c r="I434" s="96"/>
      <c r="J434" s="96"/>
      <c r="K434" s="98"/>
      <c r="L434" s="96"/>
    </row>
    <row r="435" spans="2:12">
      <c r="B435" s="96"/>
      <c r="C435" s="96"/>
      <c r="D435" s="97"/>
      <c r="E435" s="97"/>
      <c r="F435" s="193"/>
      <c r="G435" s="103" t="str">
        <f>IF(TblUnitCost[[#This Row],[Currency]]=LCU, TblUnitCost[[#This Row],[Cost]], IF(TblUnitCost[[#This Row],[Currency]]=ACU, TblUnitCost[[#This Row],[Cost]]*FX_Rate, "Check Ref Currency"))</f>
        <v>Check Ref Currency</v>
      </c>
      <c r="H435" s="103">
        <f>TblUnitCost[[#This Row],[Cost]]/1600</f>
        <v>0</v>
      </c>
      <c r="I435" s="96"/>
      <c r="J435" s="96"/>
      <c r="K435" s="98"/>
      <c r="L435" s="96"/>
    </row>
    <row r="436" spans="2:12">
      <c r="B436" s="96"/>
      <c r="C436" s="96"/>
      <c r="D436" s="97"/>
      <c r="E436" s="97"/>
      <c r="F436" s="193"/>
      <c r="G436" s="103" t="str">
        <f>IF(TblUnitCost[[#This Row],[Currency]]=LCU, TblUnitCost[[#This Row],[Cost]], IF(TblUnitCost[[#This Row],[Currency]]=ACU, TblUnitCost[[#This Row],[Cost]]*FX_Rate, "Check Ref Currency"))</f>
        <v>Check Ref Currency</v>
      </c>
      <c r="H436" s="103">
        <f>TblUnitCost[[#This Row],[Cost]]/1600</f>
        <v>0</v>
      </c>
      <c r="I436" s="96"/>
      <c r="J436" s="96"/>
      <c r="K436" s="98"/>
      <c r="L436" s="96"/>
    </row>
    <row r="437" spans="2:12">
      <c r="B437" s="96"/>
      <c r="C437" s="96"/>
      <c r="D437" s="97"/>
      <c r="E437" s="97"/>
      <c r="F437" s="193"/>
      <c r="G437" s="103" t="str">
        <f>IF(TblUnitCost[[#This Row],[Currency]]=LCU, TblUnitCost[[#This Row],[Cost]], IF(TblUnitCost[[#This Row],[Currency]]=ACU, TblUnitCost[[#This Row],[Cost]]*FX_Rate, "Check Ref Currency"))</f>
        <v>Check Ref Currency</v>
      </c>
      <c r="H437" s="103">
        <f>TblUnitCost[[#This Row],[Cost]]/1600</f>
        <v>0</v>
      </c>
      <c r="I437" s="96"/>
      <c r="J437" s="96"/>
      <c r="K437" s="98"/>
      <c r="L437" s="96"/>
    </row>
    <row r="438" spans="2:12">
      <c r="B438" s="96"/>
      <c r="C438" s="96"/>
      <c r="D438" s="97"/>
      <c r="E438" s="97"/>
      <c r="F438" s="193"/>
      <c r="G438" s="103" t="str">
        <f>IF(TblUnitCost[[#This Row],[Currency]]=LCU, TblUnitCost[[#This Row],[Cost]], IF(TblUnitCost[[#This Row],[Currency]]=ACU, TblUnitCost[[#This Row],[Cost]]*FX_Rate, "Check Ref Currency"))</f>
        <v>Check Ref Currency</v>
      </c>
      <c r="H438" s="103">
        <f>TblUnitCost[[#This Row],[Cost]]/1600</f>
        <v>0</v>
      </c>
      <c r="I438" s="96"/>
      <c r="J438" s="96"/>
      <c r="K438" s="98"/>
      <c r="L438" s="96"/>
    </row>
    <row r="439" spans="2:12">
      <c r="B439" s="96"/>
      <c r="C439" s="96"/>
      <c r="D439" s="97"/>
      <c r="E439" s="97"/>
      <c r="F439" s="193"/>
      <c r="G439" s="103" t="str">
        <f>IF(TblUnitCost[[#This Row],[Currency]]=LCU, TblUnitCost[[#This Row],[Cost]], IF(TblUnitCost[[#This Row],[Currency]]=ACU, TblUnitCost[[#This Row],[Cost]]*FX_Rate, "Check Ref Currency"))</f>
        <v>Check Ref Currency</v>
      </c>
      <c r="H439" s="103">
        <f>TblUnitCost[[#This Row],[Cost]]/1600</f>
        <v>0</v>
      </c>
      <c r="I439" s="96"/>
      <c r="J439" s="96"/>
      <c r="K439" s="98"/>
      <c r="L439" s="96"/>
    </row>
    <row r="440" spans="2:12">
      <c r="B440" s="96"/>
      <c r="C440" s="96"/>
      <c r="D440" s="97"/>
      <c r="E440" s="97"/>
      <c r="F440" s="193"/>
      <c r="G440" s="103" t="str">
        <f>IF(TblUnitCost[[#This Row],[Currency]]=LCU, TblUnitCost[[#This Row],[Cost]], IF(TblUnitCost[[#This Row],[Currency]]=ACU, TblUnitCost[[#This Row],[Cost]]*FX_Rate, "Check Ref Currency"))</f>
        <v>Check Ref Currency</v>
      </c>
      <c r="H440" s="103">
        <f>TblUnitCost[[#This Row],[Cost]]/1600</f>
        <v>0</v>
      </c>
      <c r="I440" s="96"/>
      <c r="J440" s="96"/>
      <c r="K440" s="98"/>
      <c r="L440" s="96"/>
    </row>
    <row r="441" spans="2:12">
      <c r="B441" s="96"/>
      <c r="C441" s="96"/>
      <c r="D441" s="97"/>
      <c r="E441" s="97"/>
      <c r="F441" s="193"/>
      <c r="G441" s="103" t="str">
        <f>IF(TblUnitCost[[#This Row],[Currency]]=LCU, TblUnitCost[[#This Row],[Cost]], IF(TblUnitCost[[#This Row],[Currency]]=ACU, TblUnitCost[[#This Row],[Cost]]*FX_Rate, "Check Ref Currency"))</f>
        <v>Check Ref Currency</v>
      </c>
      <c r="H441" s="103">
        <f>TblUnitCost[[#This Row],[Cost]]/1600</f>
        <v>0</v>
      </c>
      <c r="I441" s="96"/>
      <c r="J441" s="96"/>
      <c r="K441" s="98"/>
      <c r="L441" s="96"/>
    </row>
    <row r="442" spans="2:12">
      <c r="B442" s="96"/>
      <c r="C442" s="96"/>
      <c r="D442" s="97"/>
      <c r="E442" s="97"/>
      <c r="F442" s="193"/>
      <c r="G442" s="103" t="str">
        <f>IF(TblUnitCost[[#This Row],[Currency]]=LCU, TblUnitCost[[#This Row],[Cost]], IF(TblUnitCost[[#This Row],[Currency]]=ACU, TblUnitCost[[#This Row],[Cost]]*FX_Rate, "Check Ref Currency"))</f>
        <v>Check Ref Currency</v>
      </c>
      <c r="H442" s="103">
        <f>TblUnitCost[[#This Row],[Cost]]/1600</f>
        <v>0</v>
      </c>
      <c r="I442" s="96"/>
      <c r="J442" s="96"/>
      <c r="K442" s="98"/>
      <c r="L442" s="96"/>
    </row>
    <row r="443" spans="2:12">
      <c r="B443" s="96"/>
      <c r="C443" s="96"/>
      <c r="D443" s="97"/>
      <c r="E443" s="97"/>
      <c r="F443" s="193"/>
      <c r="G443" s="103" t="str">
        <f>IF(TblUnitCost[[#This Row],[Currency]]=LCU, TblUnitCost[[#This Row],[Cost]], IF(TblUnitCost[[#This Row],[Currency]]=ACU, TblUnitCost[[#This Row],[Cost]]*FX_Rate, "Check Ref Currency"))</f>
        <v>Check Ref Currency</v>
      </c>
      <c r="H443" s="103">
        <f>TblUnitCost[[#This Row],[Cost]]/1600</f>
        <v>0</v>
      </c>
      <c r="I443" s="96"/>
      <c r="J443" s="96"/>
      <c r="K443" s="98"/>
      <c r="L443" s="96"/>
    </row>
    <row r="444" spans="2:12">
      <c r="B444" s="96"/>
      <c r="C444" s="96"/>
      <c r="D444" s="97"/>
      <c r="E444" s="97"/>
      <c r="F444" s="193"/>
      <c r="G444" s="103" t="str">
        <f>IF(TblUnitCost[[#This Row],[Currency]]=LCU, TblUnitCost[[#This Row],[Cost]], IF(TblUnitCost[[#This Row],[Currency]]=ACU, TblUnitCost[[#This Row],[Cost]]*FX_Rate, "Check Ref Currency"))</f>
        <v>Check Ref Currency</v>
      </c>
      <c r="H444" s="103">
        <f>TblUnitCost[[#This Row],[Cost]]/1600</f>
        <v>0</v>
      </c>
      <c r="I444" s="96"/>
      <c r="J444" s="96"/>
      <c r="K444" s="98"/>
      <c r="L444" s="96"/>
    </row>
    <row r="445" spans="2:12">
      <c r="B445" s="96"/>
      <c r="C445" s="96"/>
      <c r="D445" s="97"/>
      <c r="E445" s="97"/>
      <c r="F445" s="193"/>
      <c r="G445" s="103" t="str">
        <f>IF(TblUnitCost[[#This Row],[Currency]]=LCU, TblUnitCost[[#This Row],[Cost]], IF(TblUnitCost[[#This Row],[Currency]]=ACU, TblUnitCost[[#This Row],[Cost]]*FX_Rate, "Check Ref Currency"))</f>
        <v>Check Ref Currency</v>
      </c>
      <c r="H445" s="103">
        <f>TblUnitCost[[#This Row],[Cost]]/1600</f>
        <v>0</v>
      </c>
      <c r="I445" s="96"/>
      <c r="J445" s="96"/>
      <c r="K445" s="98"/>
      <c r="L445" s="96"/>
    </row>
    <row r="446" spans="2:12">
      <c r="B446" s="96"/>
      <c r="C446" s="96"/>
      <c r="D446" s="97"/>
      <c r="E446" s="97"/>
      <c r="F446" s="193"/>
      <c r="G446" s="103" t="str">
        <f>IF(TblUnitCost[[#This Row],[Currency]]=LCU, TblUnitCost[[#This Row],[Cost]], IF(TblUnitCost[[#This Row],[Currency]]=ACU, TblUnitCost[[#This Row],[Cost]]*FX_Rate, "Check Ref Currency"))</f>
        <v>Check Ref Currency</v>
      </c>
      <c r="H446" s="103">
        <f>TblUnitCost[[#This Row],[Cost]]/1600</f>
        <v>0</v>
      </c>
      <c r="I446" s="96"/>
      <c r="J446" s="96"/>
      <c r="K446" s="98"/>
      <c r="L446" s="96"/>
    </row>
    <row r="447" spans="2:12">
      <c r="B447" s="96"/>
      <c r="C447" s="96"/>
      <c r="D447" s="97"/>
      <c r="E447" s="97"/>
      <c r="F447" s="193"/>
      <c r="G447" s="103" t="str">
        <f>IF(TblUnitCost[[#This Row],[Currency]]=LCU, TblUnitCost[[#This Row],[Cost]], IF(TblUnitCost[[#This Row],[Currency]]=ACU, TblUnitCost[[#This Row],[Cost]]*FX_Rate, "Check Ref Currency"))</f>
        <v>Check Ref Currency</v>
      </c>
      <c r="H447" s="103">
        <f>TblUnitCost[[#This Row],[Cost]]/1600</f>
        <v>0</v>
      </c>
      <c r="I447" s="96"/>
      <c r="J447" s="96"/>
      <c r="K447" s="98"/>
      <c r="L447" s="96"/>
    </row>
    <row r="448" spans="2:12">
      <c r="B448" s="96"/>
      <c r="C448" s="96"/>
      <c r="D448" s="97"/>
      <c r="E448" s="97"/>
      <c r="F448" s="193"/>
      <c r="G448" s="103" t="str">
        <f>IF(TblUnitCost[[#This Row],[Currency]]=LCU, TblUnitCost[[#This Row],[Cost]], IF(TblUnitCost[[#This Row],[Currency]]=ACU, TblUnitCost[[#This Row],[Cost]]*FX_Rate, "Check Ref Currency"))</f>
        <v>Check Ref Currency</v>
      </c>
      <c r="H448" s="103">
        <f>TblUnitCost[[#This Row],[Cost]]/1600</f>
        <v>0</v>
      </c>
      <c r="I448" s="96"/>
      <c r="J448" s="96"/>
      <c r="K448" s="98"/>
      <c r="L448" s="96"/>
    </row>
    <row r="449" spans="2:12">
      <c r="B449" s="96"/>
      <c r="C449" s="96"/>
      <c r="D449" s="97"/>
      <c r="E449" s="97"/>
      <c r="F449" s="193"/>
      <c r="G449" s="103" t="str">
        <f>IF(TblUnitCost[[#This Row],[Currency]]=LCU, TblUnitCost[[#This Row],[Cost]], IF(TblUnitCost[[#This Row],[Currency]]=ACU, TblUnitCost[[#This Row],[Cost]]*FX_Rate, "Check Ref Currency"))</f>
        <v>Check Ref Currency</v>
      </c>
      <c r="H449" s="103">
        <f>TblUnitCost[[#This Row],[Cost]]/1600</f>
        <v>0</v>
      </c>
      <c r="I449" s="96"/>
      <c r="J449" s="96"/>
      <c r="K449" s="98"/>
      <c r="L449" s="96"/>
    </row>
    <row r="450" spans="2:12">
      <c r="B450" s="96"/>
      <c r="C450" s="96"/>
      <c r="D450" s="97"/>
      <c r="E450" s="97"/>
      <c r="F450" s="193"/>
      <c r="G450" s="103" t="str">
        <f>IF(TblUnitCost[[#This Row],[Currency]]=LCU, TblUnitCost[[#This Row],[Cost]], IF(TblUnitCost[[#This Row],[Currency]]=ACU, TblUnitCost[[#This Row],[Cost]]*FX_Rate, "Check Ref Currency"))</f>
        <v>Check Ref Currency</v>
      </c>
      <c r="H450" s="103">
        <f>TblUnitCost[[#This Row],[Cost]]/1600</f>
        <v>0</v>
      </c>
      <c r="I450" s="96"/>
      <c r="J450" s="96"/>
      <c r="K450" s="98"/>
      <c r="L450" s="96"/>
    </row>
    <row r="451" spans="2:12">
      <c r="B451" s="96"/>
      <c r="C451" s="96"/>
      <c r="D451" s="97"/>
      <c r="E451" s="97"/>
      <c r="F451" s="193"/>
      <c r="G451" s="103" t="str">
        <f>IF(TblUnitCost[[#This Row],[Currency]]=LCU, TblUnitCost[[#This Row],[Cost]], IF(TblUnitCost[[#This Row],[Currency]]=ACU, TblUnitCost[[#This Row],[Cost]]*FX_Rate, "Check Ref Currency"))</f>
        <v>Check Ref Currency</v>
      </c>
      <c r="H451" s="103">
        <f>TblUnitCost[[#This Row],[Cost]]/1600</f>
        <v>0</v>
      </c>
      <c r="I451" s="96"/>
      <c r="J451" s="96"/>
      <c r="K451" s="98"/>
      <c r="L451" s="96"/>
    </row>
    <row r="452" spans="2:12">
      <c r="B452" s="96"/>
      <c r="C452" s="96"/>
      <c r="D452" s="97"/>
      <c r="E452" s="97"/>
      <c r="F452" s="193"/>
      <c r="G452" s="103" t="str">
        <f>IF(TblUnitCost[[#This Row],[Currency]]=LCU, TblUnitCost[[#This Row],[Cost]], IF(TblUnitCost[[#This Row],[Currency]]=ACU, TblUnitCost[[#This Row],[Cost]]*FX_Rate, "Check Ref Currency"))</f>
        <v>Check Ref Currency</v>
      </c>
      <c r="H452" s="103">
        <f>TblUnitCost[[#This Row],[Cost]]/1600</f>
        <v>0</v>
      </c>
      <c r="I452" s="96"/>
      <c r="J452" s="96"/>
      <c r="K452" s="98"/>
      <c r="L452" s="96"/>
    </row>
    <row r="453" spans="2:12">
      <c r="B453" s="96"/>
      <c r="C453" s="96"/>
      <c r="D453" s="97"/>
      <c r="E453" s="97"/>
      <c r="F453" s="193"/>
      <c r="G453" s="103" t="str">
        <f>IF(TblUnitCost[[#This Row],[Currency]]=LCU, TblUnitCost[[#This Row],[Cost]], IF(TblUnitCost[[#This Row],[Currency]]=ACU, TblUnitCost[[#This Row],[Cost]]*FX_Rate, "Check Ref Currency"))</f>
        <v>Check Ref Currency</v>
      </c>
      <c r="H453" s="103">
        <f>TblUnitCost[[#This Row],[Cost]]/1600</f>
        <v>0</v>
      </c>
      <c r="I453" s="96"/>
      <c r="J453" s="96"/>
      <c r="K453" s="98"/>
      <c r="L453" s="96"/>
    </row>
    <row r="454" spans="2:12">
      <c r="B454" s="96"/>
      <c r="C454" s="96"/>
      <c r="D454" s="97"/>
      <c r="E454" s="97"/>
      <c r="F454" s="193"/>
      <c r="G454" s="103" t="str">
        <f>IF(TblUnitCost[[#This Row],[Currency]]=LCU, TblUnitCost[[#This Row],[Cost]], IF(TblUnitCost[[#This Row],[Currency]]=ACU, TblUnitCost[[#This Row],[Cost]]*FX_Rate, "Check Ref Currency"))</f>
        <v>Check Ref Currency</v>
      </c>
      <c r="H454" s="103">
        <f>TblUnitCost[[#This Row],[Cost]]/1600</f>
        <v>0</v>
      </c>
      <c r="I454" s="96"/>
      <c r="J454" s="96"/>
      <c r="K454" s="98"/>
      <c r="L454" s="96"/>
    </row>
    <row r="455" spans="2:12">
      <c r="B455" s="96"/>
      <c r="C455" s="96"/>
      <c r="D455" s="97"/>
      <c r="E455" s="97"/>
      <c r="F455" s="193"/>
      <c r="G455" s="103" t="str">
        <f>IF(TblUnitCost[[#This Row],[Currency]]=LCU, TblUnitCost[[#This Row],[Cost]], IF(TblUnitCost[[#This Row],[Currency]]=ACU, TblUnitCost[[#This Row],[Cost]]*FX_Rate, "Check Ref Currency"))</f>
        <v>Check Ref Currency</v>
      </c>
      <c r="H455" s="103">
        <f>TblUnitCost[[#This Row],[Cost]]/1600</f>
        <v>0</v>
      </c>
      <c r="I455" s="96"/>
      <c r="J455" s="96"/>
      <c r="K455" s="98"/>
      <c r="L455" s="96"/>
    </row>
    <row r="456" spans="2:12">
      <c r="B456" s="96"/>
      <c r="C456" s="96"/>
      <c r="D456" s="97"/>
      <c r="E456" s="97"/>
      <c r="F456" s="193"/>
      <c r="G456" s="103" t="str">
        <f>IF(TblUnitCost[[#This Row],[Currency]]=LCU, TblUnitCost[[#This Row],[Cost]], IF(TblUnitCost[[#This Row],[Currency]]=ACU, TblUnitCost[[#This Row],[Cost]]*FX_Rate, "Check Ref Currency"))</f>
        <v>Check Ref Currency</v>
      </c>
      <c r="H456" s="103">
        <f>TblUnitCost[[#This Row],[Cost]]/1600</f>
        <v>0</v>
      </c>
      <c r="I456" s="96"/>
      <c r="J456" s="96"/>
      <c r="K456" s="98"/>
      <c r="L456" s="96"/>
    </row>
    <row r="457" spans="2:12">
      <c r="B457" s="96"/>
      <c r="C457" s="96"/>
      <c r="D457" s="97"/>
      <c r="E457" s="97"/>
      <c r="F457" s="193"/>
      <c r="G457" s="103" t="str">
        <f>IF(TblUnitCost[[#This Row],[Currency]]=LCU, TblUnitCost[[#This Row],[Cost]], IF(TblUnitCost[[#This Row],[Currency]]=ACU, TblUnitCost[[#This Row],[Cost]]*FX_Rate, "Check Ref Currency"))</f>
        <v>Check Ref Currency</v>
      </c>
      <c r="H457" s="103">
        <f>TblUnitCost[[#This Row],[Cost]]/1600</f>
        <v>0</v>
      </c>
      <c r="I457" s="96"/>
      <c r="J457" s="96"/>
      <c r="K457" s="98"/>
      <c r="L457" s="96"/>
    </row>
    <row r="458" spans="2:12">
      <c r="B458" s="96"/>
      <c r="C458" s="96"/>
      <c r="D458" s="97"/>
      <c r="E458" s="97"/>
      <c r="F458" s="193"/>
      <c r="G458" s="103" t="str">
        <f>IF(TblUnitCost[[#This Row],[Currency]]=LCU, TblUnitCost[[#This Row],[Cost]], IF(TblUnitCost[[#This Row],[Currency]]=ACU, TblUnitCost[[#This Row],[Cost]]*FX_Rate, "Check Ref Currency"))</f>
        <v>Check Ref Currency</v>
      </c>
      <c r="H458" s="103">
        <f>TblUnitCost[[#This Row],[Cost]]/1600</f>
        <v>0</v>
      </c>
      <c r="I458" s="96"/>
      <c r="J458" s="96"/>
      <c r="K458" s="98"/>
      <c r="L458" s="96"/>
    </row>
    <row r="459" spans="2:12">
      <c r="B459" s="96"/>
      <c r="C459" s="96"/>
      <c r="D459" s="97"/>
      <c r="E459" s="97"/>
      <c r="F459" s="193"/>
      <c r="G459" s="103" t="str">
        <f>IF(TblUnitCost[[#This Row],[Currency]]=LCU, TblUnitCost[[#This Row],[Cost]], IF(TblUnitCost[[#This Row],[Currency]]=ACU, TblUnitCost[[#This Row],[Cost]]*FX_Rate, "Check Ref Currency"))</f>
        <v>Check Ref Currency</v>
      </c>
      <c r="H459" s="103">
        <f>TblUnitCost[[#This Row],[Cost]]/1600</f>
        <v>0</v>
      </c>
      <c r="I459" s="96"/>
      <c r="J459" s="96"/>
      <c r="K459" s="98"/>
      <c r="L459" s="96"/>
    </row>
    <row r="460" spans="2:12">
      <c r="B460" s="96"/>
      <c r="C460" s="96"/>
      <c r="D460" s="97"/>
      <c r="E460" s="97"/>
      <c r="F460" s="193"/>
      <c r="G460" s="103" t="str">
        <f>IF(TblUnitCost[[#This Row],[Currency]]=LCU, TblUnitCost[[#This Row],[Cost]], IF(TblUnitCost[[#This Row],[Currency]]=ACU, TblUnitCost[[#This Row],[Cost]]*FX_Rate, "Check Ref Currency"))</f>
        <v>Check Ref Currency</v>
      </c>
      <c r="H460" s="103">
        <f>TblUnitCost[[#This Row],[Cost]]/1600</f>
        <v>0</v>
      </c>
      <c r="I460" s="96"/>
      <c r="J460" s="96"/>
      <c r="K460" s="98"/>
      <c r="L460" s="96"/>
    </row>
    <row r="461" spans="2:12">
      <c r="B461" s="96"/>
      <c r="C461" s="96"/>
      <c r="D461" s="97"/>
      <c r="E461" s="97"/>
      <c r="F461" s="193"/>
      <c r="G461" s="103" t="str">
        <f>IF(TblUnitCost[[#This Row],[Currency]]=LCU, TblUnitCost[[#This Row],[Cost]], IF(TblUnitCost[[#This Row],[Currency]]=ACU, TblUnitCost[[#This Row],[Cost]]*FX_Rate, "Check Ref Currency"))</f>
        <v>Check Ref Currency</v>
      </c>
      <c r="H461" s="103">
        <f>TblUnitCost[[#This Row],[Cost]]/1600</f>
        <v>0</v>
      </c>
      <c r="I461" s="96"/>
      <c r="J461" s="96"/>
      <c r="K461" s="98"/>
      <c r="L461" s="96"/>
    </row>
    <row r="462" spans="2:12">
      <c r="B462" s="96"/>
      <c r="C462" s="96"/>
      <c r="D462" s="97"/>
      <c r="E462" s="97"/>
      <c r="F462" s="193"/>
      <c r="G462" s="103" t="str">
        <f>IF(TblUnitCost[[#This Row],[Currency]]=LCU, TblUnitCost[[#This Row],[Cost]], IF(TblUnitCost[[#This Row],[Currency]]=ACU, TblUnitCost[[#This Row],[Cost]]*FX_Rate, "Check Ref Currency"))</f>
        <v>Check Ref Currency</v>
      </c>
      <c r="H462" s="103">
        <f>TblUnitCost[[#This Row],[Cost]]/1600</f>
        <v>0</v>
      </c>
      <c r="I462" s="96"/>
      <c r="J462" s="96"/>
      <c r="K462" s="98"/>
      <c r="L462" s="96"/>
    </row>
    <row r="463" spans="2:12">
      <c r="B463" s="96"/>
      <c r="C463" s="96"/>
      <c r="D463" s="97"/>
      <c r="E463" s="97"/>
      <c r="F463" s="193"/>
      <c r="G463" s="103" t="str">
        <f>IF(TblUnitCost[[#This Row],[Currency]]=LCU, TblUnitCost[[#This Row],[Cost]], IF(TblUnitCost[[#This Row],[Currency]]=ACU, TblUnitCost[[#This Row],[Cost]]*FX_Rate, "Check Ref Currency"))</f>
        <v>Check Ref Currency</v>
      </c>
      <c r="H463" s="103">
        <f>TblUnitCost[[#This Row],[Cost]]/1600</f>
        <v>0</v>
      </c>
      <c r="I463" s="96"/>
      <c r="J463" s="96"/>
      <c r="K463" s="98"/>
      <c r="L463" s="96"/>
    </row>
    <row r="464" spans="2:12">
      <c r="B464" s="96"/>
      <c r="C464" s="96"/>
      <c r="D464" s="97"/>
      <c r="E464" s="97"/>
      <c r="F464" s="193"/>
      <c r="G464" s="103" t="str">
        <f>IF(TblUnitCost[[#This Row],[Currency]]=LCU, TblUnitCost[[#This Row],[Cost]], IF(TblUnitCost[[#This Row],[Currency]]=ACU, TblUnitCost[[#This Row],[Cost]]*FX_Rate, "Check Ref Currency"))</f>
        <v>Check Ref Currency</v>
      </c>
      <c r="H464" s="103">
        <f>TblUnitCost[[#This Row],[Cost]]/1600</f>
        <v>0</v>
      </c>
      <c r="I464" s="96"/>
      <c r="J464" s="96"/>
      <c r="K464" s="98"/>
      <c r="L464" s="96"/>
    </row>
    <row r="465" spans="2:12">
      <c r="B465" s="96"/>
      <c r="C465" s="96"/>
      <c r="D465" s="97"/>
      <c r="E465" s="97"/>
      <c r="F465" s="193"/>
      <c r="G465" s="103" t="str">
        <f>IF(TblUnitCost[[#This Row],[Currency]]=LCU, TblUnitCost[[#This Row],[Cost]], IF(TblUnitCost[[#This Row],[Currency]]=ACU, TblUnitCost[[#This Row],[Cost]]*FX_Rate, "Check Ref Currency"))</f>
        <v>Check Ref Currency</v>
      </c>
      <c r="H465" s="103">
        <f>TblUnitCost[[#This Row],[Cost]]/1600</f>
        <v>0</v>
      </c>
      <c r="I465" s="96"/>
      <c r="J465" s="96"/>
      <c r="K465" s="98"/>
      <c r="L465" s="96"/>
    </row>
    <row r="466" spans="2:12">
      <c r="B466" s="96"/>
      <c r="C466" s="96"/>
      <c r="D466" s="97"/>
      <c r="E466" s="97"/>
      <c r="F466" s="193"/>
      <c r="G466" s="103" t="str">
        <f>IF(TblUnitCost[[#This Row],[Currency]]=LCU, TblUnitCost[[#This Row],[Cost]], IF(TblUnitCost[[#This Row],[Currency]]=ACU, TblUnitCost[[#This Row],[Cost]]*FX_Rate, "Check Ref Currency"))</f>
        <v>Check Ref Currency</v>
      </c>
      <c r="H466" s="103">
        <f>TblUnitCost[[#This Row],[Cost]]/1600</f>
        <v>0</v>
      </c>
      <c r="I466" s="96"/>
      <c r="J466" s="96"/>
      <c r="K466" s="98"/>
      <c r="L466" s="96"/>
    </row>
    <row r="467" spans="2:12">
      <c r="B467" s="96"/>
      <c r="C467" s="96"/>
      <c r="D467" s="97"/>
      <c r="E467" s="97"/>
      <c r="F467" s="193"/>
      <c r="G467" s="103" t="str">
        <f>IF(TblUnitCost[[#This Row],[Currency]]=LCU, TblUnitCost[[#This Row],[Cost]], IF(TblUnitCost[[#This Row],[Currency]]=ACU, TblUnitCost[[#This Row],[Cost]]*FX_Rate, "Check Ref Currency"))</f>
        <v>Check Ref Currency</v>
      </c>
      <c r="H467" s="103">
        <f>TblUnitCost[[#This Row],[Cost]]/1600</f>
        <v>0</v>
      </c>
      <c r="I467" s="96"/>
      <c r="J467" s="96"/>
      <c r="K467" s="98"/>
      <c r="L467" s="96"/>
    </row>
    <row r="468" spans="2:12">
      <c r="B468" s="96"/>
      <c r="C468" s="96"/>
      <c r="D468" s="97"/>
      <c r="E468" s="97"/>
      <c r="F468" s="193"/>
      <c r="G468" s="103" t="str">
        <f>IF(TblUnitCost[[#This Row],[Currency]]=LCU, TblUnitCost[[#This Row],[Cost]], IF(TblUnitCost[[#This Row],[Currency]]=ACU, TblUnitCost[[#This Row],[Cost]]*FX_Rate, "Check Ref Currency"))</f>
        <v>Check Ref Currency</v>
      </c>
      <c r="H468" s="103">
        <f>TblUnitCost[[#This Row],[Cost]]/1600</f>
        <v>0</v>
      </c>
      <c r="I468" s="96"/>
      <c r="J468" s="96"/>
      <c r="K468" s="98"/>
      <c r="L468" s="96"/>
    </row>
    <row r="469" spans="2:12">
      <c r="B469" s="96"/>
      <c r="C469" s="96"/>
      <c r="D469" s="97"/>
      <c r="E469" s="97"/>
      <c r="F469" s="193"/>
      <c r="G469" s="103" t="str">
        <f>IF(TblUnitCost[[#This Row],[Currency]]=LCU, TblUnitCost[[#This Row],[Cost]], IF(TblUnitCost[[#This Row],[Currency]]=ACU, TblUnitCost[[#This Row],[Cost]]*FX_Rate, "Check Ref Currency"))</f>
        <v>Check Ref Currency</v>
      </c>
      <c r="H469" s="103">
        <f>TblUnitCost[[#This Row],[Cost]]/1600</f>
        <v>0</v>
      </c>
      <c r="I469" s="96"/>
      <c r="J469" s="96"/>
      <c r="K469" s="98"/>
      <c r="L469" s="96"/>
    </row>
    <row r="470" spans="2:12">
      <c r="B470" s="96"/>
      <c r="C470" s="96"/>
      <c r="D470" s="97"/>
      <c r="E470" s="97"/>
      <c r="F470" s="193"/>
      <c r="G470" s="103" t="str">
        <f>IF(TblUnitCost[[#This Row],[Currency]]=LCU, TblUnitCost[[#This Row],[Cost]], IF(TblUnitCost[[#This Row],[Currency]]=ACU, TblUnitCost[[#This Row],[Cost]]*FX_Rate, "Check Ref Currency"))</f>
        <v>Check Ref Currency</v>
      </c>
      <c r="H470" s="103">
        <f>TblUnitCost[[#This Row],[Cost]]/1600</f>
        <v>0</v>
      </c>
      <c r="I470" s="96"/>
      <c r="J470" s="96"/>
      <c r="K470" s="98"/>
      <c r="L470" s="96"/>
    </row>
    <row r="471" spans="2:12">
      <c r="B471" s="96"/>
      <c r="C471" s="96"/>
      <c r="D471" s="97"/>
      <c r="E471" s="97"/>
      <c r="F471" s="193"/>
      <c r="G471" s="103" t="str">
        <f>IF(TblUnitCost[[#This Row],[Currency]]=LCU, TblUnitCost[[#This Row],[Cost]], IF(TblUnitCost[[#This Row],[Currency]]=ACU, TblUnitCost[[#This Row],[Cost]]*FX_Rate, "Check Ref Currency"))</f>
        <v>Check Ref Currency</v>
      </c>
      <c r="H471" s="103">
        <f>TblUnitCost[[#This Row],[Cost]]/1600</f>
        <v>0</v>
      </c>
      <c r="I471" s="96"/>
      <c r="J471" s="96"/>
      <c r="K471" s="98"/>
      <c r="L471" s="96"/>
    </row>
    <row r="472" spans="2:12">
      <c r="B472" s="96"/>
      <c r="C472" s="96"/>
      <c r="D472" s="97"/>
      <c r="E472" s="97"/>
      <c r="F472" s="193"/>
      <c r="G472" s="103" t="str">
        <f>IF(TblUnitCost[[#This Row],[Currency]]=LCU, TblUnitCost[[#This Row],[Cost]], IF(TblUnitCost[[#This Row],[Currency]]=ACU, TblUnitCost[[#This Row],[Cost]]*FX_Rate, "Check Ref Currency"))</f>
        <v>Check Ref Currency</v>
      </c>
      <c r="H472" s="103">
        <f>TblUnitCost[[#This Row],[Cost]]/1600</f>
        <v>0</v>
      </c>
      <c r="I472" s="96"/>
      <c r="J472" s="96"/>
      <c r="K472" s="98"/>
      <c r="L472" s="96"/>
    </row>
    <row r="473" spans="2:12">
      <c r="B473" s="96"/>
      <c r="C473" s="96"/>
      <c r="D473" s="97"/>
      <c r="E473" s="97"/>
      <c r="F473" s="193"/>
      <c r="G473" s="103" t="str">
        <f>IF(TblUnitCost[[#This Row],[Currency]]=LCU, TblUnitCost[[#This Row],[Cost]], IF(TblUnitCost[[#This Row],[Currency]]=ACU, TblUnitCost[[#This Row],[Cost]]*FX_Rate, "Check Ref Currency"))</f>
        <v>Check Ref Currency</v>
      </c>
      <c r="H473" s="103">
        <f>TblUnitCost[[#This Row],[Cost]]/1600</f>
        <v>0</v>
      </c>
      <c r="I473" s="96"/>
      <c r="J473" s="96"/>
      <c r="K473" s="98"/>
      <c r="L473" s="96"/>
    </row>
    <row r="474" spans="2:12">
      <c r="B474" s="96"/>
      <c r="C474" s="96"/>
      <c r="D474" s="97"/>
      <c r="E474" s="97"/>
      <c r="F474" s="193"/>
      <c r="G474" s="103" t="str">
        <f>IF(TblUnitCost[[#This Row],[Currency]]=LCU, TblUnitCost[[#This Row],[Cost]], IF(TblUnitCost[[#This Row],[Currency]]=ACU, TblUnitCost[[#This Row],[Cost]]*FX_Rate, "Check Ref Currency"))</f>
        <v>Check Ref Currency</v>
      </c>
      <c r="H474" s="103">
        <f>TblUnitCost[[#This Row],[Cost]]/1600</f>
        <v>0</v>
      </c>
      <c r="I474" s="96"/>
      <c r="J474" s="96"/>
      <c r="K474" s="98"/>
      <c r="L474" s="96"/>
    </row>
    <row r="475" spans="2:12">
      <c r="B475" s="96"/>
      <c r="C475" s="96"/>
      <c r="D475" s="97"/>
      <c r="E475" s="97"/>
      <c r="F475" s="193"/>
      <c r="G475" s="103" t="str">
        <f>IF(TblUnitCost[[#This Row],[Currency]]=LCU, TblUnitCost[[#This Row],[Cost]], IF(TblUnitCost[[#This Row],[Currency]]=ACU, TblUnitCost[[#This Row],[Cost]]*FX_Rate, "Check Ref Currency"))</f>
        <v>Check Ref Currency</v>
      </c>
      <c r="H475" s="103">
        <f>TblUnitCost[[#This Row],[Cost]]/1600</f>
        <v>0</v>
      </c>
      <c r="I475" s="96"/>
      <c r="J475" s="96"/>
      <c r="K475" s="98"/>
      <c r="L475" s="96"/>
    </row>
    <row r="476" spans="2:12">
      <c r="B476" s="96"/>
      <c r="C476" s="96"/>
      <c r="D476" s="97"/>
      <c r="E476" s="97"/>
      <c r="F476" s="193"/>
      <c r="G476" s="103" t="str">
        <f>IF(TblUnitCost[[#This Row],[Currency]]=LCU, TblUnitCost[[#This Row],[Cost]], IF(TblUnitCost[[#This Row],[Currency]]=ACU, TblUnitCost[[#This Row],[Cost]]*FX_Rate, "Check Ref Currency"))</f>
        <v>Check Ref Currency</v>
      </c>
      <c r="H476" s="103">
        <f>TblUnitCost[[#This Row],[Cost]]/1600</f>
        <v>0</v>
      </c>
      <c r="I476" s="96"/>
      <c r="J476" s="96"/>
      <c r="K476" s="98"/>
      <c r="L476" s="96"/>
    </row>
    <row r="477" spans="2:12">
      <c r="B477" s="96"/>
      <c r="C477" s="96"/>
      <c r="D477" s="97"/>
      <c r="E477" s="97"/>
      <c r="F477" s="193"/>
      <c r="G477" s="103" t="str">
        <f>IF(TblUnitCost[[#This Row],[Currency]]=LCU, TblUnitCost[[#This Row],[Cost]], IF(TblUnitCost[[#This Row],[Currency]]=ACU, TblUnitCost[[#This Row],[Cost]]*FX_Rate, "Check Ref Currency"))</f>
        <v>Check Ref Currency</v>
      </c>
      <c r="H477" s="103">
        <f>TblUnitCost[[#This Row],[Cost]]/1600</f>
        <v>0</v>
      </c>
      <c r="I477" s="96"/>
      <c r="J477" s="96"/>
      <c r="K477" s="98"/>
      <c r="L477" s="96"/>
    </row>
    <row r="478" spans="2:12">
      <c r="B478" s="96"/>
      <c r="C478" s="96"/>
      <c r="D478" s="97"/>
      <c r="E478" s="97"/>
      <c r="F478" s="193"/>
      <c r="G478" s="103" t="str">
        <f>IF(TblUnitCost[[#This Row],[Currency]]=LCU, TblUnitCost[[#This Row],[Cost]], IF(TblUnitCost[[#This Row],[Currency]]=ACU, TblUnitCost[[#This Row],[Cost]]*FX_Rate, "Check Ref Currency"))</f>
        <v>Check Ref Currency</v>
      </c>
      <c r="H478" s="103">
        <f>TblUnitCost[[#This Row],[Cost]]/1600</f>
        <v>0</v>
      </c>
      <c r="I478" s="96"/>
      <c r="J478" s="96"/>
      <c r="K478" s="98"/>
      <c r="L478" s="96"/>
    </row>
    <row r="479" spans="2:12">
      <c r="B479" s="96"/>
      <c r="C479" s="96"/>
      <c r="D479" s="97"/>
      <c r="E479" s="97"/>
      <c r="F479" s="193"/>
      <c r="G479" s="103" t="str">
        <f>IF(TblUnitCost[[#This Row],[Currency]]=LCU, TblUnitCost[[#This Row],[Cost]], IF(TblUnitCost[[#This Row],[Currency]]=ACU, TblUnitCost[[#This Row],[Cost]]*FX_Rate, "Check Ref Currency"))</f>
        <v>Check Ref Currency</v>
      </c>
      <c r="H479" s="103">
        <f>TblUnitCost[[#This Row],[Cost]]/1600</f>
        <v>0</v>
      </c>
      <c r="I479" s="96"/>
      <c r="J479" s="96"/>
      <c r="K479" s="98"/>
      <c r="L479" s="96"/>
    </row>
    <row r="480" spans="2:12">
      <c r="B480" s="96"/>
      <c r="C480" s="96"/>
      <c r="D480" s="97"/>
      <c r="E480" s="97"/>
      <c r="F480" s="193"/>
      <c r="G480" s="103" t="str">
        <f>IF(TblUnitCost[[#This Row],[Currency]]=LCU, TblUnitCost[[#This Row],[Cost]], IF(TblUnitCost[[#This Row],[Currency]]=ACU, TblUnitCost[[#This Row],[Cost]]*FX_Rate, "Check Ref Currency"))</f>
        <v>Check Ref Currency</v>
      </c>
      <c r="H480" s="103">
        <f>TblUnitCost[[#This Row],[Cost]]/1600</f>
        <v>0</v>
      </c>
      <c r="I480" s="96"/>
      <c r="J480" s="96"/>
      <c r="K480" s="98"/>
      <c r="L480" s="96"/>
    </row>
    <row r="481" spans="2:12">
      <c r="B481" s="96"/>
      <c r="C481" s="96"/>
      <c r="D481" s="97"/>
      <c r="E481" s="97"/>
      <c r="F481" s="193"/>
      <c r="G481" s="103" t="str">
        <f>IF(TblUnitCost[[#This Row],[Currency]]=LCU, TblUnitCost[[#This Row],[Cost]], IF(TblUnitCost[[#This Row],[Currency]]=ACU, TblUnitCost[[#This Row],[Cost]]*FX_Rate, "Check Ref Currency"))</f>
        <v>Check Ref Currency</v>
      </c>
      <c r="H481" s="103">
        <f>TblUnitCost[[#This Row],[Cost]]/1600</f>
        <v>0</v>
      </c>
      <c r="I481" s="96"/>
      <c r="J481" s="96"/>
      <c r="K481" s="98"/>
      <c r="L481" s="96"/>
    </row>
    <row r="482" spans="2:12">
      <c r="B482" s="96"/>
      <c r="C482" s="96"/>
      <c r="D482" s="97"/>
      <c r="E482" s="97"/>
      <c r="F482" s="193"/>
      <c r="G482" s="103" t="str">
        <f>IF(TblUnitCost[[#This Row],[Currency]]=LCU, TblUnitCost[[#This Row],[Cost]], IF(TblUnitCost[[#This Row],[Currency]]=ACU, TblUnitCost[[#This Row],[Cost]]*FX_Rate, "Check Ref Currency"))</f>
        <v>Check Ref Currency</v>
      </c>
      <c r="H482" s="103">
        <f>TblUnitCost[[#This Row],[Cost]]/1600</f>
        <v>0</v>
      </c>
      <c r="I482" s="96"/>
      <c r="J482" s="96"/>
      <c r="K482" s="98"/>
      <c r="L482" s="96"/>
    </row>
    <row r="483" spans="2:12">
      <c r="B483" s="96"/>
      <c r="C483" s="96"/>
      <c r="D483" s="97"/>
      <c r="E483" s="97"/>
      <c r="F483" s="193"/>
      <c r="G483" s="103" t="str">
        <f>IF(TblUnitCost[[#This Row],[Currency]]=LCU, TblUnitCost[[#This Row],[Cost]], IF(TblUnitCost[[#This Row],[Currency]]=ACU, TblUnitCost[[#This Row],[Cost]]*FX_Rate, "Check Ref Currency"))</f>
        <v>Check Ref Currency</v>
      </c>
      <c r="H483" s="103">
        <f>TblUnitCost[[#This Row],[Cost]]/1600</f>
        <v>0</v>
      </c>
      <c r="I483" s="96"/>
      <c r="J483" s="96"/>
      <c r="K483" s="98"/>
      <c r="L483" s="96"/>
    </row>
    <row r="484" spans="2:12">
      <c r="B484" s="96"/>
      <c r="C484" s="96"/>
      <c r="D484" s="97"/>
      <c r="E484" s="97"/>
      <c r="F484" s="193"/>
      <c r="G484" s="103" t="str">
        <f>IF(TblUnitCost[[#This Row],[Currency]]=LCU, TblUnitCost[[#This Row],[Cost]], IF(TblUnitCost[[#This Row],[Currency]]=ACU, TblUnitCost[[#This Row],[Cost]]*FX_Rate, "Check Ref Currency"))</f>
        <v>Check Ref Currency</v>
      </c>
      <c r="H484" s="103">
        <f>TblUnitCost[[#This Row],[Cost]]/1600</f>
        <v>0</v>
      </c>
      <c r="I484" s="96"/>
      <c r="J484" s="96"/>
      <c r="K484" s="98"/>
      <c r="L484" s="96"/>
    </row>
    <row r="485" spans="2:12">
      <c r="B485" s="96"/>
      <c r="C485" s="96"/>
      <c r="D485" s="97"/>
      <c r="E485" s="97"/>
      <c r="F485" s="193"/>
      <c r="G485" s="103" t="str">
        <f>IF(TblUnitCost[[#This Row],[Currency]]=LCU, TblUnitCost[[#This Row],[Cost]], IF(TblUnitCost[[#This Row],[Currency]]=ACU, TblUnitCost[[#This Row],[Cost]]*FX_Rate, "Check Ref Currency"))</f>
        <v>Check Ref Currency</v>
      </c>
      <c r="H485" s="103">
        <f>TblUnitCost[[#This Row],[Cost]]/1600</f>
        <v>0</v>
      </c>
      <c r="I485" s="96"/>
      <c r="J485" s="96"/>
      <c r="K485" s="98"/>
      <c r="L485" s="96"/>
    </row>
    <row r="486" spans="2:12">
      <c r="B486" s="96"/>
      <c r="C486" s="96"/>
      <c r="D486" s="97"/>
      <c r="E486" s="97"/>
      <c r="F486" s="193"/>
      <c r="G486" s="103" t="str">
        <f>IF(TblUnitCost[[#This Row],[Currency]]=LCU, TblUnitCost[[#This Row],[Cost]], IF(TblUnitCost[[#This Row],[Currency]]=ACU, TblUnitCost[[#This Row],[Cost]]*FX_Rate, "Check Ref Currency"))</f>
        <v>Check Ref Currency</v>
      </c>
      <c r="H486" s="103">
        <f>TblUnitCost[[#This Row],[Cost]]/1600</f>
        <v>0</v>
      </c>
      <c r="I486" s="96"/>
      <c r="J486" s="96"/>
      <c r="K486" s="98"/>
      <c r="L486" s="96"/>
    </row>
    <row r="487" spans="2:12">
      <c r="B487" s="96"/>
      <c r="C487" s="96"/>
      <c r="D487" s="97"/>
      <c r="E487" s="97"/>
      <c r="F487" s="193"/>
      <c r="G487" s="103" t="str">
        <f>IF(TblUnitCost[[#This Row],[Currency]]=LCU, TblUnitCost[[#This Row],[Cost]], IF(TblUnitCost[[#This Row],[Currency]]=ACU, TblUnitCost[[#This Row],[Cost]]*FX_Rate, "Check Ref Currency"))</f>
        <v>Check Ref Currency</v>
      </c>
      <c r="H487" s="103">
        <f>TblUnitCost[[#This Row],[Cost]]/1600</f>
        <v>0</v>
      </c>
      <c r="I487" s="96"/>
      <c r="J487" s="96"/>
      <c r="K487" s="98"/>
      <c r="L487" s="96"/>
    </row>
    <row r="488" spans="2:12">
      <c r="B488" s="96"/>
      <c r="C488" s="96"/>
      <c r="D488" s="97"/>
      <c r="E488" s="97"/>
      <c r="F488" s="193"/>
      <c r="G488" s="103" t="str">
        <f>IF(TblUnitCost[[#This Row],[Currency]]=LCU, TblUnitCost[[#This Row],[Cost]], IF(TblUnitCost[[#This Row],[Currency]]=ACU, TblUnitCost[[#This Row],[Cost]]*FX_Rate, "Check Ref Currency"))</f>
        <v>Check Ref Currency</v>
      </c>
      <c r="H488" s="103">
        <f>TblUnitCost[[#This Row],[Cost]]/1600</f>
        <v>0</v>
      </c>
      <c r="I488" s="96"/>
      <c r="J488" s="96"/>
      <c r="K488" s="98"/>
      <c r="L488" s="96"/>
    </row>
    <row r="489" spans="2:12">
      <c r="B489" s="96"/>
      <c r="C489" s="96"/>
      <c r="D489" s="97"/>
      <c r="E489" s="97"/>
      <c r="F489" s="193"/>
      <c r="G489" s="103" t="str">
        <f>IF(TblUnitCost[[#This Row],[Currency]]=LCU, TblUnitCost[[#This Row],[Cost]], IF(TblUnitCost[[#This Row],[Currency]]=ACU, TblUnitCost[[#This Row],[Cost]]*FX_Rate, "Check Ref Currency"))</f>
        <v>Check Ref Currency</v>
      </c>
      <c r="H489" s="103">
        <f>TblUnitCost[[#This Row],[Cost]]/1600</f>
        <v>0</v>
      </c>
      <c r="I489" s="96"/>
      <c r="J489" s="96"/>
      <c r="K489" s="98"/>
      <c r="L489" s="96"/>
    </row>
    <row r="490" spans="2:12">
      <c r="B490" s="96"/>
      <c r="C490" s="96"/>
      <c r="D490" s="97"/>
      <c r="E490" s="97"/>
      <c r="F490" s="193"/>
      <c r="G490" s="103" t="str">
        <f>IF(TblUnitCost[[#This Row],[Currency]]=LCU, TblUnitCost[[#This Row],[Cost]], IF(TblUnitCost[[#This Row],[Currency]]=ACU, TblUnitCost[[#This Row],[Cost]]*FX_Rate, "Check Ref Currency"))</f>
        <v>Check Ref Currency</v>
      </c>
      <c r="H490" s="103">
        <f>TblUnitCost[[#This Row],[Cost]]/1600</f>
        <v>0</v>
      </c>
      <c r="I490" s="96"/>
      <c r="J490" s="96"/>
      <c r="K490" s="98"/>
      <c r="L490" s="96"/>
    </row>
    <row r="491" spans="2:12">
      <c r="B491" s="96"/>
      <c r="C491" s="96"/>
      <c r="D491" s="97"/>
      <c r="E491" s="97"/>
      <c r="F491" s="193"/>
      <c r="G491" s="103" t="str">
        <f>IF(TblUnitCost[[#This Row],[Currency]]=LCU, TblUnitCost[[#This Row],[Cost]], IF(TblUnitCost[[#This Row],[Currency]]=ACU, TblUnitCost[[#This Row],[Cost]]*FX_Rate, "Check Ref Currency"))</f>
        <v>Check Ref Currency</v>
      </c>
      <c r="H491" s="103">
        <f>TblUnitCost[[#This Row],[Cost]]/1600</f>
        <v>0</v>
      </c>
      <c r="I491" s="96"/>
      <c r="J491" s="96"/>
      <c r="K491" s="98"/>
      <c r="L491" s="96"/>
    </row>
    <row r="492" spans="2:12">
      <c r="B492" s="96"/>
      <c r="C492" s="96"/>
      <c r="D492" s="97"/>
      <c r="E492" s="97"/>
      <c r="F492" s="193"/>
      <c r="G492" s="103" t="str">
        <f>IF(TblUnitCost[[#This Row],[Currency]]=LCU, TblUnitCost[[#This Row],[Cost]], IF(TblUnitCost[[#This Row],[Currency]]=ACU, TblUnitCost[[#This Row],[Cost]]*FX_Rate, "Check Ref Currency"))</f>
        <v>Check Ref Currency</v>
      </c>
      <c r="H492" s="103">
        <f>TblUnitCost[[#This Row],[Cost]]/1600</f>
        <v>0</v>
      </c>
      <c r="I492" s="96"/>
      <c r="J492" s="96"/>
      <c r="K492" s="98"/>
      <c r="L492" s="96"/>
    </row>
    <row r="493" spans="2:12">
      <c r="B493" s="96"/>
      <c r="C493" s="96"/>
      <c r="D493" s="97"/>
      <c r="E493" s="97"/>
      <c r="F493" s="193"/>
      <c r="G493" s="103" t="str">
        <f>IF(TblUnitCost[[#This Row],[Currency]]=LCU, TblUnitCost[[#This Row],[Cost]], IF(TblUnitCost[[#This Row],[Currency]]=ACU, TblUnitCost[[#This Row],[Cost]]*FX_Rate, "Check Ref Currency"))</f>
        <v>Check Ref Currency</v>
      </c>
      <c r="H493" s="103">
        <f>TblUnitCost[[#This Row],[Cost]]/1600</f>
        <v>0</v>
      </c>
      <c r="I493" s="96"/>
      <c r="J493" s="96"/>
      <c r="K493" s="98"/>
      <c r="L493" s="96"/>
    </row>
    <row r="494" spans="2:12">
      <c r="B494" s="96"/>
      <c r="C494" s="96"/>
      <c r="D494" s="97"/>
      <c r="E494" s="97"/>
      <c r="F494" s="193"/>
      <c r="G494" s="103" t="str">
        <f>IF(TblUnitCost[[#This Row],[Currency]]=LCU, TblUnitCost[[#This Row],[Cost]], IF(TblUnitCost[[#This Row],[Currency]]=ACU, TblUnitCost[[#This Row],[Cost]]*FX_Rate, "Check Ref Currency"))</f>
        <v>Check Ref Currency</v>
      </c>
      <c r="H494" s="103">
        <f>TblUnitCost[[#This Row],[Cost]]/1600</f>
        <v>0</v>
      </c>
      <c r="I494" s="96"/>
      <c r="J494" s="96"/>
      <c r="K494" s="98"/>
      <c r="L494" s="96"/>
    </row>
    <row r="495" spans="2:12">
      <c r="B495" s="96"/>
      <c r="C495" s="96"/>
      <c r="D495" s="97"/>
      <c r="E495" s="97"/>
      <c r="F495" s="193"/>
      <c r="G495" s="103" t="str">
        <f>IF(TblUnitCost[[#This Row],[Currency]]=LCU, TblUnitCost[[#This Row],[Cost]], IF(TblUnitCost[[#This Row],[Currency]]=ACU, TblUnitCost[[#This Row],[Cost]]*FX_Rate, "Check Ref Currency"))</f>
        <v>Check Ref Currency</v>
      </c>
      <c r="H495" s="103">
        <f>TblUnitCost[[#This Row],[Cost]]/1600</f>
        <v>0</v>
      </c>
      <c r="I495" s="96"/>
      <c r="J495" s="96"/>
      <c r="K495" s="98"/>
      <c r="L495" s="96"/>
    </row>
    <row r="496" spans="2:12">
      <c r="B496" s="96"/>
      <c r="C496" s="96"/>
      <c r="D496" s="97"/>
      <c r="E496" s="97"/>
      <c r="F496" s="193"/>
      <c r="G496" s="103" t="str">
        <f>IF(TblUnitCost[[#This Row],[Currency]]=LCU, TblUnitCost[[#This Row],[Cost]], IF(TblUnitCost[[#This Row],[Currency]]=ACU, TblUnitCost[[#This Row],[Cost]]*FX_Rate, "Check Ref Currency"))</f>
        <v>Check Ref Currency</v>
      </c>
      <c r="H496" s="103">
        <f>TblUnitCost[[#This Row],[Cost]]/1600</f>
        <v>0</v>
      </c>
      <c r="I496" s="96"/>
      <c r="J496" s="96"/>
      <c r="K496" s="98"/>
      <c r="L496" s="96"/>
    </row>
    <row r="497" spans="2:12">
      <c r="B497" s="96"/>
      <c r="C497" s="96"/>
      <c r="D497" s="97"/>
      <c r="E497" s="97"/>
      <c r="F497" s="193"/>
      <c r="G497" s="103" t="str">
        <f>IF(TblUnitCost[[#This Row],[Currency]]=LCU, TblUnitCost[[#This Row],[Cost]], IF(TblUnitCost[[#This Row],[Currency]]=ACU, TblUnitCost[[#This Row],[Cost]]*FX_Rate, "Check Ref Currency"))</f>
        <v>Check Ref Currency</v>
      </c>
      <c r="H497" s="103">
        <f>TblUnitCost[[#This Row],[Cost]]/1600</f>
        <v>0</v>
      </c>
      <c r="I497" s="96"/>
      <c r="J497" s="96"/>
      <c r="K497" s="98"/>
      <c r="L497" s="96"/>
    </row>
    <row r="498" spans="2:12">
      <c r="B498" s="96"/>
      <c r="C498" s="96"/>
      <c r="D498" s="97"/>
      <c r="E498" s="97"/>
      <c r="F498" s="193"/>
      <c r="G498" s="103" t="str">
        <f>IF(TblUnitCost[[#This Row],[Currency]]=LCU, TblUnitCost[[#This Row],[Cost]], IF(TblUnitCost[[#This Row],[Currency]]=ACU, TblUnitCost[[#This Row],[Cost]]*FX_Rate, "Check Ref Currency"))</f>
        <v>Check Ref Currency</v>
      </c>
      <c r="H498" s="103">
        <f>TblUnitCost[[#This Row],[Cost]]/1600</f>
        <v>0</v>
      </c>
      <c r="I498" s="96"/>
      <c r="J498" s="96"/>
      <c r="K498" s="98"/>
      <c r="L498" s="96"/>
    </row>
    <row r="499" spans="2:12">
      <c r="B499" s="96"/>
      <c r="C499" s="96"/>
      <c r="D499" s="97"/>
      <c r="E499" s="97"/>
      <c r="F499" s="193"/>
      <c r="G499" s="103" t="str">
        <f>IF(TblUnitCost[[#This Row],[Currency]]=LCU, TblUnitCost[[#This Row],[Cost]], IF(TblUnitCost[[#This Row],[Currency]]=ACU, TblUnitCost[[#This Row],[Cost]]*FX_Rate, "Check Ref Currency"))</f>
        <v>Check Ref Currency</v>
      </c>
      <c r="H499" s="103">
        <f>TblUnitCost[[#This Row],[Cost]]/1600</f>
        <v>0</v>
      </c>
      <c r="I499" s="96"/>
      <c r="J499" s="96"/>
      <c r="K499" s="98"/>
      <c r="L499" s="96"/>
    </row>
    <row r="500" spans="2:12">
      <c r="B500" s="96"/>
      <c r="C500" s="96"/>
      <c r="D500" s="97"/>
      <c r="E500" s="97"/>
      <c r="F500" s="193"/>
      <c r="G500" s="103" t="str">
        <f>IF(TblUnitCost[[#This Row],[Currency]]=LCU, TblUnitCost[[#This Row],[Cost]], IF(TblUnitCost[[#This Row],[Currency]]=ACU, TblUnitCost[[#This Row],[Cost]]*FX_Rate, "Check Ref Currency"))</f>
        <v>Check Ref Currency</v>
      </c>
      <c r="H500" s="103">
        <f>TblUnitCost[[#This Row],[Cost]]/1600</f>
        <v>0</v>
      </c>
      <c r="I500" s="96"/>
      <c r="J500" s="96"/>
      <c r="K500" s="98"/>
      <c r="L500" s="96"/>
    </row>
    <row r="501" spans="2:12">
      <c r="B501" s="96"/>
      <c r="C501" s="96"/>
      <c r="D501" s="97"/>
      <c r="E501" s="97"/>
      <c r="F501" s="193"/>
      <c r="G501" s="103" t="str">
        <f>IF(TblUnitCost[[#This Row],[Currency]]=LCU, TblUnitCost[[#This Row],[Cost]], IF(TblUnitCost[[#This Row],[Currency]]=ACU, TblUnitCost[[#This Row],[Cost]]*FX_Rate, "Check Ref Currency"))</f>
        <v>Check Ref Currency</v>
      </c>
      <c r="H501" s="103">
        <f>TblUnitCost[[#This Row],[Cost]]/1600</f>
        <v>0</v>
      </c>
      <c r="I501" s="96"/>
      <c r="J501" s="96"/>
      <c r="K501" s="98"/>
      <c r="L501" s="96"/>
    </row>
    <row r="502" spans="2:12">
      <c r="B502" s="96"/>
      <c r="C502" s="96"/>
      <c r="D502" s="97"/>
      <c r="E502" s="97"/>
      <c r="F502" s="193"/>
      <c r="G502" s="103" t="str">
        <f>IF(TblUnitCost[[#This Row],[Currency]]=LCU, TblUnitCost[[#This Row],[Cost]], IF(TblUnitCost[[#This Row],[Currency]]=ACU, TblUnitCost[[#This Row],[Cost]]*FX_Rate, "Check Ref Currency"))</f>
        <v>Check Ref Currency</v>
      </c>
      <c r="H502" s="103">
        <f>TblUnitCost[[#This Row],[Cost]]/1600</f>
        <v>0</v>
      </c>
      <c r="I502" s="96"/>
      <c r="J502" s="96"/>
      <c r="K502" s="98"/>
      <c r="L502" s="96"/>
    </row>
    <row r="503" spans="2:12">
      <c r="B503" s="96"/>
      <c r="C503" s="96"/>
      <c r="D503" s="97"/>
      <c r="E503" s="97"/>
      <c r="F503" s="193"/>
      <c r="G503" s="103" t="str">
        <f>IF(TblUnitCost[[#This Row],[Currency]]=LCU, TblUnitCost[[#This Row],[Cost]], IF(TblUnitCost[[#This Row],[Currency]]=ACU, TblUnitCost[[#This Row],[Cost]]*FX_Rate, "Check Ref Currency"))</f>
        <v>Check Ref Currency</v>
      </c>
      <c r="H503" s="103">
        <f>TblUnitCost[[#This Row],[Cost]]/1600</f>
        <v>0</v>
      </c>
      <c r="I503" s="96"/>
      <c r="J503" s="96"/>
      <c r="K503" s="98"/>
      <c r="L503" s="96"/>
    </row>
    <row r="504" spans="2:12">
      <c r="B504" s="96"/>
      <c r="C504" s="96"/>
      <c r="D504" s="97"/>
      <c r="E504" s="97"/>
      <c r="F504" s="193"/>
      <c r="G504" s="103" t="str">
        <f>IF(TblUnitCost[[#This Row],[Currency]]=LCU, TblUnitCost[[#This Row],[Cost]], IF(TblUnitCost[[#This Row],[Currency]]=ACU, TblUnitCost[[#This Row],[Cost]]*FX_Rate, "Check Ref Currency"))</f>
        <v>Check Ref Currency</v>
      </c>
      <c r="H504" s="103">
        <f>TblUnitCost[[#This Row],[Cost]]/1600</f>
        <v>0</v>
      </c>
      <c r="I504" s="96"/>
      <c r="J504" s="96"/>
      <c r="K504" s="98"/>
      <c r="L504" s="96"/>
    </row>
    <row r="505" spans="2:12">
      <c r="B505" s="96"/>
      <c r="C505" s="96"/>
      <c r="D505" s="97"/>
      <c r="E505" s="97"/>
      <c r="F505" s="193"/>
      <c r="G505" s="103" t="str">
        <f>IF(TblUnitCost[[#This Row],[Currency]]=LCU, TblUnitCost[[#This Row],[Cost]], IF(TblUnitCost[[#This Row],[Currency]]=ACU, TblUnitCost[[#This Row],[Cost]]*FX_Rate, "Check Ref Currency"))</f>
        <v>Check Ref Currency</v>
      </c>
      <c r="H505" s="103">
        <f>TblUnitCost[[#This Row],[Cost]]/1600</f>
        <v>0</v>
      </c>
      <c r="I505" s="96"/>
      <c r="J505" s="96"/>
      <c r="K505" s="98"/>
      <c r="L505" s="96"/>
    </row>
    <row r="506" spans="2:12">
      <c r="B506" s="99"/>
      <c r="C506" s="99"/>
      <c r="D506" s="99"/>
      <c r="E506" s="99"/>
      <c r="F506" s="194"/>
      <c r="G506" s="99"/>
      <c r="H506" s="99"/>
      <c r="I506" s="99"/>
      <c r="J506" s="99"/>
      <c r="K506" s="99"/>
      <c r="L506" s="99"/>
    </row>
    <row r="507" spans="2:12">
      <c r="B507" s="99"/>
      <c r="C507" s="99"/>
      <c r="D507" s="99"/>
      <c r="E507" s="99"/>
      <c r="F507" s="194"/>
      <c r="G507" s="99"/>
      <c r="H507" s="99"/>
      <c r="I507" s="99"/>
      <c r="J507" s="99"/>
      <c r="K507" s="99"/>
      <c r="L507" s="99"/>
    </row>
    <row r="508" spans="2:12">
      <c r="B508" s="99"/>
      <c r="C508" s="99"/>
      <c r="D508" s="99"/>
      <c r="E508" s="99"/>
      <c r="F508" s="194"/>
      <c r="G508" s="99"/>
      <c r="H508" s="99"/>
      <c r="I508" s="99"/>
      <c r="J508" s="99"/>
      <c r="K508" s="99"/>
      <c r="L508" s="99"/>
    </row>
    <row r="509" spans="2:12">
      <c r="B509" s="99"/>
      <c r="C509" s="99"/>
      <c r="D509" s="99"/>
      <c r="E509" s="99"/>
      <c r="F509" s="194"/>
      <c r="G509" s="99"/>
      <c r="H509" s="99"/>
      <c r="I509" s="99"/>
      <c r="J509" s="99"/>
      <c r="K509" s="99"/>
      <c r="L509" s="99"/>
    </row>
    <row r="510" spans="2:12">
      <c r="B510" s="99"/>
      <c r="C510" s="99"/>
      <c r="D510" s="99"/>
      <c r="E510" s="99"/>
      <c r="F510" s="194"/>
      <c r="G510" s="99"/>
      <c r="H510" s="99"/>
      <c r="I510" s="99"/>
      <c r="J510" s="99"/>
      <c r="K510" s="99"/>
      <c r="L510" s="99"/>
    </row>
    <row r="511" spans="2:12">
      <c r="B511" s="99"/>
      <c r="C511" s="99"/>
      <c r="D511" s="99"/>
      <c r="E511" s="99"/>
      <c r="F511" s="194"/>
      <c r="G511" s="99"/>
      <c r="H511" s="99"/>
      <c r="I511" s="99"/>
      <c r="J511" s="99"/>
      <c r="K511" s="99"/>
      <c r="L511" s="99"/>
    </row>
    <row r="512" spans="2:12">
      <c r="B512" s="99"/>
      <c r="C512" s="99"/>
      <c r="D512" s="99"/>
      <c r="E512" s="99"/>
      <c r="F512" s="194"/>
      <c r="G512" s="99"/>
      <c r="H512" s="99"/>
      <c r="I512" s="99"/>
      <c r="J512" s="99"/>
      <c r="K512" s="99"/>
      <c r="L512" s="99"/>
    </row>
    <row r="513" spans="2:12">
      <c r="B513" s="99"/>
      <c r="C513" s="99"/>
      <c r="D513" s="99"/>
      <c r="E513" s="99"/>
      <c r="F513" s="194"/>
      <c r="G513" s="99"/>
      <c r="H513" s="99"/>
      <c r="I513" s="99"/>
      <c r="J513" s="99"/>
      <c r="K513" s="99"/>
      <c r="L513" s="99"/>
    </row>
    <row r="514" spans="2:12">
      <c r="B514" s="99"/>
      <c r="C514" s="99"/>
      <c r="D514" s="99"/>
      <c r="E514" s="99"/>
      <c r="F514" s="194"/>
      <c r="G514" s="99"/>
      <c r="H514" s="99"/>
      <c r="I514" s="99"/>
      <c r="J514" s="99"/>
      <c r="K514" s="99"/>
      <c r="L514" s="99"/>
    </row>
    <row r="515" spans="2:12">
      <c r="B515" s="99"/>
      <c r="C515" s="99"/>
      <c r="D515" s="99"/>
      <c r="E515" s="99"/>
      <c r="F515" s="194"/>
      <c r="G515" s="99"/>
      <c r="H515" s="99"/>
      <c r="I515" s="99"/>
      <c r="J515" s="99"/>
      <c r="K515" s="99"/>
      <c r="L515" s="99"/>
    </row>
    <row r="516" spans="2:12">
      <c r="B516" s="99"/>
      <c r="C516" s="99"/>
      <c r="D516" s="99"/>
      <c r="E516" s="99"/>
      <c r="F516" s="194"/>
      <c r="G516" s="99"/>
      <c r="H516" s="99"/>
      <c r="I516" s="99"/>
      <c r="J516" s="99"/>
      <c r="K516" s="99"/>
      <c r="L516" s="99"/>
    </row>
    <row r="517" spans="2:12">
      <c r="B517" s="99"/>
      <c r="C517" s="99"/>
      <c r="D517" s="99"/>
      <c r="E517" s="99"/>
      <c r="F517" s="194"/>
      <c r="G517" s="99"/>
      <c r="H517" s="99"/>
      <c r="I517" s="99"/>
      <c r="J517" s="99"/>
      <c r="K517" s="99"/>
      <c r="L517" s="99"/>
    </row>
    <row r="518" spans="2:12">
      <c r="B518" s="99"/>
      <c r="C518" s="99"/>
      <c r="D518" s="99"/>
      <c r="E518" s="99"/>
      <c r="F518" s="194"/>
      <c r="G518" s="99"/>
      <c r="H518" s="99"/>
      <c r="I518" s="99"/>
      <c r="J518" s="99"/>
      <c r="K518" s="99"/>
      <c r="L518" s="99"/>
    </row>
    <row r="519" spans="2:12">
      <c r="B519" s="99"/>
      <c r="C519" s="99"/>
      <c r="D519" s="99"/>
      <c r="E519" s="99"/>
      <c r="F519" s="194"/>
      <c r="G519" s="99"/>
      <c r="H519" s="99"/>
      <c r="I519" s="99"/>
      <c r="J519" s="99"/>
      <c r="K519" s="99"/>
      <c r="L519" s="99"/>
    </row>
    <row r="520" spans="2:12">
      <c r="B520" s="99"/>
      <c r="C520" s="99"/>
      <c r="D520" s="99"/>
      <c r="E520" s="99"/>
      <c r="F520" s="194"/>
      <c r="G520" s="99"/>
      <c r="H520" s="99"/>
      <c r="I520" s="99"/>
      <c r="J520" s="99"/>
      <c r="K520" s="99"/>
      <c r="L520" s="99"/>
    </row>
    <row r="521" spans="2:12">
      <c r="B521" s="99"/>
      <c r="C521" s="99"/>
      <c r="D521" s="99"/>
      <c r="E521" s="99"/>
      <c r="F521" s="194"/>
      <c r="G521" s="99"/>
      <c r="H521" s="99"/>
      <c r="I521" s="99"/>
      <c r="J521" s="99"/>
      <c r="K521" s="99"/>
      <c r="L521" s="99"/>
    </row>
    <row r="522" spans="2:12">
      <c r="B522" s="99"/>
      <c r="C522" s="99"/>
      <c r="D522" s="99"/>
      <c r="E522" s="99"/>
      <c r="F522" s="194"/>
      <c r="G522" s="99"/>
      <c r="H522" s="99"/>
      <c r="I522" s="99"/>
      <c r="J522" s="99"/>
      <c r="K522" s="99"/>
      <c r="L522" s="99"/>
    </row>
    <row r="523" spans="2:12">
      <c r="B523" s="99"/>
      <c r="C523" s="99"/>
      <c r="D523" s="99"/>
      <c r="E523" s="99"/>
      <c r="F523" s="194"/>
      <c r="G523" s="99"/>
      <c r="H523" s="99"/>
      <c r="I523" s="99"/>
      <c r="J523" s="99"/>
      <c r="K523" s="99"/>
      <c r="L523" s="99"/>
    </row>
    <row r="524" spans="2:12">
      <c r="B524" s="99"/>
      <c r="C524" s="99"/>
      <c r="D524" s="99"/>
      <c r="E524" s="99"/>
      <c r="F524" s="194"/>
      <c r="G524" s="99"/>
      <c r="H524" s="99"/>
      <c r="I524" s="99"/>
      <c r="J524" s="99"/>
      <c r="K524" s="99"/>
      <c r="L524" s="99"/>
    </row>
    <row r="525" spans="2:12">
      <c r="B525" s="99"/>
      <c r="C525" s="99"/>
      <c r="D525" s="99"/>
      <c r="E525" s="99"/>
      <c r="F525" s="194"/>
      <c r="G525" s="99"/>
      <c r="H525" s="99"/>
      <c r="I525" s="99"/>
      <c r="J525" s="99"/>
      <c r="K525" s="99"/>
      <c r="L525" s="99"/>
    </row>
    <row r="526" spans="2:12">
      <c r="B526" s="99"/>
      <c r="C526" s="99"/>
      <c r="D526" s="99"/>
      <c r="E526" s="99"/>
      <c r="F526" s="194"/>
      <c r="G526" s="99"/>
      <c r="H526" s="99"/>
      <c r="I526" s="99"/>
      <c r="J526" s="99"/>
      <c r="K526" s="99"/>
      <c r="L526" s="99"/>
    </row>
    <row r="527" spans="2:12">
      <c r="B527" s="99"/>
      <c r="C527" s="99"/>
      <c r="D527" s="99"/>
      <c r="E527" s="99"/>
      <c r="F527" s="194"/>
      <c r="G527" s="99"/>
      <c r="H527" s="99"/>
      <c r="I527" s="99"/>
      <c r="J527" s="99"/>
      <c r="K527" s="99"/>
      <c r="L527" s="99"/>
    </row>
    <row r="528" spans="2:12">
      <c r="B528" s="99"/>
      <c r="C528" s="99"/>
      <c r="D528" s="99"/>
      <c r="E528" s="99"/>
      <c r="F528" s="194"/>
      <c r="G528" s="99"/>
      <c r="H528" s="99"/>
      <c r="I528" s="99"/>
      <c r="J528" s="99"/>
      <c r="K528" s="99"/>
      <c r="L528" s="99"/>
    </row>
    <row r="529" spans="2:12">
      <c r="B529" s="99"/>
      <c r="C529" s="99"/>
      <c r="D529" s="99"/>
      <c r="E529" s="99"/>
      <c r="F529" s="194"/>
      <c r="G529" s="99"/>
      <c r="H529" s="99"/>
      <c r="I529" s="99"/>
      <c r="J529" s="99"/>
      <c r="K529" s="99"/>
      <c r="L529" s="99"/>
    </row>
    <row r="530" spans="2:12">
      <c r="B530" s="99"/>
      <c r="C530" s="99"/>
      <c r="D530" s="99"/>
      <c r="E530" s="99"/>
      <c r="F530" s="194"/>
      <c r="G530" s="99"/>
      <c r="H530" s="99"/>
      <c r="I530" s="99"/>
      <c r="J530" s="99"/>
      <c r="K530" s="99"/>
      <c r="L530" s="99"/>
    </row>
    <row r="531" spans="2:12">
      <c r="B531" s="99"/>
      <c r="C531" s="99"/>
      <c r="D531" s="99"/>
      <c r="E531" s="99"/>
      <c r="F531" s="194"/>
      <c r="G531" s="99"/>
      <c r="H531" s="99"/>
      <c r="I531" s="99"/>
      <c r="J531" s="99"/>
      <c r="K531" s="99"/>
      <c r="L531" s="99"/>
    </row>
    <row r="532" spans="2:12">
      <c r="B532" s="99"/>
      <c r="C532" s="99"/>
      <c r="D532" s="99"/>
      <c r="E532" s="99"/>
      <c r="F532" s="194"/>
      <c r="G532" s="99"/>
      <c r="H532" s="99"/>
      <c r="I532" s="99"/>
      <c r="J532" s="99"/>
      <c r="K532" s="99"/>
      <c r="L532" s="99"/>
    </row>
    <row r="533" spans="2:12">
      <c r="B533" s="99"/>
      <c r="C533" s="99"/>
      <c r="D533" s="99"/>
      <c r="E533" s="99"/>
      <c r="F533" s="194"/>
      <c r="G533" s="99"/>
      <c r="H533" s="99"/>
      <c r="I533" s="99"/>
      <c r="J533" s="99"/>
      <c r="K533" s="99"/>
      <c r="L533" s="99"/>
    </row>
    <row r="534" spans="2:12">
      <c r="B534" s="99"/>
      <c r="C534" s="99"/>
      <c r="D534" s="99"/>
      <c r="E534" s="99"/>
      <c r="F534" s="194"/>
      <c r="G534" s="99"/>
      <c r="H534" s="99"/>
      <c r="I534" s="99"/>
      <c r="J534" s="99"/>
      <c r="K534" s="99"/>
      <c r="L534" s="99"/>
    </row>
    <row r="535" spans="2:12">
      <c r="B535" s="99"/>
      <c r="C535" s="99"/>
      <c r="D535" s="99"/>
      <c r="E535" s="99"/>
      <c r="F535" s="194"/>
      <c r="G535" s="99"/>
      <c r="H535" s="99"/>
      <c r="I535" s="99"/>
      <c r="J535" s="99"/>
      <c r="K535" s="99"/>
      <c r="L535" s="99"/>
    </row>
    <row r="536" spans="2:12">
      <c r="B536" s="99"/>
      <c r="C536" s="99"/>
      <c r="D536" s="99"/>
      <c r="E536" s="99"/>
      <c r="F536" s="194"/>
      <c r="G536" s="99"/>
      <c r="H536" s="99"/>
      <c r="I536" s="99"/>
      <c r="J536" s="99"/>
      <c r="K536" s="99"/>
      <c r="L536" s="99"/>
    </row>
    <row r="537" spans="2:12">
      <c r="B537" s="99"/>
      <c r="C537" s="99"/>
      <c r="D537" s="99"/>
      <c r="E537" s="99"/>
      <c r="F537" s="194"/>
      <c r="G537" s="99"/>
      <c r="H537" s="99"/>
      <c r="I537" s="99"/>
      <c r="J537" s="99"/>
      <c r="K537" s="99"/>
      <c r="L537" s="99"/>
    </row>
    <row r="538" spans="2:12">
      <c r="B538" s="99"/>
      <c r="C538" s="99"/>
      <c r="D538" s="99"/>
      <c r="E538" s="99"/>
      <c r="F538" s="194"/>
      <c r="G538" s="99"/>
      <c r="H538" s="99"/>
      <c r="I538" s="99"/>
      <c r="J538" s="99"/>
      <c r="K538" s="99"/>
      <c r="L538" s="99"/>
    </row>
    <row r="539" spans="2:12">
      <c r="B539" s="99"/>
      <c r="C539" s="99"/>
      <c r="D539" s="99"/>
      <c r="E539" s="99"/>
      <c r="F539" s="194"/>
      <c r="G539" s="99"/>
      <c r="H539" s="99"/>
      <c r="I539" s="99"/>
      <c r="J539" s="99"/>
      <c r="K539" s="99"/>
      <c r="L539" s="99"/>
    </row>
    <row r="540" spans="2:12">
      <c r="B540" s="99"/>
      <c r="C540" s="99"/>
      <c r="D540" s="99"/>
      <c r="E540" s="99"/>
      <c r="F540" s="194"/>
      <c r="G540" s="99"/>
      <c r="H540" s="99"/>
      <c r="I540" s="99"/>
      <c r="J540" s="99"/>
      <c r="K540" s="99"/>
      <c r="L540" s="99"/>
    </row>
    <row r="541" spans="2:12">
      <c r="B541" s="99"/>
      <c r="C541" s="99"/>
      <c r="D541" s="99"/>
      <c r="E541" s="99"/>
      <c r="F541" s="194"/>
      <c r="G541" s="99"/>
      <c r="H541" s="99"/>
      <c r="I541" s="99"/>
      <c r="J541" s="99"/>
      <c r="K541" s="99"/>
      <c r="L541" s="99"/>
    </row>
    <row r="542" spans="2:12">
      <c r="B542" s="99"/>
      <c r="C542" s="99"/>
      <c r="D542" s="99"/>
      <c r="E542" s="99"/>
      <c r="F542" s="194"/>
      <c r="G542" s="99"/>
      <c r="H542" s="99"/>
      <c r="I542" s="99"/>
      <c r="J542" s="99"/>
      <c r="K542" s="99"/>
      <c r="L542" s="99"/>
    </row>
    <row r="543" spans="2:12">
      <c r="B543" s="99"/>
      <c r="C543" s="99"/>
      <c r="D543" s="99"/>
      <c r="E543" s="99"/>
      <c r="F543" s="194"/>
      <c r="G543" s="99"/>
      <c r="H543" s="99"/>
      <c r="I543" s="99"/>
      <c r="J543" s="99"/>
      <c r="K543" s="99"/>
      <c r="L543" s="99"/>
    </row>
    <row r="544" spans="2:12">
      <c r="B544" s="99"/>
      <c r="C544" s="99"/>
      <c r="D544" s="99"/>
      <c r="E544" s="99"/>
      <c r="F544" s="194"/>
      <c r="G544" s="99"/>
      <c r="H544" s="99"/>
      <c r="I544" s="99"/>
      <c r="J544" s="99"/>
      <c r="K544" s="99"/>
      <c r="L544" s="99"/>
    </row>
    <row r="545" spans="2:12">
      <c r="B545" s="99"/>
      <c r="C545" s="99"/>
      <c r="D545" s="99"/>
      <c r="E545" s="99"/>
      <c r="F545" s="194"/>
      <c r="G545" s="99"/>
      <c r="H545" s="99"/>
      <c r="I545" s="99"/>
      <c r="J545" s="99"/>
      <c r="K545" s="99"/>
      <c r="L545" s="99"/>
    </row>
    <row r="546" spans="2:12">
      <c r="B546" s="99"/>
      <c r="C546" s="99"/>
      <c r="D546" s="99"/>
      <c r="E546" s="99"/>
      <c r="F546" s="194"/>
      <c r="G546" s="99"/>
      <c r="H546" s="99"/>
      <c r="I546" s="99"/>
      <c r="J546" s="99"/>
      <c r="K546" s="99"/>
      <c r="L546" s="99"/>
    </row>
    <row r="547" spans="2:12">
      <c r="B547" s="99"/>
      <c r="C547" s="99"/>
      <c r="D547" s="99"/>
      <c r="E547" s="99"/>
      <c r="F547" s="194"/>
      <c r="G547" s="99"/>
      <c r="H547" s="99"/>
      <c r="I547" s="99"/>
      <c r="J547" s="99"/>
      <c r="K547" s="99"/>
      <c r="L547" s="99"/>
    </row>
    <row r="548" spans="2:12">
      <c r="B548" s="99"/>
      <c r="C548" s="99"/>
      <c r="D548" s="99"/>
      <c r="E548" s="99"/>
      <c r="F548" s="194"/>
      <c r="G548" s="99"/>
      <c r="H548" s="99"/>
      <c r="I548" s="99"/>
      <c r="J548" s="99"/>
      <c r="K548" s="99"/>
      <c r="L548" s="99"/>
    </row>
    <row r="549" spans="2:12">
      <c r="B549" s="99"/>
      <c r="C549" s="99"/>
      <c r="D549" s="99"/>
      <c r="E549" s="99"/>
      <c r="F549" s="194"/>
      <c r="G549" s="99"/>
      <c r="H549" s="99"/>
      <c r="I549" s="99"/>
      <c r="J549" s="99"/>
      <c r="K549" s="99"/>
      <c r="L549" s="99"/>
    </row>
    <row r="550" spans="2:12">
      <c r="B550" s="99"/>
      <c r="C550" s="99"/>
      <c r="D550" s="99"/>
      <c r="E550" s="99"/>
      <c r="F550" s="194"/>
      <c r="G550" s="99"/>
      <c r="H550" s="99"/>
      <c r="I550" s="99"/>
      <c r="J550" s="99"/>
      <c r="K550" s="99"/>
      <c r="L550" s="99"/>
    </row>
    <row r="551" spans="2:12">
      <c r="B551" s="99"/>
      <c r="C551" s="99"/>
      <c r="D551" s="99"/>
      <c r="E551" s="99"/>
      <c r="F551" s="194"/>
      <c r="G551" s="99"/>
      <c r="H551" s="99"/>
      <c r="I551" s="99"/>
      <c r="J551" s="99"/>
      <c r="K551" s="99"/>
      <c r="L551" s="99"/>
    </row>
    <row r="552" spans="2:12">
      <c r="B552" s="99"/>
      <c r="C552" s="99"/>
      <c r="D552" s="99"/>
      <c r="E552" s="99"/>
      <c r="F552" s="194"/>
      <c r="G552" s="99"/>
      <c r="H552" s="99"/>
      <c r="I552" s="99"/>
      <c r="J552" s="99"/>
      <c r="K552" s="99"/>
      <c r="L552" s="99"/>
    </row>
    <row r="553" spans="2:12">
      <c r="B553" s="99"/>
      <c r="C553" s="99"/>
      <c r="D553" s="99"/>
      <c r="E553" s="99"/>
      <c r="F553" s="194"/>
      <c r="G553" s="99"/>
      <c r="H553" s="99"/>
      <c r="I553" s="99"/>
      <c r="J553" s="99"/>
      <c r="K553" s="99"/>
      <c r="L553" s="99"/>
    </row>
    <row r="554" spans="2:12">
      <c r="B554" s="99"/>
      <c r="C554" s="99"/>
      <c r="D554" s="99"/>
      <c r="E554" s="99"/>
      <c r="F554" s="194"/>
      <c r="G554" s="99"/>
      <c r="H554" s="99"/>
      <c r="I554" s="99"/>
      <c r="J554" s="99"/>
      <c r="K554" s="99"/>
      <c r="L554" s="99"/>
    </row>
    <row r="555" spans="2:12">
      <c r="B555" s="99"/>
      <c r="C555" s="99"/>
      <c r="D555" s="99"/>
      <c r="E555" s="99"/>
      <c r="F555" s="194"/>
      <c r="G555" s="99"/>
      <c r="H555" s="99"/>
      <c r="I555" s="99"/>
      <c r="J555" s="99"/>
      <c r="K555" s="99"/>
      <c r="L555" s="99"/>
    </row>
    <row r="556" spans="2:12">
      <c r="B556" s="99"/>
      <c r="C556" s="99"/>
      <c r="D556" s="99"/>
      <c r="E556" s="99"/>
      <c r="F556" s="194"/>
      <c r="G556" s="99"/>
      <c r="H556" s="99"/>
      <c r="I556" s="99"/>
      <c r="J556" s="99"/>
      <c r="K556" s="99"/>
      <c r="L556" s="99"/>
    </row>
    <row r="557" spans="2:12">
      <c r="B557" s="99"/>
      <c r="C557" s="99"/>
      <c r="D557" s="99"/>
      <c r="E557" s="99"/>
      <c r="F557" s="194"/>
      <c r="G557" s="99"/>
      <c r="H557" s="99"/>
      <c r="I557" s="99"/>
      <c r="J557" s="99"/>
      <c r="K557" s="99"/>
      <c r="L557" s="99"/>
    </row>
    <row r="558" spans="2:12">
      <c r="B558" s="99"/>
      <c r="C558" s="99"/>
      <c r="D558" s="99"/>
      <c r="E558" s="99"/>
      <c r="F558" s="194"/>
      <c r="G558" s="99"/>
      <c r="H558" s="99"/>
      <c r="I558" s="99"/>
      <c r="J558" s="99"/>
      <c r="K558" s="99"/>
      <c r="L558" s="99"/>
    </row>
    <row r="559" spans="2:12">
      <c r="B559" s="99"/>
      <c r="C559" s="99"/>
      <c r="D559" s="99"/>
      <c r="E559" s="99"/>
      <c r="F559" s="194"/>
      <c r="G559" s="99"/>
      <c r="H559" s="99"/>
      <c r="I559" s="99"/>
      <c r="J559" s="99"/>
      <c r="K559" s="99"/>
      <c r="L559" s="99"/>
    </row>
    <row r="560" spans="2:12">
      <c r="B560" s="99"/>
      <c r="C560" s="99"/>
      <c r="D560" s="99"/>
      <c r="E560" s="99"/>
      <c r="F560" s="194"/>
      <c r="G560" s="99"/>
      <c r="H560" s="99"/>
      <c r="I560" s="99"/>
      <c r="J560" s="99"/>
      <c r="K560" s="99"/>
      <c r="L560" s="99"/>
    </row>
    <row r="561" spans="2:12">
      <c r="B561" s="99"/>
      <c r="C561" s="99"/>
      <c r="D561" s="99"/>
      <c r="E561" s="99"/>
      <c r="F561" s="194"/>
      <c r="G561" s="99"/>
      <c r="H561" s="99"/>
      <c r="I561" s="99"/>
      <c r="J561" s="99"/>
      <c r="K561" s="99"/>
      <c r="L561" s="99"/>
    </row>
    <row r="562" spans="2:12">
      <c r="B562" s="99"/>
      <c r="C562" s="99"/>
      <c r="D562" s="99"/>
      <c r="E562" s="99"/>
      <c r="F562" s="194"/>
      <c r="G562" s="99"/>
      <c r="H562" s="99"/>
      <c r="I562" s="99"/>
      <c r="J562" s="99"/>
      <c r="K562" s="99"/>
      <c r="L562" s="99"/>
    </row>
    <row r="563" spans="2:12">
      <c r="B563" s="99"/>
      <c r="C563" s="99"/>
      <c r="D563" s="99"/>
      <c r="E563" s="99"/>
      <c r="F563" s="194"/>
      <c r="G563" s="99"/>
      <c r="H563" s="99"/>
      <c r="I563" s="99"/>
      <c r="J563" s="99"/>
      <c r="K563" s="99"/>
      <c r="L563" s="99"/>
    </row>
    <row r="564" spans="2:12">
      <c r="B564" s="99"/>
      <c r="C564" s="99"/>
      <c r="D564" s="99"/>
      <c r="E564" s="99"/>
      <c r="F564" s="194"/>
      <c r="G564" s="99"/>
      <c r="H564" s="99"/>
      <c r="I564" s="99"/>
      <c r="J564" s="99"/>
      <c r="K564" s="99"/>
      <c r="L564" s="99"/>
    </row>
    <row r="565" spans="2:12">
      <c r="B565" s="99"/>
      <c r="C565" s="99"/>
      <c r="D565" s="99"/>
      <c r="E565" s="99"/>
      <c r="F565" s="194"/>
      <c r="G565" s="99"/>
      <c r="H565" s="99"/>
      <c r="I565" s="99"/>
      <c r="J565" s="99"/>
      <c r="K565" s="99"/>
      <c r="L565" s="99"/>
    </row>
    <row r="566" spans="2:12">
      <c r="B566" s="99"/>
      <c r="C566" s="99"/>
      <c r="D566" s="99"/>
      <c r="E566" s="99"/>
      <c r="F566" s="194"/>
      <c r="G566" s="99"/>
      <c r="H566" s="99"/>
      <c r="I566" s="99"/>
      <c r="J566" s="99"/>
      <c r="K566" s="99"/>
      <c r="L566" s="99"/>
    </row>
    <row r="567" spans="2:12">
      <c r="B567" s="99"/>
      <c r="C567" s="99"/>
      <c r="D567" s="99"/>
      <c r="E567" s="99"/>
      <c r="F567" s="194"/>
      <c r="G567" s="99"/>
      <c r="H567" s="99"/>
      <c r="I567" s="99"/>
      <c r="J567" s="99"/>
      <c r="K567" s="99"/>
      <c r="L567" s="99"/>
    </row>
    <row r="568" spans="2:12">
      <c r="B568" s="99"/>
      <c r="C568" s="99"/>
      <c r="D568" s="99"/>
      <c r="E568" s="99"/>
      <c r="F568" s="194"/>
      <c r="G568" s="99"/>
      <c r="H568" s="99"/>
      <c r="I568" s="99"/>
      <c r="J568" s="99"/>
      <c r="K568" s="99"/>
      <c r="L568" s="99"/>
    </row>
    <row r="569" spans="2:12">
      <c r="B569" s="99"/>
      <c r="C569" s="99"/>
      <c r="D569" s="99"/>
      <c r="E569" s="99"/>
      <c r="F569" s="194"/>
      <c r="G569" s="99"/>
      <c r="H569" s="99"/>
      <c r="I569" s="99"/>
      <c r="J569" s="99"/>
      <c r="K569" s="99"/>
      <c r="L569" s="99"/>
    </row>
    <row r="570" spans="2:12">
      <c r="B570" s="99"/>
      <c r="C570" s="99"/>
      <c r="D570" s="99"/>
      <c r="E570" s="99"/>
      <c r="F570" s="194"/>
      <c r="G570" s="99"/>
      <c r="H570" s="99"/>
      <c r="I570" s="99"/>
      <c r="J570" s="99"/>
      <c r="K570" s="99"/>
      <c r="L570" s="99"/>
    </row>
    <row r="571" spans="2:12">
      <c r="B571" s="99"/>
      <c r="C571" s="99"/>
      <c r="D571" s="99"/>
      <c r="E571" s="99"/>
      <c r="F571" s="194"/>
      <c r="G571" s="99"/>
      <c r="H571" s="99"/>
      <c r="I571" s="99"/>
      <c r="J571" s="99"/>
      <c r="K571" s="99"/>
      <c r="L571" s="99"/>
    </row>
    <row r="572" spans="2:12">
      <c r="B572" s="99"/>
      <c r="C572" s="99"/>
      <c r="D572" s="99"/>
      <c r="E572" s="99"/>
      <c r="F572" s="194"/>
      <c r="G572" s="99"/>
      <c r="H572" s="99"/>
      <c r="I572" s="99"/>
      <c r="J572" s="99"/>
      <c r="K572" s="99"/>
      <c r="L572" s="99"/>
    </row>
    <row r="573" spans="2:12">
      <c r="B573" s="99"/>
      <c r="C573" s="99"/>
      <c r="D573" s="99"/>
      <c r="E573" s="99"/>
      <c r="F573" s="194"/>
      <c r="G573" s="99"/>
      <c r="H573" s="99"/>
      <c r="I573" s="99"/>
      <c r="J573" s="99"/>
      <c r="K573" s="99"/>
      <c r="L573" s="99"/>
    </row>
    <row r="574" spans="2:12">
      <c r="B574" s="99"/>
      <c r="C574" s="99"/>
      <c r="D574" s="99"/>
      <c r="E574" s="99"/>
      <c r="F574" s="194"/>
      <c r="G574" s="99"/>
      <c r="H574" s="99"/>
      <c r="I574" s="99"/>
      <c r="J574" s="99"/>
      <c r="K574" s="99"/>
      <c r="L574" s="99"/>
    </row>
    <row r="575" spans="2:12">
      <c r="B575" s="99"/>
      <c r="C575" s="99"/>
      <c r="D575" s="99"/>
      <c r="E575" s="99"/>
      <c r="F575" s="194"/>
      <c r="G575" s="99"/>
      <c r="H575" s="99"/>
      <c r="I575" s="99"/>
      <c r="J575" s="99"/>
      <c r="K575" s="99"/>
      <c r="L575" s="99"/>
    </row>
    <row r="576" spans="2:12">
      <c r="B576" s="99"/>
      <c r="C576" s="99"/>
      <c r="D576" s="99"/>
      <c r="E576" s="99"/>
      <c r="F576" s="194"/>
      <c r="G576" s="99"/>
      <c r="H576" s="99"/>
      <c r="I576" s="99"/>
      <c r="J576" s="99"/>
      <c r="K576" s="99"/>
      <c r="L576" s="99"/>
    </row>
    <row r="577" spans="2:12">
      <c r="B577" s="99"/>
      <c r="C577" s="99"/>
      <c r="D577" s="99"/>
      <c r="E577" s="99"/>
      <c r="F577" s="194"/>
      <c r="G577" s="99"/>
      <c r="H577" s="99"/>
      <c r="I577" s="99"/>
      <c r="J577" s="99"/>
      <c r="K577" s="99"/>
      <c r="L577" s="99"/>
    </row>
    <row r="578" spans="2:12">
      <c r="B578" s="99"/>
      <c r="C578" s="99"/>
      <c r="D578" s="99"/>
      <c r="E578" s="99"/>
      <c r="F578" s="194"/>
      <c r="G578" s="99"/>
      <c r="H578" s="99"/>
      <c r="I578" s="99"/>
      <c r="J578" s="99"/>
      <c r="K578" s="99"/>
      <c r="L578" s="99"/>
    </row>
    <row r="579" spans="2:12">
      <c r="B579" s="99"/>
      <c r="C579" s="99"/>
      <c r="D579" s="99"/>
      <c r="E579" s="99"/>
      <c r="F579" s="194"/>
      <c r="G579" s="99"/>
      <c r="H579" s="99"/>
      <c r="I579" s="99"/>
      <c r="J579" s="99"/>
      <c r="K579" s="99"/>
      <c r="L579" s="99"/>
    </row>
    <row r="580" spans="2:12">
      <c r="B580" s="99"/>
      <c r="C580" s="99"/>
      <c r="D580" s="99"/>
      <c r="E580" s="99"/>
      <c r="F580" s="194"/>
      <c r="G580" s="99"/>
      <c r="H580" s="99"/>
      <c r="I580" s="99"/>
      <c r="J580" s="99"/>
      <c r="K580" s="99"/>
      <c r="L580" s="99"/>
    </row>
    <row r="581" spans="2:12">
      <c r="B581" s="99"/>
      <c r="C581" s="99"/>
      <c r="D581" s="99"/>
      <c r="E581" s="99"/>
      <c r="F581" s="194"/>
      <c r="G581" s="99"/>
      <c r="H581" s="99"/>
      <c r="I581" s="99"/>
      <c r="J581" s="99"/>
      <c r="K581" s="99"/>
      <c r="L581" s="99"/>
    </row>
    <row r="582" spans="2:12">
      <c r="B582" s="99"/>
      <c r="C582" s="99"/>
      <c r="D582" s="99"/>
      <c r="E582" s="99"/>
      <c r="F582" s="194"/>
      <c r="G582" s="99"/>
      <c r="H582" s="99"/>
      <c r="I582" s="99"/>
      <c r="J582" s="99"/>
      <c r="K582" s="99"/>
      <c r="L582" s="99"/>
    </row>
    <row r="583" spans="2:12">
      <c r="B583" s="99"/>
      <c r="C583" s="99"/>
      <c r="D583" s="99"/>
      <c r="E583" s="99"/>
      <c r="F583" s="194"/>
      <c r="G583" s="99"/>
      <c r="H583" s="99"/>
      <c r="I583" s="99"/>
      <c r="J583" s="99"/>
      <c r="K583" s="99"/>
      <c r="L583" s="99"/>
    </row>
    <row r="584" spans="2:12">
      <c r="B584" s="99"/>
      <c r="C584" s="99"/>
      <c r="D584" s="99"/>
      <c r="E584" s="99"/>
      <c r="F584" s="194"/>
      <c r="G584" s="99"/>
      <c r="H584" s="99"/>
      <c r="I584" s="99"/>
      <c r="J584" s="99"/>
      <c r="K584" s="99"/>
      <c r="L584" s="99"/>
    </row>
    <row r="585" spans="2:12">
      <c r="B585" s="99"/>
      <c r="C585" s="99"/>
      <c r="D585" s="99"/>
      <c r="E585" s="99"/>
      <c r="F585" s="194"/>
      <c r="G585" s="99"/>
      <c r="H585" s="99"/>
      <c r="I585" s="99"/>
      <c r="J585" s="99"/>
      <c r="K585" s="99"/>
      <c r="L585" s="99"/>
    </row>
    <row r="586" spans="2:12">
      <c r="B586" s="99"/>
      <c r="C586" s="99"/>
      <c r="D586" s="99"/>
      <c r="E586" s="99"/>
      <c r="F586" s="194"/>
      <c r="G586" s="99"/>
      <c r="H586" s="99"/>
      <c r="I586" s="99"/>
      <c r="J586" s="99"/>
      <c r="K586" s="99"/>
      <c r="L586" s="99"/>
    </row>
    <row r="587" spans="2:12">
      <c r="B587" s="99"/>
      <c r="C587" s="99"/>
      <c r="D587" s="99"/>
      <c r="E587" s="99"/>
      <c r="F587" s="194"/>
      <c r="G587" s="99"/>
      <c r="H587" s="99"/>
      <c r="I587" s="99"/>
      <c r="J587" s="99"/>
      <c r="K587" s="99"/>
      <c r="L587" s="99"/>
    </row>
    <row r="588" spans="2:12">
      <c r="B588" s="99"/>
      <c r="C588" s="99"/>
      <c r="D588" s="99"/>
      <c r="E588" s="99"/>
      <c r="F588" s="194"/>
      <c r="G588" s="99"/>
      <c r="H588" s="99"/>
      <c r="I588" s="99"/>
      <c r="J588" s="99"/>
      <c r="K588" s="99"/>
      <c r="L588" s="99"/>
    </row>
    <row r="589" spans="2:12">
      <c r="B589" s="99"/>
      <c r="C589" s="99"/>
      <c r="D589" s="99"/>
      <c r="E589" s="99"/>
      <c r="F589" s="194"/>
      <c r="G589" s="99"/>
      <c r="H589" s="99"/>
      <c r="I589" s="99"/>
      <c r="J589" s="99"/>
      <c r="K589" s="99"/>
      <c r="L589" s="99"/>
    </row>
    <row r="590" spans="2:12">
      <c r="B590" s="99"/>
      <c r="C590" s="99"/>
      <c r="D590" s="99"/>
      <c r="E590" s="99"/>
      <c r="F590" s="194"/>
      <c r="G590" s="99"/>
      <c r="H590" s="99"/>
      <c r="I590" s="99"/>
      <c r="J590" s="99"/>
      <c r="K590" s="99"/>
      <c r="L590" s="99"/>
    </row>
    <row r="591" spans="2:12">
      <c r="B591" s="99"/>
      <c r="C591" s="99"/>
      <c r="D591" s="99"/>
      <c r="E591" s="99"/>
      <c r="F591" s="194"/>
      <c r="G591" s="99"/>
      <c r="H591" s="99"/>
      <c r="I591" s="99"/>
      <c r="J591" s="99"/>
      <c r="K591" s="99"/>
      <c r="L591" s="99"/>
    </row>
    <row r="592" spans="2:12">
      <c r="B592" s="99"/>
      <c r="C592" s="99"/>
      <c r="D592" s="99"/>
      <c r="E592" s="99"/>
      <c r="F592" s="194"/>
      <c r="G592" s="99"/>
      <c r="H592" s="99"/>
      <c r="I592" s="99"/>
      <c r="J592" s="99"/>
      <c r="K592" s="99"/>
      <c r="L592" s="99"/>
    </row>
    <row r="593" spans="2:12">
      <c r="B593" s="99"/>
      <c r="C593" s="99"/>
      <c r="D593" s="99"/>
      <c r="E593" s="99"/>
      <c r="F593" s="194"/>
      <c r="G593" s="99"/>
      <c r="H593" s="99"/>
      <c r="I593" s="99"/>
      <c r="J593" s="99"/>
      <c r="K593" s="99"/>
      <c r="L593" s="99"/>
    </row>
    <row r="594" spans="2:12">
      <c r="B594" s="99"/>
      <c r="C594" s="99"/>
      <c r="D594" s="99"/>
      <c r="E594" s="99"/>
      <c r="F594" s="194"/>
      <c r="G594" s="99"/>
      <c r="H594" s="99"/>
      <c r="I594" s="99"/>
      <c r="J594" s="99"/>
      <c r="K594" s="99"/>
      <c r="L594" s="99"/>
    </row>
    <row r="595" spans="2:12">
      <c r="B595" s="99"/>
      <c r="C595" s="99"/>
      <c r="D595" s="99"/>
      <c r="E595" s="99"/>
      <c r="F595" s="194"/>
      <c r="G595" s="99"/>
      <c r="H595" s="99"/>
      <c r="I595" s="99"/>
      <c r="J595" s="99"/>
      <c r="K595" s="99"/>
      <c r="L595" s="99"/>
    </row>
    <row r="596" spans="2:12">
      <c r="B596" s="99"/>
      <c r="C596" s="99"/>
      <c r="D596" s="99"/>
      <c r="E596" s="99"/>
      <c r="F596" s="194"/>
      <c r="G596" s="99"/>
      <c r="H596" s="99"/>
      <c r="I596" s="99"/>
      <c r="J596" s="99"/>
      <c r="K596" s="99"/>
      <c r="L596" s="99"/>
    </row>
    <row r="597" spans="2:12">
      <c r="B597" s="99"/>
      <c r="C597" s="99"/>
      <c r="D597" s="99"/>
      <c r="E597" s="99"/>
      <c r="F597" s="194"/>
      <c r="G597" s="99"/>
      <c r="H597" s="99"/>
      <c r="I597" s="99"/>
      <c r="J597" s="99"/>
      <c r="K597" s="99"/>
      <c r="L597" s="99"/>
    </row>
    <row r="598" spans="2:12">
      <c r="B598" s="99"/>
      <c r="C598" s="99"/>
      <c r="D598" s="99"/>
      <c r="E598" s="99"/>
      <c r="F598" s="194"/>
      <c r="G598" s="99"/>
      <c r="H598" s="99"/>
      <c r="I598" s="99"/>
      <c r="J598" s="99"/>
      <c r="K598" s="99"/>
      <c r="L598" s="99"/>
    </row>
    <row r="599" spans="2:12">
      <c r="B599" s="99"/>
      <c r="C599" s="99"/>
      <c r="D599" s="99"/>
      <c r="E599" s="99"/>
      <c r="F599" s="194"/>
      <c r="G599" s="99"/>
      <c r="H599" s="99"/>
      <c r="I599" s="99"/>
      <c r="J599" s="99"/>
      <c r="K599" s="99"/>
      <c r="L599" s="99"/>
    </row>
    <row r="600" spans="2:12">
      <c r="B600" s="99"/>
      <c r="C600" s="99"/>
      <c r="D600" s="99"/>
      <c r="E600" s="99"/>
      <c r="F600" s="194"/>
      <c r="G600" s="99"/>
      <c r="H600" s="99"/>
      <c r="I600" s="99"/>
      <c r="J600" s="99"/>
      <c r="K600" s="99"/>
      <c r="L600" s="99"/>
    </row>
    <row r="601" spans="2:12">
      <c r="B601" s="99"/>
      <c r="C601" s="99"/>
      <c r="D601" s="99"/>
      <c r="E601" s="99"/>
      <c r="F601" s="194"/>
      <c r="G601" s="99"/>
      <c r="H601" s="99"/>
      <c r="I601" s="99"/>
      <c r="J601" s="99"/>
      <c r="K601" s="99"/>
      <c r="L601" s="99"/>
    </row>
    <row r="602" spans="2:12">
      <c r="B602" s="99"/>
      <c r="C602" s="99"/>
      <c r="D602" s="99"/>
      <c r="E602" s="99"/>
      <c r="F602" s="194"/>
      <c r="G602" s="99"/>
      <c r="H602" s="99"/>
      <c r="I602" s="99"/>
      <c r="J602" s="99"/>
      <c r="K602" s="99"/>
      <c r="L602" s="99"/>
    </row>
    <row r="603" spans="2:12">
      <c r="B603" s="99"/>
      <c r="C603" s="99"/>
      <c r="D603" s="99"/>
      <c r="E603" s="99"/>
      <c r="F603" s="194"/>
      <c r="G603" s="99"/>
      <c r="H603" s="99"/>
      <c r="I603" s="99"/>
      <c r="J603" s="99"/>
      <c r="K603" s="99"/>
      <c r="L603" s="99"/>
    </row>
    <row r="604" spans="2:12">
      <c r="B604" s="99"/>
      <c r="C604" s="99"/>
      <c r="D604" s="99"/>
      <c r="E604" s="99"/>
      <c r="F604" s="194"/>
      <c r="G604" s="99"/>
      <c r="H604" s="99"/>
      <c r="I604" s="99"/>
      <c r="J604" s="99"/>
      <c r="K604" s="99"/>
      <c r="L604" s="99"/>
    </row>
    <row r="605" spans="2:12">
      <c r="B605" s="99"/>
      <c r="C605" s="99"/>
      <c r="D605" s="99"/>
      <c r="E605" s="99"/>
      <c r="F605" s="194"/>
      <c r="G605" s="99"/>
      <c r="H605" s="99"/>
      <c r="I605" s="99"/>
      <c r="J605" s="99"/>
      <c r="K605" s="99"/>
      <c r="L605" s="99"/>
    </row>
    <row r="606" spans="2:12">
      <c r="B606" s="99"/>
      <c r="C606" s="99"/>
      <c r="D606" s="99"/>
      <c r="E606" s="99"/>
      <c r="F606" s="194"/>
      <c r="G606" s="99"/>
      <c r="H606" s="99"/>
      <c r="I606" s="99"/>
      <c r="J606" s="99"/>
      <c r="K606" s="99"/>
      <c r="L606" s="99"/>
    </row>
    <row r="607" spans="2:12">
      <c r="B607" s="99"/>
      <c r="C607" s="99"/>
      <c r="D607" s="99"/>
      <c r="E607" s="99"/>
      <c r="F607" s="194"/>
      <c r="G607" s="99"/>
      <c r="H607" s="99"/>
      <c r="I607" s="99"/>
      <c r="J607" s="99"/>
      <c r="K607" s="99"/>
      <c r="L607" s="99"/>
    </row>
    <row r="608" spans="2:12">
      <c r="B608" s="99"/>
      <c r="C608" s="99"/>
      <c r="D608" s="99"/>
      <c r="E608" s="99"/>
      <c r="F608" s="194"/>
      <c r="G608" s="99"/>
      <c r="H608" s="99"/>
      <c r="I608" s="99"/>
      <c r="J608" s="99"/>
      <c r="K608" s="99"/>
      <c r="L608" s="99"/>
    </row>
    <row r="609" spans="2:12">
      <c r="B609" s="99"/>
      <c r="C609" s="99"/>
      <c r="D609" s="99"/>
      <c r="E609" s="99"/>
      <c r="F609" s="194"/>
      <c r="G609" s="99"/>
      <c r="H609" s="99"/>
      <c r="I609" s="99"/>
      <c r="J609" s="99"/>
      <c r="K609" s="99"/>
      <c r="L609" s="99"/>
    </row>
    <row r="610" spans="2:12">
      <c r="B610" s="99"/>
      <c r="C610" s="99"/>
      <c r="D610" s="99"/>
      <c r="E610" s="99"/>
      <c r="F610" s="194"/>
      <c r="G610" s="99"/>
      <c r="H610" s="99"/>
      <c r="I610" s="99"/>
      <c r="J610" s="99"/>
      <c r="K610" s="99"/>
      <c r="L610" s="99"/>
    </row>
    <row r="611" spans="2:12">
      <c r="B611" s="99"/>
      <c r="C611" s="99"/>
      <c r="D611" s="99"/>
      <c r="E611" s="99"/>
      <c r="F611" s="194"/>
      <c r="G611" s="99"/>
      <c r="H611" s="99"/>
      <c r="I611" s="99"/>
      <c r="J611" s="99"/>
      <c r="K611" s="99"/>
      <c r="L611" s="99"/>
    </row>
    <row r="612" spans="2:12">
      <c r="B612" s="99"/>
      <c r="C612" s="99"/>
      <c r="D612" s="99"/>
      <c r="E612" s="99"/>
      <c r="F612" s="194"/>
      <c r="G612" s="99"/>
      <c r="H612" s="99"/>
      <c r="I612" s="99"/>
      <c r="J612" s="99"/>
      <c r="K612" s="99"/>
      <c r="L612" s="99"/>
    </row>
    <row r="613" spans="2:12">
      <c r="B613" s="99"/>
      <c r="C613" s="99"/>
      <c r="D613" s="99"/>
      <c r="E613" s="99"/>
      <c r="F613" s="194"/>
      <c r="G613" s="99"/>
      <c r="H613" s="99"/>
      <c r="I613" s="99"/>
      <c r="J613" s="99"/>
      <c r="K613" s="99"/>
      <c r="L613" s="99"/>
    </row>
    <row r="614" spans="2:12">
      <c r="B614" s="99"/>
      <c r="C614" s="99"/>
      <c r="D614" s="99"/>
      <c r="E614" s="99"/>
      <c r="F614" s="194"/>
      <c r="G614" s="99"/>
      <c r="H614" s="99"/>
      <c r="I614" s="99"/>
      <c r="J614" s="99"/>
      <c r="K614" s="99"/>
      <c r="L614" s="99"/>
    </row>
    <row r="615" spans="2:12">
      <c r="B615" s="99"/>
      <c r="C615" s="99"/>
      <c r="D615" s="99"/>
      <c r="E615" s="99"/>
      <c r="F615" s="194"/>
      <c r="G615" s="99"/>
      <c r="H615" s="99"/>
      <c r="I615" s="99"/>
      <c r="J615" s="99"/>
      <c r="K615" s="99"/>
      <c r="L615" s="99"/>
    </row>
    <row r="616" spans="2:12">
      <c r="B616" s="99"/>
      <c r="C616" s="99"/>
      <c r="D616" s="99"/>
      <c r="E616" s="99"/>
      <c r="F616" s="194"/>
      <c r="G616" s="99"/>
      <c r="H616" s="99"/>
      <c r="I616" s="99"/>
      <c r="J616" s="99"/>
      <c r="K616" s="99"/>
      <c r="L616" s="99"/>
    </row>
    <row r="617" spans="2:12">
      <c r="B617" s="99"/>
      <c r="C617" s="99"/>
      <c r="D617" s="99"/>
      <c r="E617" s="99"/>
      <c r="F617" s="194"/>
      <c r="G617" s="99"/>
      <c r="H617" s="99"/>
      <c r="I617" s="99"/>
      <c r="J617" s="99"/>
      <c r="K617" s="99"/>
      <c r="L617" s="99"/>
    </row>
    <row r="618" spans="2:12">
      <c r="B618" s="99"/>
      <c r="C618" s="99"/>
      <c r="D618" s="99"/>
      <c r="E618" s="99"/>
      <c r="F618" s="194"/>
      <c r="G618" s="99"/>
      <c r="H618" s="99"/>
      <c r="I618" s="99"/>
      <c r="J618" s="99"/>
      <c r="K618" s="99"/>
      <c r="L618" s="99"/>
    </row>
    <row r="619" spans="2:12">
      <c r="B619" s="99"/>
      <c r="C619" s="99"/>
      <c r="D619" s="99"/>
      <c r="E619" s="99"/>
      <c r="F619" s="194"/>
      <c r="G619" s="99"/>
      <c r="H619" s="99"/>
      <c r="I619" s="99"/>
      <c r="J619" s="99"/>
      <c r="K619" s="99"/>
      <c r="L619" s="99"/>
    </row>
    <row r="620" spans="2:12">
      <c r="B620" s="99"/>
      <c r="C620" s="99"/>
      <c r="D620" s="99"/>
      <c r="E620" s="99"/>
      <c r="F620" s="194"/>
      <c r="G620" s="99"/>
      <c r="H620" s="99"/>
      <c r="I620" s="99"/>
      <c r="J620" s="99"/>
      <c r="K620" s="99"/>
      <c r="L620" s="99"/>
    </row>
    <row r="621" spans="2:12">
      <c r="B621" s="99"/>
      <c r="C621" s="99"/>
      <c r="D621" s="99"/>
      <c r="E621" s="99"/>
      <c r="F621" s="194"/>
      <c r="G621" s="99"/>
      <c r="H621" s="99"/>
      <c r="I621" s="99"/>
      <c r="J621" s="99"/>
      <c r="K621" s="99"/>
      <c r="L621" s="99"/>
    </row>
    <row r="622" spans="2:12">
      <c r="B622" s="99"/>
      <c r="C622" s="99"/>
      <c r="D622" s="99"/>
      <c r="E622" s="99"/>
      <c r="F622" s="194"/>
      <c r="G622" s="99"/>
      <c r="H622" s="99"/>
      <c r="I622" s="99"/>
      <c r="J622" s="99"/>
      <c r="K622" s="99"/>
      <c r="L622" s="99"/>
    </row>
    <row r="623" spans="2:12">
      <c r="B623" s="99"/>
      <c r="C623" s="99"/>
      <c r="D623" s="99"/>
      <c r="E623" s="99"/>
      <c r="F623" s="194"/>
      <c r="G623" s="99"/>
      <c r="H623" s="99"/>
      <c r="I623" s="99"/>
      <c r="J623" s="99"/>
      <c r="K623" s="99"/>
      <c r="L623" s="99"/>
    </row>
    <row r="624" spans="2:12">
      <c r="B624" s="99"/>
      <c r="C624" s="99"/>
      <c r="D624" s="99"/>
      <c r="E624" s="99"/>
      <c r="F624" s="194"/>
      <c r="G624" s="99"/>
      <c r="H624" s="99"/>
      <c r="I624" s="99"/>
      <c r="J624" s="99"/>
      <c r="K624" s="99"/>
      <c r="L624" s="99"/>
    </row>
    <row r="625" spans="2:12">
      <c r="B625" s="99"/>
      <c r="C625" s="99"/>
      <c r="D625" s="99"/>
      <c r="E625" s="99"/>
      <c r="F625" s="194"/>
      <c r="G625" s="99"/>
      <c r="H625" s="99"/>
      <c r="I625" s="99"/>
      <c r="J625" s="99"/>
      <c r="K625" s="99"/>
      <c r="L625" s="99"/>
    </row>
    <row r="626" spans="2:12">
      <c r="B626" s="99"/>
      <c r="C626" s="99"/>
      <c r="D626" s="99"/>
      <c r="E626" s="99"/>
      <c r="F626" s="194"/>
      <c r="G626" s="99"/>
      <c r="H626" s="99"/>
      <c r="I626" s="99"/>
      <c r="J626" s="99"/>
      <c r="K626" s="99"/>
      <c r="L626" s="99"/>
    </row>
    <row r="627" spans="2:12">
      <c r="B627" s="99"/>
      <c r="C627" s="99"/>
      <c r="D627" s="99"/>
      <c r="E627" s="99"/>
      <c r="F627" s="194"/>
      <c r="G627" s="99"/>
      <c r="H627" s="99"/>
      <c r="I627" s="99"/>
      <c r="J627" s="99"/>
      <c r="K627" s="99"/>
      <c r="L627" s="99"/>
    </row>
    <row r="628" spans="2:12">
      <c r="B628" s="99"/>
      <c r="C628" s="99"/>
      <c r="D628" s="99"/>
      <c r="E628" s="99"/>
      <c r="F628" s="194"/>
      <c r="G628" s="99"/>
      <c r="H628" s="99"/>
      <c r="I628" s="99"/>
      <c r="J628" s="99"/>
      <c r="K628" s="99"/>
      <c r="L628" s="99"/>
    </row>
    <row r="629" spans="2:12">
      <c r="B629" s="99"/>
      <c r="C629" s="99"/>
      <c r="D629" s="99"/>
      <c r="E629" s="99"/>
      <c r="F629" s="194"/>
      <c r="G629" s="99"/>
      <c r="H629" s="99"/>
      <c r="I629" s="99"/>
      <c r="J629" s="99"/>
      <c r="K629" s="99"/>
      <c r="L629" s="99"/>
    </row>
    <row r="630" spans="2:12">
      <c r="B630" s="99"/>
      <c r="C630" s="99"/>
      <c r="D630" s="99"/>
      <c r="E630" s="99"/>
      <c r="F630" s="194"/>
      <c r="G630" s="99"/>
      <c r="H630" s="99"/>
      <c r="I630" s="99"/>
      <c r="J630" s="99"/>
      <c r="K630" s="99"/>
      <c r="L630" s="99"/>
    </row>
    <row r="631" spans="2:12">
      <c r="B631" s="99"/>
      <c r="C631" s="99"/>
      <c r="D631" s="99"/>
      <c r="E631" s="99"/>
      <c r="F631" s="194"/>
      <c r="G631" s="99"/>
      <c r="H631" s="99"/>
      <c r="I631" s="99"/>
      <c r="J631" s="99"/>
      <c r="K631" s="99"/>
      <c r="L631" s="99"/>
    </row>
    <row r="632" spans="2:12">
      <c r="B632" s="99"/>
      <c r="C632" s="99"/>
      <c r="D632" s="99"/>
      <c r="E632" s="99"/>
      <c r="F632" s="194"/>
      <c r="G632" s="99"/>
      <c r="H632" s="99"/>
      <c r="I632" s="99"/>
      <c r="J632" s="99"/>
      <c r="K632" s="99"/>
      <c r="L632" s="99"/>
    </row>
    <row r="633" spans="2:12">
      <c r="B633" s="99"/>
      <c r="C633" s="99"/>
      <c r="D633" s="99"/>
      <c r="E633" s="99"/>
      <c r="F633" s="194"/>
      <c r="G633" s="99"/>
      <c r="H633" s="99"/>
      <c r="I633" s="99"/>
      <c r="J633" s="99"/>
      <c r="K633" s="99"/>
      <c r="L633" s="99"/>
    </row>
    <row r="634" spans="2:12">
      <c r="B634" s="99"/>
      <c r="C634" s="99"/>
      <c r="D634" s="99"/>
      <c r="E634" s="99"/>
      <c r="F634" s="194"/>
      <c r="G634" s="99"/>
      <c r="H634" s="99"/>
      <c r="I634" s="99"/>
      <c r="J634" s="99"/>
      <c r="K634" s="99"/>
      <c r="L634" s="99"/>
    </row>
    <row r="635" spans="2:12">
      <c r="B635" s="99"/>
      <c r="C635" s="99"/>
      <c r="D635" s="99"/>
      <c r="E635" s="99"/>
      <c r="F635" s="194"/>
      <c r="G635" s="99"/>
      <c r="H635" s="99"/>
      <c r="I635" s="99"/>
      <c r="J635" s="99"/>
      <c r="K635" s="99"/>
      <c r="L635" s="99"/>
    </row>
    <row r="636" spans="2:12">
      <c r="B636" s="99"/>
      <c r="C636" s="99"/>
      <c r="D636" s="99"/>
      <c r="E636" s="99"/>
      <c r="F636" s="194"/>
      <c r="G636" s="99"/>
      <c r="H636" s="99"/>
      <c r="I636" s="99"/>
      <c r="J636" s="99"/>
      <c r="K636" s="99"/>
      <c r="L636" s="99"/>
    </row>
    <row r="637" spans="2:12">
      <c r="B637" s="99"/>
      <c r="C637" s="99"/>
      <c r="D637" s="99"/>
      <c r="E637" s="99"/>
      <c r="F637" s="194"/>
      <c r="G637" s="99"/>
      <c r="H637" s="99"/>
      <c r="I637" s="99"/>
      <c r="J637" s="99"/>
      <c r="K637" s="99"/>
      <c r="L637" s="99"/>
    </row>
    <row r="638" spans="2:12">
      <c r="B638" s="99"/>
      <c r="C638" s="99"/>
      <c r="D638" s="99"/>
      <c r="E638" s="99"/>
      <c r="F638" s="194"/>
      <c r="G638" s="99"/>
      <c r="H638" s="99"/>
      <c r="I638" s="99"/>
      <c r="J638" s="99"/>
      <c r="K638" s="99"/>
      <c r="L638" s="99"/>
    </row>
    <row r="639" spans="2:12">
      <c r="B639" s="99"/>
      <c r="C639" s="99"/>
      <c r="D639" s="99"/>
      <c r="E639" s="99"/>
      <c r="F639" s="194"/>
      <c r="G639" s="99"/>
      <c r="H639" s="99"/>
      <c r="I639" s="99"/>
      <c r="J639" s="99"/>
      <c r="K639" s="99"/>
      <c r="L639" s="99"/>
    </row>
    <row r="640" spans="2:12">
      <c r="B640" s="99"/>
      <c r="C640" s="99"/>
      <c r="D640" s="99"/>
      <c r="E640" s="99"/>
      <c r="F640" s="194"/>
      <c r="G640" s="99"/>
      <c r="H640" s="99"/>
      <c r="I640" s="99"/>
      <c r="J640" s="99"/>
      <c r="K640" s="99"/>
      <c r="L640" s="99"/>
    </row>
    <row r="641" spans="2:12">
      <c r="B641" s="99"/>
      <c r="C641" s="99"/>
      <c r="D641" s="99"/>
      <c r="E641" s="99"/>
      <c r="F641" s="194"/>
      <c r="G641" s="99"/>
      <c r="H641" s="99"/>
      <c r="I641" s="99"/>
      <c r="J641" s="99"/>
      <c r="K641" s="99"/>
      <c r="L641" s="99"/>
    </row>
    <row r="642" spans="2:12">
      <c r="B642" s="99"/>
      <c r="C642" s="99"/>
      <c r="D642" s="99"/>
      <c r="E642" s="99"/>
      <c r="F642" s="194"/>
      <c r="G642" s="99"/>
      <c r="H642" s="99"/>
      <c r="I642" s="99"/>
      <c r="J642" s="99"/>
      <c r="K642" s="99"/>
      <c r="L642" s="99"/>
    </row>
    <row r="643" spans="2:12">
      <c r="B643" s="99"/>
      <c r="C643" s="99"/>
      <c r="D643" s="99"/>
      <c r="E643" s="99"/>
      <c r="F643" s="194"/>
      <c r="G643" s="99"/>
      <c r="H643" s="99"/>
      <c r="I643" s="99"/>
      <c r="J643" s="99"/>
      <c r="K643" s="99"/>
      <c r="L643" s="99"/>
    </row>
    <row r="644" spans="2:12">
      <c r="B644" s="99"/>
      <c r="C644" s="99"/>
      <c r="D644" s="99"/>
      <c r="E644" s="99"/>
      <c r="F644" s="194"/>
      <c r="G644" s="99"/>
      <c r="H644" s="99"/>
      <c r="I644" s="99"/>
      <c r="J644" s="99"/>
      <c r="K644" s="99"/>
      <c r="L644" s="99"/>
    </row>
    <row r="645" spans="2:12">
      <c r="B645" s="99"/>
      <c r="C645" s="99"/>
      <c r="D645" s="99"/>
      <c r="E645" s="99"/>
      <c r="F645" s="194"/>
      <c r="G645" s="99"/>
      <c r="H645" s="99"/>
      <c r="I645" s="99"/>
      <c r="J645" s="99"/>
      <c r="K645" s="99"/>
      <c r="L645" s="99"/>
    </row>
    <row r="646" spans="2:12">
      <c r="B646" s="99"/>
      <c r="C646" s="99"/>
      <c r="D646" s="99"/>
      <c r="E646" s="99"/>
      <c r="F646" s="194"/>
      <c r="G646" s="99"/>
      <c r="H646" s="99"/>
      <c r="I646" s="99"/>
      <c r="J646" s="99"/>
      <c r="K646" s="99"/>
      <c r="L646" s="99"/>
    </row>
    <row r="647" spans="2:12">
      <c r="B647" s="99"/>
      <c r="C647" s="99"/>
      <c r="D647" s="99"/>
      <c r="E647" s="99"/>
      <c r="F647" s="194"/>
      <c r="G647" s="99"/>
      <c r="H647" s="99"/>
      <c r="I647" s="99"/>
      <c r="J647" s="99"/>
      <c r="K647" s="99"/>
      <c r="L647" s="99"/>
    </row>
    <row r="648" spans="2:12">
      <c r="B648" s="99"/>
      <c r="C648" s="99"/>
      <c r="D648" s="99"/>
      <c r="E648" s="99"/>
      <c r="F648" s="194"/>
      <c r="G648" s="99"/>
      <c r="H648" s="99"/>
      <c r="I648" s="99"/>
      <c r="J648" s="99"/>
      <c r="K648" s="99"/>
      <c r="L648" s="99"/>
    </row>
    <row r="649" spans="2:12">
      <c r="B649" s="99"/>
      <c r="C649" s="99"/>
      <c r="D649" s="99"/>
      <c r="E649" s="99"/>
      <c r="F649" s="194"/>
      <c r="G649" s="99"/>
      <c r="H649" s="99"/>
      <c r="I649" s="99"/>
      <c r="J649" s="99"/>
      <c r="K649" s="99"/>
      <c r="L649" s="99"/>
    </row>
    <row r="650" spans="2:12">
      <c r="B650" s="99"/>
      <c r="C650" s="99"/>
      <c r="D650" s="99"/>
      <c r="E650" s="99"/>
      <c r="F650" s="194"/>
      <c r="G650" s="99"/>
      <c r="H650" s="99"/>
      <c r="I650" s="99"/>
      <c r="J650" s="99"/>
      <c r="K650" s="99"/>
      <c r="L650" s="99"/>
    </row>
    <row r="651" spans="2:12">
      <c r="B651" s="99"/>
      <c r="C651" s="99"/>
      <c r="D651" s="99"/>
      <c r="E651" s="99"/>
      <c r="F651" s="194"/>
      <c r="G651" s="99"/>
      <c r="H651" s="99"/>
      <c r="I651" s="99"/>
      <c r="J651" s="99"/>
      <c r="K651" s="99"/>
      <c r="L651" s="99"/>
    </row>
    <row r="652" spans="2:12">
      <c r="B652" s="99"/>
      <c r="C652" s="99"/>
      <c r="D652" s="99"/>
      <c r="E652" s="99"/>
      <c r="F652" s="194"/>
      <c r="G652" s="99"/>
      <c r="H652" s="99"/>
      <c r="I652" s="99"/>
      <c r="J652" s="99"/>
      <c r="K652" s="99"/>
      <c r="L652" s="99"/>
    </row>
    <row r="653" spans="2:12">
      <c r="B653" s="99"/>
      <c r="C653" s="99"/>
      <c r="D653" s="99"/>
      <c r="E653" s="99"/>
      <c r="F653" s="194"/>
      <c r="G653" s="99"/>
      <c r="H653" s="99"/>
      <c r="I653" s="99"/>
      <c r="J653" s="99"/>
      <c r="K653" s="99"/>
      <c r="L653" s="99"/>
    </row>
    <row r="654" spans="2:12">
      <c r="B654" s="99"/>
      <c r="C654" s="99"/>
      <c r="D654" s="99"/>
      <c r="E654" s="99"/>
      <c r="F654" s="194"/>
      <c r="G654" s="99"/>
      <c r="H654" s="99"/>
      <c r="I654" s="99"/>
      <c r="J654" s="99"/>
      <c r="K654" s="99"/>
      <c r="L654" s="99"/>
    </row>
    <row r="655" spans="2:12">
      <c r="B655" s="99"/>
      <c r="C655" s="99"/>
      <c r="D655" s="99"/>
      <c r="E655" s="99"/>
      <c r="F655" s="194"/>
      <c r="G655" s="99"/>
      <c r="H655" s="99"/>
      <c r="I655" s="99"/>
      <c r="J655" s="99"/>
      <c r="K655" s="99"/>
      <c r="L655" s="99"/>
    </row>
    <row r="656" spans="2:12">
      <c r="B656" s="99"/>
      <c r="C656" s="99"/>
      <c r="D656" s="99"/>
      <c r="E656" s="99"/>
      <c r="F656" s="194"/>
      <c r="G656" s="99"/>
      <c r="H656" s="99"/>
      <c r="I656" s="99"/>
      <c r="J656" s="99"/>
      <c r="K656" s="99"/>
      <c r="L656" s="99"/>
    </row>
    <row r="657" spans="2:12">
      <c r="B657" s="99"/>
      <c r="C657" s="99"/>
      <c r="D657" s="99"/>
      <c r="E657" s="99"/>
      <c r="F657" s="194"/>
      <c r="G657" s="99"/>
      <c r="H657" s="99"/>
      <c r="I657" s="99"/>
      <c r="J657" s="99"/>
      <c r="K657" s="99"/>
      <c r="L657" s="99"/>
    </row>
    <row r="658" spans="2:12">
      <c r="B658" s="99"/>
      <c r="C658" s="99"/>
      <c r="D658" s="99"/>
      <c r="E658" s="99"/>
      <c r="F658" s="194"/>
      <c r="G658" s="99"/>
      <c r="H658" s="99"/>
      <c r="I658" s="99"/>
      <c r="J658" s="99"/>
      <c r="K658" s="99"/>
      <c r="L658" s="99"/>
    </row>
    <row r="659" spans="2:12">
      <c r="B659" s="99"/>
      <c r="C659" s="99"/>
      <c r="D659" s="99"/>
      <c r="E659" s="99"/>
      <c r="F659" s="194"/>
      <c r="G659" s="99"/>
      <c r="H659" s="99"/>
      <c r="I659" s="99"/>
      <c r="J659" s="99"/>
      <c r="K659" s="99"/>
      <c r="L659" s="99"/>
    </row>
    <row r="660" spans="2:12">
      <c r="B660" s="99"/>
      <c r="C660" s="99"/>
      <c r="D660" s="99"/>
      <c r="E660" s="99"/>
      <c r="F660" s="194"/>
      <c r="G660" s="99"/>
      <c r="H660" s="99"/>
      <c r="I660" s="99"/>
      <c r="J660" s="99"/>
      <c r="K660" s="99"/>
      <c r="L660" s="99"/>
    </row>
    <row r="661" spans="2:12">
      <c r="B661" s="99"/>
      <c r="C661" s="99"/>
      <c r="D661" s="99"/>
      <c r="E661" s="99"/>
      <c r="F661" s="194"/>
      <c r="G661" s="99"/>
      <c r="H661" s="99"/>
      <c r="I661" s="99"/>
      <c r="J661" s="99"/>
      <c r="K661" s="99"/>
      <c r="L661" s="99"/>
    </row>
    <row r="662" spans="2:12">
      <c r="B662" s="99"/>
      <c r="C662" s="99"/>
      <c r="D662" s="99"/>
      <c r="E662" s="99"/>
      <c r="F662" s="194"/>
      <c r="G662" s="99"/>
      <c r="H662" s="99"/>
      <c r="I662" s="99"/>
      <c r="J662" s="99"/>
      <c r="K662" s="99"/>
      <c r="L662" s="99"/>
    </row>
    <row r="663" spans="2:12">
      <c r="B663" s="99"/>
      <c r="C663" s="99"/>
      <c r="D663" s="99"/>
      <c r="E663" s="99"/>
      <c r="F663" s="194"/>
      <c r="G663" s="99"/>
      <c r="H663" s="99"/>
      <c r="I663" s="99"/>
      <c r="J663" s="99"/>
      <c r="K663" s="99"/>
      <c r="L663" s="99"/>
    </row>
    <row r="664" spans="2:12">
      <c r="B664" s="99"/>
      <c r="C664" s="99"/>
      <c r="D664" s="99"/>
      <c r="E664" s="99"/>
      <c r="F664" s="194"/>
      <c r="G664" s="99"/>
      <c r="H664" s="99"/>
      <c r="I664" s="99"/>
      <c r="J664" s="99"/>
      <c r="K664" s="99"/>
      <c r="L664" s="99"/>
    </row>
    <row r="665" spans="2:12">
      <c r="B665" s="99"/>
      <c r="C665" s="99"/>
      <c r="D665" s="99"/>
      <c r="E665" s="99"/>
      <c r="F665" s="194"/>
      <c r="G665" s="99"/>
      <c r="H665" s="99"/>
      <c r="I665" s="99"/>
      <c r="J665" s="99"/>
      <c r="K665" s="99"/>
      <c r="L665" s="99"/>
    </row>
    <row r="666" spans="2:12">
      <c r="B666" s="99"/>
      <c r="C666" s="99"/>
      <c r="D666" s="99"/>
      <c r="E666" s="99"/>
      <c r="F666" s="194"/>
      <c r="G666" s="99"/>
      <c r="H666" s="99"/>
      <c r="I666" s="99"/>
      <c r="J666" s="99"/>
      <c r="K666" s="99"/>
      <c r="L666" s="99"/>
    </row>
    <row r="667" spans="2:12">
      <c r="B667" s="99"/>
      <c r="C667" s="99"/>
      <c r="D667" s="99"/>
      <c r="E667" s="99"/>
      <c r="F667" s="194"/>
      <c r="G667" s="99"/>
      <c r="H667" s="99"/>
      <c r="I667" s="99"/>
      <c r="J667" s="99"/>
      <c r="K667" s="99"/>
      <c r="L667" s="99"/>
    </row>
    <row r="668" spans="2:12">
      <c r="B668" s="99"/>
      <c r="C668" s="99"/>
      <c r="D668" s="99"/>
      <c r="E668" s="99"/>
      <c r="F668" s="194"/>
      <c r="G668" s="99"/>
      <c r="H668" s="99"/>
      <c r="I668" s="99"/>
      <c r="J668" s="99"/>
      <c r="K668" s="99"/>
      <c r="L668" s="99"/>
    </row>
    <row r="669" spans="2:12">
      <c r="B669" s="99"/>
      <c r="C669" s="99"/>
      <c r="D669" s="99"/>
      <c r="E669" s="99"/>
      <c r="F669" s="194"/>
      <c r="G669" s="99"/>
      <c r="H669" s="99"/>
      <c r="I669" s="99"/>
      <c r="J669" s="99"/>
      <c r="K669" s="99"/>
      <c r="L669" s="99"/>
    </row>
    <row r="670" spans="2:12">
      <c r="B670" s="99"/>
      <c r="C670" s="99"/>
      <c r="D670" s="99"/>
      <c r="E670" s="99"/>
      <c r="F670" s="194"/>
      <c r="G670" s="99"/>
      <c r="H670" s="99"/>
      <c r="I670" s="99"/>
      <c r="J670" s="99"/>
      <c r="K670" s="99"/>
      <c r="L670" s="99"/>
    </row>
    <row r="671" spans="2:12">
      <c r="B671" s="99"/>
      <c r="C671" s="99"/>
      <c r="D671" s="99"/>
      <c r="E671" s="99"/>
      <c r="F671" s="194"/>
      <c r="G671" s="99"/>
      <c r="H671" s="99"/>
      <c r="I671" s="99"/>
      <c r="J671" s="99"/>
      <c r="K671" s="99"/>
      <c r="L671" s="99"/>
    </row>
    <row r="672" spans="2:12">
      <c r="B672" s="99"/>
      <c r="C672" s="99"/>
      <c r="D672" s="99"/>
      <c r="E672" s="99"/>
      <c r="F672" s="194"/>
      <c r="G672" s="99"/>
      <c r="H672" s="99"/>
      <c r="I672" s="99"/>
      <c r="J672" s="99"/>
      <c r="K672" s="99"/>
      <c r="L672" s="99"/>
    </row>
    <row r="673" spans="2:12">
      <c r="B673" s="99"/>
      <c r="C673" s="99"/>
      <c r="D673" s="99"/>
      <c r="E673" s="99"/>
      <c r="F673" s="194"/>
      <c r="G673" s="99"/>
      <c r="H673" s="99"/>
      <c r="I673" s="99"/>
      <c r="J673" s="99"/>
      <c r="K673" s="99"/>
      <c r="L673" s="99"/>
    </row>
    <row r="674" spans="2:12">
      <c r="B674" s="99"/>
      <c r="C674" s="99"/>
      <c r="D674" s="99"/>
      <c r="E674" s="99"/>
      <c r="F674" s="194"/>
      <c r="G674" s="99"/>
      <c r="H674" s="99"/>
      <c r="I674" s="99"/>
      <c r="J674" s="99"/>
      <c r="K674" s="99"/>
      <c r="L674" s="99"/>
    </row>
    <row r="675" spans="2:12">
      <c r="B675" s="99"/>
      <c r="C675" s="99"/>
      <c r="D675" s="99"/>
      <c r="E675" s="99"/>
      <c r="F675" s="194"/>
      <c r="G675" s="99"/>
      <c r="H675" s="99"/>
      <c r="I675" s="99"/>
      <c r="J675" s="99"/>
      <c r="K675" s="99"/>
      <c r="L675" s="99"/>
    </row>
    <row r="676" spans="2:12">
      <c r="B676" s="99"/>
      <c r="C676" s="99"/>
      <c r="D676" s="99"/>
      <c r="E676" s="99"/>
      <c r="F676" s="194"/>
      <c r="G676" s="99"/>
      <c r="H676" s="99"/>
      <c r="I676" s="99"/>
      <c r="J676" s="99"/>
      <c r="K676" s="99"/>
      <c r="L676" s="99"/>
    </row>
    <row r="677" spans="2:12">
      <c r="B677" s="99"/>
      <c r="C677" s="99"/>
      <c r="D677" s="99"/>
      <c r="E677" s="99"/>
      <c r="F677" s="194"/>
      <c r="G677" s="99"/>
      <c r="H677" s="99"/>
      <c r="I677" s="99"/>
      <c r="J677" s="99"/>
      <c r="K677" s="99"/>
      <c r="L677" s="99"/>
    </row>
    <row r="678" spans="2:12">
      <c r="B678" s="99"/>
      <c r="C678" s="99"/>
      <c r="D678" s="99"/>
      <c r="E678" s="99"/>
      <c r="F678" s="194"/>
      <c r="G678" s="99"/>
      <c r="H678" s="99"/>
      <c r="I678" s="99"/>
      <c r="J678" s="99"/>
      <c r="K678" s="99"/>
      <c r="L678" s="99"/>
    </row>
    <row r="679" spans="2:12">
      <c r="B679" s="99"/>
      <c r="C679" s="99"/>
      <c r="D679" s="99"/>
      <c r="E679" s="99"/>
      <c r="F679" s="194"/>
      <c r="G679" s="99"/>
      <c r="H679" s="99"/>
      <c r="I679" s="99"/>
      <c r="J679" s="99"/>
      <c r="K679" s="99"/>
      <c r="L679" s="99"/>
    </row>
    <row r="680" spans="2:12">
      <c r="B680" s="99"/>
      <c r="C680" s="99"/>
      <c r="D680" s="99"/>
      <c r="E680" s="99"/>
      <c r="F680" s="194"/>
      <c r="G680" s="99"/>
      <c r="H680" s="99"/>
      <c r="I680" s="99"/>
      <c r="J680" s="99"/>
      <c r="K680" s="99"/>
      <c r="L680" s="99"/>
    </row>
    <row r="681" spans="2:12">
      <c r="B681" s="99"/>
      <c r="C681" s="99"/>
      <c r="D681" s="99"/>
      <c r="E681" s="99"/>
      <c r="F681" s="194"/>
      <c r="G681" s="99"/>
      <c r="H681" s="99"/>
      <c r="I681" s="99"/>
      <c r="J681" s="99"/>
      <c r="K681" s="99"/>
      <c r="L681" s="99"/>
    </row>
    <row r="682" spans="2:12">
      <c r="B682" s="99"/>
      <c r="C682" s="99"/>
      <c r="D682" s="99"/>
      <c r="E682" s="99"/>
      <c r="F682" s="194"/>
      <c r="G682" s="99"/>
      <c r="H682" s="99"/>
      <c r="I682" s="99"/>
      <c r="J682" s="99"/>
      <c r="K682" s="99"/>
      <c r="L682" s="99"/>
    </row>
    <row r="683" spans="2:12">
      <c r="B683" s="99"/>
      <c r="C683" s="99"/>
      <c r="D683" s="99"/>
      <c r="E683" s="99"/>
      <c r="F683" s="194"/>
      <c r="G683" s="99"/>
      <c r="H683" s="99"/>
      <c r="I683" s="99"/>
      <c r="J683" s="99"/>
      <c r="K683" s="99"/>
      <c r="L683" s="99"/>
    </row>
    <row r="684" spans="2:12">
      <c r="B684" s="99"/>
      <c r="C684" s="99"/>
      <c r="D684" s="99"/>
      <c r="E684" s="99"/>
      <c r="F684" s="194"/>
      <c r="G684" s="99"/>
      <c r="H684" s="99"/>
      <c r="I684" s="99"/>
      <c r="J684" s="99"/>
      <c r="K684" s="99"/>
      <c r="L684" s="99"/>
    </row>
    <row r="685" spans="2:12">
      <c r="B685" s="99"/>
      <c r="C685" s="99"/>
      <c r="D685" s="99"/>
      <c r="E685" s="99"/>
      <c r="F685" s="194"/>
      <c r="G685" s="99"/>
      <c r="H685" s="99"/>
      <c r="I685" s="99"/>
      <c r="J685" s="99"/>
      <c r="K685" s="99"/>
      <c r="L685" s="99"/>
    </row>
    <row r="686" spans="2:12">
      <c r="B686" s="99"/>
      <c r="C686" s="99"/>
      <c r="D686" s="99"/>
      <c r="E686" s="99"/>
      <c r="F686" s="194"/>
      <c r="G686" s="99"/>
      <c r="H686" s="99"/>
      <c r="I686" s="99"/>
      <c r="J686" s="99"/>
      <c r="K686" s="99"/>
      <c r="L686" s="99"/>
    </row>
    <row r="687" spans="2:12">
      <c r="B687" s="99"/>
      <c r="C687" s="99"/>
      <c r="D687" s="99"/>
      <c r="E687" s="99"/>
      <c r="F687" s="194"/>
      <c r="G687" s="99"/>
      <c r="H687" s="99"/>
      <c r="I687" s="99"/>
      <c r="J687" s="99"/>
      <c r="K687" s="99"/>
      <c r="L687" s="99"/>
    </row>
    <row r="688" spans="2:12">
      <c r="B688" s="99"/>
      <c r="C688" s="99"/>
      <c r="D688" s="99"/>
      <c r="E688" s="99"/>
      <c r="F688" s="194"/>
      <c r="G688" s="99"/>
      <c r="H688" s="99"/>
      <c r="I688" s="99"/>
      <c r="J688" s="99"/>
      <c r="K688" s="99"/>
      <c r="L688" s="99"/>
    </row>
    <row r="689" spans="2:12">
      <c r="B689" s="99"/>
      <c r="C689" s="99"/>
      <c r="D689" s="99"/>
      <c r="E689" s="99"/>
      <c r="F689" s="194"/>
      <c r="G689" s="99"/>
      <c r="H689" s="99"/>
      <c r="I689" s="99"/>
      <c r="J689" s="99"/>
      <c r="K689" s="99"/>
      <c r="L689" s="99"/>
    </row>
    <row r="690" spans="2:12">
      <c r="B690" s="99"/>
      <c r="C690" s="99"/>
      <c r="D690" s="99"/>
      <c r="E690" s="99"/>
      <c r="F690" s="194"/>
      <c r="G690" s="99"/>
      <c r="H690" s="99"/>
      <c r="I690" s="99"/>
      <c r="J690" s="99"/>
      <c r="K690" s="99"/>
      <c r="L690" s="99"/>
    </row>
    <row r="691" spans="2:12">
      <c r="B691" s="99"/>
      <c r="C691" s="99"/>
      <c r="D691" s="99"/>
      <c r="E691" s="99"/>
      <c r="F691" s="194"/>
      <c r="G691" s="99"/>
      <c r="H691" s="99"/>
      <c r="I691" s="99"/>
      <c r="J691" s="99"/>
      <c r="K691" s="99"/>
      <c r="L691" s="99"/>
    </row>
    <row r="692" spans="2:12">
      <c r="B692" s="99"/>
      <c r="C692" s="99"/>
      <c r="D692" s="99"/>
      <c r="E692" s="99"/>
      <c r="F692" s="194"/>
      <c r="G692" s="99"/>
      <c r="H692" s="99"/>
      <c r="I692" s="99"/>
      <c r="J692" s="99"/>
      <c r="K692" s="99"/>
      <c r="L692" s="99"/>
    </row>
    <row r="693" spans="2:12">
      <c r="B693" s="99"/>
      <c r="C693" s="99"/>
      <c r="D693" s="99"/>
      <c r="E693" s="99"/>
      <c r="F693" s="194"/>
      <c r="G693" s="99"/>
      <c r="H693" s="99"/>
      <c r="I693" s="99"/>
      <c r="J693" s="99"/>
      <c r="K693" s="99"/>
      <c r="L693" s="99"/>
    </row>
    <row r="694" spans="2:12">
      <c r="B694" s="99"/>
      <c r="C694" s="99"/>
      <c r="D694" s="99"/>
      <c r="E694" s="99"/>
      <c r="F694" s="194"/>
      <c r="G694" s="99"/>
      <c r="H694" s="99"/>
      <c r="I694" s="99"/>
      <c r="J694" s="99"/>
      <c r="K694" s="99"/>
      <c r="L694" s="99"/>
    </row>
    <row r="695" spans="2:12">
      <c r="B695" s="99"/>
      <c r="C695" s="99"/>
      <c r="D695" s="99"/>
      <c r="E695" s="99"/>
      <c r="F695" s="194"/>
      <c r="G695" s="99"/>
      <c r="H695" s="99"/>
      <c r="I695" s="99"/>
      <c r="J695" s="99"/>
      <c r="K695" s="99"/>
      <c r="L695" s="99"/>
    </row>
    <row r="696" spans="2:12">
      <c r="B696" s="99"/>
      <c r="C696" s="99"/>
      <c r="D696" s="99"/>
      <c r="E696" s="99"/>
      <c r="F696" s="194"/>
      <c r="G696" s="99"/>
      <c r="H696" s="99"/>
      <c r="I696" s="99"/>
      <c r="J696" s="99"/>
      <c r="K696" s="99"/>
      <c r="L696" s="99"/>
    </row>
    <row r="697" spans="2:12">
      <c r="B697" s="99"/>
      <c r="C697" s="99"/>
      <c r="D697" s="99"/>
      <c r="E697" s="99"/>
      <c r="F697" s="194"/>
      <c r="G697" s="99"/>
      <c r="H697" s="99"/>
      <c r="I697" s="99"/>
      <c r="J697" s="99"/>
      <c r="K697" s="99"/>
      <c r="L697" s="99"/>
    </row>
    <row r="698" spans="2:12">
      <c r="B698" s="99"/>
      <c r="C698" s="99"/>
      <c r="D698" s="99"/>
      <c r="E698" s="99"/>
      <c r="F698" s="194"/>
      <c r="G698" s="99"/>
      <c r="H698" s="99"/>
      <c r="I698" s="99"/>
      <c r="J698" s="99"/>
      <c r="K698" s="99"/>
      <c r="L698" s="99"/>
    </row>
    <row r="699" spans="2:12">
      <c r="B699" s="99"/>
      <c r="C699" s="99"/>
      <c r="D699" s="99"/>
      <c r="E699" s="99"/>
      <c r="F699" s="194"/>
      <c r="G699" s="99"/>
      <c r="H699" s="99"/>
      <c r="I699" s="99"/>
      <c r="J699" s="99"/>
      <c r="K699" s="99"/>
      <c r="L699" s="99"/>
    </row>
    <row r="700" spans="2:12">
      <c r="B700" s="99"/>
      <c r="C700" s="99"/>
      <c r="D700" s="99"/>
      <c r="E700" s="99"/>
      <c r="F700" s="194"/>
      <c r="G700" s="99"/>
      <c r="H700" s="99"/>
      <c r="I700" s="99"/>
      <c r="J700" s="99"/>
      <c r="K700" s="99"/>
      <c r="L700" s="99"/>
    </row>
    <row r="701" spans="2:12">
      <c r="B701" s="99"/>
      <c r="C701" s="99"/>
      <c r="D701" s="99"/>
      <c r="E701" s="99"/>
      <c r="F701" s="194"/>
      <c r="G701" s="99"/>
      <c r="H701" s="99"/>
      <c r="I701" s="99"/>
      <c r="J701" s="99"/>
      <c r="K701" s="99"/>
      <c r="L701" s="99"/>
    </row>
    <row r="702" spans="2:12">
      <c r="B702" s="99"/>
      <c r="C702" s="99"/>
      <c r="D702" s="99"/>
      <c r="E702" s="99"/>
      <c r="F702" s="194"/>
      <c r="G702" s="99"/>
      <c r="H702" s="99"/>
      <c r="I702" s="99"/>
      <c r="J702" s="99"/>
      <c r="K702" s="99"/>
      <c r="L702" s="99"/>
    </row>
    <row r="703" spans="2:12">
      <c r="B703" s="99"/>
      <c r="C703" s="99"/>
      <c r="D703" s="99"/>
      <c r="E703" s="99"/>
      <c r="F703" s="194"/>
      <c r="G703" s="99"/>
      <c r="H703" s="99"/>
      <c r="I703" s="99"/>
      <c r="J703" s="99"/>
      <c r="K703" s="99"/>
      <c r="L703" s="99"/>
    </row>
    <row r="704" spans="2:12">
      <c r="B704" s="99"/>
      <c r="C704" s="99"/>
      <c r="D704" s="99"/>
      <c r="E704" s="99"/>
      <c r="F704" s="194"/>
      <c r="G704" s="99"/>
      <c r="H704" s="99"/>
      <c r="I704" s="99"/>
      <c r="J704" s="99"/>
      <c r="K704" s="99"/>
      <c r="L704" s="99"/>
    </row>
    <row r="705" spans="2:12">
      <c r="B705" s="99"/>
      <c r="C705" s="99"/>
      <c r="D705" s="99"/>
      <c r="E705" s="99"/>
      <c r="F705" s="194"/>
      <c r="G705" s="99"/>
      <c r="H705" s="99"/>
      <c r="I705" s="99"/>
      <c r="J705" s="99"/>
      <c r="K705" s="99"/>
      <c r="L705" s="99"/>
    </row>
    <row r="706" spans="2:12">
      <c r="B706" s="99"/>
      <c r="C706" s="99"/>
      <c r="D706" s="99"/>
      <c r="E706" s="99"/>
      <c r="F706" s="194"/>
      <c r="G706" s="99"/>
      <c r="H706" s="99"/>
      <c r="I706" s="99"/>
      <c r="J706" s="99"/>
      <c r="K706" s="99"/>
      <c r="L706" s="99"/>
    </row>
    <row r="707" spans="2:12">
      <c r="B707" s="99"/>
      <c r="C707" s="99"/>
      <c r="D707" s="99"/>
      <c r="E707" s="99"/>
      <c r="F707" s="194"/>
      <c r="G707" s="99"/>
      <c r="H707" s="99"/>
      <c r="I707" s="99"/>
      <c r="J707" s="99"/>
      <c r="K707" s="99"/>
      <c r="L707" s="99"/>
    </row>
    <row r="708" spans="2:12">
      <c r="B708" s="99"/>
      <c r="C708" s="99"/>
      <c r="D708" s="99"/>
      <c r="E708" s="99"/>
      <c r="F708" s="194"/>
      <c r="G708" s="99"/>
      <c r="H708" s="99"/>
      <c r="I708" s="99"/>
      <c r="J708" s="99"/>
      <c r="K708" s="99"/>
      <c r="L708" s="99"/>
    </row>
    <row r="709" spans="2:12">
      <c r="B709" s="99"/>
      <c r="C709" s="99"/>
      <c r="D709" s="99"/>
      <c r="E709" s="99"/>
      <c r="F709" s="194"/>
      <c r="G709" s="99"/>
      <c r="H709" s="99"/>
      <c r="I709" s="99"/>
      <c r="J709" s="99"/>
      <c r="K709" s="99"/>
      <c r="L709" s="99"/>
    </row>
    <row r="710" spans="2:12">
      <c r="B710" s="99"/>
      <c r="C710" s="99"/>
      <c r="D710" s="99"/>
      <c r="E710" s="99"/>
      <c r="F710" s="194"/>
      <c r="G710" s="99"/>
      <c r="H710" s="99"/>
      <c r="I710" s="99"/>
      <c r="J710" s="99"/>
      <c r="K710" s="99"/>
      <c r="L710" s="99"/>
    </row>
    <row r="711" spans="2:12">
      <c r="B711" s="99"/>
      <c r="C711" s="99"/>
      <c r="D711" s="99"/>
      <c r="E711" s="99"/>
      <c r="F711" s="194"/>
      <c r="G711" s="99"/>
      <c r="H711" s="99"/>
      <c r="I711" s="99"/>
      <c r="J711" s="99"/>
      <c r="K711" s="99"/>
      <c r="L711" s="99"/>
    </row>
    <row r="712" spans="2:12">
      <c r="B712" s="99"/>
      <c r="C712" s="99"/>
      <c r="D712" s="99"/>
      <c r="E712" s="99"/>
      <c r="F712" s="194"/>
      <c r="G712" s="99"/>
      <c r="H712" s="99"/>
      <c r="I712" s="99"/>
      <c r="J712" s="99"/>
      <c r="K712" s="99"/>
      <c r="L712" s="99"/>
    </row>
    <row r="713" spans="2:12">
      <c r="B713" s="99"/>
      <c r="C713" s="99"/>
      <c r="D713" s="99"/>
      <c r="E713" s="99"/>
      <c r="F713" s="194"/>
      <c r="G713" s="99"/>
      <c r="H713" s="99"/>
      <c r="I713" s="99"/>
      <c r="J713" s="99"/>
      <c r="K713" s="99"/>
      <c r="L713" s="99"/>
    </row>
    <row r="714" spans="2:12">
      <c r="B714" s="99"/>
      <c r="C714" s="99"/>
      <c r="D714" s="99"/>
      <c r="E714" s="99"/>
      <c r="F714" s="194"/>
      <c r="G714" s="99"/>
      <c r="H714" s="99"/>
      <c r="I714" s="99"/>
      <c r="J714" s="99"/>
      <c r="K714" s="99"/>
      <c r="L714" s="99"/>
    </row>
    <row r="715" spans="2:12">
      <c r="B715" s="99"/>
      <c r="C715" s="99"/>
      <c r="D715" s="99"/>
      <c r="E715" s="99"/>
      <c r="F715" s="194"/>
      <c r="G715" s="99"/>
      <c r="H715" s="99"/>
      <c r="I715" s="99"/>
      <c r="J715" s="99"/>
      <c r="K715" s="99"/>
      <c r="L715" s="99"/>
    </row>
    <row r="716" spans="2:12">
      <c r="B716" s="99"/>
      <c r="C716" s="99"/>
      <c r="D716" s="99"/>
      <c r="E716" s="99"/>
      <c r="F716" s="194"/>
      <c r="G716" s="99"/>
      <c r="H716" s="99"/>
      <c r="I716" s="99"/>
      <c r="J716" s="99"/>
      <c r="K716" s="99"/>
      <c r="L716" s="99"/>
    </row>
    <row r="717" spans="2:12">
      <c r="B717" s="99"/>
      <c r="C717" s="99"/>
      <c r="D717" s="99"/>
      <c r="E717" s="99"/>
      <c r="F717" s="194"/>
      <c r="G717" s="99"/>
      <c r="H717" s="99"/>
      <c r="I717" s="99"/>
      <c r="J717" s="99"/>
      <c r="K717" s="99"/>
      <c r="L717" s="99"/>
    </row>
    <row r="718" spans="2:12">
      <c r="B718" s="99"/>
      <c r="C718" s="99"/>
      <c r="D718" s="99"/>
      <c r="E718" s="99"/>
      <c r="F718" s="194"/>
      <c r="G718" s="99"/>
      <c r="H718" s="99"/>
      <c r="I718" s="99"/>
      <c r="J718" s="99"/>
      <c r="K718" s="99"/>
      <c r="L718" s="99"/>
    </row>
    <row r="719" spans="2:12">
      <c r="B719" s="99"/>
      <c r="C719" s="99"/>
      <c r="D719" s="99"/>
      <c r="E719" s="99"/>
      <c r="F719" s="194"/>
      <c r="G719" s="99"/>
      <c r="H719" s="99"/>
      <c r="I719" s="99"/>
      <c r="J719" s="99"/>
      <c r="K719" s="99"/>
      <c r="L719" s="99"/>
    </row>
    <row r="720" spans="2:12">
      <c r="B720" s="99"/>
      <c r="C720" s="99"/>
      <c r="D720" s="99"/>
      <c r="E720" s="99"/>
      <c r="F720" s="194"/>
      <c r="G720" s="99"/>
      <c r="H720" s="99"/>
      <c r="I720" s="99"/>
      <c r="J720" s="99"/>
      <c r="K720" s="99"/>
      <c r="L720" s="99"/>
    </row>
    <row r="721" spans="2:12">
      <c r="B721" s="99"/>
      <c r="C721" s="99"/>
      <c r="D721" s="99"/>
      <c r="E721" s="99"/>
      <c r="F721" s="194"/>
      <c r="G721" s="99"/>
      <c r="H721" s="99"/>
      <c r="I721" s="99"/>
      <c r="J721" s="99"/>
      <c r="K721" s="99"/>
      <c r="L721" s="99"/>
    </row>
    <row r="722" spans="2:12">
      <c r="B722" s="99"/>
      <c r="C722" s="99"/>
      <c r="D722" s="99"/>
      <c r="E722" s="99"/>
      <c r="F722" s="194"/>
      <c r="G722" s="99"/>
      <c r="H722" s="99"/>
      <c r="I722" s="99"/>
      <c r="J722" s="99"/>
      <c r="K722" s="99"/>
      <c r="L722" s="99"/>
    </row>
    <row r="723" spans="2:12">
      <c r="B723" s="99"/>
      <c r="C723" s="99"/>
      <c r="D723" s="99"/>
      <c r="E723" s="99"/>
      <c r="F723" s="194"/>
      <c r="G723" s="99"/>
      <c r="H723" s="99"/>
      <c r="I723" s="99"/>
      <c r="J723" s="99"/>
      <c r="K723" s="99"/>
      <c r="L723" s="99"/>
    </row>
    <row r="724" spans="2:12">
      <c r="B724" s="99"/>
      <c r="C724" s="99"/>
      <c r="D724" s="99"/>
      <c r="E724" s="99"/>
      <c r="F724" s="194"/>
      <c r="G724" s="99"/>
      <c r="H724" s="99"/>
      <c r="I724" s="99"/>
      <c r="J724" s="99"/>
      <c r="K724" s="99"/>
      <c r="L724" s="99"/>
    </row>
    <row r="725" spans="2:12">
      <c r="B725" s="99"/>
      <c r="C725" s="99"/>
      <c r="D725" s="99"/>
      <c r="E725" s="99"/>
      <c r="F725" s="194"/>
      <c r="G725" s="99"/>
      <c r="H725" s="99"/>
      <c r="I725" s="99"/>
      <c r="J725" s="99"/>
      <c r="K725" s="99"/>
      <c r="L725" s="99"/>
    </row>
    <row r="726" spans="2:12">
      <c r="B726" s="99"/>
      <c r="C726" s="99"/>
      <c r="D726" s="99"/>
      <c r="E726" s="99"/>
      <c r="F726" s="194"/>
      <c r="G726" s="99"/>
      <c r="H726" s="99"/>
      <c r="I726" s="99"/>
      <c r="J726" s="99"/>
      <c r="K726" s="99"/>
      <c r="L726" s="99"/>
    </row>
    <row r="727" spans="2:12">
      <c r="B727" s="99"/>
      <c r="C727" s="99"/>
      <c r="D727" s="99"/>
      <c r="E727" s="99"/>
      <c r="F727" s="194"/>
      <c r="G727" s="99"/>
      <c r="H727" s="99"/>
      <c r="I727" s="99"/>
      <c r="J727" s="99"/>
      <c r="K727" s="99"/>
      <c r="L727" s="99"/>
    </row>
    <row r="728" spans="2:12">
      <c r="B728" s="99"/>
      <c r="C728" s="99"/>
      <c r="D728" s="99"/>
      <c r="E728" s="99"/>
      <c r="F728" s="194"/>
      <c r="G728" s="99"/>
      <c r="H728" s="99"/>
      <c r="I728" s="99"/>
      <c r="J728" s="99"/>
      <c r="K728" s="99"/>
      <c r="L728" s="99"/>
    </row>
    <row r="729" spans="2:12">
      <c r="B729" s="99"/>
      <c r="C729" s="99"/>
      <c r="D729" s="99"/>
      <c r="E729" s="99"/>
      <c r="F729" s="194"/>
      <c r="G729" s="99"/>
      <c r="H729" s="99"/>
      <c r="I729" s="99"/>
      <c r="J729" s="99"/>
      <c r="K729" s="99"/>
      <c r="L729" s="99"/>
    </row>
    <row r="730" spans="2:12">
      <c r="B730" s="99"/>
      <c r="C730" s="99"/>
      <c r="D730" s="99"/>
      <c r="E730" s="99"/>
      <c r="F730" s="194"/>
      <c r="G730" s="99"/>
      <c r="H730" s="99"/>
      <c r="I730" s="99"/>
      <c r="J730" s="99"/>
      <c r="K730" s="99"/>
      <c r="L730" s="99"/>
    </row>
    <row r="731" spans="2:12">
      <c r="B731" s="99"/>
      <c r="C731" s="99"/>
      <c r="D731" s="99"/>
      <c r="E731" s="99"/>
      <c r="F731" s="194"/>
      <c r="G731" s="99"/>
      <c r="H731" s="99"/>
      <c r="I731" s="99"/>
      <c r="J731" s="99"/>
      <c r="K731" s="99"/>
      <c r="L731" s="99"/>
    </row>
    <row r="732" spans="2:12">
      <c r="B732" s="99"/>
      <c r="C732" s="99"/>
      <c r="D732" s="99"/>
      <c r="E732" s="99"/>
      <c r="F732" s="194"/>
      <c r="G732" s="99"/>
      <c r="H732" s="99"/>
      <c r="I732" s="99"/>
      <c r="J732" s="99"/>
      <c r="K732" s="99"/>
      <c r="L732" s="99"/>
    </row>
    <row r="733" spans="2:12">
      <c r="B733" s="99"/>
      <c r="C733" s="99"/>
      <c r="D733" s="99"/>
      <c r="E733" s="99"/>
      <c r="F733" s="194"/>
      <c r="G733" s="99"/>
      <c r="H733" s="99"/>
      <c r="I733" s="99"/>
      <c r="J733" s="99"/>
      <c r="K733" s="99"/>
      <c r="L733" s="99"/>
    </row>
    <row r="734" spans="2:12">
      <c r="B734" s="99"/>
      <c r="C734" s="99"/>
      <c r="D734" s="99"/>
      <c r="E734" s="99"/>
      <c r="F734" s="194"/>
      <c r="G734" s="99"/>
      <c r="H734" s="99"/>
      <c r="I734" s="99"/>
      <c r="J734" s="99"/>
      <c r="K734" s="99"/>
      <c r="L734" s="99"/>
    </row>
    <row r="735" spans="2:12">
      <c r="B735" s="99"/>
      <c r="C735" s="99"/>
      <c r="D735" s="99"/>
      <c r="E735" s="99"/>
      <c r="F735" s="194"/>
      <c r="G735" s="99"/>
      <c r="H735" s="99"/>
      <c r="I735" s="99"/>
      <c r="J735" s="99"/>
      <c r="K735" s="99"/>
      <c r="L735" s="99"/>
    </row>
    <row r="736" spans="2:12">
      <c r="B736" s="99"/>
      <c r="C736" s="99"/>
      <c r="D736" s="99"/>
      <c r="E736" s="99"/>
      <c r="F736" s="194"/>
      <c r="G736" s="99"/>
      <c r="H736" s="99"/>
      <c r="I736" s="99"/>
      <c r="J736" s="99"/>
      <c r="K736" s="99"/>
      <c r="L736" s="99"/>
    </row>
    <row r="737" spans="2:12">
      <c r="B737" s="99"/>
      <c r="C737" s="99"/>
      <c r="D737" s="99"/>
      <c r="E737" s="99"/>
      <c r="F737" s="194"/>
      <c r="G737" s="99"/>
      <c r="H737" s="99"/>
      <c r="I737" s="99"/>
      <c r="J737" s="99"/>
      <c r="K737" s="99"/>
      <c r="L737" s="99"/>
    </row>
    <row r="738" spans="2:12">
      <c r="B738" s="99"/>
      <c r="C738" s="99"/>
      <c r="D738" s="99"/>
      <c r="E738" s="99"/>
      <c r="F738" s="194"/>
      <c r="G738" s="99"/>
      <c r="H738" s="99"/>
      <c r="I738" s="99"/>
      <c r="J738" s="99"/>
      <c r="K738" s="99"/>
      <c r="L738" s="99"/>
    </row>
    <row r="739" spans="2:12">
      <c r="B739" s="99"/>
      <c r="C739" s="99"/>
      <c r="D739" s="99"/>
      <c r="E739" s="99"/>
      <c r="F739" s="194"/>
      <c r="G739" s="99"/>
      <c r="H739" s="99"/>
      <c r="I739" s="99"/>
      <c r="J739" s="99"/>
      <c r="K739" s="99"/>
      <c r="L739" s="99"/>
    </row>
    <row r="740" spans="2:12">
      <c r="B740" s="99"/>
      <c r="C740" s="99"/>
      <c r="D740" s="99"/>
      <c r="E740" s="99"/>
      <c r="F740" s="194"/>
      <c r="G740" s="99"/>
      <c r="H740" s="99"/>
      <c r="I740" s="99"/>
      <c r="J740" s="99"/>
      <c r="K740" s="99"/>
      <c r="L740" s="99"/>
    </row>
    <row r="741" spans="2:12">
      <c r="B741" s="99"/>
      <c r="C741" s="99"/>
      <c r="D741" s="99"/>
      <c r="E741" s="99"/>
      <c r="F741" s="194"/>
      <c r="G741" s="99"/>
      <c r="H741" s="99"/>
      <c r="I741" s="99"/>
      <c r="J741" s="99"/>
      <c r="K741" s="99"/>
      <c r="L741" s="99"/>
    </row>
    <row r="742" spans="2:12">
      <c r="B742" s="99"/>
      <c r="C742" s="99"/>
      <c r="D742" s="99"/>
      <c r="E742" s="99"/>
      <c r="F742" s="194"/>
      <c r="G742" s="99"/>
      <c r="H742" s="99"/>
      <c r="I742" s="99"/>
      <c r="J742" s="99"/>
      <c r="K742" s="99"/>
      <c r="L742" s="99"/>
    </row>
    <row r="743" spans="2:12">
      <c r="B743" s="99"/>
      <c r="C743" s="99"/>
      <c r="D743" s="99"/>
      <c r="E743" s="99"/>
      <c r="F743" s="194"/>
      <c r="G743" s="99"/>
      <c r="H743" s="99"/>
      <c r="I743" s="99"/>
      <c r="J743" s="99"/>
      <c r="K743" s="99"/>
      <c r="L743" s="99"/>
    </row>
    <row r="744" spans="2:12">
      <c r="B744" s="99"/>
      <c r="C744" s="99"/>
      <c r="D744" s="99"/>
      <c r="E744" s="99"/>
      <c r="F744" s="194"/>
      <c r="G744" s="99"/>
      <c r="H744" s="99"/>
      <c r="I744" s="99"/>
      <c r="J744" s="99"/>
      <c r="K744" s="99"/>
      <c r="L744" s="99"/>
    </row>
    <row r="745" spans="2:12">
      <c r="B745" s="99"/>
      <c r="C745" s="99"/>
      <c r="D745" s="99"/>
      <c r="E745" s="99"/>
      <c r="F745" s="194"/>
      <c r="G745" s="99"/>
      <c r="H745" s="99"/>
      <c r="I745" s="99"/>
      <c r="J745" s="99"/>
      <c r="K745" s="99"/>
      <c r="L745" s="99"/>
    </row>
    <row r="746" spans="2:12">
      <c r="B746" s="99"/>
      <c r="C746" s="99"/>
      <c r="D746" s="99"/>
      <c r="E746" s="99"/>
      <c r="F746" s="194"/>
      <c r="G746" s="99"/>
      <c r="H746" s="99"/>
      <c r="I746" s="99"/>
      <c r="J746" s="99"/>
      <c r="K746" s="99"/>
      <c r="L746" s="99"/>
    </row>
    <row r="747" spans="2:12">
      <c r="B747" s="99"/>
      <c r="C747" s="99"/>
      <c r="D747" s="99"/>
      <c r="E747" s="99"/>
      <c r="F747" s="194"/>
      <c r="G747" s="99"/>
      <c r="H747" s="99"/>
      <c r="I747" s="99"/>
      <c r="J747" s="99"/>
      <c r="K747" s="99"/>
      <c r="L747" s="99"/>
    </row>
    <row r="748" spans="2:12">
      <c r="B748" s="99"/>
      <c r="C748" s="99"/>
      <c r="D748" s="99"/>
      <c r="E748" s="99"/>
      <c r="F748" s="194"/>
      <c r="G748" s="99"/>
      <c r="H748" s="99"/>
      <c r="I748" s="99"/>
      <c r="J748" s="99"/>
      <c r="K748" s="99"/>
      <c r="L748" s="99"/>
    </row>
    <row r="749" spans="2:12">
      <c r="B749" s="99"/>
      <c r="C749" s="99"/>
      <c r="D749" s="99"/>
      <c r="E749" s="99"/>
      <c r="F749" s="194"/>
      <c r="G749" s="99"/>
      <c r="H749" s="99"/>
      <c r="I749" s="99"/>
      <c r="J749" s="99"/>
      <c r="K749" s="99"/>
      <c r="L749" s="99"/>
    </row>
    <row r="750" spans="2:12">
      <c r="B750" s="99"/>
      <c r="C750" s="99"/>
      <c r="D750" s="99"/>
      <c r="E750" s="99"/>
      <c r="F750" s="194"/>
      <c r="G750" s="99"/>
      <c r="H750" s="99"/>
      <c r="I750" s="99"/>
      <c r="J750" s="99"/>
      <c r="K750" s="99"/>
      <c r="L750" s="99"/>
    </row>
    <row r="751" spans="2:12">
      <c r="B751" s="99"/>
      <c r="C751" s="99"/>
      <c r="D751" s="99"/>
      <c r="E751" s="99"/>
      <c r="F751" s="194"/>
      <c r="G751" s="99"/>
      <c r="H751" s="99"/>
      <c r="I751" s="99"/>
      <c r="J751" s="99"/>
      <c r="K751" s="99"/>
      <c r="L751" s="99"/>
    </row>
    <row r="752" spans="2:12">
      <c r="B752" s="99"/>
      <c r="C752" s="99"/>
      <c r="D752" s="99"/>
      <c r="E752" s="99"/>
      <c r="F752" s="194"/>
      <c r="G752" s="99"/>
      <c r="H752" s="99"/>
      <c r="I752" s="99"/>
      <c r="J752" s="99"/>
      <c r="K752" s="99"/>
      <c r="L752" s="99"/>
    </row>
    <row r="753" spans="2:12">
      <c r="B753" s="99"/>
      <c r="C753" s="99"/>
      <c r="D753" s="99"/>
      <c r="E753" s="99"/>
      <c r="F753" s="194"/>
      <c r="G753" s="99"/>
      <c r="H753" s="99"/>
      <c r="I753" s="99"/>
      <c r="J753" s="99"/>
      <c r="K753" s="99"/>
      <c r="L753" s="99"/>
    </row>
    <row r="754" spans="2:12">
      <c r="B754" s="99"/>
      <c r="C754" s="99"/>
      <c r="D754" s="99"/>
      <c r="E754" s="99"/>
      <c r="F754" s="194"/>
      <c r="G754" s="99"/>
      <c r="H754" s="99"/>
      <c r="I754" s="99"/>
      <c r="J754" s="99"/>
      <c r="K754" s="99"/>
      <c r="L754" s="99"/>
    </row>
    <row r="755" spans="2:12">
      <c r="B755" s="99"/>
      <c r="C755" s="99"/>
      <c r="D755" s="99"/>
      <c r="E755" s="99"/>
      <c r="F755" s="194"/>
      <c r="G755" s="99"/>
      <c r="H755" s="99"/>
      <c r="I755" s="99"/>
      <c r="J755" s="99"/>
      <c r="K755" s="99"/>
      <c r="L755" s="99"/>
    </row>
    <row r="756" spans="2:12">
      <c r="B756" s="99"/>
      <c r="C756" s="99"/>
      <c r="D756" s="99"/>
      <c r="E756" s="99"/>
      <c r="F756" s="194"/>
      <c r="G756" s="99"/>
      <c r="H756" s="99"/>
      <c r="I756" s="99"/>
      <c r="J756" s="99"/>
      <c r="K756" s="99"/>
      <c r="L756" s="99"/>
    </row>
    <row r="757" spans="2:12">
      <c r="B757" s="99"/>
      <c r="C757" s="99"/>
      <c r="D757" s="99"/>
      <c r="E757" s="99"/>
      <c r="F757" s="194"/>
      <c r="G757" s="99"/>
      <c r="H757" s="99"/>
      <c r="I757" s="99"/>
      <c r="J757" s="99"/>
      <c r="K757" s="99"/>
      <c r="L757" s="99"/>
    </row>
    <row r="758" spans="2:12">
      <c r="B758" s="99"/>
      <c r="C758" s="99"/>
      <c r="D758" s="99"/>
      <c r="E758" s="99"/>
      <c r="F758" s="194"/>
      <c r="G758" s="99"/>
      <c r="H758" s="99"/>
      <c r="I758" s="99"/>
      <c r="J758" s="99"/>
      <c r="K758" s="99"/>
      <c r="L758" s="99"/>
    </row>
    <row r="759" spans="2:12">
      <c r="B759" s="99"/>
      <c r="C759" s="99"/>
      <c r="D759" s="99"/>
      <c r="E759" s="99"/>
      <c r="F759" s="194"/>
      <c r="G759" s="99"/>
      <c r="H759" s="99"/>
      <c r="I759" s="99"/>
      <c r="J759" s="99"/>
      <c r="K759" s="99"/>
      <c r="L759" s="99"/>
    </row>
    <row r="760" spans="2:12">
      <c r="B760" s="99"/>
      <c r="C760" s="99"/>
      <c r="D760" s="99"/>
      <c r="E760" s="99"/>
      <c r="F760" s="194"/>
      <c r="G760" s="99"/>
      <c r="H760" s="99"/>
      <c r="I760" s="99"/>
      <c r="J760" s="99"/>
      <c r="K760" s="99"/>
      <c r="L760" s="99"/>
    </row>
    <row r="761" spans="2:12">
      <c r="B761" s="99"/>
      <c r="C761" s="99"/>
      <c r="D761" s="99"/>
      <c r="E761" s="99"/>
      <c r="F761" s="194"/>
      <c r="G761" s="99"/>
      <c r="H761" s="99"/>
      <c r="I761" s="99"/>
      <c r="J761" s="99"/>
      <c r="K761" s="99"/>
      <c r="L761" s="99"/>
    </row>
    <row r="762" spans="2:12">
      <c r="B762" s="99"/>
      <c r="C762" s="99"/>
      <c r="D762" s="99"/>
      <c r="E762" s="99"/>
      <c r="F762" s="194"/>
      <c r="G762" s="99"/>
      <c r="H762" s="99"/>
      <c r="I762" s="99"/>
      <c r="J762" s="99"/>
      <c r="K762" s="99"/>
      <c r="L762" s="99"/>
    </row>
    <row r="763" spans="2:12">
      <c r="B763" s="99"/>
      <c r="C763" s="99"/>
      <c r="D763" s="99"/>
      <c r="E763" s="99"/>
      <c r="F763" s="194"/>
      <c r="G763" s="99"/>
      <c r="H763" s="99"/>
      <c r="I763" s="99"/>
      <c r="J763" s="99"/>
      <c r="K763" s="99"/>
      <c r="L763" s="99"/>
    </row>
    <row r="764" spans="2:12">
      <c r="B764" s="99"/>
      <c r="C764" s="99"/>
      <c r="D764" s="99"/>
      <c r="E764" s="99"/>
      <c r="F764" s="194"/>
      <c r="G764" s="99"/>
      <c r="H764" s="99"/>
      <c r="I764" s="99"/>
      <c r="J764" s="99"/>
      <c r="K764" s="99"/>
      <c r="L764" s="99"/>
    </row>
    <row r="765" spans="2:12">
      <c r="B765" s="99"/>
      <c r="C765" s="99"/>
      <c r="D765" s="99"/>
      <c r="E765" s="99"/>
      <c r="F765" s="194"/>
      <c r="G765" s="99"/>
      <c r="H765" s="99"/>
      <c r="I765" s="99"/>
      <c r="J765" s="99"/>
      <c r="K765" s="99"/>
      <c r="L765" s="99"/>
    </row>
    <row r="766" spans="2:12">
      <c r="B766" s="99"/>
      <c r="C766" s="99"/>
      <c r="D766" s="99"/>
      <c r="E766" s="99"/>
      <c r="F766" s="194"/>
      <c r="G766" s="99"/>
      <c r="H766" s="99"/>
      <c r="I766" s="99"/>
      <c r="J766" s="99"/>
      <c r="K766" s="99"/>
      <c r="L766" s="99"/>
    </row>
    <row r="767" spans="2:12">
      <c r="B767" s="99"/>
      <c r="C767" s="99"/>
      <c r="D767" s="99"/>
      <c r="E767" s="99"/>
      <c r="F767" s="194"/>
      <c r="G767" s="99"/>
      <c r="H767" s="99"/>
      <c r="I767" s="99"/>
      <c r="J767" s="99"/>
      <c r="K767" s="99"/>
      <c r="L767" s="99"/>
    </row>
    <row r="768" spans="2:12">
      <c r="B768" s="99"/>
      <c r="C768" s="99"/>
      <c r="D768" s="99"/>
      <c r="E768" s="99"/>
      <c r="F768" s="194"/>
      <c r="G768" s="99"/>
      <c r="H768" s="99"/>
      <c r="I768" s="99"/>
      <c r="J768" s="99"/>
      <c r="K768" s="99"/>
      <c r="L768" s="99"/>
    </row>
    <row r="769" spans="2:12">
      <c r="B769" s="99"/>
      <c r="C769" s="99"/>
      <c r="D769" s="99"/>
      <c r="E769" s="99"/>
      <c r="F769" s="194"/>
      <c r="G769" s="99"/>
      <c r="H769" s="99"/>
      <c r="I769" s="99"/>
      <c r="J769" s="99"/>
      <c r="K769" s="99"/>
      <c r="L769" s="99"/>
    </row>
    <row r="770" spans="2:12">
      <c r="B770" s="99"/>
      <c r="C770" s="99"/>
      <c r="D770" s="99"/>
      <c r="E770" s="99"/>
      <c r="F770" s="194"/>
      <c r="G770" s="99"/>
      <c r="H770" s="99"/>
      <c r="I770" s="99"/>
      <c r="J770" s="99"/>
      <c r="K770" s="99"/>
      <c r="L770" s="99"/>
    </row>
    <row r="771" spans="2:12">
      <c r="B771" s="99"/>
      <c r="C771" s="99"/>
      <c r="D771" s="99"/>
      <c r="E771" s="99"/>
      <c r="F771" s="194"/>
      <c r="G771" s="99"/>
      <c r="H771" s="99"/>
      <c r="I771" s="99"/>
      <c r="J771" s="99"/>
      <c r="K771" s="99"/>
      <c r="L771" s="99"/>
    </row>
    <row r="772" spans="2:12">
      <c r="B772" s="99"/>
      <c r="C772" s="99"/>
      <c r="D772" s="99"/>
      <c r="E772" s="99"/>
      <c r="F772" s="194"/>
      <c r="G772" s="99"/>
      <c r="H772" s="99"/>
      <c r="I772" s="99"/>
      <c r="J772" s="99"/>
      <c r="K772" s="99"/>
      <c r="L772" s="99"/>
    </row>
    <row r="773" spans="2:12">
      <c r="B773" s="99"/>
      <c r="C773" s="99"/>
      <c r="D773" s="99"/>
      <c r="E773" s="99"/>
      <c r="F773" s="194"/>
      <c r="G773" s="99"/>
      <c r="H773" s="99"/>
      <c r="I773" s="99"/>
      <c r="J773" s="99"/>
      <c r="K773" s="99"/>
      <c r="L773" s="99"/>
    </row>
    <row r="774" spans="2:12">
      <c r="B774" s="99"/>
      <c r="C774" s="99"/>
      <c r="D774" s="99"/>
      <c r="E774" s="99"/>
      <c r="F774" s="194"/>
      <c r="G774" s="99"/>
      <c r="H774" s="99"/>
      <c r="I774" s="99"/>
      <c r="J774" s="99"/>
      <c r="K774" s="99"/>
      <c r="L774" s="99"/>
    </row>
    <row r="775" spans="2:12">
      <c r="B775" s="99"/>
      <c r="C775" s="99"/>
      <c r="D775" s="99"/>
      <c r="E775" s="99"/>
      <c r="F775" s="194"/>
      <c r="G775" s="99"/>
      <c r="H775" s="99"/>
      <c r="I775" s="99"/>
      <c r="J775" s="99"/>
      <c r="K775" s="99"/>
      <c r="L775" s="99"/>
    </row>
    <row r="776" spans="2:12">
      <c r="B776" s="99"/>
      <c r="C776" s="99"/>
      <c r="D776" s="99"/>
      <c r="E776" s="99"/>
      <c r="F776" s="194"/>
      <c r="G776" s="99"/>
      <c r="H776" s="99"/>
      <c r="I776" s="99"/>
      <c r="J776" s="99"/>
      <c r="K776" s="99"/>
      <c r="L776" s="99"/>
    </row>
    <row r="777" spans="2:12">
      <c r="B777" s="99"/>
      <c r="C777" s="99"/>
      <c r="D777" s="99"/>
      <c r="E777" s="99"/>
      <c r="F777" s="194"/>
      <c r="G777" s="99"/>
      <c r="H777" s="99"/>
      <c r="I777" s="99"/>
      <c r="J777" s="99"/>
      <c r="K777" s="99"/>
      <c r="L777" s="99"/>
    </row>
    <row r="778" spans="2:12">
      <c r="B778" s="99"/>
      <c r="C778" s="99"/>
      <c r="D778" s="99"/>
      <c r="E778" s="99"/>
      <c r="F778" s="194"/>
      <c r="G778" s="99"/>
      <c r="H778" s="99"/>
      <c r="I778" s="99"/>
      <c r="J778" s="99"/>
      <c r="K778" s="99"/>
      <c r="L778" s="99"/>
    </row>
    <row r="779" spans="2:12">
      <c r="B779" s="99"/>
      <c r="C779" s="99"/>
      <c r="D779" s="99"/>
      <c r="E779" s="99"/>
      <c r="F779" s="194"/>
      <c r="G779" s="99"/>
      <c r="H779" s="99"/>
      <c r="I779" s="99"/>
      <c r="J779" s="99"/>
      <c r="K779" s="99"/>
      <c r="L779" s="99"/>
    </row>
    <row r="780" spans="2:12">
      <c r="B780" s="99"/>
      <c r="C780" s="99"/>
      <c r="D780" s="99"/>
      <c r="E780" s="99"/>
      <c r="F780" s="194"/>
      <c r="G780" s="99"/>
      <c r="H780" s="99"/>
      <c r="I780" s="99"/>
      <c r="J780" s="99"/>
      <c r="K780" s="99"/>
      <c r="L780" s="99"/>
    </row>
    <row r="781" spans="2:12">
      <c r="B781" s="99"/>
      <c r="C781" s="99"/>
      <c r="D781" s="99"/>
      <c r="E781" s="99"/>
      <c r="F781" s="194"/>
      <c r="G781" s="99"/>
      <c r="H781" s="99"/>
      <c r="I781" s="99"/>
      <c r="J781" s="99"/>
      <c r="K781" s="99"/>
      <c r="L781" s="99"/>
    </row>
    <row r="782" spans="2:12">
      <c r="B782" s="99"/>
      <c r="C782" s="99"/>
      <c r="D782" s="99"/>
      <c r="E782" s="99"/>
      <c r="F782" s="194"/>
      <c r="G782" s="99"/>
      <c r="H782" s="99"/>
      <c r="I782" s="99"/>
      <c r="J782" s="99"/>
      <c r="K782" s="99"/>
      <c r="L782" s="99"/>
    </row>
    <row r="783" spans="2:12">
      <c r="B783" s="99"/>
      <c r="C783" s="99"/>
      <c r="D783" s="99"/>
      <c r="E783" s="99"/>
      <c r="F783" s="194"/>
      <c r="G783" s="99"/>
      <c r="H783" s="99"/>
      <c r="I783" s="99"/>
      <c r="J783" s="99"/>
      <c r="K783" s="99"/>
      <c r="L783" s="99"/>
    </row>
    <row r="784" spans="2:12">
      <c r="B784" s="99"/>
      <c r="C784" s="99"/>
      <c r="D784" s="99"/>
      <c r="E784" s="99"/>
      <c r="F784" s="194"/>
      <c r="G784" s="99"/>
      <c r="H784" s="99"/>
      <c r="I784" s="99"/>
      <c r="J784" s="99"/>
      <c r="K784" s="99"/>
      <c r="L784" s="99"/>
    </row>
    <row r="785" spans="2:12">
      <c r="B785" s="99"/>
      <c r="C785" s="99"/>
      <c r="D785" s="99"/>
      <c r="E785" s="99"/>
      <c r="F785" s="194"/>
      <c r="G785" s="99"/>
      <c r="H785" s="99"/>
      <c r="I785" s="99"/>
      <c r="J785" s="99"/>
      <c r="K785" s="99"/>
      <c r="L785" s="99"/>
    </row>
    <row r="786" spans="2:12">
      <c r="B786" s="99"/>
      <c r="C786" s="99"/>
      <c r="D786" s="99"/>
      <c r="E786" s="99"/>
      <c r="F786" s="194"/>
      <c r="G786" s="99"/>
      <c r="H786" s="99"/>
      <c r="I786" s="99"/>
      <c r="J786" s="99"/>
      <c r="K786" s="99"/>
      <c r="L786" s="99"/>
    </row>
    <row r="787" spans="2:12">
      <c r="B787" s="99"/>
      <c r="C787" s="99"/>
      <c r="D787" s="99"/>
      <c r="E787" s="99"/>
      <c r="F787" s="194"/>
      <c r="G787" s="99"/>
      <c r="H787" s="99"/>
      <c r="I787" s="99"/>
      <c r="J787" s="99"/>
      <c r="K787" s="99"/>
      <c r="L787" s="99"/>
    </row>
    <row r="788" spans="2:12">
      <c r="B788" s="99"/>
      <c r="C788" s="99"/>
      <c r="D788" s="99"/>
      <c r="E788" s="99"/>
      <c r="F788" s="194"/>
      <c r="G788" s="99"/>
      <c r="H788" s="99"/>
      <c r="I788" s="99"/>
      <c r="J788" s="99"/>
      <c r="K788" s="99"/>
      <c r="L788" s="99"/>
    </row>
    <row r="789" spans="2:12">
      <c r="B789" s="99"/>
      <c r="C789" s="99"/>
      <c r="D789" s="99"/>
      <c r="E789" s="99"/>
      <c r="F789" s="194"/>
      <c r="G789" s="99"/>
      <c r="H789" s="99"/>
      <c r="I789" s="99"/>
      <c r="J789" s="99"/>
      <c r="K789" s="99"/>
      <c r="L789" s="99"/>
    </row>
    <row r="790" spans="2:12">
      <c r="B790" s="99"/>
      <c r="C790" s="99"/>
      <c r="D790" s="99"/>
      <c r="E790" s="99"/>
      <c r="F790" s="194"/>
      <c r="G790" s="99"/>
      <c r="H790" s="99"/>
      <c r="I790" s="99"/>
      <c r="J790" s="99"/>
      <c r="K790" s="99"/>
      <c r="L790" s="99"/>
    </row>
    <row r="791" spans="2:12">
      <c r="B791" s="99"/>
      <c r="C791" s="99"/>
      <c r="D791" s="99"/>
      <c r="E791" s="99"/>
      <c r="F791" s="194"/>
      <c r="G791" s="99"/>
      <c r="H791" s="99"/>
      <c r="I791" s="99"/>
      <c r="J791" s="99"/>
      <c r="K791" s="99"/>
      <c r="L791" s="99"/>
    </row>
    <row r="792" spans="2:12">
      <c r="B792" s="99"/>
      <c r="C792" s="99"/>
      <c r="D792" s="99"/>
      <c r="E792" s="99"/>
      <c r="F792" s="194"/>
      <c r="G792" s="99"/>
      <c r="H792" s="99"/>
      <c r="I792" s="99"/>
      <c r="J792" s="99"/>
      <c r="K792" s="99"/>
      <c r="L792" s="99"/>
    </row>
    <row r="793" spans="2:12">
      <c r="B793" s="99"/>
      <c r="C793" s="99"/>
      <c r="D793" s="99"/>
      <c r="E793" s="99"/>
      <c r="F793" s="194"/>
      <c r="G793" s="99"/>
      <c r="H793" s="99"/>
      <c r="I793" s="99"/>
      <c r="J793" s="99"/>
      <c r="K793" s="99"/>
      <c r="L793" s="99"/>
    </row>
    <row r="794" spans="2:12">
      <c r="B794" s="99"/>
      <c r="C794" s="99"/>
      <c r="D794" s="99"/>
      <c r="E794" s="99"/>
      <c r="F794" s="194"/>
      <c r="G794" s="99"/>
      <c r="H794" s="99"/>
      <c r="I794" s="99"/>
      <c r="J794" s="99"/>
      <c r="K794" s="99"/>
      <c r="L794" s="99"/>
    </row>
    <row r="795" spans="2:12">
      <c r="B795" s="99"/>
      <c r="C795" s="99"/>
      <c r="D795" s="99"/>
      <c r="E795" s="99"/>
      <c r="F795" s="194"/>
      <c r="G795" s="99"/>
      <c r="H795" s="99"/>
      <c r="I795" s="99"/>
      <c r="J795" s="99"/>
      <c r="K795" s="99"/>
      <c r="L795" s="99"/>
    </row>
    <row r="796" spans="2:12">
      <c r="B796" s="99"/>
      <c r="C796" s="99"/>
      <c r="D796" s="99"/>
      <c r="E796" s="99"/>
      <c r="F796" s="194"/>
      <c r="G796" s="99"/>
      <c r="H796" s="99"/>
      <c r="I796" s="99"/>
      <c r="J796" s="99"/>
      <c r="K796" s="99"/>
      <c r="L796" s="99"/>
    </row>
    <row r="797" spans="2:12">
      <c r="B797" s="99"/>
      <c r="C797" s="99"/>
      <c r="D797" s="99"/>
      <c r="E797" s="99"/>
      <c r="F797" s="194"/>
      <c r="G797" s="99"/>
      <c r="H797" s="99"/>
      <c r="I797" s="99"/>
      <c r="J797" s="99"/>
      <c r="K797" s="99"/>
      <c r="L797" s="99"/>
    </row>
    <row r="798" spans="2:12">
      <c r="B798" s="99"/>
      <c r="C798" s="99"/>
      <c r="D798" s="99"/>
      <c r="E798" s="99"/>
      <c r="F798" s="194"/>
      <c r="G798" s="99"/>
      <c r="H798" s="99"/>
      <c r="I798" s="99"/>
      <c r="J798" s="99"/>
      <c r="K798" s="99"/>
      <c r="L798" s="99"/>
    </row>
    <row r="799" spans="2:12">
      <c r="B799" s="99"/>
      <c r="C799" s="99"/>
      <c r="D799" s="99"/>
      <c r="E799" s="99"/>
      <c r="F799" s="194"/>
      <c r="G799" s="99"/>
      <c r="H799" s="99"/>
      <c r="I799" s="99"/>
      <c r="J799" s="99"/>
      <c r="K799" s="99"/>
      <c r="L799" s="99"/>
    </row>
    <row r="800" spans="2:12">
      <c r="B800" s="99"/>
      <c r="C800" s="99"/>
      <c r="D800" s="99"/>
      <c r="E800" s="99"/>
      <c r="F800" s="194"/>
      <c r="G800" s="99"/>
      <c r="H800" s="99"/>
      <c r="I800" s="99"/>
      <c r="J800" s="99"/>
      <c r="K800" s="99"/>
      <c r="L800" s="99"/>
    </row>
    <row r="801" spans="2:12">
      <c r="B801" s="99"/>
      <c r="C801" s="99"/>
      <c r="D801" s="99"/>
      <c r="E801" s="99"/>
      <c r="F801" s="194"/>
      <c r="G801" s="99"/>
      <c r="H801" s="99"/>
      <c r="I801" s="99"/>
      <c r="J801" s="99"/>
      <c r="K801" s="99"/>
      <c r="L801" s="99"/>
    </row>
    <row r="802" spans="2:12">
      <c r="B802" s="99"/>
      <c r="C802" s="99"/>
      <c r="D802" s="99"/>
      <c r="E802" s="99"/>
      <c r="F802" s="194"/>
      <c r="G802" s="99"/>
      <c r="H802" s="99"/>
      <c r="I802" s="99"/>
      <c r="J802" s="99"/>
      <c r="K802" s="99"/>
      <c r="L802" s="99"/>
    </row>
    <row r="803" spans="2:12">
      <c r="B803" s="99"/>
      <c r="C803" s="99"/>
      <c r="D803" s="99"/>
      <c r="E803" s="99"/>
      <c r="F803" s="194"/>
      <c r="G803" s="99"/>
      <c r="H803" s="99"/>
      <c r="I803" s="99"/>
      <c r="J803" s="99"/>
      <c r="K803" s="99"/>
      <c r="L803" s="99"/>
    </row>
    <row r="804" spans="2:12">
      <c r="B804" s="99"/>
      <c r="C804" s="99"/>
      <c r="D804" s="99"/>
      <c r="E804" s="99"/>
      <c r="F804" s="194"/>
      <c r="G804" s="99"/>
      <c r="H804" s="99"/>
      <c r="I804" s="99"/>
      <c r="J804" s="99"/>
      <c r="K804" s="99"/>
      <c r="L804" s="99"/>
    </row>
    <row r="805" spans="2:12">
      <c r="B805" s="99"/>
      <c r="C805" s="99"/>
      <c r="D805" s="99"/>
      <c r="E805" s="99"/>
      <c r="F805" s="194"/>
      <c r="G805" s="99"/>
      <c r="H805" s="99"/>
      <c r="I805" s="99"/>
      <c r="J805" s="99"/>
      <c r="K805" s="99"/>
      <c r="L805" s="99"/>
    </row>
    <row r="806" spans="2:12">
      <c r="B806" s="99"/>
      <c r="C806" s="99"/>
      <c r="D806" s="99"/>
      <c r="E806" s="99"/>
      <c r="F806" s="194"/>
      <c r="G806" s="99"/>
      <c r="H806" s="99"/>
      <c r="I806" s="99"/>
      <c r="J806" s="99"/>
      <c r="K806" s="99"/>
      <c r="L806" s="99"/>
    </row>
    <row r="807" spans="2:12">
      <c r="B807" s="99"/>
      <c r="C807" s="99"/>
      <c r="D807" s="99"/>
      <c r="E807" s="99"/>
      <c r="F807" s="194"/>
      <c r="G807" s="99"/>
      <c r="H807" s="99"/>
      <c r="I807" s="99"/>
      <c r="J807" s="99"/>
      <c r="K807" s="99"/>
      <c r="L807" s="99"/>
    </row>
    <row r="808" spans="2:12">
      <c r="B808" s="99"/>
      <c r="C808" s="99"/>
      <c r="D808" s="99"/>
      <c r="E808" s="99"/>
      <c r="F808" s="194"/>
      <c r="G808" s="99"/>
      <c r="H808" s="99"/>
      <c r="I808" s="99"/>
      <c r="J808" s="99"/>
      <c r="K808" s="99"/>
      <c r="L808" s="99"/>
    </row>
    <row r="809" spans="2:12">
      <c r="B809" s="99"/>
      <c r="C809" s="99"/>
      <c r="D809" s="99"/>
      <c r="E809" s="99"/>
      <c r="F809" s="194"/>
      <c r="G809" s="99"/>
      <c r="H809" s="99"/>
      <c r="I809" s="99"/>
      <c r="J809" s="99"/>
      <c r="K809" s="99"/>
      <c r="L809" s="99"/>
    </row>
    <row r="810" spans="2:12">
      <c r="B810" s="99"/>
      <c r="C810" s="99"/>
      <c r="D810" s="99"/>
      <c r="E810" s="99"/>
      <c r="F810" s="194"/>
      <c r="G810" s="99"/>
      <c r="H810" s="99"/>
      <c r="I810" s="99"/>
      <c r="J810" s="99"/>
      <c r="K810" s="99"/>
      <c r="L810" s="99"/>
    </row>
    <row r="811" spans="2:12">
      <c r="B811" s="99"/>
      <c r="C811" s="99"/>
      <c r="D811" s="99"/>
      <c r="E811" s="99"/>
      <c r="F811" s="194"/>
      <c r="G811" s="99"/>
      <c r="H811" s="99"/>
      <c r="I811" s="99"/>
      <c r="J811" s="99"/>
      <c r="K811" s="99"/>
      <c r="L811" s="99"/>
    </row>
    <row r="812" spans="2:12">
      <c r="B812" s="99"/>
      <c r="C812" s="99"/>
      <c r="D812" s="99"/>
      <c r="E812" s="99"/>
      <c r="F812" s="194"/>
      <c r="G812" s="99"/>
      <c r="H812" s="99"/>
      <c r="I812" s="99"/>
      <c r="J812" s="99"/>
      <c r="K812" s="99"/>
      <c r="L812" s="99"/>
    </row>
    <row r="813" spans="2:12">
      <c r="B813" s="99"/>
      <c r="C813" s="99"/>
      <c r="D813" s="99"/>
      <c r="E813" s="99"/>
      <c r="F813" s="194"/>
      <c r="G813" s="99"/>
      <c r="H813" s="99"/>
      <c r="I813" s="99"/>
      <c r="J813" s="99"/>
      <c r="K813" s="99"/>
      <c r="L813" s="99"/>
    </row>
    <row r="814" spans="2:12">
      <c r="B814" s="99"/>
      <c r="C814" s="99"/>
      <c r="D814" s="99"/>
      <c r="E814" s="99"/>
      <c r="F814" s="194"/>
      <c r="G814" s="99"/>
      <c r="H814" s="99"/>
      <c r="I814" s="99"/>
      <c r="J814" s="99"/>
      <c r="K814" s="99"/>
      <c r="L814" s="99"/>
    </row>
    <row r="815" spans="2:12">
      <c r="B815" s="99"/>
      <c r="C815" s="99"/>
      <c r="D815" s="99"/>
      <c r="E815" s="99"/>
      <c r="F815" s="194"/>
      <c r="G815" s="99"/>
      <c r="H815" s="99"/>
      <c r="I815" s="99"/>
      <c r="J815" s="99"/>
      <c r="K815" s="99"/>
      <c r="L815" s="99"/>
    </row>
    <row r="816" spans="2:12">
      <c r="B816" s="99"/>
      <c r="C816" s="99"/>
      <c r="D816" s="99"/>
      <c r="E816" s="99"/>
      <c r="F816" s="194"/>
      <c r="G816" s="99"/>
      <c r="H816" s="99"/>
      <c r="I816" s="99"/>
      <c r="J816" s="99"/>
      <c r="K816" s="99"/>
      <c r="L816" s="99"/>
    </row>
    <row r="817" spans="2:12">
      <c r="B817" s="99"/>
      <c r="C817" s="99"/>
      <c r="D817" s="99"/>
      <c r="E817" s="99"/>
      <c r="F817" s="194"/>
      <c r="G817" s="99"/>
      <c r="H817" s="99"/>
      <c r="I817" s="99"/>
      <c r="J817" s="99"/>
      <c r="K817" s="99"/>
      <c r="L817" s="99"/>
    </row>
    <row r="818" spans="2:12">
      <c r="B818" s="99"/>
      <c r="C818" s="99"/>
      <c r="D818" s="99"/>
      <c r="E818" s="99"/>
      <c r="F818" s="194"/>
      <c r="G818" s="99"/>
      <c r="H818" s="99"/>
      <c r="I818" s="99"/>
      <c r="J818" s="99"/>
      <c r="K818" s="99"/>
      <c r="L818" s="99"/>
    </row>
    <row r="819" spans="2:12">
      <c r="B819" s="99"/>
      <c r="C819" s="99"/>
      <c r="D819" s="99"/>
      <c r="E819" s="99"/>
      <c r="F819" s="194"/>
      <c r="G819" s="99"/>
      <c r="H819" s="99"/>
      <c r="I819" s="99"/>
      <c r="J819" s="99"/>
      <c r="K819" s="99"/>
      <c r="L819" s="99"/>
    </row>
    <row r="820" spans="2:12">
      <c r="B820" s="99"/>
      <c r="C820" s="99"/>
      <c r="D820" s="99"/>
      <c r="E820" s="99"/>
      <c r="F820" s="194"/>
      <c r="G820" s="99"/>
      <c r="H820" s="99"/>
      <c r="I820" s="99"/>
      <c r="J820" s="99"/>
      <c r="K820" s="99"/>
      <c r="L820" s="99"/>
    </row>
    <row r="821" spans="2:12">
      <c r="B821" s="99"/>
      <c r="C821" s="99"/>
      <c r="D821" s="99"/>
      <c r="E821" s="99"/>
      <c r="F821" s="194"/>
      <c r="G821" s="99"/>
      <c r="H821" s="99"/>
      <c r="I821" s="99"/>
      <c r="J821" s="99"/>
      <c r="K821" s="99"/>
      <c r="L821" s="99"/>
    </row>
    <row r="822" spans="2:12">
      <c r="B822" s="99"/>
      <c r="C822" s="99"/>
      <c r="D822" s="99"/>
      <c r="E822" s="99"/>
      <c r="F822" s="194"/>
      <c r="G822" s="99"/>
      <c r="H822" s="99"/>
      <c r="I822" s="99"/>
      <c r="J822" s="99"/>
      <c r="K822" s="99"/>
      <c r="L822" s="99"/>
    </row>
    <row r="823" spans="2:12">
      <c r="B823" s="99"/>
      <c r="C823" s="99"/>
      <c r="D823" s="99"/>
      <c r="E823" s="99"/>
      <c r="F823" s="194"/>
      <c r="G823" s="99"/>
      <c r="H823" s="99"/>
      <c r="I823" s="99"/>
      <c r="J823" s="99"/>
      <c r="K823" s="99"/>
      <c r="L823" s="99"/>
    </row>
    <row r="824" spans="2:12">
      <c r="B824" s="99"/>
      <c r="C824" s="99"/>
      <c r="D824" s="99"/>
      <c r="E824" s="99"/>
      <c r="F824" s="194"/>
      <c r="G824" s="99"/>
      <c r="H824" s="99"/>
      <c r="I824" s="99"/>
      <c r="J824" s="99"/>
      <c r="K824" s="99"/>
      <c r="L824" s="99"/>
    </row>
    <row r="825" spans="2:12">
      <c r="B825" s="99"/>
      <c r="C825" s="99"/>
      <c r="D825" s="99"/>
      <c r="E825" s="99"/>
      <c r="F825" s="194"/>
      <c r="G825" s="99"/>
      <c r="H825" s="99"/>
      <c r="I825" s="99"/>
      <c r="J825" s="99"/>
      <c r="K825" s="99"/>
      <c r="L825" s="99"/>
    </row>
    <row r="826" spans="2:12">
      <c r="B826" s="99"/>
      <c r="C826" s="99"/>
      <c r="D826" s="99"/>
      <c r="E826" s="99"/>
      <c r="F826" s="194"/>
      <c r="G826" s="99"/>
      <c r="H826" s="99"/>
      <c r="I826" s="99"/>
      <c r="J826" s="99"/>
      <c r="K826" s="99"/>
      <c r="L826" s="99"/>
    </row>
    <row r="827" spans="2:12">
      <c r="B827" s="99"/>
      <c r="C827" s="99"/>
      <c r="D827" s="99"/>
      <c r="E827" s="99"/>
      <c r="F827" s="194"/>
      <c r="G827" s="99"/>
      <c r="H827" s="99"/>
      <c r="I827" s="99"/>
      <c r="J827" s="99"/>
      <c r="K827" s="99"/>
      <c r="L827" s="99"/>
    </row>
    <row r="828" spans="2:12">
      <c r="B828" s="99"/>
      <c r="C828" s="99"/>
      <c r="D828" s="99"/>
      <c r="E828" s="99"/>
      <c r="F828" s="194"/>
      <c r="G828" s="99"/>
      <c r="H828" s="99"/>
      <c r="I828" s="99"/>
      <c r="J828" s="99"/>
      <c r="K828" s="99"/>
      <c r="L828" s="99"/>
    </row>
    <row r="829" spans="2:12">
      <c r="B829" s="99"/>
      <c r="C829" s="99"/>
      <c r="D829" s="99"/>
      <c r="E829" s="99"/>
      <c r="F829" s="194"/>
      <c r="G829" s="99"/>
      <c r="H829" s="99"/>
      <c r="I829" s="99"/>
      <c r="J829" s="99"/>
      <c r="K829" s="99"/>
      <c r="L829" s="99"/>
    </row>
    <row r="830" spans="2:12">
      <c r="B830" s="99"/>
      <c r="C830" s="99"/>
      <c r="D830" s="99"/>
      <c r="E830" s="99"/>
      <c r="F830" s="194"/>
      <c r="G830" s="99"/>
      <c r="H830" s="99"/>
      <c r="I830" s="99"/>
      <c r="J830" s="99"/>
      <c r="K830" s="99"/>
      <c r="L830" s="99"/>
    </row>
    <row r="831" spans="2:12">
      <c r="B831" s="99"/>
      <c r="C831" s="99"/>
      <c r="D831" s="99"/>
      <c r="E831" s="99"/>
      <c r="F831" s="194"/>
      <c r="G831" s="99"/>
      <c r="H831" s="99"/>
      <c r="I831" s="99"/>
      <c r="J831" s="99"/>
      <c r="K831" s="99"/>
      <c r="L831" s="99"/>
    </row>
    <row r="832" spans="2:12">
      <c r="B832" s="99"/>
      <c r="C832" s="99"/>
      <c r="D832" s="99"/>
      <c r="E832" s="99"/>
      <c r="F832" s="194"/>
      <c r="G832" s="99"/>
      <c r="H832" s="99"/>
      <c r="I832" s="99"/>
      <c r="J832" s="99"/>
      <c r="K832" s="99"/>
      <c r="L832" s="99"/>
    </row>
    <row r="833" spans="2:12">
      <c r="B833" s="99"/>
      <c r="C833" s="99"/>
      <c r="D833" s="99"/>
      <c r="E833" s="99"/>
      <c r="F833" s="194"/>
      <c r="G833" s="99"/>
      <c r="H833" s="99"/>
      <c r="I833" s="99"/>
      <c r="J833" s="99"/>
      <c r="K833" s="99"/>
      <c r="L833" s="99"/>
    </row>
    <row r="834" spans="2:12">
      <c r="B834" s="99"/>
      <c r="C834" s="99"/>
      <c r="D834" s="99"/>
      <c r="E834" s="99"/>
      <c r="F834" s="194"/>
      <c r="G834" s="99"/>
      <c r="H834" s="99"/>
      <c r="I834" s="99"/>
      <c r="J834" s="99"/>
      <c r="K834" s="99"/>
      <c r="L834" s="99"/>
    </row>
    <row r="835" spans="2:12">
      <c r="B835" s="99"/>
      <c r="C835" s="99"/>
      <c r="D835" s="99"/>
      <c r="E835" s="99"/>
      <c r="F835" s="194"/>
      <c r="G835" s="99"/>
      <c r="H835" s="99"/>
      <c r="I835" s="99"/>
      <c r="J835" s="99"/>
      <c r="K835" s="99"/>
      <c r="L835" s="99"/>
    </row>
    <row r="836" spans="2:12">
      <c r="B836" s="99"/>
      <c r="C836" s="99"/>
      <c r="D836" s="99"/>
      <c r="E836" s="99"/>
      <c r="F836" s="194"/>
      <c r="G836" s="99"/>
      <c r="H836" s="99"/>
      <c r="I836" s="99"/>
      <c r="J836" s="99"/>
      <c r="K836" s="99"/>
      <c r="L836" s="99"/>
    </row>
    <row r="837" spans="2:12">
      <c r="B837" s="99"/>
      <c r="C837" s="99"/>
      <c r="D837" s="99"/>
      <c r="E837" s="99"/>
      <c r="F837" s="194"/>
      <c r="G837" s="99"/>
      <c r="H837" s="99"/>
      <c r="I837" s="99"/>
      <c r="J837" s="99"/>
      <c r="K837" s="99"/>
      <c r="L837" s="99"/>
    </row>
    <row r="838" spans="2:12">
      <c r="B838" s="99"/>
      <c r="C838" s="99"/>
      <c r="D838" s="99"/>
      <c r="E838" s="99"/>
      <c r="F838" s="194"/>
      <c r="G838" s="99"/>
      <c r="H838" s="99"/>
      <c r="I838" s="99"/>
      <c r="J838" s="99"/>
      <c r="K838" s="99"/>
      <c r="L838" s="99"/>
    </row>
    <row r="839" spans="2:12">
      <c r="B839" s="99"/>
      <c r="C839" s="99"/>
      <c r="D839" s="99"/>
      <c r="E839" s="99"/>
      <c r="F839" s="194"/>
      <c r="G839" s="99"/>
      <c r="H839" s="99"/>
      <c r="I839" s="99"/>
      <c r="J839" s="99"/>
      <c r="K839" s="99"/>
      <c r="L839" s="99"/>
    </row>
    <row r="840" spans="2:12">
      <c r="B840" s="99"/>
      <c r="C840" s="99"/>
      <c r="D840" s="99"/>
      <c r="E840" s="99"/>
      <c r="F840" s="194"/>
      <c r="G840" s="99"/>
      <c r="H840" s="99"/>
      <c r="I840" s="99"/>
      <c r="J840" s="99"/>
      <c r="K840" s="99"/>
      <c r="L840" s="99"/>
    </row>
    <row r="841" spans="2:12">
      <c r="B841" s="99"/>
      <c r="C841" s="99"/>
      <c r="D841" s="99"/>
      <c r="E841" s="99"/>
      <c r="F841" s="194"/>
      <c r="G841" s="99"/>
      <c r="H841" s="99"/>
      <c r="I841" s="99"/>
      <c r="J841" s="99"/>
      <c r="K841" s="99"/>
      <c r="L841" s="99"/>
    </row>
    <row r="842" spans="2:12">
      <c r="B842" s="99"/>
      <c r="C842" s="99"/>
      <c r="D842" s="99"/>
      <c r="E842" s="99"/>
      <c r="F842" s="194"/>
      <c r="G842" s="99"/>
      <c r="H842" s="99"/>
      <c r="I842" s="99"/>
      <c r="J842" s="99"/>
      <c r="K842" s="99"/>
      <c r="L842" s="99"/>
    </row>
    <row r="843" spans="2:12">
      <c r="B843" s="99"/>
      <c r="C843" s="99"/>
      <c r="D843" s="99"/>
      <c r="E843" s="99"/>
      <c r="F843" s="194"/>
      <c r="G843" s="99"/>
      <c r="H843" s="99"/>
      <c r="I843" s="99"/>
      <c r="J843" s="99"/>
      <c r="K843" s="99"/>
      <c r="L843" s="99"/>
    </row>
    <row r="844" spans="2:12">
      <c r="B844" s="99"/>
      <c r="C844" s="99"/>
      <c r="D844" s="99"/>
      <c r="E844" s="99"/>
      <c r="F844" s="194"/>
      <c r="G844" s="99"/>
      <c r="H844" s="99"/>
      <c r="I844" s="99"/>
      <c r="J844" s="99"/>
      <c r="K844" s="99"/>
      <c r="L844" s="99"/>
    </row>
    <row r="845" spans="2:12">
      <c r="B845" s="99"/>
      <c r="C845" s="99"/>
      <c r="D845" s="99"/>
      <c r="E845" s="99"/>
      <c r="F845" s="194"/>
      <c r="G845" s="99"/>
      <c r="H845" s="99"/>
      <c r="I845" s="99"/>
      <c r="J845" s="99"/>
      <c r="K845" s="99"/>
      <c r="L845" s="99"/>
    </row>
    <row r="846" spans="2:12">
      <c r="B846" s="99"/>
      <c r="C846" s="99"/>
      <c r="D846" s="99"/>
      <c r="E846" s="99"/>
      <c r="F846" s="194"/>
      <c r="G846" s="99"/>
      <c r="H846" s="99"/>
      <c r="I846" s="99"/>
      <c r="J846" s="99"/>
      <c r="K846" s="99"/>
      <c r="L846" s="99"/>
    </row>
    <row r="847" spans="2:12">
      <c r="B847" s="99"/>
      <c r="C847" s="99"/>
      <c r="D847" s="99"/>
      <c r="E847" s="99"/>
      <c r="F847" s="194"/>
      <c r="G847" s="99"/>
      <c r="H847" s="99"/>
      <c r="I847" s="99"/>
      <c r="J847" s="99"/>
      <c r="K847" s="99"/>
      <c r="L847" s="99"/>
    </row>
    <row r="848" spans="2:12">
      <c r="B848" s="99"/>
      <c r="C848" s="99"/>
      <c r="D848" s="99"/>
      <c r="E848" s="99"/>
      <c r="F848" s="194"/>
      <c r="G848" s="99"/>
      <c r="H848" s="99"/>
      <c r="I848" s="99"/>
      <c r="J848" s="99"/>
      <c r="K848" s="99"/>
      <c r="L848" s="99"/>
    </row>
    <row r="849" spans="2:12">
      <c r="B849" s="99"/>
      <c r="C849" s="99"/>
      <c r="D849" s="99"/>
      <c r="E849" s="99"/>
      <c r="F849" s="194"/>
      <c r="G849" s="99"/>
      <c r="H849" s="99"/>
      <c r="I849" s="99"/>
      <c r="J849" s="99"/>
      <c r="K849" s="99"/>
      <c r="L849" s="99"/>
    </row>
    <row r="850" spans="2:12">
      <c r="B850" s="99"/>
      <c r="C850" s="99"/>
      <c r="D850" s="99"/>
      <c r="E850" s="99"/>
      <c r="F850" s="194"/>
      <c r="G850" s="99"/>
      <c r="H850" s="99"/>
      <c r="I850" s="99"/>
      <c r="J850" s="99"/>
      <c r="K850" s="99"/>
      <c r="L850" s="99"/>
    </row>
    <row r="851" spans="2:12">
      <c r="B851" s="99"/>
      <c r="C851" s="99"/>
      <c r="D851" s="99"/>
      <c r="E851" s="99"/>
      <c r="F851" s="194"/>
      <c r="G851" s="99"/>
      <c r="H851" s="99"/>
      <c r="I851" s="99"/>
      <c r="J851" s="99"/>
      <c r="K851" s="99"/>
      <c r="L851" s="99"/>
    </row>
    <row r="852" spans="2:12">
      <c r="B852" s="99"/>
      <c r="C852" s="99"/>
      <c r="D852" s="99"/>
      <c r="E852" s="99"/>
      <c r="F852" s="194"/>
      <c r="G852" s="99"/>
      <c r="H852" s="99"/>
      <c r="I852" s="99"/>
      <c r="J852" s="99"/>
      <c r="K852" s="99"/>
      <c r="L852" s="99"/>
    </row>
    <row r="853" spans="2:12">
      <c r="B853" s="99"/>
      <c r="C853" s="99"/>
      <c r="D853" s="99"/>
      <c r="E853" s="99"/>
      <c r="F853" s="194"/>
      <c r="G853" s="99"/>
      <c r="H853" s="99"/>
      <c r="I853" s="99"/>
      <c r="J853" s="99"/>
      <c r="K853" s="99"/>
      <c r="L853" s="99"/>
    </row>
    <row r="854" spans="2:12">
      <c r="B854" s="99"/>
      <c r="C854" s="99"/>
      <c r="D854" s="99"/>
      <c r="E854" s="99"/>
      <c r="F854" s="194"/>
      <c r="G854" s="99"/>
      <c r="H854" s="99"/>
      <c r="I854" s="99"/>
      <c r="J854" s="99"/>
      <c r="K854" s="99"/>
      <c r="L854" s="99"/>
    </row>
    <row r="855" spans="2:12">
      <c r="B855" s="99"/>
      <c r="C855" s="99"/>
      <c r="D855" s="99"/>
      <c r="E855" s="99"/>
      <c r="F855" s="194"/>
      <c r="G855" s="99"/>
      <c r="H855" s="99"/>
      <c r="I855" s="99"/>
      <c r="J855" s="99"/>
      <c r="K855" s="99"/>
      <c r="L855" s="99"/>
    </row>
    <row r="856" spans="2:12">
      <c r="B856" s="99"/>
      <c r="C856" s="99"/>
      <c r="D856" s="99"/>
      <c r="E856" s="99"/>
      <c r="F856" s="194"/>
      <c r="G856" s="99"/>
      <c r="H856" s="99"/>
      <c r="I856" s="99"/>
      <c r="J856" s="99"/>
      <c r="K856" s="99"/>
      <c r="L856" s="99"/>
    </row>
    <row r="857" spans="2:12">
      <c r="B857" s="99"/>
      <c r="C857" s="99"/>
      <c r="D857" s="99"/>
      <c r="E857" s="99"/>
      <c r="F857" s="194"/>
      <c r="G857" s="99"/>
      <c r="H857" s="99"/>
      <c r="I857" s="99"/>
      <c r="J857" s="99"/>
      <c r="K857" s="99"/>
      <c r="L857" s="99"/>
    </row>
    <row r="858" spans="2:12">
      <c r="B858" s="99"/>
      <c r="C858" s="99"/>
      <c r="D858" s="99"/>
      <c r="E858" s="99"/>
      <c r="F858" s="194"/>
      <c r="G858" s="99"/>
      <c r="H858" s="99"/>
      <c r="I858" s="99"/>
      <c r="J858" s="99"/>
      <c r="K858" s="99"/>
      <c r="L858" s="99"/>
    </row>
    <row r="859" spans="2:12">
      <c r="B859" s="99"/>
      <c r="C859" s="99"/>
      <c r="D859" s="99"/>
      <c r="E859" s="99"/>
      <c r="F859" s="194"/>
      <c r="G859" s="99"/>
      <c r="H859" s="99"/>
      <c r="I859" s="99"/>
      <c r="J859" s="99"/>
      <c r="K859" s="99"/>
      <c r="L859" s="99"/>
    </row>
    <row r="860" spans="2:12">
      <c r="B860" s="99"/>
      <c r="C860" s="99"/>
      <c r="D860" s="99"/>
      <c r="E860" s="99"/>
      <c r="F860" s="194"/>
      <c r="G860" s="99"/>
      <c r="H860" s="99"/>
      <c r="I860" s="99"/>
      <c r="J860" s="99"/>
      <c r="K860" s="99"/>
      <c r="L860" s="99"/>
    </row>
    <row r="861" spans="2:12">
      <c r="B861" s="99"/>
      <c r="C861" s="99"/>
      <c r="D861" s="99"/>
      <c r="E861" s="99"/>
      <c r="F861" s="194"/>
      <c r="G861" s="99"/>
      <c r="H861" s="99"/>
      <c r="I861" s="99"/>
      <c r="J861" s="99"/>
      <c r="K861" s="99"/>
      <c r="L861" s="99"/>
    </row>
    <row r="862" spans="2:12">
      <c r="B862" s="99"/>
      <c r="C862" s="99"/>
      <c r="D862" s="99"/>
      <c r="E862" s="99"/>
      <c r="F862" s="194"/>
      <c r="G862" s="99"/>
      <c r="H862" s="99"/>
      <c r="I862" s="99"/>
      <c r="J862" s="99"/>
      <c r="K862" s="99"/>
      <c r="L862" s="99"/>
    </row>
    <row r="863" spans="2:12">
      <c r="B863" s="99"/>
      <c r="C863" s="99"/>
      <c r="D863" s="99"/>
      <c r="E863" s="99"/>
      <c r="F863" s="194"/>
      <c r="G863" s="99"/>
      <c r="H863" s="99"/>
      <c r="I863" s="99"/>
      <c r="J863" s="99"/>
      <c r="K863" s="99"/>
      <c r="L863" s="99"/>
    </row>
    <row r="864" spans="2:12">
      <c r="B864" s="99"/>
      <c r="C864" s="99"/>
      <c r="D864" s="99"/>
      <c r="E864" s="99"/>
      <c r="F864" s="194"/>
      <c r="G864" s="99"/>
      <c r="H864" s="99"/>
      <c r="I864" s="99"/>
      <c r="J864" s="99"/>
      <c r="K864" s="99"/>
      <c r="L864" s="99"/>
    </row>
    <row r="865" spans="2:12">
      <c r="B865" s="99"/>
      <c r="C865" s="99"/>
      <c r="D865" s="99"/>
      <c r="E865" s="99"/>
      <c r="F865" s="194"/>
      <c r="G865" s="99"/>
      <c r="H865" s="99"/>
      <c r="I865" s="99"/>
      <c r="J865" s="99"/>
      <c r="K865" s="99"/>
      <c r="L865" s="99"/>
    </row>
    <row r="866" spans="2:12">
      <c r="B866" s="99"/>
      <c r="C866" s="99"/>
      <c r="D866" s="99"/>
      <c r="E866" s="99"/>
      <c r="F866" s="194"/>
      <c r="G866" s="99"/>
      <c r="H866" s="99"/>
      <c r="I866" s="99"/>
      <c r="J866" s="99"/>
      <c r="K866" s="99"/>
      <c r="L866" s="99"/>
    </row>
    <row r="867" spans="2:12">
      <c r="B867" s="99"/>
      <c r="C867" s="99"/>
      <c r="D867" s="99"/>
      <c r="E867" s="99"/>
      <c r="F867" s="194"/>
      <c r="G867" s="99"/>
      <c r="H867" s="99"/>
      <c r="I867" s="99"/>
      <c r="J867" s="99"/>
      <c r="K867" s="99"/>
      <c r="L867" s="99"/>
    </row>
    <row r="868" spans="2:12">
      <c r="B868" s="99"/>
      <c r="C868" s="99"/>
      <c r="D868" s="99"/>
      <c r="E868" s="99"/>
      <c r="F868" s="194"/>
      <c r="G868" s="99"/>
      <c r="H868" s="99"/>
      <c r="I868" s="99"/>
      <c r="J868" s="99"/>
      <c r="K868" s="99"/>
      <c r="L868" s="99"/>
    </row>
    <row r="869" spans="2:12">
      <c r="B869" s="99"/>
      <c r="C869" s="99"/>
      <c r="D869" s="99"/>
      <c r="E869" s="99"/>
      <c r="F869" s="194"/>
      <c r="G869" s="99"/>
      <c r="H869" s="99"/>
      <c r="I869" s="99"/>
      <c r="J869" s="99"/>
      <c r="K869" s="99"/>
      <c r="L869" s="99"/>
    </row>
    <row r="870" spans="2:12">
      <c r="B870" s="99"/>
      <c r="C870" s="99"/>
      <c r="D870" s="99"/>
      <c r="E870" s="99"/>
      <c r="F870" s="194"/>
      <c r="G870" s="99"/>
      <c r="H870" s="99"/>
      <c r="I870" s="99"/>
      <c r="J870" s="99"/>
      <c r="K870" s="99"/>
      <c r="L870" s="99"/>
    </row>
    <row r="871" spans="2:12">
      <c r="B871" s="99"/>
      <c r="C871" s="99"/>
      <c r="D871" s="99"/>
      <c r="E871" s="99"/>
      <c r="F871" s="194"/>
      <c r="G871" s="99"/>
      <c r="H871" s="99"/>
      <c r="I871" s="99"/>
      <c r="J871" s="99"/>
      <c r="K871" s="99"/>
      <c r="L871" s="99"/>
    </row>
    <row r="872" spans="2:12">
      <c r="B872" s="99"/>
      <c r="C872" s="99"/>
      <c r="D872" s="99"/>
      <c r="E872" s="99"/>
      <c r="F872" s="194"/>
      <c r="G872" s="99"/>
      <c r="H872" s="99"/>
      <c r="I872" s="99"/>
      <c r="J872" s="99"/>
      <c r="K872" s="99"/>
      <c r="L872" s="99"/>
    </row>
    <row r="873" spans="2:12">
      <c r="B873" s="99"/>
      <c r="C873" s="99"/>
      <c r="D873" s="99"/>
      <c r="E873" s="99"/>
      <c r="F873" s="194"/>
      <c r="G873" s="99"/>
      <c r="H873" s="99"/>
      <c r="I873" s="99"/>
      <c r="J873" s="99"/>
      <c r="K873" s="99"/>
      <c r="L873" s="99"/>
    </row>
    <row r="874" spans="2:12">
      <c r="B874" s="99"/>
      <c r="C874" s="99"/>
      <c r="D874" s="99"/>
      <c r="E874" s="99"/>
      <c r="F874" s="194"/>
      <c r="G874" s="99"/>
      <c r="H874" s="99"/>
      <c r="I874" s="99"/>
      <c r="J874" s="99"/>
      <c r="K874" s="99"/>
      <c r="L874" s="99"/>
    </row>
    <row r="875" spans="2:12">
      <c r="B875" s="99"/>
      <c r="C875" s="99"/>
      <c r="D875" s="99"/>
      <c r="E875" s="99"/>
      <c r="F875" s="194"/>
      <c r="G875" s="99"/>
      <c r="H875" s="99"/>
      <c r="I875" s="99"/>
      <c r="J875" s="99"/>
      <c r="K875" s="99"/>
      <c r="L875" s="99"/>
    </row>
    <row r="876" spans="2:12">
      <c r="B876" s="99"/>
      <c r="C876" s="99"/>
      <c r="D876" s="99"/>
      <c r="E876" s="99"/>
      <c r="F876" s="194"/>
      <c r="G876" s="99"/>
      <c r="H876" s="99"/>
      <c r="I876" s="99"/>
      <c r="J876" s="99"/>
      <c r="K876" s="99"/>
      <c r="L876" s="99"/>
    </row>
    <row r="877" spans="2:12">
      <c r="B877" s="99"/>
      <c r="C877" s="99"/>
      <c r="D877" s="99"/>
      <c r="E877" s="99"/>
      <c r="F877" s="194"/>
      <c r="G877" s="99"/>
      <c r="H877" s="99"/>
      <c r="I877" s="99"/>
      <c r="J877" s="99"/>
      <c r="K877" s="99"/>
      <c r="L877" s="99"/>
    </row>
    <row r="878" spans="2:12">
      <c r="B878" s="99"/>
      <c r="C878" s="99"/>
      <c r="D878" s="99"/>
      <c r="E878" s="99"/>
      <c r="F878" s="194"/>
      <c r="G878" s="99"/>
      <c r="H878" s="99"/>
      <c r="I878" s="99"/>
      <c r="J878" s="99"/>
      <c r="K878" s="99"/>
      <c r="L878" s="99"/>
    </row>
    <row r="879" spans="2:12">
      <c r="B879" s="99"/>
      <c r="C879" s="99"/>
      <c r="D879" s="99"/>
      <c r="E879" s="99"/>
      <c r="F879" s="194"/>
      <c r="G879" s="99"/>
      <c r="H879" s="99"/>
      <c r="I879" s="99"/>
      <c r="J879" s="99"/>
      <c r="K879" s="99"/>
      <c r="L879" s="99"/>
    </row>
    <row r="880" spans="2:12">
      <c r="B880" s="99"/>
      <c r="C880" s="99"/>
      <c r="D880" s="99"/>
      <c r="E880" s="99"/>
      <c r="F880" s="194"/>
      <c r="G880" s="99"/>
      <c r="H880" s="99"/>
      <c r="I880" s="99"/>
      <c r="J880" s="99"/>
      <c r="K880" s="99"/>
      <c r="L880" s="99"/>
    </row>
    <row r="881" spans="2:12">
      <c r="B881" s="99"/>
      <c r="C881" s="99"/>
      <c r="D881" s="99"/>
      <c r="E881" s="99"/>
      <c r="F881" s="194"/>
      <c r="G881" s="99"/>
      <c r="H881" s="99"/>
      <c r="I881" s="99"/>
      <c r="J881" s="99"/>
      <c r="K881" s="99"/>
      <c r="L881" s="99"/>
    </row>
    <row r="882" spans="2:12">
      <c r="B882" s="99"/>
      <c r="C882" s="99"/>
      <c r="D882" s="99"/>
      <c r="E882" s="99"/>
      <c r="F882" s="194"/>
      <c r="G882" s="99"/>
      <c r="H882" s="99"/>
      <c r="I882" s="99"/>
      <c r="J882" s="99"/>
      <c r="K882" s="99"/>
      <c r="L882" s="99"/>
    </row>
    <row r="883" spans="2:12">
      <c r="B883" s="99"/>
      <c r="C883" s="99"/>
      <c r="D883" s="99"/>
      <c r="E883" s="99"/>
      <c r="F883" s="194"/>
      <c r="G883" s="99"/>
      <c r="H883" s="99"/>
      <c r="I883" s="99"/>
      <c r="J883" s="99"/>
      <c r="K883" s="99"/>
      <c r="L883" s="99"/>
    </row>
    <row r="884" spans="2:12">
      <c r="B884" s="99"/>
      <c r="C884" s="99"/>
      <c r="D884" s="99"/>
      <c r="E884" s="99"/>
      <c r="F884" s="194"/>
      <c r="G884" s="99"/>
      <c r="H884" s="99"/>
      <c r="I884" s="99"/>
      <c r="J884" s="99"/>
      <c r="K884" s="99"/>
      <c r="L884" s="99"/>
    </row>
    <row r="885" spans="2:12">
      <c r="B885" s="99"/>
      <c r="C885" s="99"/>
      <c r="D885" s="99"/>
      <c r="E885" s="99"/>
      <c r="F885" s="194"/>
      <c r="G885" s="99"/>
      <c r="H885" s="99"/>
      <c r="I885" s="99"/>
      <c r="J885" s="99"/>
      <c r="K885" s="99"/>
      <c r="L885" s="99"/>
    </row>
    <row r="886" spans="2:12">
      <c r="B886" s="99"/>
      <c r="C886" s="99"/>
      <c r="D886" s="99"/>
      <c r="E886" s="99"/>
      <c r="F886" s="194"/>
      <c r="G886" s="99"/>
      <c r="H886" s="99"/>
      <c r="I886" s="99"/>
      <c r="J886" s="99"/>
      <c r="K886" s="99"/>
      <c r="L886" s="99"/>
    </row>
    <row r="887" spans="2:12">
      <c r="B887" s="99"/>
      <c r="C887" s="99"/>
      <c r="D887" s="99"/>
      <c r="E887" s="99"/>
      <c r="F887" s="194"/>
      <c r="G887" s="99"/>
      <c r="H887" s="99"/>
      <c r="I887" s="99"/>
      <c r="J887" s="99"/>
      <c r="K887" s="99"/>
      <c r="L887" s="99"/>
    </row>
    <row r="888" spans="2:12">
      <c r="B888" s="99"/>
      <c r="C888" s="99"/>
      <c r="D888" s="99"/>
      <c r="E888" s="99"/>
      <c r="F888" s="194"/>
      <c r="G888" s="99"/>
      <c r="H888" s="99"/>
      <c r="I888" s="99"/>
      <c r="J888" s="99"/>
      <c r="K888" s="99"/>
      <c r="L888" s="99"/>
    </row>
    <row r="889" spans="2:12">
      <c r="B889" s="99"/>
      <c r="C889" s="99"/>
      <c r="D889" s="99"/>
      <c r="E889" s="99"/>
      <c r="F889" s="194"/>
      <c r="G889" s="99"/>
      <c r="H889" s="99"/>
      <c r="I889" s="99"/>
      <c r="J889" s="99"/>
      <c r="K889" s="99"/>
      <c r="L889" s="99"/>
    </row>
    <row r="890" spans="2:12">
      <c r="B890" s="99"/>
      <c r="C890" s="99"/>
      <c r="D890" s="99"/>
      <c r="E890" s="99"/>
      <c r="F890" s="194"/>
      <c r="G890" s="99"/>
      <c r="H890" s="99"/>
      <c r="I890" s="99"/>
      <c r="J890" s="99"/>
      <c r="K890" s="99"/>
      <c r="L890" s="99"/>
    </row>
    <row r="891" spans="2:12">
      <c r="B891" s="99"/>
      <c r="C891" s="99"/>
      <c r="D891" s="99"/>
      <c r="E891" s="99"/>
      <c r="F891" s="194"/>
      <c r="G891" s="99"/>
      <c r="H891" s="99"/>
      <c r="I891" s="99"/>
      <c r="J891" s="99"/>
      <c r="K891" s="99"/>
      <c r="L891" s="99"/>
    </row>
    <row r="892" spans="2:12">
      <c r="B892" s="99"/>
      <c r="C892" s="99"/>
      <c r="D892" s="99"/>
      <c r="E892" s="99"/>
      <c r="F892" s="194"/>
      <c r="G892" s="99"/>
      <c r="H892" s="99"/>
      <c r="I892" s="99"/>
      <c r="J892" s="99"/>
      <c r="K892" s="99"/>
      <c r="L892" s="99"/>
    </row>
    <row r="893" spans="2:12">
      <c r="B893" s="99"/>
      <c r="C893" s="99"/>
      <c r="D893" s="99"/>
      <c r="E893" s="99"/>
      <c r="F893" s="194"/>
      <c r="G893" s="99"/>
      <c r="H893" s="99"/>
      <c r="I893" s="99"/>
      <c r="J893" s="99"/>
      <c r="K893" s="99"/>
      <c r="L893" s="99"/>
    </row>
    <row r="894" spans="2:12">
      <c r="B894" s="99"/>
      <c r="C894" s="99"/>
      <c r="D894" s="99"/>
      <c r="E894" s="99"/>
      <c r="F894" s="194"/>
      <c r="G894" s="99"/>
      <c r="H894" s="99"/>
      <c r="I894" s="99"/>
      <c r="J894" s="99"/>
      <c r="K894" s="99"/>
      <c r="L894" s="99"/>
    </row>
    <row r="895" spans="2:12">
      <c r="B895" s="99"/>
      <c r="C895" s="99"/>
      <c r="D895" s="99"/>
      <c r="E895" s="99"/>
      <c r="F895" s="194"/>
      <c r="G895" s="99"/>
      <c r="H895" s="99"/>
      <c r="I895" s="99"/>
      <c r="J895" s="99"/>
      <c r="K895" s="99"/>
      <c r="L895" s="99"/>
    </row>
    <row r="896" spans="2:12">
      <c r="B896" s="99"/>
      <c r="C896" s="99"/>
      <c r="D896" s="99"/>
      <c r="E896" s="99"/>
      <c r="F896" s="194"/>
      <c r="G896" s="99"/>
      <c r="H896" s="99"/>
      <c r="I896" s="99"/>
      <c r="J896" s="99"/>
      <c r="K896" s="99"/>
      <c r="L896" s="99"/>
    </row>
    <row r="897" spans="2:12">
      <c r="B897" s="99"/>
      <c r="C897" s="99"/>
      <c r="D897" s="99"/>
      <c r="E897" s="99"/>
      <c r="F897" s="194"/>
      <c r="G897" s="99"/>
      <c r="H897" s="99"/>
      <c r="I897" s="99"/>
      <c r="J897" s="99"/>
      <c r="K897" s="99"/>
      <c r="L897" s="99"/>
    </row>
    <row r="898" spans="2:12">
      <c r="B898" s="99"/>
      <c r="C898" s="99"/>
      <c r="D898" s="99"/>
      <c r="E898" s="99"/>
      <c r="F898" s="194"/>
      <c r="G898" s="99"/>
      <c r="H898" s="99"/>
      <c r="I898" s="99"/>
      <c r="J898" s="99"/>
      <c r="K898" s="99"/>
      <c r="L898" s="99"/>
    </row>
    <row r="899" spans="2:12">
      <c r="B899" s="99"/>
      <c r="C899" s="99"/>
      <c r="D899" s="99"/>
      <c r="E899" s="99"/>
      <c r="F899" s="194"/>
      <c r="G899" s="99"/>
      <c r="H899" s="99"/>
      <c r="I899" s="99"/>
      <c r="J899" s="99"/>
      <c r="K899" s="99"/>
      <c r="L899" s="99"/>
    </row>
    <row r="900" spans="2:12">
      <c r="B900" s="99"/>
      <c r="C900" s="99"/>
      <c r="D900" s="99"/>
      <c r="E900" s="99"/>
      <c r="F900" s="194"/>
      <c r="G900" s="99"/>
      <c r="H900" s="99"/>
      <c r="I900" s="99"/>
      <c r="J900" s="99"/>
      <c r="K900" s="99"/>
      <c r="L900" s="99"/>
    </row>
    <row r="901" spans="2:12">
      <c r="B901" s="99"/>
      <c r="C901" s="99"/>
      <c r="D901" s="99"/>
      <c r="E901" s="99"/>
      <c r="F901" s="194"/>
      <c r="G901" s="99"/>
      <c r="H901" s="99"/>
      <c r="I901" s="99"/>
      <c r="J901" s="99"/>
      <c r="K901" s="99"/>
      <c r="L901" s="99"/>
    </row>
    <row r="902" spans="2:12">
      <c r="B902" s="99"/>
      <c r="C902" s="99"/>
      <c r="D902" s="99"/>
      <c r="E902" s="99"/>
      <c r="F902" s="194"/>
      <c r="G902" s="99"/>
      <c r="H902" s="99"/>
      <c r="I902" s="99"/>
      <c r="J902" s="99"/>
      <c r="K902" s="99"/>
      <c r="L902" s="99"/>
    </row>
    <row r="903" spans="2:12">
      <c r="B903" s="99"/>
      <c r="C903" s="99"/>
      <c r="D903" s="99"/>
      <c r="E903" s="99"/>
      <c r="F903" s="194"/>
      <c r="G903" s="99"/>
      <c r="H903" s="99"/>
      <c r="I903" s="99"/>
      <c r="J903" s="99"/>
      <c r="K903" s="99"/>
      <c r="L903" s="99"/>
    </row>
    <row r="904" spans="2:12">
      <c r="B904" s="99"/>
      <c r="C904" s="99"/>
      <c r="D904" s="99"/>
      <c r="E904" s="99"/>
      <c r="F904" s="194"/>
      <c r="G904" s="99"/>
      <c r="H904" s="99"/>
      <c r="I904" s="99"/>
      <c r="J904" s="99"/>
      <c r="K904" s="99"/>
      <c r="L904" s="99"/>
    </row>
    <row r="905" spans="2:12">
      <c r="B905" s="99"/>
      <c r="C905" s="99"/>
      <c r="D905" s="99"/>
      <c r="E905" s="99"/>
      <c r="F905" s="194"/>
      <c r="G905" s="99"/>
      <c r="H905" s="99"/>
      <c r="I905" s="99"/>
      <c r="J905" s="99"/>
      <c r="K905" s="99"/>
      <c r="L905" s="99"/>
    </row>
    <row r="906" spans="2:12">
      <c r="B906" s="99"/>
      <c r="C906" s="99"/>
      <c r="D906" s="99"/>
      <c r="E906" s="99"/>
      <c r="F906" s="194"/>
      <c r="G906" s="99"/>
      <c r="H906" s="99"/>
      <c r="I906" s="99"/>
      <c r="J906" s="99"/>
      <c r="K906" s="99"/>
      <c r="L906" s="99"/>
    </row>
    <row r="907" spans="2:12">
      <c r="B907" s="99"/>
      <c r="C907" s="99"/>
      <c r="D907" s="99"/>
      <c r="E907" s="99"/>
      <c r="F907" s="194"/>
      <c r="G907" s="99"/>
      <c r="H907" s="99"/>
      <c r="I907" s="99"/>
      <c r="J907" s="99"/>
      <c r="K907" s="99"/>
      <c r="L907" s="99"/>
    </row>
    <row r="908" spans="2:12">
      <c r="B908" s="99"/>
      <c r="C908" s="99"/>
      <c r="D908" s="99"/>
      <c r="E908" s="99"/>
      <c r="F908" s="194"/>
      <c r="G908" s="99"/>
      <c r="H908" s="99"/>
      <c r="I908" s="99"/>
      <c r="J908" s="99"/>
      <c r="K908" s="99"/>
      <c r="L908" s="99"/>
    </row>
    <row r="909" spans="2:12">
      <c r="B909" s="99"/>
      <c r="C909" s="99"/>
      <c r="D909" s="99"/>
      <c r="E909" s="99"/>
      <c r="F909" s="194"/>
      <c r="G909" s="99"/>
      <c r="H909" s="99"/>
      <c r="I909" s="99"/>
      <c r="J909" s="99"/>
      <c r="K909" s="99"/>
      <c r="L909" s="99"/>
    </row>
    <row r="910" spans="2:12">
      <c r="B910" s="99"/>
      <c r="C910" s="99"/>
      <c r="D910" s="99"/>
      <c r="E910" s="99"/>
      <c r="F910" s="194"/>
      <c r="G910" s="99"/>
      <c r="H910" s="99"/>
      <c r="I910" s="99"/>
      <c r="J910" s="99"/>
      <c r="K910" s="99"/>
      <c r="L910" s="99"/>
    </row>
    <row r="911" spans="2:12">
      <c r="B911" s="99"/>
      <c r="C911" s="99"/>
      <c r="D911" s="99"/>
      <c r="E911" s="99"/>
      <c r="F911" s="194"/>
      <c r="G911" s="99"/>
      <c r="H911" s="99"/>
      <c r="I911" s="99"/>
      <c r="J911" s="99"/>
      <c r="K911" s="99"/>
      <c r="L911" s="99"/>
    </row>
    <row r="912" spans="2:12">
      <c r="B912" s="99"/>
      <c r="C912" s="99"/>
      <c r="D912" s="99"/>
      <c r="E912" s="99"/>
      <c r="F912" s="194"/>
      <c r="G912" s="99"/>
      <c r="H912" s="99"/>
      <c r="I912" s="99"/>
      <c r="J912" s="99"/>
      <c r="K912" s="99"/>
      <c r="L912" s="99"/>
    </row>
    <row r="913" spans="2:12">
      <c r="B913" s="99"/>
      <c r="C913" s="99"/>
      <c r="D913" s="99"/>
      <c r="E913" s="99"/>
      <c r="F913" s="194"/>
      <c r="G913" s="99"/>
      <c r="H913" s="99"/>
      <c r="I913" s="99"/>
      <c r="J913" s="99"/>
      <c r="K913" s="99"/>
      <c r="L913" s="99"/>
    </row>
    <row r="914" spans="2:12">
      <c r="B914" s="99"/>
      <c r="C914" s="99"/>
      <c r="D914" s="99"/>
      <c r="E914" s="99"/>
      <c r="F914" s="194"/>
      <c r="G914" s="99"/>
      <c r="H914" s="99"/>
      <c r="I914" s="99"/>
      <c r="J914" s="99"/>
      <c r="K914" s="99"/>
      <c r="L914" s="99"/>
    </row>
    <row r="915" spans="2:12">
      <c r="B915" s="99"/>
      <c r="C915" s="99"/>
      <c r="D915" s="99"/>
      <c r="E915" s="99"/>
      <c r="F915" s="194"/>
      <c r="G915" s="99"/>
      <c r="H915" s="99"/>
      <c r="I915" s="99"/>
      <c r="J915" s="99"/>
      <c r="K915" s="99"/>
      <c r="L915" s="99"/>
    </row>
    <row r="916" spans="2:12">
      <c r="B916" s="99"/>
      <c r="C916" s="99"/>
      <c r="D916" s="99"/>
      <c r="E916" s="99"/>
      <c r="F916" s="194"/>
      <c r="G916" s="99"/>
      <c r="H916" s="99"/>
      <c r="I916" s="99"/>
      <c r="J916" s="99"/>
      <c r="K916" s="99"/>
      <c r="L916" s="99"/>
    </row>
    <row r="917" spans="2:12">
      <c r="B917" s="99"/>
      <c r="C917" s="99"/>
      <c r="D917" s="99"/>
      <c r="E917" s="99"/>
      <c r="F917" s="194"/>
      <c r="G917" s="99"/>
      <c r="H917" s="99"/>
      <c r="I917" s="99"/>
      <c r="J917" s="99"/>
      <c r="K917" s="99"/>
      <c r="L917" s="99"/>
    </row>
    <row r="918" spans="2:12">
      <c r="B918" s="99"/>
      <c r="C918" s="99"/>
      <c r="D918" s="99"/>
      <c r="E918" s="99"/>
      <c r="F918" s="194"/>
      <c r="G918" s="99"/>
      <c r="H918" s="99"/>
      <c r="I918" s="99"/>
      <c r="J918" s="99"/>
      <c r="K918" s="99"/>
      <c r="L918" s="99"/>
    </row>
    <row r="919" spans="2:12">
      <c r="B919" s="99"/>
      <c r="C919" s="99"/>
      <c r="D919" s="99"/>
      <c r="E919" s="99"/>
      <c r="F919" s="194"/>
      <c r="G919" s="99"/>
      <c r="H919" s="99"/>
      <c r="I919" s="99"/>
      <c r="J919" s="99"/>
      <c r="K919" s="99"/>
      <c r="L919" s="99"/>
    </row>
    <row r="920" spans="2:12">
      <c r="B920" s="99"/>
      <c r="C920" s="99"/>
      <c r="D920" s="99"/>
      <c r="E920" s="99"/>
      <c r="F920" s="194"/>
      <c r="G920" s="99"/>
      <c r="H920" s="99"/>
      <c r="I920" s="99"/>
      <c r="J920" s="99"/>
      <c r="K920" s="99"/>
      <c r="L920" s="99"/>
    </row>
    <row r="921" spans="2:12">
      <c r="B921" s="99"/>
      <c r="C921" s="99"/>
      <c r="D921" s="99"/>
      <c r="E921" s="99"/>
      <c r="F921" s="194"/>
      <c r="G921" s="99"/>
      <c r="H921" s="99"/>
      <c r="I921" s="99"/>
      <c r="J921" s="99"/>
      <c r="K921" s="99"/>
      <c r="L921" s="99"/>
    </row>
    <row r="922" spans="2:12">
      <c r="B922" s="99"/>
      <c r="C922" s="99"/>
      <c r="D922" s="99"/>
      <c r="E922" s="99"/>
      <c r="F922" s="194"/>
      <c r="G922" s="99"/>
      <c r="H922" s="99"/>
      <c r="I922" s="99"/>
      <c r="J922" s="99"/>
      <c r="K922" s="99"/>
      <c r="L922" s="99"/>
    </row>
    <row r="923" spans="2:12">
      <c r="B923" s="99"/>
      <c r="C923" s="99"/>
      <c r="D923" s="99"/>
      <c r="E923" s="99"/>
      <c r="F923" s="194"/>
      <c r="G923" s="99"/>
      <c r="H923" s="99"/>
      <c r="I923" s="99"/>
      <c r="J923" s="99"/>
      <c r="K923" s="99"/>
      <c r="L923" s="99"/>
    </row>
    <row r="924" spans="2:12">
      <c r="B924" s="99"/>
      <c r="C924" s="99"/>
      <c r="D924" s="99"/>
      <c r="E924" s="99"/>
      <c r="F924" s="194"/>
      <c r="G924" s="99"/>
      <c r="H924" s="99"/>
      <c r="I924" s="99"/>
      <c r="J924" s="99"/>
      <c r="K924" s="99"/>
      <c r="L924" s="99"/>
    </row>
    <row r="925" spans="2:12">
      <c r="B925" s="99"/>
      <c r="C925" s="99"/>
      <c r="D925" s="99"/>
      <c r="E925" s="99"/>
      <c r="F925" s="194"/>
      <c r="G925" s="99"/>
      <c r="H925" s="99"/>
      <c r="I925" s="99"/>
      <c r="J925" s="99"/>
      <c r="K925" s="99"/>
      <c r="L925" s="99"/>
    </row>
    <row r="926" spans="2:12">
      <c r="B926" s="99"/>
      <c r="C926" s="99"/>
      <c r="D926" s="99"/>
      <c r="E926" s="99"/>
      <c r="F926" s="194"/>
      <c r="G926" s="99"/>
      <c r="H926" s="99"/>
      <c r="I926" s="99"/>
      <c r="J926" s="99"/>
      <c r="K926" s="99"/>
      <c r="L926" s="99"/>
    </row>
    <row r="927" spans="2:12">
      <c r="B927" s="99"/>
      <c r="C927" s="99"/>
      <c r="D927" s="99"/>
      <c r="E927" s="99"/>
      <c r="F927" s="194"/>
      <c r="G927" s="99"/>
      <c r="H927" s="99"/>
      <c r="I927" s="99"/>
      <c r="J927" s="99"/>
      <c r="K927" s="99"/>
      <c r="L927" s="99"/>
    </row>
    <row r="928" spans="2:12">
      <c r="B928" s="99"/>
      <c r="C928" s="99"/>
      <c r="D928" s="99"/>
      <c r="E928" s="99"/>
      <c r="F928" s="194"/>
      <c r="G928" s="99"/>
      <c r="H928" s="99"/>
      <c r="I928" s="99"/>
      <c r="J928" s="99"/>
      <c r="K928" s="99"/>
      <c r="L928" s="99"/>
    </row>
    <row r="929" spans="2:12">
      <c r="B929" s="99"/>
      <c r="C929" s="99"/>
      <c r="D929" s="99"/>
      <c r="E929" s="99"/>
      <c r="F929" s="194"/>
      <c r="G929" s="99"/>
      <c r="H929" s="99"/>
      <c r="I929" s="99"/>
      <c r="J929" s="99"/>
      <c r="K929" s="99"/>
      <c r="L929" s="99"/>
    </row>
    <row r="930" spans="2:12">
      <c r="B930" s="99"/>
      <c r="C930" s="99"/>
      <c r="D930" s="99"/>
      <c r="E930" s="99"/>
      <c r="F930" s="194"/>
      <c r="G930" s="99"/>
      <c r="H930" s="99"/>
      <c r="I930" s="99"/>
      <c r="J930" s="99"/>
      <c r="K930" s="99"/>
      <c r="L930" s="99"/>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'Data Validation'!$H$2:$H$3</xm:f>
          </x14:formula1>
          <xm:sqref>E11:E505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pageSetUpPr autoPageBreaks="0"/>
  </sheetPr>
  <dimension ref="B1:AJ616"/>
  <sheetViews>
    <sheetView topLeftCell="B1" zoomScale="95" zoomScaleNormal="120" workbookViewId="0">
      <pane xSplit="8" ySplit="7" topLeftCell="J152" activePane="bottomRight" state="frozenSplit"/>
      <selection activeCell="G19" sqref="G19"/>
      <selection pane="topRight" activeCell="G19" sqref="G19"/>
      <selection pane="bottomLeft" activeCell="G19" sqref="G19"/>
      <selection pane="bottomRight" activeCell="I170" sqref="I170"/>
    </sheetView>
  </sheetViews>
  <sheetFormatPr defaultColWidth="9.140625" defaultRowHeight="15" outlineLevelCol="1"/>
  <cols>
    <col min="1" max="1" width="3.7109375" style="41" customWidth="1"/>
    <col min="2" max="2" width="11.28515625" style="41" customWidth="1"/>
    <col min="3" max="3" width="12.7109375" style="41" customWidth="1"/>
    <col min="4" max="8" width="15.7109375" style="41" hidden="1" customWidth="1" outlineLevel="1"/>
    <col min="9" max="9" width="68.5703125" style="41" customWidth="1" collapsed="1"/>
    <col min="10" max="10" width="16" style="41" customWidth="1"/>
    <col min="11" max="12" width="30.7109375" style="41" customWidth="1"/>
    <col min="13" max="13" width="19.85546875" style="41" customWidth="1"/>
    <col min="14" max="17" width="18.85546875" style="41" customWidth="1"/>
    <col min="18" max="21" width="9.7109375" style="61" hidden="1" customWidth="1" outlineLevel="1"/>
    <col min="22" max="22" width="9.7109375" style="41" customWidth="1" outlineLevel="1"/>
    <col min="23" max="23" width="9.7109375" style="41" customWidth="1"/>
    <col min="24" max="27" width="15.7109375" style="41" hidden="1" customWidth="1" outlineLevel="1"/>
    <col min="28" max="28" width="15.7109375" style="41" customWidth="1" outlineLevel="1"/>
    <col min="29" max="29" width="15.7109375" style="41" customWidth="1"/>
    <col min="30" max="33" width="15.7109375" style="41" hidden="1" customWidth="1" outlineLevel="1"/>
    <col min="34" max="34" width="15.7109375" style="41" customWidth="1" outlineLevel="1"/>
    <col min="35" max="35" width="15.7109375" style="41" customWidth="1"/>
    <col min="36" max="36" width="20.140625" style="41" customWidth="1"/>
    <col min="37" max="16384" width="9.140625" style="41"/>
  </cols>
  <sheetData>
    <row r="1" spans="2:36" ht="20.25" customHeight="1">
      <c r="B1" s="40" t="s">
        <v>35</v>
      </c>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row>
    <row r="2" spans="2:36" ht="12.75">
      <c r="R2" s="41"/>
      <c r="S2" s="41"/>
      <c r="T2" s="41"/>
      <c r="U2" s="41"/>
    </row>
    <row r="3" spans="2:36" ht="13.5" thickBot="1">
      <c r="R3" s="41"/>
      <c r="S3" s="41"/>
      <c r="T3" s="41"/>
      <c r="U3" s="41"/>
    </row>
    <row r="4" spans="2:36" ht="20.25" customHeight="1" thickBot="1">
      <c r="B4" s="93" t="s">
        <v>36</v>
      </c>
      <c r="C4" s="89"/>
      <c r="D4" s="89"/>
      <c r="E4" s="89"/>
      <c r="F4" s="89"/>
      <c r="G4" s="89"/>
      <c r="H4" s="89"/>
      <c r="I4" s="89"/>
      <c r="J4" s="89"/>
      <c r="K4" s="104"/>
      <c r="L4" s="104"/>
      <c r="M4" s="104"/>
      <c r="N4" s="104"/>
      <c r="O4" s="1096" t="s">
        <v>37</v>
      </c>
      <c r="P4" s="1097"/>
      <c r="Q4" s="1097"/>
      <c r="R4" s="90"/>
      <c r="S4" s="90"/>
      <c r="T4" s="90"/>
      <c r="U4" s="90"/>
      <c r="V4" s="100"/>
      <c r="W4" s="90"/>
      <c r="X4" s="105" t="str">
        <f>"Cost in Local Currency Unit (LCU = "&amp;LCU&amp;")"</f>
        <v>Cost in Local Currency Unit (LCU = NGN)</v>
      </c>
      <c r="Y4" s="106"/>
      <c r="Z4" s="106"/>
      <c r="AA4" s="106"/>
      <c r="AB4" s="106"/>
      <c r="AC4" s="106"/>
      <c r="AD4" s="105" t="str">
        <f>"Cost ("&amp;ACU&amp;")"</f>
        <v>Cost (USD)</v>
      </c>
      <c r="AE4" s="107"/>
      <c r="AF4" s="107"/>
      <c r="AG4" s="107"/>
      <c r="AH4" s="107"/>
      <c r="AI4" s="107"/>
      <c r="AJ4" s="175" t="s">
        <v>38</v>
      </c>
    </row>
    <row r="5" spans="2:36" ht="12.75" customHeight="1">
      <c r="B5" s="110" t="s">
        <v>39</v>
      </c>
      <c r="C5" s="111" t="s">
        <v>39</v>
      </c>
      <c r="D5" s="111" t="str">
        <f>Lvl1Hdr</f>
        <v>Objective</v>
      </c>
      <c r="E5" s="111" t="str">
        <f>Lvl2Hdr</f>
        <v>Strategy</v>
      </c>
      <c r="F5" s="111" t="str">
        <f>Lvl3Hdr</f>
        <v>Activity</v>
      </c>
      <c r="G5" s="111" t="str">
        <f>Lvl4Hdr</f>
        <v>Sub-Activity</v>
      </c>
      <c r="H5" s="111" t="str">
        <f>LvlBottomHdr</f>
        <v>Unit</v>
      </c>
      <c r="I5" s="111"/>
      <c r="J5" s="111"/>
      <c r="K5" s="112" t="s">
        <v>40</v>
      </c>
      <c r="L5" s="113"/>
      <c r="M5" s="112" t="s">
        <v>41</v>
      </c>
      <c r="N5" s="113"/>
      <c r="O5" s="1093" t="s">
        <v>42</v>
      </c>
      <c r="P5" s="1094"/>
      <c r="Q5" s="1095"/>
      <c r="R5" s="114" t="s">
        <v>43</v>
      </c>
      <c r="S5" s="114"/>
      <c r="T5" s="114"/>
      <c r="U5" s="114"/>
      <c r="V5" s="114"/>
      <c r="W5" s="115" t="s">
        <v>44</v>
      </c>
      <c r="X5" s="136" t="str">
        <f>"Cost Totals by Year ("&amp;LCU&amp;")"</f>
        <v>Cost Totals by Year (NGN)</v>
      </c>
      <c r="Y5" s="116"/>
      <c r="Z5" s="116"/>
      <c r="AA5" s="116"/>
      <c r="AB5" s="116"/>
      <c r="AC5" s="137" t="s">
        <v>44</v>
      </c>
      <c r="AD5" s="1091" t="str">
        <f>"Cost Totals by Year ("&amp;ACU&amp;")"</f>
        <v>Cost Totals by Year (USD)</v>
      </c>
      <c r="AE5" s="1091"/>
      <c r="AF5" s="1091"/>
      <c r="AG5" s="1091"/>
      <c r="AH5" s="1092"/>
      <c r="AI5" s="145" t="s">
        <v>44</v>
      </c>
      <c r="AJ5" s="176"/>
    </row>
    <row r="6" spans="2:36" ht="4.5" customHeight="1">
      <c r="B6" s="117"/>
      <c r="C6" s="94"/>
      <c r="D6" s="94"/>
      <c r="E6" s="94"/>
      <c r="F6" s="94"/>
      <c r="G6" s="94"/>
      <c r="H6" s="94"/>
      <c r="I6" s="95"/>
      <c r="J6" s="95"/>
      <c r="K6" s="95"/>
      <c r="L6" s="95"/>
      <c r="M6" s="94"/>
      <c r="N6" s="94"/>
      <c r="O6" s="117"/>
      <c r="P6" s="95"/>
      <c r="Q6" s="127"/>
      <c r="R6" s="95"/>
      <c r="S6" s="95"/>
      <c r="T6" s="95"/>
      <c r="U6" s="95"/>
      <c r="V6" s="95"/>
      <c r="W6" s="94"/>
      <c r="X6" s="138"/>
      <c r="Y6" s="94"/>
      <c r="Z6" s="94"/>
      <c r="AA6" s="94"/>
      <c r="AB6" s="94"/>
      <c r="AC6" s="118"/>
      <c r="AD6" s="94"/>
      <c r="AE6" s="94"/>
      <c r="AF6" s="94"/>
      <c r="AG6" s="94"/>
      <c r="AH6" s="94"/>
      <c r="AI6" s="94"/>
      <c r="AJ6" s="177"/>
    </row>
    <row r="7" spans="2:36" ht="47.25" customHeight="1">
      <c r="B7" s="119" t="s">
        <v>45</v>
      </c>
      <c r="C7" s="79" t="s">
        <v>46</v>
      </c>
      <c r="D7" s="79" t="s">
        <v>47</v>
      </c>
      <c r="E7" s="79" t="s">
        <v>48</v>
      </c>
      <c r="F7" s="79" t="s">
        <v>49</v>
      </c>
      <c r="G7" s="79" t="s">
        <v>50</v>
      </c>
      <c r="H7" s="79" t="s">
        <v>51</v>
      </c>
      <c r="I7" s="79" t="s">
        <v>52</v>
      </c>
      <c r="J7" s="79" t="s">
        <v>157</v>
      </c>
      <c r="K7" s="79" t="s">
        <v>53</v>
      </c>
      <c r="L7" s="79" t="s">
        <v>54</v>
      </c>
      <c r="M7" s="79" t="s">
        <v>55</v>
      </c>
      <c r="N7" s="79" t="s">
        <v>56</v>
      </c>
      <c r="O7" s="119" t="s">
        <v>143</v>
      </c>
      <c r="P7" s="79" t="s">
        <v>144</v>
      </c>
      <c r="Q7" s="120" t="s">
        <v>145</v>
      </c>
      <c r="R7" s="79" t="s">
        <v>146</v>
      </c>
      <c r="S7" s="79" t="s">
        <v>147</v>
      </c>
      <c r="T7" s="79" t="s">
        <v>57</v>
      </c>
      <c r="U7" s="79" t="s">
        <v>58</v>
      </c>
      <c r="V7" s="79" t="s">
        <v>59</v>
      </c>
      <c r="W7" s="79" t="s">
        <v>60</v>
      </c>
      <c r="X7" s="119" t="s">
        <v>148</v>
      </c>
      <c r="Y7" s="79" t="s">
        <v>149</v>
      </c>
      <c r="Z7" s="79" t="s">
        <v>61</v>
      </c>
      <c r="AA7" s="79" t="s">
        <v>62</v>
      </c>
      <c r="AB7" s="79" t="s">
        <v>63</v>
      </c>
      <c r="AC7" s="120" t="s">
        <v>64</v>
      </c>
      <c r="AD7" s="79" t="s">
        <v>1796</v>
      </c>
      <c r="AE7" s="79" t="s">
        <v>1797</v>
      </c>
      <c r="AF7" s="79" t="s">
        <v>107</v>
      </c>
      <c r="AG7" s="79" t="s">
        <v>108</v>
      </c>
      <c r="AH7" s="79" t="s">
        <v>109</v>
      </c>
      <c r="AI7" s="79" t="s">
        <v>106</v>
      </c>
      <c r="AJ7" s="178" t="s">
        <v>38</v>
      </c>
    </row>
    <row r="8" spans="2:36" ht="12.75" customHeight="1">
      <c r="B8" s="121" t="s">
        <v>65</v>
      </c>
      <c r="C8" s="8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8" s="82">
        <f>IF(TblDetailBudget[[#This Row],[Level]]="", "", COUNTIFS($B$8:TblDetailBudget[[#This Row],[Level]], Lvl1Hdr))</f>
        <v>0</v>
      </c>
      <c r="E8" s="82">
        <f>IF(TblDetailBudget[[#This Row],[Level]]="", "", COUNTIFS($B$8:TblDetailBudget[[#This Row],[Level]], Lvl2Hdr, $D$8:TblDetailBudget[[#This Row],[Lvl 1 Header]], TblDetailBudget[[#This Row],[Lvl 1 Header]]))</f>
        <v>0</v>
      </c>
      <c r="F8" s="82">
        <f>IF(TblDetailBudget[[#This Row],[Level]]="", "", COUNTIFS($B$8:TblDetailBudget[[#This Row],[Level]], Lvl3Hdr, $D$8:TblDetailBudget[[#This Row],[Lvl 1 Header]], TblDetailBudget[[#This Row],[Lvl 1 Header]], $E$8:TblDetailBudget[[#This Row],[Lvl 2 Header]], TblDetailBudget[[#This Row],[Lvl 2 Header]]))</f>
        <v>0</v>
      </c>
      <c r="G8" s="8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8" s="8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 s="101" t="s">
        <v>152</v>
      </c>
      <c r="J8" s="101"/>
      <c r="K8" s="88"/>
      <c r="L8" s="88"/>
      <c r="M8" s="62" t="str">
        <f>IF(TblDetailBudget[[#This Row],[Level]]=LvlBottomHdr, IFERROR(INDEX(TblUnitCost[Unit], MATCH(TblDetailBudget[[#This Row],[Row Title]], TblUnitCost[Resource], 0)), "Invalid Resource"), "")</f>
        <v/>
      </c>
      <c r="N8" s="125" t="str">
        <f>IF(TblDetailBudget[[#This Row],[Level]]=LvlBottomHdr, IFERROR(INDEX(TblUnitCost[LCU], MATCH(TblDetailBudget[[#This Row],[Row Title]], TblUnitCost[Resource], 0)), "Invalid Resource"), "")</f>
        <v/>
      </c>
      <c r="O8" s="128"/>
      <c r="P8" s="108"/>
      <c r="Q8" s="129"/>
      <c r="R8" s="108" t="s">
        <v>66</v>
      </c>
      <c r="S8" s="108" t="s">
        <v>66</v>
      </c>
      <c r="T8" s="108" t="s">
        <v>66</v>
      </c>
      <c r="U8" s="108" t="s">
        <v>66</v>
      </c>
      <c r="V8" s="108" t="s">
        <v>66</v>
      </c>
      <c r="W8" s="125" t="str">
        <f>IF(TblDetailBudget[[#This Row],[Level]]=LvlBottomHdr, IF(SUM(TblDetailBudget[[#This Row],[2021 Quant]:[2025 Quant]])&gt;0, SUM(TblDetailBudget[[#This Row],[2021 Quant]:[2025 Quant]]), ""), "")</f>
        <v/>
      </c>
      <c r="X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7333767706282.3906</v>
      </c>
      <c r="AC8" s="140">
        <f>SUM(TblDetailBudget[[#This Row],[2021 Cost (LCU)]:[2025 Cost (LCU)]])</f>
        <v>7333767706282.3906</v>
      </c>
      <c r="AD8" s="134">
        <f>IFERROR(SUM(TblDetailBudget[[#This Row],[2021 Cost (LCU)]])/FX_Rate, "")</f>
        <v>0</v>
      </c>
      <c r="AE8" s="63">
        <f>IFERROR(SUM(TblDetailBudget[[#This Row],[2022 Cost (LCU)]])/FX_Rate, "")</f>
        <v>0</v>
      </c>
      <c r="AF8" s="63">
        <f>IFERROR(SUM(TblDetailBudget[[#This Row],[2023 Cost (LCU)]])/FX_Rate, "")</f>
        <v>0</v>
      </c>
      <c r="AG8" s="63">
        <f>IFERROR(SUM(TblDetailBudget[[#This Row],[2024 Cost (LCU)]])/FX_Rate, "")</f>
        <v>0</v>
      </c>
      <c r="AH8" s="63">
        <f>IFERROR(SUM(TblDetailBudget[[#This Row],[2025 Cost (LCU)]])/FX_Rate, "")</f>
        <v>4583604816.4264946</v>
      </c>
      <c r="AI8" s="125">
        <f>SUM(TblDetailBudget[[#This Row],[2021 Cost (USD)]:[2025 Cost (USD)]])</f>
        <v>4583604816.4264946</v>
      </c>
      <c r="AJ8" s="179"/>
    </row>
    <row r="9" spans="2:36" ht="12.75" customHeight="1">
      <c r="B9" s="163" t="s">
        <v>67</v>
      </c>
      <c r="C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v>
      </c>
      <c r="D9" s="62">
        <f>IF(TblDetailBudget[[#This Row],[Level]]="", "", COUNTIFS($B$8:TblDetailBudget[[#This Row],[Level]], Lvl1Hdr))</f>
        <v>1</v>
      </c>
      <c r="E9" s="62">
        <f>IF(TblDetailBudget[[#This Row],[Level]]="", "", COUNTIFS($B$8:TblDetailBudget[[#This Row],[Level]], Lvl2Hdr, $D$8:TblDetailBudget[[#This Row],[Lvl 1 Header]], TblDetailBudget[[#This Row],[Lvl 1 Header]]))</f>
        <v>0</v>
      </c>
      <c r="F9" s="62">
        <f>IF(TblDetailBudget[[#This Row],[Level]]="", "", COUNTIFS($B$8:TblDetailBudget[[#This Row],[Level]], Lvl3Hdr, $D$8:TblDetailBudget[[#This Row],[Lvl 1 Header]], TblDetailBudget[[#This Row],[Lvl 1 Header]], $E$8:TblDetailBudget[[#This Row],[Lvl 2 Header]], TblDetailBudget[[#This Row],[Lvl 2 Header]]))</f>
        <v>0</v>
      </c>
      <c r="G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 s="102" t="s">
        <v>151</v>
      </c>
      <c r="J9" s="102"/>
      <c r="K9" s="88"/>
      <c r="L9" s="88"/>
      <c r="M9" s="62" t="str">
        <f>IF(TblDetailBudget[[#This Row],[Level]]=LvlBottomHdr, IFERROR(INDEX(TblUnitCost[Unit], MATCH(TblDetailBudget[[#This Row],[Row Title]], TblUnitCost[Resource], 0)), "Invalid Resource"), "")</f>
        <v/>
      </c>
      <c r="N9" s="63" t="str">
        <f>IF(TblDetailBudget[[#This Row],[Level]]=LvlBottomHdr, IFERROR(INDEX(TblUnitCost[LCU], MATCH(TblDetailBudget[[#This Row],[Row Title]], TblUnitCost[Resource], 0)), "Invalid Resource"), "")</f>
        <v/>
      </c>
      <c r="O9" s="130"/>
      <c r="P9" s="109"/>
      <c r="Q9" s="109"/>
      <c r="R9" s="108" t="s">
        <v>66</v>
      </c>
      <c r="S9" s="108" t="s">
        <v>66</v>
      </c>
      <c r="T9" s="108" t="s">
        <v>66</v>
      </c>
      <c r="U9" s="108" t="s">
        <v>66</v>
      </c>
      <c r="V9" s="108" t="s">
        <v>66</v>
      </c>
      <c r="W9" s="63" t="str">
        <f>IF(TblDetailBudget[[#This Row],[Level]]=LvlBottomHdr, IF(SUM(TblDetailBudget[[#This Row],[2021 Quant]:[2025 Quant]])&gt;0, SUM(TblDetailBudget[[#This Row],[2021 Quant]:[2025 Quant]]), ""), "")</f>
        <v/>
      </c>
      <c r="X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6858139697750.2949</v>
      </c>
      <c r="AC9" s="63">
        <f>SUM(TblDetailBudget[[#This Row],[2021 Cost (LCU)]:[2025 Cost (LCU)]])</f>
        <v>6858139697750.2949</v>
      </c>
      <c r="AD9" s="63">
        <f>IFERROR(SUM(TblDetailBudget[[#This Row],[2021 Cost (LCU)]])/FX_Rate, "")</f>
        <v>0</v>
      </c>
      <c r="AE9" s="63">
        <f>IFERROR(SUM(TblDetailBudget[[#This Row],[2022 Cost (LCU)]])/FX_Rate, "")</f>
        <v>0</v>
      </c>
      <c r="AF9" s="63">
        <f>IFERROR(SUM(TblDetailBudget[[#This Row],[2023 Cost (LCU)]])/FX_Rate, "")</f>
        <v>0</v>
      </c>
      <c r="AG9" s="63">
        <f>IFERROR(SUM(TblDetailBudget[[#This Row],[2024 Cost (LCU)]])/FX_Rate, "")</f>
        <v>0</v>
      </c>
      <c r="AH9" s="63">
        <f>IFERROR(SUM(TblDetailBudget[[#This Row],[2025 Cost (LCU)]])/FX_Rate, "")</f>
        <v>4286337311.0939345</v>
      </c>
      <c r="AI9" s="125">
        <f>SUM(TblDetailBudget[[#This Row],[2021 Cost (USD)]:[2025 Cost (USD)]])</f>
        <v>4286337311.0939345</v>
      </c>
      <c r="AJ9" s="180"/>
    </row>
    <row r="10" spans="2:36" ht="12.75" customHeight="1">
      <c r="B10" s="122" t="s">
        <v>68</v>
      </c>
      <c r="C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v>
      </c>
      <c r="D10" s="62">
        <f>IF(TblDetailBudget[[#This Row],[Level]]="", "", COUNTIFS($B$8:TblDetailBudget[[#This Row],[Level]], Lvl1Hdr))</f>
        <v>1</v>
      </c>
      <c r="E10" s="62">
        <f>IF(TblDetailBudget[[#This Row],[Level]]="", "", COUNTIFS($B$8:TblDetailBudget[[#This Row],[Level]], Lvl2Hdr, $D$8:TblDetailBudget[[#This Row],[Lvl 1 Header]], TblDetailBudget[[#This Row],[Lvl 1 Header]]))</f>
        <v>1</v>
      </c>
      <c r="F10" s="62">
        <f>IF(TblDetailBudget[[#This Row],[Level]]="", "", COUNTIFS($B$8:TblDetailBudget[[#This Row],[Level]], Lvl3Hdr, $D$8:TblDetailBudget[[#This Row],[Lvl 1 Header]], TblDetailBudget[[#This Row],[Lvl 1 Header]], $E$8:TblDetailBudget[[#This Row],[Lvl 2 Header]], TblDetailBudget[[#This Row],[Lvl 2 Header]]))</f>
        <v>0</v>
      </c>
      <c r="G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 s="185" t="s">
        <v>2289</v>
      </c>
      <c r="J10" s="101"/>
      <c r="K10" s="88" t="s">
        <v>66</v>
      </c>
      <c r="L10" s="88"/>
      <c r="M10" s="62" t="str">
        <f>IF(TblDetailBudget[[#This Row],[Level]]=LvlBottomHdr, IFERROR(INDEX(TblUnitCost[Unit], MATCH(TblDetailBudget[[#This Row],[Row Title]], TblUnitCost[Resource], 0)), "Invalid Resource"), "")</f>
        <v/>
      </c>
      <c r="N10" s="125" t="str">
        <f>IF(TblDetailBudget[[#This Row],[Level]]=LvlBottomHdr, IFERROR(INDEX(TblUnitCost[LCU], MATCH(TblDetailBudget[[#This Row],[Row Title]], TblUnitCost[Resource], 0)), "Invalid Resource"), "")</f>
        <v/>
      </c>
      <c r="O10" s="128"/>
      <c r="P10" s="108"/>
      <c r="Q10" s="129"/>
      <c r="R10" s="108" t="s">
        <v>66</v>
      </c>
      <c r="S10" s="108" t="s">
        <v>66</v>
      </c>
      <c r="T10" s="108" t="s">
        <v>66</v>
      </c>
      <c r="U10" s="108" t="s">
        <v>66</v>
      </c>
      <c r="V10" s="108" t="s">
        <v>66</v>
      </c>
      <c r="W10" s="125" t="str">
        <f>IF(TblDetailBudget[[#This Row],[Level]]=LvlBottomHdr, IF(SUM(TblDetailBudget[[#This Row],[2021 Quant]:[2025 Quant]])&gt;0, SUM(TblDetailBudget[[#This Row],[2021 Quant]:[2025 Quant]]), ""), "")</f>
        <v/>
      </c>
      <c r="X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333997008637.44696</v>
      </c>
      <c r="AC10" s="140">
        <f>SUM(TblDetailBudget[[#This Row],[2021 Cost (LCU)]:[2025 Cost (LCU)]])</f>
        <v>333997008637.44696</v>
      </c>
      <c r="AD10" s="134">
        <f>IFERROR(SUM(TblDetailBudget[[#This Row],[2021 Cost (LCU)]])/FX_Rate, "")</f>
        <v>0</v>
      </c>
      <c r="AE10" s="63">
        <f>IFERROR(SUM(TblDetailBudget[[#This Row],[2022 Cost (LCU)]])/FX_Rate, "")</f>
        <v>0</v>
      </c>
      <c r="AF10" s="63">
        <f>IFERROR(SUM(TblDetailBudget[[#This Row],[2023 Cost (LCU)]])/FX_Rate, "")</f>
        <v>0</v>
      </c>
      <c r="AG10" s="63">
        <f>IFERROR(SUM(TblDetailBudget[[#This Row],[2024 Cost (LCU)]])/FX_Rate, "")</f>
        <v>0</v>
      </c>
      <c r="AH10" s="63">
        <f>IFERROR(SUM(TblDetailBudget[[#This Row],[2025 Cost (LCU)]])/FX_Rate, "")</f>
        <v>208748130.39840436</v>
      </c>
      <c r="AI10" s="125">
        <f>SUM(TblDetailBudget[[#This Row],[2021 Cost (USD)]:[2025 Cost (USD)]])</f>
        <v>208748130.39840436</v>
      </c>
      <c r="AJ10" s="180"/>
    </row>
    <row r="11" spans="2:36" ht="12.75" customHeight="1">
      <c r="B11" s="122" t="s">
        <v>69</v>
      </c>
      <c r="C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v>
      </c>
      <c r="D11" s="62">
        <f>IF(TblDetailBudget[[#This Row],[Level]]="", "", COUNTIFS($B$8:TblDetailBudget[[#This Row],[Level]], Lvl1Hdr))</f>
        <v>1</v>
      </c>
      <c r="E11" s="62">
        <f>IF(TblDetailBudget[[#This Row],[Level]]="", "", COUNTIFS($B$8:TblDetailBudget[[#This Row],[Level]], Lvl2Hdr, $D$8:TblDetailBudget[[#This Row],[Lvl 1 Header]], TblDetailBudget[[#This Row],[Lvl 1 Header]]))</f>
        <v>1</v>
      </c>
      <c r="F11" s="62">
        <f>IF(TblDetailBudget[[#This Row],[Level]]="", "", COUNTIFS($B$8:TblDetailBudget[[#This Row],[Level]], Lvl3Hdr, $D$8:TblDetailBudget[[#This Row],[Lvl 1 Header]], TblDetailBudget[[#This Row],[Lvl 1 Header]], $E$8:TblDetailBudget[[#This Row],[Lvl 2 Header]], TblDetailBudget[[#This Row],[Lvl 2 Header]]))</f>
        <v>1</v>
      </c>
      <c r="G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 s="185" t="s">
        <v>2653</v>
      </c>
      <c r="J11" s="101"/>
      <c r="K11" s="88"/>
      <c r="L11" s="88"/>
      <c r="M11" s="62" t="str">
        <f>IF(TblDetailBudget[[#This Row],[Level]]=LvlBottomHdr, IFERROR(INDEX(TblUnitCost[Unit], MATCH(TblDetailBudget[[#This Row],[Row Title]], TblUnitCost[Resource], 0)), "Invalid Resource"), "")</f>
        <v/>
      </c>
      <c r="N11" s="125" t="str">
        <f>IF(TblDetailBudget[[#This Row],[Level]]=LvlBottomHdr, IFERROR(INDEX(TblUnitCost[LCU], MATCH(TblDetailBudget[[#This Row],[Row Title]], TblUnitCost[Resource], 0)), "Invalid Resource"), "")</f>
        <v/>
      </c>
      <c r="O11" s="128"/>
      <c r="P11" s="108"/>
      <c r="Q11" s="129"/>
      <c r="R11" s="108" t="s">
        <v>66</v>
      </c>
      <c r="S11" s="108" t="s">
        <v>66</v>
      </c>
      <c r="T11" s="108" t="s">
        <v>66</v>
      </c>
      <c r="U11" s="108" t="s">
        <v>66</v>
      </c>
      <c r="V11" s="108" t="s">
        <v>66</v>
      </c>
      <c r="W11" s="125" t="str">
        <f>IF(TblDetailBudget[[#This Row],[Level]]=LvlBottomHdr, IF(SUM(TblDetailBudget[[#This Row],[2021 Quant]:[2025 Quant]])&gt;0, SUM(TblDetailBudget[[#This Row],[2021 Quant]:[2025 Quant]]), ""), "")</f>
        <v/>
      </c>
      <c r="X1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303364022941.44696</v>
      </c>
      <c r="AC11" s="140">
        <f>SUM(TblDetailBudget[[#This Row],[2021 Cost (LCU)]:[2025 Cost (LCU)]])</f>
        <v>303364022941.44696</v>
      </c>
      <c r="AD11" s="134">
        <f>IFERROR(SUM(TblDetailBudget[[#This Row],[2021 Cost (LCU)]])/FX_Rate, "")</f>
        <v>0</v>
      </c>
      <c r="AE11" s="63">
        <f>IFERROR(SUM(TblDetailBudget[[#This Row],[2022 Cost (LCU)]])/FX_Rate, "")</f>
        <v>0</v>
      </c>
      <c r="AF11" s="63">
        <f>IFERROR(SUM(TblDetailBudget[[#This Row],[2023 Cost (LCU)]])/FX_Rate, "")</f>
        <v>0</v>
      </c>
      <c r="AG11" s="63">
        <f>IFERROR(SUM(TblDetailBudget[[#This Row],[2024 Cost (LCU)]])/FX_Rate, "")</f>
        <v>0</v>
      </c>
      <c r="AH11" s="63">
        <f>IFERROR(SUM(TblDetailBudget[[#This Row],[2025 Cost (LCU)]])/FX_Rate, "")</f>
        <v>189602514.33840436</v>
      </c>
      <c r="AI11" s="125">
        <f>SUM(TblDetailBudget[[#This Row],[2021 Cost (USD)]:[2025 Cost (USD)]])</f>
        <v>189602514.33840436</v>
      </c>
      <c r="AJ11" s="180" t="s">
        <v>33</v>
      </c>
    </row>
    <row r="12" spans="2:36" ht="12.75" customHeight="1">
      <c r="B12" s="122" t="s">
        <v>70</v>
      </c>
      <c r="C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v>
      </c>
      <c r="D12" s="62">
        <f>IF(TblDetailBudget[[#This Row],[Level]]="", "", COUNTIFS($B$8:TblDetailBudget[[#This Row],[Level]], Lvl1Hdr))</f>
        <v>1</v>
      </c>
      <c r="E12" s="62">
        <f>IF(TblDetailBudget[[#This Row],[Level]]="", "", COUNTIFS($B$8:TblDetailBudget[[#This Row],[Level]], Lvl2Hdr, $D$8:TblDetailBudget[[#This Row],[Lvl 1 Header]], TblDetailBudget[[#This Row],[Lvl 1 Header]]))</f>
        <v>1</v>
      </c>
      <c r="F12" s="62">
        <f>IF(TblDetailBudget[[#This Row],[Level]]="", "", COUNTIFS($B$8:TblDetailBudget[[#This Row],[Level]], Lvl3Hdr, $D$8:TblDetailBudget[[#This Row],[Lvl 1 Header]], TblDetailBudget[[#This Row],[Lvl 1 Header]], $E$8:TblDetailBudget[[#This Row],[Lvl 2 Header]], TblDetailBudget[[#This Row],[Lvl 2 Header]]))</f>
        <v>1</v>
      </c>
      <c r="G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2" s="101" t="s">
        <v>2290</v>
      </c>
      <c r="J12" s="101"/>
      <c r="K12" s="88"/>
      <c r="L12" s="88"/>
      <c r="M12" s="62" t="str">
        <f>IF(TblDetailBudget[[#This Row],[Level]]=LvlBottomHdr, IFERROR(INDEX(TblUnitCost[Unit], MATCH(TblDetailBudget[[#This Row],[Row Title]], TblUnitCost[Resource], 0)), "Invalid Resource"), "")</f>
        <v/>
      </c>
      <c r="N12" s="125" t="str">
        <f>IF(TblDetailBudget[[#This Row],[Level]]=LvlBottomHdr, IFERROR(INDEX(TblUnitCost[LCU], MATCH(TblDetailBudget[[#This Row],[Row Title]], TblUnitCost[Resource], 0)), "Invalid Resource"), "")</f>
        <v/>
      </c>
      <c r="O12" s="128"/>
      <c r="P12" s="108"/>
      <c r="Q12" s="129"/>
      <c r="R12" s="108" t="s">
        <v>66</v>
      </c>
      <c r="S12" s="108" t="s">
        <v>66</v>
      </c>
      <c r="T12" s="108" t="s">
        <v>66</v>
      </c>
      <c r="U12" s="108" t="s">
        <v>66</v>
      </c>
      <c r="V12" s="108" t="s">
        <v>66</v>
      </c>
      <c r="W12" s="125" t="str">
        <f>IF(TblDetailBudget[[#This Row],[Level]]=LvlBottomHdr, IF(SUM(TblDetailBudget[[#This Row],[2021 Quant]:[2025 Quant]])&gt;0, SUM(TblDetailBudget[[#This Row],[2021 Quant]:[2025 Quant]]), ""), "")</f>
        <v/>
      </c>
      <c r="X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292876014141.44696</v>
      </c>
      <c r="AC12" s="140">
        <f>SUM(TblDetailBudget[[#This Row],[2021 Cost (LCU)]:[2025 Cost (LCU)]])</f>
        <v>292876014141.44696</v>
      </c>
      <c r="AD12" s="134">
        <f>IFERROR(SUM(TblDetailBudget[[#This Row],[2021 Cost (LCU)]])/FX_Rate, "")</f>
        <v>0</v>
      </c>
      <c r="AE12" s="63">
        <f>IFERROR(SUM(TblDetailBudget[[#This Row],[2022 Cost (LCU)]])/FX_Rate, "")</f>
        <v>0</v>
      </c>
      <c r="AF12" s="63">
        <f>IFERROR(SUM(TblDetailBudget[[#This Row],[2023 Cost (LCU)]])/FX_Rate, "")</f>
        <v>0</v>
      </c>
      <c r="AG12" s="63">
        <f>IFERROR(SUM(TblDetailBudget[[#This Row],[2024 Cost (LCU)]])/FX_Rate, "")</f>
        <v>0</v>
      </c>
      <c r="AH12" s="63">
        <f>IFERROR(SUM(TblDetailBudget[[#This Row],[2025 Cost (LCU)]])/FX_Rate, "")</f>
        <v>183047508.83840436</v>
      </c>
      <c r="AI12" s="125">
        <f>SUM(TblDetailBudget[[#This Row],[2021 Cost (USD)]:[2025 Cost (USD)]])</f>
        <v>183047508.83840436</v>
      </c>
      <c r="AJ12" s="180"/>
    </row>
    <row r="13" spans="2:36" ht="12.75" customHeight="1">
      <c r="B13" s="122" t="s">
        <v>71</v>
      </c>
      <c r="C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1.1.1.1.1</v>
      </c>
      <c r="D13" s="62">
        <f>IF(TblDetailBudget[[#This Row],[Level]]="", "", COUNTIFS($B$8:TblDetailBudget[[#This Row],[Level]], Lvl1Hdr))</f>
        <v>1</v>
      </c>
      <c r="E13" s="62">
        <f>IF(TblDetailBudget[[#This Row],[Level]]="", "", COUNTIFS($B$8:TblDetailBudget[[#This Row],[Level]], Lvl2Hdr, $D$8:TblDetailBudget[[#This Row],[Lvl 1 Header]], TblDetailBudget[[#This Row],[Lvl 1 Header]]))</f>
        <v>1</v>
      </c>
      <c r="F13" s="62">
        <f>IF(TblDetailBudget[[#This Row],[Level]]="", "", COUNTIFS($B$8:TblDetailBudget[[#This Row],[Level]], Lvl3Hdr, $D$8:TblDetailBudget[[#This Row],[Lvl 1 Header]], TblDetailBudget[[#This Row],[Lvl 1 Header]], $E$8:TblDetailBudget[[#This Row],[Lvl 2 Header]], TblDetailBudget[[#This Row],[Lvl 2 Header]]))</f>
        <v>1</v>
      </c>
      <c r="G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 s="101" t="s">
        <v>2303</v>
      </c>
      <c r="J13" s="101" t="s">
        <v>1795</v>
      </c>
      <c r="K13" s="88"/>
      <c r="L13" s="88"/>
      <c r="M13" s="62" t="str">
        <f>IF(TblDetailBudget[[#This Row],[Level]]=LvlBottomHdr, IFERROR(INDEX(TblUnitCost[Unit], MATCH(TblDetailBudget[[#This Row],[Row Title]], TblUnitCost[Resource], 0)), "Invalid Resource"), "")</f>
        <v>per ITN</v>
      </c>
      <c r="N13" s="125">
        <f>IF(TblDetailBudget[[#This Row],[Level]]=LvlBottomHdr, IFERROR(INDEX(TblUnitCost[LCU], MATCH(TblDetailBudget[[#This Row],[Row Title]], TblUnitCost[Resource], 0)), "Invalid Resource"), "")</f>
        <v>5584.9688863999991</v>
      </c>
      <c r="O13" s="128">
        <f>'States and LGAs'!BJ6</f>
        <v>52440044</v>
      </c>
      <c r="P13" s="108">
        <v>1</v>
      </c>
      <c r="Q13" s="129">
        <v>1</v>
      </c>
      <c r="R13" s="108"/>
      <c r="S13" s="108"/>
      <c r="T13" s="108"/>
      <c r="U13" s="108"/>
      <c r="V13" s="108">
        <v>1</v>
      </c>
      <c r="W13" s="125">
        <f>IF(TblDetailBudget[[#This Row],[Level]]=LvlBottomHdr, IF(SUM(TblDetailBudget[[#This Row],[2021 Quant]:[2025 Quant]])&gt;0, SUM(TblDetailBudget[[#This Row],[2021 Quant]:[2025 Quant]]), ""), "")</f>
        <v>1</v>
      </c>
      <c r="X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292876014141.44696</v>
      </c>
      <c r="AC13" s="140">
        <f>SUM(TblDetailBudget[[#This Row],[2021 Cost (LCU)]:[2025 Cost (LCU)]])</f>
        <v>292876014141.44696</v>
      </c>
      <c r="AD13" s="134">
        <f>IFERROR(SUM(TblDetailBudget[[#This Row],[2021 Cost (LCU)]])/FX_Rate, "")</f>
        <v>0</v>
      </c>
      <c r="AE13" s="63">
        <f>IFERROR(SUM(TblDetailBudget[[#This Row],[2022 Cost (LCU)]])/FX_Rate, "")</f>
        <v>0</v>
      </c>
      <c r="AF13" s="63">
        <f>IFERROR(SUM(TblDetailBudget[[#This Row],[2023 Cost (LCU)]])/FX_Rate, "")</f>
        <v>0</v>
      </c>
      <c r="AG13" s="63">
        <f>IFERROR(SUM(TblDetailBudget[[#This Row],[2024 Cost (LCU)]])/FX_Rate, "")</f>
        <v>0</v>
      </c>
      <c r="AH13" s="63">
        <f>IFERROR(SUM(TblDetailBudget[[#This Row],[2025 Cost (LCU)]])/FX_Rate, "")</f>
        <v>183047508.83840436</v>
      </c>
      <c r="AI13" s="125">
        <f>SUM(TblDetailBudget[[#This Row],[2021 Cost (USD)]:[2025 Cost (USD)]])</f>
        <v>183047508.83840436</v>
      </c>
      <c r="AJ13" s="180"/>
    </row>
    <row r="14" spans="2:36" ht="12.75" hidden="1" customHeight="1">
      <c r="B14" s="122" t="s">
        <v>71</v>
      </c>
      <c r="C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1.1.1.1.2</v>
      </c>
      <c r="D14" s="62">
        <f>IF(TblDetailBudget[[#This Row],[Level]]="", "", COUNTIFS($B$8:TblDetailBudget[[#This Row],[Level]], Lvl1Hdr))</f>
        <v>1</v>
      </c>
      <c r="E14" s="62">
        <f>IF(TblDetailBudget[[#This Row],[Level]]="", "", COUNTIFS($B$8:TblDetailBudget[[#This Row],[Level]], Lvl2Hdr, $D$8:TblDetailBudget[[#This Row],[Lvl 1 Header]], TblDetailBudget[[#This Row],[Lvl 1 Header]]))</f>
        <v>1</v>
      </c>
      <c r="F14" s="62">
        <f>IF(TblDetailBudget[[#This Row],[Level]]="", "", COUNTIFS($B$8:TblDetailBudget[[#This Row],[Level]], Lvl3Hdr, $D$8:TblDetailBudget[[#This Row],[Lvl 1 Header]], TblDetailBudget[[#This Row],[Lvl 1 Header]], $E$8:TblDetailBudget[[#This Row],[Lvl 2 Header]], TblDetailBudget[[#This Row],[Lvl 2 Header]]))</f>
        <v>1</v>
      </c>
      <c r="G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4" s="101"/>
      <c r="J14" s="101"/>
      <c r="K14" s="88"/>
      <c r="L14" s="88"/>
      <c r="M14" s="62" t="str">
        <f>IF(TblDetailBudget[[#This Row],[Level]]=LvlBottomHdr, IFERROR(INDEX(TblUnitCost[Unit], MATCH(TblDetailBudget[[#This Row],[Row Title]], TblUnitCost[Resource], 0)), "Invalid Resource"), "")</f>
        <v>Invalid Resource</v>
      </c>
      <c r="N14" s="125" t="str">
        <f>IF(TblDetailBudget[[#This Row],[Level]]=LvlBottomHdr, IFERROR(INDEX(TblUnitCost[LCU], MATCH(TblDetailBudget[[#This Row],[Row Title]], TblUnitCost[Resource], 0)), "Invalid Resource"), "")</f>
        <v>Invalid Resource</v>
      </c>
      <c r="O14" s="128"/>
      <c r="P14" s="108"/>
      <c r="Q14" s="129"/>
      <c r="R14" s="108"/>
      <c r="S14" s="108"/>
      <c r="T14" s="108"/>
      <c r="U14" s="108"/>
      <c r="V14" s="108"/>
      <c r="W14" s="125" t="str">
        <f>IF(TblDetailBudget[[#This Row],[Level]]=LvlBottomHdr, IF(SUM(TblDetailBudget[[#This Row],[2021 Quant]:[2025 Quant]])&gt;0, SUM(TblDetailBudget[[#This Row],[2021 Quant]:[2025 Quant]]), ""), "")</f>
        <v/>
      </c>
      <c r="X1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 s="140">
        <f>SUM(TblDetailBudget[[#This Row],[2021 Cost (LCU)]:[2025 Cost (LCU)]])</f>
        <v>0</v>
      </c>
      <c r="AD14" s="134">
        <f>IFERROR(SUM(TblDetailBudget[[#This Row],[2021 Cost (LCU)]])/FX_Rate, "")</f>
        <v>0</v>
      </c>
      <c r="AE14" s="63">
        <f>IFERROR(SUM(TblDetailBudget[[#This Row],[2022 Cost (LCU)]])/FX_Rate, "")</f>
        <v>0</v>
      </c>
      <c r="AF14" s="63">
        <f>IFERROR(SUM(TblDetailBudget[[#This Row],[2023 Cost (LCU)]])/FX_Rate, "")</f>
        <v>0</v>
      </c>
      <c r="AG14" s="63">
        <f>IFERROR(SUM(TblDetailBudget[[#This Row],[2024 Cost (LCU)]])/FX_Rate, "")</f>
        <v>0</v>
      </c>
      <c r="AH14" s="63">
        <f>IFERROR(SUM(TblDetailBudget[[#This Row],[2025 Cost (LCU)]])/FX_Rate, "")</f>
        <v>0</v>
      </c>
      <c r="AI14" s="125">
        <f>SUM(TblDetailBudget[[#This Row],[2021 Cost (USD)]:[2025 Cost (USD)]])</f>
        <v>0</v>
      </c>
      <c r="AJ14" s="180"/>
    </row>
    <row r="15" spans="2:36" ht="12.75" hidden="1" customHeight="1">
      <c r="B15" s="122" t="s">
        <v>71</v>
      </c>
      <c r="C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1.1.1.1.3</v>
      </c>
      <c r="D15" s="62">
        <f>IF(TblDetailBudget[[#This Row],[Level]]="", "", COUNTIFS($B$8:TblDetailBudget[[#This Row],[Level]], Lvl1Hdr))</f>
        <v>1</v>
      </c>
      <c r="E15" s="62">
        <f>IF(TblDetailBudget[[#This Row],[Level]]="", "", COUNTIFS($B$8:TblDetailBudget[[#This Row],[Level]], Lvl2Hdr, $D$8:TblDetailBudget[[#This Row],[Lvl 1 Header]], TblDetailBudget[[#This Row],[Lvl 1 Header]]))</f>
        <v>1</v>
      </c>
      <c r="F15" s="62">
        <f>IF(TblDetailBudget[[#This Row],[Level]]="", "", COUNTIFS($B$8:TblDetailBudget[[#This Row],[Level]], Lvl3Hdr, $D$8:TblDetailBudget[[#This Row],[Lvl 1 Header]], TblDetailBudget[[#This Row],[Lvl 1 Header]], $E$8:TblDetailBudget[[#This Row],[Lvl 2 Header]], TblDetailBudget[[#This Row],[Lvl 2 Header]]))</f>
        <v>1</v>
      </c>
      <c r="G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5" s="101"/>
      <c r="J15" s="101"/>
      <c r="K15" s="88"/>
      <c r="L15" s="88"/>
      <c r="M15" s="62" t="str">
        <f>IF(TblDetailBudget[[#This Row],[Level]]=LvlBottomHdr, IFERROR(INDEX(TblUnitCost[Unit], MATCH(TblDetailBudget[[#This Row],[Row Title]], TblUnitCost[Resource], 0)), "Invalid Resource"), "")</f>
        <v>Invalid Resource</v>
      </c>
      <c r="N15" s="125" t="str">
        <f>IF(TblDetailBudget[[#This Row],[Level]]=LvlBottomHdr, IFERROR(INDEX(TblUnitCost[LCU], MATCH(TblDetailBudget[[#This Row],[Row Title]], TblUnitCost[Resource], 0)), "Invalid Resource"), "")</f>
        <v>Invalid Resource</v>
      </c>
      <c r="O15" s="128"/>
      <c r="P15" s="108"/>
      <c r="Q15" s="129"/>
      <c r="R15" s="108"/>
      <c r="S15" s="108"/>
      <c r="T15" s="108"/>
      <c r="U15" s="108"/>
      <c r="V15" s="108"/>
      <c r="W15" s="125" t="str">
        <f>IF(TblDetailBudget[[#This Row],[Level]]=LvlBottomHdr, IF(SUM(TblDetailBudget[[#This Row],[2021 Quant]:[2025 Quant]])&gt;0, SUM(TblDetailBudget[[#This Row],[2021 Quant]:[2025 Quant]]), ""), "")</f>
        <v/>
      </c>
      <c r="X1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5" s="140">
        <f>SUM(TblDetailBudget[[#This Row],[2021 Cost (LCU)]:[2025 Cost (LCU)]])</f>
        <v>0</v>
      </c>
      <c r="AD15" s="134">
        <f>IFERROR(SUM(TblDetailBudget[[#This Row],[2021 Cost (LCU)]])/FX_Rate, "")</f>
        <v>0</v>
      </c>
      <c r="AE15" s="63">
        <f>IFERROR(SUM(TblDetailBudget[[#This Row],[2022 Cost (LCU)]])/FX_Rate, "")</f>
        <v>0</v>
      </c>
      <c r="AF15" s="63">
        <f>IFERROR(SUM(TblDetailBudget[[#This Row],[2023 Cost (LCU)]])/FX_Rate, "")</f>
        <v>0</v>
      </c>
      <c r="AG15" s="63">
        <f>IFERROR(SUM(TblDetailBudget[[#This Row],[2024 Cost (LCU)]])/FX_Rate, "")</f>
        <v>0</v>
      </c>
      <c r="AH15" s="63">
        <f>IFERROR(SUM(TblDetailBudget[[#This Row],[2025 Cost (LCU)]])/FX_Rate, "")</f>
        <v>0</v>
      </c>
      <c r="AI15" s="125">
        <f>SUM(TblDetailBudget[[#This Row],[2021 Cost (USD)]:[2025 Cost (USD)]])</f>
        <v>0</v>
      </c>
      <c r="AJ15" s="180"/>
    </row>
    <row r="16" spans="2:36" ht="12.75" customHeight="1">
      <c r="B16" s="122" t="s">
        <v>70</v>
      </c>
      <c r="C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1.1.1.2</v>
      </c>
      <c r="D16" s="62">
        <f>IF(TblDetailBudget[[#This Row],[Level]]="", "", COUNTIFS($B$8:TblDetailBudget[[#This Row],[Level]], Lvl1Hdr))</f>
        <v>1</v>
      </c>
      <c r="E16" s="62">
        <f>IF(TblDetailBudget[[#This Row],[Level]]="", "", COUNTIFS($B$8:TblDetailBudget[[#This Row],[Level]], Lvl2Hdr, $D$8:TblDetailBudget[[#This Row],[Lvl 1 Header]], TblDetailBudget[[#This Row],[Lvl 1 Header]]))</f>
        <v>1</v>
      </c>
      <c r="F16" s="62">
        <f>IF(TblDetailBudget[[#This Row],[Level]]="", "", COUNTIFS($B$8:TblDetailBudget[[#This Row],[Level]], Lvl3Hdr, $D$8:TblDetailBudget[[#This Row],[Lvl 1 Header]], TblDetailBudget[[#This Row],[Lvl 1 Header]], $E$8:TblDetailBudget[[#This Row],[Lvl 2 Header]], TblDetailBudget[[#This Row],[Lvl 2 Header]]))</f>
        <v>1</v>
      </c>
      <c r="G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 s="101" t="s">
        <v>2559</v>
      </c>
      <c r="J16" s="101"/>
      <c r="K16" s="88"/>
      <c r="L16" s="88"/>
      <c r="M16" s="62" t="str">
        <f>IF(TblDetailBudget[[#This Row],[Level]]=LvlBottomHdr, IFERROR(INDEX(TblUnitCost[Unit], MATCH(TblDetailBudget[[#This Row],[Row Title]], TblUnitCost[Resource], 0)), "Invalid Resource"), "")</f>
        <v/>
      </c>
      <c r="N16" s="125" t="str">
        <f>IF(TblDetailBudget[[#This Row],[Level]]=LvlBottomHdr, IFERROR(INDEX(TblUnitCost[LCU], MATCH(TblDetailBudget[[#This Row],[Row Title]], TblUnitCost[Resource], 0)), "Invalid Resource"), "")</f>
        <v/>
      </c>
      <c r="O16" s="128"/>
      <c r="P16" s="108"/>
      <c r="Q16" s="129"/>
      <c r="R16" s="108"/>
      <c r="S16" s="108"/>
      <c r="T16" s="108"/>
      <c r="U16" s="108"/>
      <c r="V16" s="108"/>
      <c r="W16" s="125" t="str">
        <f>IF(TblDetailBudget[[#This Row],[Level]]=LvlBottomHdr, IF(SUM(TblDetailBudget[[#This Row],[2021 Quant]:[2025 Quant]])&gt;0, SUM(TblDetailBudget[[#This Row],[2021 Quant]:[2025 Quant]]), ""), "")</f>
        <v/>
      </c>
      <c r="X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10488008800.000002</v>
      </c>
      <c r="AC16" s="140">
        <f>SUM(TblDetailBudget[[#This Row],[2021 Cost (LCU)]:[2025 Cost (LCU)]])</f>
        <v>10488008800.000002</v>
      </c>
      <c r="AD16" s="134">
        <f>IFERROR(SUM(TblDetailBudget[[#This Row],[2021 Cost (LCU)]])/FX_Rate, "")</f>
        <v>0</v>
      </c>
      <c r="AE16" s="63">
        <f>IFERROR(SUM(TblDetailBudget[[#This Row],[2022 Cost (LCU)]])/FX_Rate, "")</f>
        <v>0</v>
      </c>
      <c r="AF16" s="63">
        <f>IFERROR(SUM(TblDetailBudget[[#This Row],[2023 Cost (LCU)]])/FX_Rate, "")</f>
        <v>0</v>
      </c>
      <c r="AG16" s="63">
        <f>IFERROR(SUM(TblDetailBudget[[#This Row],[2024 Cost (LCU)]])/FX_Rate, "")</f>
        <v>0</v>
      </c>
      <c r="AH16" s="63">
        <f>IFERROR(SUM(TblDetailBudget[[#This Row],[2025 Cost (LCU)]])/FX_Rate, "")</f>
        <v>6555005.5000000009</v>
      </c>
      <c r="AI16" s="125">
        <f>SUM(TblDetailBudget[[#This Row],[2021 Cost (USD)]:[2025 Cost (USD)]])</f>
        <v>6555005.5000000009</v>
      </c>
      <c r="AJ16" s="180"/>
    </row>
    <row r="17" spans="2:36" ht="12.75" customHeight="1">
      <c r="B17" s="122" t="s">
        <v>71</v>
      </c>
      <c r="C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1.1.1.2.1</v>
      </c>
      <c r="D17" s="62">
        <f>IF(TblDetailBudget[[#This Row],[Level]]="", "", COUNTIFS($B$8:TblDetailBudget[[#This Row],[Level]], Lvl1Hdr))</f>
        <v>1</v>
      </c>
      <c r="E17" s="62">
        <f>IF(TblDetailBudget[[#This Row],[Level]]="", "", COUNTIFS($B$8:TblDetailBudget[[#This Row],[Level]], Lvl2Hdr, $D$8:TblDetailBudget[[#This Row],[Lvl 1 Header]], TblDetailBudget[[#This Row],[Lvl 1 Header]]))</f>
        <v>1</v>
      </c>
      <c r="F17" s="62">
        <f>IF(TblDetailBudget[[#This Row],[Level]]="", "", COUNTIFS($B$8:TblDetailBudget[[#This Row],[Level]], Lvl3Hdr, $D$8:TblDetailBudget[[#This Row],[Lvl 1 Header]], TblDetailBudget[[#This Row],[Lvl 1 Header]], $E$8:TblDetailBudget[[#This Row],[Lvl 2 Header]], TblDetailBudget[[#This Row],[Lvl 2 Header]]))</f>
        <v>1</v>
      </c>
      <c r="G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 s="96" t="s">
        <v>2564</v>
      </c>
      <c r="J17" s="101"/>
      <c r="K17" s="88"/>
      <c r="L17" s="88"/>
      <c r="M17" s="62" t="str">
        <f>IF(TblDetailBudget[[#This Row],[Level]]=LvlBottomHdr, IFERROR(INDEX(TblUnitCost[Unit], MATCH(TblDetailBudget[[#This Row],[Row Title]], TblUnitCost[Resource], 0)), "Invalid Resource"), "")</f>
        <v>per bale</v>
      </c>
      <c r="N17" s="125">
        <f>IF(TblDetailBudget[[#This Row],[Level]]=LvlBottomHdr, IFERROR(INDEX(TblUnitCost[LCU], MATCH(TblDetailBudget[[#This Row],[Row Title]], TblUnitCost[Resource], 0)), "Invalid Resource"), "")</f>
        <v>10000</v>
      </c>
      <c r="O17" s="128">
        <f>'States and LGAs'!BL6</f>
        <v>1048800.8800000001</v>
      </c>
      <c r="P17" s="108">
        <v>1</v>
      </c>
      <c r="Q17" s="129">
        <v>1</v>
      </c>
      <c r="R17" s="108"/>
      <c r="S17" s="108"/>
      <c r="T17" s="108"/>
      <c r="U17" s="108"/>
      <c r="V17" s="108">
        <v>1</v>
      </c>
      <c r="W17" s="125">
        <f>IF(TblDetailBudget[[#This Row],[Level]]=LvlBottomHdr, IF(SUM(TblDetailBudget[[#This Row],[2021 Quant]:[2025 Quant]])&gt;0, SUM(TblDetailBudget[[#This Row],[2021 Quant]:[2025 Quant]]), ""), "")</f>
        <v>1</v>
      </c>
      <c r="X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10488008800.000002</v>
      </c>
      <c r="AC17" s="140">
        <f>SUM(TblDetailBudget[[#This Row],[2021 Cost (LCU)]:[2025 Cost (LCU)]])</f>
        <v>10488008800.000002</v>
      </c>
      <c r="AD17" s="134">
        <f>IFERROR(SUM(TblDetailBudget[[#This Row],[2021 Cost (LCU)]])/FX_Rate, "")</f>
        <v>0</v>
      </c>
      <c r="AE17" s="63">
        <f>IFERROR(SUM(TblDetailBudget[[#This Row],[2022 Cost (LCU)]])/FX_Rate, "")</f>
        <v>0</v>
      </c>
      <c r="AF17" s="63">
        <f>IFERROR(SUM(TblDetailBudget[[#This Row],[2023 Cost (LCU)]])/FX_Rate, "")</f>
        <v>0</v>
      </c>
      <c r="AG17" s="63">
        <f>IFERROR(SUM(TblDetailBudget[[#This Row],[2024 Cost (LCU)]])/FX_Rate, "")</f>
        <v>0</v>
      </c>
      <c r="AH17" s="63">
        <f>IFERROR(SUM(TblDetailBudget[[#This Row],[2025 Cost (LCU)]])/FX_Rate, "")</f>
        <v>6555005.5000000009</v>
      </c>
      <c r="AI17" s="125">
        <f>SUM(TblDetailBudget[[#This Row],[2021 Cost (USD)]:[2025 Cost (USD)]])</f>
        <v>6555005.5000000009</v>
      </c>
      <c r="AJ17" s="180"/>
    </row>
    <row r="18" spans="2:36" ht="12.75" hidden="1" customHeight="1">
      <c r="B18" s="122" t="s">
        <v>70</v>
      </c>
      <c r="C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v>
      </c>
      <c r="D18" s="62">
        <f>IF(TblDetailBudget[[#This Row],[Level]]="", "", COUNTIFS($B$8:TblDetailBudget[[#This Row],[Level]], Lvl1Hdr))</f>
        <v>1</v>
      </c>
      <c r="E18" s="62">
        <f>IF(TblDetailBudget[[#This Row],[Level]]="", "", COUNTIFS($B$8:TblDetailBudget[[#This Row],[Level]], Lvl2Hdr, $D$8:TblDetailBudget[[#This Row],[Lvl 1 Header]], TblDetailBudget[[#This Row],[Lvl 1 Header]]))</f>
        <v>1</v>
      </c>
      <c r="F18" s="62">
        <f>IF(TblDetailBudget[[#This Row],[Level]]="", "", COUNTIFS($B$8:TblDetailBudget[[#This Row],[Level]], Lvl3Hdr, $D$8:TblDetailBudget[[#This Row],[Lvl 1 Header]], TblDetailBudget[[#This Row],[Lvl 1 Header]], $E$8:TblDetailBudget[[#This Row],[Lvl 2 Header]], TblDetailBudget[[#This Row],[Lvl 2 Header]]))</f>
        <v>1</v>
      </c>
      <c r="G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 s="101"/>
      <c r="J18" s="101"/>
      <c r="K18" s="88"/>
      <c r="L18" s="88"/>
      <c r="M18" s="62" t="str">
        <f>IF(TblDetailBudget[[#This Row],[Level]]=LvlBottomHdr, IFERROR(INDEX(TblUnitCost[Unit], MATCH(TblDetailBudget[[#This Row],[Row Title]], TblUnitCost[Resource], 0)), "Invalid Resource"), "")</f>
        <v/>
      </c>
      <c r="N18" s="125" t="str">
        <f>IF(TblDetailBudget[[#This Row],[Level]]=LvlBottomHdr, IFERROR(INDEX(TblUnitCost[LCU], MATCH(TblDetailBudget[[#This Row],[Row Title]], TblUnitCost[Resource], 0)), "Invalid Resource"), "")</f>
        <v/>
      </c>
      <c r="O18" s="128"/>
      <c r="P18" s="108"/>
      <c r="Q18" s="129"/>
      <c r="R18" s="108"/>
      <c r="S18" s="108"/>
      <c r="T18" s="108"/>
      <c r="U18" s="108"/>
      <c r="V18" s="108"/>
      <c r="W18" s="125" t="str">
        <f>IF(TblDetailBudget[[#This Row],[Level]]=LvlBottomHdr, IF(SUM(TblDetailBudget[[#This Row],[2021 Quant]:[2025 Quant]])&gt;0, SUM(TblDetailBudget[[#This Row],[2021 Quant]:[2025 Quant]]), ""), "")</f>
        <v/>
      </c>
      <c r="X1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 s="140">
        <f>SUM(TblDetailBudget[[#This Row],[2021 Cost (LCU)]:[2025 Cost (LCU)]])</f>
        <v>0</v>
      </c>
      <c r="AD18" s="134">
        <f>IFERROR(SUM(TblDetailBudget[[#This Row],[2021 Cost (LCU)]])/FX_Rate, "")</f>
        <v>0</v>
      </c>
      <c r="AE18" s="63">
        <f>IFERROR(SUM(TblDetailBudget[[#This Row],[2022 Cost (LCU)]])/FX_Rate, "")</f>
        <v>0</v>
      </c>
      <c r="AF18" s="63">
        <f>IFERROR(SUM(TblDetailBudget[[#This Row],[2023 Cost (LCU)]])/FX_Rate, "")</f>
        <v>0</v>
      </c>
      <c r="AG18" s="63">
        <f>IFERROR(SUM(TblDetailBudget[[#This Row],[2024 Cost (LCU)]])/FX_Rate, "")</f>
        <v>0</v>
      </c>
      <c r="AH18" s="63">
        <f>IFERROR(SUM(TblDetailBudget[[#This Row],[2025 Cost (LCU)]])/FX_Rate, "")</f>
        <v>0</v>
      </c>
      <c r="AI18" s="125">
        <f>SUM(TblDetailBudget[[#This Row],[2021 Cost (USD)]:[2025 Cost (USD)]])</f>
        <v>0</v>
      </c>
      <c r="AJ18" s="180"/>
    </row>
    <row r="19" spans="2:36" ht="12.75" hidden="1" customHeight="1">
      <c r="B19" s="122" t="s">
        <v>71</v>
      </c>
      <c r="C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1.1.1.3.1</v>
      </c>
      <c r="D19" s="62">
        <f>IF(TblDetailBudget[[#This Row],[Level]]="", "", COUNTIFS($B$8:TblDetailBudget[[#This Row],[Level]], Lvl1Hdr))</f>
        <v>1</v>
      </c>
      <c r="E19" s="62">
        <f>IF(TblDetailBudget[[#This Row],[Level]]="", "", COUNTIFS($B$8:TblDetailBudget[[#This Row],[Level]], Lvl2Hdr, $D$8:TblDetailBudget[[#This Row],[Lvl 1 Header]], TblDetailBudget[[#This Row],[Lvl 1 Header]]))</f>
        <v>1</v>
      </c>
      <c r="F19" s="62">
        <f>IF(TblDetailBudget[[#This Row],[Level]]="", "", COUNTIFS($B$8:TblDetailBudget[[#This Row],[Level]], Lvl3Hdr, $D$8:TblDetailBudget[[#This Row],[Lvl 1 Header]], TblDetailBudget[[#This Row],[Lvl 1 Header]], $E$8:TblDetailBudget[[#This Row],[Lvl 2 Header]], TblDetailBudget[[#This Row],[Lvl 2 Header]]))</f>
        <v>1</v>
      </c>
      <c r="G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 s="101"/>
      <c r="J19" s="101"/>
      <c r="K19" s="88"/>
      <c r="L19" s="88"/>
      <c r="M19" s="62" t="str">
        <f>IF(TblDetailBudget[[#This Row],[Level]]=LvlBottomHdr, IFERROR(INDEX(TblUnitCost[Unit], MATCH(TblDetailBudget[[#This Row],[Row Title]], TblUnitCost[Resource], 0)), "Invalid Resource"), "")</f>
        <v>Invalid Resource</v>
      </c>
      <c r="N19" s="125" t="str">
        <f>IF(TblDetailBudget[[#This Row],[Level]]=LvlBottomHdr, IFERROR(INDEX(TblUnitCost[LCU], MATCH(TblDetailBudget[[#This Row],[Row Title]], TblUnitCost[Resource], 0)), "Invalid Resource"), "")</f>
        <v>Invalid Resource</v>
      </c>
      <c r="O19" s="128"/>
      <c r="P19" s="108"/>
      <c r="Q19" s="129"/>
      <c r="R19" s="108"/>
      <c r="S19" s="108"/>
      <c r="T19" s="108"/>
      <c r="U19" s="108"/>
      <c r="V19" s="108"/>
      <c r="W19" s="125" t="str">
        <f>IF(TblDetailBudget[[#This Row],[Level]]=LvlBottomHdr, IF(SUM(TblDetailBudget[[#This Row],[2021 Quant]:[2025 Quant]])&gt;0, SUM(TblDetailBudget[[#This Row],[2021 Quant]:[2025 Quant]]), ""), "")</f>
        <v/>
      </c>
      <c r="X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 s="140">
        <f>SUM(TblDetailBudget[[#This Row],[2021 Cost (LCU)]:[2025 Cost (LCU)]])</f>
        <v>0</v>
      </c>
      <c r="AD19" s="134">
        <f>IFERROR(SUM(TblDetailBudget[[#This Row],[2021 Cost (LCU)]])/FX_Rate, "")</f>
        <v>0</v>
      </c>
      <c r="AE19" s="63">
        <f>IFERROR(SUM(TblDetailBudget[[#This Row],[2022 Cost (LCU)]])/FX_Rate, "")</f>
        <v>0</v>
      </c>
      <c r="AF19" s="63">
        <f>IFERROR(SUM(TblDetailBudget[[#This Row],[2023 Cost (LCU)]])/FX_Rate, "")</f>
        <v>0</v>
      </c>
      <c r="AG19" s="63">
        <f>IFERROR(SUM(TblDetailBudget[[#This Row],[2024 Cost (LCU)]])/FX_Rate, "")</f>
        <v>0</v>
      </c>
      <c r="AH19" s="63">
        <f>IFERROR(SUM(TblDetailBudget[[#This Row],[2025 Cost (LCU)]])/FX_Rate, "")</f>
        <v>0</v>
      </c>
      <c r="AI19" s="125">
        <f>SUM(TblDetailBudget[[#This Row],[2021 Cost (USD)]:[2025 Cost (USD)]])</f>
        <v>0</v>
      </c>
      <c r="AJ19" s="180"/>
    </row>
    <row r="20" spans="2:36" ht="12.75" hidden="1" customHeight="1">
      <c r="B20" s="122" t="s">
        <v>71</v>
      </c>
      <c r="C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1.1.1.3.2</v>
      </c>
      <c r="D20" s="62">
        <f>IF(TblDetailBudget[[#This Row],[Level]]="", "", COUNTIFS($B$8:TblDetailBudget[[#This Row],[Level]], Lvl1Hdr))</f>
        <v>1</v>
      </c>
      <c r="E20" s="62">
        <f>IF(TblDetailBudget[[#This Row],[Level]]="", "", COUNTIFS($B$8:TblDetailBudget[[#This Row],[Level]], Lvl2Hdr, $D$8:TblDetailBudget[[#This Row],[Lvl 1 Header]], TblDetailBudget[[#This Row],[Lvl 1 Header]]))</f>
        <v>1</v>
      </c>
      <c r="F20" s="62">
        <f>IF(TblDetailBudget[[#This Row],[Level]]="", "", COUNTIFS($B$8:TblDetailBudget[[#This Row],[Level]], Lvl3Hdr, $D$8:TblDetailBudget[[#This Row],[Lvl 1 Header]], TblDetailBudget[[#This Row],[Lvl 1 Header]], $E$8:TblDetailBudget[[#This Row],[Lvl 2 Header]], TblDetailBudget[[#This Row],[Lvl 2 Header]]))</f>
        <v>1</v>
      </c>
      <c r="G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0" s="101"/>
      <c r="J20" s="101"/>
      <c r="K20" s="88"/>
      <c r="L20" s="88"/>
      <c r="M20" s="62" t="str">
        <f>IF(TblDetailBudget[[#This Row],[Level]]=LvlBottomHdr, IFERROR(INDEX(TblUnitCost[Unit], MATCH(TblDetailBudget[[#This Row],[Row Title]], TblUnitCost[Resource], 0)), "Invalid Resource"), "")</f>
        <v>Invalid Resource</v>
      </c>
      <c r="N20" s="125" t="str">
        <f>IF(TblDetailBudget[[#This Row],[Level]]=LvlBottomHdr, IFERROR(INDEX(TblUnitCost[LCU], MATCH(TblDetailBudget[[#This Row],[Row Title]], TblUnitCost[Resource], 0)), "Invalid Resource"), "")</f>
        <v>Invalid Resource</v>
      </c>
      <c r="O20" s="128"/>
      <c r="P20" s="108"/>
      <c r="Q20" s="129"/>
      <c r="R20" s="108"/>
      <c r="S20" s="108"/>
      <c r="T20" s="108"/>
      <c r="U20" s="108"/>
      <c r="V20" s="108"/>
      <c r="W20" s="125" t="str">
        <f>IF(TblDetailBudget[[#This Row],[Level]]=LvlBottomHdr, IF(SUM(TblDetailBudget[[#This Row],[2021 Quant]:[2025 Quant]])&gt;0, SUM(TblDetailBudget[[#This Row],[2021 Quant]:[2025 Quant]]), ""), "")</f>
        <v/>
      </c>
      <c r="X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0" s="140">
        <f>SUM(TblDetailBudget[[#This Row],[2021 Cost (LCU)]:[2025 Cost (LCU)]])</f>
        <v>0</v>
      </c>
      <c r="AD20" s="134">
        <f>IFERROR(SUM(TblDetailBudget[[#This Row],[2021 Cost (LCU)]])/FX_Rate, "")</f>
        <v>0</v>
      </c>
      <c r="AE20" s="63">
        <f>IFERROR(SUM(TblDetailBudget[[#This Row],[2022 Cost (LCU)]])/FX_Rate, "")</f>
        <v>0</v>
      </c>
      <c r="AF20" s="63">
        <f>IFERROR(SUM(TblDetailBudget[[#This Row],[2023 Cost (LCU)]])/FX_Rate, "")</f>
        <v>0</v>
      </c>
      <c r="AG20" s="63">
        <f>IFERROR(SUM(TblDetailBudget[[#This Row],[2024 Cost (LCU)]])/FX_Rate, "")</f>
        <v>0</v>
      </c>
      <c r="AH20" s="63">
        <f>IFERROR(SUM(TblDetailBudget[[#This Row],[2025 Cost (LCU)]])/FX_Rate, "")</f>
        <v>0</v>
      </c>
      <c r="AI20" s="125">
        <f>SUM(TblDetailBudget[[#This Row],[2021 Cost (USD)]:[2025 Cost (USD)]])</f>
        <v>0</v>
      </c>
      <c r="AJ20" s="180"/>
    </row>
    <row r="21" spans="2:36" ht="12.75" hidden="1" customHeight="1">
      <c r="B21" s="122" t="s">
        <v>71</v>
      </c>
      <c r="C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1.1.1.3.3</v>
      </c>
      <c r="D21" s="62">
        <f>IF(TblDetailBudget[[#This Row],[Level]]="", "", COUNTIFS($B$8:TblDetailBudget[[#This Row],[Level]], Lvl1Hdr))</f>
        <v>1</v>
      </c>
      <c r="E21" s="62">
        <f>IF(TblDetailBudget[[#This Row],[Level]]="", "", COUNTIFS($B$8:TblDetailBudget[[#This Row],[Level]], Lvl2Hdr, $D$8:TblDetailBudget[[#This Row],[Lvl 1 Header]], TblDetailBudget[[#This Row],[Lvl 1 Header]]))</f>
        <v>1</v>
      </c>
      <c r="F21" s="62">
        <f>IF(TblDetailBudget[[#This Row],[Level]]="", "", COUNTIFS($B$8:TblDetailBudget[[#This Row],[Level]], Lvl3Hdr, $D$8:TblDetailBudget[[#This Row],[Lvl 1 Header]], TblDetailBudget[[#This Row],[Lvl 1 Header]], $E$8:TblDetailBudget[[#This Row],[Lvl 2 Header]], TblDetailBudget[[#This Row],[Lvl 2 Header]]))</f>
        <v>1</v>
      </c>
      <c r="G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1" s="101"/>
      <c r="J21" s="101"/>
      <c r="K21" s="88"/>
      <c r="L21" s="88"/>
      <c r="M21" s="62" t="str">
        <f>IF(TblDetailBudget[[#This Row],[Level]]=LvlBottomHdr, IFERROR(INDEX(TblUnitCost[Unit], MATCH(TblDetailBudget[[#This Row],[Row Title]], TblUnitCost[Resource], 0)), "Invalid Resource"), "")</f>
        <v>Invalid Resource</v>
      </c>
      <c r="N21" s="125" t="str">
        <f>IF(TblDetailBudget[[#This Row],[Level]]=LvlBottomHdr, IFERROR(INDEX(TblUnitCost[LCU], MATCH(TblDetailBudget[[#This Row],[Row Title]], TblUnitCost[Resource], 0)), "Invalid Resource"), "")</f>
        <v>Invalid Resource</v>
      </c>
      <c r="O21" s="128"/>
      <c r="P21" s="108"/>
      <c r="Q21" s="129"/>
      <c r="R21" s="108"/>
      <c r="S21" s="108"/>
      <c r="T21" s="108"/>
      <c r="U21" s="108"/>
      <c r="V21" s="108"/>
      <c r="W21" s="125" t="str">
        <f>IF(TblDetailBudget[[#This Row],[Level]]=LvlBottomHdr, IF(SUM(TblDetailBudget[[#This Row],[2021 Quant]:[2025 Quant]])&gt;0, SUM(TblDetailBudget[[#This Row],[2021 Quant]:[2025 Quant]]), ""), "")</f>
        <v/>
      </c>
      <c r="X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1" s="140">
        <f>SUM(TblDetailBudget[[#This Row],[2021 Cost (LCU)]:[2025 Cost (LCU)]])</f>
        <v>0</v>
      </c>
      <c r="AD21" s="134">
        <f>IFERROR(SUM(TblDetailBudget[[#This Row],[2021 Cost (LCU)]])/FX_Rate, "")</f>
        <v>0</v>
      </c>
      <c r="AE21" s="63">
        <f>IFERROR(SUM(TblDetailBudget[[#This Row],[2022 Cost (LCU)]])/FX_Rate, "")</f>
        <v>0</v>
      </c>
      <c r="AF21" s="63">
        <f>IFERROR(SUM(TblDetailBudget[[#This Row],[2023 Cost (LCU)]])/FX_Rate, "")</f>
        <v>0</v>
      </c>
      <c r="AG21" s="63">
        <f>IFERROR(SUM(TblDetailBudget[[#This Row],[2024 Cost (LCU)]])/FX_Rate, "")</f>
        <v>0</v>
      </c>
      <c r="AH21" s="63">
        <f>IFERROR(SUM(TblDetailBudget[[#This Row],[2025 Cost (LCU)]])/FX_Rate, "")</f>
        <v>0</v>
      </c>
      <c r="AI21" s="125">
        <f>SUM(TblDetailBudget[[#This Row],[2021 Cost (USD)]:[2025 Cost (USD)]])</f>
        <v>0</v>
      </c>
      <c r="AJ21" s="180"/>
    </row>
    <row r="22" spans="2:36" ht="12.75" customHeight="1">
      <c r="B22" s="122" t="s">
        <v>69</v>
      </c>
      <c r="C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v>
      </c>
      <c r="D22" s="62">
        <f>IF(TblDetailBudget[[#This Row],[Level]]="", "", COUNTIFS($B$8:TblDetailBudget[[#This Row],[Level]], Lvl1Hdr))</f>
        <v>1</v>
      </c>
      <c r="E22" s="62">
        <f>IF(TblDetailBudget[[#This Row],[Level]]="", "", COUNTIFS($B$8:TblDetailBudget[[#This Row],[Level]], Lvl2Hdr, $D$8:TblDetailBudget[[#This Row],[Lvl 1 Header]], TblDetailBudget[[#This Row],[Lvl 1 Header]]))</f>
        <v>1</v>
      </c>
      <c r="F22" s="62">
        <f>IF(TblDetailBudget[[#This Row],[Level]]="", "", COUNTIFS($B$8:TblDetailBudget[[#This Row],[Level]], Lvl3Hdr, $D$8:TblDetailBudget[[#This Row],[Lvl 1 Header]], TblDetailBudget[[#This Row],[Lvl 1 Header]], $E$8:TblDetailBudget[[#This Row],[Lvl 2 Header]], TblDetailBudget[[#This Row],[Lvl 2 Header]]))</f>
        <v>2</v>
      </c>
      <c r="G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 s="185" t="s">
        <v>2557</v>
      </c>
      <c r="J22" s="101"/>
      <c r="K22" s="88"/>
      <c r="L22" s="88"/>
      <c r="M22" s="62" t="str">
        <f>IF(TblDetailBudget[[#This Row],[Level]]=LvlBottomHdr, IFERROR(INDEX(TblUnitCost[Unit], MATCH(TblDetailBudget[[#This Row],[Row Title]], TblUnitCost[Resource], 0)), "Invalid Resource"), "")</f>
        <v/>
      </c>
      <c r="N22" s="125" t="str">
        <f>IF(TblDetailBudget[[#This Row],[Level]]=LvlBottomHdr, IFERROR(INDEX(TblUnitCost[LCU], MATCH(TblDetailBudget[[#This Row],[Row Title]], TblUnitCost[Resource], 0)), "Invalid Resource"), "")</f>
        <v/>
      </c>
      <c r="O22" s="128"/>
      <c r="P22" s="108"/>
      <c r="Q22" s="129"/>
      <c r="R22" s="108"/>
      <c r="S22" s="108"/>
      <c r="T22" s="108"/>
      <c r="U22" s="108"/>
      <c r="V22" s="108"/>
      <c r="W22" s="125" t="str">
        <f>IF(TblDetailBudget[[#This Row],[Level]]=LvlBottomHdr, IF(SUM(TblDetailBudget[[#This Row],[2021 Quant]:[2025 Quant]])&gt;0, SUM(TblDetailBudget[[#This Row],[2021 Quant]:[2025 Quant]]), ""), "")</f>
        <v/>
      </c>
      <c r="X2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30632985696</v>
      </c>
      <c r="AC22" s="140">
        <f>SUM(TblDetailBudget[[#This Row],[2021 Cost (LCU)]:[2025 Cost (LCU)]])</f>
        <v>30632985696</v>
      </c>
      <c r="AD22" s="134">
        <f>IFERROR(SUM(TblDetailBudget[[#This Row],[2021 Cost (LCU)]])/FX_Rate, "")</f>
        <v>0</v>
      </c>
      <c r="AE22" s="63">
        <f>IFERROR(SUM(TblDetailBudget[[#This Row],[2022 Cost (LCU)]])/FX_Rate, "")</f>
        <v>0</v>
      </c>
      <c r="AF22" s="63">
        <f>IFERROR(SUM(TblDetailBudget[[#This Row],[2023 Cost (LCU)]])/FX_Rate, "")</f>
        <v>0</v>
      </c>
      <c r="AG22" s="63">
        <f>IFERROR(SUM(TblDetailBudget[[#This Row],[2024 Cost (LCU)]])/FX_Rate, "")</f>
        <v>0</v>
      </c>
      <c r="AH22" s="63">
        <f>IFERROR(SUM(TblDetailBudget[[#This Row],[2025 Cost (LCU)]])/FX_Rate, "")</f>
        <v>19145616.059999999</v>
      </c>
      <c r="AI22" s="125">
        <f>SUM(TblDetailBudget[[#This Row],[2021 Cost (USD)]:[2025 Cost (USD)]])</f>
        <v>19145616.059999999</v>
      </c>
      <c r="AJ22" s="180" t="s">
        <v>32</v>
      </c>
    </row>
    <row r="23" spans="2:36" ht="12.75" customHeight="1">
      <c r="B23" s="122" t="s">
        <v>70</v>
      </c>
      <c r="C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1.1.2.1</v>
      </c>
      <c r="D23" s="62">
        <f>IF(TblDetailBudget[[#This Row],[Level]]="", "", COUNTIFS($B$8:TblDetailBudget[[#This Row],[Level]], Lvl1Hdr))</f>
        <v>1</v>
      </c>
      <c r="E23" s="62">
        <f>IF(TblDetailBudget[[#This Row],[Level]]="", "", COUNTIFS($B$8:TblDetailBudget[[#This Row],[Level]], Lvl2Hdr, $D$8:TblDetailBudget[[#This Row],[Lvl 1 Header]], TblDetailBudget[[#This Row],[Lvl 1 Header]]))</f>
        <v>1</v>
      </c>
      <c r="F23" s="62">
        <f>IF(TblDetailBudget[[#This Row],[Level]]="", "", COUNTIFS($B$8:TblDetailBudget[[#This Row],[Level]], Lvl3Hdr, $D$8:TblDetailBudget[[#This Row],[Lvl 1 Header]], TblDetailBudget[[#This Row],[Lvl 1 Header]], $E$8:TblDetailBudget[[#This Row],[Lvl 2 Header]], TblDetailBudget[[#This Row],[Lvl 2 Header]]))</f>
        <v>2</v>
      </c>
      <c r="G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 s="101" t="s">
        <v>2306</v>
      </c>
      <c r="J23" s="101"/>
      <c r="K23" s="88"/>
      <c r="L23" s="88"/>
      <c r="M23" s="62" t="str">
        <f>IF(TblDetailBudget[[#This Row],[Level]]=LvlBottomHdr, IFERROR(INDEX(TblUnitCost[Unit], MATCH(TblDetailBudget[[#This Row],[Row Title]], TblUnitCost[Resource], 0)), "Invalid Resource"), "")</f>
        <v/>
      </c>
      <c r="N23" s="125" t="str">
        <f>IF(TblDetailBudget[[#This Row],[Level]]=LvlBottomHdr, IFERROR(INDEX(TblUnitCost[LCU], MATCH(TblDetailBudget[[#This Row],[Row Title]], TblUnitCost[Resource], 0)), "Invalid Resource"), "")</f>
        <v/>
      </c>
      <c r="O23" s="128"/>
      <c r="P23" s="108"/>
      <c r="Q23" s="129"/>
      <c r="R23" s="108"/>
      <c r="S23" s="108"/>
      <c r="T23" s="108"/>
      <c r="U23" s="108"/>
      <c r="V23" s="108"/>
      <c r="W23" s="125" t="str">
        <f>IF(TblDetailBudget[[#This Row],[Level]]=LvlBottomHdr, IF(SUM(TblDetailBudget[[#This Row],[2021 Quant]:[2025 Quant]])&gt;0, SUM(TblDetailBudget[[#This Row],[2021 Quant]:[2025 Quant]]), ""), "")</f>
        <v/>
      </c>
      <c r="X2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30624985696</v>
      </c>
      <c r="AC23" s="140">
        <f>SUM(TblDetailBudget[[#This Row],[2021 Cost (LCU)]:[2025 Cost (LCU)]])</f>
        <v>30624985696</v>
      </c>
      <c r="AD23" s="134">
        <f>IFERROR(SUM(TblDetailBudget[[#This Row],[2021 Cost (LCU)]])/FX_Rate, "")</f>
        <v>0</v>
      </c>
      <c r="AE23" s="63">
        <f>IFERROR(SUM(TblDetailBudget[[#This Row],[2022 Cost (LCU)]])/FX_Rate, "")</f>
        <v>0</v>
      </c>
      <c r="AF23" s="63">
        <f>IFERROR(SUM(TblDetailBudget[[#This Row],[2023 Cost (LCU)]])/FX_Rate, "")</f>
        <v>0</v>
      </c>
      <c r="AG23" s="63">
        <f>IFERROR(SUM(TblDetailBudget[[#This Row],[2024 Cost (LCU)]])/FX_Rate, "")</f>
        <v>0</v>
      </c>
      <c r="AH23" s="63">
        <f>IFERROR(SUM(TblDetailBudget[[#This Row],[2025 Cost (LCU)]])/FX_Rate, "")</f>
        <v>19140616.059999999</v>
      </c>
      <c r="AI23" s="125">
        <f>SUM(TblDetailBudget[[#This Row],[2021 Cost (USD)]:[2025 Cost (USD)]])</f>
        <v>19140616.059999999</v>
      </c>
      <c r="AJ23" s="180"/>
    </row>
    <row r="24" spans="2:36" ht="12.75" customHeight="1">
      <c r="B24" s="122" t="s">
        <v>71</v>
      </c>
      <c r="C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1.1.2.1.1</v>
      </c>
      <c r="D24" s="62">
        <f>IF(TblDetailBudget[[#This Row],[Level]]="", "", COUNTIFS($B$8:TblDetailBudget[[#This Row],[Level]], Lvl1Hdr))</f>
        <v>1</v>
      </c>
      <c r="E24" s="62">
        <f>IF(TblDetailBudget[[#This Row],[Level]]="", "", COUNTIFS($B$8:TblDetailBudget[[#This Row],[Level]], Lvl2Hdr, $D$8:TblDetailBudget[[#This Row],[Lvl 1 Header]], TblDetailBudget[[#This Row],[Lvl 1 Header]]))</f>
        <v>1</v>
      </c>
      <c r="F24" s="62">
        <f>IF(TblDetailBudget[[#This Row],[Level]]="", "", COUNTIFS($B$8:TblDetailBudget[[#This Row],[Level]], Lvl3Hdr, $D$8:TblDetailBudget[[#This Row],[Lvl 1 Header]], TblDetailBudget[[#This Row],[Lvl 1 Header]], $E$8:TblDetailBudget[[#This Row],[Lvl 2 Header]], TblDetailBudget[[#This Row],[Lvl 2 Header]]))</f>
        <v>2</v>
      </c>
      <c r="G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 s="96" t="s">
        <v>2281</v>
      </c>
      <c r="J24" s="101"/>
      <c r="K24" s="88"/>
      <c r="L24" s="88"/>
      <c r="M24" s="62" t="str">
        <f>IF(TblDetailBudget[[#This Row],[Level]]=LvlBottomHdr, IFERROR(INDEX(TblUnitCost[Unit], MATCH(TblDetailBudget[[#This Row],[Row Title]], TblUnitCost[Resource], 0)), "Invalid Resource"), "")</f>
        <v>per ITN</v>
      </c>
      <c r="N24" s="125">
        <f>IF(TblDetailBudget[[#This Row],[Level]]=LvlBottomHdr, IFERROR(INDEX(TblUnitCost[LCU], MATCH(TblDetailBudget[[#This Row],[Row Title]], TblUnitCost[Resource], 0)), "Invalid Resource"), "")</f>
        <v>584</v>
      </c>
      <c r="O24" s="128">
        <f>'States and LGAs'!BJ6</f>
        <v>52440044</v>
      </c>
      <c r="P24" s="108">
        <v>1</v>
      </c>
      <c r="Q24" s="129">
        <v>1</v>
      </c>
      <c r="R24" s="108"/>
      <c r="S24" s="108"/>
      <c r="T24" s="108"/>
      <c r="U24" s="108"/>
      <c r="V24" s="108">
        <v>1</v>
      </c>
      <c r="W24" s="125">
        <f>IF(TblDetailBudget[[#This Row],[Level]]=LvlBottomHdr, IF(SUM(TblDetailBudget[[#This Row],[2021 Quant]:[2025 Quant]])&gt;0, SUM(TblDetailBudget[[#This Row],[2021 Quant]:[2025 Quant]]), ""), "")</f>
        <v>1</v>
      </c>
      <c r="X2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30624985696</v>
      </c>
      <c r="AC24" s="140">
        <f>SUM(TblDetailBudget[[#This Row],[2021 Cost (LCU)]:[2025 Cost (LCU)]])</f>
        <v>30624985696</v>
      </c>
      <c r="AD24" s="134">
        <f>IFERROR(SUM(TblDetailBudget[[#This Row],[2021 Cost (LCU)]])/FX_Rate, "")</f>
        <v>0</v>
      </c>
      <c r="AE24" s="63">
        <f>IFERROR(SUM(TblDetailBudget[[#This Row],[2022 Cost (LCU)]])/FX_Rate, "")</f>
        <v>0</v>
      </c>
      <c r="AF24" s="63">
        <f>IFERROR(SUM(TblDetailBudget[[#This Row],[2023 Cost (LCU)]])/FX_Rate, "")</f>
        <v>0</v>
      </c>
      <c r="AG24" s="63">
        <f>IFERROR(SUM(TblDetailBudget[[#This Row],[2024 Cost (LCU)]])/FX_Rate, "")</f>
        <v>0</v>
      </c>
      <c r="AH24" s="63">
        <f>IFERROR(SUM(TblDetailBudget[[#This Row],[2025 Cost (LCU)]])/FX_Rate, "")</f>
        <v>19140616.059999999</v>
      </c>
      <c r="AI24" s="125">
        <f>SUM(TblDetailBudget[[#This Row],[2021 Cost (USD)]:[2025 Cost (USD)]])</f>
        <v>19140616.059999999</v>
      </c>
      <c r="AJ24" s="180"/>
    </row>
    <row r="25" spans="2:36" ht="12.75" customHeight="1">
      <c r="B25" s="122" t="s">
        <v>70</v>
      </c>
      <c r="C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1.1.2.2</v>
      </c>
      <c r="D25" s="62">
        <f>IF(TblDetailBudget[[#This Row],[Level]]="", "", COUNTIFS($B$8:TblDetailBudget[[#This Row],[Level]], Lvl1Hdr))</f>
        <v>1</v>
      </c>
      <c r="E25" s="62">
        <f>IF(TblDetailBudget[[#This Row],[Level]]="", "", COUNTIFS($B$8:TblDetailBudget[[#This Row],[Level]], Lvl2Hdr, $D$8:TblDetailBudget[[#This Row],[Lvl 1 Header]], TblDetailBudget[[#This Row],[Lvl 1 Header]]))</f>
        <v>1</v>
      </c>
      <c r="F25" s="62">
        <f>IF(TblDetailBudget[[#This Row],[Level]]="", "", COUNTIFS($B$8:TblDetailBudget[[#This Row],[Level]], Lvl3Hdr, $D$8:TblDetailBudget[[#This Row],[Lvl 1 Header]], TblDetailBudget[[#This Row],[Lvl 1 Header]], $E$8:TblDetailBudget[[#This Row],[Lvl 2 Header]], TblDetailBudget[[#This Row],[Lvl 2 Header]]))</f>
        <v>2</v>
      </c>
      <c r="G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 s="101" t="s">
        <v>2560</v>
      </c>
      <c r="J25" s="101"/>
      <c r="K25" s="88"/>
      <c r="L25" s="88"/>
      <c r="M25" s="62" t="str">
        <f>IF(TblDetailBudget[[#This Row],[Level]]=LvlBottomHdr, IFERROR(INDEX(TblUnitCost[Unit], MATCH(TblDetailBudget[[#This Row],[Row Title]], TblUnitCost[Resource], 0)), "Invalid Resource"), "")</f>
        <v/>
      </c>
      <c r="N25" s="125" t="str">
        <f>IF(TblDetailBudget[[#This Row],[Level]]=LvlBottomHdr, IFERROR(INDEX(TblUnitCost[LCU], MATCH(TblDetailBudget[[#This Row],[Row Title]], TblUnitCost[Resource], 0)), "Invalid Resource"), "")</f>
        <v/>
      </c>
      <c r="O25" s="128"/>
      <c r="P25" s="108"/>
      <c r="Q25" s="129"/>
      <c r="R25" s="108"/>
      <c r="S25" s="108"/>
      <c r="T25" s="108"/>
      <c r="U25" s="108"/>
      <c r="V25" s="108"/>
      <c r="W25" s="125" t="str">
        <f>IF(TblDetailBudget[[#This Row],[Level]]=LvlBottomHdr, IF(SUM(TblDetailBudget[[#This Row],[2021 Quant]:[2025 Quant]])&gt;0, SUM(TblDetailBudget[[#This Row],[2021 Quant]:[2025 Quant]]), ""), "")</f>
        <v/>
      </c>
      <c r="X2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8000000</v>
      </c>
      <c r="AC25" s="140">
        <f>SUM(TblDetailBudget[[#This Row],[2021 Cost (LCU)]:[2025 Cost (LCU)]])</f>
        <v>8000000</v>
      </c>
      <c r="AD25" s="134">
        <f>IFERROR(SUM(TblDetailBudget[[#This Row],[2021 Cost (LCU)]])/FX_Rate, "")</f>
        <v>0</v>
      </c>
      <c r="AE25" s="63">
        <f>IFERROR(SUM(TblDetailBudget[[#This Row],[2022 Cost (LCU)]])/FX_Rate, "")</f>
        <v>0</v>
      </c>
      <c r="AF25" s="63">
        <f>IFERROR(SUM(TblDetailBudget[[#This Row],[2023 Cost (LCU)]])/FX_Rate, "")</f>
        <v>0</v>
      </c>
      <c r="AG25" s="63">
        <f>IFERROR(SUM(TblDetailBudget[[#This Row],[2024 Cost (LCU)]])/FX_Rate, "")</f>
        <v>0</v>
      </c>
      <c r="AH25" s="63">
        <f>IFERROR(SUM(TblDetailBudget[[#This Row],[2025 Cost (LCU)]])/FX_Rate, "")</f>
        <v>5000</v>
      </c>
      <c r="AI25" s="125">
        <f>SUM(TblDetailBudget[[#This Row],[2021 Cost (USD)]:[2025 Cost (USD)]])</f>
        <v>5000</v>
      </c>
      <c r="AJ25" s="180"/>
    </row>
    <row r="26" spans="2:36" ht="12.75" customHeight="1">
      <c r="B26" s="122" t="s">
        <v>71</v>
      </c>
      <c r="C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1.1.2.2.1</v>
      </c>
      <c r="D26" s="62">
        <f>IF(TblDetailBudget[[#This Row],[Level]]="", "", COUNTIFS($B$8:TblDetailBudget[[#This Row],[Level]], Lvl1Hdr))</f>
        <v>1</v>
      </c>
      <c r="E26" s="62">
        <f>IF(TblDetailBudget[[#This Row],[Level]]="", "", COUNTIFS($B$8:TblDetailBudget[[#This Row],[Level]], Lvl2Hdr, $D$8:TblDetailBudget[[#This Row],[Lvl 1 Header]], TblDetailBudget[[#This Row],[Lvl 1 Header]]))</f>
        <v>1</v>
      </c>
      <c r="F26" s="62">
        <f>IF(TblDetailBudget[[#This Row],[Level]]="", "", COUNTIFS($B$8:TblDetailBudget[[#This Row],[Level]], Lvl3Hdr, $D$8:TblDetailBudget[[#This Row],[Lvl 1 Header]], TblDetailBudget[[#This Row],[Lvl 1 Header]], $E$8:TblDetailBudget[[#This Row],[Lvl 2 Header]], TblDetailBudget[[#This Row],[Lvl 2 Header]]))</f>
        <v>2</v>
      </c>
      <c r="G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 s="96" t="s">
        <v>2555</v>
      </c>
      <c r="J26" s="101"/>
      <c r="K26" s="88"/>
      <c r="L26" s="88"/>
      <c r="M26" s="62" t="str">
        <f>IF(TblDetailBudget[[#This Row],[Level]]=LvlBottomHdr, IFERROR(INDEX(TblUnitCost[Unit], MATCH(TblDetailBudget[[#This Row],[Row Title]], TblUnitCost[Resource], 0)), "Invalid Resource"), "")</f>
        <v>per year</v>
      </c>
      <c r="N26" s="125">
        <f>IF(TblDetailBudget[[#This Row],[Level]]=LvlBottomHdr, IFERROR(INDEX(TblUnitCost[LCU], MATCH(TblDetailBudget[[#This Row],[Row Title]], TblUnitCost[Resource], 0)), "Invalid Resource"), "")</f>
        <v>8000000</v>
      </c>
      <c r="O26" s="128">
        <v>1</v>
      </c>
      <c r="P26" s="108">
        <v>1</v>
      </c>
      <c r="Q26" s="129">
        <v>1</v>
      </c>
      <c r="R26" s="108"/>
      <c r="S26" s="108"/>
      <c r="T26" s="108"/>
      <c r="U26" s="108"/>
      <c r="V26" s="108">
        <v>1</v>
      </c>
      <c r="W26" s="125">
        <f>IF(TblDetailBudget[[#This Row],[Level]]=LvlBottomHdr, IF(SUM(TblDetailBudget[[#This Row],[2021 Quant]:[2025 Quant]])&gt;0, SUM(TblDetailBudget[[#This Row],[2021 Quant]:[2025 Quant]]), ""), "")</f>
        <v>1</v>
      </c>
      <c r="X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8000000</v>
      </c>
      <c r="AC26" s="140">
        <f>SUM(TblDetailBudget[[#This Row],[2021 Cost (LCU)]:[2025 Cost (LCU)]])</f>
        <v>8000000</v>
      </c>
      <c r="AD26" s="134">
        <f>IFERROR(SUM(TblDetailBudget[[#This Row],[2021 Cost (LCU)]])/FX_Rate, "")</f>
        <v>0</v>
      </c>
      <c r="AE26" s="63">
        <f>IFERROR(SUM(TblDetailBudget[[#This Row],[2022 Cost (LCU)]])/FX_Rate, "")</f>
        <v>0</v>
      </c>
      <c r="AF26" s="63">
        <f>IFERROR(SUM(TblDetailBudget[[#This Row],[2023 Cost (LCU)]])/FX_Rate, "")</f>
        <v>0</v>
      </c>
      <c r="AG26" s="63">
        <f>IFERROR(SUM(TblDetailBudget[[#This Row],[2024 Cost (LCU)]])/FX_Rate, "")</f>
        <v>0</v>
      </c>
      <c r="AH26" s="63">
        <f>IFERROR(SUM(TblDetailBudget[[#This Row],[2025 Cost (LCU)]])/FX_Rate, "")</f>
        <v>5000</v>
      </c>
      <c r="AI26" s="125">
        <f>SUM(TblDetailBudget[[#This Row],[2021 Cost (USD)]:[2025 Cost (USD)]])</f>
        <v>5000</v>
      </c>
      <c r="AJ26" s="180"/>
    </row>
    <row r="27" spans="2:36" ht="12.75" hidden="1" customHeight="1">
      <c r="B27" s="122" t="s">
        <v>70</v>
      </c>
      <c r="C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v>
      </c>
      <c r="D27" s="62">
        <f>IF(TblDetailBudget[[#This Row],[Level]]="", "", COUNTIFS($B$8:TblDetailBudget[[#This Row],[Level]], Lvl1Hdr))</f>
        <v>1</v>
      </c>
      <c r="E27" s="62">
        <f>IF(TblDetailBudget[[#This Row],[Level]]="", "", COUNTIFS($B$8:TblDetailBudget[[#This Row],[Level]], Lvl2Hdr, $D$8:TblDetailBudget[[#This Row],[Lvl 1 Header]], TblDetailBudget[[#This Row],[Lvl 1 Header]]))</f>
        <v>1</v>
      </c>
      <c r="F27" s="62">
        <f>IF(TblDetailBudget[[#This Row],[Level]]="", "", COUNTIFS($B$8:TblDetailBudget[[#This Row],[Level]], Lvl3Hdr, $D$8:TblDetailBudget[[#This Row],[Lvl 1 Header]], TblDetailBudget[[#This Row],[Lvl 1 Header]], $E$8:TblDetailBudget[[#This Row],[Lvl 2 Header]], TblDetailBudget[[#This Row],[Lvl 2 Header]]))</f>
        <v>2</v>
      </c>
      <c r="G2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 s="101"/>
      <c r="J27" s="101"/>
      <c r="K27" s="88"/>
      <c r="L27" s="88"/>
      <c r="M27" s="62" t="str">
        <f>IF(TblDetailBudget[[#This Row],[Level]]=LvlBottomHdr, IFERROR(INDEX(TblUnitCost[Unit], MATCH(TblDetailBudget[[#This Row],[Row Title]], TblUnitCost[Resource], 0)), "Invalid Resource"), "")</f>
        <v/>
      </c>
      <c r="N27" s="125" t="str">
        <f>IF(TblDetailBudget[[#This Row],[Level]]=LvlBottomHdr, IFERROR(INDEX(TblUnitCost[LCU], MATCH(TblDetailBudget[[#This Row],[Row Title]], TblUnitCost[Resource], 0)), "Invalid Resource"), "")</f>
        <v/>
      </c>
      <c r="O27" s="128"/>
      <c r="P27" s="108"/>
      <c r="Q27" s="129"/>
      <c r="R27" s="108"/>
      <c r="S27" s="108"/>
      <c r="T27" s="108"/>
      <c r="U27" s="108"/>
      <c r="V27" s="108"/>
      <c r="W27" s="125" t="str">
        <f>IF(TblDetailBudget[[#This Row],[Level]]=LvlBottomHdr, IF(SUM(TblDetailBudget[[#This Row],[2021 Quant]:[2025 Quant]])&gt;0, SUM(TblDetailBudget[[#This Row],[2021 Quant]:[2025 Quant]]), ""), "")</f>
        <v/>
      </c>
      <c r="X2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7" s="140">
        <f>SUM(TblDetailBudget[[#This Row],[2021 Cost (LCU)]:[2025 Cost (LCU)]])</f>
        <v>0</v>
      </c>
      <c r="AD27" s="134">
        <f>IFERROR(SUM(TblDetailBudget[[#This Row],[2021 Cost (LCU)]])/FX_Rate, "")</f>
        <v>0</v>
      </c>
      <c r="AE27" s="63">
        <f>IFERROR(SUM(TblDetailBudget[[#This Row],[2022 Cost (LCU)]])/FX_Rate, "")</f>
        <v>0</v>
      </c>
      <c r="AF27" s="63">
        <f>IFERROR(SUM(TblDetailBudget[[#This Row],[2023 Cost (LCU)]])/FX_Rate, "")</f>
        <v>0</v>
      </c>
      <c r="AG27" s="63">
        <f>IFERROR(SUM(TblDetailBudget[[#This Row],[2024 Cost (LCU)]])/FX_Rate, "")</f>
        <v>0</v>
      </c>
      <c r="AH27" s="63">
        <f>IFERROR(SUM(TblDetailBudget[[#This Row],[2025 Cost (LCU)]])/FX_Rate, "")</f>
        <v>0</v>
      </c>
      <c r="AI27" s="125">
        <f>SUM(TblDetailBudget[[#This Row],[2021 Cost (USD)]:[2025 Cost (USD)]])</f>
        <v>0</v>
      </c>
      <c r="AJ27" s="180"/>
    </row>
    <row r="28" spans="2:36" ht="12.75" hidden="1" customHeight="1">
      <c r="B28" s="122" t="s">
        <v>71</v>
      </c>
      <c r="C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1.1.2.3.1</v>
      </c>
      <c r="D28" s="62">
        <f>IF(TblDetailBudget[[#This Row],[Level]]="", "", COUNTIFS($B$8:TblDetailBudget[[#This Row],[Level]], Lvl1Hdr))</f>
        <v>1</v>
      </c>
      <c r="E28" s="62">
        <f>IF(TblDetailBudget[[#This Row],[Level]]="", "", COUNTIFS($B$8:TblDetailBudget[[#This Row],[Level]], Lvl2Hdr, $D$8:TblDetailBudget[[#This Row],[Lvl 1 Header]], TblDetailBudget[[#This Row],[Lvl 1 Header]]))</f>
        <v>1</v>
      </c>
      <c r="F28" s="62">
        <f>IF(TblDetailBudget[[#This Row],[Level]]="", "", COUNTIFS($B$8:TblDetailBudget[[#This Row],[Level]], Lvl3Hdr, $D$8:TblDetailBudget[[#This Row],[Lvl 1 Header]], TblDetailBudget[[#This Row],[Lvl 1 Header]], $E$8:TblDetailBudget[[#This Row],[Lvl 2 Header]], TblDetailBudget[[#This Row],[Lvl 2 Header]]))</f>
        <v>2</v>
      </c>
      <c r="G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 s="101"/>
      <c r="J28" s="101"/>
      <c r="K28" s="88"/>
      <c r="L28" s="88"/>
      <c r="M28" s="62" t="str">
        <f>IF(TblDetailBudget[[#This Row],[Level]]=LvlBottomHdr, IFERROR(INDEX(TblUnitCost[Unit], MATCH(TblDetailBudget[[#This Row],[Row Title]], TblUnitCost[Resource], 0)), "Invalid Resource"), "")</f>
        <v>Invalid Resource</v>
      </c>
      <c r="N28" s="125" t="str">
        <f>IF(TblDetailBudget[[#This Row],[Level]]=LvlBottomHdr, IFERROR(INDEX(TblUnitCost[LCU], MATCH(TblDetailBudget[[#This Row],[Row Title]], TblUnitCost[Resource], 0)), "Invalid Resource"), "")</f>
        <v>Invalid Resource</v>
      </c>
      <c r="O28" s="128"/>
      <c r="P28" s="108"/>
      <c r="Q28" s="129"/>
      <c r="R28" s="108"/>
      <c r="S28" s="108"/>
      <c r="T28" s="108"/>
      <c r="U28" s="108"/>
      <c r="V28" s="108"/>
      <c r="W28" s="125" t="str">
        <f>IF(TblDetailBudget[[#This Row],[Level]]=LvlBottomHdr, IF(SUM(TblDetailBudget[[#This Row],[2021 Quant]:[2025 Quant]])&gt;0, SUM(TblDetailBudget[[#This Row],[2021 Quant]:[2025 Quant]]), ""), "")</f>
        <v/>
      </c>
      <c r="X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8" s="140">
        <f>SUM(TblDetailBudget[[#This Row],[2021 Cost (LCU)]:[2025 Cost (LCU)]])</f>
        <v>0</v>
      </c>
      <c r="AD28" s="134">
        <f>IFERROR(SUM(TblDetailBudget[[#This Row],[2021 Cost (LCU)]])/FX_Rate, "")</f>
        <v>0</v>
      </c>
      <c r="AE28" s="63">
        <f>IFERROR(SUM(TblDetailBudget[[#This Row],[2022 Cost (LCU)]])/FX_Rate, "")</f>
        <v>0</v>
      </c>
      <c r="AF28" s="63">
        <f>IFERROR(SUM(TblDetailBudget[[#This Row],[2023 Cost (LCU)]])/FX_Rate, "")</f>
        <v>0</v>
      </c>
      <c r="AG28" s="63">
        <f>IFERROR(SUM(TblDetailBudget[[#This Row],[2024 Cost (LCU)]])/FX_Rate, "")</f>
        <v>0</v>
      </c>
      <c r="AH28" s="63">
        <f>IFERROR(SUM(TblDetailBudget[[#This Row],[2025 Cost (LCU)]])/FX_Rate, "")</f>
        <v>0</v>
      </c>
      <c r="AI28" s="125">
        <f>SUM(TblDetailBudget[[#This Row],[2021 Cost (USD)]:[2025 Cost (USD)]])</f>
        <v>0</v>
      </c>
      <c r="AJ28" s="180"/>
    </row>
    <row r="29" spans="2:36" ht="12.75" hidden="1" customHeight="1">
      <c r="B29" s="122" t="s">
        <v>71</v>
      </c>
      <c r="C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1.1.2.3.2</v>
      </c>
      <c r="D29" s="62">
        <f>IF(TblDetailBudget[[#This Row],[Level]]="", "", COUNTIFS($B$8:TblDetailBudget[[#This Row],[Level]], Lvl1Hdr))</f>
        <v>1</v>
      </c>
      <c r="E29" s="62">
        <f>IF(TblDetailBudget[[#This Row],[Level]]="", "", COUNTIFS($B$8:TblDetailBudget[[#This Row],[Level]], Lvl2Hdr, $D$8:TblDetailBudget[[#This Row],[Lvl 1 Header]], TblDetailBudget[[#This Row],[Lvl 1 Header]]))</f>
        <v>1</v>
      </c>
      <c r="F29" s="62">
        <f>IF(TblDetailBudget[[#This Row],[Level]]="", "", COUNTIFS($B$8:TblDetailBudget[[#This Row],[Level]], Lvl3Hdr, $D$8:TblDetailBudget[[#This Row],[Lvl 1 Header]], TblDetailBudget[[#This Row],[Lvl 1 Header]], $E$8:TblDetailBudget[[#This Row],[Lvl 2 Header]], TblDetailBudget[[#This Row],[Lvl 2 Header]]))</f>
        <v>2</v>
      </c>
      <c r="G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 s="101"/>
      <c r="J29" s="101"/>
      <c r="K29" s="88"/>
      <c r="L29" s="88"/>
      <c r="M29" s="62" t="str">
        <f>IF(TblDetailBudget[[#This Row],[Level]]=LvlBottomHdr, IFERROR(INDEX(TblUnitCost[Unit], MATCH(TblDetailBudget[[#This Row],[Row Title]], TblUnitCost[Resource], 0)), "Invalid Resource"), "")</f>
        <v>Invalid Resource</v>
      </c>
      <c r="N29" s="125" t="str">
        <f>IF(TblDetailBudget[[#This Row],[Level]]=LvlBottomHdr, IFERROR(INDEX(TblUnitCost[LCU], MATCH(TblDetailBudget[[#This Row],[Row Title]], TblUnitCost[Resource], 0)), "Invalid Resource"), "")</f>
        <v>Invalid Resource</v>
      </c>
      <c r="O29" s="128"/>
      <c r="P29" s="108"/>
      <c r="Q29" s="129"/>
      <c r="R29" s="108"/>
      <c r="S29" s="108"/>
      <c r="T29" s="108"/>
      <c r="U29" s="108"/>
      <c r="V29" s="108"/>
      <c r="W29" s="125" t="str">
        <f>IF(TblDetailBudget[[#This Row],[Level]]=LvlBottomHdr, IF(SUM(TblDetailBudget[[#This Row],[2021 Quant]:[2025 Quant]])&gt;0, SUM(TblDetailBudget[[#This Row],[2021 Quant]:[2025 Quant]]), ""), "")</f>
        <v/>
      </c>
      <c r="X2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 s="140">
        <f>SUM(TblDetailBudget[[#This Row],[2021 Cost (LCU)]:[2025 Cost (LCU)]])</f>
        <v>0</v>
      </c>
      <c r="AD29" s="134">
        <f>IFERROR(SUM(TblDetailBudget[[#This Row],[2021 Cost (LCU)]])/FX_Rate, "")</f>
        <v>0</v>
      </c>
      <c r="AE29" s="63">
        <f>IFERROR(SUM(TblDetailBudget[[#This Row],[2022 Cost (LCU)]])/FX_Rate, "")</f>
        <v>0</v>
      </c>
      <c r="AF29" s="63">
        <f>IFERROR(SUM(TblDetailBudget[[#This Row],[2023 Cost (LCU)]])/FX_Rate, "")</f>
        <v>0</v>
      </c>
      <c r="AG29" s="63">
        <f>IFERROR(SUM(TblDetailBudget[[#This Row],[2024 Cost (LCU)]])/FX_Rate, "")</f>
        <v>0</v>
      </c>
      <c r="AH29" s="63">
        <f>IFERROR(SUM(TblDetailBudget[[#This Row],[2025 Cost (LCU)]])/FX_Rate, "")</f>
        <v>0</v>
      </c>
      <c r="AI29" s="125">
        <f>SUM(TblDetailBudget[[#This Row],[2021 Cost (USD)]:[2025 Cost (USD)]])</f>
        <v>0</v>
      </c>
      <c r="AJ29" s="180"/>
    </row>
    <row r="30" spans="2:36" ht="12.75" hidden="1" customHeight="1">
      <c r="B30" s="122" t="s">
        <v>71</v>
      </c>
      <c r="C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1.1.2.3.3</v>
      </c>
      <c r="D30" s="62">
        <f>IF(TblDetailBudget[[#This Row],[Level]]="", "", COUNTIFS($B$8:TblDetailBudget[[#This Row],[Level]], Lvl1Hdr))</f>
        <v>1</v>
      </c>
      <c r="E30" s="62">
        <f>IF(TblDetailBudget[[#This Row],[Level]]="", "", COUNTIFS($B$8:TblDetailBudget[[#This Row],[Level]], Lvl2Hdr, $D$8:TblDetailBudget[[#This Row],[Lvl 1 Header]], TblDetailBudget[[#This Row],[Lvl 1 Header]]))</f>
        <v>1</v>
      </c>
      <c r="F30" s="62">
        <f>IF(TblDetailBudget[[#This Row],[Level]]="", "", COUNTIFS($B$8:TblDetailBudget[[#This Row],[Level]], Lvl3Hdr, $D$8:TblDetailBudget[[#This Row],[Lvl 1 Header]], TblDetailBudget[[#This Row],[Lvl 1 Header]], $E$8:TblDetailBudget[[#This Row],[Lvl 2 Header]], TblDetailBudget[[#This Row],[Lvl 2 Header]]))</f>
        <v>2</v>
      </c>
      <c r="G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30" s="101"/>
      <c r="J30" s="101"/>
      <c r="K30" s="88"/>
      <c r="L30" s="88"/>
      <c r="M30" s="62" t="str">
        <f>IF(TblDetailBudget[[#This Row],[Level]]=LvlBottomHdr, IFERROR(INDEX(TblUnitCost[Unit], MATCH(TblDetailBudget[[#This Row],[Row Title]], TblUnitCost[Resource], 0)), "Invalid Resource"), "")</f>
        <v>Invalid Resource</v>
      </c>
      <c r="N30" s="125" t="str">
        <f>IF(TblDetailBudget[[#This Row],[Level]]=LvlBottomHdr, IFERROR(INDEX(TblUnitCost[LCU], MATCH(TblDetailBudget[[#This Row],[Row Title]], TblUnitCost[Resource], 0)), "Invalid Resource"), "")</f>
        <v>Invalid Resource</v>
      </c>
      <c r="O30" s="128"/>
      <c r="P30" s="108"/>
      <c r="Q30" s="129"/>
      <c r="R30" s="108"/>
      <c r="S30" s="108"/>
      <c r="T30" s="108"/>
      <c r="U30" s="108"/>
      <c r="V30" s="108"/>
      <c r="W30" s="125" t="str">
        <f>IF(TblDetailBudget[[#This Row],[Level]]=LvlBottomHdr, IF(SUM(TblDetailBudget[[#This Row],[2021 Quant]:[2025 Quant]])&gt;0, SUM(TblDetailBudget[[#This Row],[2021 Quant]:[2025 Quant]]), ""), "")</f>
        <v/>
      </c>
      <c r="X3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 s="140">
        <f>SUM(TblDetailBudget[[#This Row],[2021 Cost (LCU)]:[2025 Cost (LCU)]])</f>
        <v>0</v>
      </c>
      <c r="AD30" s="134">
        <f>IFERROR(SUM(TblDetailBudget[[#This Row],[2021 Cost (LCU)]])/FX_Rate, "")</f>
        <v>0</v>
      </c>
      <c r="AE30" s="63">
        <f>IFERROR(SUM(TblDetailBudget[[#This Row],[2022 Cost (LCU)]])/FX_Rate, "")</f>
        <v>0</v>
      </c>
      <c r="AF30" s="63">
        <f>IFERROR(SUM(TblDetailBudget[[#This Row],[2023 Cost (LCU)]])/FX_Rate, "")</f>
        <v>0</v>
      </c>
      <c r="AG30" s="63">
        <f>IFERROR(SUM(TblDetailBudget[[#This Row],[2024 Cost (LCU)]])/FX_Rate, "")</f>
        <v>0</v>
      </c>
      <c r="AH30" s="63">
        <f>IFERROR(SUM(TblDetailBudget[[#This Row],[2025 Cost (LCU)]])/FX_Rate, "")</f>
        <v>0</v>
      </c>
      <c r="AI30" s="125">
        <f>SUM(TblDetailBudget[[#This Row],[2021 Cost (USD)]:[2025 Cost (USD)]])</f>
        <v>0</v>
      </c>
      <c r="AJ30" s="180"/>
    </row>
    <row r="31" spans="2:36" ht="12.75" hidden="1" customHeight="1">
      <c r="B31" s="122" t="s">
        <v>71</v>
      </c>
      <c r="C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1.1.2.3.4</v>
      </c>
      <c r="D31" s="62">
        <f>IF(TblDetailBudget[[#This Row],[Level]]="", "", COUNTIFS($B$8:TblDetailBudget[[#This Row],[Level]], Lvl1Hdr))</f>
        <v>1</v>
      </c>
      <c r="E31" s="62">
        <f>IF(TblDetailBudget[[#This Row],[Level]]="", "", COUNTIFS($B$8:TblDetailBudget[[#This Row],[Level]], Lvl2Hdr, $D$8:TblDetailBudget[[#This Row],[Lvl 1 Header]], TblDetailBudget[[#This Row],[Lvl 1 Header]]))</f>
        <v>1</v>
      </c>
      <c r="F31" s="62">
        <f>IF(TblDetailBudget[[#This Row],[Level]]="", "", COUNTIFS($B$8:TblDetailBudget[[#This Row],[Level]], Lvl3Hdr, $D$8:TblDetailBudget[[#This Row],[Lvl 1 Header]], TblDetailBudget[[#This Row],[Lvl 1 Header]], $E$8:TblDetailBudget[[#This Row],[Lvl 2 Header]], TblDetailBudget[[#This Row],[Lvl 2 Header]]))</f>
        <v>2</v>
      </c>
      <c r="G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31" s="101"/>
      <c r="J31" s="101"/>
      <c r="K31" s="88"/>
      <c r="L31" s="88"/>
      <c r="M31" s="62" t="str">
        <f>IF(TblDetailBudget[[#This Row],[Level]]=LvlBottomHdr, IFERROR(INDEX(TblUnitCost[Unit], MATCH(TblDetailBudget[[#This Row],[Row Title]], TblUnitCost[Resource], 0)), "Invalid Resource"), "")</f>
        <v>Invalid Resource</v>
      </c>
      <c r="N31" s="125" t="str">
        <f>IF(TblDetailBudget[[#This Row],[Level]]=LvlBottomHdr, IFERROR(INDEX(TblUnitCost[LCU], MATCH(TblDetailBudget[[#This Row],[Row Title]], TblUnitCost[Resource], 0)), "Invalid Resource"), "")</f>
        <v>Invalid Resource</v>
      </c>
      <c r="O31" s="128"/>
      <c r="P31" s="108"/>
      <c r="Q31" s="129"/>
      <c r="R31" s="108"/>
      <c r="S31" s="108"/>
      <c r="T31" s="108"/>
      <c r="U31" s="108"/>
      <c r="V31" s="108"/>
      <c r="W31" s="125" t="str">
        <f>IF(TblDetailBudget[[#This Row],[Level]]=LvlBottomHdr, IF(SUM(TblDetailBudget[[#This Row],[2021 Quant]:[2025 Quant]])&gt;0, SUM(TblDetailBudget[[#This Row],[2021 Quant]:[2025 Quant]]), ""), "")</f>
        <v/>
      </c>
      <c r="X3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 s="140">
        <f>SUM(TblDetailBudget[[#This Row],[2021 Cost (LCU)]:[2025 Cost (LCU)]])</f>
        <v>0</v>
      </c>
      <c r="AD31" s="134">
        <f>IFERROR(SUM(TblDetailBudget[[#This Row],[2021 Cost (LCU)]])/FX_Rate, "")</f>
        <v>0</v>
      </c>
      <c r="AE31" s="63">
        <f>IFERROR(SUM(TblDetailBudget[[#This Row],[2022 Cost (LCU)]])/FX_Rate, "")</f>
        <v>0</v>
      </c>
      <c r="AF31" s="63">
        <f>IFERROR(SUM(TblDetailBudget[[#This Row],[2023 Cost (LCU)]])/FX_Rate, "")</f>
        <v>0</v>
      </c>
      <c r="AG31" s="63">
        <f>IFERROR(SUM(TblDetailBudget[[#This Row],[2024 Cost (LCU)]])/FX_Rate, "")</f>
        <v>0</v>
      </c>
      <c r="AH31" s="63">
        <f>IFERROR(SUM(TblDetailBudget[[#This Row],[2025 Cost (LCU)]])/FX_Rate, "")</f>
        <v>0</v>
      </c>
      <c r="AI31" s="125">
        <f>SUM(TblDetailBudget[[#This Row],[2021 Cost (USD)]:[2025 Cost (USD)]])</f>
        <v>0</v>
      </c>
      <c r="AJ31" s="180"/>
    </row>
    <row r="32" spans="2:36" ht="12.75" hidden="1" customHeight="1">
      <c r="B32" s="122" t="s">
        <v>71</v>
      </c>
      <c r="C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1.1.2.3.5</v>
      </c>
      <c r="D32" s="62">
        <f>IF(TblDetailBudget[[#This Row],[Level]]="", "", COUNTIFS($B$8:TblDetailBudget[[#This Row],[Level]], Lvl1Hdr))</f>
        <v>1</v>
      </c>
      <c r="E32" s="62">
        <f>IF(TblDetailBudget[[#This Row],[Level]]="", "", COUNTIFS($B$8:TblDetailBudget[[#This Row],[Level]], Lvl2Hdr, $D$8:TblDetailBudget[[#This Row],[Lvl 1 Header]], TblDetailBudget[[#This Row],[Lvl 1 Header]]))</f>
        <v>1</v>
      </c>
      <c r="F32" s="62">
        <f>IF(TblDetailBudget[[#This Row],[Level]]="", "", COUNTIFS($B$8:TblDetailBudget[[#This Row],[Level]], Lvl3Hdr, $D$8:TblDetailBudget[[#This Row],[Lvl 1 Header]], TblDetailBudget[[#This Row],[Lvl 1 Header]], $E$8:TblDetailBudget[[#This Row],[Lvl 2 Header]], TblDetailBudget[[#This Row],[Lvl 2 Header]]))</f>
        <v>2</v>
      </c>
      <c r="G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32" s="101"/>
      <c r="J32" s="101"/>
      <c r="K32" s="88"/>
      <c r="L32" s="88"/>
      <c r="M32" s="62" t="str">
        <f>IF(TblDetailBudget[[#This Row],[Level]]=LvlBottomHdr, IFERROR(INDEX(TblUnitCost[Unit], MATCH(TblDetailBudget[[#This Row],[Row Title]], TblUnitCost[Resource], 0)), "Invalid Resource"), "")</f>
        <v>Invalid Resource</v>
      </c>
      <c r="N32" s="125" t="str">
        <f>IF(TblDetailBudget[[#This Row],[Level]]=LvlBottomHdr, IFERROR(INDEX(TblUnitCost[LCU], MATCH(TblDetailBudget[[#This Row],[Row Title]], TblUnitCost[Resource], 0)), "Invalid Resource"), "")</f>
        <v>Invalid Resource</v>
      </c>
      <c r="O32" s="128"/>
      <c r="P32" s="108"/>
      <c r="Q32" s="129"/>
      <c r="R32" s="108"/>
      <c r="S32" s="108"/>
      <c r="T32" s="108"/>
      <c r="U32" s="108"/>
      <c r="V32" s="108"/>
      <c r="W32" s="125" t="str">
        <f>IF(TblDetailBudget[[#This Row],[Level]]=LvlBottomHdr, IF(SUM(TblDetailBudget[[#This Row],[2021 Quant]:[2025 Quant]])&gt;0, SUM(TblDetailBudget[[#This Row],[2021 Quant]:[2025 Quant]]), ""), "")</f>
        <v/>
      </c>
      <c r="X3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 s="140">
        <f>SUM(TblDetailBudget[[#This Row],[2021 Cost (LCU)]:[2025 Cost (LCU)]])</f>
        <v>0</v>
      </c>
      <c r="AD32" s="134">
        <f>IFERROR(SUM(TblDetailBudget[[#This Row],[2021 Cost (LCU)]])/FX_Rate, "")</f>
        <v>0</v>
      </c>
      <c r="AE32" s="63">
        <f>IFERROR(SUM(TblDetailBudget[[#This Row],[2022 Cost (LCU)]])/FX_Rate, "")</f>
        <v>0</v>
      </c>
      <c r="AF32" s="63">
        <f>IFERROR(SUM(TblDetailBudget[[#This Row],[2023 Cost (LCU)]])/FX_Rate, "")</f>
        <v>0</v>
      </c>
      <c r="AG32" s="63">
        <f>IFERROR(SUM(TblDetailBudget[[#This Row],[2024 Cost (LCU)]])/FX_Rate, "")</f>
        <v>0</v>
      </c>
      <c r="AH32" s="63">
        <f>IFERROR(SUM(TblDetailBudget[[#This Row],[2025 Cost (LCU)]])/FX_Rate, "")</f>
        <v>0</v>
      </c>
      <c r="AI32" s="125">
        <f>SUM(TblDetailBudget[[#This Row],[2021 Cost (USD)]:[2025 Cost (USD)]])</f>
        <v>0</v>
      </c>
      <c r="AJ32" s="180"/>
    </row>
    <row r="33" spans="2:36" ht="12.75" hidden="1" customHeight="1">
      <c r="B33" s="122" t="s">
        <v>71</v>
      </c>
      <c r="C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1.1.2.3.6</v>
      </c>
      <c r="D33" s="62">
        <f>IF(TblDetailBudget[[#This Row],[Level]]="", "", COUNTIFS($B$8:TblDetailBudget[[#This Row],[Level]], Lvl1Hdr))</f>
        <v>1</v>
      </c>
      <c r="E33" s="62">
        <f>IF(TblDetailBudget[[#This Row],[Level]]="", "", COUNTIFS($B$8:TblDetailBudget[[#This Row],[Level]], Lvl2Hdr, $D$8:TblDetailBudget[[#This Row],[Lvl 1 Header]], TblDetailBudget[[#This Row],[Lvl 1 Header]]))</f>
        <v>1</v>
      </c>
      <c r="F33" s="62">
        <f>IF(TblDetailBudget[[#This Row],[Level]]="", "", COUNTIFS($B$8:TblDetailBudget[[#This Row],[Level]], Lvl3Hdr, $D$8:TblDetailBudget[[#This Row],[Lvl 1 Header]], TblDetailBudget[[#This Row],[Lvl 1 Header]], $E$8:TblDetailBudget[[#This Row],[Lvl 2 Header]], TblDetailBudget[[#This Row],[Lvl 2 Header]]))</f>
        <v>2</v>
      </c>
      <c r="G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33" s="101"/>
      <c r="J33" s="101"/>
      <c r="K33" s="88"/>
      <c r="L33" s="88"/>
      <c r="M33" s="62" t="str">
        <f>IF(TblDetailBudget[[#This Row],[Level]]=LvlBottomHdr, IFERROR(INDEX(TblUnitCost[Unit], MATCH(TblDetailBudget[[#This Row],[Row Title]], TblUnitCost[Resource], 0)), "Invalid Resource"), "")</f>
        <v>Invalid Resource</v>
      </c>
      <c r="N33" s="125" t="str">
        <f>IF(TblDetailBudget[[#This Row],[Level]]=LvlBottomHdr, IFERROR(INDEX(TblUnitCost[LCU], MATCH(TblDetailBudget[[#This Row],[Row Title]], TblUnitCost[Resource], 0)), "Invalid Resource"), "")</f>
        <v>Invalid Resource</v>
      </c>
      <c r="O33" s="128"/>
      <c r="P33" s="108"/>
      <c r="Q33" s="129"/>
      <c r="R33" s="108"/>
      <c r="S33" s="108"/>
      <c r="T33" s="108"/>
      <c r="U33" s="108"/>
      <c r="V33" s="108"/>
      <c r="W33" s="125" t="str">
        <f>IF(TblDetailBudget[[#This Row],[Level]]=LvlBottomHdr, IF(SUM(TblDetailBudget[[#This Row],[2021 Quant]:[2025 Quant]])&gt;0, SUM(TblDetailBudget[[#This Row],[2021 Quant]:[2025 Quant]]), ""), "")</f>
        <v/>
      </c>
      <c r="X3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 s="140">
        <f>SUM(TblDetailBudget[[#This Row],[2021 Cost (LCU)]:[2025 Cost (LCU)]])</f>
        <v>0</v>
      </c>
      <c r="AD33" s="134">
        <f>IFERROR(SUM(TblDetailBudget[[#This Row],[2021 Cost (LCU)]])/FX_Rate, "")</f>
        <v>0</v>
      </c>
      <c r="AE33" s="63">
        <f>IFERROR(SUM(TblDetailBudget[[#This Row],[2022 Cost (LCU)]])/FX_Rate, "")</f>
        <v>0</v>
      </c>
      <c r="AF33" s="63">
        <f>IFERROR(SUM(TblDetailBudget[[#This Row],[2023 Cost (LCU)]])/FX_Rate, "")</f>
        <v>0</v>
      </c>
      <c r="AG33" s="63">
        <f>IFERROR(SUM(TblDetailBudget[[#This Row],[2024 Cost (LCU)]])/FX_Rate, "")</f>
        <v>0</v>
      </c>
      <c r="AH33" s="63">
        <f>IFERROR(SUM(TblDetailBudget[[#This Row],[2025 Cost (LCU)]])/FX_Rate, "")</f>
        <v>0</v>
      </c>
      <c r="AI33" s="125">
        <f>SUM(TblDetailBudget[[#This Row],[2021 Cost (USD)]:[2025 Cost (USD)]])</f>
        <v>0</v>
      </c>
      <c r="AJ33" s="180"/>
    </row>
    <row r="34" spans="2:36" ht="12.75" hidden="1" customHeight="1">
      <c r="B34" s="122" t="s">
        <v>71</v>
      </c>
      <c r="C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1.1.2.3.7</v>
      </c>
      <c r="D34" s="62">
        <f>IF(TblDetailBudget[[#This Row],[Level]]="", "", COUNTIFS($B$8:TblDetailBudget[[#This Row],[Level]], Lvl1Hdr))</f>
        <v>1</v>
      </c>
      <c r="E34" s="62">
        <f>IF(TblDetailBudget[[#This Row],[Level]]="", "", COUNTIFS($B$8:TblDetailBudget[[#This Row],[Level]], Lvl2Hdr, $D$8:TblDetailBudget[[#This Row],[Lvl 1 Header]], TblDetailBudget[[#This Row],[Lvl 1 Header]]))</f>
        <v>1</v>
      </c>
      <c r="F34" s="62">
        <f>IF(TblDetailBudget[[#This Row],[Level]]="", "", COUNTIFS($B$8:TblDetailBudget[[#This Row],[Level]], Lvl3Hdr, $D$8:TblDetailBudget[[#This Row],[Lvl 1 Header]], TblDetailBudget[[#This Row],[Lvl 1 Header]], $E$8:TblDetailBudget[[#This Row],[Lvl 2 Header]], TblDetailBudget[[#This Row],[Lvl 2 Header]]))</f>
        <v>2</v>
      </c>
      <c r="G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34" s="101"/>
      <c r="J34" s="101"/>
      <c r="K34" s="88"/>
      <c r="L34" s="88"/>
      <c r="M34" s="62" t="str">
        <f>IF(TblDetailBudget[[#This Row],[Level]]=LvlBottomHdr, IFERROR(INDEX(TblUnitCost[Unit], MATCH(TblDetailBudget[[#This Row],[Row Title]], TblUnitCost[Resource], 0)), "Invalid Resource"), "")</f>
        <v>Invalid Resource</v>
      </c>
      <c r="N34" s="125" t="str">
        <f>IF(TblDetailBudget[[#This Row],[Level]]=LvlBottomHdr, IFERROR(INDEX(TblUnitCost[LCU], MATCH(TblDetailBudget[[#This Row],[Row Title]], TblUnitCost[Resource], 0)), "Invalid Resource"), "")</f>
        <v>Invalid Resource</v>
      </c>
      <c r="O34" s="128"/>
      <c r="P34" s="108"/>
      <c r="Q34" s="129"/>
      <c r="R34" s="108"/>
      <c r="S34" s="108"/>
      <c r="T34" s="108"/>
      <c r="U34" s="108"/>
      <c r="V34" s="108"/>
      <c r="W34" s="125" t="str">
        <f>IF(TblDetailBudget[[#This Row],[Level]]=LvlBottomHdr, IF(SUM(TblDetailBudget[[#This Row],[2021 Quant]:[2025 Quant]])&gt;0, SUM(TblDetailBudget[[#This Row],[2021 Quant]:[2025 Quant]]), ""), "")</f>
        <v/>
      </c>
      <c r="X3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 s="140">
        <f>SUM(TblDetailBudget[[#This Row],[2021 Cost (LCU)]:[2025 Cost (LCU)]])</f>
        <v>0</v>
      </c>
      <c r="AD34" s="134">
        <f>IFERROR(SUM(TblDetailBudget[[#This Row],[2021 Cost (LCU)]])/FX_Rate, "")</f>
        <v>0</v>
      </c>
      <c r="AE34" s="63">
        <f>IFERROR(SUM(TblDetailBudget[[#This Row],[2022 Cost (LCU)]])/FX_Rate, "")</f>
        <v>0</v>
      </c>
      <c r="AF34" s="63">
        <f>IFERROR(SUM(TblDetailBudget[[#This Row],[2023 Cost (LCU)]])/FX_Rate, "")</f>
        <v>0</v>
      </c>
      <c r="AG34" s="63">
        <f>IFERROR(SUM(TblDetailBudget[[#This Row],[2024 Cost (LCU)]])/FX_Rate, "")</f>
        <v>0</v>
      </c>
      <c r="AH34" s="63">
        <f>IFERROR(SUM(TblDetailBudget[[#This Row],[2025 Cost (LCU)]])/FX_Rate, "")</f>
        <v>0</v>
      </c>
      <c r="AI34" s="125">
        <f>SUM(TblDetailBudget[[#This Row],[2021 Cost (USD)]:[2025 Cost (USD)]])</f>
        <v>0</v>
      </c>
      <c r="AJ34" s="180"/>
    </row>
    <row r="35" spans="2:36" ht="12.75" hidden="1" customHeight="1">
      <c r="B35" s="122" t="s">
        <v>71</v>
      </c>
      <c r="C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1.1.2.3.8</v>
      </c>
      <c r="D35" s="62">
        <f>IF(TblDetailBudget[[#This Row],[Level]]="", "", COUNTIFS($B$8:TblDetailBudget[[#This Row],[Level]], Lvl1Hdr))</f>
        <v>1</v>
      </c>
      <c r="E35" s="62">
        <f>IF(TblDetailBudget[[#This Row],[Level]]="", "", COUNTIFS($B$8:TblDetailBudget[[#This Row],[Level]], Lvl2Hdr, $D$8:TblDetailBudget[[#This Row],[Lvl 1 Header]], TblDetailBudget[[#This Row],[Lvl 1 Header]]))</f>
        <v>1</v>
      </c>
      <c r="F35" s="62">
        <f>IF(TblDetailBudget[[#This Row],[Level]]="", "", COUNTIFS($B$8:TblDetailBudget[[#This Row],[Level]], Lvl3Hdr, $D$8:TblDetailBudget[[#This Row],[Lvl 1 Header]], TblDetailBudget[[#This Row],[Lvl 1 Header]], $E$8:TblDetailBudget[[#This Row],[Lvl 2 Header]], TblDetailBudget[[#This Row],[Lvl 2 Header]]))</f>
        <v>2</v>
      </c>
      <c r="G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35" s="101"/>
      <c r="J35" s="101"/>
      <c r="K35" s="88"/>
      <c r="L35" s="88"/>
      <c r="M35" s="62" t="str">
        <f>IF(TblDetailBudget[[#This Row],[Level]]=LvlBottomHdr, IFERROR(INDEX(TblUnitCost[Unit], MATCH(TblDetailBudget[[#This Row],[Row Title]], TblUnitCost[Resource], 0)), "Invalid Resource"), "")</f>
        <v>Invalid Resource</v>
      </c>
      <c r="N35" s="125" t="str">
        <f>IF(TblDetailBudget[[#This Row],[Level]]=LvlBottomHdr, IFERROR(INDEX(TblUnitCost[LCU], MATCH(TblDetailBudget[[#This Row],[Row Title]], TblUnitCost[Resource], 0)), "Invalid Resource"), "")</f>
        <v>Invalid Resource</v>
      </c>
      <c r="O35" s="128"/>
      <c r="P35" s="108"/>
      <c r="Q35" s="129"/>
      <c r="R35" s="108"/>
      <c r="S35" s="108"/>
      <c r="T35" s="108"/>
      <c r="U35" s="108"/>
      <c r="V35" s="108"/>
      <c r="W35" s="125" t="str">
        <f>IF(TblDetailBudget[[#This Row],[Level]]=LvlBottomHdr, IF(SUM(TblDetailBudget[[#This Row],[2021 Quant]:[2025 Quant]])&gt;0, SUM(TblDetailBudget[[#This Row],[2021 Quant]:[2025 Quant]]), ""), "")</f>
        <v/>
      </c>
      <c r="X3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 s="140">
        <f>SUM(TblDetailBudget[[#This Row],[2021 Cost (LCU)]:[2025 Cost (LCU)]])</f>
        <v>0</v>
      </c>
      <c r="AD35" s="134">
        <f>IFERROR(SUM(TblDetailBudget[[#This Row],[2021 Cost (LCU)]])/FX_Rate, "")</f>
        <v>0</v>
      </c>
      <c r="AE35" s="63">
        <f>IFERROR(SUM(TblDetailBudget[[#This Row],[2022 Cost (LCU)]])/FX_Rate, "")</f>
        <v>0</v>
      </c>
      <c r="AF35" s="63">
        <f>IFERROR(SUM(TblDetailBudget[[#This Row],[2023 Cost (LCU)]])/FX_Rate, "")</f>
        <v>0</v>
      </c>
      <c r="AG35" s="63">
        <f>IFERROR(SUM(TblDetailBudget[[#This Row],[2024 Cost (LCU)]])/FX_Rate, "")</f>
        <v>0</v>
      </c>
      <c r="AH35" s="63">
        <f>IFERROR(SUM(TblDetailBudget[[#This Row],[2025 Cost (LCU)]])/FX_Rate, "")</f>
        <v>0</v>
      </c>
      <c r="AI35" s="125">
        <f>SUM(TblDetailBudget[[#This Row],[2021 Cost (USD)]:[2025 Cost (USD)]])</f>
        <v>0</v>
      </c>
      <c r="AJ35" s="180"/>
    </row>
    <row r="36" spans="2:36" ht="12.75" hidden="1" customHeight="1">
      <c r="B36" s="122" t="s">
        <v>71</v>
      </c>
      <c r="C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1.1.2.3.9</v>
      </c>
      <c r="D36" s="62">
        <f>IF(TblDetailBudget[[#This Row],[Level]]="", "", COUNTIFS($B$8:TblDetailBudget[[#This Row],[Level]], Lvl1Hdr))</f>
        <v>1</v>
      </c>
      <c r="E36" s="62">
        <f>IF(TblDetailBudget[[#This Row],[Level]]="", "", COUNTIFS($B$8:TblDetailBudget[[#This Row],[Level]], Lvl2Hdr, $D$8:TblDetailBudget[[#This Row],[Lvl 1 Header]], TblDetailBudget[[#This Row],[Lvl 1 Header]]))</f>
        <v>1</v>
      </c>
      <c r="F36" s="62">
        <f>IF(TblDetailBudget[[#This Row],[Level]]="", "", COUNTIFS($B$8:TblDetailBudget[[#This Row],[Level]], Lvl3Hdr, $D$8:TblDetailBudget[[#This Row],[Lvl 1 Header]], TblDetailBudget[[#This Row],[Lvl 1 Header]], $E$8:TblDetailBudget[[#This Row],[Lvl 2 Header]], TblDetailBudget[[#This Row],[Lvl 2 Header]]))</f>
        <v>2</v>
      </c>
      <c r="G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36" s="101"/>
      <c r="J36" s="101"/>
      <c r="K36" s="88"/>
      <c r="L36" s="88"/>
      <c r="M36" s="62" t="str">
        <f>IF(TblDetailBudget[[#This Row],[Level]]=LvlBottomHdr, IFERROR(INDEX(TblUnitCost[Unit], MATCH(TblDetailBudget[[#This Row],[Row Title]], TblUnitCost[Resource], 0)), "Invalid Resource"), "")</f>
        <v>Invalid Resource</v>
      </c>
      <c r="N36" s="125" t="str">
        <f>IF(TblDetailBudget[[#This Row],[Level]]=LvlBottomHdr, IFERROR(INDEX(TblUnitCost[LCU], MATCH(TblDetailBudget[[#This Row],[Row Title]], TblUnitCost[Resource], 0)), "Invalid Resource"), "")</f>
        <v>Invalid Resource</v>
      </c>
      <c r="O36" s="128"/>
      <c r="P36" s="108"/>
      <c r="Q36" s="129"/>
      <c r="R36" s="108"/>
      <c r="S36" s="108"/>
      <c r="T36" s="108"/>
      <c r="U36" s="108"/>
      <c r="V36" s="108"/>
      <c r="W36" s="125" t="str">
        <f>IF(TblDetailBudget[[#This Row],[Level]]=LvlBottomHdr, IF(SUM(TblDetailBudget[[#This Row],[2021 Quant]:[2025 Quant]])&gt;0, SUM(TblDetailBudget[[#This Row],[2021 Quant]:[2025 Quant]]), ""), "")</f>
        <v/>
      </c>
      <c r="X3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 s="140">
        <f>SUM(TblDetailBudget[[#This Row],[2021 Cost (LCU)]:[2025 Cost (LCU)]])</f>
        <v>0</v>
      </c>
      <c r="AD36" s="134">
        <f>IFERROR(SUM(TblDetailBudget[[#This Row],[2021 Cost (LCU)]])/FX_Rate, "")</f>
        <v>0</v>
      </c>
      <c r="AE36" s="63">
        <f>IFERROR(SUM(TblDetailBudget[[#This Row],[2022 Cost (LCU)]])/FX_Rate, "")</f>
        <v>0</v>
      </c>
      <c r="AF36" s="63">
        <f>IFERROR(SUM(TblDetailBudget[[#This Row],[2023 Cost (LCU)]])/FX_Rate, "")</f>
        <v>0</v>
      </c>
      <c r="AG36" s="63">
        <f>IFERROR(SUM(TblDetailBudget[[#This Row],[2024 Cost (LCU)]])/FX_Rate, "")</f>
        <v>0</v>
      </c>
      <c r="AH36" s="63">
        <f>IFERROR(SUM(TblDetailBudget[[#This Row],[2025 Cost (LCU)]])/FX_Rate, "")</f>
        <v>0</v>
      </c>
      <c r="AI36" s="125">
        <f>SUM(TblDetailBudget[[#This Row],[2021 Cost (USD)]:[2025 Cost (USD)]])</f>
        <v>0</v>
      </c>
      <c r="AJ36" s="180"/>
    </row>
    <row r="37" spans="2:36" ht="12.75" hidden="1" customHeight="1">
      <c r="B37" s="122" t="s">
        <v>71</v>
      </c>
      <c r="C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1.1.2.3.10</v>
      </c>
      <c r="D37" s="62">
        <f>IF(TblDetailBudget[[#This Row],[Level]]="", "", COUNTIFS($B$8:TblDetailBudget[[#This Row],[Level]], Lvl1Hdr))</f>
        <v>1</v>
      </c>
      <c r="E37" s="62">
        <f>IF(TblDetailBudget[[#This Row],[Level]]="", "", COUNTIFS($B$8:TblDetailBudget[[#This Row],[Level]], Lvl2Hdr, $D$8:TblDetailBudget[[#This Row],[Lvl 1 Header]], TblDetailBudget[[#This Row],[Lvl 1 Header]]))</f>
        <v>1</v>
      </c>
      <c r="F37" s="62">
        <f>IF(TblDetailBudget[[#This Row],[Level]]="", "", COUNTIFS($B$8:TblDetailBudget[[#This Row],[Level]], Lvl3Hdr, $D$8:TblDetailBudget[[#This Row],[Lvl 1 Header]], TblDetailBudget[[#This Row],[Lvl 1 Header]], $E$8:TblDetailBudget[[#This Row],[Lvl 2 Header]], TblDetailBudget[[#This Row],[Lvl 2 Header]]))</f>
        <v>2</v>
      </c>
      <c r="G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37" s="101"/>
      <c r="J37" s="101"/>
      <c r="K37" s="88"/>
      <c r="L37" s="88"/>
      <c r="M37" s="62" t="str">
        <f>IF(TblDetailBudget[[#This Row],[Level]]=LvlBottomHdr, IFERROR(INDEX(TblUnitCost[Unit], MATCH(TblDetailBudget[[#This Row],[Row Title]], TblUnitCost[Resource], 0)), "Invalid Resource"), "")</f>
        <v>Invalid Resource</v>
      </c>
      <c r="N37" s="125" t="str">
        <f>IF(TblDetailBudget[[#This Row],[Level]]=LvlBottomHdr, IFERROR(INDEX(TblUnitCost[LCU], MATCH(TblDetailBudget[[#This Row],[Row Title]], TblUnitCost[Resource], 0)), "Invalid Resource"), "")</f>
        <v>Invalid Resource</v>
      </c>
      <c r="O37" s="128"/>
      <c r="P37" s="108"/>
      <c r="Q37" s="129"/>
      <c r="R37" s="108"/>
      <c r="S37" s="108"/>
      <c r="T37" s="108"/>
      <c r="U37" s="108"/>
      <c r="V37" s="108"/>
      <c r="W37" s="125" t="str">
        <f>IF(TblDetailBudget[[#This Row],[Level]]=LvlBottomHdr, IF(SUM(TblDetailBudget[[#This Row],[2021 Quant]:[2025 Quant]])&gt;0, SUM(TblDetailBudget[[#This Row],[2021 Quant]:[2025 Quant]]), ""), "")</f>
        <v/>
      </c>
      <c r="X3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 s="140">
        <f>SUM(TblDetailBudget[[#This Row],[2021 Cost (LCU)]:[2025 Cost (LCU)]])</f>
        <v>0</v>
      </c>
      <c r="AD37" s="134">
        <f>IFERROR(SUM(TblDetailBudget[[#This Row],[2021 Cost (LCU)]])/FX_Rate, "")</f>
        <v>0</v>
      </c>
      <c r="AE37" s="63">
        <f>IFERROR(SUM(TblDetailBudget[[#This Row],[2022 Cost (LCU)]])/FX_Rate, "")</f>
        <v>0</v>
      </c>
      <c r="AF37" s="63">
        <f>IFERROR(SUM(TblDetailBudget[[#This Row],[2023 Cost (LCU)]])/FX_Rate, "")</f>
        <v>0</v>
      </c>
      <c r="AG37" s="63">
        <f>IFERROR(SUM(TblDetailBudget[[#This Row],[2024 Cost (LCU)]])/FX_Rate, "")</f>
        <v>0</v>
      </c>
      <c r="AH37" s="63">
        <f>IFERROR(SUM(TblDetailBudget[[#This Row],[2025 Cost (LCU)]])/FX_Rate, "")</f>
        <v>0</v>
      </c>
      <c r="AI37" s="125">
        <f>SUM(TblDetailBudget[[#This Row],[2021 Cost (USD)]:[2025 Cost (USD)]])</f>
        <v>0</v>
      </c>
      <c r="AJ37" s="180"/>
    </row>
    <row r="38" spans="2:36" ht="12.75" hidden="1" customHeight="1">
      <c r="B38" s="122" t="s">
        <v>70</v>
      </c>
      <c r="C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v>
      </c>
      <c r="D38" s="62">
        <f>IF(TblDetailBudget[[#This Row],[Level]]="", "", COUNTIFS($B$8:TblDetailBudget[[#This Row],[Level]], Lvl1Hdr))</f>
        <v>1</v>
      </c>
      <c r="E38" s="62">
        <f>IF(TblDetailBudget[[#This Row],[Level]]="", "", COUNTIFS($B$8:TblDetailBudget[[#This Row],[Level]], Lvl2Hdr, $D$8:TblDetailBudget[[#This Row],[Lvl 1 Header]], TblDetailBudget[[#This Row],[Lvl 1 Header]]))</f>
        <v>1</v>
      </c>
      <c r="F38" s="62">
        <f>IF(TblDetailBudget[[#This Row],[Level]]="", "", COUNTIFS($B$8:TblDetailBudget[[#This Row],[Level]], Lvl3Hdr, $D$8:TblDetailBudget[[#This Row],[Lvl 1 Header]], TblDetailBudget[[#This Row],[Lvl 1 Header]], $E$8:TblDetailBudget[[#This Row],[Lvl 2 Header]], TblDetailBudget[[#This Row],[Lvl 2 Header]]))</f>
        <v>2</v>
      </c>
      <c r="G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38" s="101"/>
      <c r="J38" s="101"/>
      <c r="K38" s="88"/>
      <c r="L38" s="88"/>
      <c r="M38" s="62" t="str">
        <f>IF(TblDetailBudget[[#This Row],[Level]]=LvlBottomHdr, IFERROR(INDEX(TblUnitCost[Unit], MATCH(TblDetailBudget[[#This Row],[Row Title]], TblUnitCost[Resource], 0)), "Invalid Resource"), "")</f>
        <v/>
      </c>
      <c r="N38" s="125" t="str">
        <f>IF(TblDetailBudget[[#This Row],[Level]]=LvlBottomHdr, IFERROR(INDEX(TblUnitCost[LCU], MATCH(TblDetailBudget[[#This Row],[Row Title]], TblUnitCost[Resource], 0)), "Invalid Resource"), "")</f>
        <v/>
      </c>
      <c r="O38" s="128"/>
      <c r="P38" s="108"/>
      <c r="Q38" s="129"/>
      <c r="R38" s="108"/>
      <c r="S38" s="108"/>
      <c r="T38" s="108"/>
      <c r="U38" s="108"/>
      <c r="V38" s="108"/>
      <c r="W38" s="125" t="str">
        <f>IF(TblDetailBudget[[#This Row],[Level]]=LvlBottomHdr, IF(SUM(TblDetailBudget[[#This Row],[2021 Quant]:[2025 Quant]])&gt;0, SUM(TblDetailBudget[[#This Row],[2021 Quant]:[2025 Quant]]), ""), "")</f>
        <v/>
      </c>
      <c r="X3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3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3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3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3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38" s="140">
        <f>SUM(TblDetailBudget[[#This Row],[2021 Cost (LCU)]:[2025 Cost (LCU)]])</f>
        <v>0</v>
      </c>
      <c r="AD38" s="134">
        <f>IFERROR(SUM(TblDetailBudget[[#This Row],[2021 Cost (LCU)]])/FX_Rate, "")</f>
        <v>0</v>
      </c>
      <c r="AE38" s="63">
        <f>IFERROR(SUM(TblDetailBudget[[#This Row],[2022 Cost (LCU)]])/FX_Rate, "")</f>
        <v>0</v>
      </c>
      <c r="AF38" s="63">
        <f>IFERROR(SUM(TblDetailBudget[[#This Row],[2023 Cost (LCU)]])/FX_Rate, "")</f>
        <v>0</v>
      </c>
      <c r="AG38" s="63">
        <f>IFERROR(SUM(TblDetailBudget[[#This Row],[2024 Cost (LCU)]])/FX_Rate, "")</f>
        <v>0</v>
      </c>
      <c r="AH38" s="63">
        <f>IFERROR(SUM(TblDetailBudget[[#This Row],[2025 Cost (LCU)]])/FX_Rate, "")</f>
        <v>0</v>
      </c>
      <c r="AI38" s="125">
        <f>SUM(TblDetailBudget[[#This Row],[2021 Cost (USD)]:[2025 Cost (USD)]])</f>
        <v>0</v>
      </c>
      <c r="AJ38" s="180"/>
    </row>
    <row r="39" spans="2:36" ht="12.75" hidden="1" customHeight="1">
      <c r="B39" s="122" t="s">
        <v>71</v>
      </c>
      <c r="C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1.1.2.4.1</v>
      </c>
      <c r="D39" s="62">
        <f>IF(TblDetailBudget[[#This Row],[Level]]="", "", COUNTIFS($B$8:TblDetailBudget[[#This Row],[Level]], Lvl1Hdr))</f>
        <v>1</v>
      </c>
      <c r="E39" s="62">
        <f>IF(TblDetailBudget[[#This Row],[Level]]="", "", COUNTIFS($B$8:TblDetailBudget[[#This Row],[Level]], Lvl2Hdr, $D$8:TblDetailBudget[[#This Row],[Lvl 1 Header]], TblDetailBudget[[#This Row],[Lvl 1 Header]]))</f>
        <v>1</v>
      </c>
      <c r="F39" s="62">
        <f>IF(TblDetailBudget[[#This Row],[Level]]="", "", COUNTIFS($B$8:TblDetailBudget[[#This Row],[Level]], Lvl3Hdr, $D$8:TblDetailBudget[[#This Row],[Lvl 1 Header]], TblDetailBudget[[#This Row],[Lvl 1 Header]], $E$8:TblDetailBudget[[#This Row],[Lvl 2 Header]], TblDetailBudget[[#This Row],[Lvl 2 Header]]))</f>
        <v>2</v>
      </c>
      <c r="G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39" s="101"/>
      <c r="J39" s="101"/>
      <c r="K39" s="88"/>
      <c r="L39" s="88"/>
      <c r="M39" s="62" t="str">
        <f>IF(TblDetailBudget[[#This Row],[Level]]=LvlBottomHdr, IFERROR(INDEX(TblUnitCost[Unit], MATCH(TblDetailBudget[[#This Row],[Row Title]], TblUnitCost[Resource], 0)), "Invalid Resource"), "")</f>
        <v>Invalid Resource</v>
      </c>
      <c r="N39" s="125" t="str">
        <f>IF(TblDetailBudget[[#This Row],[Level]]=LvlBottomHdr, IFERROR(INDEX(TblUnitCost[LCU], MATCH(TblDetailBudget[[#This Row],[Row Title]], TblUnitCost[Resource], 0)), "Invalid Resource"), "")</f>
        <v>Invalid Resource</v>
      </c>
      <c r="O39" s="128"/>
      <c r="P39" s="108"/>
      <c r="Q39" s="129"/>
      <c r="R39" s="108"/>
      <c r="S39" s="108"/>
      <c r="T39" s="108"/>
      <c r="U39" s="108"/>
      <c r="V39" s="108"/>
      <c r="W39" s="125" t="str">
        <f>IF(TblDetailBudget[[#This Row],[Level]]=LvlBottomHdr, IF(SUM(TblDetailBudget[[#This Row],[2021 Quant]:[2025 Quant]])&gt;0, SUM(TblDetailBudget[[#This Row],[2021 Quant]:[2025 Quant]]), ""), "")</f>
        <v/>
      </c>
      <c r="X3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 s="140">
        <f>SUM(TblDetailBudget[[#This Row],[2021 Cost (LCU)]:[2025 Cost (LCU)]])</f>
        <v>0</v>
      </c>
      <c r="AD39" s="134">
        <f>IFERROR(SUM(TblDetailBudget[[#This Row],[2021 Cost (LCU)]])/FX_Rate, "")</f>
        <v>0</v>
      </c>
      <c r="AE39" s="63">
        <f>IFERROR(SUM(TblDetailBudget[[#This Row],[2022 Cost (LCU)]])/FX_Rate, "")</f>
        <v>0</v>
      </c>
      <c r="AF39" s="63">
        <f>IFERROR(SUM(TblDetailBudget[[#This Row],[2023 Cost (LCU)]])/FX_Rate, "")</f>
        <v>0</v>
      </c>
      <c r="AG39" s="63">
        <f>IFERROR(SUM(TblDetailBudget[[#This Row],[2024 Cost (LCU)]])/FX_Rate, "")</f>
        <v>0</v>
      </c>
      <c r="AH39" s="63">
        <f>IFERROR(SUM(TblDetailBudget[[#This Row],[2025 Cost (LCU)]])/FX_Rate, "")</f>
        <v>0</v>
      </c>
      <c r="AI39" s="125">
        <f>SUM(TblDetailBudget[[#This Row],[2021 Cost (USD)]:[2025 Cost (USD)]])</f>
        <v>0</v>
      </c>
      <c r="AJ39" s="180"/>
    </row>
    <row r="40" spans="2:36" ht="12.75" hidden="1" customHeight="1">
      <c r="B40" s="122" t="s">
        <v>71</v>
      </c>
      <c r="C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1.1.2.4.2</v>
      </c>
      <c r="D40" s="62">
        <f>IF(TblDetailBudget[[#This Row],[Level]]="", "", COUNTIFS($B$8:TblDetailBudget[[#This Row],[Level]], Lvl1Hdr))</f>
        <v>1</v>
      </c>
      <c r="E40" s="62">
        <f>IF(TblDetailBudget[[#This Row],[Level]]="", "", COUNTIFS($B$8:TblDetailBudget[[#This Row],[Level]], Lvl2Hdr, $D$8:TblDetailBudget[[#This Row],[Lvl 1 Header]], TblDetailBudget[[#This Row],[Lvl 1 Header]]))</f>
        <v>1</v>
      </c>
      <c r="F40" s="62">
        <f>IF(TblDetailBudget[[#This Row],[Level]]="", "", COUNTIFS($B$8:TblDetailBudget[[#This Row],[Level]], Lvl3Hdr, $D$8:TblDetailBudget[[#This Row],[Lvl 1 Header]], TblDetailBudget[[#This Row],[Lvl 1 Header]], $E$8:TblDetailBudget[[#This Row],[Lvl 2 Header]], TblDetailBudget[[#This Row],[Lvl 2 Header]]))</f>
        <v>2</v>
      </c>
      <c r="G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40" s="101"/>
      <c r="J40" s="101"/>
      <c r="K40" s="88"/>
      <c r="L40" s="88"/>
      <c r="M40" s="62" t="str">
        <f>IF(TblDetailBudget[[#This Row],[Level]]=LvlBottomHdr, IFERROR(INDEX(TblUnitCost[Unit], MATCH(TblDetailBudget[[#This Row],[Row Title]], TblUnitCost[Resource], 0)), "Invalid Resource"), "")</f>
        <v>Invalid Resource</v>
      </c>
      <c r="N40" s="125" t="str">
        <f>IF(TblDetailBudget[[#This Row],[Level]]=LvlBottomHdr, IFERROR(INDEX(TblUnitCost[LCU], MATCH(TblDetailBudget[[#This Row],[Row Title]], TblUnitCost[Resource], 0)), "Invalid Resource"), "")</f>
        <v>Invalid Resource</v>
      </c>
      <c r="O40" s="128"/>
      <c r="P40" s="108"/>
      <c r="Q40" s="129"/>
      <c r="R40" s="108"/>
      <c r="S40" s="108"/>
      <c r="T40" s="108"/>
      <c r="U40" s="108"/>
      <c r="V40" s="108"/>
      <c r="W40" s="125" t="str">
        <f>IF(TblDetailBudget[[#This Row],[Level]]=LvlBottomHdr, IF(SUM(TblDetailBudget[[#This Row],[2021 Quant]:[2025 Quant]])&gt;0, SUM(TblDetailBudget[[#This Row],[2021 Quant]:[2025 Quant]]), ""), "")</f>
        <v/>
      </c>
      <c r="X4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 s="140">
        <f>SUM(TblDetailBudget[[#This Row],[2021 Cost (LCU)]:[2025 Cost (LCU)]])</f>
        <v>0</v>
      </c>
      <c r="AD40" s="134">
        <f>IFERROR(SUM(TblDetailBudget[[#This Row],[2021 Cost (LCU)]])/FX_Rate, "")</f>
        <v>0</v>
      </c>
      <c r="AE40" s="63">
        <f>IFERROR(SUM(TblDetailBudget[[#This Row],[2022 Cost (LCU)]])/FX_Rate, "")</f>
        <v>0</v>
      </c>
      <c r="AF40" s="63">
        <f>IFERROR(SUM(TblDetailBudget[[#This Row],[2023 Cost (LCU)]])/FX_Rate, "")</f>
        <v>0</v>
      </c>
      <c r="AG40" s="63">
        <f>IFERROR(SUM(TblDetailBudget[[#This Row],[2024 Cost (LCU)]])/FX_Rate, "")</f>
        <v>0</v>
      </c>
      <c r="AH40" s="63">
        <f>IFERROR(SUM(TblDetailBudget[[#This Row],[2025 Cost (LCU)]])/FX_Rate, "")</f>
        <v>0</v>
      </c>
      <c r="AI40" s="125">
        <f>SUM(TblDetailBudget[[#This Row],[2021 Cost (USD)]:[2025 Cost (USD)]])</f>
        <v>0</v>
      </c>
      <c r="AJ40" s="180"/>
    </row>
    <row r="41" spans="2:36" ht="12.75" hidden="1" customHeight="1">
      <c r="B41" s="122" t="s">
        <v>71</v>
      </c>
      <c r="C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1.1.2.4.3</v>
      </c>
      <c r="D41" s="62">
        <f>IF(TblDetailBudget[[#This Row],[Level]]="", "", COUNTIFS($B$8:TblDetailBudget[[#This Row],[Level]], Lvl1Hdr))</f>
        <v>1</v>
      </c>
      <c r="E41" s="62">
        <f>IF(TblDetailBudget[[#This Row],[Level]]="", "", COUNTIFS($B$8:TblDetailBudget[[#This Row],[Level]], Lvl2Hdr, $D$8:TblDetailBudget[[#This Row],[Lvl 1 Header]], TblDetailBudget[[#This Row],[Lvl 1 Header]]))</f>
        <v>1</v>
      </c>
      <c r="F41" s="62">
        <f>IF(TblDetailBudget[[#This Row],[Level]]="", "", COUNTIFS($B$8:TblDetailBudget[[#This Row],[Level]], Lvl3Hdr, $D$8:TblDetailBudget[[#This Row],[Lvl 1 Header]], TblDetailBudget[[#This Row],[Lvl 1 Header]], $E$8:TblDetailBudget[[#This Row],[Lvl 2 Header]], TblDetailBudget[[#This Row],[Lvl 2 Header]]))</f>
        <v>2</v>
      </c>
      <c r="G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41" s="101"/>
      <c r="J41" s="101"/>
      <c r="K41" s="88"/>
      <c r="L41" s="88"/>
      <c r="M41" s="62" t="str">
        <f>IF(TblDetailBudget[[#This Row],[Level]]=LvlBottomHdr, IFERROR(INDEX(TblUnitCost[Unit], MATCH(TblDetailBudget[[#This Row],[Row Title]], TblUnitCost[Resource], 0)), "Invalid Resource"), "")</f>
        <v>Invalid Resource</v>
      </c>
      <c r="N41" s="125" t="str">
        <f>IF(TblDetailBudget[[#This Row],[Level]]=LvlBottomHdr, IFERROR(INDEX(TblUnitCost[LCU], MATCH(TblDetailBudget[[#This Row],[Row Title]], TblUnitCost[Resource], 0)), "Invalid Resource"), "")</f>
        <v>Invalid Resource</v>
      </c>
      <c r="O41" s="128"/>
      <c r="P41" s="108"/>
      <c r="Q41" s="129"/>
      <c r="R41" s="108"/>
      <c r="S41" s="108"/>
      <c r="T41" s="108"/>
      <c r="U41" s="108"/>
      <c r="V41" s="108"/>
      <c r="W41" s="125" t="str">
        <f>IF(TblDetailBudget[[#This Row],[Level]]=LvlBottomHdr, IF(SUM(TblDetailBudget[[#This Row],[2021 Quant]:[2025 Quant]])&gt;0, SUM(TblDetailBudget[[#This Row],[2021 Quant]:[2025 Quant]]), ""), "")</f>
        <v/>
      </c>
      <c r="X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 s="140">
        <f>SUM(TblDetailBudget[[#This Row],[2021 Cost (LCU)]:[2025 Cost (LCU)]])</f>
        <v>0</v>
      </c>
      <c r="AD41" s="134">
        <f>IFERROR(SUM(TblDetailBudget[[#This Row],[2021 Cost (LCU)]])/FX_Rate, "")</f>
        <v>0</v>
      </c>
      <c r="AE41" s="63">
        <f>IFERROR(SUM(TblDetailBudget[[#This Row],[2022 Cost (LCU)]])/FX_Rate, "")</f>
        <v>0</v>
      </c>
      <c r="AF41" s="63">
        <f>IFERROR(SUM(TblDetailBudget[[#This Row],[2023 Cost (LCU)]])/FX_Rate, "")</f>
        <v>0</v>
      </c>
      <c r="AG41" s="63">
        <f>IFERROR(SUM(TblDetailBudget[[#This Row],[2024 Cost (LCU)]])/FX_Rate, "")</f>
        <v>0</v>
      </c>
      <c r="AH41" s="63">
        <f>IFERROR(SUM(TblDetailBudget[[#This Row],[2025 Cost (LCU)]])/FX_Rate, "")</f>
        <v>0</v>
      </c>
      <c r="AI41" s="125">
        <f>SUM(TblDetailBudget[[#This Row],[2021 Cost (USD)]:[2025 Cost (USD)]])</f>
        <v>0</v>
      </c>
      <c r="AJ41" s="180"/>
    </row>
    <row r="42" spans="2:36" ht="12.75" hidden="1" customHeight="1">
      <c r="B42" s="122" t="s">
        <v>71</v>
      </c>
      <c r="C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1.1.2.4.4</v>
      </c>
      <c r="D42" s="62">
        <f>IF(TblDetailBudget[[#This Row],[Level]]="", "", COUNTIFS($B$8:TblDetailBudget[[#This Row],[Level]], Lvl1Hdr))</f>
        <v>1</v>
      </c>
      <c r="E42" s="62">
        <f>IF(TblDetailBudget[[#This Row],[Level]]="", "", COUNTIFS($B$8:TblDetailBudget[[#This Row],[Level]], Lvl2Hdr, $D$8:TblDetailBudget[[#This Row],[Lvl 1 Header]], TblDetailBudget[[#This Row],[Lvl 1 Header]]))</f>
        <v>1</v>
      </c>
      <c r="F42" s="62">
        <f>IF(TblDetailBudget[[#This Row],[Level]]="", "", COUNTIFS($B$8:TblDetailBudget[[#This Row],[Level]], Lvl3Hdr, $D$8:TblDetailBudget[[#This Row],[Lvl 1 Header]], TblDetailBudget[[#This Row],[Lvl 1 Header]], $E$8:TblDetailBudget[[#This Row],[Lvl 2 Header]], TblDetailBudget[[#This Row],[Lvl 2 Header]]))</f>
        <v>2</v>
      </c>
      <c r="G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42" s="101"/>
      <c r="J42" s="101"/>
      <c r="K42" s="88"/>
      <c r="L42" s="88"/>
      <c r="M42" s="62" t="str">
        <f>IF(TblDetailBudget[[#This Row],[Level]]=LvlBottomHdr, IFERROR(INDEX(TblUnitCost[Unit], MATCH(TblDetailBudget[[#This Row],[Row Title]], TblUnitCost[Resource], 0)), "Invalid Resource"), "")</f>
        <v>Invalid Resource</v>
      </c>
      <c r="N42" s="125" t="str">
        <f>IF(TblDetailBudget[[#This Row],[Level]]=LvlBottomHdr, IFERROR(INDEX(TblUnitCost[LCU], MATCH(TblDetailBudget[[#This Row],[Row Title]], TblUnitCost[Resource], 0)), "Invalid Resource"), "")</f>
        <v>Invalid Resource</v>
      </c>
      <c r="O42" s="128"/>
      <c r="P42" s="108"/>
      <c r="Q42" s="129"/>
      <c r="R42" s="108"/>
      <c r="S42" s="108"/>
      <c r="T42" s="108"/>
      <c r="U42" s="108"/>
      <c r="V42" s="108"/>
      <c r="W42" s="125" t="str">
        <f>IF(TblDetailBudget[[#This Row],[Level]]=LvlBottomHdr, IF(SUM(TblDetailBudget[[#This Row],[2021 Quant]:[2025 Quant]])&gt;0, SUM(TblDetailBudget[[#This Row],[2021 Quant]:[2025 Quant]]), ""), "")</f>
        <v/>
      </c>
      <c r="X4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 s="140">
        <f>SUM(TblDetailBudget[[#This Row],[2021 Cost (LCU)]:[2025 Cost (LCU)]])</f>
        <v>0</v>
      </c>
      <c r="AD42" s="134">
        <f>IFERROR(SUM(TblDetailBudget[[#This Row],[2021 Cost (LCU)]])/FX_Rate, "")</f>
        <v>0</v>
      </c>
      <c r="AE42" s="63">
        <f>IFERROR(SUM(TblDetailBudget[[#This Row],[2022 Cost (LCU)]])/FX_Rate, "")</f>
        <v>0</v>
      </c>
      <c r="AF42" s="63">
        <f>IFERROR(SUM(TblDetailBudget[[#This Row],[2023 Cost (LCU)]])/FX_Rate, "")</f>
        <v>0</v>
      </c>
      <c r="AG42" s="63">
        <f>IFERROR(SUM(TblDetailBudget[[#This Row],[2024 Cost (LCU)]])/FX_Rate, "")</f>
        <v>0</v>
      </c>
      <c r="AH42" s="63">
        <f>IFERROR(SUM(TblDetailBudget[[#This Row],[2025 Cost (LCU)]])/FX_Rate, "")</f>
        <v>0</v>
      </c>
      <c r="AI42" s="125">
        <f>SUM(TblDetailBudget[[#This Row],[2021 Cost (USD)]:[2025 Cost (USD)]])</f>
        <v>0</v>
      </c>
      <c r="AJ42" s="180"/>
    </row>
    <row r="43" spans="2:36" ht="12.75" hidden="1" customHeight="1">
      <c r="B43" s="122" t="s">
        <v>71</v>
      </c>
      <c r="C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1.1.2.4.5</v>
      </c>
      <c r="D43" s="62">
        <f>IF(TblDetailBudget[[#This Row],[Level]]="", "", COUNTIFS($B$8:TblDetailBudget[[#This Row],[Level]], Lvl1Hdr))</f>
        <v>1</v>
      </c>
      <c r="E43" s="62">
        <f>IF(TblDetailBudget[[#This Row],[Level]]="", "", COUNTIFS($B$8:TblDetailBudget[[#This Row],[Level]], Lvl2Hdr, $D$8:TblDetailBudget[[#This Row],[Lvl 1 Header]], TblDetailBudget[[#This Row],[Lvl 1 Header]]))</f>
        <v>1</v>
      </c>
      <c r="F43" s="62">
        <f>IF(TblDetailBudget[[#This Row],[Level]]="", "", COUNTIFS($B$8:TblDetailBudget[[#This Row],[Level]], Lvl3Hdr, $D$8:TblDetailBudget[[#This Row],[Lvl 1 Header]], TblDetailBudget[[#This Row],[Lvl 1 Header]], $E$8:TblDetailBudget[[#This Row],[Lvl 2 Header]], TblDetailBudget[[#This Row],[Lvl 2 Header]]))</f>
        <v>2</v>
      </c>
      <c r="G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43" s="101"/>
      <c r="J43" s="101"/>
      <c r="K43" s="88"/>
      <c r="L43" s="88"/>
      <c r="M43" s="62" t="str">
        <f>IF(TblDetailBudget[[#This Row],[Level]]=LvlBottomHdr, IFERROR(INDEX(TblUnitCost[Unit], MATCH(TblDetailBudget[[#This Row],[Row Title]], TblUnitCost[Resource], 0)), "Invalid Resource"), "")</f>
        <v>Invalid Resource</v>
      </c>
      <c r="N43" s="125" t="str">
        <f>IF(TblDetailBudget[[#This Row],[Level]]=LvlBottomHdr, IFERROR(INDEX(TblUnitCost[LCU], MATCH(TblDetailBudget[[#This Row],[Row Title]], TblUnitCost[Resource], 0)), "Invalid Resource"), "")</f>
        <v>Invalid Resource</v>
      </c>
      <c r="O43" s="128"/>
      <c r="P43" s="108"/>
      <c r="Q43" s="129"/>
      <c r="R43" s="108"/>
      <c r="S43" s="108"/>
      <c r="T43" s="108"/>
      <c r="U43" s="108"/>
      <c r="V43" s="108"/>
      <c r="W43" s="125" t="str">
        <f>IF(TblDetailBudget[[#This Row],[Level]]=LvlBottomHdr, IF(SUM(TblDetailBudget[[#This Row],[2021 Quant]:[2025 Quant]])&gt;0, SUM(TblDetailBudget[[#This Row],[2021 Quant]:[2025 Quant]]), ""), "")</f>
        <v/>
      </c>
      <c r="X4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 s="140">
        <f>SUM(TblDetailBudget[[#This Row],[2021 Cost (LCU)]:[2025 Cost (LCU)]])</f>
        <v>0</v>
      </c>
      <c r="AD43" s="134">
        <f>IFERROR(SUM(TblDetailBudget[[#This Row],[2021 Cost (LCU)]])/FX_Rate, "")</f>
        <v>0</v>
      </c>
      <c r="AE43" s="63">
        <f>IFERROR(SUM(TblDetailBudget[[#This Row],[2022 Cost (LCU)]])/FX_Rate, "")</f>
        <v>0</v>
      </c>
      <c r="AF43" s="63">
        <f>IFERROR(SUM(TblDetailBudget[[#This Row],[2023 Cost (LCU)]])/FX_Rate, "")</f>
        <v>0</v>
      </c>
      <c r="AG43" s="63">
        <f>IFERROR(SUM(TblDetailBudget[[#This Row],[2024 Cost (LCU)]])/FX_Rate, "")</f>
        <v>0</v>
      </c>
      <c r="AH43" s="63">
        <f>IFERROR(SUM(TblDetailBudget[[#This Row],[2025 Cost (LCU)]])/FX_Rate, "")</f>
        <v>0</v>
      </c>
      <c r="AI43" s="125">
        <f>SUM(TblDetailBudget[[#This Row],[2021 Cost (USD)]:[2025 Cost (USD)]])</f>
        <v>0</v>
      </c>
      <c r="AJ43" s="180"/>
    </row>
    <row r="44" spans="2:36" ht="12.75" hidden="1" customHeight="1">
      <c r="B44" s="122" t="s">
        <v>71</v>
      </c>
      <c r="C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1.1.2.4.6</v>
      </c>
      <c r="D44" s="62">
        <f>IF(TblDetailBudget[[#This Row],[Level]]="", "", COUNTIFS($B$8:TblDetailBudget[[#This Row],[Level]], Lvl1Hdr))</f>
        <v>1</v>
      </c>
      <c r="E44" s="62">
        <f>IF(TblDetailBudget[[#This Row],[Level]]="", "", COUNTIFS($B$8:TblDetailBudget[[#This Row],[Level]], Lvl2Hdr, $D$8:TblDetailBudget[[#This Row],[Lvl 1 Header]], TblDetailBudget[[#This Row],[Lvl 1 Header]]))</f>
        <v>1</v>
      </c>
      <c r="F44" s="62">
        <f>IF(TblDetailBudget[[#This Row],[Level]]="", "", COUNTIFS($B$8:TblDetailBudget[[#This Row],[Level]], Lvl3Hdr, $D$8:TblDetailBudget[[#This Row],[Lvl 1 Header]], TblDetailBudget[[#This Row],[Lvl 1 Header]], $E$8:TblDetailBudget[[#This Row],[Lvl 2 Header]], TblDetailBudget[[#This Row],[Lvl 2 Header]]))</f>
        <v>2</v>
      </c>
      <c r="G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44" s="101"/>
      <c r="J44" s="101"/>
      <c r="K44" s="88"/>
      <c r="L44" s="88"/>
      <c r="M44" s="62" t="str">
        <f>IF(TblDetailBudget[[#This Row],[Level]]=LvlBottomHdr, IFERROR(INDEX(TblUnitCost[Unit], MATCH(TblDetailBudget[[#This Row],[Row Title]], TblUnitCost[Resource], 0)), "Invalid Resource"), "")</f>
        <v>Invalid Resource</v>
      </c>
      <c r="N44" s="125" t="str">
        <f>IF(TblDetailBudget[[#This Row],[Level]]=LvlBottomHdr, IFERROR(INDEX(TblUnitCost[LCU], MATCH(TblDetailBudget[[#This Row],[Row Title]], TblUnitCost[Resource], 0)), "Invalid Resource"), "")</f>
        <v>Invalid Resource</v>
      </c>
      <c r="O44" s="128"/>
      <c r="P44" s="108"/>
      <c r="Q44" s="129"/>
      <c r="R44" s="108"/>
      <c r="S44" s="108"/>
      <c r="T44" s="108"/>
      <c r="U44" s="108"/>
      <c r="V44" s="108"/>
      <c r="W44" s="125" t="str">
        <f>IF(TblDetailBudget[[#This Row],[Level]]=LvlBottomHdr, IF(SUM(TblDetailBudget[[#This Row],[2021 Quant]:[2025 Quant]])&gt;0, SUM(TblDetailBudget[[#This Row],[2021 Quant]:[2025 Quant]]), ""), "")</f>
        <v/>
      </c>
      <c r="X4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 s="140">
        <f>SUM(TblDetailBudget[[#This Row],[2021 Cost (LCU)]:[2025 Cost (LCU)]])</f>
        <v>0</v>
      </c>
      <c r="AD44" s="134">
        <f>IFERROR(SUM(TblDetailBudget[[#This Row],[2021 Cost (LCU)]])/FX_Rate, "")</f>
        <v>0</v>
      </c>
      <c r="AE44" s="63">
        <f>IFERROR(SUM(TblDetailBudget[[#This Row],[2022 Cost (LCU)]])/FX_Rate, "")</f>
        <v>0</v>
      </c>
      <c r="AF44" s="63">
        <f>IFERROR(SUM(TblDetailBudget[[#This Row],[2023 Cost (LCU)]])/FX_Rate, "")</f>
        <v>0</v>
      </c>
      <c r="AG44" s="63">
        <f>IFERROR(SUM(TblDetailBudget[[#This Row],[2024 Cost (LCU)]])/FX_Rate, "")</f>
        <v>0</v>
      </c>
      <c r="AH44" s="63">
        <f>IFERROR(SUM(TblDetailBudget[[#This Row],[2025 Cost (LCU)]])/FX_Rate, "")</f>
        <v>0</v>
      </c>
      <c r="AI44" s="125">
        <f>SUM(TblDetailBudget[[#This Row],[2021 Cost (USD)]:[2025 Cost (USD)]])</f>
        <v>0</v>
      </c>
      <c r="AJ44" s="180"/>
    </row>
    <row r="45" spans="2:36" ht="12.75" hidden="1" customHeight="1">
      <c r="B45" s="122" t="s">
        <v>71</v>
      </c>
      <c r="C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1.1.2.4.7</v>
      </c>
      <c r="D45" s="62">
        <f>IF(TblDetailBudget[[#This Row],[Level]]="", "", COUNTIFS($B$8:TblDetailBudget[[#This Row],[Level]], Lvl1Hdr))</f>
        <v>1</v>
      </c>
      <c r="E45" s="62">
        <f>IF(TblDetailBudget[[#This Row],[Level]]="", "", COUNTIFS($B$8:TblDetailBudget[[#This Row],[Level]], Lvl2Hdr, $D$8:TblDetailBudget[[#This Row],[Lvl 1 Header]], TblDetailBudget[[#This Row],[Lvl 1 Header]]))</f>
        <v>1</v>
      </c>
      <c r="F45" s="62">
        <f>IF(TblDetailBudget[[#This Row],[Level]]="", "", COUNTIFS($B$8:TblDetailBudget[[#This Row],[Level]], Lvl3Hdr, $D$8:TblDetailBudget[[#This Row],[Lvl 1 Header]], TblDetailBudget[[#This Row],[Lvl 1 Header]], $E$8:TblDetailBudget[[#This Row],[Lvl 2 Header]], TblDetailBudget[[#This Row],[Lvl 2 Header]]))</f>
        <v>2</v>
      </c>
      <c r="G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45" s="101"/>
      <c r="J45" s="101"/>
      <c r="K45" s="88"/>
      <c r="L45" s="88"/>
      <c r="M45" s="62" t="str">
        <f>IF(TblDetailBudget[[#This Row],[Level]]=LvlBottomHdr, IFERROR(INDEX(TblUnitCost[Unit], MATCH(TblDetailBudget[[#This Row],[Row Title]], TblUnitCost[Resource], 0)), "Invalid Resource"), "")</f>
        <v>Invalid Resource</v>
      </c>
      <c r="N45" s="125" t="str">
        <f>IF(TblDetailBudget[[#This Row],[Level]]=LvlBottomHdr, IFERROR(INDEX(TblUnitCost[LCU], MATCH(TblDetailBudget[[#This Row],[Row Title]], TblUnitCost[Resource], 0)), "Invalid Resource"), "")</f>
        <v>Invalid Resource</v>
      </c>
      <c r="O45" s="128"/>
      <c r="P45" s="108"/>
      <c r="Q45" s="129"/>
      <c r="R45" s="108"/>
      <c r="S45" s="108"/>
      <c r="T45" s="108"/>
      <c r="U45" s="108"/>
      <c r="V45" s="108"/>
      <c r="W45" s="125" t="str">
        <f>IF(TblDetailBudget[[#This Row],[Level]]=LvlBottomHdr, IF(SUM(TblDetailBudget[[#This Row],[2021 Quant]:[2025 Quant]])&gt;0, SUM(TblDetailBudget[[#This Row],[2021 Quant]:[2025 Quant]]), ""), "")</f>
        <v/>
      </c>
      <c r="X4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 s="140">
        <f>SUM(TblDetailBudget[[#This Row],[2021 Cost (LCU)]:[2025 Cost (LCU)]])</f>
        <v>0</v>
      </c>
      <c r="AD45" s="134">
        <f>IFERROR(SUM(TblDetailBudget[[#This Row],[2021 Cost (LCU)]])/FX_Rate, "")</f>
        <v>0</v>
      </c>
      <c r="AE45" s="63">
        <f>IFERROR(SUM(TblDetailBudget[[#This Row],[2022 Cost (LCU)]])/FX_Rate, "")</f>
        <v>0</v>
      </c>
      <c r="AF45" s="63">
        <f>IFERROR(SUM(TblDetailBudget[[#This Row],[2023 Cost (LCU)]])/FX_Rate, "")</f>
        <v>0</v>
      </c>
      <c r="AG45" s="63">
        <f>IFERROR(SUM(TblDetailBudget[[#This Row],[2024 Cost (LCU)]])/FX_Rate, "")</f>
        <v>0</v>
      </c>
      <c r="AH45" s="63">
        <f>IFERROR(SUM(TblDetailBudget[[#This Row],[2025 Cost (LCU)]])/FX_Rate, "")</f>
        <v>0</v>
      </c>
      <c r="AI45" s="125">
        <f>SUM(TblDetailBudget[[#This Row],[2021 Cost (USD)]:[2025 Cost (USD)]])</f>
        <v>0</v>
      </c>
      <c r="AJ45" s="180"/>
    </row>
    <row r="46" spans="2:36" ht="12.75" hidden="1" customHeight="1">
      <c r="B46" s="122" t="s">
        <v>70</v>
      </c>
      <c r="C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1.1.2.5</v>
      </c>
      <c r="D46" s="62">
        <f>IF(TblDetailBudget[[#This Row],[Level]]="", "", COUNTIFS($B$8:TblDetailBudget[[#This Row],[Level]], Lvl1Hdr))</f>
        <v>1</v>
      </c>
      <c r="E46" s="62">
        <f>IF(TblDetailBudget[[#This Row],[Level]]="", "", COUNTIFS($B$8:TblDetailBudget[[#This Row],[Level]], Lvl2Hdr, $D$8:TblDetailBudget[[#This Row],[Lvl 1 Header]], TblDetailBudget[[#This Row],[Lvl 1 Header]]))</f>
        <v>1</v>
      </c>
      <c r="F46" s="62">
        <f>IF(TblDetailBudget[[#This Row],[Level]]="", "", COUNTIFS($B$8:TblDetailBudget[[#This Row],[Level]], Lvl3Hdr, $D$8:TblDetailBudget[[#This Row],[Lvl 1 Header]], TblDetailBudget[[#This Row],[Lvl 1 Header]], $E$8:TblDetailBudget[[#This Row],[Lvl 2 Header]], TblDetailBudget[[#This Row],[Lvl 2 Header]]))</f>
        <v>2</v>
      </c>
      <c r="G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6" s="101"/>
      <c r="J46" s="101"/>
      <c r="K46" s="88"/>
      <c r="L46" s="88"/>
      <c r="M46" s="62" t="str">
        <f>IF(TblDetailBudget[[#This Row],[Level]]=LvlBottomHdr, IFERROR(INDEX(TblUnitCost[Unit], MATCH(TblDetailBudget[[#This Row],[Row Title]], TblUnitCost[Resource], 0)), "Invalid Resource"), "")</f>
        <v/>
      </c>
      <c r="N46" s="125" t="str">
        <f>IF(TblDetailBudget[[#This Row],[Level]]=LvlBottomHdr, IFERROR(INDEX(TblUnitCost[LCU], MATCH(TblDetailBudget[[#This Row],[Row Title]], TblUnitCost[Resource], 0)), "Invalid Resource"), "")</f>
        <v/>
      </c>
      <c r="O46" s="128"/>
      <c r="P46" s="108"/>
      <c r="Q46" s="129"/>
      <c r="R46" s="108"/>
      <c r="S46" s="108"/>
      <c r="T46" s="108"/>
      <c r="U46" s="108"/>
      <c r="V46" s="108"/>
      <c r="W46" s="125" t="str">
        <f>IF(TblDetailBudget[[#This Row],[Level]]=LvlBottomHdr, IF(SUM(TblDetailBudget[[#This Row],[2021 Quant]:[2025 Quant]])&gt;0, SUM(TblDetailBudget[[#This Row],[2021 Quant]:[2025 Quant]]), ""), "")</f>
        <v/>
      </c>
      <c r="X4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6" s="140">
        <f>SUM(TblDetailBudget[[#This Row],[2021 Cost (LCU)]:[2025 Cost (LCU)]])</f>
        <v>0</v>
      </c>
      <c r="AD46" s="134">
        <f>IFERROR(SUM(TblDetailBudget[[#This Row],[2021 Cost (LCU)]])/FX_Rate, "")</f>
        <v>0</v>
      </c>
      <c r="AE46" s="63">
        <f>IFERROR(SUM(TblDetailBudget[[#This Row],[2022 Cost (LCU)]])/FX_Rate, "")</f>
        <v>0</v>
      </c>
      <c r="AF46" s="63">
        <f>IFERROR(SUM(TblDetailBudget[[#This Row],[2023 Cost (LCU)]])/FX_Rate, "")</f>
        <v>0</v>
      </c>
      <c r="AG46" s="63">
        <f>IFERROR(SUM(TblDetailBudget[[#This Row],[2024 Cost (LCU)]])/FX_Rate, "")</f>
        <v>0</v>
      </c>
      <c r="AH46" s="63">
        <f>IFERROR(SUM(TblDetailBudget[[#This Row],[2025 Cost (LCU)]])/FX_Rate, "")</f>
        <v>0</v>
      </c>
      <c r="AI46" s="125">
        <f>SUM(TblDetailBudget[[#This Row],[2021 Cost (USD)]:[2025 Cost (USD)]])</f>
        <v>0</v>
      </c>
      <c r="AJ46" s="180"/>
    </row>
    <row r="47" spans="2:36" ht="12.75" hidden="1" customHeight="1">
      <c r="B47" s="122" t="s">
        <v>71</v>
      </c>
      <c r="C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1.1.2.5.1</v>
      </c>
      <c r="D47" s="62">
        <f>IF(TblDetailBudget[[#This Row],[Level]]="", "", COUNTIFS($B$8:TblDetailBudget[[#This Row],[Level]], Lvl1Hdr))</f>
        <v>1</v>
      </c>
      <c r="E47" s="62">
        <f>IF(TblDetailBudget[[#This Row],[Level]]="", "", COUNTIFS($B$8:TblDetailBudget[[#This Row],[Level]], Lvl2Hdr, $D$8:TblDetailBudget[[#This Row],[Lvl 1 Header]], TblDetailBudget[[#This Row],[Lvl 1 Header]]))</f>
        <v>1</v>
      </c>
      <c r="F47" s="62">
        <f>IF(TblDetailBudget[[#This Row],[Level]]="", "", COUNTIFS($B$8:TblDetailBudget[[#This Row],[Level]], Lvl3Hdr, $D$8:TblDetailBudget[[#This Row],[Lvl 1 Header]], TblDetailBudget[[#This Row],[Lvl 1 Header]], $E$8:TblDetailBudget[[#This Row],[Lvl 2 Header]], TblDetailBudget[[#This Row],[Lvl 2 Header]]))</f>
        <v>2</v>
      </c>
      <c r="G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47" s="101"/>
      <c r="J47" s="101"/>
      <c r="K47" s="88"/>
      <c r="L47" s="88"/>
      <c r="M47" s="62" t="str">
        <f>IF(TblDetailBudget[[#This Row],[Level]]=LvlBottomHdr, IFERROR(INDEX(TblUnitCost[Unit], MATCH(TblDetailBudget[[#This Row],[Row Title]], TblUnitCost[Resource], 0)), "Invalid Resource"), "")</f>
        <v>Invalid Resource</v>
      </c>
      <c r="N47" s="125" t="str">
        <f>IF(TblDetailBudget[[#This Row],[Level]]=LvlBottomHdr, IFERROR(INDEX(TblUnitCost[LCU], MATCH(TblDetailBudget[[#This Row],[Row Title]], TblUnitCost[Resource], 0)), "Invalid Resource"), "")</f>
        <v>Invalid Resource</v>
      </c>
      <c r="O47" s="128"/>
      <c r="P47" s="108"/>
      <c r="Q47" s="129"/>
      <c r="R47" s="108"/>
      <c r="S47" s="108"/>
      <c r="T47" s="108"/>
      <c r="U47" s="108"/>
      <c r="V47" s="108"/>
      <c r="W47" s="125" t="str">
        <f>IF(TblDetailBudget[[#This Row],[Level]]=LvlBottomHdr, IF(SUM(TblDetailBudget[[#This Row],[2021 Quant]:[2025 Quant]])&gt;0, SUM(TblDetailBudget[[#This Row],[2021 Quant]:[2025 Quant]]), ""), "")</f>
        <v/>
      </c>
      <c r="X4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 s="140">
        <f>SUM(TblDetailBudget[[#This Row],[2021 Cost (LCU)]:[2025 Cost (LCU)]])</f>
        <v>0</v>
      </c>
      <c r="AD47" s="134">
        <f>IFERROR(SUM(TblDetailBudget[[#This Row],[2021 Cost (LCU)]])/FX_Rate, "")</f>
        <v>0</v>
      </c>
      <c r="AE47" s="63">
        <f>IFERROR(SUM(TblDetailBudget[[#This Row],[2022 Cost (LCU)]])/FX_Rate, "")</f>
        <v>0</v>
      </c>
      <c r="AF47" s="63">
        <f>IFERROR(SUM(TblDetailBudget[[#This Row],[2023 Cost (LCU)]])/FX_Rate, "")</f>
        <v>0</v>
      </c>
      <c r="AG47" s="63">
        <f>IFERROR(SUM(TblDetailBudget[[#This Row],[2024 Cost (LCU)]])/FX_Rate, "")</f>
        <v>0</v>
      </c>
      <c r="AH47" s="63">
        <f>IFERROR(SUM(TblDetailBudget[[#This Row],[2025 Cost (LCU)]])/FX_Rate, "")</f>
        <v>0</v>
      </c>
      <c r="AI47" s="125">
        <f>SUM(TblDetailBudget[[#This Row],[2021 Cost (USD)]:[2025 Cost (USD)]])</f>
        <v>0</v>
      </c>
      <c r="AJ47" s="180"/>
    </row>
    <row r="48" spans="2:36" ht="12.75" hidden="1" customHeight="1">
      <c r="B48" s="122" t="s">
        <v>69</v>
      </c>
      <c r="C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v>
      </c>
      <c r="D48" s="62">
        <f>IF(TblDetailBudget[[#This Row],[Level]]="", "", COUNTIFS($B$8:TblDetailBudget[[#This Row],[Level]], Lvl1Hdr))</f>
        <v>1</v>
      </c>
      <c r="E48" s="62">
        <f>IF(TblDetailBudget[[#This Row],[Level]]="", "", COUNTIFS($B$8:TblDetailBudget[[#This Row],[Level]], Lvl2Hdr, $D$8:TblDetailBudget[[#This Row],[Lvl 1 Header]], TblDetailBudget[[#This Row],[Lvl 1 Header]]))</f>
        <v>1</v>
      </c>
      <c r="F48" s="62">
        <f>IF(TblDetailBudget[[#This Row],[Level]]="", "", COUNTIFS($B$8:TblDetailBudget[[#This Row],[Level]], Lvl3Hdr, $D$8:TblDetailBudget[[#This Row],[Lvl 1 Header]], TblDetailBudget[[#This Row],[Lvl 1 Header]], $E$8:TblDetailBudget[[#This Row],[Lvl 2 Header]], TblDetailBudget[[#This Row],[Lvl 2 Header]]))</f>
        <v>3</v>
      </c>
      <c r="G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8" s="185"/>
      <c r="J48" s="101"/>
      <c r="K48" s="88"/>
      <c r="L48" s="88"/>
      <c r="M48" s="62" t="str">
        <f>IF(TblDetailBudget[[#This Row],[Level]]=LvlBottomHdr, IFERROR(INDEX(TblUnitCost[Unit], MATCH(TblDetailBudget[[#This Row],[Row Title]], TblUnitCost[Resource], 0)), "Invalid Resource"), "")</f>
        <v/>
      </c>
      <c r="N48" s="125" t="str">
        <f>IF(TblDetailBudget[[#This Row],[Level]]=LvlBottomHdr, IFERROR(INDEX(TblUnitCost[LCU], MATCH(TblDetailBudget[[#This Row],[Row Title]], TblUnitCost[Resource], 0)), "Invalid Resource"), "")</f>
        <v/>
      </c>
      <c r="O48" s="128"/>
      <c r="P48" s="108"/>
      <c r="Q48" s="129"/>
      <c r="R48" s="108"/>
      <c r="S48" s="108"/>
      <c r="T48" s="108"/>
      <c r="U48" s="108"/>
      <c r="V48" s="108"/>
      <c r="W48" s="125" t="str">
        <f>IF(TblDetailBudget[[#This Row],[Level]]=LvlBottomHdr, IF(SUM(TblDetailBudget[[#This Row],[2021 Quant]:[2025 Quant]])&gt;0, SUM(TblDetailBudget[[#This Row],[2021 Quant]:[2025 Quant]]), ""), "")</f>
        <v/>
      </c>
      <c r="X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8" s="140">
        <f>SUM(TblDetailBudget[[#This Row],[2021 Cost (LCU)]:[2025 Cost (LCU)]])</f>
        <v>0</v>
      </c>
      <c r="AD48" s="134">
        <f>IFERROR(SUM(TblDetailBudget[[#This Row],[2021 Cost (LCU)]])/FX_Rate, "")</f>
        <v>0</v>
      </c>
      <c r="AE48" s="63">
        <f>IFERROR(SUM(TblDetailBudget[[#This Row],[2022 Cost (LCU)]])/FX_Rate, "")</f>
        <v>0</v>
      </c>
      <c r="AF48" s="63">
        <f>IFERROR(SUM(TblDetailBudget[[#This Row],[2023 Cost (LCU)]])/FX_Rate, "")</f>
        <v>0</v>
      </c>
      <c r="AG48" s="63">
        <f>IFERROR(SUM(TblDetailBudget[[#This Row],[2024 Cost (LCU)]])/FX_Rate, "")</f>
        <v>0</v>
      </c>
      <c r="AH48" s="63">
        <f>IFERROR(SUM(TblDetailBudget[[#This Row],[2025 Cost (LCU)]])/FX_Rate, "")</f>
        <v>0</v>
      </c>
      <c r="AI48" s="125">
        <f>SUM(TblDetailBudget[[#This Row],[2021 Cost (USD)]:[2025 Cost (USD)]])</f>
        <v>0</v>
      </c>
      <c r="AJ48" s="180"/>
    </row>
    <row r="49" spans="2:36" ht="12.75" hidden="1" customHeight="1">
      <c r="B49" s="122" t="s">
        <v>70</v>
      </c>
      <c r="C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v>
      </c>
      <c r="D49" s="62">
        <f>IF(TblDetailBudget[[#This Row],[Level]]="", "", COUNTIFS($B$8:TblDetailBudget[[#This Row],[Level]], Lvl1Hdr))</f>
        <v>1</v>
      </c>
      <c r="E49" s="62">
        <f>IF(TblDetailBudget[[#This Row],[Level]]="", "", COUNTIFS($B$8:TblDetailBudget[[#This Row],[Level]], Lvl2Hdr, $D$8:TblDetailBudget[[#This Row],[Lvl 1 Header]], TblDetailBudget[[#This Row],[Lvl 1 Header]]))</f>
        <v>1</v>
      </c>
      <c r="F49" s="62">
        <f>IF(TblDetailBudget[[#This Row],[Level]]="", "", COUNTIFS($B$8:TblDetailBudget[[#This Row],[Level]], Lvl3Hdr, $D$8:TblDetailBudget[[#This Row],[Lvl 1 Header]], TblDetailBudget[[#This Row],[Lvl 1 Header]], $E$8:TblDetailBudget[[#This Row],[Lvl 2 Header]], TblDetailBudget[[#This Row],[Lvl 2 Header]]))</f>
        <v>3</v>
      </c>
      <c r="G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9" s="101"/>
      <c r="J49" s="101"/>
      <c r="K49" s="88"/>
      <c r="L49" s="88"/>
      <c r="M49" s="62" t="str">
        <f>IF(TblDetailBudget[[#This Row],[Level]]=LvlBottomHdr, IFERROR(INDEX(TblUnitCost[Unit], MATCH(TblDetailBudget[[#This Row],[Row Title]], TblUnitCost[Resource], 0)), "Invalid Resource"), "")</f>
        <v/>
      </c>
      <c r="N49" s="125" t="str">
        <f>IF(TblDetailBudget[[#This Row],[Level]]=LvlBottomHdr, IFERROR(INDEX(TblUnitCost[LCU], MATCH(TblDetailBudget[[#This Row],[Row Title]], TblUnitCost[Resource], 0)), "Invalid Resource"), "")</f>
        <v/>
      </c>
      <c r="O49" s="128"/>
      <c r="P49" s="108"/>
      <c r="Q49" s="129"/>
      <c r="R49" s="108"/>
      <c r="S49" s="108"/>
      <c r="T49" s="108"/>
      <c r="U49" s="108"/>
      <c r="V49" s="108"/>
      <c r="W49" s="125" t="str">
        <f>IF(TblDetailBudget[[#This Row],[Level]]=LvlBottomHdr, IF(SUM(TblDetailBudget[[#This Row],[2021 Quant]:[2025 Quant]])&gt;0, SUM(TblDetailBudget[[#This Row],[2021 Quant]:[2025 Quant]]), ""), "")</f>
        <v/>
      </c>
      <c r="X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9" s="140">
        <f>SUM(TblDetailBudget[[#This Row],[2021 Cost (LCU)]:[2025 Cost (LCU)]])</f>
        <v>0</v>
      </c>
      <c r="AD49" s="134">
        <f>IFERROR(SUM(TblDetailBudget[[#This Row],[2021 Cost (LCU)]])/FX_Rate, "")</f>
        <v>0</v>
      </c>
      <c r="AE49" s="63">
        <f>IFERROR(SUM(TblDetailBudget[[#This Row],[2022 Cost (LCU)]])/FX_Rate, "")</f>
        <v>0</v>
      </c>
      <c r="AF49" s="63">
        <f>IFERROR(SUM(TblDetailBudget[[#This Row],[2023 Cost (LCU)]])/FX_Rate, "")</f>
        <v>0</v>
      </c>
      <c r="AG49" s="63">
        <f>IFERROR(SUM(TblDetailBudget[[#This Row],[2024 Cost (LCU)]])/FX_Rate, "")</f>
        <v>0</v>
      </c>
      <c r="AH49" s="63">
        <f>IFERROR(SUM(TblDetailBudget[[#This Row],[2025 Cost (LCU)]])/FX_Rate, "")</f>
        <v>0</v>
      </c>
      <c r="AI49" s="125">
        <f>SUM(TblDetailBudget[[#This Row],[2021 Cost (USD)]:[2025 Cost (USD)]])</f>
        <v>0</v>
      </c>
      <c r="AJ49" s="180"/>
    </row>
    <row r="50" spans="2:36" ht="12.75" hidden="1" customHeight="1">
      <c r="B50" s="122" t="s">
        <v>71</v>
      </c>
      <c r="C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v>
      </c>
      <c r="D50" s="62">
        <f>IF(TblDetailBudget[[#This Row],[Level]]="", "", COUNTIFS($B$8:TblDetailBudget[[#This Row],[Level]], Lvl1Hdr))</f>
        <v>1</v>
      </c>
      <c r="E50" s="62">
        <f>IF(TblDetailBudget[[#This Row],[Level]]="", "", COUNTIFS($B$8:TblDetailBudget[[#This Row],[Level]], Lvl2Hdr, $D$8:TblDetailBudget[[#This Row],[Lvl 1 Header]], TblDetailBudget[[#This Row],[Lvl 1 Header]]))</f>
        <v>1</v>
      </c>
      <c r="F50" s="62">
        <f>IF(TblDetailBudget[[#This Row],[Level]]="", "", COUNTIFS($B$8:TblDetailBudget[[#This Row],[Level]], Lvl3Hdr, $D$8:TblDetailBudget[[#This Row],[Lvl 1 Header]], TblDetailBudget[[#This Row],[Lvl 1 Header]], $E$8:TblDetailBudget[[#This Row],[Lvl 2 Header]], TblDetailBudget[[#This Row],[Lvl 2 Header]]))</f>
        <v>3</v>
      </c>
      <c r="G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50" s="101"/>
      <c r="J50" s="101"/>
      <c r="K50" s="88"/>
      <c r="L50" s="88"/>
      <c r="M50" s="62" t="str">
        <f>IF(TblDetailBudget[[#This Row],[Level]]=LvlBottomHdr, IFERROR(INDEX(TblUnitCost[Unit], MATCH(TblDetailBudget[[#This Row],[Row Title]], TblUnitCost[Resource], 0)), "Invalid Resource"), "")</f>
        <v>Invalid Resource</v>
      </c>
      <c r="N50" s="125" t="str">
        <f>IF(TblDetailBudget[[#This Row],[Level]]=LvlBottomHdr, IFERROR(INDEX(TblUnitCost[LCU], MATCH(TblDetailBudget[[#This Row],[Row Title]], TblUnitCost[Resource], 0)), "Invalid Resource"), "")</f>
        <v>Invalid Resource</v>
      </c>
      <c r="O50" s="128"/>
      <c r="P50" s="108"/>
      <c r="Q50" s="129">
        <v>1</v>
      </c>
      <c r="R50" s="108"/>
      <c r="S50" s="108"/>
      <c r="T50" s="108"/>
      <c r="U50" s="108"/>
      <c r="V50" s="108">
        <v>1</v>
      </c>
      <c r="W50" s="125">
        <f>IF(TblDetailBudget[[#This Row],[Level]]=LvlBottomHdr, IF(SUM(TblDetailBudget[[#This Row],[2021 Quant]:[2025 Quant]])&gt;0, SUM(TblDetailBudget[[#This Row],[2021 Quant]:[2025 Quant]]), ""), "")</f>
        <v>1</v>
      </c>
      <c r="X5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 s="140">
        <f>SUM(TblDetailBudget[[#This Row],[2021 Cost (LCU)]:[2025 Cost (LCU)]])</f>
        <v>0</v>
      </c>
      <c r="AD50" s="134">
        <f>IFERROR(SUM(TblDetailBudget[[#This Row],[2021 Cost (LCU)]])/FX_Rate, "")</f>
        <v>0</v>
      </c>
      <c r="AE50" s="63">
        <f>IFERROR(SUM(TblDetailBudget[[#This Row],[2022 Cost (LCU)]])/FX_Rate, "")</f>
        <v>0</v>
      </c>
      <c r="AF50" s="63">
        <f>IFERROR(SUM(TblDetailBudget[[#This Row],[2023 Cost (LCU)]])/FX_Rate, "")</f>
        <v>0</v>
      </c>
      <c r="AG50" s="63">
        <f>IFERROR(SUM(TblDetailBudget[[#This Row],[2024 Cost (LCU)]])/FX_Rate, "")</f>
        <v>0</v>
      </c>
      <c r="AH50" s="63">
        <f>IFERROR(SUM(TblDetailBudget[[#This Row],[2025 Cost (LCU)]])/FX_Rate, "")</f>
        <v>0</v>
      </c>
      <c r="AI50" s="125">
        <f>SUM(TblDetailBudget[[#This Row],[2021 Cost (USD)]:[2025 Cost (USD)]])</f>
        <v>0</v>
      </c>
      <c r="AJ50" s="180"/>
    </row>
    <row r="51" spans="2:36" ht="12.75" hidden="1" customHeight="1">
      <c r="B51" s="122" t="s">
        <v>71</v>
      </c>
      <c r="C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1.1.3.1.2</v>
      </c>
      <c r="D51" s="62">
        <f>IF(TblDetailBudget[[#This Row],[Level]]="", "", COUNTIFS($B$8:TblDetailBudget[[#This Row],[Level]], Lvl1Hdr))</f>
        <v>1</v>
      </c>
      <c r="E51" s="62">
        <f>IF(TblDetailBudget[[#This Row],[Level]]="", "", COUNTIFS($B$8:TblDetailBudget[[#This Row],[Level]], Lvl2Hdr, $D$8:TblDetailBudget[[#This Row],[Lvl 1 Header]], TblDetailBudget[[#This Row],[Lvl 1 Header]]))</f>
        <v>1</v>
      </c>
      <c r="F51" s="62">
        <f>IF(TblDetailBudget[[#This Row],[Level]]="", "", COUNTIFS($B$8:TblDetailBudget[[#This Row],[Level]], Lvl3Hdr, $D$8:TblDetailBudget[[#This Row],[Lvl 1 Header]], TblDetailBudget[[#This Row],[Lvl 1 Header]], $E$8:TblDetailBudget[[#This Row],[Lvl 2 Header]], TblDetailBudget[[#This Row],[Lvl 2 Header]]))</f>
        <v>3</v>
      </c>
      <c r="G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51" s="101"/>
      <c r="J51" s="101"/>
      <c r="K51" s="88"/>
      <c r="L51" s="88"/>
      <c r="M51" s="62" t="str">
        <f>IF(TblDetailBudget[[#This Row],[Level]]=LvlBottomHdr, IFERROR(INDEX(TblUnitCost[Unit], MATCH(TblDetailBudget[[#This Row],[Row Title]], TblUnitCost[Resource], 0)), "Invalid Resource"), "")</f>
        <v>Invalid Resource</v>
      </c>
      <c r="N51" s="125" t="str">
        <f>IF(TblDetailBudget[[#This Row],[Level]]=LvlBottomHdr, IFERROR(INDEX(TblUnitCost[LCU], MATCH(TblDetailBudget[[#This Row],[Row Title]], TblUnitCost[Resource], 0)), "Invalid Resource"), "")</f>
        <v>Invalid Resource</v>
      </c>
      <c r="O51" s="128"/>
      <c r="P51" s="108"/>
      <c r="Q51" s="129"/>
      <c r="R51" s="108"/>
      <c r="S51" s="108"/>
      <c r="T51" s="108"/>
      <c r="U51" s="108"/>
      <c r="V51" s="108"/>
      <c r="W51" s="125" t="str">
        <f>IF(TblDetailBudget[[#This Row],[Level]]=LvlBottomHdr, IF(SUM(TblDetailBudget[[#This Row],[2021 Quant]:[2025 Quant]])&gt;0, SUM(TblDetailBudget[[#This Row],[2021 Quant]:[2025 Quant]]), ""), "")</f>
        <v/>
      </c>
      <c r="X5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 s="140">
        <f>SUM(TblDetailBudget[[#This Row],[2021 Cost (LCU)]:[2025 Cost (LCU)]])</f>
        <v>0</v>
      </c>
      <c r="AD51" s="134">
        <f>IFERROR(SUM(TblDetailBudget[[#This Row],[2021 Cost (LCU)]])/FX_Rate, "")</f>
        <v>0</v>
      </c>
      <c r="AE51" s="63">
        <f>IFERROR(SUM(TblDetailBudget[[#This Row],[2022 Cost (LCU)]])/FX_Rate, "")</f>
        <v>0</v>
      </c>
      <c r="AF51" s="63">
        <f>IFERROR(SUM(TblDetailBudget[[#This Row],[2023 Cost (LCU)]])/FX_Rate, "")</f>
        <v>0</v>
      </c>
      <c r="AG51" s="63">
        <f>IFERROR(SUM(TblDetailBudget[[#This Row],[2024 Cost (LCU)]])/FX_Rate, "")</f>
        <v>0</v>
      </c>
      <c r="AH51" s="63">
        <f>IFERROR(SUM(TblDetailBudget[[#This Row],[2025 Cost (LCU)]])/FX_Rate, "")</f>
        <v>0</v>
      </c>
      <c r="AI51" s="125">
        <f>SUM(TblDetailBudget[[#This Row],[2021 Cost (USD)]:[2025 Cost (USD)]])</f>
        <v>0</v>
      </c>
      <c r="AJ51" s="180"/>
    </row>
    <row r="52" spans="2:36" ht="12.75" hidden="1" customHeight="1">
      <c r="B52" s="122" t="s">
        <v>71</v>
      </c>
      <c r="C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1.1.3.1.3</v>
      </c>
      <c r="D52" s="62">
        <f>IF(TblDetailBudget[[#This Row],[Level]]="", "", COUNTIFS($B$8:TblDetailBudget[[#This Row],[Level]], Lvl1Hdr))</f>
        <v>1</v>
      </c>
      <c r="E52" s="62">
        <f>IF(TblDetailBudget[[#This Row],[Level]]="", "", COUNTIFS($B$8:TblDetailBudget[[#This Row],[Level]], Lvl2Hdr, $D$8:TblDetailBudget[[#This Row],[Lvl 1 Header]], TblDetailBudget[[#This Row],[Lvl 1 Header]]))</f>
        <v>1</v>
      </c>
      <c r="F52" s="62">
        <f>IF(TblDetailBudget[[#This Row],[Level]]="", "", COUNTIFS($B$8:TblDetailBudget[[#This Row],[Level]], Lvl3Hdr, $D$8:TblDetailBudget[[#This Row],[Lvl 1 Header]], TblDetailBudget[[#This Row],[Lvl 1 Header]], $E$8:TblDetailBudget[[#This Row],[Lvl 2 Header]], TblDetailBudget[[#This Row],[Lvl 2 Header]]))</f>
        <v>3</v>
      </c>
      <c r="G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52" s="101"/>
      <c r="J52" s="101"/>
      <c r="K52" s="88"/>
      <c r="L52" s="88"/>
      <c r="M52" s="62" t="str">
        <f>IF(TblDetailBudget[[#This Row],[Level]]=LvlBottomHdr, IFERROR(INDEX(TblUnitCost[Unit], MATCH(TblDetailBudget[[#This Row],[Row Title]], TblUnitCost[Resource], 0)), "Invalid Resource"), "")</f>
        <v>Invalid Resource</v>
      </c>
      <c r="N52" s="125" t="str">
        <f>IF(TblDetailBudget[[#This Row],[Level]]=LvlBottomHdr, IFERROR(INDEX(TblUnitCost[LCU], MATCH(TblDetailBudget[[#This Row],[Row Title]], TblUnitCost[Resource], 0)), "Invalid Resource"), "")</f>
        <v>Invalid Resource</v>
      </c>
      <c r="O52" s="128"/>
      <c r="P52" s="108"/>
      <c r="Q52" s="129"/>
      <c r="R52" s="108"/>
      <c r="S52" s="108"/>
      <c r="T52" s="108"/>
      <c r="U52" s="108"/>
      <c r="V52" s="108"/>
      <c r="W52" s="125" t="str">
        <f>IF(TblDetailBudget[[#This Row],[Level]]=LvlBottomHdr, IF(SUM(TblDetailBudget[[#This Row],[2021 Quant]:[2025 Quant]])&gt;0, SUM(TblDetailBudget[[#This Row],[2021 Quant]:[2025 Quant]]), ""), "")</f>
        <v/>
      </c>
      <c r="X5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 s="140">
        <f>SUM(TblDetailBudget[[#This Row],[2021 Cost (LCU)]:[2025 Cost (LCU)]])</f>
        <v>0</v>
      </c>
      <c r="AD52" s="134">
        <f>IFERROR(SUM(TblDetailBudget[[#This Row],[2021 Cost (LCU)]])/FX_Rate, "")</f>
        <v>0</v>
      </c>
      <c r="AE52" s="63">
        <f>IFERROR(SUM(TblDetailBudget[[#This Row],[2022 Cost (LCU)]])/FX_Rate, "")</f>
        <v>0</v>
      </c>
      <c r="AF52" s="63">
        <f>IFERROR(SUM(TblDetailBudget[[#This Row],[2023 Cost (LCU)]])/FX_Rate, "")</f>
        <v>0</v>
      </c>
      <c r="AG52" s="63">
        <f>IFERROR(SUM(TblDetailBudget[[#This Row],[2024 Cost (LCU)]])/FX_Rate, "")</f>
        <v>0</v>
      </c>
      <c r="AH52" s="63">
        <f>IFERROR(SUM(TblDetailBudget[[#This Row],[2025 Cost (LCU)]])/FX_Rate, "")</f>
        <v>0</v>
      </c>
      <c r="AI52" s="125">
        <f>SUM(TblDetailBudget[[#This Row],[2021 Cost (USD)]:[2025 Cost (USD)]])</f>
        <v>0</v>
      </c>
      <c r="AJ52" s="180"/>
    </row>
    <row r="53" spans="2:36" ht="12.75" hidden="1" customHeight="1">
      <c r="B53" s="122" t="s">
        <v>71</v>
      </c>
      <c r="C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1.1.3.1.4</v>
      </c>
      <c r="D53" s="62">
        <f>IF(TblDetailBudget[[#This Row],[Level]]="", "", COUNTIFS($B$8:TblDetailBudget[[#This Row],[Level]], Lvl1Hdr))</f>
        <v>1</v>
      </c>
      <c r="E53" s="62">
        <f>IF(TblDetailBudget[[#This Row],[Level]]="", "", COUNTIFS($B$8:TblDetailBudget[[#This Row],[Level]], Lvl2Hdr, $D$8:TblDetailBudget[[#This Row],[Lvl 1 Header]], TblDetailBudget[[#This Row],[Lvl 1 Header]]))</f>
        <v>1</v>
      </c>
      <c r="F53" s="62">
        <f>IF(TblDetailBudget[[#This Row],[Level]]="", "", COUNTIFS($B$8:TblDetailBudget[[#This Row],[Level]], Lvl3Hdr, $D$8:TblDetailBudget[[#This Row],[Lvl 1 Header]], TblDetailBudget[[#This Row],[Lvl 1 Header]], $E$8:TblDetailBudget[[#This Row],[Lvl 2 Header]], TblDetailBudget[[#This Row],[Lvl 2 Header]]))</f>
        <v>3</v>
      </c>
      <c r="G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53" s="101"/>
      <c r="J53" s="101"/>
      <c r="K53" s="88"/>
      <c r="L53" s="88"/>
      <c r="M53" s="62" t="str">
        <f>IF(TblDetailBudget[[#This Row],[Level]]=LvlBottomHdr, IFERROR(INDEX(TblUnitCost[Unit], MATCH(TblDetailBudget[[#This Row],[Row Title]], TblUnitCost[Resource], 0)), "Invalid Resource"), "")</f>
        <v>Invalid Resource</v>
      </c>
      <c r="N53" s="125" t="str">
        <f>IF(TblDetailBudget[[#This Row],[Level]]=LvlBottomHdr, IFERROR(INDEX(TblUnitCost[LCU], MATCH(TblDetailBudget[[#This Row],[Row Title]], TblUnitCost[Resource], 0)), "Invalid Resource"), "")</f>
        <v>Invalid Resource</v>
      </c>
      <c r="O53" s="128"/>
      <c r="P53" s="108"/>
      <c r="Q53" s="129"/>
      <c r="R53" s="108"/>
      <c r="S53" s="108"/>
      <c r="T53" s="108"/>
      <c r="U53" s="108"/>
      <c r="V53" s="108"/>
      <c r="W53" s="125" t="str">
        <f>IF(TblDetailBudget[[#This Row],[Level]]=LvlBottomHdr, IF(SUM(TblDetailBudget[[#This Row],[2021 Quant]:[2025 Quant]])&gt;0, SUM(TblDetailBudget[[#This Row],[2021 Quant]:[2025 Quant]]), ""), "")</f>
        <v/>
      </c>
      <c r="X5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 s="140">
        <f>SUM(TblDetailBudget[[#This Row],[2021 Cost (LCU)]:[2025 Cost (LCU)]])</f>
        <v>0</v>
      </c>
      <c r="AD53" s="134">
        <f>IFERROR(SUM(TblDetailBudget[[#This Row],[2021 Cost (LCU)]])/FX_Rate, "")</f>
        <v>0</v>
      </c>
      <c r="AE53" s="63">
        <f>IFERROR(SUM(TblDetailBudget[[#This Row],[2022 Cost (LCU)]])/FX_Rate, "")</f>
        <v>0</v>
      </c>
      <c r="AF53" s="63">
        <f>IFERROR(SUM(TblDetailBudget[[#This Row],[2023 Cost (LCU)]])/FX_Rate, "")</f>
        <v>0</v>
      </c>
      <c r="AG53" s="63">
        <f>IFERROR(SUM(TblDetailBudget[[#This Row],[2024 Cost (LCU)]])/FX_Rate, "")</f>
        <v>0</v>
      </c>
      <c r="AH53" s="63">
        <f>IFERROR(SUM(TblDetailBudget[[#This Row],[2025 Cost (LCU)]])/FX_Rate, "")</f>
        <v>0</v>
      </c>
      <c r="AI53" s="125">
        <f>SUM(TblDetailBudget[[#This Row],[2021 Cost (USD)]:[2025 Cost (USD)]])</f>
        <v>0</v>
      </c>
      <c r="AJ53" s="180"/>
    </row>
    <row r="54" spans="2:36" ht="12.75" hidden="1" customHeight="1">
      <c r="B54" s="122" t="s">
        <v>71</v>
      </c>
      <c r="C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1.1.3.1.5</v>
      </c>
      <c r="D54" s="62">
        <f>IF(TblDetailBudget[[#This Row],[Level]]="", "", COUNTIFS($B$8:TblDetailBudget[[#This Row],[Level]], Lvl1Hdr))</f>
        <v>1</v>
      </c>
      <c r="E54" s="62">
        <f>IF(TblDetailBudget[[#This Row],[Level]]="", "", COUNTIFS($B$8:TblDetailBudget[[#This Row],[Level]], Lvl2Hdr, $D$8:TblDetailBudget[[#This Row],[Lvl 1 Header]], TblDetailBudget[[#This Row],[Lvl 1 Header]]))</f>
        <v>1</v>
      </c>
      <c r="F54" s="62">
        <f>IF(TblDetailBudget[[#This Row],[Level]]="", "", COUNTIFS($B$8:TblDetailBudget[[#This Row],[Level]], Lvl3Hdr, $D$8:TblDetailBudget[[#This Row],[Lvl 1 Header]], TblDetailBudget[[#This Row],[Lvl 1 Header]], $E$8:TblDetailBudget[[#This Row],[Lvl 2 Header]], TblDetailBudget[[#This Row],[Lvl 2 Header]]))</f>
        <v>3</v>
      </c>
      <c r="G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54" s="101"/>
      <c r="J54" s="101"/>
      <c r="K54" s="88"/>
      <c r="L54" s="88"/>
      <c r="M54" s="62" t="str">
        <f>IF(TblDetailBudget[[#This Row],[Level]]=LvlBottomHdr, IFERROR(INDEX(TblUnitCost[Unit], MATCH(TblDetailBudget[[#This Row],[Row Title]], TblUnitCost[Resource], 0)), "Invalid Resource"), "")</f>
        <v>Invalid Resource</v>
      </c>
      <c r="N54" s="125" t="str">
        <f>IF(TblDetailBudget[[#This Row],[Level]]=LvlBottomHdr, IFERROR(INDEX(TblUnitCost[LCU], MATCH(TblDetailBudget[[#This Row],[Row Title]], TblUnitCost[Resource], 0)), "Invalid Resource"), "")</f>
        <v>Invalid Resource</v>
      </c>
      <c r="O54" s="128"/>
      <c r="P54" s="108"/>
      <c r="Q54" s="129"/>
      <c r="R54" s="108"/>
      <c r="S54" s="108"/>
      <c r="T54" s="108"/>
      <c r="U54" s="108"/>
      <c r="V54" s="108"/>
      <c r="W54" s="125" t="str">
        <f>IF(TblDetailBudget[[#This Row],[Level]]=LvlBottomHdr, IF(SUM(TblDetailBudget[[#This Row],[2021 Quant]:[2025 Quant]])&gt;0, SUM(TblDetailBudget[[#This Row],[2021 Quant]:[2025 Quant]]), ""), "")</f>
        <v/>
      </c>
      <c r="X5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 s="140">
        <f>SUM(TblDetailBudget[[#This Row],[2021 Cost (LCU)]:[2025 Cost (LCU)]])</f>
        <v>0</v>
      </c>
      <c r="AD54" s="134">
        <f>IFERROR(SUM(TblDetailBudget[[#This Row],[2021 Cost (LCU)]])/FX_Rate, "")</f>
        <v>0</v>
      </c>
      <c r="AE54" s="63">
        <f>IFERROR(SUM(TblDetailBudget[[#This Row],[2022 Cost (LCU)]])/FX_Rate, "")</f>
        <v>0</v>
      </c>
      <c r="AF54" s="63">
        <f>IFERROR(SUM(TblDetailBudget[[#This Row],[2023 Cost (LCU)]])/FX_Rate, "")</f>
        <v>0</v>
      </c>
      <c r="AG54" s="63">
        <f>IFERROR(SUM(TblDetailBudget[[#This Row],[2024 Cost (LCU)]])/FX_Rate, "")</f>
        <v>0</v>
      </c>
      <c r="AH54" s="63">
        <f>IFERROR(SUM(TblDetailBudget[[#This Row],[2025 Cost (LCU)]])/FX_Rate, "")</f>
        <v>0</v>
      </c>
      <c r="AI54" s="125">
        <f>SUM(TblDetailBudget[[#This Row],[2021 Cost (USD)]:[2025 Cost (USD)]])</f>
        <v>0</v>
      </c>
      <c r="AJ54" s="180"/>
    </row>
    <row r="55" spans="2:36" ht="12.75" hidden="1" customHeight="1">
      <c r="B55" s="122" t="s">
        <v>71</v>
      </c>
      <c r="C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1.1.3.1.6</v>
      </c>
      <c r="D55" s="62">
        <f>IF(TblDetailBudget[[#This Row],[Level]]="", "", COUNTIFS($B$8:TblDetailBudget[[#This Row],[Level]], Lvl1Hdr))</f>
        <v>1</v>
      </c>
      <c r="E55" s="62">
        <f>IF(TblDetailBudget[[#This Row],[Level]]="", "", COUNTIFS($B$8:TblDetailBudget[[#This Row],[Level]], Lvl2Hdr, $D$8:TblDetailBudget[[#This Row],[Lvl 1 Header]], TblDetailBudget[[#This Row],[Lvl 1 Header]]))</f>
        <v>1</v>
      </c>
      <c r="F55" s="62">
        <f>IF(TblDetailBudget[[#This Row],[Level]]="", "", COUNTIFS($B$8:TblDetailBudget[[#This Row],[Level]], Lvl3Hdr, $D$8:TblDetailBudget[[#This Row],[Lvl 1 Header]], TblDetailBudget[[#This Row],[Lvl 1 Header]], $E$8:TblDetailBudget[[#This Row],[Lvl 2 Header]], TblDetailBudget[[#This Row],[Lvl 2 Header]]))</f>
        <v>3</v>
      </c>
      <c r="G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55" s="101"/>
      <c r="J55" s="101"/>
      <c r="K55" s="88"/>
      <c r="L55" s="88"/>
      <c r="M55" s="62" t="str">
        <f>IF(TblDetailBudget[[#This Row],[Level]]=LvlBottomHdr, IFERROR(INDEX(TblUnitCost[Unit], MATCH(TblDetailBudget[[#This Row],[Row Title]], TblUnitCost[Resource], 0)), "Invalid Resource"), "")</f>
        <v>Invalid Resource</v>
      </c>
      <c r="N55" s="125" t="str">
        <f>IF(TblDetailBudget[[#This Row],[Level]]=LvlBottomHdr, IFERROR(INDEX(TblUnitCost[LCU], MATCH(TblDetailBudget[[#This Row],[Row Title]], TblUnitCost[Resource], 0)), "Invalid Resource"), "")</f>
        <v>Invalid Resource</v>
      </c>
      <c r="O55" s="128"/>
      <c r="P55" s="108"/>
      <c r="Q55" s="129"/>
      <c r="R55" s="108"/>
      <c r="S55" s="108"/>
      <c r="T55" s="108"/>
      <c r="U55" s="108"/>
      <c r="V55" s="108"/>
      <c r="W55" s="125" t="str">
        <f>IF(TblDetailBudget[[#This Row],[Level]]=LvlBottomHdr, IF(SUM(TblDetailBudget[[#This Row],[2021 Quant]:[2025 Quant]])&gt;0, SUM(TblDetailBudget[[#This Row],[2021 Quant]:[2025 Quant]]), ""), "")</f>
        <v/>
      </c>
      <c r="X5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 s="140">
        <f>SUM(TblDetailBudget[[#This Row],[2021 Cost (LCU)]:[2025 Cost (LCU)]])</f>
        <v>0</v>
      </c>
      <c r="AD55" s="134">
        <f>IFERROR(SUM(TblDetailBudget[[#This Row],[2021 Cost (LCU)]])/FX_Rate, "")</f>
        <v>0</v>
      </c>
      <c r="AE55" s="63">
        <f>IFERROR(SUM(TblDetailBudget[[#This Row],[2022 Cost (LCU)]])/FX_Rate, "")</f>
        <v>0</v>
      </c>
      <c r="AF55" s="63">
        <f>IFERROR(SUM(TblDetailBudget[[#This Row],[2023 Cost (LCU)]])/FX_Rate, "")</f>
        <v>0</v>
      </c>
      <c r="AG55" s="63">
        <f>IFERROR(SUM(TblDetailBudget[[#This Row],[2024 Cost (LCU)]])/FX_Rate, "")</f>
        <v>0</v>
      </c>
      <c r="AH55" s="63">
        <f>IFERROR(SUM(TblDetailBudget[[#This Row],[2025 Cost (LCU)]])/FX_Rate, "")</f>
        <v>0</v>
      </c>
      <c r="AI55" s="125">
        <f>SUM(TblDetailBudget[[#This Row],[2021 Cost (USD)]:[2025 Cost (USD)]])</f>
        <v>0</v>
      </c>
      <c r="AJ55" s="180"/>
    </row>
    <row r="56" spans="2:36" ht="12.75" hidden="1" customHeight="1">
      <c r="B56" s="122" t="s">
        <v>71</v>
      </c>
      <c r="C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1.1.3.1.7</v>
      </c>
      <c r="D56" s="62">
        <f>IF(TblDetailBudget[[#This Row],[Level]]="", "", COUNTIFS($B$8:TblDetailBudget[[#This Row],[Level]], Lvl1Hdr))</f>
        <v>1</v>
      </c>
      <c r="E56" s="62">
        <f>IF(TblDetailBudget[[#This Row],[Level]]="", "", COUNTIFS($B$8:TblDetailBudget[[#This Row],[Level]], Lvl2Hdr, $D$8:TblDetailBudget[[#This Row],[Lvl 1 Header]], TblDetailBudget[[#This Row],[Lvl 1 Header]]))</f>
        <v>1</v>
      </c>
      <c r="F56" s="62">
        <f>IF(TblDetailBudget[[#This Row],[Level]]="", "", COUNTIFS($B$8:TblDetailBudget[[#This Row],[Level]], Lvl3Hdr, $D$8:TblDetailBudget[[#This Row],[Lvl 1 Header]], TblDetailBudget[[#This Row],[Lvl 1 Header]], $E$8:TblDetailBudget[[#This Row],[Lvl 2 Header]], TblDetailBudget[[#This Row],[Lvl 2 Header]]))</f>
        <v>3</v>
      </c>
      <c r="G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56" s="101"/>
      <c r="J56" s="101"/>
      <c r="K56" s="88"/>
      <c r="L56" s="88"/>
      <c r="M56" s="62" t="str">
        <f>IF(TblDetailBudget[[#This Row],[Level]]=LvlBottomHdr, IFERROR(INDEX(TblUnitCost[Unit], MATCH(TblDetailBudget[[#This Row],[Row Title]], TblUnitCost[Resource], 0)), "Invalid Resource"), "")</f>
        <v>Invalid Resource</v>
      </c>
      <c r="N56" s="125" t="str">
        <f>IF(TblDetailBudget[[#This Row],[Level]]=LvlBottomHdr, IFERROR(INDEX(TblUnitCost[LCU], MATCH(TblDetailBudget[[#This Row],[Row Title]], TblUnitCost[Resource], 0)), "Invalid Resource"), "")</f>
        <v>Invalid Resource</v>
      </c>
      <c r="O56" s="128"/>
      <c r="P56" s="108"/>
      <c r="Q56" s="129"/>
      <c r="R56" s="108"/>
      <c r="S56" s="108"/>
      <c r="T56" s="108"/>
      <c r="U56" s="108"/>
      <c r="V56" s="108"/>
      <c r="W56" s="125" t="str">
        <f>IF(TblDetailBudget[[#This Row],[Level]]=LvlBottomHdr, IF(SUM(TblDetailBudget[[#This Row],[2021 Quant]:[2025 Quant]])&gt;0, SUM(TblDetailBudget[[#This Row],[2021 Quant]:[2025 Quant]]), ""), "")</f>
        <v/>
      </c>
      <c r="X5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 s="140">
        <f>SUM(TblDetailBudget[[#This Row],[2021 Cost (LCU)]:[2025 Cost (LCU)]])</f>
        <v>0</v>
      </c>
      <c r="AD56" s="134">
        <f>IFERROR(SUM(TblDetailBudget[[#This Row],[2021 Cost (LCU)]])/FX_Rate, "")</f>
        <v>0</v>
      </c>
      <c r="AE56" s="63">
        <f>IFERROR(SUM(TblDetailBudget[[#This Row],[2022 Cost (LCU)]])/FX_Rate, "")</f>
        <v>0</v>
      </c>
      <c r="AF56" s="63">
        <f>IFERROR(SUM(TblDetailBudget[[#This Row],[2023 Cost (LCU)]])/FX_Rate, "")</f>
        <v>0</v>
      </c>
      <c r="AG56" s="63">
        <f>IFERROR(SUM(TblDetailBudget[[#This Row],[2024 Cost (LCU)]])/FX_Rate, "")</f>
        <v>0</v>
      </c>
      <c r="AH56" s="63">
        <f>IFERROR(SUM(TblDetailBudget[[#This Row],[2025 Cost (LCU)]])/FX_Rate, "")</f>
        <v>0</v>
      </c>
      <c r="AI56" s="125">
        <f>SUM(TblDetailBudget[[#This Row],[2021 Cost (USD)]:[2025 Cost (USD)]])</f>
        <v>0</v>
      </c>
      <c r="AJ56" s="180"/>
    </row>
    <row r="57" spans="2:36" ht="12.75" hidden="1" customHeight="1">
      <c r="B57" s="122" t="s">
        <v>71</v>
      </c>
      <c r="C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1.1.3.1.8</v>
      </c>
      <c r="D57" s="62">
        <f>IF(TblDetailBudget[[#This Row],[Level]]="", "", COUNTIFS($B$8:TblDetailBudget[[#This Row],[Level]], Lvl1Hdr))</f>
        <v>1</v>
      </c>
      <c r="E57" s="62">
        <f>IF(TblDetailBudget[[#This Row],[Level]]="", "", COUNTIFS($B$8:TblDetailBudget[[#This Row],[Level]], Lvl2Hdr, $D$8:TblDetailBudget[[#This Row],[Lvl 1 Header]], TblDetailBudget[[#This Row],[Lvl 1 Header]]))</f>
        <v>1</v>
      </c>
      <c r="F57" s="62">
        <f>IF(TblDetailBudget[[#This Row],[Level]]="", "", COUNTIFS($B$8:TblDetailBudget[[#This Row],[Level]], Lvl3Hdr, $D$8:TblDetailBudget[[#This Row],[Lvl 1 Header]], TblDetailBudget[[#This Row],[Lvl 1 Header]], $E$8:TblDetailBudget[[#This Row],[Lvl 2 Header]], TblDetailBudget[[#This Row],[Lvl 2 Header]]))</f>
        <v>3</v>
      </c>
      <c r="G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57" s="101"/>
      <c r="J57" s="101"/>
      <c r="K57" s="88"/>
      <c r="L57" s="88"/>
      <c r="M57" s="62" t="str">
        <f>IF(TblDetailBudget[[#This Row],[Level]]=LvlBottomHdr, IFERROR(INDEX(TblUnitCost[Unit], MATCH(TblDetailBudget[[#This Row],[Row Title]], TblUnitCost[Resource], 0)), "Invalid Resource"), "")</f>
        <v>Invalid Resource</v>
      </c>
      <c r="N57" s="125" t="str">
        <f>IF(TblDetailBudget[[#This Row],[Level]]=LvlBottomHdr, IFERROR(INDEX(TblUnitCost[LCU], MATCH(TblDetailBudget[[#This Row],[Row Title]], TblUnitCost[Resource], 0)), "Invalid Resource"), "")</f>
        <v>Invalid Resource</v>
      </c>
      <c r="O57" s="128"/>
      <c r="P57" s="108"/>
      <c r="Q57" s="129"/>
      <c r="R57" s="108"/>
      <c r="S57" s="108"/>
      <c r="T57" s="108"/>
      <c r="U57" s="108"/>
      <c r="V57" s="108"/>
      <c r="W57" s="125" t="str">
        <f>IF(TblDetailBudget[[#This Row],[Level]]=LvlBottomHdr, IF(SUM(TblDetailBudget[[#This Row],[2021 Quant]:[2025 Quant]])&gt;0, SUM(TblDetailBudget[[#This Row],[2021 Quant]:[2025 Quant]]), ""), "")</f>
        <v/>
      </c>
      <c r="X5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 s="140">
        <f>SUM(TblDetailBudget[[#This Row],[2021 Cost (LCU)]:[2025 Cost (LCU)]])</f>
        <v>0</v>
      </c>
      <c r="AD57" s="134">
        <f>IFERROR(SUM(TblDetailBudget[[#This Row],[2021 Cost (LCU)]])/FX_Rate, "")</f>
        <v>0</v>
      </c>
      <c r="AE57" s="63">
        <f>IFERROR(SUM(TblDetailBudget[[#This Row],[2022 Cost (LCU)]])/FX_Rate, "")</f>
        <v>0</v>
      </c>
      <c r="AF57" s="63">
        <f>IFERROR(SUM(TblDetailBudget[[#This Row],[2023 Cost (LCU)]])/FX_Rate, "")</f>
        <v>0</v>
      </c>
      <c r="AG57" s="63">
        <f>IFERROR(SUM(TblDetailBudget[[#This Row],[2024 Cost (LCU)]])/FX_Rate, "")</f>
        <v>0</v>
      </c>
      <c r="AH57" s="63">
        <f>IFERROR(SUM(TblDetailBudget[[#This Row],[2025 Cost (LCU)]])/FX_Rate, "")</f>
        <v>0</v>
      </c>
      <c r="AI57" s="125">
        <f>SUM(TblDetailBudget[[#This Row],[2021 Cost (USD)]:[2025 Cost (USD)]])</f>
        <v>0</v>
      </c>
      <c r="AJ57" s="180"/>
    </row>
    <row r="58" spans="2:36" ht="12.75" hidden="1" customHeight="1">
      <c r="B58" s="122" t="s">
        <v>71</v>
      </c>
      <c r="C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1.1.3.1.9</v>
      </c>
      <c r="D58" s="62">
        <f>IF(TblDetailBudget[[#This Row],[Level]]="", "", COUNTIFS($B$8:TblDetailBudget[[#This Row],[Level]], Lvl1Hdr))</f>
        <v>1</v>
      </c>
      <c r="E58" s="62">
        <f>IF(TblDetailBudget[[#This Row],[Level]]="", "", COUNTIFS($B$8:TblDetailBudget[[#This Row],[Level]], Lvl2Hdr, $D$8:TblDetailBudget[[#This Row],[Lvl 1 Header]], TblDetailBudget[[#This Row],[Lvl 1 Header]]))</f>
        <v>1</v>
      </c>
      <c r="F58" s="62">
        <f>IF(TblDetailBudget[[#This Row],[Level]]="", "", COUNTIFS($B$8:TblDetailBudget[[#This Row],[Level]], Lvl3Hdr, $D$8:TblDetailBudget[[#This Row],[Lvl 1 Header]], TblDetailBudget[[#This Row],[Lvl 1 Header]], $E$8:TblDetailBudget[[#This Row],[Lvl 2 Header]], TblDetailBudget[[#This Row],[Lvl 2 Header]]))</f>
        <v>3</v>
      </c>
      <c r="G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58" s="101"/>
      <c r="J58" s="101"/>
      <c r="K58" s="88"/>
      <c r="L58" s="88"/>
      <c r="M58" s="62" t="str">
        <f>IF(TblDetailBudget[[#This Row],[Level]]=LvlBottomHdr, IFERROR(INDEX(TblUnitCost[Unit], MATCH(TblDetailBudget[[#This Row],[Row Title]], TblUnitCost[Resource], 0)), "Invalid Resource"), "")</f>
        <v>Invalid Resource</v>
      </c>
      <c r="N58" s="125" t="str">
        <f>IF(TblDetailBudget[[#This Row],[Level]]=LvlBottomHdr, IFERROR(INDEX(TblUnitCost[LCU], MATCH(TblDetailBudget[[#This Row],[Row Title]], TblUnitCost[Resource], 0)), "Invalid Resource"), "")</f>
        <v>Invalid Resource</v>
      </c>
      <c r="O58" s="128"/>
      <c r="P58" s="108"/>
      <c r="Q58" s="129"/>
      <c r="R58" s="108"/>
      <c r="S58" s="108"/>
      <c r="T58" s="108"/>
      <c r="U58" s="108"/>
      <c r="V58" s="108"/>
      <c r="W58" s="125" t="str">
        <f>IF(TblDetailBudget[[#This Row],[Level]]=LvlBottomHdr, IF(SUM(TblDetailBudget[[#This Row],[2021 Quant]:[2025 Quant]])&gt;0, SUM(TblDetailBudget[[#This Row],[2021 Quant]:[2025 Quant]]), ""), "")</f>
        <v/>
      </c>
      <c r="X5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 s="140">
        <f>SUM(TblDetailBudget[[#This Row],[2021 Cost (LCU)]:[2025 Cost (LCU)]])</f>
        <v>0</v>
      </c>
      <c r="AD58" s="134">
        <f>IFERROR(SUM(TblDetailBudget[[#This Row],[2021 Cost (LCU)]])/FX_Rate, "")</f>
        <v>0</v>
      </c>
      <c r="AE58" s="63">
        <f>IFERROR(SUM(TblDetailBudget[[#This Row],[2022 Cost (LCU)]])/FX_Rate, "")</f>
        <v>0</v>
      </c>
      <c r="AF58" s="63">
        <f>IFERROR(SUM(TblDetailBudget[[#This Row],[2023 Cost (LCU)]])/FX_Rate, "")</f>
        <v>0</v>
      </c>
      <c r="AG58" s="63">
        <f>IFERROR(SUM(TblDetailBudget[[#This Row],[2024 Cost (LCU)]])/FX_Rate, "")</f>
        <v>0</v>
      </c>
      <c r="AH58" s="63">
        <f>IFERROR(SUM(TblDetailBudget[[#This Row],[2025 Cost (LCU)]])/FX_Rate, "")</f>
        <v>0</v>
      </c>
      <c r="AI58" s="125">
        <f>SUM(TblDetailBudget[[#This Row],[2021 Cost (USD)]:[2025 Cost (USD)]])</f>
        <v>0</v>
      </c>
      <c r="AJ58" s="180"/>
    </row>
    <row r="59" spans="2:36" ht="12.75" hidden="1" customHeight="1">
      <c r="B59" s="122" t="s">
        <v>71</v>
      </c>
      <c r="C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1.1.3.1.10</v>
      </c>
      <c r="D59" s="62">
        <f>IF(TblDetailBudget[[#This Row],[Level]]="", "", COUNTIFS($B$8:TblDetailBudget[[#This Row],[Level]], Lvl1Hdr))</f>
        <v>1</v>
      </c>
      <c r="E59" s="62">
        <f>IF(TblDetailBudget[[#This Row],[Level]]="", "", COUNTIFS($B$8:TblDetailBudget[[#This Row],[Level]], Lvl2Hdr, $D$8:TblDetailBudget[[#This Row],[Lvl 1 Header]], TblDetailBudget[[#This Row],[Lvl 1 Header]]))</f>
        <v>1</v>
      </c>
      <c r="F59" s="62">
        <f>IF(TblDetailBudget[[#This Row],[Level]]="", "", COUNTIFS($B$8:TblDetailBudget[[#This Row],[Level]], Lvl3Hdr, $D$8:TblDetailBudget[[#This Row],[Lvl 1 Header]], TblDetailBudget[[#This Row],[Lvl 1 Header]], $E$8:TblDetailBudget[[#This Row],[Lvl 2 Header]], TblDetailBudget[[#This Row],[Lvl 2 Header]]))</f>
        <v>3</v>
      </c>
      <c r="G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59" s="101"/>
      <c r="J59" s="101"/>
      <c r="K59" s="88"/>
      <c r="L59" s="88"/>
      <c r="M59" s="62" t="str">
        <f>IF(TblDetailBudget[[#This Row],[Level]]=LvlBottomHdr, IFERROR(INDEX(TblUnitCost[Unit], MATCH(TblDetailBudget[[#This Row],[Row Title]], TblUnitCost[Resource], 0)), "Invalid Resource"), "")</f>
        <v>Invalid Resource</v>
      </c>
      <c r="N59" s="125" t="str">
        <f>IF(TblDetailBudget[[#This Row],[Level]]=LvlBottomHdr, IFERROR(INDEX(TblUnitCost[LCU], MATCH(TblDetailBudget[[#This Row],[Row Title]], TblUnitCost[Resource], 0)), "Invalid Resource"), "")</f>
        <v>Invalid Resource</v>
      </c>
      <c r="O59" s="128"/>
      <c r="P59" s="108"/>
      <c r="Q59" s="129"/>
      <c r="R59" s="108"/>
      <c r="S59" s="108"/>
      <c r="T59" s="108"/>
      <c r="U59" s="108"/>
      <c r="V59" s="108"/>
      <c r="W59" s="125" t="str">
        <f>IF(TblDetailBudget[[#This Row],[Level]]=LvlBottomHdr, IF(SUM(TblDetailBudget[[#This Row],[2021 Quant]:[2025 Quant]])&gt;0, SUM(TblDetailBudget[[#This Row],[2021 Quant]:[2025 Quant]]), ""), "")</f>
        <v/>
      </c>
      <c r="X5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 s="140">
        <f>SUM(TblDetailBudget[[#This Row],[2021 Cost (LCU)]:[2025 Cost (LCU)]])</f>
        <v>0</v>
      </c>
      <c r="AD59" s="134">
        <f>IFERROR(SUM(TblDetailBudget[[#This Row],[2021 Cost (LCU)]])/FX_Rate, "")</f>
        <v>0</v>
      </c>
      <c r="AE59" s="63">
        <f>IFERROR(SUM(TblDetailBudget[[#This Row],[2022 Cost (LCU)]])/FX_Rate, "")</f>
        <v>0</v>
      </c>
      <c r="AF59" s="63">
        <f>IFERROR(SUM(TblDetailBudget[[#This Row],[2023 Cost (LCU)]])/FX_Rate, "")</f>
        <v>0</v>
      </c>
      <c r="AG59" s="63">
        <f>IFERROR(SUM(TblDetailBudget[[#This Row],[2024 Cost (LCU)]])/FX_Rate, "")</f>
        <v>0</v>
      </c>
      <c r="AH59" s="63">
        <f>IFERROR(SUM(TblDetailBudget[[#This Row],[2025 Cost (LCU)]])/FX_Rate, "")</f>
        <v>0</v>
      </c>
      <c r="AI59" s="125">
        <f>SUM(TblDetailBudget[[#This Row],[2021 Cost (USD)]:[2025 Cost (USD)]])</f>
        <v>0</v>
      </c>
      <c r="AJ59" s="180"/>
    </row>
    <row r="60" spans="2:36" ht="12.75" hidden="1" customHeight="1">
      <c r="B60" s="122" t="s">
        <v>71</v>
      </c>
      <c r="C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1.1.3.1.11</v>
      </c>
      <c r="D60" s="62">
        <f>IF(TblDetailBudget[[#This Row],[Level]]="", "", COUNTIFS($B$8:TblDetailBudget[[#This Row],[Level]], Lvl1Hdr))</f>
        <v>1</v>
      </c>
      <c r="E60" s="62">
        <f>IF(TblDetailBudget[[#This Row],[Level]]="", "", COUNTIFS($B$8:TblDetailBudget[[#This Row],[Level]], Lvl2Hdr, $D$8:TblDetailBudget[[#This Row],[Lvl 1 Header]], TblDetailBudget[[#This Row],[Lvl 1 Header]]))</f>
        <v>1</v>
      </c>
      <c r="F60" s="62">
        <f>IF(TblDetailBudget[[#This Row],[Level]]="", "", COUNTIFS($B$8:TblDetailBudget[[#This Row],[Level]], Lvl3Hdr, $D$8:TblDetailBudget[[#This Row],[Lvl 1 Header]], TblDetailBudget[[#This Row],[Lvl 1 Header]], $E$8:TblDetailBudget[[#This Row],[Lvl 2 Header]], TblDetailBudget[[#This Row],[Lvl 2 Header]]))</f>
        <v>3</v>
      </c>
      <c r="G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60" s="101"/>
      <c r="J60" s="101"/>
      <c r="K60" s="88"/>
      <c r="L60" s="88"/>
      <c r="M60" s="62" t="str">
        <f>IF(TblDetailBudget[[#This Row],[Level]]=LvlBottomHdr, IFERROR(INDEX(TblUnitCost[Unit], MATCH(TblDetailBudget[[#This Row],[Row Title]], TblUnitCost[Resource], 0)), "Invalid Resource"), "")</f>
        <v>Invalid Resource</v>
      </c>
      <c r="N60" s="125" t="str">
        <f>IF(TblDetailBudget[[#This Row],[Level]]=LvlBottomHdr, IFERROR(INDEX(TblUnitCost[LCU], MATCH(TblDetailBudget[[#This Row],[Row Title]], TblUnitCost[Resource], 0)), "Invalid Resource"), "")</f>
        <v>Invalid Resource</v>
      </c>
      <c r="O60" s="128"/>
      <c r="P60" s="108"/>
      <c r="Q60" s="129"/>
      <c r="R60" s="108"/>
      <c r="S60" s="108"/>
      <c r="T60" s="108"/>
      <c r="U60" s="108"/>
      <c r="V60" s="108"/>
      <c r="W60" s="125" t="str">
        <f>IF(TblDetailBudget[[#This Row],[Level]]=LvlBottomHdr, IF(SUM(TblDetailBudget[[#This Row],[2021 Quant]:[2025 Quant]])&gt;0, SUM(TblDetailBudget[[#This Row],[2021 Quant]:[2025 Quant]]), ""), "")</f>
        <v/>
      </c>
      <c r="X6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 s="140">
        <f>SUM(TblDetailBudget[[#This Row],[2021 Cost (LCU)]:[2025 Cost (LCU)]])</f>
        <v>0</v>
      </c>
      <c r="AD60" s="134">
        <f>IFERROR(SUM(TblDetailBudget[[#This Row],[2021 Cost (LCU)]])/FX_Rate, "")</f>
        <v>0</v>
      </c>
      <c r="AE60" s="63">
        <f>IFERROR(SUM(TblDetailBudget[[#This Row],[2022 Cost (LCU)]])/FX_Rate, "")</f>
        <v>0</v>
      </c>
      <c r="AF60" s="63">
        <f>IFERROR(SUM(TblDetailBudget[[#This Row],[2023 Cost (LCU)]])/FX_Rate, "")</f>
        <v>0</v>
      </c>
      <c r="AG60" s="63">
        <f>IFERROR(SUM(TblDetailBudget[[#This Row],[2024 Cost (LCU)]])/FX_Rate, "")</f>
        <v>0</v>
      </c>
      <c r="AH60" s="63">
        <f>IFERROR(SUM(TblDetailBudget[[#This Row],[2025 Cost (LCU)]])/FX_Rate, "")</f>
        <v>0</v>
      </c>
      <c r="AI60" s="125">
        <f>SUM(TblDetailBudget[[#This Row],[2021 Cost (USD)]:[2025 Cost (USD)]])</f>
        <v>0</v>
      </c>
      <c r="AJ60" s="180"/>
    </row>
    <row r="61" spans="2:36" ht="12.75" hidden="1" customHeight="1">
      <c r="B61" s="122" t="s">
        <v>70</v>
      </c>
      <c r="C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v>
      </c>
      <c r="D61" s="62">
        <f>IF(TblDetailBudget[[#This Row],[Level]]="", "", COUNTIFS($B$8:TblDetailBudget[[#This Row],[Level]], Lvl1Hdr))</f>
        <v>1</v>
      </c>
      <c r="E61" s="62">
        <f>IF(TblDetailBudget[[#This Row],[Level]]="", "", COUNTIFS($B$8:TblDetailBudget[[#This Row],[Level]], Lvl2Hdr, $D$8:TblDetailBudget[[#This Row],[Lvl 1 Header]], TblDetailBudget[[#This Row],[Lvl 1 Header]]))</f>
        <v>1</v>
      </c>
      <c r="F61" s="62">
        <f>IF(TblDetailBudget[[#This Row],[Level]]="", "", COUNTIFS($B$8:TblDetailBudget[[#This Row],[Level]], Lvl3Hdr, $D$8:TblDetailBudget[[#This Row],[Lvl 1 Header]], TblDetailBudget[[#This Row],[Lvl 1 Header]], $E$8:TblDetailBudget[[#This Row],[Lvl 2 Header]], TblDetailBudget[[#This Row],[Lvl 2 Header]]))</f>
        <v>3</v>
      </c>
      <c r="G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61" s="101"/>
      <c r="J61" s="101"/>
      <c r="K61" s="88"/>
      <c r="L61" s="88"/>
      <c r="M61" s="62" t="str">
        <f>IF(TblDetailBudget[[#This Row],[Level]]=LvlBottomHdr, IFERROR(INDEX(TblUnitCost[Unit], MATCH(TblDetailBudget[[#This Row],[Row Title]], TblUnitCost[Resource], 0)), "Invalid Resource"), "")</f>
        <v/>
      </c>
      <c r="N61" s="125" t="str">
        <f>IF(TblDetailBudget[[#This Row],[Level]]=LvlBottomHdr, IFERROR(INDEX(TblUnitCost[LCU], MATCH(TblDetailBudget[[#This Row],[Row Title]], TblUnitCost[Resource], 0)), "Invalid Resource"), "")</f>
        <v/>
      </c>
      <c r="O61" s="128"/>
      <c r="P61" s="108"/>
      <c r="Q61" s="129"/>
      <c r="R61" s="108"/>
      <c r="S61" s="108"/>
      <c r="T61" s="108"/>
      <c r="U61" s="108"/>
      <c r="V61" s="108"/>
      <c r="W61" s="125" t="str">
        <f>IF(TblDetailBudget[[#This Row],[Level]]=LvlBottomHdr, IF(SUM(TblDetailBudget[[#This Row],[2021 Quant]:[2025 Quant]])&gt;0, SUM(TblDetailBudget[[#This Row],[2021 Quant]:[2025 Quant]]), ""), "")</f>
        <v/>
      </c>
      <c r="X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61" s="140">
        <f>SUM(TblDetailBudget[[#This Row],[2021 Cost (LCU)]:[2025 Cost (LCU)]])</f>
        <v>0</v>
      </c>
      <c r="AD61" s="134">
        <f>IFERROR(SUM(TblDetailBudget[[#This Row],[2021 Cost (LCU)]])/FX_Rate, "")</f>
        <v>0</v>
      </c>
      <c r="AE61" s="63">
        <f>IFERROR(SUM(TblDetailBudget[[#This Row],[2022 Cost (LCU)]])/FX_Rate, "")</f>
        <v>0</v>
      </c>
      <c r="AF61" s="63">
        <f>IFERROR(SUM(TblDetailBudget[[#This Row],[2023 Cost (LCU)]])/FX_Rate, "")</f>
        <v>0</v>
      </c>
      <c r="AG61" s="63">
        <f>IFERROR(SUM(TblDetailBudget[[#This Row],[2024 Cost (LCU)]])/FX_Rate, "")</f>
        <v>0</v>
      </c>
      <c r="AH61" s="63">
        <f>IFERROR(SUM(TblDetailBudget[[#This Row],[2025 Cost (LCU)]])/FX_Rate, "")</f>
        <v>0</v>
      </c>
      <c r="AI61" s="125">
        <f>SUM(TblDetailBudget[[#This Row],[2021 Cost (USD)]:[2025 Cost (USD)]])</f>
        <v>0</v>
      </c>
      <c r="AJ61" s="180"/>
    </row>
    <row r="62" spans="2:36" ht="12.75" hidden="1" customHeight="1">
      <c r="B62" s="122" t="s">
        <v>71</v>
      </c>
      <c r="C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v>
      </c>
      <c r="D62" s="62">
        <f>IF(TblDetailBudget[[#This Row],[Level]]="", "", COUNTIFS($B$8:TblDetailBudget[[#This Row],[Level]], Lvl1Hdr))</f>
        <v>1</v>
      </c>
      <c r="E62" s="62">
        <f>IF(TblDetailBudget[[#This Row],[Level]]="", "", COUNTIFS($B$8:TblDetailBudget[[#This Row],[Level]], Lvl2Hdr, $D$8:TblDetailBudget[[#This Row],[Lvl 1 Header]], TblDetailBudget[[#This Row],[Lvl 1 Header]]))</f>
        <v>1</v>
      </c>
      <c r="F62" s="62">
        <f>IF(TblDetailBudget[[#This Row],[Level]]="", "", COUNTIFS($B$8:TblDetailBudget[[#This Row],[Level]], Lvl3Hdr, $D$8:TblDetailBudget[[#This Row],[Lvl 1 Header]], TblDetailBudget[[#This Row],[Lvl 1 Header]], $E$8:TblDetailBudget[[#This Row],[Lvl 2 Header]], TblDetailBudget[[#This Row],[Lvl 2 Header]]))</f>
        <v>3</v>
      </c>
      <c r="G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62" s="101"/>
      <c r="J62" s="101"/>
      <c r="K62" s="88"/>
      <c r="L62" s="88"/>
      <c r="M62" s="62" t="str">
        <f>IF(TblDetailBudget[[#This Row],[Level]]=LvlBottomHdr, IFERROR(INDEX(TblUnitCost[Unit], MATCH(TblDetailBudget[[#This Row],[Row Title]], TblUnitCost[Resource], 0)), "Invalid Resource"), "")</f>
        <v>Invalid Resource</v>
      </c>
      <c r="N62" s="125" t="str">
        <f>IF(TblDetailBudget[[#This Row],[Level]]=LvlBottomHdr, IFERROR(INDEX(TblUnitCost[LCU], MATCH(TblDetailBudget[[#This Row],[Row Title]], TblUnitCost[Resource], 0)), "Invalid Resource"), "")</f>
        <v>Invalid Resource</v>
      </c>
      <c r="O62" s="128"/>
      <c r="P62" s="108"/>
      <c r="Q62" s="129"/>
      <c r="R62" s="108"/>
      <c r="S62" s="108"/>
      <c r="T62" s="108"/>
      <c r="U62" s="108"/>
      <c r="V62" s="108"/>
      <c r="W62" s="125" t="str">
        <f>IF(TblDetailBudget[[#This Row],[Level]]=LvlBottomHdr, IF(SUM(TblDetailBudget[[#This Row],[2021 Quant]:[2025 Quant]])&gt;0, SUM(TblDetailBudget[[#This Row],[2021 Quant]:[2025 Quant]]), ""), "")</f>
        <v/>
      </c>
      <c r="X6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 s="140">
        <f>SUM(TblDetailBudget[[#This Row],[2021 Cost (LCU)]:[2025 Cost (LCU)]])</f>
        <v>0</v>
      </c>
      <c r="AD62" s="134">
        <f>IFERROR(SUM(TblDetailBudget[[#This Row],[2021 Cost (LCU)]])/FX_Rate, "")</f>
        <v>0</v>
      </c>
      <c r="AE62" s="63">
        <f>IFERROR(SUM(TblDetailBudget[[#This Row],[2022 Cost (LCU)]])/FX_Rate, "")</f>
        <v>0</v>
      </c>
      <c r="AF62" s="63">
        <f>IFERROR(SUM(TblDetailBudget[[#This Row],[2023 Cost (LCU)]])/FX_Rate, "")</f>
        <v>0</v>
      </c>
      <c r="AG62" s="63">
        <f>IFERROR(SUM(TblDetailBudget[[#This Row],[2024 Cost (LCU)]])/FX_Rate, "")</f>
        <v>0</v>
      </c>
      <c r="AH62" s="63">
        <f>IFERROR(SUM(TblDetailBudget[[#This Row],[2025 Cost (LCU)]])/FX_Rate, "")</f>
        <v>0</v>
      </c>
      <c r="AI62" s="125">
        <f>SUM(TblDetailBudget[[#This Row],[2021 Cost (USD)]:[2025 Cost (USD)]])</f>
        <v>0</v>
      </c>
      <c r="AJ62" s="180"/>
    </row>
    <row r="63" spans="2:36" ht="12.75" hidden="1" customHeight="1">
      <c r="B63" s="122" t="s">
        <v>71</v>
      </c>
      <c r="C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1.1.3.2.2</v>
      </c>
      <c r="D63" s="62">
        <f>IF(TblDetailBudget[[#This Row],[Level]]="", "", COUNTIFS($B$8:TblDetailBudget[[#This Row],[Level]], Lvl1Hdr))</f>
        <v>1</v>
      </c>
      <c r="E63" s="62">
        <f>IF(TblDetailBudget[[#This Row],[Level]]="", "", COUNTIFS($B$8:TblDetailBudget[[#This Row],[Level]], Lvl2Hdr, $D$8:TblDetailBudget[[#This Row],[Lvl 1 Header]], TblDetailBudget[[#This Row],[Lvl 1 Header]]))</f>
        <v>1</v>
      </c>
      <c r="F63" s="62">
        <f>IF(TblDetailBudget[[#This Row],[Level]]="", "", COUNTIFS($B$8:TblDetailBudget[[#This Row],[Level]], Lvl3Hdr, $D$8:TblDetailBudget[[#This Row],[Lvl 1 Header]], TblDetailBudget[[#This Row],[Lvl 1 Header]], $E$8:TblDetailBudget[[#This Row],[Lvl 2 Header]], TblDetailBudget[[#This Row],[Lvl 2 Header]]))</f>
        <v>3</v>
      </c>
      <c r="G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63" s="101"/>
      <c r="J63" s="101"/>
      <c r="K63" s="88"/>
      <c r="L63" s="88"/>
      <c r="M63" s="62" t="str">
        <f>IF(TblDetailBudget[[#This Row],[Level]]=LvlBottomHdr, IFERROR(INDEX(TblUnitCost[Unit], MATCH(TblDetailBudget[[#This Row],[Row Title]], TblUnitCost[Resource], 0)), "Invalid Resource"), "")</f>
        <v>Invalid Resource</v>
      </c>
      <c r="N63" s="125" t="str">
        <f>IF(TblDetailBudget[[#This Row],[Level]]=LvlBottomHdr, IFERROR(INDEX(TblUnitCost[LCU], MATCH(TblDetailBudget[[#This Row],[Row Title]], TblUnitCost[Resource], 0)), "Invalid Resource"), "")</f>
        <v>Invalid Resource</v>
      </c>
      <c r="O63" s="128"/>
      <c r="P63" s="108"/>
      <c r="Q63" s="129"/>
      <c r="R63" s="108"/>
      <c r="S63" s="108"/>
      <c r="T63" s="108"/>
      <c r="U63" s="108"/>
      <c r="V63" s="108"/>
      <c r="W63" s="125" t="str">
        <f>IF(TblDetailBudget[[#This Row],[Level]]=LvlBottomHdr, IF(SUM(TblDetailBudget[[#This Row],[2021 Quant]:[2025 Quant]])&gt;0, SUM(TblDetailBudget[[#This Row],[2021 Quant]:[2025 Quant]]), ""), "")</f>
        <v/>
      </c>
      <c r="X6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3" s="140">
        <f>SUM(TblDetailBudget[[#This Row],[2021 Cost (LCU)]:[2025 Cost (LCU)]])</f>
        <v>0</v>
      </c>
      <c r="AD63" s="134">
        <f>IFERROR(SUM(TblDetailBudget[[#This Row],[2021 Cost (LCU)]])/FX_Rate, "")</f>
        <v>0</v>
      </c>
      <c r="AE63" s="63">
        <f>IFERROR(SUM(TblDetailBudget[[#This Row],[2022 Cost (LCU)]])/FX_Rate, "")</f>
        <v>0</v>
      </c>
      <c r="AF63" s="63">
        <f>IFERROR(SUM(TblDetailBudget[[#This Row],[2023 Cost (LCU)]])/FX_Rate, "")</f>
        <v>0</v>
      </c>
      <c r="AG63" s="63">
        <f>IFERROR(SUM(TblDetailBudget[[#This Row],[2024 Cost (LCU)]])/FX_Rate, "")</f>
        <v>0</v>
      </c>
      <c r="AH63" s="63">
        <f>IFERROR(SUM(TblDetailBudget[[#This Row],[2025 Cost (LCU)]])/FX_Rate, "")</f>
        <v>0</v>
      </c>
      <c r="AI63" s="125">
        <f>SUM(TblDetailBudget[[#This Row],[2021 Cost (USD)]:[2025 Cost (USD)]])</f>
        <v>0</v>
      </c>
      <c r="AJ63" s="180"/>
    </row>
    <row r="64" spans="2:36" ht="12.75" hidden="1" customHeight="1">
      <c r="B64" s="122" t="s">
        <v>71</v>
      </c>
      <c r="C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1.1.3.2.3</v>
      </c>
      <c r="D64" s="62">
        <f>IF(TblDetailBudget[[#This Row],[Level]]="", "", COUNTIFS($B$8:TblDetailBudget[[#This Row],[Level]], Lvl1Hdr))</f>
        <v>1</v>
      </c>
      <c r="E64" s="62">
        <f>IF(TblDetailBudget[[#This Row],[Level]]="", "", COUNTIFS($B$8:TblDetailBudget[[#This Row],[Level]], Lvl2Hdr, $D$8:TblDetailBudget[[#This Row],[Lvl 1 Header]], TblDetailBudget[[#This Row],[Lvl 1 Header]]))</f>
        <v>1</v>
      </c>
      <c r="F64" s="62">
        <f>IF(TblDetailBudget[[#This Row],[Level]]="", "", COUNTIFS($B$8:TblDetailBudget[[#This Row],[Level]], Lvl3Hdr, $D$8:TblDetailBudget[[#This Row],[Lvl 1 Header]], TblDetailBudget[[#This Row],[Lvl 1 Header]], $E$8:TblDetailBudget[[#This Row],[Lvl 2 Header]], TblDetailBudget[[#This Row],[Lvl 2 Header]]))</f>
        <v>3</v>
      </c>
      <c r="G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64" s="101"/>
      <c r="J64" s="101"/>
      <c r="K64" s="88"/>
      <c r="L64" s="88"/>
      <c r="M64" s="62" t="str">
        <f>IF(TblDetailBudget[[#This Row],[Level]]=LvlBottomHdr, IFERROR(INDEX(TblUnitCost[Unit], MATCH(TblDetailBudget[[#This Row],[Row Title]], TblUnitCost[Resource], 0)), "Invalid Resource"), "")</f>
        <v>Invalid Resource</v>
      </c>
      <c r="N64" s="125" t="str">
        <f>IF(TblDetailBudget[[#This Row],[Level]]=LvlBottomHdr, IFERROR(INDEX(TblUnitCost[LCU], MATCH(TblDetailBudget[[#This Row],[Row Title]], TblUnitCost[Resource], 0)), "Invalid Resource"), "")</f>
        <v>Invalid Resource</v>
      </c>
      <c r="O64" s="128"/>
      <c r="P64" s="108"/>
      <c r="Q64" s="129"/>
      <c r="R64" s="108"/>
      <c r="S64" s="108"/>
      <c r="T64" s="108"/>
      <c r="U64" s="108"/>
      <c r="V64" s="108"/>
      <c r="W64" s="125" t="str">
        <f>IF(TblDetailBudget[[#This Row],[Level]]=LvlBottomHdr, IF(SUM(TblDetailBudget[[#This Row],[2021 Quant]:[2025 Quant]])&gt;0, SUM(TblDetailBudget[[#This Row],[2021 Quant]:[2025 Quant]]), ""), "")</f>
        <v/>
      </c>
      <c r="X6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4" s="140">
        <f>SUM(TblDetailBudget[[#This Row],[2021 Cost (LCU)]:[2025 Cost (LCU)]])</f>
        <v>0</v>
      </c>
      <c r="AD64" s="134">
        <f>IFERROR(SUM(TblDetailBudget[[#This Row],[2021 Cost (LCU)]])/FX_Rate, "")</f>
        <v>0</v>
      </c>
      <c r="AE64" s="63">
        <f>IFERROR(SUM(TblDetailBudget[[#This Row],[2022 Cost (LCU)]])/FX_Rate, "")</f>
        <v>0</v>
      </c>
      <c r="AF64" s="63">
        <f>IFERROR(SUM(TblDetailBudget[[#This Row],[2023 Cost (LCU)]])/FX_Rate, "")</f>
        <v>0</v>
      </c>
      <c r="AG64" s="63">
        <f>IFERROR(SUM(TblDetailBudget[[#This Row],[2024 Cost (LCU)]])/FX_Rate, "")</f>
        <v>0</v>
      </c>
      <c r="AH64" s="63">
        <f>IFERROR(SUM(TblDetailBudget[[#This Row],[2025 Cost (LCU)]])/FX_Rate, "")</f>
        <v>0</v>
      </c>
      <c r="AI64" s="125">
        <f>SUM(TblDetailBudget[[#This Row],[2021 Cost (USD)]:[2025 Cost (USD)]])</f>
        <v>0</v>
      </c>
      <c r="AJ64" s="180"/>
    </row>
    <row r="65" spans="2:36" ht="12.75" hidden="1" customHeight="1">
      <c r="B65" s="122" t="s">
        <v>71</v>
      </c>
      <c r="C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1.1.3.2.4</v>
      </c>
      <c r="D65" s="62">
        <f>IF(TblDetailBudget[[#This Row],[Level]]="", "", COUNTIFS($B$8:TblDetailBudget[[#This Row],[Level]], Lvl1Hdr))</f>
        <v>1</v>
      </c>
      <c r="E65" s="62">
        <f>IF(TblDetailBudget[[#This Row],[Level]]="", "", COUNTIFS($B$8:TblDetailBudget[[#This Row],[Level]], Lvl2Hdr, $D$8:TblDetailBudget[[#This Row],[Lvl 1 Header]], TblDetailBudget[[#This Row],[Lvl 1 Header]]))</f>
        <v>1</v>
      </c>
      <c r="F65" s="62">
        <f>IF(TblDetailBudget[[#This Row],[Level]]="", "", COUNTIFS($B$8:TblDetailBudget[[#This Row],[Level]], Lvl3Hdr, $D$8:TblDetailBudget[[#This Row],[Lvl 1 Header]], TblDetailBudget[[#This Row],[Lvl 1 Header]], $E$8:TblDetailBudget[[#This Row],[Lvl 2 Header]], TblDetailBudget[[#This Row],[Lvl 2 Header]]))</f>
        <v>3</v>
      </c>
      <c r="G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65" s="101"/>
      <c r="J65" s="101"/>
      <c r="K65" s="88"/>
      <c r="L65" s="88"/>
      <c r="M65" s="62" t="str">
        <f>IF(TblDetailBudget[[#This Row],[Level]]=LvlBottomHdr, IFERROR(INDEX(TblUnitCost[Unit], MATCH(TblDetailBudget[[#This Row],[Row Title]], TblUnitCost[Resource], 0)), "Invalid Resource"), "")</f>
        <v>Invalid Resource</v>
      </c>
      <c r="N65" s="125" t="str">
        <f>IF(TblDetailBudget[[#This Row],[Level]]=LvlBottomHdr, IFERROR(INDEX(TblUnitCost[LCU], MATCH(TblDetailBudget[[#This Row],[Row Title]], TblUnitCost[Resource], 0)), "Invalid Resource"), "")</f>
        <v>Invalid Resource</v>
      </c>
      <c r="O65" s="128"/>
      <c r="P65" s="108"/>
      <c r="Q65" s="129"/>
      <c r="R65" s="108"/>
      <c r="S65" s="108"/>
      <c r="T65" s="108"/>
      <c r="U65" s="108"/>
      <c r="V65" s="108"/>
      <c r="W65" s="125" t="str">
        <f>IF(TblDetailBudget[[#This Row],[Level]]=LvlBottomHdr, IF(SUM(TblDetailBudget[[#This Row],[2021 Quant]:[2025 Quant]])&gt;0, SUM(TblDetailBudget[[#This Row],[2021 Quant]:[2025 Quant]]), ""), "")</f>
        <v/>
      </c>
      <c r="X6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5" s="140">
        <f>SUM(TblDetailBudget[[#This Row],[2021 Cost (LCU)]:[2025 Cost (LCU)]])</f>
        <v>0</v>
      </c>
      <c r="AD65" s="134">
        <f>IFERROR(SUM(TblDetailBudget[[#This Row],[2021 Cost (LCU)]])/FX_Rate, "")</f>
        <v>0</v>
      </c>
      <c r="AE65" s="63">
        <f>IFERROR(SUM(TblDetailBudget[[#This Row],[2022 Cost (LCU)]])/FX_Rate, "")</f>
        <v>0</v>
      </c>
      <c r="AF65" s="63">
        <f>IFERROR(SUM(TblDetailBudget[[#This Row],[2023 Cost (LCU)]])/FX_Rate, "")</f>
        <v>0</v>
      </c>
      <c r="AG65" s="63">
        <f>IFERROR(SUM(TblDetailBudget[[#This Row],[2024 Cost (LCU)]])/FX_Rate, "")</f>
        <v>0</v>
      </c>
      <c r="AH65" s="63">
        <f>IFERROR(SUM(TblDetailBudget[[#This Row],[2025 Cost (LCU)]])/FX_Rate, "")</f>
        <v>0</v>
      </c>
      <c r="AI65" s="125">
        <f>SUM(TblDetailBudget[[#This Row],[2021 Cost (USD)]:[2025 Cost (USD)]])</f>
        <v>0</v>
      </c>
      <c r="AJ65" s="180"/>
    </row>
    <row r="66" spans="2:36" ht="12.75" hidden="1" customHeight="1">
      <c r="B66" s="122" t="s">
        <v>71</v>
      </c>
      <c r="C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1.1.3.2.5</v>
      </c>
      <c r="D66" s="62">
        <f>IF(TblDetailBudget[[#This Row],[Level]]="", "", COUNTIFS($B$8:TblDetailBudget[[#This Row],[Level]], Lvl1Hdr))</f>
        <v>1</v>
      </c>
      <c r="E66" s="62">
        <f>IF(TblDetailBudget[[#This Row],[Level]]="", "", COUNTIFS($B$8:TblDetailBudget[[#This Row],[Level]], Lvl2Hdr, $D$8:TblDetailBudget[[#This Row],[Lvl 1 Header]], TblDetailBudget[[#This Row],[Lvl 1 Header]]))</f>
        <v>1</v>
      </c>
      <c r="F66" s="62">
        <f>IF(TblDetailBudget[[#This Row],[Level]]="", "", COUNTIFS($B$8:TblDetailBudget[[#This Row],[Level]], Lvl3Hdr, $D$8:TblDetailBudget[[#This Row],[Lvl 1 Header]], TblDetailBudget[[#This Row],[Lvl 1 Header]], $E$8:TblDetailBudget[[#This Row],[Lvl 2 Header]], TblDetailBudget[[#This Row],[Lvl 2 Header]]))</f>
        <v>3</v>
      </c>
      <c r="G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66" s="101"/>
      <c r="J66" s="101"/>
      <c r="K66" s="88"/>
      <c r="L66" s="88"/>
      <c r="M66" s="62" t="str">
        <f>IF(TblDetailBudget[[#This Row],[Level]]=LvlBottomHdr, IFERROR(INDEX(TblUnitCost[Unit], MATCH(TblDetailBudget[[#This Row],[Row Title]], TblUnitCost[Resource], 0)), "Invalid Resource"), "")</f>
        <v>Invalid Resource</v>
      </c>
      <c r="N66" s="125" t="str">
        <f>IF(TblDetailBudget[[#This Row],[Level]]=LvlBottomHdr, IFERROR(INDEX(TblUnitCost[LCU], MATCH(TblDetailBudget[[#This Row],[Row Title]], TblUnitCost[Resource], 0)), "Invalid Resource"), "")</f>
        <v>Invalid Resource</v>
      </c>
      <c r="O66" s="128"/>
      <c r="P66" s="108"/>
      <c r="Q66" s="129"/>
      <c r="R66" s="108"/>
      <c r="S66" s="108"/>
      <c r="T66" s="108"/>
      <c r="U66" s="108"/>
      <c r="V66" s="108"/>
      <c r="W66" s="125" t="str">
        <f>IF(TblDetailBudget[[#This Row],[Level]]=LvlBottomHdr, IF(SUM(TblDetailBudget[[#This Row],[2021 Quant]:[2025 Quant]])&gt;0, SUM(TblDetailBudget[[#This Row],[2021 Quant]:[2025 Quant]]), ""), "")</f>
        <v/>
      </c>
      <c r="X6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6" s="140">
        <f>SUM(TblDetailBudget[[#This Row],[2021 Cost (LCU)]:[2025 Cost (LCU)]])</f>
        <v>0</v>
      </c>
      <c r="AD66" s="134">
        <f>IFERROR(SUM(TblDetailBudget[[#This Row],[2021 Cost (LCU)]])/FX_Rate, "")</f>
        <v>0</v>
      </c>
      <c r="AE66" s="63">
        <f>IFERROR(SUM(TblDetailBudget[[#This Row],[2022 Cost (LCU)]])/FX_Rate, "")</f>
        <v>0</v>
      </c>
      <c r="AF66" s="63">
        <f>IFERROR(SUM(TblDetailBudget[[#This Row],[2023 Cost (LCU)]])/FX_Rate, "")</f>
        <v>0</v>
      </c>
      <c r="AG66" s="63">
        <f>IFERROR(SUM(TblDetailBudget[[#This Row],[2024 Cost (LCU)]])/FX_Rate, "")</f>
        <v>0</v>
      </c>
      <c r="AH66" s="63">
        <f>IFERROR(SUM(TblDetailBudget[[#This Row],[2025 Cost (LCU)]])/FX_Rate, "")</f>
        <v>0</v>
      </c>
      <c r="AI66" s="125">
        <f>SUM(TblDetailBudget[[#This Row],[2021 Cost (USD)]:[2025 Cost (USD)]])</f>
        <v>0</v>
      </c>
      <c r="AJ66" s="180"/>
    </row>
    <row r="67" spans="2:36" ht="12.75" hidden="1" customHeight="1">
      <c r="B67" s="122" t="s">
        <v>71</v>
      </c>
      <c r="C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1.1.3.2.6</v>
      </c>
      <c r="D67" s="62">
        <f>IF(TblDetailBudget[[#This Row],[Level]]="", "", COUNTIFS($B$8:TblDetailBudget[[#This Row],[Level]], Lvl1Hdr))</f>
        <v>1</v>
      </c>
      <c r="E67" s="62">
        <f>IF(TblDetailBudget[[#This Row],[Level]]="", "", COUNTIFS($B$8:TblDetailBudget[[#This Row],[Level]], Lvl2Hdr, $D$8:TblDetailBudget[[#This Row],[Lvl 1 Header]], TblDetailBudget[[#This Row],[Lvl 1 Header]]))</f>
        <v>1</v>
      </c>
      <c r="F67" s="62">
        <f>IF(TblDetailBudget[[#This Row],[Level]]="", "", COUNTIFS($B$8:TblDetailBudget[[#This Row],[Level]], Lvl3Hdr, $D$8:TblDetailBudget[[#This Row],[Lvl 1 Header]], TblDetailBudget[[#This Row],[Lvl 1 Header]], $E$8:TblDetailBudget[[#This Row],[Lvl 2 Header]], TblDetailBudget[[#This Row],[Lvl 2 Header]]))</f>
        <v>3</v>
      </c>
      <c r="G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67" s="101"/>
      <c r="J67" s="101"/>
      <c r="K67" s="88"/>
      <c r="L67" s="88"/>
      <c r="M67" s="62" t="str">
        <f>IF(TblDetailBudget[[#This Row],[Level]]=LvlBottomHdr, IFERROR(INDEX(TblUnitCost[Unit], MATCH(TblDetailBudget[[#This Row],[Row Title]], TblUnitCost[Resource], 0)), "Invalid Resource"), "")</f>
        <v>Invalid Resource</v>
      </c>
      <c r="N67" s="125" t="str">
        <f>IF(TblDetailBudget[[#This Row],[Level]]=LvlBottomHdr, IFERROR(INDEX(TblUnitCost[LCU], MATCH(TblDetailBudget[[#This Row],[Row Title]], TblUnitCost[Resource], 0)), "Invalid Resource"), "")</f>
        <v>Invalid Resource</v>
      </c>
      <c r="O67" s="128"/>
      <c r="P67" s="108"/>
      <c r="Q67" s="129"/>
      <c r="R67" s="108"/>
      <c r="S67" s="108"/>
      <c r="T67" s="108"/>
      <c r="U67" s="108"/>
      <c r="V67" s="108"/>
      <c r="W67" s="125" t="str">
        <f>IF(TblDetailBudget[[#This Row],[Level]]=LvlBottomHdr, IF(SUM(TblDetailBudget[[#This Row],[2021 Quant]:[2025 Quant]])&gt;0, SUM(TblDetailBudget[[#This Row],[2021 Quant]:[2025 Quant]]), ""), "")</f>
        <v/>
      </c>
      <c r="X6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7" s="140">
        <f>SUM(TblDetailBudget[[#This Row],[2021 Cost (LCU)]:[2025 Cost (LCU)]])</f>
        <v>0</v>
      </c>
      <c r="AD67" s="134">
        <f>IFERROR(SUM(TblDetailBudget[[#This Row],[2021 Cost (LCU)]])/FX_Rate, "")</f>
        <v>0</v>
      </c>
      <c r="AE67" s="63">
        <f>IFERROR(SUM(TblDetailBudget[[#This Row],[2022 Cost (LCU)]])/FX_Rate, "")</f>
        <v>0</v>
      </c>
      <c r="AF67" s="63">
        <f>IFERROR(SUM(TblDetailBudget[[#This Row],[2023 Cost (LCU)]])/FX_Rate, "")</f>
        <v>0</v>
      </c>
      <c r="AG67" s="63">
        <f>IFERROR(SUM(TblDetailBudget[[#This Row],[2024 Cost (LCU)]])/FX_Rate, "")</f>
        <v>0</v>
      </c>
      <c r="AH67" s="63">
        <f>IFERROR(SUM(TblDetailBudget[[#This Row],[2025 Cost (LCU)]])/FX_Rate, "")</f>
        <v>0</v>
      </c>
      <c r="AI67" s="125">
        <f>SUM(TblDetailBudget[[#This Row],[2021 Cost (USD)]:[2025 Cost (USD)]])</f>
        <v>0</v>
      </c>
      <c r="AJ67" s="180"/>
    </row>
    <row r="68" spans="2:36" ht="12.75" hidden="1" customHeight="1">
      <c r="B68" s="122" t="s">
        <v>71</v>
      </c>
      <c r="C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1.1.3.2.7</v>
      </c>
      <c r="D68" s="62">
        <f>IF(TblDetailBudget[[#This Row],[Level]]="", "", COUNTIFS($B$8:TblDetailBudget[[#This Row],[Level]], Lvl1Hdr))</f>
        <v>1</v>
      </c>
      <c r="E68" s="62">
        <f>IF(TblDetailBudget[[#This Row],[Level]]="", "", COUNTIFS($B$8:TblDetailBudget[[#This Row],[Level]], Lvl2Hdr, $D$8:TblDetailBudget[[#This Row],[Lvl 1 Header]], TblDetailBudget[[#This Row],[Lvl 1 Header]]))</f>
        <v>1</v>
      </c>
      <c r="F68" s="62">
        <f>IF(TblDetailBudget[[#This Row],[Level]]="", "", COUNTIFS($B$8:TblDetailBudget[[#This Row],[Level]], Lvl3Hdr, $D$8:TblDetailBudget[[#This Row],[Lvl 1 Header]], TblDetailBudget[[#This Row],[Lvl 1 Header]], $E$8:TblDetailBudget[[#This Row],[Lvl 2 Header]], TblDetailBudget[[#This Row],[Lvl 2 Header]]))</f>
        <v>3</v>
      </c>
      <c r="G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68" s="101"/>
      <c r="J68" s="101"/>
      <c r="K68" s="88"/>
      <c r="L68" s="88"/>
      <c r="M68" s="62" t="str">
        <f>IF(TblDetailBudget[[#This Row],[Level]]=LvlBottomHdr, IFERROR(INDEX(TblUnitCost[Unit], MATCH(TblDetailBudget[[#This Row],[Row Title]], TblUnitCost[Resource], 0)), "Invalid Resource"), "")</f>
        <v>Invalid Resource</v>
      </c>
      <c r="N68" s="125" t="str">
        <f>IF(TblDetailBudget[[#This Row],[Level]]=LvlBottomHdr, IFERROR(INDEX(TblUnitCost[LCU], MATCH(TblDetailBudget[[#This Row],[Row Title]], TblUnitCost[Resource], 0)), "Invalid Resource"), "")</f>
        <v>Invalid Resource</v>
      </c>
      <c r="O68" s="128"/>
      <c r="P68" s="108"/>
      <c r="Q68" s="129"/>
      <c r="R68" s="108"/>
      <c r="S68" s="108"/>
      <c r="T68" s="108"/>
      <c r="U68" s="108"/>
      <c r="V68" s="108"/>
      <c r="W68" s="125" t="str">
        <f>IF(TblDetailBudget[[#This Row],[Level]]=LvlBottomHdr, IF(SUM(TblDetailBudget[[#This Row],[2021 Quant]:[2025 Quant]])&gt;0, SUM(TblDetailBudget[[#This Row],[2021 Quant]:[2025 Quant]]), ""), "")</f>
        <v/>
      </c>
      <c r="X6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8" s="140">
        <f>SUM(TblDetailBudget[[#This Row],[2021 Cost (LCU)]:[2025 Cost (LCU)]])</f>
        <v>0</v>
      </c>
      <c r="AD68" s="134">
        <f>IFERROR(SUM(TblDetailBudget[[#This Row],[2021 Cost (LCU)]])/FX_Rate, "")</f>
        <v>0</v>
      </c>
      <c r="AE68" s="63">
        <f>IFERROR(SUM(TblDetailBudget[[#This Row],[2022 Cost (LCU)]])/FX_Rate, "")</f>
        <v>0</v>
      </c>
      <c r="AF68" s="63">
        <f>IFERROR(SUM(TblDetailBudget[[#This Row],[2023 Cost (LCU)]])/FX_Rate, "")</f>
        <v>0</v>
      </c>
      <c r="AG68" s="63">
        <f>IFERROR(SUM(TblDetailBudget[[#This Row],[2024 Cost (LCU)]])/FX_Rate, "")</f>
        <v>0</v>
      </c>
      <c r="AH68" s="63">
        <f>IFERROR(SUM(TblDetailBudget[[#This Row],[2025 Cost (LCU)]])/FX_Rate, "")</f>
        <v>0</v>
      </c>
      <c r="AI68" s="125">
        <f>SUM(TblDetailBudget[[#This Row],[2021 Cost (USD)]:[2025 Cost (USD)]])</f>
        <v>0</v>
      </c>
      <c r="AJ68" s="180"/>
    </row>
    <row r="69" spans="2:36" ht="12.75" hidden="1" customHeight="1">
      <c r="B69" s="122" t="s">
        <v>71</v>
      </c>
      <c r="C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1.1.3.2.8</v>
      </c>
      <c r="D69" s="62">
        <f>IF(TblDetailBudget[[#This Row],[Level]]="", "", COUNTIFS($B$8:TblDetailBudget[[#This Row],[Level]], Lvl1Hdr))</f>
        <v>1</v>
      </c>
      <c r="E69" s="62">
        <f>IF(TblDetailBudget[[#This Row],[Level]]="", "", COUNTIFS($B$8:TblDetailBudget[[#This Row],[Level]], Lvl2Hdr, $D$8:TblDetailBudget[[#This Row],[Lvl 1 Header]], TblDetailBudget[[#This Row],[Lvl 1 Header]]))</f>
        <v>1</v>
      </c>
      <c r="F69" s="62">
        <f>IF(TblDetailBudget[[#This Row],[Level]]="", "", COUNTIFS($B$8:TblDetailBudget[[#This Row],[Level]], Lvl3Hdr, $D$8:TblDetailBudget[[#This Row],[Lvl 1 Header]], TblDetailBudget[[#This Row],[Lvl 1 Header]], $E$8:TblDetailBudget[[#This Row],[Lvl 2 Header]], TblDetailBudget[[#This Row],[Lvl 2 Header]]))</f>
        <v>3</v>
      </c>
      <c r="G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69" s="101"/>
      <c r="J69" s="101"/>
      <c r="K69" s="88"/>
      <c r="L69" s="88"/>
      <c r="M69" s="62" t="str">
        <f>IF(TblDetailBudget[[#This Row],[Level]]=LvlBottomHdr, IFERROR(INDEX(TblUnitCost[Unit], MATCH(TblDetailBudget[[#This Row],[Row Title]], TblUnitCost[Resource], 0)), "Invalid Resource"), "")</f>
        <v>Invalid Resource</v>
      </c>
      <c r="N69" s="125" t="str">
        <f>IF(TblDetailBudget[[#This Row],[Level]]=LvlBottomHdr, IFERROR(INDEX(TblUnitCost[LCU], MATCH(TblDetailBudget[[#This Row],[Row Title]], TblUnitCost[Resource], 0)), "Invalid Resource"), "")</f>
        <v>Invalid Resource</v>
      </c>
      <c r="O69" s="128"/>
      <c r="P69" s="108"/>
      <c r="Q69" s="129"/>
      <c r="R69" s="108"/>
      <c r="S69" s="108"/>
      <c r="T69" s="108"/>
      <c r="U69" s="108"/>
      <c r="V69" s="108"/>
      <c r="W69" s="125" t="str">
        <f>IF(TblDetailBudget[[#This Row],[Level]]=LvlBottomHdr, IF(SUM(TblDetailBudget[[#This Row],[2021 Quant]:[2025 Quant]])&gt;0, SUM(TblDetailBudget[[#This Row],[2021 Quant]:[2025 Quant]]), ""), "")</f>
        <v/>
      </c>
      <c r="X6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9" s="140">
        <f>SUM(TblDetailBudget[[#This Row],[2021 Cost (LCU)]:[2025 Cost (LCU)]])</f>
        <v>0</v>
      </c>
      <c r="AD69" s="134">
        <f>IFERROR(SUM(TblDetailBudget[[#This Row],[2021 Cost (LCU)]])/FX_Rate, "")</f>
        <v>0</v>
      </c>
      <c r="AE69" s="63">
        <f>IFERROR(SUM(TblDetailBudget[[#This Row],[2022 Cost (LCU)]])/FX_Rate, "")</f>
        <v>0</v>
      </c>
      <c r="AF69" s="63">
        <f>IFERROR(SUM(TblDetailBudget[[#This Row],[2023 Cost (LCU)]])/FX_Rate, "")</f>
        <v>0</v>
      </c>
      <c r="AG69" s="63">
        <f>IFERROR(SUM(TblDetailBudget[[#This Row],[2024 Cost (LCU)]])/FX_Rate, "")</f>
        <v>0</v>
      </c>
      <c r="AH69" s="63">
        <f>IFERROR(SUM(TblDetailBudget[[#This Row],[2025 Cost (LCU)]])/FX_Rate, "")</f>
        <v>0</v>
      </c>
      <c r="AI69" s="125">
        <f>SUM(TblDetailBudget[[#This Row],[2021 Cost (USD)]:[2025 Cost (USD)]])</f>
        <v>0</v>
      </c>
      <c r="AJ69" s="180"/>
    </row>
    <row r="70" spans="2:36" ht="12.75" hidden="1" customHeight="1">
      <c r="B70" s="122" t="s">
        <v>71</v>
      </c>
      <c r="C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1.1.3.2.9</v>
      </c>
      <c r="D70" s="62">
        <f>IF(TblDetailBudget[[#This Row],[Level]]="", "", COUNTIFS($B$8:TblDetailBudget[[#This Row],[Level]], Lvl1Hdr))</f>
        <v>1</v>
      </c>
      <c r="E70" s="62">
        <f>IF(TblDetailBudget[[#This Row],[Level]]="", "", COUNTIFS($B$8:TblDetailBudget[[#This Row],[Level]], Lvl2Hdr, $D$8:TblDetailBudget[[#This Row],[Lvl 1 Header]], TblDetailBudget[[#This Row],[Lvl 1 Header]]))</f>
        <v>1</v>
      </c>
      <c r="F70" s="62">
        <f>IF(TblDetailBudget[[#This Row],[Level]]="", "", COUNTIFS($B$8:TblDetailBudget[[#This Row],[Level]], Lvl3Hdr, $D$8:TblDetailBudget[[#This Row],[Lvl 1 Header]], TblDetailBudget[[#This Row],[Lvl 1 Header]], $E$8:TblDetailBudget[[#This Row],[Lvl 2 Header]], TblDetailBudget[[#This Row],[Lvl 2 Header]]))</f>
        <v>3</v>
      </c>
      <c r="G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70" s="101"/>
      <c r="J70" s="101"/>
      <c r="K70" s="88"/>
      <c r="L70" s="88"/>
      <c r="M70" s="62" t="str">
        <f>IF(TblDetailBudget[[#This Row],[Level]]=LvlBottomHdr, IFERROR(INDEX(TblUnitCost[Unit], MATCH(TblDetailBudget[[#This Row],[Row Title]], TblUnitCost[Resource], 0)), "Invalid Resource"), "")</f>
        <v>Invalid Resource</v>
      </c>
      <c r="N70" s="125" t="str">
        <f>IF(TblDetailBudget[[#This Row],[Level]]=LvlBottomHdr, IFERROR(INDEX(TblUnitCost[LCU], MATCH(TblDetailBudget[[#This Row],[Row Title]], TblUnitCost[Resource], 0)), "Invalid Resource"), "")</f>
        <v>Invalid Resource</v>
      </c>
      <c r="O70" s="128"/>
      <c r="P70" s="108"/>
      <c r="Q70" s="129"/>
      <c r="R70" s="108"/>
      <c r="S70" s="108"/>
      <c r="T70" s="108"/>
      <c r="U70" s="108"/>
      <c r="V70" s="108"/>
      <c r="W70" s="125" t="str">
        <f>IF(TblDetailBudget[[#This Row],[Level]]=LvlBottomHdr, IF(SUM(TblDetailBudget[[#This Row],[2021 Quant]:[2025 Quant]])&gt;0, SUM(TblDetailBudget[[#This Row],[2021 Quant]:[2025 Quant]]), ""), "")</f>
        <v/>
      </c>
      <c r="X7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0" s="140">
        <f>SUM(TblDetailBudget[[#This Row],[2021 Cost (LCU)]:[2025 Cost (LCU)]])</f>
        <v>0</v>
      </c>
      <c r="AD70" s="134">
        <f>IFERROR(SUM(TblDetailBudget[[#This Row],[2021 Cost (LCU)]])/FX_Rate, "")</f>
        <v>0</v>
      </c>
      <c r="AE70" s="63">
        <f>IFERROR(SUM(TblDetailBudget[[#This Row],[2022 Cost (LCU)]])/FX_Rate, "")</f>
        <v>0</v>
      </c>
      <c r="AF70" s="63">
        <f>IFERROR(SUM(TblDetailBudget[[#This Row],[2023 Cost (LCU)]])/FX_Rate, "")</f>
        <v>0</v>
      </c>
      <c r="AG70" s="63">
        <f>IFERROR(SUM(TblDetailBudget[[#This Row],[2024 Cost (LCU)]])/FX_Rate, "")</f>
        <v>0</v>
      </c>
      <c r="AH70" s="63">
        <f>IFERROR(SUM(TblDetailBudget[[#This Row],[2025 Cost (LCU)]])/FX_Rate, "")</f>
        <v>0</v>
      </c>
      <c r="AI70" s="125">
        <f>SUM(TblDetailBudget[[#This Row],[2021 Cost (USD)]:[2025 Cost (USD)]])</f>
        <v>0</v>
      </c>
      <c r="AJ70" s="180"/>
    </row>
    <row r="71" spans="2:36" ht="12.75" hidden="1" customHeight="1">
      <c r="B71" s="122" t="s">
        <v>71</v>
      </c>
      <c r="C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1.1.3.2.10</v>
      </c>
      <c r="D71" s="62">
        <f>IF(TblDetailBudget[[#This Row],[Level]]="", "", COUNTIFS($B$8:TblDetailBudget[[#This Row],[Level]], Lvl1Hdr))</f>
        <v>1</v>
      </c>
      <c r="E71" s="62">
        <f>IF(TblDetailBudget[[#This Row],[Level]]="", "", COUNTIFS($B$8:TblDetailBudget[[#This Row],[Level]], Lvl2Hdr, $D$8:TblDetailBudget[[#This Row],[Lvl 1 Header]], TblDetailBudget[[#This Row],[Lvl 1 Header]]))</f>
        <v>1</v>
      </c>
      <c r="F71" s="62">
        <f>IF(TblDetailBudget[[#This Row],[Level]]="", "", COUNTIFS($B$8:TblDetailBudget[[#This Row],[Level]], Lvl3Hdr, $D$8:TblDetailBudget[[#This Row],[Lvl 1 Header]], TblDetailBudget[[#This Row],[Lvl 1 Header]], $E$8:TblDetailBudget[[#This Row],[Lvl 2 Header]], TblDetailBudget[[#This Row],[Lvl 2 Header]]))</f>
        <v>3</v>
      </c>
      <c r="G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71" s="101"/>
      <c r="J71" s="101"/>
      <c r="K71" s="88"/>
      <c r="L71" s="88"/>
      <c r="M71" s="62" t="str">
        <f>IF(TblDetailBudget[[#This Row],[Level]]=LvlBottomHdr, IFERROR(INDEX(TblUnitCost[Unit], MATCH(TblDetailBudget[[#This Row],[Row Title]], TblUnitCost[Resource], 0)), "Invalid Resource"), "")</f>
        <v>Invalid Resource</v>
      </c>
      <c r="N71" s="125" t="str">
        <f>IF(TblDetailBudget[[#This Row],[Level]]=LvlBottomHdr, IFERROR(INDEX(TblUnitCost[LCU], MATCH(TblDetailBudget[[#This Row],[Row Title]], TblUnitCost[Resource], 0)), "Invalid Resource"), "")</f>
        <v>Invalid Resource</v>
      </c>
      <c r="O71" s="128"/>
      <c r="P71" s="108"/>
      <c r="Q71" s="129"/>
      <c r="R71" s="108"/>
      <c r="S71" s="108"/>
      <c r="T71" s="108"/>
      <c r="U71" s="108"/>
      <c r="V71" s="108"/>
      <c r="W71" s="125" t="str">
        <f>IF(TblDetailBudget[[#This Row],[Level]]=LvlBottomHdr, IF(SUM(TblDetailBudget[[#This Row],[2021 Quant]:[2025 Quant]])&gt;0, SUM(TblDetailBudget[[#This Row],[2021 Quant]:[2025 Quant]]), ""), "")</f>
        <v/>
      </c>
      <c r="X7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1" s="140">
        <f>SUM(TblDetailBudget[[#This Row],[2021 Cost (LCU)]:[2025 Cost (LCU)]])</f>
        <v>0</v>
      </c>
      <c r="AD71" s="134">
        <f>IFERROR(SUM(TblDetailBudget[[#This Row],[2021 Cost (LCU)]])/FX_Rate, "")</f>
        <v>0</v>
      </c>
      <c r="AE71" s="63">
        <f>IFERROR(SUM(TblDetailBudget[[#This Row],[2022 Cost (LCU)]])/FX_Rate, "")</f>
        <v>0</v>
      </c>
      <c r="AF71" s="63">
        <f>IFERROR(SUM(TblDetailBudget[[#This Row],[2023 Cost (LCU)]])/FX_Rate, "")</f>
        <v>0</v>
      </c>
      <c r="AG71" s="63">
        <f>IFERROR(SUM(TblDetailBudget[[#This Row],[2024 Cost (LCU)]])/FX_Rate, "")</f>
        <v>0</v>
      </c>
      <c r="AH71" s="63">
        <f>IFERROR(SUM(TblDetailBudget[[#This Row],[2025 Cost (LCU)]])/FX_Rate, "")</f>
        <v>0</v>
      </c>
      <c r="AI71" s="125">
        <f>SUM(TblDetailBudget[[#This Row],[2021 Cost (USD)]:[2025 Cost (USD)]])</f>
        <v>0</v>
      </c>
      <c r="AJ71" s="180"/>
    </row>
    <row r="72" spans="2:36" ht="12.75" hidden="1" customHeight="1">
      <c r="B72" s="122" t="s">
        <v>71</v>
      </c>
      <c r="C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1.1.3.2.11</v>
      </c>
      <c r="D72" s="62">
        <f>IF(TblDetailBudget[[#This Row],[Level]]="", "", COUNTIFS($B$8:TblDetailBudget[[#This Row],[Level]], Lvl1Hdr))</f>
        <v>1</v>
      </c>
      <c r="E72" s="62">
        <f>IF(TblDetailBudget[[#This Row],[Level]]="", "", COUNTIFS($B$8:TblDetailBudget[[#This Row],[Level]], Lvl2Hdr, $D$8:TblDetailBudget[[#This Row],[Lvl 1 Header]], TblDetailBudget[[#This Row],[Lvl 1 Header]]))</f>
        <v>1</v>
      </c>
      <c r="F72" s="62">
        <f>IF(TblDetailBudget[[#This Row],[Level]]="", "", COUNTIFS($B$8:TblDetailBudget[[#This Row],[Level]], Lvl3Hdr, $D$8:TblDetailBudget[[#This Row],[Lvl 1 Header]], TblDetailBudget[[#This Row],[Lvl 1 Header]], $E$8:TblDetailBudget[[#This Row],[Lvl 2 Header]], TblDetailBudget[[#This Row],[Lvl 2 Header]]))</f>
        <v>3</v>
      </c>
      <c r="G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72" s="101"/>
      <c r="J72" s="101"/>
      <c r="K72" s="88"/>
      <c r="L72" s="88"/>
      <c r="M72" s="62" t="str">
        <f>IF(TblDetailBudget[[#This Row],[Level]]=LvlBottomHdr, IFERROR(INDEX(TblUnitCost[Unit], MATCH(TblDetailBudget[[#This Row],[Row Title]], TblUnitCost[Resource], 0)), "Invalid Resource"), "")</f>
        <v>Invalid Resource</v>
      </c>
      <c r="N72" s="125" t="str">
        <f>IF(TblDetailBudget[[#This Row],[Level]]=LvlBottomHdr, IFERROR(INDEX(TblUnitCost[LCU], MATCH(TblDetailBudget[[#This Row],[Row Title]], TblUnitCost[Resource], 0)), "Invalid Resource"), "")</f>
        <v>Invalid Resource</v>
      </c>
      <c r="O72" s="128"/>
      <c r="P72" s="108"/>
      <c r="Q72" s="129"/>
      <c r="R72" s="108"/>
      <c r="S72" s="108"/>
      <c r="T72" s="108"/>
      <c r="U72" s="108"/>
      <c r="V72" s="108"/>
      <c r="W72" s="125" t="str">
        <f>IF(TblDetailBudget[[#This Row],[Level]]=LvlBottomHdr, IF(SUM(TblDetailBudget[[#This Row],[2021 Quant]:[2025 Quant]])&gt;0, SUM(TblDetailBudget[[#This Row],[2021 Quant]:[2025 Quant]]), ""), "")</f>
        <v/>
      </c>
      <c r="X7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2" s="140">
        <f>SUM(TblDetailBudget[[#This Row],[2021 Cost (LCU)]:[2025 Cost (LCU)]])</f>
        <v>0</v>
      </c>
      <c r="AD72" s="134">
        <f>IFERROR(SUM(TblDetailBudget[[#This Row],[2021 Cost (LCU)]])/FX_Rate, "")</f>
        <v>0</v>
      </c>
      <c r="AE72" s="63">
        <f>IFERROR(SUM(TblDetailBudget[[#This Row],[2022 Cost (LCU)]])/FX_Rate, "")</f>
        <v>0</v>
      </c>
      <c r="AF72" s="63">
        <f>IFERROR(SUM(TblDetailBudget[[#This Row],[2023 Cost (LCU)]])/FX_Rate, "")</f>
        <v>0</v>
      </c>
      <c r="AG72" s="63">
        <f>IFERROR(SUM(TblDetailBudget[[#This Row],[2024 Cost (LCU)]])/FX_Rate, "")</f>
        <v>0</v>
      </c>
      <c r="AH72" s="63">
        <f>IFERROR(SUM(TblDetailBudget[[#This Row],[2025 Cost (LCU)]])/FX_Rate, "")</f>
        <v>0</v>
      </c>
      <c r="AI72" s="125">
        <f>SUM(TblDetailBudget[[#This Row],[2021 Cost (USD)]:[2025 Cost (USD)]])</f>
        <v>0</v>
      </c>
      <c r="AJ72" s="180"/>
    </row>
    <row r="73" spans="2:36" ht="12.75" hidden="1" customHeight="1">
      <c r="B73" s="122" t="s">
        <v>70</v>
      </c>
      <c r="C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v>
      </c>
      <c r="D73" s="62">
        <f>IF(TblDetailBudget[[#This Row],[Level]]="", "", COUNTIFS($B$8:TblDetailBudget[[#This Row],[Level]], Lvl1Hdr))</f>
        <v>1</v>
      </c>
      <c r="E73" s="62">
        <f>IF(TblDetailBudget[[#This Row],[Level]]="", "", COUNTIFS($B$8:TblDetailBudget[[#This Row],[Level]], Lvl2Hdr, $D$8:TblDetailBudget[[#This Row],[Lvl 1 Header]], TblDetailBudget[[#This Row],[Lvl 1 Header]]))</f>
        <v>1</v>
      </c>
      <c r="F73" s="62">
        <f>IF(TblDetailBudget[[#This Row],[Level]]="", "", COUNTIFS($B$8:TblDetailBudget[[#This Row],[Level]], Lvl3Hdr, $D$8:TblDetailBudget[[#This Row],[Lvl 1 Header]], TblDetailBudget[[#This Row],[Lvl 1 Header]], $E$8:TblDetailBudget[[#This Row],[Lvl 2 Header]], TblDetailBudget[[#This Row],[Lvl 2 Header]]))</f>
        <v>3</v>
      </c>
      <c r="G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73" s="101"/>
      <c r="J73" s="101"/>
      <c r="K73" s="88"/>
      <c r="L73" s="88"/>
      <c r="M73" s="62" t="str">
        <f>IF(TblDetailBudget[[#This Row],[Level]]=LvlBottomHdr, IFERROR(INDEX(TblUnitCost[Unit], MATCH(TblDetailBudget[[#This Row],[Row Title]], TblUnitCost[Resource], 0)), "Invalid Resource"), "")</f>
        <v/>
      </c>
      <c r="N73" s="125" t="str">
        <f>IF(TblDetailBudget[[#This Row],[Level]]=LvlBottomHdr, IFERROR(INDEX(TblUnitCost[LCU], MATCH(TblDetailBudget[[#This Row],[Row Title]], TblUnitCost[Resource], 0)), "Invalid Resource"), "")</f>
        <v/>
      </c>
      <c r="O73" s="128"/>
      <c r="P73" s="108"/>
      <c r="Q73" s="129"/>
      <c r="R73" s="108"/>
      <c r="S73" s="108"/>
      <c r="T73" s="108"/>
      <c r="U73" s="108"/>
      <c r="V73" s="108"/>
      <c r="W73" s="125" t="str">
        <f>IF(TblDetailBudget[[#This Row],[Level]]=LvlBottomHdr, IF(SUM(TblDetailBudget[[#This Row],[2021 Quant]:[2025 Quant]])&gt;0, SUM(TblDetailBudget[[#This Row],[2021 Quant]:[2025 Quant]]), ""), "")</f>
        <v/>
      </c>
      <c r="X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73" s="140">
        <f>SUM(TblDetailBudget[[#This Row],[2021 Cost (LCU)]:[2025 Cost (LCU)]])</f>
        <v>0</v>
      </c>
      <c r="AD73" s="134">
        <f>IFERROR(SUM(TblDetailBudget[[#This Row],[2021 Cost (LCU)]])/FX_Rate, "")</f>
        <v>0</v>
      </c>
      <c r="AE73" s="63">
        <f>IFERROR(SUM(TblDetailBudget[[#This Row],[2022 Cost (LCU)]])/FX_Rate, "")</f>
        <v>0</v>
      </c>
      <c r="AF73" s="63">
        <f>IFERROR(SUM(TblDetailBudget[[#This Row],[2023 Cost (LCU)]])/FX_Rate, "")</f>
        <v>0</v>
      </c>
      <c r="AG73" s="63">
        <f>IFERROR(SUM(TblDetailBudget[[#This Row],[2024 Cost (LCU)]])/FX_Rate, "")</f>
        <v>0</v>
      </c>
      <c r="AH73" s="63">
        <f>IFERROR(SUM(TblDetailBudget[[#This Row],[2025 Cost (LCU)]])/FX_Rate, "")</f>
        <v>0</v>
      </c>
      <c r="AI73" s="125">
        <f>SUM(TblDetailBudget[[#This Row],[2021 Cost (USD)]:[2025 Cost (USD)]])</f>
        <v>0</v>
      </c>
      <c r="AJ73" s="180"/>
    </row>
    <row r="74" spans="2:36" ht="12.75" hidden="1" customHeight="1">
      <c r="B74" s="122" t="s">
        <v>71</v>
      </c>
      <c r="C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v>
      </c>
      <c r="D74" s="62">
        <f>IF(TblDetailBudget[[#This Row],[Level]]="", "", COUNTIFS($B$8:TblDetailBudget[[#This Row],[Level]], Lvl1Hdr))</f>
        <v>1</v>
      </c>
      <c r="E74" s="62">
        <f>IF(TblDetailBudget[[#This Row],[Level]]="", "", COUNTIFS($B$8:TblDetailBudget[[#This Row],[Level]], Lvl2Hdr, $D$8:TblDetailBudget[[#This Row],[Lvl 1 Header]], TblDetailBudget[[#This Row],[Lvl 1 Header]]))</f>
        <v>1</v>
      </c>
      <c r="F74" s="62">
        <f>IF(TblDetailBudget[[#This Row],[Level]]="", "", COUNTIFS($B$8:TblDetailBudget[[#This Row],[Level]], Lvl3Hdr, $D$8:TblDetailBudget[[#This Row],[Lvl 1 Header]], TblDetailBudget[[#This Row],[Lvl 1 Header]], $E$8:TblDetailBudget[[#This Row],[Lvl 2 Header]], TblDetailBudget[[#This Row],[Lvl 2 Header]]))</f>
        <v>3</v>
      </c>
      <c r="G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74" s="101"/>
      <c r="J74" s="101"/>
      <c r="K74" s="88"/>
      <c r="L74" s="88"/>
      <c r="M74" s="62" t="str">
        <f>IF(TblDetailBudget[[#This Row],[Level]]=LvlBottomHdr, IFERROR(INDEX(TblUnitCost[Unit], MATCH(TblDetailBudget[[#This Row],[Row Title]], TblUnitCost[Resource], 0)), "Invalid Resource"), "")</f>
        <v>Invalid Resource</v>
      </c>
      <c r="N74" s="125" t="str">
        <f>IF(TblDetailBudget[[#This Row],[Level]]=LvlBottomHdr, IFERROR(INDEX(TblUnitCost[LCU], MATCH(TblDetailBudget[[#This Row],[Row Title]], TblUnitCost[Resource], 0)), "Invalid Resource"), "")</f>
        <v>Invalid Resource</v>
      </c>
      <c r="O74" s="128"/>
      <c r="P74" s="108"/>
      <c r="Q74" s="129"/>
      <c r="R74" s="108"/>
      <c r="S74" s="108"/>
      <c r="T74" s="108"/>
      <c r="U74" s="108"/>
      <c r="V74" s="108"/>
      <c r="W74" s="125" t="str">
        <f>IF(TblDetailBudget[[#This Row],[Level]]=LvlBottomHdr, IF(SUM(TblDetailBudget[[#This Row],[2021 Quant]:[2025 Quant]])&gt;0, SUM(TblDetailBudget[[#This Row],[2021 Quant]:[2025 Quant]]), ""), "")</f>
        <v/>
      </c>
      <c r="X7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4" s="140">
        <f>SUM(TblDetailBudget[[#This Row],[2021 Cost (LCU)]:[2025 Cost (LCU)]])</f>
        <v>0</v>
      </c>
      <c r="AD74" s="134">
        <f>IFERROR(SUM(TblDetailBudget[[#This Row],[2021 Cost (LCU)]])/FX_Rate, "")</f>
        <v>0</v>
      </c>
      <c r="AE74" s="63">
        <f>IFERROR(SUM(TblDetailBudget[[#This Row],[2022 Cost (LCU)]])/FX_Rate, "")</f>
        <v>0</v>
      </c>
      <c r="AF74" s="63">
        <f>IFERROR(SUM(TblDetailBudget[[#This Row],[2023 Cost (LCU)]])/FX_Rate, "")</f>
        <v>0</v>
      </c>
      <c r="AG74" s="63">
        <f>IFERROR(SUM(TblDetailBudget[[#This Row],[2024 Cost (LCU)]])/FX_Rate, "")</f>
        <v>0</v>
      </c>
      <c r="AH74" s="63">
        <f>IFERROR(SUM(TblDetailBudget[[#This Row],[2025 Cost (LCU)]])/FX_Rate, "")</f>
        <v>0</v>
      </c>
      <c r="AI74" s="125">
        <f>SUM(TblDetailBudget[[#This Row],[2021 Cost (USD)]:[2025 Cost (USD)]])</f>
        <v>0</v>
      </c>
      <c r="AJ74" s="180"/>
    </row>
    <row r="75" spans="2:36" ht="12.75" hidden="1" customHeight="1">
      <c r="B75" s="122" t="s">
        <v>71</v>
      </c>
      <c r="C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1.1.3.3.2</v>
      </c>
      <c r="D75" s="62">
        <f>IF(TblDetailBudget[[#This Row],[Level]]="", "", COUNTIFS($B$8:TblDetailBudget[[#This Row],[Level]], Lvl1Hdr))</f>
        <v>1</v>
      </c>
      <c r="E75" s="62">
        <f>IF(TblDetailBudget[[#This Row],[Level]]="", "", COUNTIFS($B$8:TblDetailBudget[[#This Row],[Level]], Lvl2Hdr, $D$8:TblDetailBudget[[#This Row],[Lvl 1 Header]], TblDetailBudget[[#This Row],[Lvl 1 Header]]))</f>
        <v>1</v>
      </c>
      <c r="F75" s="62">
        <f>IF(TblDetailBudget[[#This Row],[Level]]="", "", COUNTIFS($B$8:TblDetailBudget[[#This Row],[Level]], Lvl3Hdr, $D$8:TblDetailBudget[[#This Row],[Lvl 1 Header]], TblDetailBudget[[#This Row],[Lvl 1 Header]], $E$8:TblDetailBudget[[#This Row],[Lvl 2 Header]], TblDetailBudget[[#This Row],[Lvl 2 Header]]))</f>
        <v>3</v>
      </c>
      <c r="G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75" s="101"/>
      <c r="J75" s="101"/>
      <c r="K75" s="88"/>
      <c r="L75" s="88"/>
      <c r="M75" s="62" t="str">
        <f>IF(TblDetailBudget[[#This Row],[Level]]=LvlBottomHdr, IFERROR(INDEX(TblUnitCost[Unit], MATCH(TblDetailBudget[[#This Row],[Row Title]], TblUnitCost[Resource], 0)), "Invalid Resource"), "")</f>
        <v>Invalid Resource</v>
      </c>
      <c r="N75" s="125" t="str">
        <f>IF(TblDetailBudget[[#This Row],[Level]]=LvlBottomHdr, IFERROR(INDEX(TblUnitCost[LCU], MATCH(TblDetailBudget[[#This Row],[Row Title]], TblUnitCost[Resource], 0)), "Invalid Resource"), "")</f>
        <v>Invalid Resource</v>
      </c>
      <c r="O75" s="128"/>
      <c r="P75" s="108"/>
      <c r="Q75" s="129"/>
      <c r="R75" s="108"/>
      <c r="S75" s="108"/>
      <c r="T75" s="108"/>
      <c r="U75" s="108"/>
      <c r="V75" s="108"/>
      <c r="W75" s="125" t="str">
        <f>IF(TblDetailBudget[[#This Row],[Level]]=LvlBottomHdr, IF(SUM(TblDetailBudget[[#This Row],[2021 Quant]:[2025 Quant]])&gt;0, SUM(TblDetailBudget[[#This Row],[2021 Quant]:[2025 Quant]]), ""), "")</f>
        <v/>
      </c>
      <c r="X7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5" s="140">
        <f>SUM(TblDetailBudget[[#This Row],[2021 Cost (LCU)]:[2025 Cost (LCU)]])</f>
        <v>0</v>
      </c>
      <c r="AD75" s="134">
        <f>IFERROR(SUM(TblDetailBudget[[#This Row],[2021 Cost (LCU)]])/FX_Rate, "")</f>
        <v>0</v>
      </c>
      <c r="AE75" s="63">
        <f>IFERROR(SUM(TblDetailBudget[[#This Row],[2022 Cost (LCU)]])/FX_Rate, "")</f>
        <v>0</v>
      </c>
      <c r="AF75" s="63">
        <f>IFERROR(SUM(TblDetailBudget[[#This Row],[2023 Cost (LCU)]])/FX_Rate, "")</f>
        <v>0</v>
      </c>
      <c r="AG75" s="63">
        <f>IFERROR(SUM(TblDetailBudget[[#This Row],[2024 Cost (LCU)]])/FX_Rate, "")</f>
        <v>0</v>
      </c>
      <c r="AH75" s="63">
        <f>IFERROR(SUM(TblDetailBudget[[#This Row],[2025 Cost (LCU)]])/FX_Rate, "")</f>
        <v>0</v>
      </c>
      <c r="AI75" s="125">
        <f>SUM(TblDetailBudget[[#This Row],[2021 Cost (USD)]:[2025 Cost (USD)]])</f>
        <v>0</v>
      </c>
      <c r="AJ75" s="180"/>
    </row>
    <row r="76" spans="2:36" ht="12.75" hidden="1" customHeight="1">
      <c r="B76" s="122" t="s">
        <v>71</v>
      </c>
      <c r="C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1.1.3.3.3</v>
      </c>
      <c r="D76" s="62">
        <f>IF(TblDetailBudget[[#This Row],[Level]]="", "", COUNTIFS($B$8:TblDetailBudget[[#This Row],[Level]], Lvl1Hdr))</f>
        <v>1</v>
      </c>
      <c r="E76" s="62">
        <f>IF(TblDetailBudget[[#This Row],[Level]]="", "", COUNTIFS($B$8:TblDetailBudget[[#This Row],[Level]], Lvl2Hdr, $D$8:TblDetailBudget[[#This Row],[Lvl 1 Header]], TblDetailBudget[[#This Row],[Lvl 1 Header]]))</f>
        <v>1</v>
      </c>
      <c r="F76" s="62">
        <f>IF(TblDetailBudget[[#This Row],[Level]]="", "", COUNTIFS($B$8:TblDetailBudget[[#This Row],[Level]], Lvl3Hdr, $D$8:TblDetailBudget[[#This Row],[Lvl 1 Header]], TblDetailBudget[[#This Row],[Lvl 1 Header]], $E$8:TblDetailBudget[[#This Row],[Lvl 2 Header]], TblDetailBudget[[#This Row],[Lvl 2 Header]]))</f>
        <v>3</v>
      </c>
      <c r="G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76" s="101"/>
      <c r="J76" s="101"/>
      <c r="K76" s="88"/>
      <c r="L76" s="88"/>
      <c r="M76" s="62" t="str">
        <f>IF(TblDetailBudget[[#This Row],[Level]]=LvlBottomHdr, IFERROR(INDEX(TblUnitCost[Unit], MATCH(TblDetailBudget[[#This Row],[Row Title]], TblUnitCost[Resource], 0)), "Invalid Resource"), "")</f>
        <v>Invalid Resource</v>
      </c>
      <c r="N76" s="125" t="str">
        <f>IF(TblDetailBudget[[#This Row],[Level]]=LvlBottomHdr, IFERROR(INDEX(TblUnitCost[LCU], MATCH(TblDetailBudget[[#This Row],[Row Title]], TblUnitCost[Resource], 0)), "Invalid Resource"), "")</f>
        <v>Invalid Resource</v>
      </c>
      <c r="O76" s="128"/>
      <c r="P76" s="108"/>
      <c r="Q76" s="129"/>
      <c r="R76" s="108"/>
      <c r="S76" s="108"/>
      <c r="T76" s="108"/>
      <c r="U76" s="108"/>
      <c r="V76" s="108"/>
      <c r="W76" s="125" t="str">
        <f>IF(TblDetailBudget[[#This Row],[Level]]=LvlBottomHdr, IF(SUM(TblDetailBudget[[#This Row],[2021 Quant]:[2025 Quant]])&gt;0, SUM(TblDetailBudget[[#This Row],[2021 Quant]:[2025 Quant]]), ""), "")</f>
        <v/>
      </c>
      <c r="X7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6" s="140">
        <f>SUM(TblDetailBudget[[#This Row],[2021 Cost (LCU)]:[2025 Cost (LCU)]])</f>
        <v>0</v>
      </c>
      <c r="AD76" s="134">
        <f>IFERROR(SUM(TblDetailBudget[[#This Row],[2021 Cost (LCU)]])/FX_Rate, "")</f>
        <v>0</v>
      </c>
      <c r="AE76" s="63">
        <f>IFERROR(SUM(TblDetailBudget[[#This Row],[2022 Cost (LCU)]])/FX_Rate, "")</f>
        <v>0</v>
      </c>
      <c r="AF76" s="63">
        <f>IFERROR(SUM(TblDetailBudget[[#This Row],[2023 Cost (LCU)]])/FX_Rate, "")</f>
        <v>0</v>
      </c>
      <c r="AG76" s="63">
        <f>IFERROR(SUM(TblDetailBudget[[#This Row],[2024 Cost (LCU)]])/FX_Rate, "")</f>
        <v>0</v>
      </c>
      <c r="AH76" s="63">
        <f>IFERROR(SUM(TblDetailBudget[[#This Row],[2025 Cost (LCU)]])/FX_Rate, "")</f>
        <v>0</v>
      </c>
      <c r="AI76" s="125">
        <f>SUM(TblDetailBudget[[#This Row],[2021 Cost (USD)]:[2025 Cost (USD)]])</f>
        <v>0</v>
      </c>
      <c r="AJ76" s="180"/>
    </row>
    <row r="77" spans="2:36" ht="12.75" hidden="1" customHeight="1">
      <c r="B77" s="122" t="s">
        <v>71</v>
      </c>
      <c r="C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1.1.3.3.4</v>
      </c>
      <c r="D77" s="62">
        <f>IF(TblDetailBudget[[#This Row],[Level]]="", "", COUNTIFS($B$8:TblDetailBudget[[#This Row],[Level]], Lvl1Hdr))</f>
        <v>1</v>
      </c>
      <c r="E77" s="62">
        <f>IF(TblDetailBudget[[#This Row],[Level]]="", "", COUNTIFS($B$8:TblDetailBudget[[#This Row],[Level]], Lvl2Hdr, $D$8:TblDetailBudget[[#This Row],[Lvl 1 Header]], TblDetailBudget[[#This Row],[Lvl 1 Header]]))</f>
        <v>1</v>
      </c>
      <c r="F77" s="62">
        <f>IF(TblDetailBudget[[#This Row],[Level]]="", "", COUNTIFS($B$8:TblDetailBudget[[#This Row],[Level]], Lvl3Hdr, $D$8:TblDetailBudget[[#This Row],[Lvl 1 Header]], TblDetailBudget[[#This Row],[Lvl 1 Header]], $E$8:TblDetailBudget[[#This Row],[Lvl 2 Header]], TblDetailBudget[[#This Row],[Lvl 2 Header]]))</f>
        <v>3</v>
      </c>
      <c r="G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77" s="101"/>
      <c r="J77" s="101"/>
      <c r="K77" s="88"/>
      <c r="L77" s="88"/>
      <c r="M77" s="62" t="str">
        <f>IF(TblDetailBudget[[#This Row],[Level]]=LvlBottomHdr, IFERROR(INDEX(TblUnitCost[Unit], MATCH(TblDetailBudget[[#This Row],[Row Title]], TblUnitCost[Resource], 0)), "Invalid Resource"), "")</f>
        <v>Invalid Resource</v>
      </c>
      <c r="N77" s="125" t="str">
        <f>IF(TblDetailBudget[[#This Row],[Level]]=LvlBottomHdr, IFERROR(INDEX(TblUnitCost[LCU], MATCH(TblDetailBudget[[#This Row],[Row Title]], TblUnitCost[Resource], 0)), "Invalid Resource"), "")</f>
        <v>Invalid Resource</v>
      </c>
      <c r="O77" s="128"/>
      <c r="P77" s="108"/>
      <c r="Q77" s="129"/>
      <c r="R77" s="108"/>
      <c r="S77" s="108"/>
      <c r="T77" s="108"/>
      <c r="U77" s="108"/>
      <c r="V77" s="108"/>
      <c r="W77" s="125" t="str">
        <f>IF(TblDetailBudget[[#This Row],[Level]]=LvlBottomHdr, IF(SUM(TblDetailBudget[[#This Row],[2021 Quant]:[2025 Quant]])&gt;0, SUM(TblDetailBudget[[#This Row],[2021 Quant]:[2025 Quant]]), ""), "")</f>
        <v/>
      </c>
      <c r="X7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7" s="140">
        <f>SUM(TblDetailBudget[[#This Row],[2021 Cost (LCU)]:[2025 Cost (LCU)]])</f>
        <v>0</v>
      </c>
      <c r="AD77" s="134">
        <f>IFERROR(SUM(TblDetailBudget[[#This Row],[2021 Cost (LCU)]])/FX_Rate, "")</f>
        <v>0</v>
      </c>
      <c r="AE77" s="63">
        <f>IFERROR(SUM(TblDetailBudget[[#This Row],[2022 Cost (LCU)]])/FX_Rate, "")</f>
        <v>0</v>
      </c>
      <c r="AF77" s="63">
        <f>IFERROR(SUM(TblDetailBudget[[#This Row],[2023 Cost (LCU)]])/FX_Rate, "")</f>
        <v>0</v>
      </c>
      <c r="AG77" s="63">
        <f>IFERROR(SUM(TblDetailBudget[[#This Row],[2024 Cost (LCU)]])/FX_Rate, "")</f>
        <v>0</v>
      </c>
      <c r="AH77" s="63">
        <f>IFERROR(SUM(TblDetailBudget[[#This Row],[2025 Cost (LCU)]])/FX_Rate, "")</f>
        <v>0</v>
      </c>
      <c r="AI77" s="125">
        <f>SUM(TblDetailBudget[[#This Row],[2021 Cost (USD)]:[2025 Cost (USD)]])</f>
        <v>0</v>
      </c>
      <c r="AJ77" s="180"/>
    </row>
    <row r="78" spans="2:36" ht="12.75" hidden="1" customHeight="1">
      <c r="B78" s="122" t="s">
        <v>71</v>
      </c>
      <c r="C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1.1.3.3.5</v>
      </c>
      <c r="D78" s="62">
        <f>IF(TblDetailBudget[[#This Row],[Level]]="", "", COUNTIFS($B$8:TblDetailBudget[[#This Row],[Level]], Lvl1Hdr))</f>
        <v>1</v>
      </c>
      <c r="E78" s="62">
        <f>IF(TblDetailBudget[[#This Row],[Level]]="", "", COUNTIFS($B$8:TblDetailBudget[[#This Row],[Level]], Lvl2Hdr, $D$8:TblDetailBudget[[#This Row],[Lvl 1 Header]], TblDetailBudget[[#This Row],[Lvl 1 Header]]))</f>
        <v>1</v>
      </c>
      <c r="F78" s="62">
        <f>IF(TblDetailBudget[[#This Row],[Level]]="", "", COUNTIFS($B$8:TblDetailBudget[[#This Row],[Level]], Lvl3Hdr, $D$8:TblDetailBudget[[#This Row],[Lvl 1 Header]], TblDetailBudget[[#This Row],[Lvl 1 Header]], $E$8:TblDetailBudget[[#This Row],[Lvl 2 Header]], TblDetailBudget[[#This Row],[Lvl 2 Header]]))</f>
        <v>3</v>
      </c>
      <c r="G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78" s="101"/>
      <c r="J78" s="101"/>
      <c r="K78" s="88"/>
      <c r="L78" s="88"/>
      <c r="M78" s="62" t="str">
        <f>IF(TblDetailBudget[[#This Row],[Level]]=LvlBottomHdr, IFERROR(INDEX(TblUnitCost[Unit], MATCH(TblDetailBudget[[#This Row],[Row Title]], TblUnitCost[Resource], 0)), "Invalid Resource"), "")</f>
        <v>Invalid Resource</v>
      </c>
      <c r="N78" s="125" t="str">
        <f>IF(TblDetailBudget[[#This Row],[Level]]=LvlBottomHdr, IFERROR(INDEX(TblUnitCost[LCU], MATCH(TblDetailBudget[[#This Row],[Row Title]], TblUnitCost[Resource], 0)), "Invalid Resource"), "")</f>
        <v>Invalid Resource</v>
      </c>
      <c r="O78" s="128"/>
      <c r="P78" s="108"/>
      <c r="Q78" s="129"/>
      <c r="R78" s="108"/>
      <c r="S78" s="108"/>
      <c r="T78" s="108"/>
      <c r="U78" s="108"/>
      <c r="V78" s="108"/>
      <c r="W78" s="125" t="str">
        <f>IF(TblDetailBudget[[#This Row],[Level]]=LvlBottomHdr, IF(SUM(TblDetailBudget[[#This Row],[2021 Quant]:[2025 Quant]])&gt;0, SUM(TblDetailBudget[[#This Row],[2021 Quant]:[2025 Quant]]), ""), "")</f>
        <v/>
      </c>
      <c r="X7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8" s="140">
        <f>SUM(TblDetailBudget[[#This Row],[2021 Cost (LCU)]:[2025 Cost (LCU)]])</f>
        <v>0</v>
      </c>
      <c r="AD78" s="134">
        <f>IFERROR(SUM(TblDetailBudget[[#This Row],[2021 Cost (LCU)]])/FX_Rate, "")</f>
        <v>0</v>
      </c>
      <c r="AE78" s="63">
        <f>IFERROR(SUM(TblDetailBudget[[#This Row],[2022 Cost (LCU)]])/FX_Rate, "")</f>
        <v>0</v>
      </c>
      <c r="AF78" s="63">
        <f>IFERROR(SUM(TblDetailBudget[[#This Row],[2023 Cost (LCU)]])/FX_Rate, "")</f>
        <v>0</v>
      </c>
      <c r="AG78" s="63">
        <f>IFERROR(SUM(TblDetailBudget[[#This Row],[2024 Cost (LCU)]])/FX_Rate, "")</f>
        <v>0</v>
      </c>
      <c r="AH78" s="63">
        <f>IFERROR(SUM(TblDetailBudget[[#This Row],[2025 Cost (LCU)]])/FX_Rate, "")</f>
        <v>0</v>
      </c>
      <c r="AI78" s="125">
        <f>SUM(TblDetailBudget[[#This Row],[2021 Cost (USD)]:[2025 Cost (USD)]])</f>
        <v>0</v>
      </c>
      <c r="AJ78" s="180"/>
    </row>
    <row r="79" spans="2:36" ht="12.75" hidden="1" customHeight="1">
      <c r="B79" s="122" t="s">
        <v>71</v>
      </c>
      <c r="C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1.1.3.3.6</v>
      </c>
      <c r="D79" s="62">
        <f>IF(TblDetailBudget[[#This Row],[Level]]="", "", COUNTIFS($B$8:TblDetailBudget[[#This Row],[Level]], Lvl1Hdr))</f>
        <v>1</v>
      </c>
      <c r="E79" s="62">
        <f>IF(TblDetailBudget[[#This Row],[Level]]="", "", COUNTIFS($B$8:TblDetailBudget[[#This Row],[Level]], Lvl2Hdr, $D$8:TblDetailBudget[[#This Row],[Lvl 1 Header]], TblDetailBudget[[#This Row],[Lvl 1 Header]]))</f>
        <v>1</v>
      </c>
      <c r="F79" s="62">
        <f>IF(TblDetailBudget[[#This Row],[Level]]="", "", COUNTIFS($B$8:TblDetailBudget[[#This Row],[Level]], Lvl3Hdr, $D$8:TblDetailBudget[[#This Row],[Lvl 1 Header]], TblDetailBudget[[#This Row],[Lvl 1 Header]], $E$8:TblDetailBudget[[#This Row],[Lvl 2 Header]], TblDetailBudget[[#This Row],[Lvl 2 Header]]))</f>
        <v>3</v>
      </c>
      <c r="G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79" s="101"/>
      <c r="J79" s="101"/>
      <c r="K79" s="88"/>
      <c r="L79" s="88"/>
      <c r="M79" s="62" t="str">
        <f>IF(TblDetailBudget[[#This Row],[Level]]=LvlBottomHdr, IFERROR(INDEX(TblUnitCost[Unit], MATCH(TblDetailBudget[[#This Row],[Row Title]], TblUnitCost[Resource], 0)), "Invalid Resource"), "")</f>
        <v>Invalid Resource</v>
      </c>
      <c r="N79" s="125" t="str">
        <f>IF(TblDetailBudget[[#This Row],[Level]]=LvlBottomHdr, IFERROR(INDEX(TblUnitCost[LCU], MATCH(TblDetailBudget[[#This Row],[Row Title]], TblUnitCost[Resource], 0)), "Invalid Resource"), "")</f>
        <v>Invalid Resource</v>
      </c>
      <c r="O79" s="128"/>
      <c r="P79" s="108"/>
      <c r="Q79" s="129"/>
      <c r="R79" s="108"/>
      <c r="S79" s="108"/>
      <c r="T79" s="108"/>
      <c r="U79" s="108"/>
      <c r="V79" s="108"/>
      <c r="W79" s="125" t="str">
        <f>IF(TblDetailBudget[[#This Row],[Level]]=LvlBottomHdr, IF(SUM(TblDetailBudget[[#This Row],[2021 Quant]:[2025 Quant]])&gt;0, SUM(TblDetailBudget[[#This Row],[2021 Quant]:[2025 Quant]]), ""), "")</f>
        <v/>
      </c>
      <c r="X7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9" s="140">
        <f>SUM(TblDetailBudget[[#This Row],[2021 Cost (LCU)]:[2025 Cost (LCU)]])</f>
        <v>0</v>
      </c>
      <c r="AD79" s="134">
        <f>IFERROR(SUM(TblDetailBudget[[#This Row],[2021 Cost (LCU)]])/FX_Rate, "")</f>
        <v>0</v>
      </c>
      <c r="AE79" s="63">
        <f>IFERROR(SUM(TblDetailBudget[[#This Row],[2022 Cost (LCU)]])/FX_Rate, "")</f>
        <v>0</v>
      </c>
      <c r="AF79" s="63">
        <f>IFERROR(SUM(TblDetailBudget[[#This Row],[2023 Cost (LCU)]])/FX_Rate, "")</f>
        <v>0</v>
      </c>
      <c r="AG79" s="63">
        <f>IFERROR(SUM(TblDetailBudget[[#This Row],[2024 Cost (LCU)]])/FX_Rate, "")</f>
        <v>0</v>
      </c>
      <c r="AH79" s="63">
        <f>IFERROR(SUM(TblDetailBudget[[#This Row],[2025 Cost (LCU)]])/FX_Rate, "")</f>
        <v>0</v>
      </c>
      <c r="AI79" s="125">
        <f>SUM(TblDetailBudget[[#This Row],[2021 Cost (USD)]:[2025 Cost (USD)]])</f>
        <v>0</v>
      </c>
      <c r="AJ79" s="180"/>
    </row>
    <row r="80" spans="2:36" ht="12.75" hidden="1" customHeight="1">
      <c r="B80" s="122" t="s">
        <v>71</v>
      </c>
      <c r="C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1.1.3.3.7</v>
      </c>
      <c r="D80" s="62">
        <f>IF(TblDetailBudget[[#This Row],[Level]]="", "", COUNTIFS($B$8:TblDetailBudget[[#This Row],[Level]], Lvl1Hdr))</f>
        <v>1</v>
      </c>
      <c r="E80" s="62">
        <f>IF(TblDetailBudget[[#This Row],[Level]]="", "", COUNTIFS($B$8:TblDetailBudget[[#This Row],[Level]], Lvl2Hdr, $D$8:TblDetailBudget[[#This Row],[Lvl 1 Header]], TblDetailBudget[[#This Row],[Lvl 1 Header]]))</f>
        <v>1</v>
      </c>
      <c r="F80" s="62">
        <f>IF(TblDetailBudget[[#This Row],[Level]]="", "", COUNTIFS($B$8:TblDetailBudget[[#This Row],[Level]], Lvl3Hdr, $D$8:TblDetailBudget[[#This Row],[Lvl 1 Header]], TblDetailBudget[[#This Row],[Lvl 1 Header]], $E$8:TblDetailBudget[[#This Row],[Lvl 2 Header]], TblDetailBudget[[#This Row],[Lvl 2 Header]]))</f>
        <v>3</v>
      </c>
      <c r="G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80" s="101"/>
      <c r="J80" s="101"/>
      <c r="K80" s="88"/>
      <c r="L80" s="88"/>
      <c r="M80" s="62" t="str">
        <f>IF(TblDetailBudget[[#This Row],[Level]]=LvlBottomHdr, IFERROR(INDEX(TblUnitCost[Unit], MATCH(TblDetailBudget[[#This Row],[Row Title]], TblUnitCost[Resource], 0)), "Invalid Resource"), "")</f>
        <v>Invalid Resource</v>
      </c>
      <c r="N80" s="125" t="str">
        <f>IF(TblDetailBudget[[#This Row],[Level]]=LvlBottomHdr, IFERROR(INDEX(TblUnitCost[LCU], MATCH(TblDetailBudget[[#This Row],[Row Title]], TblUnitCost[Resource], 0)), "Invalid Resource"), "")</f>
        <v>Invalid Resource</v>
      </c>
      <c r="O80" s="128"/>
      <c r="P80" s="108"/>
      <c r="Q80" s="129"/>
      <c r="R80" s="108"/>
      <c r="S80" s="108"/>
      <c r="T80" s="108"/>
      <c r="U80" s="108"/>
      <c r="V80" s="108"/>
      <c r="W80" s="125" t="str">
        <f>IF(TblDetailBudget[[#This Row],[Level]]=LvlBottomHdr, IF(SUM(TblDetailBudget[[#This Row],[2021 Quant]:[2025 Quant]])&gt;0, SUM(TblDetailBudget[[#This Row],[2021 Quant]:[2025 Quant]]), ""), "")</f>
        <v/>
      </c>
      <c r="X8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0" s="140">
        <f>SUM(TblDetailBudget[[#This Row],[2021 Cost (LCU)]:[2025 Cost (LCU)]])</f>
        <v>0</v>
      </c>
      <c r="AD80" s="134">
        <f>IFERROR(SUM(TblDetailBudget[[#This Row],[2021 Cost (LCU)]])/FX_Rate, "")</f>
        <v>0</v>
      </c>
      <c r="AE80" s="63">
        <f>IFERROR(SUM(TblDetailBudget[[#This Row],[2022 Cost (LCU)]])/FX_Rate, "")</f>
        <v>0</v>
      </c>
      <c r="AF80" s="63">
        <f>IFERROR(SUM(TblDetailBudget[[#This Row],[2023 Cost (LCU)]])/FX_Rate, "")</f>
        <v>0</v>
      </c>
      <c r="AG80" s="63">
        <f>IFERROR(SUM(TblDetailBudget[[#This Row],[2024 Cost (LCU)]])/FX_Rate, "")</f>
        <v>0</v>
      </c>
      <c r="AH80" s="63">
        <f>IFERROR(SUM(TblDetailBudget[[#This Row],[2025 Cost (LCU)]])/FX_Rate, "")</f>
        <v>0</v>
      </c>
      <c r="AI80" s="125">
        <f>SUM(TblDetailBudget[[#This Row],[2021 Cost (USD)]:[2025 Cost (USD)]])</f>
        <v>0</v>
      </c>
      <c r="AJ80" s="180"/>
    </row>
    <row r="81" spans="2:36" ht="12.75" hidden="1" customHeight="1">
      <c r="B81" s="122" t="s">
        <v>71</v>
      </c>
      <c r="C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1.1.3.3.8</v>
      </c>
      <c r="D81" s="62">
        <f>IF(TblDetailBudget[[#This Row],[Level]]="", "", COUNTIFS($B$8:TblDetailBudget[[#This Row],[Level]], Lvl1Hdr))</f>
        <v>1</v>
      </c>
      <c r="E81" s="62">
        <f>IF(TblDetailBudget[[#This Row],[Level]]="", "", COUNTIFS($B$8:TblDetailBudget[[#This Row],[Level]], Lvl2Hdr, $D$8:TblDetailBudget[[#This Row],[Lvl 1 Header]], TblDetailBudget[[#This Row],[Lvl 1 Header]]))</f>
        <v>1</v>
      </c>
      <c r="F81" s="62">
        <f>IF(TblDetailBudget[[#This Row],[Level]]="", "", COUNTIFS($B$8:TblDetailBudget[[#This Row],[Level]], Lvl3Hdr, $D$8:TblDetailBudget[[#This Row],[Lvl 1 Header]], TblDetailBudget[[#This Row],[Lvl 1 Header]], $E$8:TblDetailBudget[[#This Row],[Lvl 2 Header]], TblDetailBudget[[#This Row],[Lvl 2 Header]]))</f>
        <v>3</v>
      </c>
      <c r="G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81" s="101"/>
      <c r="J81" s="101"/>
      <c r="K81" s="88"/>
      <c r="L81" s="88"/>
      <c r="M81" s="62" t="str">
        <f>IF(TblDetailBudget[[#This Row],[Level]]=LvlBottomHdr, IFERROR(INDEX(TblUnitCost[Unit], MATCH(TblDetailBudget[[#This Row],[Row Title]], TblUnitCost[Resource], 0)), "Invalid Resource"), "")</f>
        <v>Invalid Resource</v>
      </c>
      <c r="N81" s="125" t="str">
        <f>IF(TblDetailBudget[[#This Row],[Level]]=LvlBottomHdr, IFERROR(INDEX(TblUnitCost[LCU], MATCH(TblDetailBudget[[#This Row],[Row Title]], TblUnitCost[Resource], 0)), "Invalid Resource"), "")</f>
        <v>Invalid Resource</v>
      </c>
      <c r="O81" s="128"/>
      <c r="P81" s="108"/>
      <c r="Q81" s="129"/>
      <c r="R81" s="108"/>
      <c r="S81" s="108"/>
      <c r="T81" s="108"/>
      <c r="U81" s="108"/>
      <c r="V81" s="108"/>
      <c r="W81" s="125" t="str">
        <f>IF(TblDetailBudget[[#This Row],[Level]]=LvlBottomHdr, IF(SUM(TblDetailBudget[[#This Row],[2021 Quant]:[2025 Quant]])&gt;0, SUM(TblDetailBudget[[#This Row],[2021 Quant]:[2025 Quant]]), ""), "")</f>
        <v/>
      </c>
      <c r="X8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1" s="140">
        <f>SUM(TblDetailBudget[[#This Row],[2021 Cost (LCU)]:[2025 Cost (LCU)]])</f>
        <v>0</v>
      </c>
      <c r="AD81" s="134">
        <f>IFERROR(SUM(TblDetailBudget[[#This Row],[2021 Cost (LCU)]])/FX_Rate, "")</f>
        <v>0</v>
      </c>
      <c r="AE81" s="63">
        <f>IFERROR(SUM(TblDetailBudget[[#This Row],[2022 Cost (LCU)]])/FX_Rate, "")</f>
        <v>0</v>
      </c>
      <c r="AF81" s="63">
        <f>IFERROR(SUM(TblDetailBudget[[#This Row],[2023 Cost (LCU)]])/FX_Rate, "")</f>
        <v>0</v>
      </c>
      <c r="AG81" s="63">
        <f>IFERROR(SUM(TblDetailBudget[[#This Row],[2024 Cost (LCU)]])/FX_Rate, "")</f>
        <v>0</v>
      </c>
      <c r="AH81" s="63">
        <f>IFERROR(SUM(TblDetailBudget[[#This Row],[2025 Cost (LCU)]])/FX_Rate, "")</f>
        <v>0</v>
      </c>
      <c r="AI81" s="125">
        <f>SUM(TblDetailBudget[[#This Row],[2021 Cost (USD)]:[2025 Cost (USD)]])</f>
        <v>0</v>
      </c>
      <c r="AJ81" s="180"/>
    </row>
    <row r="82" spans="2:36" ht="12.75" hidden="1" customHeight="1">
      <c r="B82" s="122" t="s">
        <v>71</v>
      </c>
      <c r="C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1.1.3.3.9</v>
      </c>
      <c r="D82" s="62">
        <f>IF(TblDetailBudget[[#This Row],[Level]]="", "", COUNTIFS($B$8:TblDetailBudget[[#This Row],[Level]], Lvl1Hdr))</f>
        <v>1</v>
      </c>
      <c r="E82" s="62">
        <f>IF(TblDetailBudget[[#This Row],[Level]]="", "", COUNTIFS($B$8:TblDetailBudget[[#This Row],[Level]], Lvl2Hdr, $D$8:TblDetailBudget[[#This Row],[Lvl 1 Header]], TblDetailBudget[[#This Row],[Lvl 1 Header]]))</f>
        <v>1</v>
      </c>
      <c r="F82" s="62">
        <f>IF(TblDetailBudget[[#This Row],[Level]]="", "", COUNTIFS($B$8:TblDetailBudget[[#This Row],[Level]], Lvl3Hdr, $D$8:TblDetailBudget[[#This Row],[Lvl 1 Header]], TblDetailBudget[[#This Row],[Lvl 1 Header]], $E$8:TblDetailBudget[[#This Row],[Lvl 2 Header]], TblDetailBudget[[#This Row],[Lvl 2 Header]]))</f>
        <v>3</v>
      </c>
      <c r="G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82" s="101"/>
      <c r="J82" s="101"/>
      <c r="K82" s="88"/>
      <c r="L82" s="88"/>
      <c r="M82" s="62" t="str">
        <f>IF(TblDetailBudget[[#This Row],[Level]]=LvlBottomHdr, IFERROR(INDEX(TblUnitCost[Unit], MATCH(TblDetailBudget[[#This Row],[Row Title]], TblUnitCost[Resource], 0)), "Invalid Resource"), "")</f>
        <v>Invalid Resource</v>
      </c>
      <c r="N82" s="125" t="str">
        <f>IF(TblDetailBudget[[#This Row],[Level]]=LvlBottomHdr, IFERROR(INDEX(TblUnitCost[LCU], MATCH(TblDetailBudget[[#This Row],[Row Title]], TblUnitCost[Resource], 0)), "Invalid Resource"), "")</f>
        <v>Invalid Resource</v>
      </c>
      <c r="O82" s="128"/>
      <c r="P82" s="108"/>
      <c r="Q82" s="129"/>
      <c r="R82" s="108"/>
      <c r="S82" s="108"/>
      <c r="T82" s="108"/>
      <c r="U82" s="108"/>
      <c r="V82" s="108"/>
      <c r="W82" s="125" t="str">
        <f>IF(TblDetailBudget[[#This Row],[Level]]=LvlBottomHdr, IF(SUM(TblDetailBudget[[#This Row],[2021 Quant]:[2025 Quant]])&gt;0, SUM(TblDetailBudget[[#This Row],[2021 Quant]:[2025 Quant]]), ""), "")</f>
        <v/>
      </c>
      <c r="X8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2" s="140">
        <f>SUM(TblDetailBudget[[#This Row],[2021 Cost (LCU)]:[2025 Cost (LCU)]])</f>
        <v>0</v>
      </c>
      <c r="AD82" s="134">
        <f>IFERROR(SUM(TblDetailBudget[[#This Row],[2021 Cost (LCU)]])/FX_Rate, "")</f>
        <v>0</v>
      </c>
      <c r="AE82" s="63">
        <f>IFERROR(SUM(TblDetailBudget[[#This Row],[2022 Cost (LCU)]])/FX_Rate, "")</f>
        <v>0</v>
      </c>
      <c r="AF82" s="63">
        <f>IFERROR(SUM(TblDetailBudget[[#This Row],[2023 Cost (LCU)]])/FX_Rate, "")</f>
        <v>0</v>
      </c>
      <c r="AG82" s="63">
        <f>IFERROR(SUM(TblDetailBudget[[#This Row],[2024 Cost (LCU)]])/FX_Rate, "")</f>
        <v>0</v>
      </c>
      <c r="AH82" s="63">
        <f>IFERROR(SUM(TblDetailBudget[[#This Row],[2025 Cost (LCU)]])/FX_Rate, "")</f>
        <v>0</v>
      </c>
      <c r="AI82" s="125">
        <f>SUM(TblDetailBudget[[#This Row],[2021 Cost (USD)]:[2025 Cost (USD)]])</f>
        <v>0</v>
      </c>
      <c r="AJ82" s="180"/>
    </row>
    <row r="83" spans="2:36" ht="12.75" hidden="1" customHeight="1">
      <c r="B83" s="122" t="s">
        <v>71</v>
      </c>
      <c r="C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1.1.3.3.10</v>
      </c>
      <c r="D83" s="62">
        <f>IF(TblDetailBudget[[#This Row],[Level]]="", "", COUNTIFS($B$8:TblDetailBudget[[#This Row],[Level]], Lvl1Hdr))</f>
        <v>1</v>
      </c>
      <c r="E83" s="62">
        <f>IF(TblDetailBudget[[#This Row],[Level]]="", "", COUNTIFS($B$8:TblDetailBudget[[#This Row],[Level]], Lvl2Hdr, $D$8:TblDetailBudget[[#This Row],[Lvl 1 Header]], TblDetailBudget[[#This Row],[Lvl 1 Header]]))</f>
        <v>1</v>
      </c>
      <c r="F83" s="62">
        <f>IF(TblDetailBudget[[#This Row],[Level]]="", "", COUNTIFS($B$8:TblDetailBudget[[#This Row],[Level]], Lvl3Hdr, $D$8:TblDetailBudget[[#This Row],[Lvl 1 Header]], TblDetailBudget[[#This Row],[Lvl 1 Header]], $E$8:TblDetailBudget[[#This Row],[Lvl 2 Header]], TblDetailBudget[[#This Row],[Lvl 2 Header]]))</f>
        <v>3</v>
      </c>
      <c r="G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83" s="101"/>
      <c r="J83" s="101"/>
      <c r="K83" s="88"/>
      <c r="L83" s="88"/>
      <c r="M83" s="62" t="str">
        <f>IF(TblDetailBudget[[#This Row],[Level]]=LvlBottomHdr, IFERROR(INDEX(TblUnitCost[Unit], MATCH(TblDetailBudget[[#This Row],[Row Title]], TblUnitCost[Resource], 0)), "Invalid Resource"), "")</f>
        <v>Invalid Resource</v>
      </c>
      <c r="N83" s="125" t="str">
        <f>IF(TblDetailBudget[[#This Row],[Level]]=LvlBottomHdr, IFERROR(INDEX(TblUnitCost[LCU], MATCH(TblDetailBudget[[#This Row],[Row Title]], TblUnitCost[Resource], 0)), "Invalid Resource"), "")</f>
        <v>Invalid Resource</v>
      </c>
      <c r="O83" s="128"/>
      <c r="P83" s="108"/>
      <c r="Q83" s="129"/>
      <c r="R83" s="108"/>
      <c r="S83" s="108"/>
      <c r="T83" s="108"/>
      <c r="U83" s="108"/>
      <c r="V83" s="108"/>
      <c r="W83" s="125" t="str">
        <f>IF(TblDetailBudget[[#This Row],[Level]]=LvlBottomHdr, IF(SUM(TblDetailBudget[[#This Row],[2021 Quant]:[2025 Quant]])&gt;0, SUM(TblDetailBudget[[#This Row],[2021 Quant]:[2025 Quant]]), ""), "")</f>
        <v/>
      </c>
      <c r="X8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3" s="140">
        <f>SUM(TblDetailBudget[[#This Row],[2021 Cost (LCU)]:[2025 Cost (LCU)]])</f>
        <v>0</v>
      </c>
      <c r="AD83" s="134">
        <f>IFERROR(SUM(TblDetailBudget[[#This Row],[2021 Cost (LCU)]])/FX_Rate, "")</f>
        <v>0</v>
      </c>
      <c r="AE83" s="63">
        <f>IFERROR(SUM(TblDetailBudget[[#This Row],[2022 Cost (LCU)]])/FX_Rate, "")</f>
        <v>0</v>
      </c>
      <c r="AF83" s="63">
        <f>IFERROR(SUM(TblDetailBudget[[#This Row],[2023 Cost (LCU)]])/FX_Rate, "")</f>
        <v>0</v>
      </c>
      <c r="AG83" s="63">
        <f>IFERROR(SUM(TblDetailBudget[[#This Row],[2024 Cost (LCU)]])/FX_Rate, "")</f>
        <v>0</v>
      </c>
      <c r="AH83" s="63">
        <f>IFERROR(SUM(TblDetailBudget[[#This Row],[2025 Cost (LCU)]])/FX_Rate, "")</f>
        <v>0</v>
      </c>
      <c r="AI83" s="125">
        <f>SUM(TblDetailBudget[[#This Row],[2021 Cost (USD)]:[2025 Cost (USD)]])</f>
        <v>0</v>
      </c>
      <c r="AJ83" s="180"/>
    </row>
    <row r="84" spans="2:36" ht="12.75" hidden="1" customHeight="1">
      <c r="B84" s="122" t="s">
        <v>71</v>
      </c>
      <c r="C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1.1.3.3.11</v>
      </c>
      <c r="D84" s="62">
        <f>IF(TblDetailBudget[[#This Row],[Level]]="", "", COUNTIFS($B$8:TblDetailBudget[[#This Row],[Level]], Lvl1Hdr))</f>
        <v>1</v>
      </c>
      <c r="E84" s="62">
        <f>IF(TblDetailBudget[[#This Row],[Level]]="", "", COUNTIFS($B$8:TblDetailBudget[[#This Row],[Level]], Lvl2Hdr, $D$8:TblDetailBudget[[#This Row],[Lvl 1 Header]], TblDetailBudget[[#This Row],[Lvl 1 Header]]))</f>
        <v>1</v>
      </c>
      <c r="F84" s="62">
        <f>IF(TblDetailBudget[[#This Row],[Level]]="", "", COUNTIFS($B$8:TblDetailBudget[[#This Row],[Level]], Lvl3Hdr, $D$8:TblDetailBudget[[#This Row],[Lvl 1 Header]], TblDetailBudget[[#This Row],[Lvl 1 Header]], $E$8:TblDetailBudget[[#This Row],[Lvl 2 Header]], TblDetailBudget[[#This Row],[Lvl 2 Header]]))</f>
        <v>3</v>
      </c>
      <c r="G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84" s="101"/>
      <c r="J84" s="101"/>
      <c r="K84" s="88"/>
      <c r="L84" s="88"/>
      <c r="M84" s="62" t="str">
        <f>IF(TblDetailBudget[[#This Row],[Level]]=LvlBottomHdr, IFERROR(INDEX(TblUnitCost[Unit], MATCH(TblDetailBudget[[#This Row],[Row Title]], TblUnitCost[Resource], 0)), "Invalid Resource"), "")</f>
        <v>Invalid Resource</v>
      </c>
      <c r="N84" s="125" t="str">
        <f>IF(TblDetailBudget[[#This Row],[Level]]=LvlBottomHdr, IFERROR(INDEX(TblUnitCost[LCU], MATCH(TblDetailBudget[[#This Row],[Row Title]], TblUnitCost[Resource], 0)), "Invalid Resource"), "")</f>
        <v>Invalid Resource</v>
      </c>
      <c r="O84" s="128"/>
      <c r="P84" s="108"/>
      <c r="Q84" s="129"/>
      <c r="R84" s="108"/>
      <c r="S84" s="108"/>
      <c r="T84" s="108"/>
      <c r="U84" s="108"/>
      <c r="V84" s="108"/>
      <c r="W84" s="125" t="str">
        <f>IF(TblDetailBudget[[#This Row],[Level]]=LvlBottomHdr, IF(SUM(TblDetailBudget[[#This Row],[2021 Quant]:[2025 Quant]])&gt;0, SUM(TblDetailBudget[[#This Row],[2021 Quant]:[2025 Quant]]), ""), "")</f>
        <v/>
      </c>
      <c r="X8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4" s="140">
        <f>SUM(TblDetailBudget[[#This Row],[2021 Cost (LCU)]:[2025 Cost (LCU)]])</f>
        <v>0</v>
      </c>
      <c r="AD84" s="134">
        <f>IFERROR(SUM(TblDetailBudget[[#This Row],[2021 Cost (LCU)]])/FX_Rate, "")</f>
        <v>0</v>
      </c>
      <c r="AE84" s="63">
        <f>IFERROR(SUM(TblDetailBudget[[#This Row],[2022 Cost (LCU)]])/FX_Rate, "")</f>
        <v>0</v>
      </c>
      <c r="AF84" s="63">
        <f>IFERROR(SUM(TblDetailBudget[[#This Row],[2023 Cost (LCU)]])/FX_Rate, "")</f>
        <v>0</v>
      </c>
      <c r="AG84" s="63">
        <f>IFERROR(SUM(TblDetailBudget[[#This Row],[2024 Cost (LCU)]])/FX_Rate, "")</f>
        <v>0</v>
      </c>
      <c r="AH84" s="63">
        <f>IFERROR(SUM(TblDetailBudget[[#This Row],[2025 Cost (LCU)]])/FX_Rate, "")</f>
        <v>0</v>
      </c>
      <c r="AI84" s="125">
        <f>SUM(TblDetailBudget[[#This Row],[2021 Cost (USD)]:[2025 Cost (USD)]])</f>
        <v>0</v>
      </c>
      <c r="AJ84" s="180"/>
    </row>
    <row r="85" spans="2:36" ht="12.75" hidden="1" customHeight="1">
      <c r="B85" s="122" t="s">
        <v>70</v>
      </c>
      <c r="C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v>
      </c>
      <c r="D85" s="62">
        <f>IF(TblDetailBudget[[#This Row],[Level]]="", "", COUNTIFS($B$8:TblDetailBudget[[#This Row],[Level]], Lvl1Hdr))</f>
        <v>1</v>
      </c>
      <c r="E85" s="62">
        <f>IF(TblDetailBudget[[#This Row],[Level]]="", "", COUNTIFS($B$8:TblDetailBudget[[#This Row],[Level]], Lvl2Hdr, $D$8:TblDetailBudget[[#This Row],[Lvl 1 Header]], TblDetailBudget[[#This Row],[Lvl 1 Header]]))</f>
        <v>1</v>
      </c>
      <c r="F85" s="62">
        <f>IF(TblDetailBudget[[#This Row],[Level]]="", "", COUNTIFS($B$8:TblDetailBudget[[#This Row],[Level]], Lvl3Hdr, $D$8:TblDetailBudget[[#This Row],[Lvl 1 Header]], TblDetailBudget[[#This Row],[Lvl 1 Header]], $E$8:TblDetailBudget[[#This Row],[Lvl 2 Header]], TblDetailBudget[[#This Row],[Lvl 2 Header]]))</f>
        <v>3</v>
      </c>
      <c r="G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5" s="101"/>
      <c r="J85" s="101"/>
      <c r="K85" s="88"/>
      <c r="L85" s="88"/>
      <c r="M85" s="62" t="str">
        <f>IF(TblDetailBudget[[#This Row],[Level]]=LvlBottomHdr, IFERROR(INDEX(TblUnitCost[Unit], MATCH(TblDetailBudget[[#This Row],[Row Title]], TblUnitCost[Resource], 0)), "Invalid Resource"), "")</f>
        <v/>
      </c>
      <c r="N85" s="125" t="str">
        <f>IF(TblDetailBudget[[#This Row],[Level]]=LvlBottomHdr, IFERROR(INDEX(TblUnitCost[LCU], MATCH(TblDetailBudget[[#This Row],[Row Title]], TblUnitCost[Resource], 0)), "Invalid Resource"), "")</f>
        <v/>
      </c>
      <c r="O85" s="128"/>
      <c r="P85" s="108"/>
      <c r="Q85" s="129"/>
      <c r="R85" s="108"/>
      <c r="S85" s="108"/>
      <c r="T85" s="108"/>
      <c r="U85" s="108"/>
      <c r="V85" s="108"/>
      <c r="W85" s="125" t="str">
        <f>IF(TblDetailBudget[[#This Row],[Level]]=LvlBottomHdr, IF(SUM(TblDetailBudget[[#This Row],[2021 Quant]:[2025 Quant]])&gt;0, SUM(TblDetailBudget[[#This Row],[2021 Quant]:[2025 Quant]]), ""), "")</f>
        <v/>
      </c>
      <c r="X8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85" s="140">
        <f>SUM(TblDetailBudget[[#This Row],[2021 Cost (LCU)]:[2025 Cost (LCU)]])</f>
        <v>0</v>
      </c>
      <c r="AD85" s="134">
        <f>IFERROR(SUM(TblDetailBudget[[#This Row],[2021 Cost (LCU)]])/FX_Rate, "")</f>
        <v>0</v>
      </c>
      <c r="AE85" s="63">
        <f>IFERROR(SUM(TblDetailBudget[[#This Row],[2022 Cost (LCU)]])/FX_Rate, "")</f>
        <v>0</v>
      </c>
      <c r="AF85" s="63">
        <f>IFERROR(SUM(TblDetailBudget[[#This Row],[2023 Cost (LCU)]])/FX_Rate, "")</f>
        <v>0</v>
      </c>
      <c r="AG85" s="63">
        <f>IFERROR(SUM(TblDetailBudget[[#This Row],[2024 Cost (LCU)]])/FX_Rate, "")</f>
        <v>0</v>
      </c>
      <c r="AH85" s="63">
        <f>IFERROR(SUM(TblDetailBudget[[#This Row],[2025 Cost (LCU)]])/FX_Rate, "")</f>
        <v>0</v>
      </c>
      <c r="AI85" s="125">
        <f>SUM(TblDetailBudget[[#This Row],[2021 Cost (USD)]:[2025 Cost (USD)]])</f>
        <v>0</v>
      </c>
      <c r="AJ85" s="180"/>
    </row>
    <row r="86" spans="2:36" ht="12.75" hidden="1" customHeight="1">
      <c r="B86" s="122" t="s">
        <v>71</v>
      </c>
      <c r="C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1.1.3.4.1</v>
      </c>
      <c r="D86" s="62">
        <f>IF(TblDetailBudget[[#This Row],[Level]]="", "", COUNTIFS($B$8:TblDetailBudget[[#This Row],[Level]], Lvl1Hdr))</f>
        <v>1</v>
      </c>
      <c r="E86" s="62">
        <f>IF(TblDetailBudget[[#This Row],[Level]]="", "", COUNTIFS($B$8:TblDetailBudget[[#This Row],[Level]], Lvl2Hdr, $D$8:TblDetailBudget[[#This Row],[Lvl 1 Header]], TblDetailBudget[[#This Row],[Lvl 1 Header]]))</f>
        <v>1</v>
      </c>
      <c r="F86" s="62">
        <f>IF(TblDetailBudget[[#This Row],[Level]]="", "", COUNTIFS($B$8:TblDetailBudget[[#This Row],[Level]], Lvl3Hdr, $D$8:TblDetailBudget[[#This Row],[Lvl 1 Header]], TblDetailBudget[[#This Row],[Lvl 1 Header]], $E$8:TblDetailBudget[[#This Row],[Lvl 2 Header]], TblDetailBudget[[#This Row],[Lvl 2 Header]]))</f>
        <v>3</v>
      </c>
      <c r="G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86" s="931"/>
      <c r="J86" s="101"/>
      <c r="K86" s="88"/>
      <c r="L86" s="88"/>
      <c r="M86" s="62" t="str">
        <f>IF(TblDetailBudget[[#This Row],[Level]]=LvlBottomHdr, IFERROR(INDEX(TblUnitCost[Unit], MATCH(TblDetailBudget[[#This Row],[Row Title]], TblUnitCost[Resource], 0)), "Invalid Resource"), "")</f>
        <v>Invalid Resource</v>
      </c>
      <c r="N86" s="125" t="str">
        <f>IF(TblDetailBudget[[#This Row],[Level]]=LvlBottomHdr, IFERROR(INDEX(TblUnitCost[LCU], MATCH(TblDetailBudget[[#This Row],[Row Title]], TblUnitCost[Resource], 0)), "Invalid Resource"), "")</f>
        <v>Invalid Resource</v>
      </c>
      <c r="O86" s="128"/>
      <c r="P86" s="108"/>
      <c r="Q86" s="129"/>
      <c r="R86" s="108"/>
      <c r="S86" s="108"/>
      <c r="T86" s="108"/>
      <c r="U86" s="108"/>
      <c r="V86" s="108"/>
      <c r="W86" s="125" t="str">
        <f>IF(TblDetailBudget[[#This Row],[Level]]=LvlBottomHdr, IF(SUM(TblDetailBudget[[#This Row],[2021 Quant]:[2025 Quant]])&gt;0, SUM(TblDetailBudget[[#This Row],[2021 Quant]:[2025 Quant]]), ""), "")</f>
        <v/>
      </c>
      <c r="X8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6" s="140">
        <f>SUM(TblDetailBudget[[#This Row],[2021 Cost (LCU)]:[2025 Cost (LCU)]])</f>
        <v>0</v>
      </c>
      <c r="AD86" s="134">
        <f>IFERROR(SUM(TblDetailBudget[[#This Row],[2021 Cost (LCU)]])/FX_Rate, "")</f>
        <v>0</v>
      </c>
      <c r="AE86" s="63">
        <f>IFERROR(SUM(TblDetailBudget[[#This Row],[2022 Cost (LCU)]])/FX_Rate, "")</f>
        <v>0</v>
      </c>
      <c r="AF86" s="63">
        <f>IFERROR(SUM(TblDetailBudget[[#This Row],[2023 Cost (LCU)]])/FX_Rate, "")</f>
        <v>0</v>
      </c>
      <c r="AG86" s="63">
        <f>IFERROR(SUM(TblDetailBudget[[#This Row],[2024 Cost (LCU)]])/FX_Rate, "")</f>
        <v>0</v>
      </c>
      <c r="AH86" s="63">
        <f>IFERROR(SUM(TblDetailBudget[[#This Row],[2025 Cost (LCU)]])/FX_Rate, "")</f>
        <v>0</v>
      </c>
      <c r="AI86" s="125">
        <f>SUM(TblDetailBudget[[#This Row],[2021 Cost (USD)]:[2025 Cost (USD)]])</f>
        <v>0</v>
      </c>
      <c r="AJ86" s="180"/>
    </row>
    <row r="87" spans="2:36" ht="12.75" hidden="1" customHeight="1">
      <c r="B87" s="122" t="s">
        <v>71</v>
      </c>
      <c r="C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1.1.3.4.2</v>
      </c>
      <c r="D87" s="62">
        <f>IF(TblDetailBudget[[#This Row],[Level]]="", "", COUNTIFS($B$8:TblDetailBudget[[#This Row],[Level]], Lvl1Hdr))</f>
        <v>1</v>
      </c>
      <c r="E87" s="62">
        <f>IF(TblDetailBudget[[#This Row],[Level]]="", "", COUNTIFS($B$8:TblDetailBudget[[#This Row],[Level]], Lvl2Hdr, $D$8:TblDetailBudget[[#This Row],[Lvl 1 Header]], TblDetailBudget[[#This Row],[Lvl 1 Header]]))</f>
        <v>1</v>
      </c>
      <c r="F87" s="62">
        <f>IF(TblDetailBudget[[#This Row],[Level]]="", "", COUNTIFS($B$8:TblDetailBudget[[#This Row],[Level]], Lvl3Hdr, $D$8:TblDetailBudget[[#This Row],[Lvl 1 Header]], TblDetailBudget[[#This Row],[Lvl 1 Header]], $E$8:TblDetailBudget[[#This Row],[Lvl 2 Header]], TblDetailBudget[[#This Row],[Lvl 2 Header]]))</f>
        <v>3</v>
      </c>
      <c r="G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87" s="101"/>
      <c r="J87" s="101"/>
      <c r="K87" s="88"/>
      <c r="L87" s="88"/>
      <c r="M87" s="62" t="str">
        <f>IF(TblDetailBudget[[#This Row],[Level]]=LvlBottomHdr, IFERROR(INDEX(TblUnitCost[Unit], MATCH(TblDetailBudget[[#This Row],[Row Title]], TblUnitCost[Resource], 0)), "Invalid Resource"), "")</f>
        <v>Invalid Resource</v>
      </c>
      <c r="N87" s="125" t="str">
        <f>IF(TblDetailBudget[[#This Row],[Level]]=LvlBottomHdr, IFERROR(INDEX(TblUnitCost[LCU], MATCH(TblDetailBudget[[#This Row],[Row Title]], TblUnitCost[Resource], 0)), "Invalid Resource"), "")</f>
        <v>Invalid Resource</v>
      </c>
      <c r="O87" s="128"/>
      <c r="P87" s="108"/>
      <c r="Q87" s="129"/>
      <c r="R87" s="108"/>
      <c r="S87" s="108"/>
      <c r="T87" s="108"/>
      <c r="U87" s="108"/>
      <c r="V87" s="108"/>
      <c r="W87" s="125" t="str">
        <f>IF(TblDetailBudget[[#This Row],[Level]]=LvlBottomHdr, IF(SUM(TblDetailBudget[[#This Row],[2021 Quant]:[2025 Quant]])&gt;0, SUM(TblDetailBudget[[#This Row],[2021 Quant]:[2025 Quant]]), ""), "")</f>
        <v/>
      </c>
      <c r="X8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7" s="140">
        <f>SUM(TblDetailBudget[[#This Row],[2021 Cost (LCU)]:[2025 Cost (LCU)]])</f>
        <v>0</v>
      </c>
      <c r="AD87" s="134">
        <f>IFERROR(SUM(TblDetailBudget[[#This Row],[2021 Cost (LCU)]])/FX_Rate, "")</f>
        <v>0</v>
      </c>
      <c r="AE87" s="63">
        <f>IFERROR(SUM(TblDetailBudget[[#This Row],[2022 Cost (LCU)]])/FX_Rate, "")</f>
        <v>0</v>
      </c>
      <c r="AF87" s="63">
        <f>IFERROR(SUM(TblDetailBudget[[#This Row],[2023 Cost (LCU)]])/FX_Rate, "")</f>
        <v>0</v>
      </c>
      <c r="AG87" s="63">
        <f>IFERROR(SUM(TblDetailBudget[[#This Row],[2024 Cost (LCU)]])/FX_Rate, "")</f>
        <v>0</v>
      </c>
      <c r="AH87" s="63">
        <f>IFERROR(SUM(TblDetailBudget[[#This Row],[2025 Cost (LCU)]])/FX_Rate, "")</f>
        <v>0</v>
      </c>
      <c r="AI87" s="125">
        <f>SUM(TblDetailBudget[[#This Row],[2021 Cost (USD)]:[2025 Cost (USD)]])</f>
        <v>0</v>
      </c>
      <c r="AJ87" s="180"/>
    </row>
    <row r="88" spans="2:36" ht="12.75" hidden="1" customHeight="1">
      <c r="B88" s="122" t="s">
        <v>70</v>
      </c>
      <c r="C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v>
      </c>
      <c r="D88" s="62">
        <f>IF(TblDetailBudget[[#This Row],[Level]]="", "", COUNTIFS($B$8:TblDetailBudget[[#This Row],[Level]], Lvl1Hdr))</f>
        <v>1</v>
      </c>
      <c r="E88" s="62">
        <f>IF(TblDetailBudget[[#This Row],[Level]]="", "", COUNTIFS($B$8:TblDetailBudget[[#This Row],[Level]], Lvl2Hdr, $D$8:TblDetailBudget[[#This Row],[Lvl 1 Header]], TblDetailBudget[[#This Row],[Lvl 1 Header]]))</f>
        <v>1</v>
      </c>
      <c r="F88" s="62">
        <f>IF(TblDetailBudget[[#This Row],[Level]]="", "", COUNTIFS($B$8:TblDetailBudget[[#This Row],[Level]], Lvl3Hdr, $D$8:TblDetailBudget[[#This Row],[Lvl 1 Header]], TblDetailBudget[[#This Row],[Lvl 1 Header]], $E$8:TblDetailBudget[[#This Row],[Lvl 2 Header]], TblDetailBudget[[#This Row],[Lvl 2 Header]]))</f>
        <v>3</v>
      </c>
      <c r="G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8" s="101"/>
      <c r="J88" s="101"/>
      <c r="K88" s="88"/>
      <c r="L88" s="88"/>
      <c r="M88" s="62" t="str">
        <f>IF(TblDetailBudget[[#This Row],[Level]]=LvlBottomHdr, IFERROR(INDEX(TblUnitCost[Unit], MATCH(TblDetailBudget[[#This Row],[Row Title]], TblUnitCost[Resource], 0)), "Invalid Resource"), "")</f>
        <v/>
      </c>
      <c r="N88" s="125" t="str">
        <f>IF(TblDetailBudget[[#This Row],[Level]]=LvlBottomHdr, IFERROR(INDEX(TblUnitCost[LCU], MATCH(TblDetailBudget[[#This Row],[Row Title]], TblUnitCost[Resource], 0)), "Invalid Resource"), "")</f>
        <v/>
      </c>
      <c r="O88" s="128"/>
      <c r="P88" s="108"/>
      <c r="Q88" s="129"/>
      <c r="R88" s="108"/>
      <c r="S88" s="108"/>
      <c r="T88" s="108"/>
      <c r="U88" s="108"/>
      <c r="V88" s="108"/>
      <c r="W88" s="125" t="str">
        <f>IF(TblDetailBudget[[#This Row],[Level]]=LvlBottomHdr, IF(SUM(TblDetailBudget[[#This Row],[2021 Quant]:[2025 Quant]])&gt;0, SUM(TblDetailBudget[[#This Row],[2021 Quant]:[2025 Quant]]), ""), "")</f>
        <v/>
      </c>
      <c r="X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88" s="140">
        <f>SUM(TblDetailBudget[[#This Row],[2021 Cost (LCU)]:[2025 Cost (LCU)]])</f>
        <v>0</v>
      </c>
      <c r="AD88" s="134">
        <f>IFERROR(SUM(TblDetailBudget[[#This Row],[2021 Cost (LCU)]])/FX_Rate, "")</f>
        <v>0</v>
      </c>
      <c r="AE88" s="63">
        <f>IFERROR(SUM(TblDetailBudget[[#This Row],[2022 Cost (LCU)]])/FX_Rate, "")</f>
        <v>0</v>
      </c>
      <c r="AF88" s="63">
        <f>IFERROR(SUM(TblDetailBudget[[#This Row],[2023 Cost (LCU)]])/FX_Rate, "")</f>
        <v>0</v>
      </c>
      <c r="AG88" s="63">
        <f>IFERROR(SUM(TblDetailBudget[[#This Row],[2024 Cost (LCU)]])/FX_Rate, "")</f>
        <v>0</v>
      </c>
      <c r="AH88" s="63">
        <f>IFERROR(SUM(TblDetailBudget[[#This Row],[2025 Cost (LCU)]])/FX_Rate, "")</f>
        <v>0</v>
      </c>
      <c r="AI88" s="125">
        <f>SUM(TblDetailBudget[[#This Row],[2021 Cost (USD)]:[2025 Cost (USD)]])</f>
        <v>0</v>
      </c>
      <c r="AJ88" s="180"/>
    </row>
    <row r="89" spans="2:36" ht="12.75" hidden="1" customHeight="1">
      <c r="B89" s="122" t="s">
        <v>71</v>
      </c>
      <c r="C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1.1.3.5.1</v>
      </c>
      <c r="D89" s="62">
        <f>IF(TblDetailBudget[[#This Row],[Level]]="", "", COUNTIFS($B$8:TblDetailBudget[[#This Row],[Level]], Lvl1Hdr))</f>
        <v>1</v>
      </c>
      <c r="E89" s="62">
        <f>IF(TblDetailBudget[[#This Row],[Level]]="", "", COUNTIFS($B$8:TblDetailBudget[[#This Row],[Level]], Lvl2Hdr, $D$8:TblDetailBudget[[#This Row],[Lvl 1 Header]], TblDetailBudget[[#This Row],[Lvl 1 Header]]))</f>
        <v>1</v>
      </c>
      <c r="F89" s="62">
        <f>IF(TblDetailBudget[[#This Row],[Level]]="", "", COUNTIFS($B$8:TblDetailBudget[[#This Row],[Level]], Lvl3Hdr, $D$8:TblDetailBudget[[#This Row],[Lvl 1 Header]], TblDetailBudget[[#This Row],[Lvl 1 Header]], $E$8:TblDetailBudget[[#This Row],[Lvl 2 Header]], TblDetailBudget[[#This Row],[Lvl 2 Header]]))</f>
        <v>3</v>
      </c>
      <c r="G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89" s="101"/>
      <c r="J89" s="101"/>
      <c r="K89" s="88"/>
      <c r="L89" s="88"/>
      <c r="M89" s="62" t="str">
        <f>IF(TblDetailBudget[[#This Row],[Level]]=LvlBottomHdr, IFERROR(INDEX(TblUnitCost[Unit], MATCH(TblDetailBudget[[#This Row],[Row Title]], TblUnitCost[Resource], 0)), "Invalid Resource"), "")</f>
        <v>Invalid Resource</v>
      </c>
      <c r="N89" s="125" t="str">
        <f>IF(TblDetailBudget[[#This Row],[Level]]=LvlBottomHdr, IFERROR(INDEX(TblUnitCost[LCU], MATCH(TblDetailBudget[[#This Row],[Row Title]], TblUnitCost[Resource], 0)), "Invalid Resource"), "")</f>
        <v>Invalid Resource</v>
      </c>
      <c r="O89" s="128"/>
      <c r="P89" s="108"/>
      <c r="Q89" s="129"/>
      <c r="R89" s="108"/>
      <c r="S89" s="108"/>
      <c r="T89" s="108"/>
      <c r="U89" s="108"/>
      <c r="V89" s="108"/>
      <c r="W89" s="125" t="str">
        <f>IF(TblDetailBudget[[#This Row],[Level]]=LvlBottomHdr, IF(SUM(TblDetailBudget[[#This Row],[2021 Quant]:[2025 Quant]])&gt;0, SUM(TblDetailBudget[[#This Row],[2021 Quant]:[2025 Quant]]), ""), "")</f>
        <v/>
      </c>
      <c r="X8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9" s="140">
        <f>SUM(TblDetailBudget[[#This Row],[2021 Cost (LCU)]:[2025 Cost (LCU)]])</f>
        <v>0</v>
      </c>
      <c r="AD89" s="134">
        <f>IFERROR(SUM(TblDetailBudget[[#This Row],[2021 Cost (LCU)]])/FX_Rate, "")</f>
        <v>0</v>
      </c>
      <c r="AE89" s="63">
        <f>IFERROR(SUM(TblDetailBudget[[#This Row],[2022 Cost (LCU)]])/FX_Rate, "")</f>
        <v>0</v>
      </c>
      <c r="AF89" s="63">
        <f>IFERROR(SUM(TblDetailBudget[[#This Row],[2023 Cost (LCU)]])/FX_Rate, "")</f>
        <v>0</v>
      </c>
      <c r="AG89" s="63">
        <f>IFERROR(SUM(TblDetailBudget[[#This Row],[2024 Cost (LCU)]])/FX_Rate, "")</f>
        <v>0</v>
      </c>
      <c r="AH89" s="63">
        <f>IFERROR(SUM(TblDetailBudget[[#This Row],[2025 Cost (LCU)]])/FX_Rate, "")</f>
        <v>0</v>
      </c>
      <c r="AI89" s="125">
        <f>SUM(TblDetailBudget[[#This Row],[2021 Cost (USD)]:[2025 Cost (USD)]])</f>
        <v>0</v>
      </c>
      <c r="AJ89" s="180"/>
    </row>
    <row r="90" spans="2:36" ht="12.75" hidden="1" customHeight="1">
      <c r="B90" s="122" t="s">
        <v>71</v>
      </c>
      <c r="C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1.1.3.5.2</v>
      </c>
      <c r="D90" s="62">
        <f>IF(TblDetailBudget[[#This Row],[Level]]="", "", COUNTIFS($B$8:TblDetailBudget[[#This Row],[Level]], Lvl1Hdr))</f>
        <v>1</v>
      </c>
      <c r="E90" s="62">
        <f>IF(TblDetailBudget[[#This Row],[Level]]="", "", COUNTIFS($B$8:TblDetailBudget[[#This Row],[Level]], Lvl2Hdr, $D$8:TblDetailBudget[[#This Row],[Lvl 1 Header]], TblDetailBudget[[#This Row],[Lvl 1 Header]]))</f>
        <v>1</v>
      </c>
      <c r="F90" s="62">
        <f>IF(TblDetailBudget[[#This Row],[Level]]="", "", COUNTIFS($B$8:TblDetailBudget[[#This Row],[Level]], Lvl3Hdr, $D$8:TblDetailBudget[[#This Row],[Lvl 1 Header]], TblDetailBudget[[#This Row],[Lvl 1 Header]], $E$8:TblDetailBudget[[#This Row],[Lvl 2 Header]], TblDetailBudget[[#This Row],[Lvl 2 Header]]))</f>
        <v>3</v>
      </c>
      <c r="G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90" s="101"/>
      <c r="J90" s="101"/>
      <c r="K90" s="88"/>
      <c r="L90" s="88"/>
      <c r="M90" s="62" t="str">
        <f>IF(TblDetailBudget[[#This Row],[Level]]=LvlBottomHdr, IFERROR(INDEX(TblUnitCost[Unit], MATCH(TblDetailBudget[[#This Row],[Row Title]], TblUnitCost[Resource], 0)), "Invalid Resource"), "")</f>
        <v>Invalid Resource</v>
      </c>
      <c r="N90" s="125" t="str">
        <f>IF(TblDetailBudget[[#This Row],[Level]]=LvlBottomHdr, IFERROR(INDEX(TblUnitCost[LCU], MATCH(TblDetailBudget[[#This Row],[Row Title]], TblUnitCost[Resource], 0)), "Invalid Resource"), "")</f>
        <v>Invalid Resource</v>
      </c>
      <c r="O90" s="128"/>
      <c r="P90" s="108"/>
      <c r="Q90" s="129"/>
      <c r="R90" s="108"/>
      <c r="S90" s="108"/>
      <c r="T90" s="108"/>
      <c r="U90" s="108"/>
      <c r="V90" s="108"/>
      <c r="W90" s="125" t="str">
        <f>IF(TblDetailBudget[[#This Row],[Level]]=LvlBottomHdr, IF(SUM(TblDetailBudget[[#This Row],[2021 Quant]:[2025 Quant]])&gt;0, SUM(TblDetailBudget[[#This Row],[2021 Quant]:[2025 Quant]]), ""), "")</f>
        <v/>
      </c>
      <c r="X9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0" s="140">
        <f>SUM(TblDetailBudget[[#This Row],[2021 Cost (LCU)]:[2025 Cost (LCU)]])</f>
        <v>0</v>
      </c>
      <c r="AD90" s="134">
        <f>IFERROR(SUM(TblDetailBudget[[#This Row],[2021 Cost (LCU)]])/FX_Rate, "")</f>
        <v>0</v>
      </c>
      <c r="AE90" s="63">
        <f>IFERROR(SUM(TblDetailBudget[[#This Row],[2022 Cost (LCU)]])/FX_Rate, "")</f>
        <v>0</v>
      </c>
      <c r="AF90" s="63">
        <f>IFERROR(SUM(TblDetailBudget[[#This Row],[2023 Cost (LCU)]])/FX_Rate, "")</f>
        <v>0</v>
      </c>
      <c r="AG90" s="63">
        <f>IFERROR(SUM(TblDetailBudget[[#This Row],[2024 Cost (LCU)]])/FX_Rate, "")</f>
        <v>0</v>
      </c>
      <c r="AH90" s="63">
        <f>IFERROR(SUM(TblDetailBudget[[#This Row],[2025 Cost (LCU)]])/FX_Rate, "")</f>
        <v>0</v>
      </c>
      <c r="AI90" s="125">
        <f>SUM(TblDetailBudget[[#This Row],[2021 Cost (USD)]:[2025 Cost (USD)]])</f>
        <v>0</v>
      </c>
      <c r="AJ90" s="180"/>
    </row>
    <row r="91" spans="2:36" ht="12.75" hidden="1" customHeight="1">
      <c r="B91" s="122" t="s">
        <v>70</v>
      </c>
      <c r="C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1.1.3.6</v>
      </c>
      <c r="D91" s="62">
        <f>IF(TblDetailBudget[[#This Row],[Level]]="", "", COUNTIFS($B$8:TblDetailBudget[[#This Row],[Level]], Lvl1Hdr))</f>
        <v>1</v>
      </c>
      <c r="E91" s="62">
        <f>IF(TblDetailBudget[[#This Row],[Level]]="", "", COUNTIFS($B$8:TblDetailBudget[[#This Row],[Level]], Lvl2Hdr, $D$8:TblDetailBudget[[#This Row],[Lvl 1 Header]], TblDetailBudget[[#This Row],[Lvl 1 Header]]))</f>
        <v>1</v>
      </c>
      <c r="F91" s="62">
        <f>IF(TblDetailBudget[[#This Row],[Level]]="", "", COUNTIFS($B$8:TblDetailBudget[[#This Row],[Level]], Lvl3Hdr, $D$8:TblDetailBudget[[#This Row],[Lvl 1 Header]], TblDetailBudget[[#This Row],[Lvl 1 Header]], $E$8:TblDetailBudget[[#This Row],[Lvl 2 Header]], TblDetailBudget[[#This Row],[Lvl 2 Header]]))</f>
        <v>3</v>
      </c>
      <c r="G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6</v>
      </c>
      <c r="H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1" s="101"/>
      <c r="J91" s="101"/>
      <c r="K91" s="88"/>
      <c r="L91" s="88"/>
      <c r="M91" s="62" t="str">
        <f>IF(TblDetailBudget[[#This Row],[Level]]=LvlBottomHdr, IFERROR(INDEX(TblUnitCost[Unit], MATCH(TblDetailBudget[[#This Row],[Row Title]], TblUnitCost[Resource], 0)), "Invalid Resource"), "")</f>
        <v/>
      </c>
      <c r="N91" s="125" t="str">
        <f>IF(TblDetailBudget[[#This Row],[Level]]=LvlBottomHdr, IFERROR(INDEX(TblUnitCost[LCU], MATCH(TblDetailBudget[[#This Row],[Row Title]], TblUnitCost[Resource], 0)), "Invalid Resource"), "")</f>
        <v/>
      </c>
      <c r="O91" s="128"/>
      <c r="P91" s="108"/>
      <c r="Q91" s="129"/>
      <c r="R91" s="108"/>
      <c r="S91" s="108"/>
      <c r="T91" s="108"/>
      <c r="U91" s="108"/>
      <c r="V91" s="108"/>
      <c r="W91" s="125" t="str">
        <f>IF(TblDetailBudget[[#This Row],[Level]]=LvlBottomHdr, IF(SUM(TblDetailBudget[[#This Row],[2021 Quant]:[2025 Quant]])&gt;0, SUM(TblDetailBudget[[#This Row],[2021 Quant]:[2025 Quant]]), ""), "")</f>
        <v/>
      </c>
      <c r="X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1" s="140">
        <f>SUM(TblDetailBudget[[#This Row],[2021 Cost (LCU)]:[2025 Cost (LCU)]])</f>
        <v>0</v>
      </c>
      <c r="AD91" s="134">
        <f>IFERROR(SUM(TblDetailBudget[[#This Row],[2021 Cost (LCU)]])/FX_Rate, "")</f>
        <v>0</v>
      </c>
      <c r="AE91" s="63">
        <f>IFERROR(SUM(TblDetailBudget[[#This Row],[2022 Cost (LCU)]])/FX_Rate, "")</f>
        <v>0</v>
      </c>
      <c r="AF91" s="63">
        <f>IFERROR(SUM(TblDetailBudget[[#This Row],[2023 Cost (LCU)]])/FX_Rate, "")</f>
        <v>0</v>
      </c>
      <c r="AG91" s="63">
        <f>IFERROR(SUM(TblDetailBudget[[#This Row],[2024 Cost (LCU)]])/FX_Rate, "")</f>
        <v>0</v>
      </c>
      <c r="AH91" s="63">
        <f>IFERROR(SUM(TblDetailBudget[[#This Row],[2025 Cost (LCU)]])/FX_Rate, "")</f>
        <v>0</v>
      </c>
      <c r="AI91" s="125">
        <f>SUM(TblDetailBudget[[#This Row],[2021 Cost (USD)]:[2025 Cost (USD)]])</f>
        <v>0</v>
      </c>
      <c r="AJ91" s="180"/>
    </row>
    <row r="92" spans="2:36" ht="12.75" hidden="1" customHeight="1">
      <c r="B92" s="122" t="s">
        <v>71</v>
      </c>
      <c r="C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1.1.3.6.1</v>
      </c>
      <c r="D92" s="62">
        <f>IF(TblDetailBudget[[#This Row],[Level]]="", "", COUNTIFS($B$8:TblDetailBudget[[#This Row],[Level]], Lvl1Hdr))</f>
        <v>1</v>
      </c>
      <c r="E92" s="62">
        <f>IF(TblDetailBudget[[#This Row],[Level]]="", "", COUNTIFS($B$8:TblDetailBudget[[#This Row],[Level]], Lvl2Hdr, $D$8:TblDetailBudget[[#This Row],[Lvl 1 Header]], TblDetailBudget[[#This Row],[Lvl 1 Header]]))</f>
        <v>1</v>
      </c>
      <c r="F92" s="62">
        <f>IF(TblDetailBudget[[#This Row],[Level]]="", "", COUNTIFS($B$8:TblDetailBudget[[#This Row],[Level]], Lvl3Hdr, $D$8:TblDetailBudget[[#This Row],[Lvl 1 Header]], TblDetailBudget[[#This Row],[Lvl 1 Header]], $E$8:TblDetailBudget[[#This Row],[Lvl 2 Header]], TblDetailBudget[[#This Row],[Lvl 2 Header]]))</f>
        <v>3</v>
      </c>
      <c r="G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6</v>
      </c>
      <c r="H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2" s="101"/>
      <c r="J92" s="101"/>
      <c r="K92" s="88"/>
      <c r="L92" s="88"/>
      <c r="M92" s="62" t="str">
        <f>IF(TblDetailBudget[[#This Row],[Level]]=LvlBottomHdr, IFERROR(INDEX(TblUnitCost[Unit], MATCH(TblDetailBudget[[#This Row],[Row Title]], TblUnitCost[Resource], 0)), "Invalid Resource"), "")</f>
        <v>Invalid Resource</v>
      </c>
      <c r="N92" s="125" t="str">
        <f>IF(TblDetailBudget[[#This Row],[Level]]=LvlBottomHdr, IFERROR(INDEX(TblUnitCost[LCU], MATCH(TblDetailBudget[[#This Row],[Row Title]], TblUnitCost[Resource], 0)), "Invalid Resource"), "")</f>
        <v>Invalid Resource</v>
      </c>
      <c r="O92" s="128"/>
      <c r="P92" s="108"/>
      <c r="Q92" s="129"/>
      <c r="R92" s="108"/>
      <c r="S92" s="108"/>
      <c r="T92" s="108"/>
      <c r="U92" s="108"/>
      <c r="V92" s="108"/>
      <c r="W92" s="125" t="str">
        <f>IF(TblDetailBudget[[#This Row],[Level]]=LvlBottomHdr, IF(SUM(TblDetailBudget[[#This Row],[2021 Quant]:[2025 Quant]])&gt;0, SUM(TblDetailBudget[[#This Row],[2021 Quant]:[2025 Quant]]), ""), "")</f>
        <v/>
      </c>
      <c r="X9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2" s="140">
        <f>SUM(TblDetailBudget[[#This Row],[2021 Cost (LCU)]:[2025 Cost (LCU)]])</f>
        <v>0</v>
      </c>
      <c r="AD92" s="134">
        <f>IFERROR(SUM(TblDetailBudget[[#This Row],[2021 Cost (LCU)]])/FX_Rate, "")</f>
        <v>0</v>
      </c>
      <c r="AE92" s="63">
        <f>IFERROR(SUM(TblDetailBudget[[#This Row],[2022 Cost (LCU)]])/FX_Rate, "")</f>
        <v>0</v>
      </c>
      <c r="AF92" s="63">
        <f>IFERROR(SUM(TblDetailBudget[[#This Row],[2023 Cost (LCU)]])/FX_Rate, "")</f>
        <v>0</v>
      </c>
      <c r="AG92" s="63">
        <f>IFERROR(SUM(TblDetailBudget[[#This Row],[2024 Cost (LCU)]])/FX_Rate, "")</f>
        <v>0</v>
      </c>
      <c r="AH92" s="63">
        <f>IFERROR(SUM(TblDetailBudget[[#This Row],[2025 Cost (LCU)]])/FX_Rate, "")</f>
        <v>0</v>
      </c>
      <c r="AI92" s="125">
        <f>SUM(TblDetailBudget[[#This Row],[2021 Cost (USD)]:[2025 Cost (USD)]])</f>
        <v>0</v>
      </c>
      <c r="AJ92" s="180"/>
    </row>
    <row r="93" spans="2:36" ht="12.75" hidden="1" customHeight="1">
      <c r="B93" s="122" t="s">
        <v>69</v>
      </c>
      <c r="C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v>
      </c>
      <c r="D93" s="62">
        <f>IF(TblDetailBudget[[#This Row],[Level]]="", "", COUNTIFS($B$8:TblDetailBudget[[#This Row],[Level]], Lvl1Hdr))</f>
        <v>1</v>
      </c>
      <c r="E93" s="62">
        <f>IF(TblDetailBudget[[#This Row],[Level]]="", "", COUNTIFS($B$8:TblDetailBudget[[#This Row],[Level]], Lvl2Hdr, $D$8:TblDetailBudget[[#This Row],[Lvl 1 Header]], TblDetailBudget[[#This Row],[Lvl 1 Header]]))</f>
        <v>1</v>
      </c>
      <c r="F93" s="62">
        <f>IF(TblDetailBudget[[#This Row],[Level]]="", "", COUNTIFS($B$8:TblDetailBudget[[#This Row],[Level]], Lvl3Hdr, $D$8:TblDetailBudget[[#This Row],[Lvl 1 Header]], TblDetailBudget[[#This Row],[Lvl 1 Header]], $E$8:TblDetailBudget[[#This Row],[Lvl 2 Header]], TblDetailBudget[[#This Row],[Lvl 2 Header]]))</f>
        <v>4</v>
      </c>
      <c r="G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3" s="185"/>
      <c r="J93" s="101"/>
      <c r="K93" s="88"/>
      <c r="L93" s="88"/>
      <c r="M93" s="62" t="str">
        <f>IF(TblDetailBudget[[#This Row],[Level]]=LvlBottomHdr, IFERROR(INDEX(TblUnitCost[Unit], MATCH(TblDetailBudget[[#This Row],[Row Title]], TblUnitCost[Resource], 0)), "Invalid Resource"), "")</f>
        <v/>
      </c>
      <c r="N93" s="125" t="str">
        <f>IF(TblDetailBudget[[#This Row],[Level]]=LvlBottomHdr, IFERROR(INDEX(TblUnitCost[LCU], MATCH(TblDetailBudget[[#This Row],[Row Title]], TblUnitCost[Resource], 0)), "Invalid Resource"), "")</f>
        <v/>
      </c>
      <c r="O93" s="128"/>
      <c r="P93" s="108"/>
      <c r="Q93" s="129"/>
      <c r="R93" s="108"/>
      <c r="S93" s="108"/>
      <c r="T93" s="108"/>
      <c r="U93" s="108"/>
      <c r="V93" s="108"/>
      <c r="W93" s="125" t="str">
        <f>IF(TblDetailBudget[[#This Row],[Level]]=LvlBottomHdr, IF(SUM(TblDetailBudget[[#This Row],[2021 Quant]:[2025 Quant]])&gt;0, SUM(TblDetailBudget[[#This Row],[2021 Quant]:[2025 Quant]]), ""), "")</f>
        <v/>
      </c>
      <c r="X9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3" s="140">
        <f>SUM(TblDetailBudget[[#This Row],[2021 Cost (LCU)]:[2025 Cost (LCU)]])</f>
        <v>0</v>
      </c>
      <c r="AD93" s="134">
        <f>IFERROR(SUM(TblDetailBudget[[#This Row],[2021 Cost (LCU)]])/FX_Rate, "")</f>
        <v>0</v>
      </c>
      <c r="AE93" s="63">
        <f>IFERROR(SUM(TblDetailBudget[[#This Row],[2022 Cost (LCU)]])/FX_Rate, "")</f>
        <v>0</v>
      </c>
      <c r="AF93" s="63">
        <f>IFERROR(SUM(TblDetailBudget[[#This Row],[2023 Cost (LCU)]])/FX_Rate, "")</f>
        <v>0</v>
      </c>
      <c r="AG93" s="63">
        <f>IFERROR(SUM(TblDetailBudget[[#This Row],[2024 Cost (LCU)]])/FX_Rate, "")</f>
        <v>0</v>
      </c>
      <c r="AH93" s="63">
        <f>IFERROR(SUM(TblDetailBudget[[#This Row],[2025 Cost (LCU)]])/FX_Rate, "")</f>
        <v>0</v>
      </c>
      <c r="AI93" s="125">
        <f>SUM(TblDetailBudget[[#This Row],[2021 Cost (USD)]:[2025 Cost (USD)]])</f>
        <v>0</v>
      </c>
      <c r="AJ93" s="180"/>
    </row>
    <row r="94" spans="2:36" ht="12.75" hidden="1" customHeight="1">
      <c r="B94" s="122" t="s">
        <v>70</v>
      </c>
      <c r="C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1.1.4.1</v>
      </c>
      <c r="D94" s="62">
        <f>IF(TblDetailBudget[[#This Row],[Level]]="", "", COUNTIFS($B$8:TblDetailBudget[[#This Row],[Level]], Lvl1Hdr))</f>
        <v>1</v>
      </c>
      <c r="E94" s="62">
        <f>IF(TblDetailBudget[[#This Row],[Level]]="", "", COUNTIFS($B$8:TblDetailBudget[[#This Row],[Level]], Lvl2Hdr, $D$8:TblDetailBudget[[#This Row],[Lvl 1 Header]], TblDetailBudget[[#This Row],[Lvl 1 Header]]))</f>
        <v>1</v>
      </c>
      <c r="F94" s="62">
        <f>IF(TblDetailBudget[[#This Row],[Level]]="", "", COUNTIFS($B$8:TblDetailBudget[[#This Row],[Level]], Lvl3Hdr, $D$8:TblDetailBudget[[#This Row],[Lvl 1 Header]], TblDetailBudget[[#This Row],[Lvl 1 Header]], $E$8:TblDetailBudget[[#This Row],[Lvl 2 Header]], TblDetailBudget[[#This Row],[Lvl 2 Header]]))</f>
        <v>4</v>
      </c>
      <c r="G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4" s="101"/>
      <c r="J94" s="101"/>
      <c r="K94" s="88"/>
      <c r="L94" s="88"/>
      <c r="M94" s="62" t="str">
        <f>IF(TblDetailBudget[[#This Row],[Level]]=LvlBottomHdr, IFERROR(INDEX(TblUnitCost[Unit], MATCH(TblDetailBudget[[#This Row],[Row Title]], TblUnitCost[Resource], 0)), "Invalid Resource"), "")</f>
        <v/>
      </c>
      <c r="N94" s="125" t="str">
        <f>IF(TblDetailBudget[[#This Row],[Level]]=LvlBottomHdr, IFERROR(INDEX(TblUnitCost[LCU], MATCH(TblDetailBudget[[#This Row],[Row Title]], TblUnitCost[Resource], 0)), "Invalid Resource"), "")</f>
        <v/>
      </c>
      <c r="O94" s="128"/>
      <c r="P94" s="108"/>
      <c r="Q94" s="129"/>
      <c r="R94" s="108"/>
      <c r="S94" s="108"/>
      <c r="T94" s="108"/>
      <c r="U94" s="108"/>
      <c r="V94" s="108"/>
      <c r="W94" s="125" t="str">
        <f>IF(TblDetailBudget[[#This Row],[Level]]=LvlBottomHdr, IF(SUM(TblDetailBudget[[#This Row],[2021 Quant]:[2025 Quant]])&gt;0, SUM(TblDetailBudget[[#This Row],[2021 Quant]:[2025 Quant]]), ""), "")</f>
        <v/>
      </c>
      <c r="X9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4" s="140">
        <f>SUM(TblDetailBudget[[#This Row],[2021 Cost (LCU)]:[2025 Cost (LCU)]])</f>
        <v>0</v>
      </c>
      <c r="AD94" s="134">
        <f>IFERROR(SUM(TblDetailBudget[[#This Row],[2021 Cost (LCU)]])/FX_Rate, "")</f>
        <v>0</v>
      </c>
      <c r="AE94" s="63">
        <f>IFERROR(SUM(TblDetailBudget[[#This Row],[2022 Cost (LCU)]])/FX_Rate, "")</f>
        <v>0</v>
      </c>
      <c r="AF94" s="63">
        <f>IFERROR(SUM(TblDetailBudget[[#This Row],[2023 Cost (LCU)]])/FX_Rate, "")</f>
        <v>0</v>
      </c>
      <c r="AG94" s="63">
        <f>IFERROR(SUM(TblDetailBudget[[#This Row],[2024 Cost (LCU)]])/FX_Rate, "")</f>
        <v>0</v>
      </c>
      <c r="AH94" s="63">
        <f>IFERROR(SUM(TblDetailBudget[[#This Row],[2025 Cost (LCU)]])/FX_Rate, "")</f>
        <v>0</v>
      </c>
      <c r="AI94" s="125">
        <f>SUM(TblDetailBudget[[#This Row],[2021 Cost (USD)]:[2025 Cost (USD)]])</f>
        <v>0</v>
      </c>
      <c r="AJ94" s="180"/>
    </row>
    <row r="95" spans="2:36" ht="12.75" hidden="1" customHeight="1">
      <c r="B95" s="122" t="s">
        <v>71</v>
      </c>
      <c r="C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1.1.4.1.1</v>
      </c>
      <c r="D95" s="62">
        <f>IF(TblDetailBudget[[#This Row],[Level]]="", "", COUNTIFS($B$8:TblDetailBudget[[#This Row],[Level]], Lvl1Hdr))</f>
        <v>1</v>
      </c>
      <c r="E95" s="62">
        <f>IF(TblDetailBudget[[#This Row],[Level]]="", "", COUNTIFS($B$8:TblDetailBudget[[#This Row],[Level]], Lvl2Hdr, $D$8:TblDetailBudget[[#This Row],[Lvl 1 Header]], TblDetailBudget[[#This Row],[Lvl 1 Header]]))</f>
        <v>1</v>
      </c>
      <c r="F95" s="62">
        <f>IF(TblDetailBudget[[#This Row],[Level]]="", "", COUNTIFS($B$8:TblDetailBudget[[#This Row],[Level]], Lvl3Hdr, $D$8:TblDetailBudget[[#This Row],[Lvl 1 Header]], TblDetailBudget[[#This Row],[Lvl 1 Header]], $E$8:TblDetailBudget[[#This Row],[Lvl 2 Header]], TblDetailBudget[[#This Row],[Lvl 2 Header]]))</f>
        <v>4</v>
      </c>
      <c r="G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5" s="101"/>
      <c r="J95" s="101"/>
      <c r="K95" s="88"/>
      <c r="L95" s="88"/>
      <c r="M95" s="62" t="str">
        <f>IF(TblDetailBudget[[#This Row],[Level]]=LvlBottomHdr, IFERROR(INDEX(TblUnitCost[Unit], MATCH(TblDetailBudget[[#This Row],[Row Title]], TblUnitCost[Resource], 0)), "Invalid Resource"), "")</f>
        <v>Invalid Resource</v>
      </c>
      <c r="N95" s="125" t="str">
        <f>IF(TblDetailBudget[[#This Row],[Level]]=LvlBottomHdr, IFERROR(INDEX(TblUnitCost[LCU], MATCH(TblDetailBudget[[#This Row],[Row Title]], TblUnitCost[Resource], 0)), "Invalid Resource"), "")</f>
        <v>Invalid Resource</v>
      </c>
      <c r="O95" s="128"/>
      <c r="P95" s="108"/>
      <c r="Q95" s="129"/>
      <c r="R95" s="108"/>
      <c r="S95" s="108"/>
      <c r="T95" s="108"/>
      <c r="U95" s="108"/>
      <c r="V95" s="108"/>
      <c r="W95" s="125" t="str">
        <f>IF(TblDetailBudget[[#This Row],[Level]]=LvlBottomHdr, IF(SUM(TblDetailBudget[[#This Row],[2021 Quant]:[2025 Quant]])&gt;0, SUM(TblDetailBudget[[#This Row],[2021 Quant]:[2025 Quant]]), ""), "")</f>
        <v/>
      </c>
      <c r="X9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5" s="140">
        <f>SUM(TblDetailBudget[[#This Row],[2021 Cost (LCU)]:[2025 Cost (LCU)]])</f>
        <v>0</v>
      </c>
      <c r="AD95" s="134">
        <f>IFERROR(SUM(TblDetailBudget[[#This Row],[2021 Cost (LCU)]])/FX_Rate, "")</f>
        <v>0</v>
      </c>
      <c r="AE95" s="63">
        <f>IFERROR(SUM(TblDetailBudget[[#This Row],[2022 Cost (LCU)]])/FX_Rate, "")</f>
        <v>0</v>
      </c>
      <c r="AF95" s="63">
        <f>IFERROR(SUM(TblDetailBudget[[#This Row],[2023 Cost (LCU)]])/FX_Rate, "")</f>
        <v>0</v>
      </c>
      <c r="AG95" s="63">
        <f>IFERROR(SUM(TblDetailBudget[[#This Row],[2024 Cost (LCU)]])/FX_Rate, "")</f>
        <v>0</v>
      </c>
      <c r="AH95" s="63">
        <f>IFERROR(SUM(TblDetailBudget[[#This Row],[2025 Cost (LCU)]])/FX_Rate, "")</f>
        <v>0</v>
      </c>
      <c r="AI95" s="125">
        <f>SUM(TblDetailBudget[[#This Row],[2021 Cost (USD)]:[2025 Cost (USD)]])</f>
        <v>0</v>
      </c>
      <c r="AJ95" s="180"/>
    </row>
    <row r="96" spans="2:36" ht="12.75" customHeight="1">
      <c r="B96" s="122" t="s">
        <v>68</v>
      </c>
      <c r="C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v>
      </c>
      <c r="D96" s="62">
        <f>IF(TblDetailBudget[[#This Row],[Level]]="", "", COUNTIFS($B$8:TblDetailBudget[[#This Row],[Level]], Lvl1Hdr))</f>
        <v>1</v>
      </c>
      <c r="E96" s="62">
        <f>IF(TblDetailBudget[[#This Row],[Level]]="", "", COUNTIFS($B$8:TblDetailBudget[[#This Row],[Level]], Lvl2Hdr, $D$8:TblDetailBudget[[#This Row],[Lvl 1 Header]], TblDetailBudget[[#This Row],[Lvl 1 Header]]))</f>
        <v>2</v>
      </c>
      <c r="F96" s="62">
        <f>IF(TblDetailBudget[[#This Row],[Level]]="", "", COUNTIFS($B$8:TblDetailBudget[[#This Row],[Level]], Lvl3Hdr, $D$8:TblDetailBudget[[#This Row],[Lvl 1 Header]], TblDetailBudget[[#This Row],[Lvl 1 Header]], $E$8:TblDetailBudget[[#This Row],[Lvl 2 Header]], TblDetailBudget[[#This Row],[Lvl 2 Header]]))</f>
        <v>0</v>
      </c>
      <c r="G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6" s="185" t="s">
        <v>2291</v>
      </c>
      <c r="J96" s="101"/>
      <c r="K96" s="88"/>
      <c r="L96" s="88"/>
      <c r="M96" s="62" t="str">
        <f>IF(TblDetailBudget[[#This Row],[Level]]=LvlBottomHdr, IFERROR(INDEX(TblUnitCost[Unit], MATCH(TblDetailBudget[[#This Row],[Row Title]], TblUnitCost[Resource], 0)), "Invalid Resource"), "")</f>
        <v/>
      </c>
      <c r="N96" s="125" t="str">
        <f>IF(TblDetailBudget[[#This Row],[Level]]=LvlBottomHdr, IFERROR(INDEX(TblUnitCost[LCU], MATCH(TblDetailBudget[[#This Row],[Row Title]], TblUnitCost[Resource], 0)), "Invalid Resource"), "")</f>
        <v/>
      </c>
      <c r="O96" s="128"/>
      <c r="P96" s="108"/>
      <c r="Q96" s="129"/>
      <c r="R96" s="108"/>
      <c r="S96" s="108"/>
      <c r="T96" s="108"/>
      <c r="U96" s="108"/>
      <c r="V96" s="108"/>
      <c r="W96" s="125" t="str">
        <f>IF(TblDetailBudget[[#This Row],[Level]]=LvlBottomHdr, IF(SUM(TblDetailBudget[[#This Row],[2021 Quant]:[2025 Quant]])&gt;0, SUM(TblDetailBudget[[#This Row],[2021 Quant]:[2025 Quant]]), ""), "")</f>
        <v/>
      </c>
      <c r="X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74629165494.837845</v>
      </c>
      <c r="AC96" s="140">
        <f>SUM(TblDetailBudget[[#This Row],[2021 Cost (LCU)]:[2025 Cost (LCU)]])</f>
        <v>74629165494.837845</v>
      </c>
      <c r="AD96" s="134">
        <f>IFERROR(SUM(TblDetailBudget[[#This Row],[2021 Cost (LCU)]])/FX_Rate, "")</f>
        <v>0</v>
      </c>
      <c r="AE96" s="63">
        <f>IFERROR(SUM(TblDetailBudget[[#This Row],[2022 Cost (LCU)]])/FX_Rate, "")</f>
        <v>0</v>
      </c>
      <c r="AF96" s="63">
        <f>IFERROR(SUM(TblDetailBudget[[#This Row],[2023 Cost (LCU)]])/FX_Rate, "")</f>
        <v>0</v>
      </c>
      <c r="AG96" s="63">
        <f>IFERROR(SUM(TblDetailBudget[[#This Row],[2024 Cost (LCU)]])/FX_Rate, "")</f>
        <v>0</v>
      </c>
      <c r="AH96" s="63">
        <f>IFERROR(SUM(TblDetailBudget[[#This Row],[2025 Cost (LCU)]])/FX_Rate, "")</f>
        <v>46643228.434273653</v>
      </c>
      <c r="AI96" s="125">
        <f>SUM(TblDetailBudget[[#This Row],[2021 Cost (USD)]:[2025 Cost (USD)]])</f>
        <v>46643228.434273653</v>
      </c>
      <c r="AJ96" s="180"/>
    </row>
    <row r="97" spans="2:36" ht="12.75" customHeight="1">
      <c r="B97" s="122" t="s">
        <v>69</v>
      </c>
      <c r="C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v>
      </c>
      <c r="D97" s="62">
        <f>IF(TblDetailBudget[[#This Row],[Level]]="", "", COUNTIFS($B$8:TblDetailBudget[[#This Row],[Level]], Lvl1Hdr))</f>
        <v>1</v>
      </c>
      <c r="E97" s="62">
        <f>IF(TblDetailBudget[[#This Row],[Level]]="", "", COUNTIFS($B$8:TblDetailBudget[[#This Row],[Level]], Lvl2Hdr, $D$8:TblDetailBudget[[#This Row],[Lvl 1 Header]], TblDetailBudget[[#This Row],[Lvl 1 Header]]))</f>
        <v>2</v>
      </c>
      <c r="F97" s="62">
        <f>IF(TblDetailBudget[[#This Row],[Level]]="", "", COUNTIFS($B$8:TblDetailBudget[[#This Row],[Level]], Lvl3Hdr, $D$8:TblDetailBudget[[#This Row],[Lvl 1 Header]], TblDetailBudget[[#This Row],[Lvl 1 Header]], $E$8:TblDetailBudget[[#This Row],[Lvl 2 Header]], TblDetailBudget[[#This Row],[Lvl 2 Header]]))</f>
        <v>1</v>
      </c>
      <c r="G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7" s="185" t="s">
        <v>2292</v>
      </c>
      <c r="J97" s="101"/>
      <c r="K97" s="88"/>
      <c r="L97" s="88"/>
      <c r="M97" s="62" t="str">
        <f>IF(TblDetailBudget[[#This Row],[Level]]=LvlBottomHdr, IFERROR(INDEX(TblUnitCost[Unit], MATCH(TblDetailBudget[[#This Row],[Row Title]], TblUnitCost[Resource], 0)), "Invalid Resource"), "")</f>
        <v/>
      </c>
      <c r="N97" s="125" t="str">
        <f>IF(TblDetailBudget[[#This Row],[Level]]=LvlBottomHdr, IFERROR(INDEX(TblUnitCost[LCU], MATCH(TblDetailBudget[[#This Row],[Row Title]], TblUnitCost[Resource], 0)), "Invalid Resource"), "")</f>
        <v/>
      </c>
      <c r="O97" s="128"/>
      <c r="P97" s="108"/>
      <c r="Q97" s="129"/>
      <c r="R97" s="108"/>
      <c r="S97" s="108"/>
      <c r="T97" s="108"/>
      <c r="U97" s="108"/>
      <c r="V97" s="108"/>
      <c r="W97" s="125" t="str">
        <f>IF(TblDetailBudget[[#This Row],[Level]]=LvlBottomHdr, IF(SUM(TblDetailBudget[[#This Row],[2021 Quant]:[2025 Quant]])&gt;0, SUM(TblDetailBudget[[#This Row],[2021 Quant]:[2025 Quant]]), ""), "")</f>
        <v/>
      </c>
      <c r="X9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74629165494.837845</v>
      </c>
      <c r="AC97" s="140">
        <f>SUM(TblDetailBudget[[#This Row],[2021 Cost (LCU)]:[2025 Cost (LCU)]])</f>
        <v>74629165494.837845</v>
      </c>
      <c r="AD97" s="134">
        <f>IFERROR(SUM(TblDetailBudget[[#This Row],[2021 Cost (LCU)]])/FX_Rate, "")</f>
        <v>0</v>
      </c>
      <c r="AE97" s="63">
        <f>IFERROR(SUM(TblDetailBudget[[#This Row],[2022 Cost (LCU)]])/FX_Rate, "")</f>
        <v>0</v>
      </c>
      <c r="AF97" s="63">
        <f>IFERROR(SUM(TblDetailBudget[[#This Row],[2023 Cost (LCU)]])/FX_Rate, "")</f>
        <v>0</v>
      </c>
      <c r="AG97" s="63">
        <f>IFERROR(SUM(TblDetailBudget[[#This Row],[2024 Cost (LCU)]])/FX_Rate, "")</f>
        <v>0</v>
      </c>
      <c r="AH97" s="63">
        <f>IFERROR(SUM(TblDetailBudget[[#This Row],[2025 Cost (LCU)]])/FX_Rate, "")</f>
        <v>46643228.434273653</v>
      </c>
      <c r="AI97" s="125">
        <f>SUM(TblDetailBudget[[#This Row],[2021 Cost (USD)]:[2025 Cost (USD)]])</f>
        <v>46643228.434273653</v>
      </c>
      <c r="AJ97" s="180"/>
    </row>
    <row r="98" spans="2:36" ht="12.75" customHeight="1">
      <c r="B98" s="122" t="s">
        <v>70</v>
      </c>
      <c r="C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1.2.1.1</v>
      </c>
      <c r="D98" s="62">
        <f>IF(TblDetailBudget[[#This Row],[Level]]="", "", COUNTIFS($B$8:TblDetailBudget[[#This Row],[Level]], Lvl1Hdr))</f>
        <v>1</v>
      </c>
      <c r="E98" s="62">
        <f>IF(TblDetailBudget[[#This Row],[Level]]="", "", COUNTIFS($B$8:TblDetailBudget[[#This Row],[Level]], Lvl2Hdr, $D$8:TblDetailBudget[[#This Row],[Lvl 1 Header]], TblDetailBudget[[#This Row],[Lvl 1 Header]]))</f>
        <v>2</v>
      </c>
      <c r="F98" s="62">
        <f>IF(TblDetailBudget[[#This Row],[Level]]="", "", COUNTIFS($B$8:TblDetailBudget[[#This Row],[Level]], Lvl3Hdr, $D$8:TblDetailBudget[[#This Row],[Lvl 1 Header]], TblDetailBudget[[#This Row],[Lvl 1 Header]], $E$8:TblDetailBudget[[#This Row],[Lvl 2 Header]], TblDetailBudget[[#This Row],[Lvl 2 Header]]))</f>
        <v>1</v>
      </c>
      <c r="G9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8" s="101" t="s">
        <v>2293</v>
      </c>
      <c r="J98" s="101"/>
      <c r="K98" s="88"/>
      <c r="L98" s="88"/>
      <c r="M98" s="62" t="str">
        <f>IF(TblDetailBudget[[#This Row],[Level]]=LvlBottomHdr, IFERROR(INDEX(TblUnitCost[Unit], MATCH(TblDetailBudget[[#This Row],[Row Title]], TblUnitCost[Resource], 0)), "Invalid Resource"), "")</f>
        <v/>
      </c>
      <c r="N98" s="125" t="str">
        <f>IF(TblDetailBudget[[#This Row],[Level]]=LvlBottomHdr, IFERROR(INDEX(TblUnitCost[LCU], MATCH(TblDetailBudget[[#This Row],[Row Title]], TblUnitCost[Resource], 0)), "Invalid Resource"), "")</f>
        <v/>
      </c>
      <c r="O98" s="128"/>
      <c r="P98" s="108"/>
      <c r="Q98" s="129"/>
      <c r="R98" s="108"/>
      <c r="S98" s="108"/>
      <c r="T98" s="108"/>
      <c r="U98" s="108"/>
      <c r="V98" s="108"/>
      <c r="W98" s="125" t="str">
        <f>IF(TblDetailBudget[[#This Row],[Level]]=LvlBottomHdr, IF(SUM(TblDetailBudget[[#This Row],[2021 Quant]:[2025 Quant]])&gt;0, SUM(TblDetailBudget[[#This Row],[2021 Quant]:[2025 Quant]]), ""), "")</f>
        <v/>
      </c>
      <c r="X9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59703332395.870277</v>
      </c>
      <c r="AC98" s="140">
        <f>SUM(TblDetailBudget[[#This Row],[2021 Cost (LCU)]:[2025 Cost (LCU)]])</f>
        <v>59703332395.870277</v>
      </c>
      <c r="AD98" s="134">
        <f>IFERROR(SUM(TblDetailBudget[[#This Row],[2021 Cost (LCU)]])/FX_Rate, "")</f>
        <v>0</v>
      </c>
      <c r="AE98" s="63">
        <f>IFERROR(SUM(TblDetailBudget[[#This Row],[2022 Cost (LCU)]])/FX_Rate, "")</f>
        <v>0</v>
      </c>
      <c r="AF98" s="63">
        <f>IFERROR(SUM(TblDetailBudget[[#This Row],[2023 Cost (LCU)]])/FX_Rate, "")</f>
        <v>0</v>
      </c>
      <c r="AG98" s="63">
        <f>IFERROR(SUM(TblDetailBudget[[#This Row],[2024 Cost (LCU)]])/FX_Rate, "")</f>
        <v>0</v>
      </c>
      <c r="AH98" s="63">
        <f>IFERROR(SUM(TblDetailBudget[[#This Row],[2025 Cost (LCU)]])/FX_Rate, "")</f>
        <v>37314582.747418925</v>
      </c>
      <c r="AI98" s="125">
        <f>SUM(TblDetailBudget[[#This Row],[2021 Cost (USD)]:[2025 Cost (USD)]])</f>
        <v>37314582.747418925</v>
      </c>
      <c r="AJ98" s="180"/>
    </row>
    <row r="99" spans="2:36" ht="12.75" customHeight="1">
      <c r="B99" s="122" t="s">
        <v>71</v>
      </c>
      <c r="C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1.2.1.1.1</v>
      </c>
      <c r="D99" s="62">
        <f>IF(TblDetailBudget[[#This Row],[Level]]="", "", COUNTIFS($B$8:TblDetailBudget[[#This Row],[Level]], Lvl1Hdr))</f>
        <v>1</v>
      </c>
      <c r="E99" s="62">
        <f>IF(TblDetailBudget[[#This Row],[Level]]="", "", COUNTIFS($B$8:TblDetailBudget[[#This Row],[Level]], Lvl2Hdr, $D$8:TblDetailBudget[[#This Row],[Lvl 1 Header]], TblDetailBudget[[#This Row],[Lvl 1 Header]]))</f>
        <v>2</v>
      </c>
      <c r="F99" s="62">
        <f>IF(TblDetailBudget[[#This Row],[Level]]="", "", COUNTIFS($B$8:TblDetailBudget[[#This Row],[Level]], Lvl3Hdr, $D$8:TblDetailBudget[[#This Row],[Lvl 1 Header]], TblDetailBudget[[#This Row],[Lvl 1 Header]], $E$8:TblDetailBudget[[#This Row],[Lvl 2 Header]], TblDetailBudget[[#This Row],[Lvl 2 Header]]))</f>
        <v>1</v>
      </c>
      <c r="G9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9" s="96" t="s">
        <v>2305</v>
      </c>
      <c r="J99" s="101"/>
      <c r="K99" s="88"/>
      <c r="L99" s="88"/>
      <c r="M99" s="62" t="str">
        <f>IF(TblDetailBudget[[#This Row],[Level]]=LvlBottomHdr, IFERROR(INDEX(TblUnitCost[Unit], MATCH(TblDetailBudget[[#This Row],[Row Title]], TblUnitCost[Resource], 0)), "Invalid Resource"), "")</f>
        <v>per ITN</v>
      </c>
      <c r="N99" s="125">
        <f>IF(TblDetailBudget[[#This Row],[Level]]=LvlBottomHdr, IFERROR(INDEX(TblUnitCost[LCU], MATCH(TblDetailBudget[[#This Row],[Row Title]], TblUnitCost[Resource], 0)), "Invalid Resource"), "")</f>
        <v>5584.9688863999991</v>
      </c>
      <c r="O99" s="128">
        <f>'States and LGAs'!BP6</f>
        <v>10690002.685825936</v>
      </c>
      <c r="P99" s="108">
        <v>1</v>
      </c>
      <c r="Q99" s="129">
        <v>1</v>
      </c>
      <c r="R99" s="108"/>
      <c r="S99" s="108"/>
      <c r="T99" s="108"/>
      <c r="U99" s="108"/>
      <c r="V99" s="108">
        <v>1</v>
      </c>
      <c r="W99" s="125">
        <f>IF(TblDetailBudget[[#This Row],[Level]]=LvlBottomHdr, IF(SUM(TblDetailBudget[[#This Row],[2021 Quant]:[2025 Quant]])&gt;0, SUM(TblDetailBudget[[#This Row],[2021 Quant]:[2025 Quant]]), ""), "")</f>
        <v>1</v>
      </c>
      <c r="X9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59703332395.870277</v>
      </c>
      <c r="AC99" s="140">
        <f>SUM(TblDetailBudget[[#This Row],[2021 Cost (LCU)]:[2025 Cost (LCU)]])</f>
        <v>59703332395.870277</v>
      </c>
      <c r="AD99" s="134">
        <f>IFERROR(SUM(TblDetailBudget[[#This Row],[2021 Cost (LCU)]])/FX_Rate, "")</f>
        <v>0</v>
      </c>
      <c r="AE99" s="63">
        <f>IFERROR(SUM(TblDetailBudget[[#This Row],[2022 Cost (LCU)]])/FX_Rate, "")</f>
        <v>0</v>
      </c>
      <c r="AF99" s="63">
        <f>IFERROR(SUM(TblDetailBudget[[#This Row],[2023 Cost (LCU)]])/FX_Rate, "")</f>
        <v>0</v>
      </c>
      <c r="AG99" s="63">
        <f>IFERROR(SUM(TblDetailBudget[[#This Row],[2024 Cost (LCU)]])/FX_Rate, "")</f>
        <v>0</v>
      </c>
      <c r="AH99" s="63">
        <f>IFERROR(SUM(TblDetailBudget[[#This Row],[2025 Cost (LCU)]])/FX_Rate, "")</f>
        <v>37314582.747418925</v>
      </c>
      <c r="AI99" s="125">
        <f>SUM(TblDetailBudget[[#This Row],[2021 Cost (USD)]:[2025 Cost (USD)]])</f>
        <v>37314582.747418925</v>
      </c>
      <c r="AJ99" s="180"/>
    </row>
    <row r="100" spans="2:36" ht="12.75" customHeight="1">
      <c r="B100" s="122" t="s">
        <v>70</v>
      </c>
      <c r="C1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1.2.1.2</v>
      </c>
      <c r="D100" s="62">
        <f>IF(TblDetailBudget[[#This Row],[Level]]="", "", COUNTIFS($B$8:TblDetailBudget[[#This Row],[Level]], Lvl1Hdr))</f>
        <v>1</v>
      </c>
      <c r="E100" s="62">
        <f>IF(TblDetailBudget[[#This Row],[Level]]="", "", COUNTIFS($B$8:TblDetailBudget[[#This Row],[Level]], Lvl2Hdr, $D$8:TblDetailBudget[[#This Row],[Lvl 1 Header]], TblDetailBudget[[#This Row],[Lvl 1 Header]]))</f>
        <v>2</v>
      </c>
      <c r="F100" s="62">
        <f>IF(TblDetailBudget[[#This Row],[Level]]="", "", COUNTIFS($B$8:TblDetailBudget[[#This Row],[Level]], Lvl3Hdr, $D$8:TblDetailBudget[[#This Row],[Lvl 1 Header]], TblDetailBudget[[#This Row],[Lvl 1 Header]], $E$8:TblDetailBudget[[#This Row],[Lvl 2 Header]], TblDetailBudget[[#This Row],[Lvl 2 Header]]))</f>
        <v>1</v>
      </c>
      <c r="G10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0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0" s="101" t="s">
        <v>2294</v>
      </c>
      <c r="J100" s="101"/>
      <c r="K100" s="88"/>
      <c r="L100" s="88"/>
      <c r="M100" s="62" t="str">
        <f>IF(TblDetailBudget[[#This Row],[Level]]=LvlBottomHdr, IFERROR(INDEX(TblUnitCost[Unit], MATCH(TblDetailBudget[[#This Row],[Row Title]], TblUnitCost[Resource], 0)), "Invalid Resource"), "")</f>
        <v/>
      </c>
      <c r="N100" s="125" t="str">
        <f>IF(TblDetailBudget[[#This Row],[Level]]=LvlBottomHdr, IFERROR(INDEX(TblUnitCost[LCU], MATCH(TblDetailBudget[[#This Row],[Row Title]], TblUnitCost[Resource], 0)), "Invalid Resource"), "")</f>
        <v/>
      </c>
      <c r="O100" s="128"/>
      <c r="P100" s="108"/>
      <c r="Q100" s="129"/>
      <c r="R100" s="108"/>
      <c r="S100" s="108"/>
      <c r="T100" s="108"/>
      <c r="U100" s="108"/>
      <c r="V100" s="108"/>
      <c r="W100" s="125" t="str">
        <f>IF(TblDetailBudget[[#This Row],[Level]]=LvlBottomHdr, IF(SUM(TblDetailBudget[[#This Row],[2021 Quant]:[2025 Quant]])&gt;0, SUM(TblDetailBudget[[#This Row],[2021 Quant]:[2025 Quant]]), ""), "")</f>
        <v/>
      </c>
      <c r="X10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14925833098.967569</v>
      </c>
      <c r="AC100" s="140">
        <f>SUM(TblDetailBudget[[#This Row],[2021 Cost (LCU)]:[2025 Cost (LCU)]])</f>
        <v>14925833098.967569</v>
      </c>
      <c r="AD100" s="134">
        <f>IFERROR(SUM(TblDetailBudget[[#This Row],[2021 Cost (LCU)]])/FX_Rate, "")</f>
        <v>0</v>
      </c>
      <c r="AE100" s="63">
        <f>IFERROR(SUM(TblDetailBudget[[#This Row],[2022 Cost (LCU)]])/FX_Rate, "")</f>
        <v>0</v>
      </c>
      <c r="AF100" s="63">
        <f>IFERROR(SUM(TblDetailBudget[[#This Row],[2023 Cost (LCU)]])/FX_Rate, "")</f>
        <v>0</v>
      </c>
      <c r="AG100" s="63">
        <f>IFERROR(SUM(TblDetailBudget[[#This Row],[2024 Cost (LCU)]])/FX_Rate, "")</f>
        <v>0</v>
      </c>
      <c r="AH100" s="63">
        <f>IFERROR(SUM(TblDetailBudget[[#This Row],[2025 Cost (LCU)]])/FX_Rate, "")</f>
        <v>9328645.6868547313</v>
      </c>
      <c r="AI100" s="125">
        <f>SUM(TblDetailBudget[[#This Row],[2021 Cost (USD)]:[2025 Cost (USD)]])</f>
        <v>9328645.6868547313</v>
      </c>
      <c r="AJ100" s="180"/>
    </row>
    <row r="101" spans="2:36" ht="12.75" customHeight="1">
      <c r="B101" s="122" t="s">
        <v>71</v>
      </c>
      <c r="C1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1.2.1.2.1</v>
      </c>
      <c r="D101" s="62">
        <f>IF(TblDetailBudget[[#This Row],[Level]]="", "", COUNTIFS($B$8:TblDetailBudget[[#This Row],[Level]], Lvl1Hdr))</f>
        <v>1</v>
      </c>
      <c r="E101" s="62">
        <f>IF(TblDetailBudget[[#This Row],[Level]]="", "", COUNTIFS($B$8:TblDetailBudget[[#This Row],[Level]], Lvl2Hdr, $D$8:TblDetailBudget[[#This Row],[Lvl 1 Header]], TblDetailBudget[[#This Row],[Lvl 1 Header]]))</f>
        <v>2</v>
      </c>
      <c r="F101" s="62">
        <f>IF(TblDetailBudget[[#This Row],[Level]]="", "", COUNTIFS($B$8:TblDetailBudget[[#This Row],[Level]], Lvl3Hdr, $D$8:TblDetailBudget[[#This Row],[Lvl 1 Header]], TblDetailBudget[[#This Row],[Lvl 1 Header]], $E$8:TblDetailBudget[[#This Row],[Lvl 2 Header]], TblDetailBudget[[#This Row],[Lvl 2 Header]]))</f>
        <v>1</v>
      </c>
      <c r="G10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0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1" s="101" t="s">
        <v>2282</v>
      </c>
      <c r="J101" s="101"/>
      <c r="K101" s="88"/>
      <c r="L101" s="88"/>
      <c r="M101" s="62" t="str">
        <f>IF(TblDetailBudget[[#This Row],[Level]]=LvlBottomHdr, IFERROR(INDEX(TblUnitCost[Unit], MATCH(TblDetailBudget[[#This Row],[Row Title]], TblUnitCost[Resource], 0)), "Invalid Resource"), "")</f>
        <v>per ITN</v>
      </c>
      <c r="N101" s="125">
        <f>IF(TblDetailBudget[[#This Row],[Level]]=LvlBottomHdr, IFERROR(INDEX(TblUnitCost[LCU], MATCH(TblDetailBudget[[#This Row],[Row Title]], TblUnitCost[Resource], 0)), "Invalid Resource"), "")</f>
        <v>1396.2422215999998</v>
      </c>
      <c r="O101" s="128">
        <f>'States and LGAs'!BP6</f>
        <v>10690002.685825936</v>
      </c>
      <c r="P101" s="108">
        <v>1</v>
      </c>
      <c r="Q101" s="129">
        <v>1</v>
      </c>
      <c r="R101" s="108"/>
      <c r="S101" s="108"/>
      <c r="T101" s="108"/>
      <c r="U101" s="108"/>
      <c r="V101" s="108">
        <v>1</v>
      </c>
      <c r="W101" s="125">
        <f>IF(TblDetailBudget[[#This Row],[Level]]=LvlBottomHdr, IF(SUM(TblDetailBudget[[#This Row],[2021 Quant]:[2025 Quant]])&gt;0, SUM(TblDetailBudget[[#This Row],[2021 Quant]:[2025 Quant]]), ""), "")</f>
        <v>1</v>
      </c>
      <c r="X10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14925833098.967569</v>
      </c>
      <c r="AC101" s="140">
        <f>SUM(TblDetailBudget[[#This Row],[2021 Cost (LCU)]:[2025 Cost (LCU)]])</f>
        <v>14925833098.967569</v>
      </c>
      <c r="AD101" s="134">
        <f>IFERROR(SUM(TblDetailBudget[[#This Row],[2021 Cost (LCU)]])/FX_Rate, "")</f>
        <v>0</v>
      </c>
      <c r="AE101" s="63">
        <f>IFERROR(SUM(TblDetailBudget[[#This Row],[2022 Cost (LCU)]])/FX_Rate, "")</f>
        <v>0</v>
      </c>
      <c r="AF101" s="63">
        <f>IFERROR(SUM(TblDetailBudget[[#This Row],[2023 Cost (LCU)]])/FX_Rate, "")</f>
        <v>0</v>
      </c>
      <c r="AG101" s="63">
        <f>IFERROR(SUM(TblDetailBudget[[#This Row],[2024 Cost (LCU)]])/FX_Rate, "")</f>
        <v>0</v>
      </c>
      <c r="AH101" s="63">
        <f>IFERROR(SUM(TblDetailBudget[[#This Row],[2025 Cost (LCU)]])/FX_Rate, "")</f>
        <v>9328645.6868547313</v>
      </c>
      <c r="AI101" s="125">
        <f>SUM(TblDetailBudget[[#This Row],[2021 Cost (USD)]:[2025 Cost (USD)]])</f>
        <v>9328645.6868547313</v>
      </c>
      <c r="AJ101" s="180"/>
    </row>
    <row r="102" spans="2:36" ht="12.75" hidden="1" customHeight="1">
      <c r="B102" s="122" t="s">
        <v>70</v>
      </c>
      <c r="C1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1.2.1.3</v>
      </c>
      <c r="D102" s="62">
        <f>IF(TblDetailBudget[[#This Row],[Level]]="", "", COUNTIFS($B$8:TblDetailBudget[[#This Row],[Level]], Lvl1Hdr))</f>
        <v>1</v>
      </c>
      <c r="E102" s="62">
        <f>IF(TblDetailBudget[[#This Row],[Level]]="", "", COUNTIFS($B$8:TblDetailBudget[[#This Row],[Level]], Lvl2Hdr, $D$8:TblDetailBudget[[#This Row],[Lvl 1 Header]], TblDetailBudget[[#This Row],[Lvl 1 Header]]))</f>
        <v>2</v>
      </c>
      <c r="F102" s="62">
        <f>IF(TblDetailBudget[[#This Row],[Level]]="", "", COUNTIFS($B$8:TblDetailBudget[[#This Row],[Level]], Lvl3Hdr, $D$8:TblDetailBudget[[#This Row],[Lvl 1 Header]], TblDetailBudget[[#This Row],[Lvl 1 Header]], $E$8:TblDetailBudget[[#This Row],[Lvl 2 Header]], TblDetailBudget[[#This Row],[Lvl 2 Header]]))</f>
        <v>1</v>
      </c>
      <c r="G10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0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2" s="101"/>
      <c r="J102" s="101"/>
      <c r="K102" s="88"/>
      <c r="L102" s="88"/>
      <c r="M102" s="62" t="str">
        <f>IF(TblDetailBudget[[#This Row],[Level]]=LvlBottomHdr, IFERROR(INDEX(TblUnitCost[Unit], MATCH(TblDetailBudget[[#This Row],[Row Title]], TblUnitCost[Resource], 0)), "Invalid Resource"), "")</f>
        <v/>
      </c>
      <c r="N102" s="125" t="str">
        <f>IF(TblDetailBudget[[#This Row],[Level]]=LvlBottomHdr, IFERROR(INDEX(TblUnitCost[LCU], MATCH(TblDetailBudget[[#This Row],[Row Title]], TblUnitCost[Resource], 0)), "Invalid Resource"), "")</f>
        <v/>
      </c>
      <c r="O102" s="128"/>
      <c r="P102" s="108"/>
      <c r="Q102" s="129"/>
      <c r="R102" s="108"/>
      <c r="S102" s="108"/>
      <c r="T102" s="108"/>
      <c r="U102" s="108"/>
      <c r="V102" s="108"/>
      <c r="W102" s="125" t="str">
        <f>IF(TblDetailBudget[[#This Row],[Level]]=LvlBottomHdr, IF(SUM(TblDetailBudget[[#This Row],[2021 Quant]:[2025 Quant]])&gt;0, SUM(TblDetailBudget[[#This Row],[2021 Quant]:[2025 Quant]]), ""), "")</f>
        <v/>
      </c>
      <c r="X10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2" s="140">
        <f>SUM(TblDetailBudget[[#This Row],[2021 Cost (LCU)]:[2025 Cost (LCU)]])</f>
        <v>0</v>
      </c>
      <c r="AD102" s="134">
        <f>IFERROR(SUM(TblDetailBudget[[#This Row],[2021 Cost (LCU)]])/FX_Rate, "")</f>
        <v>0</v>
      </c>
      <c r="AE102" s="63">
        <f>IFERROR(SUM(TblDetailBudget[[#This Row],[2022 Cost (LCU)]])/FX_Rate, "")</f>
        <v>0</v>
      </c>
      <c r="AF102" s="63">
        <f>IFERROR(SUM(TblDetailBudget[[#This Row],[2023 Cost (LCU)]])/FX_Rate, "")</f>
        <v>0</v>
      </c>
      <c r="AG102" s="63">
        <f>IFERROR(SUM(TblDetailBudget[[#This Row],[2024 Cost (LCU)]])/FX_Rate, "")</f>
        <v>0</v>
      </c>
      <c r="AH102" s="63">
        <f>IFERROR(SUM(TblDetailBudget[[#This Row],[2025 Cost (LCU)]])/FX_Rate, "")</f>
        <v>0</v>
      </c>
      <c r="AI102" s="125">
        <f>SUM(TblDetailBudget[[#This Row],[2021 Cost (USD)]:[2025 Cost (USD)]])</f>
        <v>0</v>
      </c>
      <c r="AJ102" s="180"/>
    </row>
    <row r="103" spans="2:36" ht="12.75" hidden="1" customHeight="1">
      <c r="B103" s="122" t="s">
        <v>70</v>
      </c>
      <c r="C1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1.2.1.4</v>
      </c>
      <c r="D103" s="62">
        <f>IF(TblDetailBudget[[#This Row],[Level]]="", "", COUNTIFS($B$8:TblDetailBudget[[#This Row],[Level]], Lvl1Hdr))</f>
        <v>1</v>
      </c>
      <c r="E103" s="62">
        <f>IF(TblDetailBudget[[#This Row],[Level]]="", "", COUNTIFS($B$8:TblDetailBudget[[#This Row],[Level]], Lvl2Hdr, $D$8:TblDetailBudget[[#This Row],[Lvl 1 Header]], TblDetailBudget[[#This Row],[Lvl 1 Header]]))</f>
        <v>2</v>
      </c>
      <c r="F103" s="62">
        <f>IF(TblDetailBudget[[#This Row],[Level]]="", "", COUNTIFS($B$8:TblDetailBudget[[#This Row],[Level]], Lvl3Hdr, $D$8:TblDetailBudget[[#This Row],[Lvl 1 Header]], TblDetailBudget[[#This Row],[Lvl 1 Header]], $E$8:TblDetailBudget[[#This Row],[Lvl 2 Header]], TblDetailBudget[[#This Row],[Lvl 2 Header]]))</f>
        <v>1</v>
      </c>
      <c r="G10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0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3" s="101"/>
      <c r="J103" s="101"/>
      <c r="K103" s="88"/>
      <c r="L103" s="88"/>
      <c r="M103" s="62" t="str">
        <f>IF(TblDetailBudget[[#This Row],[Level]]=LvlBottomHdr, IFERROR(INDEX(TblUnitCost[Unit], MATCH(TblDetailBudget[[#This Row],[Row Title]], TblUnitCost[Resource], 0)), "Invalid Resource"), "")</f>
        <v/>
      </c>
      <c r="N103" s="125" t="str">
        <f>IF(TblDetailBudget[[#This Row],[Level]]=LvlBottomHdr, IFERROR(INDEX(TblUnitCost[LCU], MATCH(TblDetailBudget[[#This Row],[Row Title]], TblUnitCost[Resource], 0)), "Invalid Resource"), "")</f>
        <v/>
      </c>
      <c r="O103" s="128"/>
      <c r="P103" s="108"/>
      <c r="Q103" s="129"/>
      <c r="R103" s="108"/>
      <c r="S103" s="108"/>
      <c r="T103" s="108"/>
      <c r="U103" s="108"/>
      <c r="V103" s="108"/>
      <c r="W103" s="125" t="str">
        <f>IF(TblDetailBudget[[#This Row],[Level]]=LvlBottomHdr, IF(SUM(TblDetailBudget[[#This Row],[2021 Quant]:[2025 Quant]])&gt;0, SUM(TblDetailBudget[[#This Row],[2021 Quant]:[2025 Quant]]), ""), "")</f>
        <v/>
      </c>
      <c r="X10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3" s="140">
        <f>SUM(TblDetailBudget[[#This Row],[2021 Cost (LCU)]:[2025 Cost (LCU)]])</f>
        <v>0</v>
      </c>
      <c r="AD103" s="134">
        <f>IFERROR(SUM(TblDetailBudget[[#This Row],[2021 Cost (LCU)]])/FX_Rate, "")</f>
        <v>0</v>
      </c>
      <c r="AE103" s="63">
        <f>IFERROR(SUM(TblDetailBudget[[#This Row],[2022 Cost (LCU)]])/FX_Rate, "")</f>
        <v>0</v>
      </c>
      <c r="AF103" s="63">
        <f>IFERROR(SUM(TblDetailBudget[[#This Row],[2023 Cost (LCU)]])/FX_Rate, "")</f>
        <v>0</v>
      </c>
      <c r="AG103" s="63">
        <f>IFERROR(SUM(TblDetailBudget[[#This Row],[2024 Cost (LCU)]])/FX_Rate, "")</f>
        <v>0</v>
      </c>
      <c r="AH103" s="63">
        <f>IFERROR(SUM(TblDetailBudget[[#This Row],[2025 Cost (LCU)]])/FX_Rate, "")</f>
        <v>0</v>
      </c>
      <c r="AI103" s="125">
        <f>SUM(TblDetailBudget[[#This Row],[2021 Cost (USD)]:[2025 Cost (USD)]])</f>
        <v>0</v>
      </c>
      <c r="AJ103" s="180"/>
    </row>
    <row r="104" spans="2:36" ht="12.75" hidden="1" customHeight="1">
      <c r="B104" s="122" t="s">
        <v>71</v>
      </c>
      <c r="C1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1.2.1.4.1</v>
      </c>
      <c r="D104" s="62">
        <f>IF(TblDetailBudget[[#This Row],[Level]]="", "", COUNTIFS($B$8:TblDetailBudget[[#This Row],[Level]], Lvl1Hdr))</f>
        <v>1</v>
      </c>
      <c r="E104" s="62">
        <f>IF(TblDetailBudget[[#This Row],[Level]]="", "", COUNTIFS($B$8:TblDetailBudget[[#This Row],[Level]], Lvl2Hdr, $D$8:TblDetailBudget[[#This Row],[Lvl 1 Header]], TblDetailBudget[[#This Row],[Lvl 1 Header]]))</f>
        <v>2</v>
      </c>
      <c r="F104" s="62">
        <f>IF(TblDetailBudget[[#This Row],[Level]]="", "", COUNTIFS($B$8:TblDetailBudget[[#This Row],[Level]], Lvl3Hdr, $D$8:TblDetailBudget[[#This Row],[Lvl 1 Header]], TblDetailBudget[[#This Row],[Lvl 1 Header]], $E$8:TblDetailBudget[[#This Row],[Lvl 2 Header]], TblDetailBudget[[#This Row],[Lvl 2 Header]]))</f>
        <v>1</v>
      </c>
      <c r="G10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0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4" s="101"/>
      <c r="J104" s="101"/>
      <c r="K104" s="88"/>
      <c r="L104" s="88"/>
      <c r="M104" s="62" t="str">
        <f>IF(TblDetailBudget[[#This Row],[Level]]=LvlBottomHdr, IFERROR(INDEX(TblUnitCost[Unit], MATCH(TblDetailBudget[[#This Row],[Row Title]], TblUnitCost[Resource], 0)), "Invalid Resource"), "")</f>
        <v>Invalid Resource</v>
      </c>
      <c r="N104" s="125" t="str">
        <f>IF(TblDetailBudget[[#This Row],[Level]]=LvlBottomHdr, IFERROR(INDEX(TblUnitCost[LCU], MATCH(TblDetailBudget[[#This Row],[Row Title]], TblUnitCost[Resource], 0)), "Invalid Resource"), "")</f>
        <v>Invalid Resource</v>
      </c>
      <c r="O104" s="128"/>
      <c r="P104" s="108"/>
      <c r="Q104" s="129"/>
      <c r="R104" s="108"/>
      <c r="S104" s="108"/>
      <c r="T104" s="108"/>
      <c r="U104" s="108"/>
      <c r="V104" s="108"/>
      <c r="W104" s="125" t="str">
        <f>IF(TblDetailBudget[[#This Row],[Level]]=LvlBottomHdr, IF(SUM(TblDetailBudget[[#This Row],[2021 Quant]:[2025 Quant]])&gt;0, SUM(TblDetailBudget[[#This Row],[2021 Quant]:[2025 Quant]]), ""), "")</f>
        <v/>
      </c>
      <c r="X10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4" s="140">
        <f>SUM(TblDetailBudget[[#This Row],[2021 Cost (LCU)]:[2025 Cost (LCU)]])</f>
        <v>0</v>
      </c>
      <c r="AD104" s="134">
        <f>IFERROR(SUM(TblDetailBudget[[#This Row],[2021 Cost (LCU)]])/FX_Rate, "")</f>
        <v>0</v>
      </c>
      <c r="AE104" s="63">
        <f>IFERROR(SUM(TblDetailBudget[[#This Row],[2022 Cost (LCU)]])/FX_Rate, "")</f>
        <v>0</v>
      </c>
      <c r="AF104" s="63">
        <f>IFERROR(SUM(TblDetailBudget[[#This Row],[2023 Cost (LCU)]])/FX_Rate, "")</f>
        <v>0</v>
      </c>
      <c r="AG104" s="63">
        <f>IFERROR(SUM(TblDetailBudget[[#This Row],[2024 Cost (LCU)]])/FX_Rate, "")</f>
        <v>0</v>
      </c>
      <c r="AH104" s="63">
        <f>IFERROR(SUM(TblDetailBudget[[#This Row],[2025 Cost (LCU)]])/FX_Rate, "")</f>
        <v>0</v>
      </c>
      <c r="AI104" s="125">
        <f>SUM(TblDetailBudget[[#This Row],[2021 Cost (USD)]:[2025 Cost (USD)]])</f>
        <v>0</v>
      </c>
      <c r="AJ104" s="180"/>
    </row>
    <row r="105" spans="2:36" ht="12.75" hidden="1" customHeight="1">
      <c r="B105" s="122" t="s">
        <v>70</v>
      </c>
      <c r="C1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1.2.1.5</v>
      </c>
      <c r="D105" s="62">
        <f>IF(TblDetailBudget[[#This Row],[Level]]="", "", COUNTIFS($B$8:TblDetailBudget[[#This Row],[Level]], Lvl1Hdr))</f>
        <v>1</v>
      </c>
      <c r="E105" s="62">
        <f>IF(TblDetailBudget[[#This Row],[Level]]="", "", COUNTIFS($B$8:TblDetailBudget[[#This Row],[Level]], Lvl2Hdr, $D$8:TblDetailBudget[[#This Row],[Lvl 1 Header]], TblDetailBudget[[#This Row],[Lvl 1 Header]]))</f>
        <v>2</v>
      </c>
      <c r="F105" s="62">
        <f>IF(TblDetailBudget[[#This Row],[Level]]="", "", COUNTIFS($B$8:TblDetailBudget[[#This Row],[Level]], Lvl3Hdr, $D$8:TblDetailBudget[[#This Row],[Lvl 1 Header]], TblDetailBudget[[#This Row],[Lvl 1 Header]], $E$8:TblDetailBudget[[#This Row],[Lvl 2 Header]], TblDetailBudget[[#This Row],[Lvl 2 Header]]))</f>
        <v>1</v>
      </c>
      <c r="G10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0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5" s="101"/>
      <c r="J105" s="101"/>
      <c r="K105" s="88"/>
      <c r="L105" s="88"/>
      <c r="M105" s="62" t="str">
        <f>IF(TblDetailBudget[[#This Row],[Level]]=LvlBottomHdr, IFERROR(INDEX(TblUnitCost[Unit], MATCH(TblDetailBudget[[#This Row],[Row Title]], TblUnitCost[Resource], 0)), "Invalid Resource"), "")</f>
        <v/>
      </c>
      <c r="N105" s="125" t="str">
        <f>IF(TblDetailBudget[[#This Row],[Level]]=LvlBottomHdr, IFERROR(INDEX(TblUnitCost[LCU], MATCH(TblDetailBudget[[#This Row],[Row Title]], TblUnitCost[Resource], 0)), "Invalid Resource"), "")</f>
        <v/>
      </c>
      <c r="O105" s="128"/>
      <c r="P105" s="108"/>
      <c r="Q105" s="129"/>
      <c r="R105" s="108"/>
      <c r="S105" s="108"/>
      <c r="T105" s="108"/>
      <c r="U105" s="108"/>
      <c r="V105" s="108"/>
      <c r="W105" s="125" t="str">
        <f>IF(TblDetailBudget[[#This Row],[Level]]=LvlBottomHdr, IF(SUM(TblDetailBudget[[#This Row],[2021 Quant]:[2025 Quant]])&gt;0, SUM(TblDetailBudget[[#This Row],[2021 Quant]:[2025 Quant]]), ""), "")</f>
        <v/>
      </c>
      <c r="X10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5" s="140">
        <f>SUM(TblDetailBudget[[#This Row],[2021 Cost (LCU)]:[2025 Cost (LCU)]])</f>
        <v>0</v>
      </c>
      <c r="AD105" s="134">
        <f>IFERROR(SUM(TblDetailBudget[[#This Row],[2021 Cost (LCU)]])/FX_Rate, "")</f>
        <v>0</v>
      </c>
      <c r="AE105" s="63">
        <f>IFERROR(SUM(TblDetailBudget[[#This Row],[2022 Cost (LCU)]])/FX_Rate, "")</f>
        <v>0</v>
      </c>
      <c r="AF105" s="63">
        <f>IFERROR(SUM(TblDetailBudget[[#This Row],[2023 Cost (LCU)]])/FX_Rate, "")</f>
        <v>0</v>
      </c>
      <c r="AG105" s="63">
        <f>IFERROR(SUM(TblDetailBudget[[#This Row],[2024 Cost (LCU)]])/FX_Rate, "")</f>
        <v>0</v>
      </c>
      <c r="AH105" s="63">
        <f>IFERROR(SUM(TblDetailBudget[[#This Row],[2025 Cost (LCU)]])/FX_Rate, "")</f>
        <v>0</v>
      </c>
      <c r="AI105" s="125">
        <f>SUM(TblDetailBudget[[#This Row],[2021 Cost (USD)]:[2025 Cost (USD)]])</f>
        <v>0</v>
      </c>
      <c r="AJ105" s="180"/>
    </row>
    <row r="106" spans="2:36" ht="12.75" hidden="1" customHeight="1">
      <c r="B106" s="122" t="s">
        <v>71</v>
      </c>
      <c r="C1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1.2.1.5.1</v>
      </c>
      <c r="D106" s="62">
        <f>IF(TblDetailBudget[[#This Row],[Level]]="", "", COUNTIFS($B$8:TblDetailBudget[[#This Row],[Level]], Lvl1Hdr))</f>
        <v>1</v>
      </c>
      <c r="E106" s="62">
        <f>IF(TblDetailBudget[[#This Row],[Level]]="", "", COUNTIFS($B$8:TblDetailBudget[[#This Row],[Level]], Lvl2Hdr, $D$8:TblDetailBudget[[#This Row],[Lvl 1 Header]], TblDetailBudget[[#This Row],[Lvl 1 Header]]))</f>
        <v>2</v>
      </c>
      <c r="F106" s="62">
        <f>IF(TblDetailBudget[[#This Row],[Level]]="", "", COUNTIFS($B$8:TblDetailBudget[[#This Row],[Level]], Lvl3Hdr, $D$8:TblDetailBudget[[#This Row],[Lvl 1 Header]], TblDetailBudget[[#This Row],[Lvl 1 Header]], $E$8:TblDetailBudget[[#This Row],[Lvl 2 Header]], TblDetailBudget[[#This Row],[Lvl 2 Header]]))</f>
        <v>1</v>
      </c>
      <c r="G10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0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6" s="101"/>
      <c r="J106" s="101"/>
      <c r="K106" s="88"/>
      <c r="L106" s="88"/>
      <c r="M106" s="62" t="str">
        <f>IF(TblDetailBudget[[#This Row],[Level]]=LvlBottomHdr, IFERROR(INDEX(TblUnitCost[Unit], MATCH(TblDetailBudget[[#This Row],[Row Title]], TblUnitCost[Resource], 0)), "Invalid Resource"), "")</f>
        <v>Invalid Resource</v>
      </c>
      <c r="N106" s="125" t="str">
        <f>IF(TblDetailBudget[[#This Row],[Level]]=LvlBottomHdr, IFERROR(INDEX(TblUnitCost[LCU], MATCH(TblDetailBudget[[#This Row],[Row Title]], TblUnitCost[Resource], 0)), "Invalid Resource"), "")</f>
        <v>Invalid Resource</v>
      </c>
      <c r="O106" s="128"/>
      <c r="P106" s="108"/>
      <c r="Q106" s="129"/>
      <c r="R106" s="108"/>
      <c r="S106" s="108"/>
      <c r="T106" s="108"/>
      <c r="U106" s="108"/>
      <c r="V106" s="108"/>
      <c r="W106" s="125" t="str">
        <f>IF(TblDetailBudget[[#This Row],[Level]]=LvlBottomHdr, IF(SUM(TblDetailBudget[[#This Row],[2021 Quant]:[2025 Quant]])&gt;0, SUM(TblDetailBudget[[#This Row],[2021 Quant]:[2025 Quant]]), ""), "")</f>
        <v/>
      </c>
      <c r="X10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6" s="140">
        <f>SUM(TblDetailBudget[[#This Row],[2021 Cost (LCU)]:[2025 Cost (LCU)]])</f>
        <v>0</v>
      </c>
      <c r="AD106" s="134">
        <f>IFERROR(SUM(TblDetailBudget[[#This Row],[2021 Cost (LCU)]])/FX_Rate, "")</f>
        <v>0</v>
      </c>
      <c r="AE106" s="63">
        <f>IFERROR(SUM(TblDetailBudget[[#This Row],[2022 Cost (LCU)]])/FX_Rate, "")</f>
        <v>0</v>
      </c>
      <c r="AF106" s="63">
        <f>IFERROR(SUM(TblDetailBudget[[#This Row],[2023 Cost (LCU)]])/FX_Rate, "")</f>
        <v>0</v>
      </c>
      <c r="AG106" s="63">
        <f>IFERROR(SUM(TblDetailBudget[[#This Row],[2024 Cost (LCU)]])/FX_Rate, "")</f>
        <v>0</v>
      </c>
      <c r="AH106" s="63">
        <f>IFERROR(SUM(TblDetailBudget[[#This Row],[2025 Cost (LCU)]])/FX_Rate, "")</f>
        <v>0</v>
      </c>
      <c r="AI106" s="125">
        <f>SUM(TblDetailBudget[[#This Row],[2021 Cost (USD)]:[2025 Cost (USD)]])</f>
        <v>0</v>
      </c>
      <c r="AJ106" s="180"/>
    </row>
    <row r="107" spans="2:36" ht="12.75" hidden="1" customHeight="1">
      <c r="B107" s="122" t="s">
        <v>69</v>
      </c>
      <c r="C1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v>
      </c>
      <c r="D107" s="62">
        <f>IF(TblDetailBudget[[#This Row],[Level]]="", "", COUNTIFS($B$8:TblDetailBudget[[#This Row],[Level]], Lvl1Hdr))</f>
        <v>1</v>
      </c>
      <c r="E107" s="62">
        <f>IF(TblDetailBudget[[#This Row],[Level]]="", "", COUNTIFS($B$8:TblDetailBudget[[#This Row],[Level]], Lvl2Hdr, $D$8:TblDetailBudget[[#This Row],[Lvl 1 Header]], TblDetailBudget[[#This Row],[Lvl 1 Header]]))</f>
        <v>2</v>
      </c>
      <c r="F107" s="62">
        <f>IF(TblDetailBudget[[#This Row],[Level]]="", "", COUNTIFS($B$8:TblDetailBudget[[#This Row],[Level]], Lvl3Hdr, $D$8:TblDetailBudget[[#This Row],[Lvl 1 Header]], TblDetailBudget[[#This Row],[Lvl 1 Header]], $E$8:TblDetailBudget[[#This Row],[Lvl 2 Header]], TblDetailBudget[[#This Row],[Lvl 2 Header]]))</f>
        <v>2</v>
      </c>
      <c r="G10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0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7" s="185"/>
      <c r="J107" s="101"/>
      <c r="K107" s="88"/>
      <c r="L107" s="88"/>
      <c r="M107" s="62" t="str">
        <f>IF(TblDetailBudget[[#This Row],[Level]]=LvlBottomHdr, IFERROR(INDEX(TblUnitCost[Unit], MATCH(TblDetailBudget[[#This Row],[Row Title]], TblUnitCost[Resource], 0)), "Invalid Resource"), "")</f>
        <v/>
      </c>
      <c r="N107" s="125" t="str">
        <f>IF(TblDetailBudget[[#This Row],[Level]]=LvlBottomHdr, IFERROR(INDEX(TblUnitCost[LCU], MATCH(TblDetailBudget[[#This Row],[Row Title]], TblUnitCost[Resource], 0)), "Invalid Resource"), "")</f>
        <v/>
      </c>
      <c r="O107" s="128"/>
      <c r="P107" s="108"/>
      <c r="Q107" s="129"/>
      <c r="R107" s="108"/>
      <c r="S107" s="108"/>
      <c r="T107" s="108"/>
      <c r="U107" s="108"/>
      <c r="V107" s="108"/>
      <c r="W107" s="125" t="str">
        <f>IF(TblDetailBudget[[#This Row],[Level]]=LvlBottomHdr, IF(SUM(TblDetailBudget[[#This Row],[2021 Quant]:[2025 Quant]])&gt;0, SUM(TblDetailBudget[[#This Row],[2021 Quant]:[2025 Quant]]), ""), "")</f>
        <v/>
      </c>
      <c r="X10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7" s="140">
        <f>SUM(TblDetailBudget[[#This Row],[2021 Cost (LCU)]:[2025 Cost (LCU)]])</f>
        <v>0</v>
      </c>
      <c r="AD107" s="134">
        <f>IFERROR(SUM(TblDetailBudget[[#This Row],[2021 Cost (LCU)]])/FX_Rate, "")</f>
        <v>0</v>
      </c>
      <c r="AE107" s="63">
        <f>IFERROR(SUM(TblDetailBudget[[#This Row],[2022 Cost (LCU)]])/FX_Rate, "")</f>
        <v>0</v>
      </c>
      <c r="AF107" s="63">
        <f>IFERROR(SUM(TblDetailBudget[[#This Row],[2023 Cost (LCU)]])/FX_Rate, "")</f>
        <v>0</v>
      </c>
      <c r="AG107" s="63">
        <f>IFERROR(SUM(TblDetailBudget[[#This Row],[2024 Cost (LCU)]])/FX_Rate, "")</f>
        <v>0</v>
      </c>
      <c r="AH107" s="63">
        <f>IFERROR(SUM(TblDetailBudget[[#This Row],[2025 Cost (LCU)]])/FX_Rate, "")</f>
        <v>0</v>
      </c>
      <c r="AI107" s="125">
        <f>SUM(TblDetailBudget[[#This Row],[2021 Cost (USD)]:[2025 Cost (USD)]])</f>
        <v>0</v>
      </c>
      <c r="AJ107" s="180"/>
    </row>
    <row r="108" spans="2:36" ht="12.75" hidden="1" customHeight="1">
      <c r="B108" s="122" t="s">
        <v>70</v>
      </c>
      <c r="C1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1.2.2.1</v>
      </c>
      <c r="D108" s="62">
        <f>IF(TblDetailBudget[[#This Row],[Level]]="", "", COUNTIFS($B$8:TblDetailBudget[[#This Row],[Level]], Lvl1Hdr))</f>
        <v>1</v>
      </c>
      <c r="E108" s="62">
        <f>IF(TblDetailBudget[[#This Row],[Level]]="", "", COUNTIFS($B$8:TblDetailBudget[[#This Row],[Level]], Lvl2Hdr, $D$8:TblDetailBudget[[#This Row],[Lvl 1 Header]], TblDetailBudget[[#This Row],[Lvl 1 Header]]))</f>
        <v>2</v>
      </c>
      <c r="F108" s="62">
        <f>IF(TblDetailBudget[[#This Row],[Level]]="", "", COUNTIFS($B$8:TblDetailBudget[[#This Row],[Level]], Lvl3Hdr, $D$8:TblDetailBudget[[#This Row],[Lvl 1 Header]], TblDetailBudget[[#This Row],[Lvl 1 Header]], $E$8:TblDetailBudget[[#This Row],[Lvl 2 Header]], TblDetailBudget[[#This Row],[Lvl 2 Header]]))</f>
        <v>2</v>
      </c>
      <c r="G10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0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8" s="186"/>
      <c r="J108" s="101"/>
      <c r="K108" s="88"/>
      <c r="L108" s="88"/>
      <c r="M108" s="62" t="str">
        <f>IF(TblDetailBudget[[#This Row],[Level]]=LvlBottomHdr, IFERROR(INDEX(TblUnitCost[Unit], MATCH(TblDetailBudget[[#This Row],[Row Title]], TblUnitCost[Resource], 0)), "Invalid Resource"), "")</f>
        <v/>
      </c>
      <c r="N108" s="125" t="str">
        <f>IF(TblDetailBudget[[#This Row],[Level]]=LvlBottomHdr, IFERROR(INDEX(TblUnitCost[LCU], MATCH(TblDetailBudget[[#This Row],[Row Title]], TblUnitCost[Resource], 0)), "Invalid Resource"), "")</f>
        <v/>
      </c>
      <c r="O108" s="128"/>
      <c r="P108" s="108"/>
      <c r="Q108" s="129"/>
      <c r="R108" s="108"/>
      <c r="S108" s="108"/>
      <c r="T108" s="108"/>
      <c r="U108" s="108"/>
      <c r="V108" s="108"/>
      <c r="W108" s="125" t="str">
        <f>IF(TblDetailBudget[[#This Row],[Level]]=LvlBottomHdr, IF(SUM(TblDetailBudget[[#This Row],[2021 Quant]:[2025 Quant]])&gt;0, SUM(TblDetailBudget[[#This Row],[2021 Quant]:[2025 Quant]]), ""), "")</f>
        <v/>
      </c>
      <c r="X10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8" s="140">
        <f>SUM(TblDetailBudget[[#This Row],[2021 Cost (LCU)]:[2025 Cost (LCU)]])</f>
        <v>0</v>
      </c>
      <c r="AD108" s="134">
        <f>IFERROR(SUM(TblDetailBudget[[#This Row],[2021 Cost (LCU)]])/FX_Rate, "")</f>
        <v>0</v>
      </c>
      <c r="AE108" s="63">
        <f>IFERROR(SUM(TblDetailBudget[[#This Row],[2022 Cost (LCU)]])/FX_Rate, "")</f>
        <v>0</v>
      </c>
      <c r="AF108" s="63">
        <f>IFERROR(SUM(TblDetailBudget[[#This Row],[2023 Cost (LCU)]])/FX_Rate, "")</f>
        <v>0</v>
      </c>
      <c r="AG108" s="63">
        <f>IFERROR(SUM(TblDetailBudget[[#This Row],[2024 Cost (LCU)]])/FX_Rate, "")</f>
        <v>0</v>
      </c>
      <c r="AH108" s="63">
        <f>IFERROR(SUM(TblDetailBudget[[#This Row],[2025 Cost (LCU)]])/FX_Rate, "")</f>
        <v>0</v>
      </c>
      <c r="AI108" s="125">
        <f>SUM(TblDetailBudget[[#This Row],[2021 Cost (USD)]:[2025 Cost (USD)]])</f>
        <v>0</v>
      </c>
      <c r="AJ108" s="180"/>
    </row>
    <row r="109" spans="2:36" ht="12.75" hidden="1" customHeight="1">
      <c r="B109" s="122" t="s">
        <v>71</v>
      </c>
      <c r="C1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1.2.2.1.1</v>
      </c>
      <c r="D109" s="62">
        <f>IF(TblDetailBudget[[#This Row],[Level]]="", "", COUNTIFS($B$8:TblDetailBudget[[#This Row],[Level]], Lvl1Hdr))</f>
        <v>1</v>
      </c>
      <c r="E109" s="62">
        <f>IF(TblDetailBudget[[#This Row],[Level]]="", "", COUNTIFS($B$8:TblDetailBudget[[#This Row],[Level]], Lvl2Hdr, $D$8:TblDetailBudget[[#This Row],[Lvl 1 Header]], TblDetailBudget[[#This Row],[Lvl 1 Header]]))</f>
        <v>2</v>
      </c>
      <c r="F109" s="62">
        <f>IF(TblDetailBudget[[#This Row],[Level]]="", "", COUNTIFS($B$8:TblDetailBudget[[#This Row],[Level]], Lvl3Hdr, $D$8:TblDetailBudget[[#This Row],[Lvl 1 Header]], TblDetailBudget[[#This Row],[Lvl 1 Header]], $E$8:TblDetailBudget[[#This Row],[Lvl 2 Header]], TblDetailBudget[[#This Row],[Lvl 2 Header]]))</f>
        <v>2</v>
      </c>
      <c r="G10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0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9" s="101"/>
      <c r="J109" s="101"/>
      <c r="K109" s="88"/>
      <c r="L109" s="88"/>
      <c r="M109" s="62" t="str">
        <f>IF(TblDetailBudget[[#This Row],[Level]]=LvlBottomHdr, IFERROR(INDEX(TblUnitCost[Unit], MATCH(TblDetailBudget[[#This Row],[Row Title]], TblUnitCost[Resource], 0)), "Invalid Resource"), "")</f>
        <v>Invalid Resource</v>
      </c>
      <c r="N109" s="125" t="str">
        <f>IF(TblDetailBudget[[#This Row],[Level]]=LvlBottomHdr, IFERROR(INDEX(TblUnitCost[LCU], MATCH(TblDetailBudget[[#This Row],[Row Title]], TblUnitCost[Resource], 0)), "Invalid Resource"), "")</f>
        <v>Invalid Resource</v>
      </c>
      <c r="O109" s="128"/>
      <c r="P109" s="108"/>
      <c r="Q109" s="129"/>
      <c r="R109" s="108"/>
      <c r="S109" s="108"/>
      <c r="T109" s="108"/>
      <c r="U109" s="108"/>
      <c r="V109" s="108"/>
      <c r="W109" s="125" t="str">
        <f>IF(TblDetailBudget[[#This Row],[Level]]=LvlBottomHdr, IF(SUM(TblDetailBudget[[#This Row],[2021 Quant]:[2025 Quant]])&gt;0, SUM(TblDetailBudget[[#This Row],[2021 Quant]:[2025 Quant]]), ""), "")</f>
        <v/>
      </c>
      <c r="X10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9" s="140">
        <f>SUM(TblDetailBudget[[#This Row],[2021 Cost (LCU)]:[2025 Cost (LCU)]])</f>
        <v>0</v>
      </c>
      <c r="AD109" s="134">
        <f>IFERROR(SUM(TblDetailBudget[[#This Row],[2021 Cost (LCU)]])/FX_Rate, "")</f>
        <v>0</v>
      </c>
      <c r="AE109" s="63">
        <f>IFERROR(SUM(TblDetailBudget[[#This Row],[2022 Cost (LCU)]])/FX_Rate, "")</f>
        <v>0</v>
      </c>
      <c r="AF109" s="63">
        <f>IFERROR(SUM(TblDetailBudget[[#This Row],[2023 Cost (LCU)]])/FX_Rate, "")</f>
        <v>0</v>
      </c>
      <c r="AG109" s="63">
        <f>IFERROR(SUM(TblDetailBudget[[#This Row],[2024 Cost (LCU)]])/FX_Rate, "")</f>
        <v>0</v>
      </c>
      <c r="AH109" s="63">
        <f>IFERROR(SUM(TblDetailBudget[[#This Row],[2025 Cost (LCU)]])/FX_Rate, "")</f>
        <v>0</v>
      </c>
      <c r="AI109" s="125">
        <f>SUM(TblDetailBudget[[#This Row],[2021 Cost (USD)]:[2025 Cost (USD)]])</f>
        <v>0</v>
      </c>
      <c r="AJ109" s="180"/>
    </row>
    <row r="110" spans="2:36" ht="12.75" hidden="1" customHeight="1">
      <c r="B110" s="122" t="s">
        <v>70</v>
      </c>
      <c r="C1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1.2.2.2</v>
      </c>
      <c r="D110" s="62">
        <f>IF(TblDetailBudget[[#This Row],[Level]]="", "", COUNTIFS($B$8:TblDetailBudget[[#This Row],[Level]], Lvl1Hdr))</f>
        <v>1</v>
      </c>
      <c r="E110" s="62">
        <f>IF(TblDetailBudget[[#This Row],[Level]]="", "", COUNTIFS($B$8:TblDetailBudget[[#This Row],[Level]], Lvl2Hdr, $D$8:TblDetailBudget[[#This Row],[Lvl 1 Header]], TblDetailBudget[[#This Row],[Lvl 1 Header]]))</f>
        <v>2</v>
      </c>
      <c r="F110" s="62">
        <f>IF(TblDetailBudget[[#This Row],[Level]]="", "", COUNTIFS($B$8:TblDetailBudget[[#This Row],[Level]], Lvl3Hdr, $D$8:TblDetailBudget[[#This Row],[Lvl 1 Header]], TblDetailBudget[[#This Row],[Lvl 1 Header]], $E$8:TblDetailBudget[[#This Row],[Lvl 2 Header]], TblDetailBudget[[#This Row],[Lvl 2 Header]]))</f>
        <v>2</v>
      </c>
      <c r="G1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0" s="186"/>
      <c r="J110" s="101"/>
      <c r="K110" s="88"/>
      <c r="L110" s="88"/>
      <c r="M110" s="62" t="str">
        <f>IF(TblDetailBudget[[#This Row],[Level]]=LvlBottomHdr, IFERROR(INDEX(TblUnitCost[Unit], MATCH(TblDetailBudget[[#This Row],[Row Title]], TblUnitCost[Resource], 0)), "Invalid Resource"), "")</f>
        <v/>
      </c>
      <c r="N110" s="125" t="str">
        <f>IF(TblDetailBudget[[#This Row],[Level]]=LvlBottomHdr, IFERROR(INDEX(TblUnitCost[LCU], MATCH(TblDetailBudget[[#This Row],[Row Title]], TblUnitCost[Resource], 0)), "Invalid Resource"), "")</f>
        <v/>
      </c>
      <c r="O110" s="128"/>
      <c r="P110" s="108"/>
      <c r="Q110" s="129"/>
      <c r="R110" s="108"/>
      <c r="S110" s="108"/>
      <c r="T110" s="108"/>
      <c r="U110" s="108"/>
      <c r="V110" s="108"/>
      <c r="W110" s="125" t="str">
        <f>IF(TblDetailBudget[[#This Row],[Level]]=LvlBottomHdr, IF(SUM(TblDetailBudget[[#This Row],[2021 Quant]:[2025 Quant]])&gt;0, SUM(TblDetailBudget[[#This Row],[2021 Quant]:[2025 Quant]]), ""), "")</f>
        <v/>
      </c>
      <c r="X1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0" s="140">
        <f>SUM(TblDetailBudget[[#This Row],[2021 Cost (LCU)]:[2025 Cost (LCU)]])</f>
        <v>0</v>
      </c>
      <c r="AD110" s="134">
        <f>IFERROR(SUM(TblDetailBudget[[#This Row],[2021 Cost (LCU)]])/FX_Rate, "")</f>
        <v>0</v>
      </c>
      <c r="AE110" s="63">
        <f>IFERROR(SUM(TblDetailBudget[[#This Row],[2022 Cost (LCU)]])/FX_Rate, "")</f>
        <v>0</v>
      </c>
      <c r="AF110" s="63">
        <f>IFERROR(SUM(TblDetailBudget[[#This Row],[2023 Cost (LCU)]])/FX_Rate, "")</f>
        <v>0</v>
      </c>
      <c r="AG110" s="63">
        <f>IFERROR(SUM(TblDetailBudget[[#This Row],[2024 Cost (LCU)]])/FX_Rate, "")</f>
        <v>0</v>
      </c>
      <c r="AH110" s="63">
        <f>IFERROR(SUM(TblDetailBudget[[#This Row],[2025 Cost (LCU)]])/FX_Rate, "")</f>
        <v>0</v>
      </c>
      <c r="AI110" s="125">
        <f>SUM(TblDetailBudget[[#This Row],[2021 Cost (USD)]:[2025 Cost (USD)]])</f>
        <v>0</v>
      </c>
      <c r="AJ110" s="180"/>
    </row>
    <row r="111" spans="2:36" ht="12.75" hidden="1" customHeight="1">
      <c r="B111" s="122" t="s">
        <v>71</v>
      </c>
      <c r="C1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1.2.2.2.1</v>
      </c>
      <c r="D111" s="62">
        <f>IF(TblDetailBudget[[#This Row],[Level]]="", "", COUNTIFS($B$8:TblDetailBudget[[#This Row],[Level]], Lvl1Hdr))</f>
        <v>1</v>
      </c>
      <c r="E111" s="62">
        <f>IF(TblDetailBudget[[#This Row],[Level]]="", "", COUNTIFS($B$8:TblDetailBudget[[#This Row],[Level]], Lvl2Hdr, $D$8:TblDetailBudget[[#This Row],[Lvl 1 Header]], TblDetailBudget[[#This Row],[Lvl 1 Header]]))</f>
        <v>2</v>
      </c>
      <c r="F111" s="62">
        <f>IF(TblDetailBudget[[#This Row],[Level]]="", "", COUNTIFS($B$8:TblDetailBudget[[#This Row],[Level]], Lvl3Hdr, $D$8:TblDetailBudget[[#This Row],[Lvl 1 Header]], TblDetailBudget[[#This Row],[Lvl 1 Header]], $E$8:TblDetailBudget[[#This Row],[Lvl 2 Header]], TblDetailBudget[[#This Row],[Lvl 2 Header]]))</f>
        <v>2</v>
      </c>
      <c r="G1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11" s="101"/>
      <c r="J111" s="101"/>
      <c r="K111" s="88"/>
      <c r="L111" s="88"/>
      <c r="M111" s="62" t="str">
        <f>IF(TblDetailBudget[[#This Row],[Level]]=LvlBottomHdr, IFERROR(INDEX(TblUnitCost[Unit], MATCH(TblDetailBudget[[#This Row],[Row Title]], TblUnitCost[Resource], 0)), "Invalid Resource"), "")</f>
        <v>Invalid Resource</v>
      </c>
      <c r="N111" s="125" t="str">
        <f>IF(TblDetailBudget[[#This Row],[Level]]=LvlBottomHdr, IFERROR(INDEX(TblUnitCost[LCU], MATCH(TblDetailBudget[[#This Row],[Row Title]], TblUnitCost[Resource], 0)), "Invalid Resource"), "")</f>
        <v>Invalid Resource</v>
      </c>
      <c r="O111" s="128"/>
      <c r="P111" s="108"/>
      <c r="Q111" s="129"/>
      <c r="R111" s="108"/>
      <c r="S111" s="108"/>
      <c r="T111" s="108"/>
      <c r="U111" s="108"/>
      <c r="V111" s="108"/>
      <c r="W111" s="125" t="str">
        <f>IF(TblDetailBudget[[#This Row],[Level]]=LvlBottomHdr, IF(SUM(TblDetailBudget[[#This Row],[2021 Quant]:[2025 Quant]])&gt;0, SUM(TblDetailBudget[[#This Row],[2021 Quant]:[2025 Quant]]), ""), "")</f>
        <v/>
      </c>
      <c r="X11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1" s="140">
        <f>SUM(TblDetailBudget[[#This Row],[2021 Cost (LCU)]:[2025 Cost (LCU)]])</f>
        <v>0</v>
      </c>
      <c r="AD111" s="134">
        <f>IFERROR(SUM(TblDetailBudget[[#This Row],[2021 Cost (LCU)]])/FX_Rate, "")</f>
        <v>0</v>
      </c>
      <c r="AE111" s="63">
        <f>IFERROR(SUM(TblDetailBudget[[#This Row],[2022 Cost (LCU)]])/FX_Rate, "")</f>
        <v>0</v>
      </c>
      <c r="AF111" s="63">
        <f>IFERROR(SUM(TblDetailBudget[[#This Row],[2023 Cost (LCU)]])/FX_Rate, "")</f>
        <v>0</v>
      </c>
      <c r="AG111" s="63">
        <f>IFERROR(SUM(TblDetailBudget[[#This Row],[2024 Cost (LCU)]])/FX_Rate, "")</f>
        <v>0</v>
      </c>
      <c r="AH111" s="63">
        <f>IFERROR(SUM(TblDetailBudget[[#This Row],[2025 Cost (LCU)]])/FX_Rate, "")</f>
        <v>0</v>
      </c>
      <c r="AI111" s="125">
        <f>SUM(TblDetailBudget[[#This Row],[2021 Cost (USD)]:[2025 Cost (USD)]])</f>
        <v>0</v>
      </c>
      <c r="AJ111" s="180"/>
    </row>
    <row r="112" spans="2:36" ht="12.75" hidden="1" customHeight="1">
      <c r="B112" s="122" t="s">
        <v>70</v>
      </c>
      <c r="C1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1.2.2.3</v>
      </c>
      <c r="D112" s="62">
        <f>IF(TblDetailBudget[[#This Row],[Level]]="", "", COUNTIFS($B$8:TblDetailBudget[[#This Row],[Level]], Lvl1Hdr))</f>
        <v>1</v>
      </c>
      <c r="E112" s="62">
        <f>IF(TblDetailBudget[[#This Row],[Level]]="", "", COUNTIFS($B$8:TblDetailBudget[[#This Row],[Level]], Lvl2Hdr, $D$8:TblDetailBudget[[#This Row],[Lvl 1 Header]], TblDetailBudget[[#This Row],[Lvl 1 Header]]))</f>
        <v>2</v>
      </c>
      <c r="F112" s="62">
        <f>IF(TblDetailBudget[[#This Row],[Level]]="", "", COUNTIFS($B$8:TblDetailBudget[[#This Row],[Level]], Lvl3Hdr, $D$8:TblDetailBudget[[#This Row],[Lvl 1 Header]], TblDetailBudget[[#This Row],[Lvl 1 Header]], $E$8:TblDetailBudget[[#This Row],[Lvl 2 Header]], TblDetailBudget[[#This Row],[Lvl 2 Header]]))</f>
        <v>2</v>
      </c>
      <c r="G1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2" s="164"/>
      <c r="J112" s="101"/>
      <c r="K112" s="88"/>
      <c r="L112" s="88"/>
      <c r="M112" s="62" t="str">
        <f>IF(TblDetailBudget[[#This Row],[Level]]=LvlBottomHdr, IFERROR(INDEX(TblUnitCost[Unit], MATCH(TblDetailBudget[[#This Row],[Row Title]], TblUnitCost[Resource], 0)), "Invalid Resource"), "")</f>
        <v/>
      </c>
      <c r="N112" s="125" t="str">
        <f>IF(TblDetailBudget[[#This Row],[Level]]=LvlBottomHdr, IFERROR(INDEX(TblUnitCost[LCU], MATCH(TblDetailBudget[[#This Row],[Row Title]], TblUnitCost[Resource], 0)), "Invalid Resource"), "")</f>
        <v/>
      </c>
      <c r="O112" s="128"/>
      <c r="P112" s="108"/>
      <c r="Q112" s="129"/>
      <c r="R112" s="108"/>
      <c r="S112" s="108"/>
      <c r="T112" s="108"/>
      <c r="U112" s="108"/>
      <c r="V112" s="108"/>
      <c r="W112" s="125" t="str">
        <f>IF(TblDetailBudget[[#This Row],[Level]]=LvlBottomHdr, IF(SUM(TblDetailBudget[[#This Row],[2021 Quant]:[2025 Quant]])&gt;0, SUM(TblDetailBudget[[#This Row],[2021 Quant]:[2025 Quant]]), ""), "")</f>
        <v/>
      </c>
      <c r="X1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2" s="140">
        <f>SUM(TblDetailBudget[[#This Row],[2021 Cost (LCU)]:[2025 Cost (LCU)]])</f>
        <v>0</v>
      </c>
      <c r="AD112" s="134">
        <f>IFERROR(SUM(TblDetailBudget[[#This Row],[2021 Cost (LCU)]])/FX_Rate, "")</f>
        <v>0</v>
      </c>
      <c r="AE112" s="63">
        <f>IFERROR(SUM(TblDetailBudget[[#This Row],[2022 Cost (LCU)]])/FX_Rate, "")</f>
        <v>0</v>
      </c>
      <c r="AF112" s="63">
        <f>IFERROR(SUM(TblDetailBudget[[#This Row],[2023 Cost (LCU)]])/FX_Rate, "")</f>
        <v>0</v>
      </c>
      <c r="AG112" s="63">
        <f>IFERROR(SUM(TblDetailBudget[[#This Row],[2024 Cost (LCU)]])/FX_Rate, "")</f>
        <v>0</v>
      </c>
      <c r="AH112" s="63">
        <f>IFERROR(SUM(TblDetailBudget[[#This Row],[2025 Cost (LCU)]])/FX_Rate, "")</f>
        <v>0</v>
      </c>
      <c r="AI112" s="125">
        <f>SUM(TblDetailBudget[[#This Row],[2021 Cost (USD)]:[2025 Cost (USD)]])</f>
        <v>0</v>
      </c>
      <c r="AJ112" s="180"/>
    </row>
    <row r="113" spans="2:36" ht="12.75" hidden="1" customHeight="1">
      <c r="B113" s="122" t="s">
        <v>70</v>
      </c>
      <c r="C1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1.2.2.4</v>
      </c>
      <c r="D113" s="62">
        <f>IF(TblDetailBudget[[#This Row],[Level]]="", "", COUNTIFS($B$8:TblDetailBudget[[#This Row],[Level]], Lvl1Hdr))</f>
        <v>1</v>
      </c>
      <c r="E113" s="62">
        <f>IF(TblDetailBudget[[#This Row],[Level]]="", "", COUNTIFS($B$8:TblDetailBudget[[#This Row],[Level]], Lvl2Hdr, $D$8:TblDetailBudget[[#This Row],[Lvl 1 Header]], TblDetailBudget[[#This Row],[Lvl 1 Header]]))</f>
        <v>2</v>
      </c>
      <c r="F113" s="62">
        <f>IF(TblDetailBudget[[#This Row],[Level]]="", "", COUNTIFS($B$8:TblDetailBudget[[#This Row],[Level]], Lvl3Hdr, $D$8:TblDetailBudget[[#This Row],[Lvl 1 Header]], TblDetailBudget[[#This Row],[Lvl 1 Header]], $E$8:TblDetailBudget[[#This Row],[Lvl 2 Header]], TblDetailBudget[[#This Row],[Lvl 2 Header]]))</f>
        <v>2</v>
      </c>
      <c r="G1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3" s="101"/>
      <c r="J113" s="101"/>
      <c r="K113" s="88"/>
      <c r="L113" s="88"/>
      <c r="M113" s="62" t="str">
        <f>IF(TblDetailBudget[[#This Row],[Level]]=LvlBottomHdr, IFERROR(INDEX(TblUnitCost[Unit], MATCH(TblDetailBudget[[#This Row],[Row Title]], TblUnitCost[Resource], 0)), "Invalid Resource"), "")</f>
        <v/>
      </c>
      <c r="N113" s="125" t="str">
        <f>IF(TblDetailBudget[[#This Row],[Level]]=LvlBottomHdr, IFERROR(INDEX(TblUnitCost[LCU], MATCH(TblDetailBudget[[#This Row],[Row Title]], TblUnitCost[Resource], 0)), "Invalid Resource"), "")</f>
        <v/>
      </c>
      <c r="O113" s="128"/>
      <c r="P113" s="108"/>
      <c r="Q113" s="129"/>
      <c r="R113" s="108"/>
      <c r="S113" s="108"/>
      <c r="T113" s="108"/>
      <c r="U113" s="108"/>
      <c r="V113" s="108"/>
      <c r="W113" s="125" t="str">
        <f>IF(TblDetailBudget[[#This Row],[Level]]=LvlBottomHdr, IF(SUM(TblDetailBudget[[#This Row],[2021 Quant]:[2025 Quant]])&gt;0, SUM(TblDetailBudget[[#This Row],[2021 Quant]:[2025 Quant]]), ""), "")</f>
        <v/>
      </c>
      <c r="X1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3" s="140">
        <f>SUM(TblDetailBudget[[#This Row],[2021 Cost (LCU)]:[2025 Cost (LCU)]])</f>
        <v>0</v>
      </c>
      <c r="AD113" s="134">
        <f>IFERROR(SUM(TblDetailBudget[[#This Row],[2021 Cost (LCU)]])/FX_Rate, "")</f>
        <v>0</v>
      </c>
      <c r="AE113" s="63">
        <f>IFERROR(SUM(TblDetailBudget[[#This Row],[2022 Cost (LCU)]])/FX_Rate, "")</f>
        <v>0</v>
      </c>
      <c r="AF113" s="63">
        <f>IFERROR(SUM(TblDetailBudget[[#This Row],[2023 Cost (LCU)]])/FX_Rate, "")</f>
        <v>0</v>
      </c>
      <c r="AG113" s="63">
        <f>IFERROR(SUM(TblDetailBudget[[#This Row],[2024 Cost (LCU)]])/FX_Rate, "")</f>
        <v>0</v>
      </c>
      <c r="AH113" s="63">
        <f>IFERROR(SUM(TblDetailBudget[[#This Row],[2025 Cost (LCU)]])/FX_Rate, "")</f>
        <v>0</v>
      </c>
      <c r="AI113" s="125">
        <f>SUM(TblDetailBudget[[#This Row],[2021 Cost (USD)]:[2025 Cost (USD)]])</f>
        <v>0</v>
      </c>
      <c r="AJ113" s="180"/>
    </row>
    <row r="114" spans="2:36" ht="12.75" hidden="1" customHeight="1">
      <c r="B114" s="122" t="s">
        <v>70</v>
      </c>
      <c r="C1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1.2.2.5</v>
      </c>
      <c r="D114" s="62">
        <f>IF(TblDetailBudget[[#This Row],[Level]]="", "", COUNTIFS($B$8:TblDetailBudget[[#This Row],[Level]], Lvl1Hdr))</f>
        <v>1</v>
      </c>
      <c r="E114" s="62">
        <f>IF(TblDetailBudget[[#This Row],[Level]]="", "", COUNTIFS($B$8:TblDetailBudget[[#This Row],[Level]], Lvl2Hdr, $D$8:TblDetailBudget[[#This Row],[Lvl 1 Header]], TblDetailBudget[[#This Row],[Lvl 1 Header]]))</f>
        <v>2</v>
      </c>
      <c r="F114" s="62">
        <f>IF(TblDetailBudget[[#This Row],[Level]]="", "", COUNTIFS($B$8:TblDetailBudget[[#This Row],[Level]], Lvl3Hdr, $D$8:TblDetailBudget[[#This Row],[Lvl 1 Header]], TblDetailBudget[[#This Row],[Lvl 1 Header]], $E$8:TblDetailBudget[[#This Row],[Lvl 2 Header]], TblDetailBudget[[#This Row],[Lvl 2 Header]]))</f>
        <v>2</v>
      </c>
      <c r="G1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4" s="101"/>
      <c r="J114" s="101"/>
      <c r="K114" s="88"/>
      <c r="L114" s="88"/>
      <c r="M114" s="62" t="str">
        <f>IF(TblDetailBudget[[#This Row],[Level]]=LvlBottomHdr, IFERROR(INDEX(TblUnitCost[Unit], MATCH(TblDetailBudget[[#This Row],[Row Title]], TblUnitCost[Resource], 0)), "Invalid Resource"), "")</f>
        <v/>
      </c>
      <c r="N114" s="125" t="str">
        <f>IF(TblDetailBudget[[#This Row],[Level]]=LvlBottomHdr, IFERROR(INDEX(TblUnitCost[LCU], MATCH(TblDetailBudget[[#This Row],[Row Title]], TblUnitCost[Resource], 0)), "Invalid Resource"), "")</f>
        <v/>
      </c>
      <c r="O114" s="128"/>
      <c r="P114" s="108"/>
      <c r="Q114" s="129"/>
      <c r="R114" s="108"/>
      <c r="S114" s="108"/>
      <c r="T114" s="108"/>
      <c r="U114" s="108"/>
      <c r="V114" s="108"/>
      <c r="W114" s="125" t="str">
        <f>IF(TblDetailBudget[[#This Row],[Level]]=LvlBottomHdr, IF(SUM(TblDetailBudget[[#This Row],[2021 Quant]:[2025 Quant]])&gt;0, SUM(TblDetailBudget[[#This Row],[2021 Quant]:[2025 Quant]]), ""), "")</f>
        <v/>
      </c>
      <c r="X11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4" s="140">
        <f>SUM(TblDetailBudget[[#This Row],[2021 Cost (LCU)]:[2025 Cost (LCU)]])</f>
        <v>0</v>
      </c>
      <c r="AD114" s="134">
        <f>IFERROR(SUM(TblDetailBudget[[#This Row],[2021 Cost (LCU)]])/FX_Rate, "")</f>
        <v>0</v>
      </c>
      <c r="AE114" s="63">
        <f>IFERROR(SUM(TblDetailBudget[[#This Row],[2022 Cost (LCU)]])/FX_Rate, "")</f>
        <v>0</v>
      </c>
      <c r="AF114" s="63">
        <f>IFERROR(SUM(TblDetailBudget[[#This Row],[2023 Cost (LCU)]])/FX_Rate, "")</f>
        <v>0</v>
      </c>
      <c r="AG114" s="63">
        <f>IFERROR(SUM(TblDetailBudget[[#This Row],[2024 Cost (LCU)]])/FX_Rate, "")</f>
        <v>0</v>
      </c>
      <c r="AH114" s="63">
        <f>IFERROR(SUM(TblDetailBudget[[#This Row],[2025 Cost (LCU)]])/FX_Rate, "")</f>
        <v>0</v>
      </c>
      <c r="AI114" s="125">
        <f>SUM(TblDetailBudget[[#This Row],[2021 Cost (USD)]:[2025 Cost (USD)]])</f>
        <v>0</v>
      </c>
      <c r="AJ114" s="180"/>
    </row>
    <row r="115" spans="2:36" ht="12.75" hidden="1" customHeight="1">
      <c r="B115" s="122" t="s">
        <v>69</v>
      </c>
      <c r="C1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v>
      </c>
      <c r="D115" s="62">
        <f>IF(TblDetailBudget[[#This Row],[Level]]="", "", COUNTIFS($B$8:TblDetailBudget[[#This Row],[Level]], Lvl1Hdr))</f>
        <v>1</v>
      </c>
      <c r="E115" s="62">
        <f>IF(TblDetailBudget[[#This Row],[Level]]="", "", COUNTIFS($B$8:TblDetailBudget[[#This Row],[Level]], Lvl2Hdr, $D$8:TblDetailBudget[[#This Row],[Lvl 1 Header]], TblDetailBudget[[#This Row],[Lvl 1 Header]]))</f>
        <v>2</v>
      </c>
      <c r="F115" s="62">
        <f>IF(TblDetailBudget[[#This Row],[Level]]="", "", COUNTIFS($B$8:TblDetailBudget[[#This Row],[Level]], Lvl3Hdr, $D$8:TblDetailBudget[[#This Row],[Lvl 1 Header]], TblDetailBudget[[#This Row],[Lvl 1 Header]], $E$8:TblDetailBudget[[#This Row],[Lvl 2 Header]], TblDetailBudget[[#This Row],[Lvl 2 Header]]))</f>
        <v>3</v>
      </c>
      <c r="G1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5" s="101"/>
      <c r="J115" s="101"/>
      <c r="K115" s="88"/>
      <c r="L115" s="88"/>
      <c r="M115" s="62" t="str">
        <f>IF(TblDetailBudget[[#This Row],[Level]]=LvlBottomHdr, IFERROR(INDEX(TblUnitCost[Unit], MATCH(TblDetailBudget[[#This Row],[Row Title]], TblUnitCost[Resource], 0)), "Invalid Resource"), "")</f>
        <v/>
      </c>
      <c r="N115" s="125" t="str">
        <f>IF(TblDetailBudget[[#This Row],[Level]]=LvlBottomHdr, IFERROR(INDEX(TblUnitCost[LCU], MATCH(TblDetailBudget[[#This Row],[Row Title]], TblUnitCost[Resource], 0)), "Invalid Resource"), "")</f>
        <v/>
      </c>
      <c r="O115" s="128"/>
      <c r="P115" s="108"/>
      <c r="Q115" s="129"/>
      <c r="R115" s="108"/>
      <c r="S115" s="108"/>
      <c r="T115" s="108"/>
      <c r="U115" s="108"/>
      <c r="V115" s="108"/>
      <c r="W115" s="125" t="str">
        <f>IF(TblDetailBudget[[#This Row],[Level]]=LvlBottomHdr, IF(SUM(TblDetailBudget[[#This Row],[2021 Quant]:[2025 Quant]])&gt;0, SUM(TblDetailBudget[[#This Row],[2021 Quant]:[2025 Quant]]), ""), "")</f>
        <v/>
      </c>
      <c r="X11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5" s="140">
        <f>SUM(TblDetailBudget[[#This Row],[2021 Cost (LCU)]:[2025 Cost (LCU)]])</f>
        <v>0</v>
      </c>
      <c r="AD115" s="134">
        <f>IFERROR(SUM(TblDetailBudget[[#This Row],[2021 Cost (LCU)]])/FX_Rate, "")</f>
        <v>0</v>
      </c>
      <c r="AE115" s="63">
        <f>IFERROR(SUM(TblDetailBudget[[#This Row],[2022 Cost (LCU)]])/FX_Rate, "")</f>
        <v>0</v>
      </c>
      <c r="AF115" s="63">
        <f>IFERROR(SUM(TblDetailBudget[[#This Row],[2023 Cost (LCU)]])/FX_Rate, "")</f>
        <v>0</v>
      </c>
      <c r="AG115" s="63">
        <f>IFERROR(SUM(TblDetailBudget[[#This Row],[2024 Cost (LCU)]])/FX_Rate, "")</f>
        <v>0</v>
      </c>
      <c r="AH115" s="63">
        <f>IFERROR(SUM(TblDetailBudget[[#This Row],[2025 Cost (LCU)]])/FX_Rate, "")</f>
        <v>0</v>
      </c>
      <c r="AI115" s="125">
        <f>SUM(TblDetailBudget[[#This Row],[2021 Cost (USD)]:[2025 Cost (USD)]])</f>
        <v>0</v>
      </c>
      <c r="AJ115" s="180"/>
    </row>
    <row r="116" spans="2:36" ht="12.75" hidden="1" customHeight="1">
      <c r="B116" s="122" t="s">
        <v>70</v>
      </c>
      <c r="C1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1.2.3.1</v>
      </c>
      <c r="D116" s="62">
        <f>IF(TblDetailBudget[[#This Row],[Level]]="", "", COUNTIFS($B$8:TblDetailBudget[[#This Row],[Level]], Lvl1Hdr))</f>
        <v>1</v>
      </c>
      <c r="E116" s="62">
        <f>IF(TblDetailBudget[[#This Row],[Level]]="", "", COUNTIFS($B$8:TblDetailBudget[[#This Row],[Level]], Lvl2Hdr, $D$8:TblDetailBudget[[#This Row],[Lvl 1 Header]], TblDetailBudget[[#This Row],[Lvl 1 Header]]))</f>
        <v>2</v>
      </c>
      <c r="F116" s="62">
        <f>IF(TblDetailBudget[[#This Row],[Level]]="", "", COUNTIFS($B$8:TblDetailBudget[[#This Row],[Level]], Lvl3Hdr, $D$8:TblDetailBudget[[#This Row],[Lvl 1 Header]], TblDetailBudget[[#This Row],[Lvl 1 Header]], $E$8:TblDetailBudget[[#This Row],[Lvl 2 Header]], TblDetailBudget[[#This Row],[Lvl 2 Header]]))</f>
        <v>3</v>
      </c>
      <c r="G1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6" s="101"/>
      <c r="J116" s="101"/>
      <c r="K116" s="88"/>
      <c r="L116" s="88"/>
      <c r="M116" s="62" t="str">
        <f>IF(TblDetailBudget[[#This Row],[Level]]=LvlBottomHdr, IFERROR(INDEX(TblUnitCost[Unit], MATCH(TblDetailBudget[[#This Row],[Row Title]], TblUnitCost[Resource], 0)), "Invalid Resource"), "")</f>
        <v/>
      </c>
      <c r="N116" s="125" t="str">
        <f>IF(TblDetailBudget[[#This Row],[Level]]=LvlBottomHdr, IFERROR(INDEX(TblUnitCost[LCU], MATCH(TblDetailBudget[[#This Row],[Row Title]], TblUnitCost[Resource], 0)), "Invalid Resource"), "")</f>
        <v/>
      </c>
      <c r="O116" s="128"/>
      <c r="P116" s="108"/>
      <c r="Q116" s="129"/>
      <c r="R116" s="108"/>
      <c r="S116" s="108"/>
      <c r="T116" s="108"/>
      <c r="U116" s="108"/>
      <c r="V116" s="108"/>
      <c r="W116" s="125" t="str">
        <f>IF(TblDetailBudget[[#This Row],[Level]]=LvlBottomHdr, IF(SUM(TblDetailBudget[[#This Row],[2021 Quant]:[2025 Quant]])&gt;0, SUM(TblDetailBudget[[#This Row],[2021 Quant]:[2025 Quant]]), ""), "")</f>
        <v/>
      </c>
      <c r="X1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6" s="140">
        <f>SUM(TblDetailBudget[[#This Row],[2021 Cost (LCU)]:[2025 Cost (LCU)]])</f>
        <v>0</v>
      </c>
      <c r="AD116" s="134">
        <f>IFERROR(SUM(TblDetailBudget[[#This Row],[2021 Cost (LCU)]])/FX_Rate, "")</f>
        <v>0</v>
      </c>
      <c r="AE116" s="63">
        <f>IFERROR(SUM(TblDetailBudget[[#This Row],[2022 Cost (LCU)]])/FX_Rate, "")</f>
        <v>0</v>
      </c>
      <c r="AF116" s="63">
        <f>IFERROR(SUM(TblDetailBudget[[#This Row],[2023 Cost (LCU)]])/FX_Rate, "")</f>
        <v>0</v>
      </c>
      <c r="AG116" s="63">
        <f>IFERROR(SUM(TblDetailBudget[[#This Row],[2024 Cost (LCU)]])/FX_Rate, "")</f>
        <v>0</v>
      </c>
      <c r="AH116" s="63">
        <f>IFERROR(SUM(TblDetailBudget[[#This Row],[2025 Cost (LCU)]])/FX_Rate, "")</f>
        <v>0</v>
      </c>
      <c r="AI116" s="125">
        <f>SUM(TblDetailBudget[[#This Row],[2021 Cost (USD)]:[2025 Cost (USD)]])</f>
        <v>0</v>
      </c>
      <c r="AJ116" s="180"/>
    </row>
    <row r="117" spans="2:36" ht="12.75" hidden="1" customHeight="1">
      <c r="B117" s="122" t="s">
        <v>70</v>
      </c>
      <c r="C1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v>
      </c>
      <c r="D117" s="62">
        <f>IF(TblDetailBudget[[#This Row],[Level]]="", "", COUNTIFS($B$8:TblDetailBudget[[#This Row],[Level]], Lvl1Hdr))</f>
        <v>1</v>
      </c>
      <c r="E117" s="62">
        <f>IF(TblDetailBudget[[#This Row],[Level]]="", "", COUNTIFS($B$8:TblDetailBudget[[#This Row],[Level]], Lvl2Hdr, $D$8:TblDetailBudget[[#This Row],[Lvl 1 Header]], TblDetailBudget[[#This Row],[Lvl 1 Header]]))</f>
        <v>2</v>
      </c>
      <c r="F117" s="62">
        <f>IF(TblDetailBudget[[#This Row],[Level]]="", "", COUNTIFS($B$8:TblDetailBudget[[#This Row],[Level]], Lvl3Hdr, $D$8:TblDetailBudget[[#This Row],[Lvl 1 Header]], TblDetailBudget[[#This Row],[Lvl 1 Header]], $E$8:TblDetailBudget[[#This Row],[Lvl 2 Header]], TblDetailBudget[[#This Row],[Lvl 2 Header]]))</f>
        <v>3</v>
      </c>
      <c r="G1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7" s="101"/>
      <c r="J117" s="101"/>
      <c r="K117" s="88"/>
      <c r="L117" s="88"/>
      <c r="M117" s="62" t="str">
        <f>IF(TblDetailBudget[[#This Row],[Level]]=LvlBottomHdr, IFERROR(INDEX(TblUnitCost[Unit], MATCH(TblDetailBudget[[#This Row],[Row Title]], TblUnitCost[Resource], 0)), "Invalid Resource"), "")</f>
        <v/>
      </c>
      <c r="N117" s="125" t="str">
        <f>IF(TblDetailBudget[[#This Row],[Level]]=LvlBottomHdr, IFERROR(INDEX(TblUnitCost[LCU], MATCH(TblDetailBudget[[#This Row],[Row Title]], TblUnitCost[Resource], 0)), "Invalid Resource"), "")</f>
        <v/>
      </c>
      <c r="O117" s="128"/>
      <c r="P117" s="108"/>
      <c r="Q117" s="129"/>
      <c r="R117" s="108"/>
      <c r="S117" s="108"/>
      <c r="T117" s="108"/>
      <c r="U117" s="108"/>
      <c r="V117" s="108"/>
      <c r="W117" s="125" t="str">
        <f>IF(TblDetailBudget[[#This Row],[Level]]=LvlBottomHdr, IF(SUM(TblDetailBudget[[#This Row],[2021 Quant]:[2025 Quant]])&gt;0, SUM(TblDetailBudget[[#This Row],[2021 Quant]:[2025 Quant]]), ""), "")</f>
        <v/>
      </c>
      <c r="X1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7" s="140">
        <f>SUM(TblDetailBudget[[#This Row],[2021 Cost (LCU)]:[2025 Cost (LCU)]])</f>
        <v>0</v>
      </c>
      <c r="AD117" s="134">
        <f>IFERROR(SUM(TblDetailBudget[[#This Row],[2021 Cost (LCU)]])/FX_Rate, "")</f>
        <v>0</v>
      </c>
      <c r="AE117" s="63">
        <f>IFERROR(SUM(TblDetailBudget[[#This Row],[2022 Cost (LCU)]])/FX_Rate, "")</f>
        <v>0</v>
      </c>
      <c r="AF117" s="63">
        <f>IFERROR(SUM(TblDetailBudget[[#This Row],[2023 Cost (LCU)]])/FX_Rate, "")</f>
        <v>0</v>
      </c>
      <c r="AG117" s="63">
        <f>IFERROR(SUM(TblDetailBudget[[#This Row],[2024 Cost (LCU)]])/FX_Rate, "")</f>
        <v>0</v>
      </c>
      <c r="AH117" s="63">
        <f>IFERROR(SUM(TblDetailBudget[[#This Row],[2025 Cost (LCU)]])/FX_Rate, "")</f>
        <v>0</v>
      </c>
      <c r="AI117" s="125">
        <f>SUM(TblDetailBudget[[#This Row],[2021 Cost (USD)]:[2025 Cost (USD)]])</f>
        <v>0</v>
      </c>
      <c r="AJ117" s="180"/>
    </row>
    <row r="118" spans="2:36" ht="12.75" hidden="1" customHeight="1">
      <c r="B118" s="122" t="s">
        <v>71</v>
      </c>
      <c r="C1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1.2.3.2.1</v>
      </c>
      <c r="D118" s="62">
        <f>IF(TblDetailBudget[[#This Row],[Level]]="", "", COUNTIFS($B$8:TblDetailBudget[[#This Row],[Level]], Lvl1Hdr))</f>
        <v>1</v>
      </c>
      <c r="E118" s="62">
        <f>IF(TblDetailBudget[[#This Row],[Level]]="", "", COUNTIFS($B$8:TblDetailBudget[[#This Row],[Level]], Lvl2Hdr, $D$8:TblDetailBudget[[#This Row],[Lvl 1 Header]], TblDetailBudget[[#This Row],[Lvl 1 Header]]))</f>
        <v>2</v>
      </c>
      <c r="F118" s="62">
        <f>IF(TblDetailBudget[[#This Row],[Level]]="", "", COUNTIFS($B$8:TblDetailBudget[[#This Row],[Level]], Lvl3Hdr, $D$8:TblDetailBudget[[#This Row],[Lvl 1 Header]], TblDetailBudget[[#This Row],[Lvl 1 Header]], $E$8:TblDetailBudget[[#This Row],[Lvl 2 Header]], TblDetailBudget[[#This Row],[Lvl 2 Header]]))</f>
        <v>3</v>
      </c>
      <c r="G1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18" s="101"/>
      <c r="J118" s="101"/>
      <c r="K118" s="88"/>
      <c r="L118" s="88"/>
      <c r="M118" s="62" t="str">
        <f>IF(TblDetailBudget[[#This Row],[Level]]=LvlBottomHdr, IFERROR(INDEX(TblUnitCost[Unit], MATCH(TblDetailBudget[[#This Row],[Row Title]], TblUnitCost[Resource], 0)), "Invalid Resource"), "")</f>
        <v>Invalid Resource</v>
      </c>
      <c r="N118" s="125" t="str">
        <f>IF(TblDetailBudget[[#This Row],[Level]]=LvlBottomHdr, IFERROR(INDEX(TblUnitCost[LCU], MATCH(TblDetailBudget[[#This Row],[Row Title]], TblUnitCost[Resource], 0)), "Invalid Resource"), "")</f>
        <v>Invalid Resource</v>
      </c>
      <c r="O118" s="128"/>
      <c r="P118" s="108"/>
      <c r="Q118" s="129"/>
      <c r="R118" s="108"/>
      <c r="S118" s="108"/>
      <c r="T118" s="108"/>
      <c r="U118" s="108"/>
      <c r="V118" s="108"/>
      <c r="W118" s="125" t="str">
        <f>IF(TblDetailBudget[[#This Row],[Level]]=LvlBottomHdr, IF(SUM(TblDetailBudget[[#This Row],[2021 Quant]:[2025 Quant]])&gt;0, SUM(TblDetailBudget[[#This Row],[2021 Quant]:[2025 Quant]]), ""), "")</f>
        <v/>
      </c>
      <c r="X11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8" s="140">
        <f>SUM(TblDetailBudget[[#This Row],[2021 Cost (LCU)]:[2025 Cost (LCU)]])</f>
        <v>0</v>
      </c>
      <c r="AD118" s="134">
        <f>IFERROR(SUM(TblDetailBudget[[#This Row],[2021 Cost (LCU)]])/FX_Rate, "")</f>
        <v>0</v>
      </c>
      <c r="AE118" s="63">
        <f>IFERROR(SUM(TblDetailBudget[[#This Row],[2022 Cost (LCU)]])/FX_Rate, "")</f>
        <v>0</v>
      </c>
      <c r="AF118" s="63">
        <f>IFERROR(SUM(TblDetailBudget[[#This Row],[2023 Cost (LCU)]])/FX_Rate, "")</f>
        <v>0</v>
      </c>
      <c r="AG118" s="63">
        <f>IFERROR(SUM(TblDetailBudget[[#This Row],[2024 Cost (LCU)]])/FX_Rate, "")</f>
        <v>0</v>
      </c>
      <c r="AH118" s="63">
        <f>IFERROR(SUM(TblDetailBudget[[#This Row],[2025 Cost (LCU)]])/FX_Rate, "")</f>
        <v>0</v>
      </c>
      <c r="AI118" s="125">
        <f>SUM(TblDetailBudget[[#This Row],[2021 Cost (USD)]:[2025 Cost (USD)]])</f>
        <v>0</v>
      </c>
      <c r="AJ118" s="180"/>
    </row>
    <row r="119" spans="2:36" ht="12.75" hidden="1" customHeight="1">
      <c r="B119" s="122" t="s">
        <v>71</v>
      </c>
      <c r="C1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1.2.3.2.2</v>
      </c>
      <c r="D119" s="62">
        <f>IF(TblDetailBudget[[#This Row],[Level]]="", "", COUNTIFS($B$8:TblDetailBudget[[#This Row],[Level]], Lvl1Hdr))</f>
        <v>1</v>
      </c>
      <c r="E119" s="62">
        <f>IF(TblDetailBudget[[#This Row],[Level]]="", "", COUNTIFS($B$8:TblDetailBudget[[#This Row],[Level]], Lvl2Hdr, $D$8:TblDetailBudget[[#This Row],[Lvl 1 Header]], TblDetailBudget[[#This Row],[Lvl 1 Header]]))</f>
        <v>2</v>
      </c>
      <c r="F119" s="62">
        <f>IF(TblDetailBudget[[#This Row],[Level]]="", "", COUNTIFS($B$8:TblDetailBudget[[#This Row],[Level]], Lvl3Hdr, $D$8:TblDetailBudget[[#This Row],[Lvl 1 Header]], TblDetailBudget[[#This Row],[Lvl 1 Header]], $E$8:TblDetailBudget[[#This Row],[Lvl 2 Header]], TblDetailBudget[[#This Row],[Lvl 2 Header]]))</f>
        <v>3</v>
      </c>
      <c r="G1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19" s="101"/>
      <c r="J119" s="101"/>
      <c r="K119" s="88"/>
      <c r="L119" s="88"/>
      <c r="M119" s="62" t="str">
        <f>IF(TblDetailBudget[[#This Row],[Level]]=LvlBottomHdr, IFERROR(INDEX(TblUnitCost[Unit], MATCH(TblDetailBudget[[#This Row],[Row Title]], TblUnitCost[Resource], 0)), "Invalid Resource"), "")</f>
        <v>Invalid Resource</v>
      </c>
      <c r="N119" s="125" t="str">
        <f>IF(TblDetailBudget[[#This Row],[Level]]=LvlBottomHdr, IFERROR(INDEX(TblUnitCost[LCU], MATCH(TblDetailBudget[[#This Row],[Row Title]], TblUnitCost[Resource], 0)), "Invalid Resource"), "")</f>
        <v>Invalid Resource</v>
      </c>
      <c r="O119" s="128"/>
      <c r="P119" s="108"/>
      <c r="Q119" s="129"/>
      <c r="R119" s="108"/>
      <c r="S119" s="108"/>
      <c r="T119" s="108"/>
      <c r="U119" s="108"/>
      <c r="V119" s="108"/>
      <c r="W119" s="125" t="str">
        <f>IF(TblDetailBudget[[#This Row],[Level]]=LvlBottomHdr, IF(SUM(TblDetailBudget[[#This Row],[2021 Quant]:[2025 Quant]])&gt;0, SUM(TblDetailBudget[[#This Row],[2021 Quant]:[2025 Quant]]), ""), "")</f>
        <v/>
      </c>
      <c r="X1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9" s="140">
        <f>SUM(TblDetailBudget[[#This Row],[2021 Cost (LCU)]:[2025 Cost (LCU)]])</f>
        <v>0</v>
      </c>
      <c r="AD119" s="134">
        <f>IFERROR(SUM(TblDetailBudget[[#This Row],[2021 Cost (LCU)]])/FX_Rate, "")</f>
        <v>0</v>
      </c>
      <c r="AE119" s="63">
        <f>IFERROR(SUM(TblDetailBudget[[#This Row],[2022 Cost (LCU)]])/FX_Rate, "")</f>
        <v>0</v>
      </c>
      <c r="AF119" s="63">
        <f>IFERROR(SUM(TblDetailBudget[[#This Row],[2023 Cost (LCU)]])/FX_Rate, "")</f>
        <v>0</v>
      </c>
      <c r="AG119" s="63">
        <f>IFERROR(SUM(TblDetailBudget[[#This Row],[2024 Cost (LCU)]])/FX_Rate, "")</f>
        <v>0</v>
      </c>
      <c r="AH119" s="63">
        <f>IFERROR(SUM(TblDetailBudget[[#This Row],[2025 Cost (LCU)]])/FX_Rate, "")</f>
        <v>0</v>
      </c>
      <c r="AI119" s="125">
        <f>SUM(TblDetailBudget[[#This Row],[2021 Cost (USD)]:[2025 Cost (USD)]])</f>
        <v>0</v>
      </c>
      <c r="AJ119" s="180"/>
    </row>
    <row r="120" spans="2:36" ht="12.75" hidden="1" customHeight="1">
      <c r="B120" s="122" t="s">
        <v>71</v>
      </c>
      <c r="C1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1.2.3.2.3</v>
      </c>
      <c r="D120" s="62">
        <f>IF(TblDetailBudget[[#This Row],[Level]]="", "", COUNTIFS($B$8:TblDetailBudget[[#This Row],[Level]], Lvl1Hdr))</f>
        <v>1</v>
      </c>
      <c r="E120" s="62">
        <f>IF(TblDetailBudget[[#This Row],[Level]]="", "", COUNTIFS($B$8:TblDetailBudget[[#This Row],[Level]], Lvl2Hdr, $D$8:TblDetailBudget[[#This Row],[Lvl 1 Header]], TblDetailBudget[[#This Row],[Lvl 1 Header]]))</f>
        <v>2</v>
      </c>
      <c r="F120" s="62">
        <f>IF(TblDetailBudget[[#This Row],[Level]]="", "", COUNTIFS($B$8:TblDetailBudget[[#This Row],[Level]], Lvl3Hdr, $D$8:TblDetailBudget[[#This Row],[Lvl 1 Header]], TblDetailBudget[[#This Row],[Lvl 1 Header]], $E$8:TblDetailBudget[[#This Row],[Lvl 2 Header]], TblDetailBudget[[#This Row],[Lvl 2 Header]]))</f>
        <v>3</v>
      </c>
      <c r="G1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20" s="101"/>
      <c r="J120" s="101"/>
      <c r="K120" s="88"/>
      <c r="L120" s="88"/>
      <c r="M120" s="62" t="str">
        <f>IF(TblDetailBudget[[#This Row],[Level]]=LvlBottomHdr, IFERROR(INDEX(TblUnitCost[Unit], MATCH(TblDetailBudget[[#This Row],[Row Title]], TblUnitCost[Resource], 0)), "Invalid Resource"), "")</f>
        <v>Invalid Resource</v>
      </c>
      <c r="N120" s="125" t="str">
        <f>IF(TblDetailBudget[[#This Row],[Level]]=LvlBottomHdr, IFERROR(INDEX(TblUnitCost[LCU], MATCH(TblDetailBudget[[#This Row],[Row Title]], TblUnitCost[Resource], 0)), "Invalid Resource"), "")</f>
        <v>Invalid Resource</v>
      </c>
      <c r="O120" s="128"/>
      <c r="P120" s="108"/>
      <c r="Q120" s="129"/>
      <c r="R120" s="108"/>
      <c r="S120" s="108"/>
      <c r="T120" s="108"/>
      <c r="U120" s="108"/>
      <c r="V120" s="108"/>
      <c r="W120" s="125" t="str">
        <f>IF(TblDetailBudget[[#This Row],[Level]]=LvlBottomHdr, IF(SUM(TblDetailBudget[[#This Row],[2021 Quant]:[2025 Quant]])&gt;0, SUM(TblDetailBudget[[#This Row],[2021 Quant]:[2025 Quant]]), ""), "")</f>
        <v/>
      </c>
      <c r="X1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0" s="140">
        <f>SUM(TblDetailBudget[[#This Row],[2021 Cost (LCU)]:[2025 Cost (LCU)]])</f>
        <v>0</v>
      </c>
      <c r="AD120" s="134">
        <f>IFERROR(SUM(TblDetailBudget[[#This Row],[2021 Cost (LCU)]])/FX_Rate, "")</f>
        <v>0</v>
      </c>
      <c r="AE120" s="63">
        <f>IFERROR(SUM(TblDetailBudget[[#This Row],[2022 Cost (LCU)]])/FX_Rate, "")</f>
        <v>0</v>
      </c>
      <c r="AF120" s="63">
        <f>IFERROR(SUM(TblDetailBudget[[#This Row],[2023 Cost (LCU)]])/FX_Rate, "")</f>
        <v>0</v>
      </c>
      <c r="AG120" s="63">
        <f>IFERROR(SUM(TblDetailBudget[[#This Row],[2024 Cost (LCU)]])/FX_Rate, "")</f>
        <v>0</v>
      </c>
      <c r="AH120" s="63">
        <f>IFERROR(SUM(TblDetailBudget[[#This Row],[2025 Cost (LCU)]])/FX_Rate, "")</f>
        <v>0</v>
      </c>
      <c r="AI120" s="125">
        <f>SUM(TblDetailBudget[[#This Row],[2021 Cost (USD)]:[2025 Cost (USD)]])</f>
        <v>0</v>
      </c>
      <c r="AJ120" s="180"/>
    </row>
    <row r="121" spans="2:36" ht="12.75" hidden="1" customHeight="1">
      <c r="B121" s="122" t="s">
        <v>71</v>
      </c>
      <c r="C1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1.2.3.2.4</v>
      </c>
      <c r="D121" s="62">
        <f>IF(TblDetailBudget[[#This Row],[Level]]="", "", COUNTIFS($B$8:TblDetailBudget[[#This Row],[Level]], Lvl1Hdr))</f>
        <v>1</v>
      </c>
      <c r="E121" s="62">
        <f>IF(TblDetailBudget[[#This Row],[Level]]="", "", COUNTIFS($B$8:TblDetailBudget[[#This Row],[Level]], Lvl2Hdr, $D$8:TblDetailBudget[[#This Row],[Lvl 1 Header]], TblDetailBudget[[#This Row],[Lvl 1 Header]]))</f>
        <v>2</v>
      </c>
      <c r="F121" s="62">
        <f>IF(TblDetailBudget[[#This Row],[Level]]="", "", COUNTIFS($B$8:TblDetailBudget[[#This Row],[Level]], Lvl3Hdr, $D$8:TblDetailBudget[[#This Row],[Lvl 1 Header]], TblDetailBudget[[#This Row],[Lvl 1 Header]], $E$8:TblDetailBudget[[#This Row],[Lvl 2 Header]], TblDetailBudget[[#This Row],[Lvl 2 Header]]))</f>
        <v>3</v>
      </c>
      <c r="G1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121" s="101"/>
      <c r="J121" s="101"/>
      <c r="K121" s="88"/>
      <c r="L121" s="88"/>
      <c r="M121" s="62" t="str">
        <f>IF(TblDetailBudget[[#This Row],[Level]]=LvlBottomHdr, IFERROR(INDEX(TblUnitCost[Unit], MATCH(TblDetailBudget[[#This Row],[Row Title]], TblUnitCost[Resource], 0)), "Invalid Resource"), "")</f>
        <v>Invalid Resource</v>
      </c>
      <c r="N121" s="125" t="str">
        <f>IF(TblDetailBudget[[#This Row],[Level]]=LvlBottomHdr, IFERROR(INDEX(TblUnitCost[LCU], MATCH(TblDetailBudget[[#This Row],[Row Title]], TblUnitCost[Resource], 0)), "Invalid Resource"), "")</f>
        <v>Invalid Resource</v>
      </c>
      <c r="O121" s="128"/>
      <c r="P121" s="108"/>
      <c r="Q121" s="129"/>
      <c r="R121" s="108"/>
      <c r="S121" s="108"/>
      <c r="T121" s="108"/>
      <c r="U121" s="108"/>
      <c r="V121" s="108"/>
      <c r="W121" s="125" t="str">
        <f>IF(TblDetailBudget[[#This Row],[Level]]=LvlBottomHdr, IF(SUM(TblDetailBudget[[#This Row],[2021 Quant]:[2025 Quant]])&gt;0, SUM(TblDetailBudget[[#This Row],[2021 Quant]:[2025 Quant]]), ""), "")</f>
        <v/>
      </c>
      <c r="X1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1" s="140">
        <f>SUM(TblDetailBudget[[#This Row],[2021 Cost (LCU)]:[2025 Cost (LCU)]])</f>
        <v>0</v>
      </c>
      <c r="AD121" s="134">
        <f>IFERROR(SUM(TblDetailBudget[[#This Row],[2021 Cost (LCU)]])/FX_Rate, "")</f>
        <v>0</v>
      </c>
      <c r="AE121" s="63">
        <f>IFERROR(SUM(TblDetailBudget[[#This Row],[2022 Cost (LCU)]])/FX_Rate, "")</f>
        <v>0</v>
      </c>
      <c r="AF121" s="63">
        <f>IFERROR(SUM(TblDetailBudget[[#This Row],[2023 Cost (LCU)]])/FX_Rate, "")</f>
        <v>0</v>
      </c>
      <c r="AG121" s="63">
        <f>IFERROR(SUM(TblDetailBudget[[#This Row],[2024 Cost (LCU)]])/FX_Rate, "")</f>
        <v>0</v>
      </c>
      <c r="AH121" s="63">
        <f>IFERROR(SUM(TblDetailBudget[[#This Row],[2025 Cost (LCU)]])/FX_Rate, "")</f>
        <v>0</v>
      </c>
      <c r="AI121" s="125">
        <f>SUM(TblDetailBudget[[#This Row],[2021 Cost (USD)]:[2025 Cost (USD)]])</f>
        <v>0</v>
      </c>
      <c r="AJ121" s="180"/>
    </row>
    <row r="122" spans="2:36" ht="12.75" hidden="1" customHeight="1">
      <c r="B122" s="122" t="s">
        <v>71</v>
      </c>
      <c r="C1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1.2.3.2.5</v>
      </c>
      <c r="D122" s="62">
        <f>IF(TblDetailBudget[[#This Row],[Level]]="", "", COUNTIFS($B$8:TblDetailBudget[[#This Row],[Level]], Lvl1Hdr))</f>
        <v>1</v>
      </c>
      <c r="E122" s="62">
        <f>IF(TblDetailBudget[[#This Row],[Level]]="", "", COUNTIFS($B$8:TblDetailBudget[[#This Row],[Level]], Lvl2Hdr, $D$8:TblDetailBudget[[#This Row],[Lvl 1 Header]], TblDetailBudget[[#This Row],[Lvl 1 Header]]))</f>
        <v>2</v>
      </c>
      <c r="F122" s="62">
        <f>IF(TblDetailBudget[[#This Row],[Level]]="", "", COUNTIFS($B$8:TblDetailBudget[[#This Row],[Level]], Lvl3Hdr, $D$8:TblDetailBudget[[#This Row],[Lvl 1 Header]], TblDetailBudget[[#This Row],[Lvl 1 Header]], $E$8:TblDetailBudget[[#This Row],[Lvl 2 Header]], TblDetailBudget[[#This Row],[Lvl 2 Header]]))</f>
        <v>3</v>
      </c>
      <c r="G1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122" s="101"/>
      <c r="J122" s="101"/>
      <c r="K122" s="88"/>
      <c r="L122" s="88"/>
      <c r="M122" s="62" t="str">
        <f>IF(TblDetailBudget[[#This Row],[Level]]=LvlBottomHdr, IFERROR(INDEX(TblUnitCost[Unit], MATCH(TblDetailBudget[[#This Row],[Row Title]], TblUnitCost[Resource], 0)), "Invalid Resource"), "")</f>
        <v>Invalid Resource</v>
      </c>
      <c r="N122" s="125" t="str">
        <f>IF(TblDetailBudget[[#This Row],[Level]]=LvlBottomHdr, IFERROR(INDEX(TblUnitCost[LCU], MATCH(TblDetailBudget[[#This Row],[Row Title]], TblUnitCost[Resource], 0)), "Invalid Resource"), "")</f>
        <v>Invalid Resource</v>
      </c>
      <c r="O122" s="128"/>
      <c r="P122" s="108"/>
      <c r="Q122" s="129"/>
      <c r="R122" s="108"/>
      <c r="S122" s="108"/>
      <c r="T122" s="108"/>
      <c r="U122" s="108"/>
      <c r="V122" s="108"/>
      <c r="W122" s="125" t="str">
        <f>IF(TblDetailBudget[[#This Row],[Level]]=LvlBottomHdr, IF(SUM(TblDetailBudget[[#This Row],[2021 Quant]:[2025 Quant]])&gt;0, SUM(TblDetailBudget[[#This Row],[2021 Quant]:[2025 Quant]]), ""), "")</f>
        <v/>
      </c>
      <c r="X12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2" s="140">
        <f>SUM(TblDetailBudget[[#This Row],[2021 Cost (LCU)]:[2025 Cost (LCU)]])</f>
        <v>0</v>
      </c>
      <c r="AD122" s="134">
        <f>IFERROR(SUM(TblDetailBudget[[#This Row],[2021 Cost (LCU)]])/FX_Rate, "")</f>
        <v>0</v>
      </c>
      <c r="AE122" s="63">
        <f>IFERROR(SUM(TblDetailBudget[[#This Row],[2022 Cost (LCU)]])/FX_Rate, "")</f>
        <v>0</v>
      </c>
      <c r="AF122" s="63">
        <f>IFERROR(SUM(TblDetailBudget[[#This Row],[2023 Cost (LCU)]])/FX_Rate, "")</f>
        <v>0</v>
      </c>
      <c r="AG122" s="63">
        <f>IFERROR(SUM(TblDetailBudget[[#This Row],[2024 Cost (LCU)]])/FX_Rate, "")</f>
        <v>0</v>
      </c>
      <c r="AH122" s="63">
        <f>IFERROR(SUM(TblDetailBudget[[#This Row],[2025 Cost (LCU)]])/FX_Rate, "")</f>
        <v>0</v>
      </c>
      <c r="AI122" s="125">
        <f>SUM(TblDetailBudget[[#This Row],[2021 Cost (USD)]:[2025 Cost (USD)]])</f>
        <v>0</v>
      </c>
      <c r="AJ122" s="180"/>
    </row>
    <row r="123" spans="2:36" ht="12.75" hidden="1" customHeight="1">
      <c r="B123" s="122" t="s">
        <v>71</v>
      </c>
      <c r="C1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1.2.3.2.6</v>
      </c>
      <c r="D123" s="62">
        <f>IF(TblDetailBudget[[#This Row],[Level]]="", "", COUNTIFS($B$8:TblDetailBudget[[#This Row],[Level]], Lvl1Hdr))</f>
        <v>1</v>
      </c>
      <c r="E123" s="62">
        <f>IF(TblDetailBudget[[#This Row],[Level]]="", "", COUNTIFS($B$8:TblDetailBudget[[#This Row],[Level]], Lvl2Hdr, $D$8:TblDetailBudget[[#This Row],[Lvl 1 Header]], TblDetailBudget[[#This Row],[Lvl 1 Header]]))</f>
        <v>2</v>
      </c>
      <c r="F123" s="62">
        <f>IF(TblDetailBudget[[#This Row],[Level]]="", "", COUNTIFS($B$8:TblDetailBudget[[#This Row],[Level]], Lvl3Hdr, $D$8:TblDetailBudget[[#This Row],[Lvl 1 Header]], TblDetailBudget[[#This Row],[Lvl 1 Header]], $E$8:TblDetailBudget[[#This Row],[Lvl 2 Header]], TblDetailBudget[[#This Row],[Lvl 2 Header]]))</f>
        <v>3</v>
      </c>
      <c r="G1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123" s="101"/>
      <c r="J123" s="101"/>
      <c r="K123" s="88"/>
      <c r="L123" s="88"/>
      <c r="M123" s="62" t="str">
        <f>IF(TblDetailBudget[[#This Row],[Level]]=LvlBottomHdr, IFERROR(INDEX(TblUnitCost[Unit], MATCH(TblDetailBudget[[#This Row],[Row Title]], TblUnitCost[Resource], 0)), "Invalid Resource"), "")</f>
        <v>Invalid Resource</v>
      </c>
      <c r="N123" s="125" t="str">
        <f>IF(TblDetailBudget[[#This Row],[Level]]=LvlBottomHdr, IFERROR(INDEX(TblUnitCost[LCU], MATCH(TblDetailBudget[[#This Row],[Row Title]], TblUnitCost[Resource], 0)), "Invalid Resource"), "")</f>
        <v>Invalid Resource</v>
      </c>
      <c r="O123" s="128"/>
      <c r="P123" s="108"/>
      <c r="Q123" s="129"/>
      <c r="R123" s="108"/>
      <c r="S123" s="108"/>
      <c r="T123" s="108"/>
      <c r="U123" s="108"/>
      <c r="V123" s="108"/>
      <c r="W123" s="125" t="str">
        <f>IF(TblDetailBudget[[#This Row],[Level]]=LvlBottomHdr, IF(SUM(TblDetailBudget[[#This Row],[2021 Quant]:[2025 Quant]])&gt;0, SUM(TblDetailBudget[[#This Row],[2021 Quant]:[2025 Quant]]), ""), "")</f>
        <v/>
      </c>
      <c r="X12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3" s="140">
        <f>SUM(TblDetailBudget[[#This Row],[2021 Cost (LCU)]:[2025 Cost (LCU)]])</f>
        <v>0</v>
      </c>
      <c r="AD123" s="134">
        <f>IFERROR(SUM(TblDetailBudget[[#This Row],[2021 Cost (LCU)]])/FX_Rate, "")</f>
        <v>0</v>
      </c>
      <c r="AE123" s="63">
        <f>IFERROR(SUM(TblDetailBudget[[#This Row],[2022 Cost (LCU)]])/FX_Rate, "")</f>
        <v>0</v>
      </c>
      <c r="AF123" s="63">
        <f>IFERROR(SUM(TblDetailBudget[[#This Row],[2023 Cost (LCU)]])/FX_Rate, "")</f>
        <v>0</v>
      </c>
      <c r="AG123" s="63">
        <f>IFERROR(SUM(TblDetailBudget[[#This Row],[2024 Cost (LCU)]])/FX_Rate, "")</f>
        <v>0</v>
      </c>
      <c r="AH123" s="63">
        <f>IFERROR(SUM(TblDetailBudget[[#This Row],[2025 Cost (LCU)]])/FX_Rate, "")</f>
        <v>0</v>
      </c>
      <c r="AI123" s="125">
        <f>SUM(TblDetailBudget[[#This Row],[2021 Cost (USD)]:[2025 Cost (USD)]])</f>
        <v>0</v>
      </c>
      <c r="AJ123" s="180"/>
    </row>
    <row r="124" spans="2:36" ht="12.75" hidden="1" customHeight="1">
      <c r="B124" s="122" t="s">
        <v>71</v>
      </c>
      <c r="C1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1.2.3.2.7</v>
      </c>
      <c r="D124" s="62">
        <f>IF(TblDetailBudget[[#This Row],[Level]]="", "", COUNTIFS($B$8:TblDetailBudget[[#This Row],[Level]], Lvl1Hdr))</f>
        <v>1</v>
      </c>
      <c r="E124" s="62">
        <f>IF(TblDetailBudget[[#This Row],[Level]]="", "", COUNTIFS($B$8:TblDetailBudget[[#This Row],[Level]], Lvl2Hdr, $D$8:TblDetailBudget[[#This Row],[Lvl 1 Header]], TblDetailBudget[[#This Row],[Lvl 1 Header]]))</f>
        <v>2</v>
      </c>
      <c r="F124" s="62">
        <f>IF(TblDetailBudget[[#This Row],[Level]]="", "", COUNTIFS($B$8:TblDetailBudget[[#This Row],[Level]], Lvl3Hdr, $D$8:TblDetailBudget[[#This Row],[Lvl 1 Header]], TblDetailBudget[[#This Row],[Lvl 1 Header]], $E$8:TblDetailBudget[[#This Row],[Lvl 2 Header]], TblDetailBudget[[#This Row],[Lvl 2 Header]]))</f>
        <v>3</v>
      </c>
      <c r="G1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124" s="101"/>
      <c r="J124" s="101"/>
      <c r="K124" s="88"/>
      <c r="L124" s="88"/>
      <c r="M124" s="62" t="str">
        <f>IF(TblDetailBudget[[#This Row],[Level]]=LvlBottomHdr, IFERROR(INDEX(TblUnitCost[Unit], MATCH(TblDetailBudget[[#This Row],[Row Title]], TblUnitCost[Resource], 0)), "Invalid Resource"), "")</f>
        <v>Invalid Resource</v>
      </c>
      <c r="N124" s="125" t="str">
        <f>IF(TblDetailBudget[[#This Row],[Level]]=LvlBottomHdr, IFERROR(INDEX(TblUnitCost[LCU], MATCH(TblDetailBudget[[#This Row],[Row Title]], TblUnitCost[Resource], 0)), "Invalid Resource"), "")</f>
        <v>Invalid Resource</v>
      </c>
      <c r="O124" s="128"/>
      <c r="P124" s="108"/>
      <c r="Q124" s="129"/>
      <c r="R124" s="108"/>
      <c r="S124" s="108"/>
      <c r="T124" s="108"/>
      <c r="U124" s="108"/>
      <c r="V124" s="108"/>
      <c r="W124" s="125" t="str">
        <f>IF(TblDetailBudget[[#This Row],[Level]]=LvlBottomHdr, IF(SUM(TblDetailBudget[[#This Row],[2021 Quant]:[2025 Quant]])&gt;0, SUM(TblDetailBudget[[#This Row],[2021 Quant]:[2025 Quant]]), ""), "")</f>
        <v/>
      </c>
      <c r="X12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4" s="140">
        <f>SUM(TblDetailBudget[[#This Row],[2021 Cost (LCU)]:[2025 Cost (LCU)]])</f>
        <v>0</v>
      </c>
      <c r="AD124" s="134">
        <f>IFERROR(SUM(TblDetailBudget[[#This Row],[2021 Cost (LCU)]])/FX_Rate, "")</f>
        <v>0</v>
      </c>
      <c r="AE124" s="63">
        <f>IFERROR(SUM(TblDetailBudget[[#This Row],[2022 Cost (LCU)]])/FX_Rate, "")</f>
        <v>0</v>
      </c>
      <c r="AF124" s="63">
        <f>IFERROR(SUM(TblDetailBudget[[#This Row],[2023 Cost (LCU)]])/FX_Rate, "")</f>
        <v>0</v>
      </c>
      <c r="AG124" s="63">
        <f>IFERROR(SUM(TblDetailBudget[[#This Row],[2024 Cost (LCU)]])/FX_Rate, "")</f>
        <v>0</v>
      </c>
      <c r="AH124" s="63">
        <f>IFERROR(SUM(TblDetailBudget[[#This Row],[2025 Cost (LCU)]])/FX_Rate, "")</f>
        <v>0</v>
      </c>
      <c r="AI124" s="125">
        <f>SUM(TblDetailBudget[[#This Row],[2021 Cost (USD)]:[2025 Cost (USD)]])</f>
        <v>0</v>
      </c>
      <c r="AJ124" s="180"/>
    </row>
    <row r="125" spans="2:36" ht="12.75" hidden="1" customHeight="1">
      <c r="B125" s="122" t="s">
        <v>71</v>
      </c>
      <c r="C1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1.2.3.2.8</v>
      </c>
      <c r="D125" s="62">
        <f>IF(TblDetailBudget[[#This Row],[Level]]="", "", COUNTIFS($B$8:TblDetailBudget[[#This Row],[Level]], Lvl1Hdr))</f>
        <v>1</v>
      </c>
      <c r="E125" s="62">
        <f>IF(TblDetailBudget[[#This Row],[Level]]="", "", COUNTIFS($B$8:TblDetailBudget[[#This Row],[Level]], Lvl2Hdr, $D$8:TblDetailBudget[[#This Row],[Lvl 1 Header]], TblDetailBudget[[#This Row],[Lvl 1 Header]]))</f>
        <v>2</v>
      </c>
      <c r="F125" s="62">
        <f>IF(TblDetailBudget[[#This Row],[Level]]="", "", COUNTIFS($B$8:TblDetailBudget[[#This Row],[Level]], Lvl3Hdr, $D$8:TblDetailBudget[[#This Row],[Lvl 1 Header]], TblDetailBudget[[#This Row],[Lvl 1 Header]], $E$8:TblDetailBudget[[#This Row],[Lvl 2 Header]], TblDetailBudget[[#This Row],[Lvl 2 Header]]))</f>
        <v>3</v>
      </c>
      <c r="G1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125" s="101"/>
      <c r="J125" s="101"/>
      <c r="K125" s="88"/>
      <c r="L125" s="88"/>
      <c r="M125" s="62" t="str">
        <f>IF(TblDetailBudget[[#This Row],[Level]]=LvlBottomHdr, IFERROR(INDEX(TblUnitCost[Unit], MATCH(TblDetailBudget[[#This Row],[Row Title]], TblUnitCost[Resource], 0)), "Invalid Resource"), "")</f>
        <v>Invalid Resource</v>
      </c>
      <c r="N125" s="125" t="str">
        <f>IF(TblDetailBudget[[#This Row],[Level]]=LvlBottomHdr, IFERROR(INDEX(TblUnitCost[LCU], MATCH(TblDetailBudget[[#This Row],[Row Title]], TblUnitCost[Resource], 0)), "Invalid Resource"), "")</f>
        <v>Invalid Resource</v>
      </c>
      <c r="O125" s="128"/>
      <c r="P125" s="108"/>
      <c r="Q125" s="129"/>
      <c r="R125" s="108"/>
      <c r="S125" s="108"/>
      <c r="T125" s="108"/>
      <c r="U125" s="108"/>
      <c r="V125" s="108"/>
      <c r="W125" s="125" t="str">
        <f>IF(TblDetailBudget[[#This Row],[Level]]=LvlBottomHdr, IF(SUM(TblDetailBudget[[#This Row],[2021 Quant]:[2025 Quant]])&gt;0, SUM(TblDetailBudget[[#This Row],[2021 Quant]:[2025 Quant]]), ""), "")</f>
        <v/>
      </c>
      <c r="X12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5" s="140">
        <f>SUM(TblDetailBudget[[#This Row],[2021 Cost (LCU)]:[2025 Cost (LCU)]])</f>
        <v>0</v>
      </c>
      <c r="AD125" s="134">
        <f>IFERROR(SUM(TblDetailBudget[[#This Row],[2021 Cost (LCU)]])/FX_Rate, "")</f>
        <v>0</v>
      </c>
      <c r="AE125" s="63">
        <f>IFERROR(SUM(TblDetailBudget[[#This Row],[2022 Cost (LCU)]])/FX_Rate, "")</f>
        <v>0</v>
      </c>
      <c r="AF125" s="63">
        <f>IFERROR(SUM(TblDetailBudget[[#This Row],[2023 Cost (LCU)]])/FX_Rate, "")</f>
        <v>0</v>
      </c>
      <c r="AG125" s="63">
        <f>IFERROR(SUM(TblDetailBudget[[#This Row],[2024 Cost (LCU)]])/FX_Rate, "")</f>
        <v>0</v>
      </c>
      <c r="AH125" s="63">
        <f>IFERROR(SUM(TblDetailBudget[[#This Row],[2025 Cost (LCU)]])/FX_Rate, "")</f>
        <v>0</v>
      </c>
      <c r="AI125" s="125">
        <f>SUM(TblDetailBudget[[#This Row],[2021 Cost (USD)]:[2025 Cost (USD)]])</f>
        <v>0</v>
      </c>
      <c r="AJ125" s="180"/>
    </row>
    <row r="126" spans="2:36" ht="12.75" hidden="1" customHeight="1">
      <c r="B126" s="122" t="s">
        <v>70</v>
      </c>
      <c r="C1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v>
      </c>
      <c r="D126" s="62">
        <f>IF(TblDetailBudget[[#This Row],[Level]]="", "", COUNTIFS($B$8:TblDetailBudget[[#This Row],[Level]], Lvl1Hdr))</f>
        <v>1</v>
      </c>
      <c r="E126" s="62">
        <f>IF(TblDetailBudget[[#This Row],[Level]]="", "", COUNTIFS($B$8:TblDetailBudget[[#This Row],[Level]], Lvl2Hdr, $D$8:TblDetailBudget[[#This Row],[Lvl 1 Header]], TblDetailBudget[[#This Row],[Lvl 1 Header]]))</f>
        <v>2</v>
      </c>
      <c r="F126" s="62">
        <f>IF(TblDetailBudget[[#This Row],[Level]]="", "", COUNTIFS($B$8:TblDetailBudget[[#This Row],[Level]], Lvl3Hdr, $D$8:TblDetailBudget[[#This Row],[Lvl 1 Header]], TblDetailBudget[[#This Row],[Lvl 1 Header]], $E$8:TblDetailBudget[[#This Row],[Lvl 2 Header]], TblDetailBudget[[#This Row],[Lvl 2 Header]]))</f>
        <v>3</v>
      </c>
      <c r="G1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26" s="101"/>
      <c r="J126" s="101"/>
      <c r="K126" s="88"/>
      <c r="L126" s="88"/>
      <c r="M126" s="62" t="str">
        <f>IF(TblDetailBudget[[#This Row],[Level]]=LvlBottomHdr, IFERROR(INDEX(TblUnitCost[Unit], MATCH(TblDetailBudget[[#This Row],[Row Title]], TblUnitCost[Resource], 0)), "Invalid Resource"), "")</f>
        <v/>
      </c>
      <c r="N126" s="125" t="str">
        <f>IF(TblDetailBudget[[#This Row],[Level]]=LvlBottomHdr, IFERROR(INDEX(TblUnitCost[LCU], MATCH(TblDetailBudget[[#This Row],[Row Title]], TblUnitCost[Resource], 0)), "Invalid Resource"), "")</f>
        <v/>
      </c>
      <c r="O126" s="128"/>
      <c r="P126" s="108"/>
      <c r="Q126" s="129"/>
      <c r="R126" s="108"/>
      <c r="S126" s="108"/>
      <c r="T126" s="108"/>
      <c r="U126" s="108"/>
      <c r="V126" s="108"/>
      <c r="W126" s="125" t="str">
        <f>IF(TblDetailBudget[[#This Row],[Level]]=LvlBottomHdr, IF(SUM(TblDetailBudget[[#This Row],[2021 Quant]:[2025 Quant]])&gt;0, SUM(TblDetailBudget[[#This Row],[2021 Quant]:[2025 Quant]]), ""), "")</f>
        <v/>
      </c>
      <c r="X1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26" s="140">
        <f>SUM(TblDetailBudget[[#This Row],[2021 Cost (LCU)]:[2025 Cost (LCU)]])</f>
        <v>0</v>
      </c>
      <c r="AD126" s="134">
        <f>IFERROR(SUM(TblDetailBudget[[#This Row],[2021 Cost (LCU)]])/FX_Rate, "")</f>
        <v>0</v>
      </c>
      <c r="AE126" s="63">
        <f>IFERROR(SUM(TblDetailBudget[[#This Row],[2022 Cost (LCU)]])/FX_Rate, "")</f>
        <v>0</v>
      </c>
      <c r="AF126" s="63">
        <f>IFERROR(SUM(TblDetailBudget[[#This Row],[2023 Cost (LCU)]])/FX_Rate, "")</f>
        <v>0</v>
      </c>
      <c r="AG126" s="63">
        <f>IFERROR(SUM(TblDetailBudget[[#This Row],[2024 Cost (LCU)]])/FX_Rate, "")</f>
        <v>0</v>
      </c>
      <c r="AH126" s="63">
        <f>IFERROR(SUM(TblDetailBudget[[#This Row],[2025 Cost (LCU)]])/FX_Rate, "")</f>
        <v>0</v>
      </c>
      <c r="AI126" s="125">
        <f>SUM(TblDetailBudget[[#This Row],[2021 Cost (USD)]:[2025 Cost (USD)]])</f>
        <v>0</v>
      </c>
      <c r="AJ126" s="180"/>
    </row>
    <row r="127" spans="2:36" ht="12.75" hidden="1" customHeight="1">
      <c r="B127" s="122" t="s">
        <v>71</v>
      </c>
      <c r="C1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1.2.3.3.1</v>
      </c>
      <c r="D127" s="62">
        <f>IF(TblDetailBudget[[#This Row],[Level]]="", "", COUNTIFS($B$8:TblDetailBudget[[#This Row],[Level]], Lvl1Hdr))</f>
        <v>1</v>
      </c>
      <c r="E127" s="62">
        <f>IF(TblDetailBudget[[#This Row],[Level]]="", "", COUNTIFS($B$8:TblDetailBudget[[#This Row],[Level]], Lvl2Hdr, $D$8:TblDetailBudget[[#This Row],[Lvl 1 Header]], TblDetailBudget[[#This Row],[Lvl 1 Header]]))</f>
        <v>2</v>
      </c>
      <c r="F127" s="62">
        <f>IF(TblDetailBudget[[#This Row],[Level]]="", "", COUNTIFS($B$8:TblDetailBudget[[#This Row],[Level]], Lvl3Hdr, $D$8:TblDetailBudget[[#This Row],[Lvl 1 Header]], TblDetailBudget[[#This Row],[Lvl 1 Header]], $E$8:TblDetailBudget[[#This Row],[Lvl 2 Header]], TblDetailBudget[[#This Row],[Lvl 2 Header]]))</f>
        <v>3</v>
      </c>
      <c r="G12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27" s="101"/>
      <c r="J127" s="101"/>
      <c r="K127" s="88"/>
      <c r="L127" s="88"/>
      <c r="M127" s="62" t="str">
        <f>IF(TblDetailBudget[[#This Row],[Level]]=LvlBottomHdr, IFERROR(INDEX(TblUnitCost[Unit], MATCH(TblDetailBudget[[#This Row],[Row Title]], TblUnitCost[Resource], 0)), "Invalid Resource"), "")</f>
        <v>Invalid Resource</v>
      </c>
      <c r="N127" s="125" t="str">
        <f>IF(TblDetailBudget[[#This Row],[Level]]=LvlBottomHdr, IFERROR(INDEX(TblUnitCost[LCU], MATCH(TblDetailBudget[[#This Row],[Row Title]], TblUnitCost[Resource], 0)), "Invalid Resource"), "")</f>
        <v>Invalid Resource</v>
      </c>
      <c r="O127" s="128"/>
      <c r="P127" s="108"/>
      <c r="Q127" s="129"/>
      <c r="R127" s="108"/>
      <c r="S127" s="108"/>
      <c r="T127" s="108"/>
      <c r="U127" s="108"/>
      <c r="V127" s="108"/>
      <c r="W127" s="125" t="str">
        <f>IF(TblDetailBudget[[#This Row],[Level]]=LvlBottomHdr, IF(SUM(TblDetailBudget[[#This Row],[2021 Quant]:[2025 Quant]])&gt;0, SUM(TblDetailBudget[[#This Row],[2021 Quant]:[2025 Quant]]), ""), "")</f>
        <v/>
      </c>
      <c r="X12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7" s="140">
        <f>SUM(TblDetailBudget[[#This Row],[2021 Cost (LCU)]:[2025 Cost (LCU)]])</f>
        <v>0</v>
      </c>
      <c r="AD127" s="134">
        <f>IFERROR(SUM(TblDetailBudget[[#This Row],[2021 Cost (LCU)]])/FX_Rate, "")</f>
        <v>0</v>
      </c>
      <c r="AE127" s="63">
        <f>IFERROR(SUM(TblDetailBudget[[#This Row],[2022 Cost (LCU)]])/FX_Rate, "")</f>
        <v>0</v>
      </c>
      <c r="AF127" s="63">
        <f>IFERROR(SUM(TblDetailBudget[[#This Row],[2023 Cost (LCU)]])/FX_Rate, "")</f>
        <v>0</v>
      </c>
      <c r="AG127" s="63">
        <f>IFERROR(SUM(TblDetailBudget[[#This Row],[2024 Cost (LCU)]])/FX_Rate, "")</f>
        <v>0</v>
      </c>
      <c r="AH127" s="63">
        <f>IFERROR(SUM(TblDetailBudget[[#This Row],[2025 Cost (LCU)]])/FX_Rate, "")</f>
        <v>0</v>
      </c>
      <c r="AI127" s="125">
        <f>SUM(TblDetailBudget[[#This Row],[2021 Cost (USD)]:[2025 Cost (USD)]])</f>
        <v>0</v>
      </c>
      <c r="AJ127" s="180"/>
    </row>
    <row r="128" spans="2:36" ht="12.75" hidden="1" customHeight="1">
      <c r="B128" s="122" t="s">
        <v>71</v>
      </c>
      <c r="C1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1.2.3.3.2</v>
      </c>
      <c r="D128" s="62">
        <f>IF(TblDetailBudget[[#This Row],[Level]]="", "", COUNTIFS($B$8:TblDetailBudget[[#This Row],[Level]], Lvl1Hdr))</f>
        <v>1</v>
      </c>
      <c r="E128" s="62">
        <f>IF(TblDetailBudget[[#This Row],[Level]]="", "", COUNTIFS($B$8:TblDetailBudget[[#This Row],[Level]], Lvl2Hdr, $D$8:TblDetailBudget[[#This Row],[Lvl 1 Header]], TblDetailBudget[[#This Row],[Lvl 1 Header]]))</f>
        <v>2</v>
      </c>
      <c r="F128" s="62">
        <f>IF(TblDetailBudget[[#This Row],[Level]]="", "", COUNTIFS($B$8:TblDetailBudget[[#This Row],[Level]], Lvl3Hdr, $D$8:TblDetailBudget[[#This Row],[Lvl 1 Header]], TblDetailBudget[[#This Row],[Lvl 1 Header]], $E$8:TblDetailBudget[[#This Row],[Lvl 2 Header]], TblDetailBudget[[#This Row],[Lvl 2 Header]]))</f>
        <v>3</v>
      </c>
      <c r="G1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28" s="101"/>
      <c r="J128" s="101"/>
      <c r="K128" s="88"/>
      <c r="L128" s="88"/>
      <c r="M128" s="62" t="str">
        <f>IF(TblDetailBudget[[#This Row],[Level]]=LvlBottomHdr, IFERROR(INDEX(TblUnitCost[Unit], MATCH(TblDetailBudget[[#This Row],[Row Title]], TblUnitCost[Resource], 0)), "Invalid Resource"), "")</f>
        <v>Invalid Resource</v>
      </c>
      <c r="N128" s="125" t="str">
        <f>IF(TblDetailBudget[[#This Row],[Level]]=LvlBottomHdr, IFERROR(INDEX(TblUnitCost[LCU], MATCH(TblDetailBudget[[#This Row],[Row Title]], TblUnitCost[Resource], 0)), "Invalid Resource"), "")</f>
        <v>Invalid Resource</v>
      </c>
      <c r="O128" s="128"/>
      <c r="P128" s="108"/>
      <c r="Q128" s="129"/>
      <c r="R128" s="108"/>
      <c r="S128" s="108"/>
      <c r="T128" s="108"/>
      <c r="U128" s="108"/>
      <c r="V128" s="108"/>
      <c r="W128" s="125" t="str">
        <f>IF(TblDetailBudget[[#This Row],[Level]]=LvlBottomHdr, IF(SUM(TblDetailBudget[[#This Row],[2021 Quant]:[2025 Quant]])&gt;0, SUM(TblDetailBudget[[#This Row],[2021 Quant]:[2025 Quant]]), ""), "")</f>
        <v/>
      </c>
      <c r="X1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8" s="140">
        <f>SUM(TblDetailBudget[[#This Row],[2021 Cost (LCU)]:[2025 Cost (LCU)]])</f>
        <v>0</v>
      </c>
      <c r="AD128" s="134">
        <f>IFERROR(SUM(TblDetailBudget[[#This Row],[2021 Cost (LCU)]])/FX_Rate, "")</f>
        <v>0</v>
      </c>
      <c r="AE128" s="63">
        <f>IFERROR(SUM(TblDetailBudget[[#This Row],[2022 Cost (LCU)]])/FX_Rate, "")</f>
        <v>0</v>
      </c>
      <c r="AF128" s="63">
        <f>IFERROR(SUM(TblDetailBudget[[#This Row],[2023 Cost (LCU)]])/FX_Rate, "")</f>
        <v>0</v>
      </c>
      <c r="AG128" s="63">
        <f>IFERROR(SUM(TblDetailBudget[[#This Row],[2024 Cost (LCU)]])/FX_Rate, "")</f>
        <v>0</v>
      </c>
      <c r="AH128" s="63">
        <f>IFERROR(SUM(TblDetailBudget[[#This Row],[2025 Cost (LCU)]])/FX_Rate, "")</f>
        <v>0</v>
      </c>
      <c r="AI128" s="125">
        <f>SUM(TblDetailBudget[[#This Row],[2021 Cost (USD)]:[2025 Cost (USD)]])</f>
        <v>0</v>
      </c>
      <c r="AJ128" s="180"/>
    </row>
    <row r="129" spans="2:36" ht="12.75" hidden="1" customHeight="1">
      <c r="B129" s="122" t="s">
        <v>71</v>
      </c>
      <c r="C1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1.2.3.3.3</v>
      </c>
      <c r="D129" s="62">
        <f>IF(TblDetailBudget[[#This Row],[Level]]="", "", COUNTIFS($B$8:TblDetailBudget[[#This Row],[Level]], Lvl1Hdr))</f>
        <v>1</v>
      </c>
      <c r="E129" s="62">
        <f>IF(TblDetailBudget[[#This Row],[Level]]="", "", COUNTIFS($B$8:TblDetailBudget[[#This Row],[Level]], Lvl2Hdr, $D$8:TblDetailBudget[[#This Row],[Lvl 1 Header]], TblDetailBudget[[#This Row],[Lvl 1 Header]]))</f>
        <v>2</v>
      </c>
      <c r="F129" s="62">
        <f>IF(TblDetailBudget[[#This Row],[Level]]="", "", COUNTIFS($B$8:TblDetailBudget[[#This Row],[Level]], Lvl3Hdr, $D$8:TblDetailBudget[[#This Row],[Lvl 1 Header]], TblDetailBudget[[#This Row],[Lvl 1 Header]], $E$8:TblDetailBudget[[#This Row],[Lvl 2 Header]], TblDetailBudget[[#This Row],[Lvl 2 Header]]))</f>
        <v>3</v>
      </c>
      <c r="G1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29" s="101"/>
      <c r="J129" s="101"/>
      <c r="K129" s="88"/>
      <c r="L129" s="88"/>
      <c r="M129" s="62" t="str">
        <f>IF(TblDetailBudget[[#This Row],[Level]]=LvlBottomHdr, IFERROR(INDEX(TblUnitCost[Unit], MATCH(TblDetailBudget[[#This Row],[Row Title]], TblUnitCost[Resource], 0)), "Invalid Resource"), "")</f>
        <v>Invalid Resource</v>
      </c>
      <c r="N129" s="125" t="str">
        <f>IF(TblDetailBudget[[#This Row],[Level]]=LvlBottomHdr, IFERROR(INDEX(TblUnitCost[LCU], MATCH(TblDetailBudget[[#This Row],[Row Title]], TblUnitCost[Resource], 0)), "Invalid Resource"), "")</f>
        <v>Invalid Resource</v>
      </c>
      <c r="O129" s="128"/>
      <c r="P129" s="108"/>
      <c r="Q129" s="129"/>
      <c r="R129" s="108"/>
      <c r="S129" s="108"/>
      <c r="T129" s="108"/>
      <c r="U129" s="108"/>
      <c r="V129" s="108"/>
      <c r="W129" s="125" t="str">
        <f>IF(TblDetailBudget[[#This Row],[Level]]=LvlBottomHdr, IF(SUM(TblDetailBudget[[#This Row],[2021 Quant]:[2025 Quant]])&gt;0, SUM(TblDetailBudget[[#This Row],[2021 Quant]:[2025 Quant]]), ""), "")</f>
        <v/>
      </c>
      <c r="X12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9" s="140">
        <f>SUM(TblDetailBudget[[#This Row],[2021 Cost (LCU)]:[2025 Cost (LCU)]])</f>
        <v>0</v>
      </c>
      <c r="AD129" s="134">
        <f>IFERROR(SUM(TblDetailBudget[[#This Row],[2021 Cost (LCU)]])/FX_Rate, "")</f>
        <v>0</v>
      </c>
      <c r="AE129" s="63">
        <f>IFERROR(SUM(TblDetailBudget[[#This Row],[2022 Cost (LCU)]])/FX_Rate, "")</f>
        <v>0</v>
      </c>
      <c r="AF129" s="63">
        <f>IFERROR(SUM(TblDetailBudget[[#This Row],[2023 Cost (LCU)]])/FX_Rate, "")</f>
        <v>0</v>
      </c>
      <c r="AG129" s="63">
        <f>IFERROR(SUM(TblDetailBudget[[#This Row],[2024 Cost (LCU)]])/FX_Rate, "")</f>
        <v>0</v>
      </c>
      <c r="AH129" s="63">
        <f>IFERROR(SUM(TblDetailBudget[[#This Row],[2025 Cost (LCU)]])/FX_Rate, "")</f>
        <v>0</v>
      </c>
      <c r="AI129" s="125">
        <f>SUM(TblDetailBudget[[#This Row],[2021 Cost (USD)]:[2025 Cost (USD)]])</f>
        <v>0</v>
      </c>
      <c r="AJ129" s="180"/>
    </row>
    <row r="130" spans="2:36" ht="12.75" hidden="1" customHeight="1">
      <c r="B130" s="122" t="s">
        <v>71</v>
      </c>
      <c r="C1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1.2.3.3.4</v>
      </c>
      <c r="D130" s="62">
        <f>IF(TblDetailBudget[[#This Row],[Level]]="", "", COUNTIFS($B$8:TblDetailBudget[[#This Row],[Level]], Lvl1Hdr))</f>
        <v>1</v>
      </c>
      <c r="E130" s="62">
        <f>IF(TblDetailBudget[[#This Row],[Level]]="", "", COUNTIFS($B$8:TblDetailBudget[[#This Row],[Level]], Lvl2Hdr, $D$8:TblDetailBudget[[#This Row],[Lvl 1 Header]], TblDetailBudget[[#This Row],[Lvl 1 Header]]))</f>
        <v>2</v>
      </c>
      <c r="F130" s="62">
        <f>IF(TblDetailBudget[[#This Row],[Level]]="", "", COUNTIFS($B$8:TblDetailBudget[[#This Row],[Level]], Lvl3Hdr, $D$8:TblDetailBudget[[#This Row],[Lvl 1 Header]], TblDetailBudget[[#This Row],[Lvl 1 Header]], $E$8:TblDetailBudget[[#This Row],[Lvl 2 Header]], TblDetailBudget[[#This Row],[Lvl 2 Header]]))</f>
        <v>3</v>
      </c>
      <c r="G1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130" s="101"/>
      <c r="J130" s="101"/>
      <c r="K130" s="88"/>
      <c r="L130" s="88"/>
      <c r="M130" s="62" t="str">
        <f>IF(TblDetailBudget[[#This Row],[Level]]=LvlBottomHdr, IFERROR(INDEX(TblUnitCost[Unit], MATCH(TblDetailBudget[[#This Row],[Row Title]], TblUnitCost[Resource], 0)), "Invalid Resource"), "")</f>
        <v>Invalid Resource</v>
      </c>
      <c r="N130" s="125" t="str">
        <f>IF(TblDetailBudget[[#This Row],[Level]]=LvlBottomHdr, IFERROR(INDEX(TblUnitCost[LCU], MATCH(TblDetailBudget[[#This Row],[Row Title]], TblUnitCost[Resource], 0)), "Invalid Resource"), "")</f>
        <v>Invalid Resource</v>
      </c>
      <c r="O130" s="128"/>
      <c r="P130" s="108"/>
      <c r="Q130" s="129"/>
      <c r="R130" s="108"/>
      <c r="S130" s="108"/>
      <c r="T130" s="108"/>
      <c r="U130" s="108"/>
      <c r="V130" s="108"/>
      <c r="W130" s="125" t="str">
        <f>IF(TblDetailBudget[[#This Row],[Level]]=LvlBottomHdr, IF(SUM(TblDetailBudget[[#This Row],[2021 Quant]:[2025 Quant]])&gt;0, SUM(TblDetailBudget[[#This Row],[2021 Quant]:[2025 Quant]]), ""), "")</f>
        <v/>
      </c>
      <c r="X13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0" s="140">
        <f>SUM(TblDetailBudget[[#This Row],[2021 Cost (LCU)]:[2025 Cost (LCU)]])</f>
        <v>0</v>
      </c>
      <c r="AD130" s="134">
        <f>IFERROR(SUM(TblDetailBudget[[#This Row],[2021 Cost (LCU)]])/FX_Rate, "")</f>
        <v>0</v>
      </c>
      <c r="AE130" s="63">
        <f>IFERROR(SUM(TblDetailBudget[[#This Row],[2022 Cost (LCU)]])/FX_Rate, "")</f>
        <v>0</v>
      </c>
      <c r="AF130" s="63">
        <f>IFERROR(SUM(TblDetailBudget[[#This Row],[2023 Cost (LCU)]])/FX_Rate, "")</f>
        <v>0</v>
      </c>
      <c r="AG130" s="63">
        <f>IFERROR(SUM(TblDetailBudget[[#This Row],[2024 Cost (LCU)]])/FX_Rate, "")</f>
        <v>0</v>
      </c>
      <c r="AH130" s="63">
        <f>IFERROR(SUM(TblDetailBudget[[#This Row],[2025 Cost (LCU)]])/FX_Rate, "")</f>
        <v>0</v>
      </c>
      <c r="AI130" s="125">
        <f>SUM(TblDetailBudget[[#This Row],[2021 Cost (USD)]:[2025 Cost (USD)]])</f>
        <v>0</v>
      </c>
      <c r="AJ130" s="180"/>
    </row>
    <row r="131" spans="2:36" ht="12.75" hidden="1" customHeight="1">
      <c r="B131" s="122" t="s">
        <v>70</v>
      </c>
      <c r="C1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v>
      </c>
      <c r="D131" s="62">
        <f>IF(TblDetailBudget[[#This Row],[Level]]="", "", COUNTIFS($B$8:TblDetailBudget[[#This Row],[Level]], Lvl1Hdr))</f>
        <v>1</v>
      </c>
      <c r="E131" s="62">
        <f>IF(TblDetailBudget[[#This Row],[Level]]="", "", COUNTIFS($B$8:TblDetailBudget[[#This Row],[Level]], Lvl2Hdr, $D$8:TblDetailBudget[[#This Row],[Lvl 1 Header]], TblDetailBudget[[#This Row],[Lvl 1 Header]]))</f>
        <v>2</v>
      </c>
      <c r="F131" s="62">
        <f>IF(TblDetailBudget[[#This Row],[Level]]="", "", COUNTIFS($B$8:TblDetailBudget[[#This Row],[Level]], Lvl3Hdr, $D$8:TblDetailBudget[[#This Row],[Lvl 1 Header]], TblDetailBudget[[#This Row],[Lvl 1 Header]], $E$8:TblDetailBudget[[#This Row],[Lvl 2 Header]], TblDetailBudget[[#This Row],[Lvl 2 Header]]))</f>
        <v>3</v>
      </c>
      <c r="G1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1" s="101"/>
      <c r="J131" s="101"/>
      <c r="K131" s="88"/>
      <c r="L131" s="88"/>
      <c r="M131" s="62" t="str">
        <f>IF(TblDetailBudget[[#This Row],[Level]]=LvlBottomHdr, IFERROR(INDEX(TblUnitCost[Unit], MATCH(TblDetailBudget[[#This Row],[Row Title]], TblUnitCost[Resource], 0)), "Invalid Resource"), "")</f>
        <v/>
      </c>
      <c r="N131" s="125" t="str">
        <f>IF(TblDetailBudget[[#This Row],[Level]]=LvlBottomHdr, IFERROR(INDEX(TblUnitCost[LCU], MATCH(TblDetailBudget[[#This Row],[Row Title]], TblUnitCost[Resource], 0)), "Invalid Resource"), "")</f>
        <v/>
      </c>
      <c r="O131" s="128"/>
      <c r="P131" s="108"/>
      <c r="Q131" s="129"/>
      <c r="R131" s="108"/>
      <c r="S131" s="108"/>
      <c r="T131" s="108"/>
      <c r="U131" s="108"/>
      <c r="V131" s="108"/>
      <c r="W131" s="125" t="str">
        <f>IF(TblDetailBudget[[#This Row],[Level]]=LvlBottomHdr, IF(SUM(TblDetailBudget[[#This Row],[2021 Quant]:[2025 Quant]])&gt;0, SUM(TblDetailBudget[[#This Row],[2021 Quant]:[2025 Quant]]), ""), "")</f>
        <v/>
      </c>
      <c r="X13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1" s="140">
        <f>SUM(TblDetailBudget[[#This Row],[2021 Cost (LCU)]:[2025 Cost (LCU)]])</f>
        <v>0</v>
      </c>
      <c r="AD131" s="134">
        <f>IFERROR(SUM(TblDetailBudget[[#This Row],[2021 Cost (LCU)]])/FX_Rate, "")</f>
        <v>0</v>
      </c>
      <c r="AE131" s="63">
        <f>IFERROR(SUM(TblDetailBudget[[#This Row],[2022 Cost (LCU)]])/FX_Rate, "")</f>
        <v>0</v>
      </c>
      <c r="AF131" s="63">
        <f>IFERROR(SUM(TblDetailBudget[[#This Row],[2023 Cost (LCU)]])/FX_Rate, "")</f>
        <v>0</v>
      </c>
      <c r="AG131" s="63">
        <f>IFERROR(SUM(TblDetailBudget[[#This Row],[2024 Cost (LCU)]])/FX_Rate, "")</f>
        <v>0</v>
      </c>
      <c r="AH131" s="63">
        <f>IFERROR(SUM(TblDetailBudget[[#This Row],[2025 Cost (LCU)]])/FX_Rate, "")</f>
        <v>0</v>
      </c>
      <c r="AI131" s="125">
        <f>SUM(TblDetailBudget[[#This Row],[2021 Cost (USD)]:[2025 Cost (USD)]])</f>
        <v>0</v>
      </c>
      <c r="AJ131" s="180"/>
    </row>
    <row r="132" spans="2:36" ht="12.75" hidden="1" customHeight="1">
      <c r="B132" s="122" t="s">
        <v>71</v>
      </c>
      <c r="C1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1.2.3.4.1</v>
      </c>
      <c r="D132" s="62">
        <f>IF(TblDetailBudget[[#This Row],[Level]]="", "", COUNTIFS($B$8:TblDetailBudget[[#This Row],[Level]], Lvl1Hdr))</f>
        <v>1</v>
      </c>
      <c r="E132" s="62">
        <f>IF(TblDetailBudget[[#This Row],[Level]]="", "", COUNTIFS($B$8:TblDetailBudget[[#This Row],[Level]], Lvl2Hdr, $D$8:TblDetailBudget[[#This Row],[Lvl 1 Header]], TblDetailBudget[[#This Row],[Lvl 1 Header]]))</f>
        <v>2</v>
      </c>
      <c r="F132" s="62">
        <f>IF(TblDetailBudget[[#This Row],[Level]]="", "", COUNTIFS($B$8:TblDetailBudget[[#This Row],[Level]], Lvl3Hdr, $D$8:TblDetailBudget[[#This Row],[Lvl 1 Header]], TblDetailBudget[[#This Row],[Lvl 1 Header]], $E$8:TblDetailBudget[[#This Row],[Lvl 2 Header]], TblDetailBudget[[#This Row],[Lvl 2 Header]]))</f>
        <v>3</v>
      </c>
      <c r="G1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2" s="101"/>
      <c r="J132" s="101"/>
      <c r="K132" s="88"/>
      <c r="L132" s="88"/>
      <c r="M132" s="62" t="str">
        <f>IF(TblDetailBudget[[#This Row],[Level]]=LvlBottomHdr, IFERROR(INDEX(TblUnitCost[Unit], MATCH(TblDetailBudget[[#This Row],[Row Title]], TblUnitCost[Resource], 0)), "Invalid Resource"), "")</f>
        <v>Invalid Resource</v>
      </c>
      <c r="N132" s="125" t="str">
        <f>IF(TblDetailBudget[[#This Row],[Level]]=LvlBottomHdr, IFERROR(INDEX(TblUnitCost[LCU], MATCH(TblDetailBudget[[#This Row],[Row Title]], TblUnitCost[Resource], 0)), "Invalid Resource"), "")</f>
        <v>Invalid Resource</v>
      </c>
      <c r="O132" s="128"/>
      <c r="P132" s="108"/>
      <c r="Q132" s="129"/>
      <c r="R132" s="108"/>
      <c r="S132" s="108"/>
      <c r="T132" s="108"/>
      <c r="U132" s="108"/>
      <c r="V132" s="108"/>
      <c r="W132" s="125" t="str">
        <f>IF(TblDetailBudget[[#This Row],[Level]]=LvlBottomHdr, IF(SUM(TblDetailBudget[[#This Row],[2021 Quant]:[2025 Quant]])&gt;0, SUM(TblDetailBudget[[#This Row],[2021 Quant]:[2025 Quant]]), ""), "")</f>
        <v/>
      </c>
      <c r="X13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2" s="140">
        <f>SUM(TblDetailBudget[[#This Row],[2021 Cost (LCU)]:[2025 Cost (LCU)]])</f>
        <v>0</v>
      </c>
      <c r="AD132" s="134">
        <f>IFERROR(SUM(TblDetailBudget[[#This Row],[2021 Cost (LCU)]])/FX_Rate, "")</f>
        <v>0</v>
      </c>
      <c r="AE132" s="63">
        <f>IFERROR(SUM(TblDetailBudget[[#This Row],[2022 Cost (LCU)]])/FX_Rate, "")</f>
        <v>0</v>
      </c>
      <c r="AF132" s="63">
        <f>IFERROR(SUM(TblDetailBudget[[#This Row],[2023 Cost (LCU)]])/FX_Rate, "")</f>
        <v>0</v>
      </c>
      <c r="AG132" s="63">
        <f>IFERROR(SUM(TblDetailBudget[[#This Row],[2024 Cost (LCU)]])/FX_Rate, "")</f>
        <v>0</v>
      </c>
      <c r="AH132" s="63">
        <f>IFERROR(SUM(TblDetailBudget[[#This Row],[2025 Cost (LCU)]])/FX_Rate, "")</f>
        <v>0</v>
      </c>
      <c r="AI132" s="125">
        <f>SUM(TblDetailBudget[[#This Row],[2021 Cost (USD)]:[2025 Cost (USD)]])</f>
        <v>0</v>
      </c>
      <c r="AJ132" s="180"/>
    </row>
    <row r="133" spans="2:36" ht="12.75" hidden="1" customHeight="1">
      <c r="B133" s="122" t="s">
        <v>71</v>
      </c>
      <c r="C1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1.2.3.4.2</v>
      </c>
      <c r="D133" s="62">
        <f>IF(TblDetailBudget[[#This Row],[Level]]="", "", COUNTIFS($B$8:TblDetailBudget[[#This Row],[Level]], Lvl1Hdr))</f>
        <v>1</v>
      </c>
      <c r="E133" s="62">
        <f>IF(TblDetailBudget[[#This Row],[Level]]="", "", COUNTIFS($B$8:TblDetailBudget[[#This Row],[Level]], Lvl2Hdr, $D$8:TblDetailBudget[[#This Row],[Lvl 1 Header]], TblDetailBudget[[#This Row],[Lvl 1 Header]]))</f>
        <v>2</v>
      </c>
      <c r="F133" s="62">
        <f>IF(TblDetailBudget[[#This Row],[Level]]="", "", COUNTIFS($B$8:TblDetailBudget[[#This Row],[Level]], Lvl3Hdr, $D$8:TblDetailBudget[[#This Row],[Lvl 1 Header]], TblDetailBudget[[#This Row],[Lvl 1 Header]], $E$8:TblDetailBudget[[#This Row],[Lvl 2 Header]], TblDetailBudget[[#This Row],[Lvl 2 Header]]))</f>
        <v>3</v>
      </c>
      <c r="G1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33" s="101"/>
      <c r="J133" s="101"/>
      <c r="K133" s="88"/>
      <c r="L133" s="88"/>
      <c r="M133" s="62" t="str">
        <f>IF(TblDetailBudget[[#This Row],[Level]]=LvlBottomHdr, IFERROR(INDEX(TblUnitCost[Unit], MATCH(TblDetailBudget[[#This Row],[Row Title]], TblUnitCost[Resource], 0)), "Invalid Resource"), "")</f>
        <v>Invalid Resource</v>
      </c>
      <c r="N133" s="125" t="str">
        <f>IF(TblDetailBudget[[#This Row],[Level]]=LvlBottomHdr, IFERROR(INDEX(TblUnitCost[LCU], MATCH(TblDetailBudget[[#This Row],[Row Title]], TblUnitCost[Resource], 0)), "Invalid Resource"), "")</f>
        <v>Invalid Resource</v>
      </c>
      <c r="O133" s="128"/>
      <c r="P133" s="108"/>
      <c r="Q133" s="129"/>
      <c r="R133" s="108"/>
      <c r="S133" s="108"/>
      <c r="T133" s="108"/>
      <c r="U133" s="108"/>
      <c r="V133" s="108"/>
      <c r="W133" s="125" t="str">
        <f>IF(TblDetailBudget[[#This Row],[Level]]=LvlBottomHdr, IF(SUM(TblDetailBudget[[#This Row],[2021 Quant]:[2025 Quant]])&gt;0, SUM(TblDetailBudget[[#This Row],[2021 Quant]:[2025 Quant]]), ""), "")</f>
        <v/>
      </c>
      <c r="X13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3" s="140">
        <f>SUM(TblDetailBudget[[#This Row],[2021 Cost (LCU)]:[2025 Cost (LCU)]])</f>
        <v>0</v>
      </c>
      <c r="AD133" s="134">
        <f>IFERROR(SUM(TblDetailBudget[[#This Row],[2021 Cost (LCU)]])/FX_Rate, "")</f>
        <v>0</v>
      </c>
      <c r="AE133" s="63">
        <f>IFERROR(SUM(TblDetailBudget[[#This Row],[2022 Cost (LCU)]])/FX_Rate, "")</f>
        <v>0</v>
      </c>
      <c r="AF133" s="63">
        <f>IFERROR(SUM(TblDetailBudget[[#This Row],[2023 Cost (LCU)]])/FX_Rate, "")</f>
        <v>0</v>
      </c>
      <c r="AG133" s="63">
        <f>IFERROR(SUM(TblDetailBudget[[#This Row],[2024 Cost (LCU)]])/FX_Rate, "")</f>
        <v>0</v>
      </c>
      <c r="AH133" s="63">
        <f>IFERROR(SUM(TblDetailBudget[[#This Row],[2025 Cost (LCU)]])/FX_Rate, "")</f>
        <v>0</v>
      </c>
      <c r="AI133" s="125">
        <f>SUM(TblDetailBudget[[#This Row],[2021 Cost (USD)]:[2025 Cost (USD)]])</f>
        <v>0</v>
      </c>
      <c r="AJ133" s="180"/>
    </row>
    <row r="134" spans="2:36" ht="12.75" hidden="1" customHeight="1">
      <c r="B134" s="122" t="s">
        <v>71</v>
      </c>
      <c r="C1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1.2.3.4.3</v>
      </c>
      <c r="D134" s="62">
        <f>IF(TblDetailBudget[[#This Row],[Level]]="", "", COUNTIFS($B$8:TblDetailBudget[[#This Row],[Level]], Lvl1Hdr))</f>
        <v>1</v>
      </c>
      <c r="E134" s="62">
        <f>IF(TblDetailBudget[[#This Row],[Level]]="", "", COUNTIFS($B$8:TblDetailBudget[[#This Row],[Level]], Lvl2Hdr, $D$8:TblDetailBudget[[#This Row],[Lvl 1 Header]], TblDetailBudget[[#This Row],[Lvl 1 Header]]))</f>
        <v>2</v>
      </c>
      <c r="F134" s="62">
        <f>IF(TblDetailBudget[[#This Row],[Level]]="", "", COUNTIFS($B$8:TblDetailBudget[[#This Row],[Level]], Lvl3Hdr, $D$8:TblDetailBudget[[#This Row],[Lvl 1 Header]], TblDetailBudget[[#This Row],[Lvl 1 Header]], $E$8:TblDetailBudget[[#This Row],[Lvl 2 Header]], TblDetailBudget[[#This Row],[Lvl 2 Header]]))</f>
        <v>3</v>
      </c>
      <c r="G1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34" s="101"/>
      <c r="J134" s="101"/>
      <c r="K134" s="88"/>
      <c r="L134" s="88"/>
      <c r="M134" s="62" t="str">
        <f>IF(TblDetailBudget[[#This Row],[Level]]=LvlBottomHdr, IFERROR(INDEX(TblUnitCost[Unit], MATCH(TblDetailBudget[[#This Row],[Row Title]], TblUnitCost[Resource], 0)), "Invalid Resource"), "")</f>
        <v>Invalid Resource</v>
      </c>
      <c r="N134" s="125" t="str">
        <f>IF(TblDetailBudget[[#This Row],[Level]]=LvlBottomHdr, IFERROR(INDEX(TblUnitCost[LCU], MATCH(TblDetailBudget[[#This Row],[Row Title]], TblUnitCost[Resource], 0)), "Invalid Resource"), "")</f>
        <v>Invalid Resource</v>
      </c>
      <c r="O134" s="128"/>
      <c r="P134" s="108"/>
      <c r="Q134" s="129"/>
      <c r="R134" s="108"/>
      <c r="S134" s="108"/>
      <c r="T134" s="108"/>
      <c r="U134" s="108"/>
      <c r="V134" s="108"/>
      <c r="W134" s="125" t="str">
        <f>IF(TblDetailBudget[[#This Row],[Level]]=LvlBottomHdr, IF(SUM(TblDetailBudget[[#This Row],[2021 Quant]:[2025 Quant]])&gt;0, SUM(TblDetailBudget[[#This Row],[2021 Quant]:[2025 Quant]]), ""), "")</f>
        <v/>
      </c>
      <c r="X13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4" s="140">
        <f>SUM(TblDetailBudget[[#This Row],[2021 Cost (LCU)]:[2025 Cost (LCU)]])</f>
        <v>0</v>
      </c>
      <c r="AD134" s="134">
        <f>IFERROR(SUM(TblDetailBudget[[#This Row],[2021 Cost (LCU)]])/FX_Rate, "")</f>
        <v>0</v>
      </c>
      <c r="AE134" s="63">
        <f>IFERROR(SUM(TblDetailBudget[[#This Row],[2022 Cost (LCU)]])/FX_Rate, "")</f>
        <v>0</v>
      </c>
      <c r="AF134" s="63">
        <f>IFERROR(SUM(TblDetailBudget[[#This Row],[2023 Cost (LCU)]])/FX_Rate, "")</f>
        <v>0</v>
      </c>
      <c r="AG134" s="63">
        <f>IFERROR(SUM(TblDetailBudget[[#This Row],[2024 Cost (LCU)]])/FX_Rate, "")</f>
        <v>0</v>
      </c>
      <c r="AH134" s="63">
        <f>IFERROR(SUM(TblDetailBudget[[#This Row],[2025 Cost (LCU)]])/FX_Rate, "")</f>
        <v>0</v>
      </c>
      <c r="AI134" s="125">
        <f>SUM(TblDetailBudget[[#This Row],[2021 Cost (USD)]:[2025 Cost (USD)]])</f>
        <v>0</v>
      </c>
      <c r="AJ134" s="180"/>
    </row>
    <row r="135" spans="2:36" ht="12.75" hidden="1" customHeight="1">
      <c r="B135" s="122" t="s">
        <v>70</v>
      </c>
      <c r="C1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v>
      </c>
      <c r="D135" s="62">
        <f>IF(TblDetailBudget[[#This Row],[Level]]="", "", COUNTIFS($B$8:TblDetailBudget[[#This Row],[Level]], Lvl1Hdr))</f>
        <v>1</v>
      </c>
      <c r="E135" s="62">
        <f>IF(TblDetailBudget[[#This Row],[Level]]="", "", COUNTIFS($B$8:TblDetailBudget[[#This Row],[Level]], Lvl2Hdr, $D$8:TblDetailBudget[[#This Row],[Lvl 1 Header]], TblDetailBudget[[#This Row],[Lvl 1 Header]]))</f>
        <v>2</v>
      </c>
      <c r="F135" s="62">
        <f>IF(TblDetailBudget[[#This Row],[Level]]="", "", COUNTIFS($B$8:TblDetailBudget[[#This Row],[Level]], Lvl3Hdr, $D$8:TblDetailBudget[[#This Row],[Lvl 1 Header]], TblDetailBudget[[#This Row],[Lvl 1 Header]], $E$8:TblDetailBudget[[#This Row],[Lvl 2 Header]], TblDetailBudget[[#This Row],[Lvl 2 Header]]))</f>
        <v>3</v>
      </c>
      <c r="G1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5" s="101"/>
      <c r="J135" s="101"/>
      <c r="K135" s="88"/>
      <c r="L135" s="88"/>
      <c r="M135" s="62" t="str">
        <f>IF(TblDetailBudget[[#This Row],[Level]]=LvlBottomHdr, IFERROR(INDEX(TblUnitCost[Unit], MATCH(TblDetailBudget[[#This Row],[Row Title]], TblUnitCost[Resource], 0)), "Invalid Resource"), "")</f>
        <v/>
      </c>
      <c r="N135" s="125" t="str">
        <f>IF(TblDetailBudget[[#This Row],[Level]]=LvlBottomHdr, IFERROR(INDEX(TblUnitCost[LCU], MATCH(TblDetailBudget[[#This Row],[Row Title]], TblUnitCost[Resource], 0)), "Invalid Resource"), "")</f>
        <v/>
      </c>
      <c r="O135" s="128"/>
      <c r="P135" s="108"/>
      <c r="Q135" s="129"/>
      <c r="R135" s="108"/>
      <c r="S135" s="108"/>
      <c r="T135" s="108"/>
      <c r="U135" s="108"/>
      <c r="V135" s="108"/>
      <c r="W135" s="125" t="str">
        <f>IF(TblDetailBudget[[#This Row],[Level]]=LvlBottomHdr, IF(SUM(TblDetailBudget[[#This Row],[2021 Quant]:[2025 Quant]])&gt;0, SUM(TblDetailBudget[[#This Row],[2021 Quant]:[2025 Quant]]), ""), "")</f>
        <v/>
      </c>
      <c r="X13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5" s="140">
        <f>SUM(TblDetailBudget[[#This Row],[2021 Cost (LCU)]:[2025 Cost (LCU)]])</f>
        <v>0</v>
      </c>
      <c r="AD135" s="134">
        <f>IFERROR(SUM(TblDetailBudget[[#This Row],[2021 Cost (LCU)]])/FX_Rate, "")</f>
        <v>0</v>
      </c>
      <c r="AE135" s="63">
        <f>IFERROR(SUM(TblDetailBudget[[#This Row],[2022 Cost (LCU)]])/FX_Rate, "")</f>
        <v>0</v>
      </c>
      <c r="AF135" s="63">
        <f>IFERROR(SUM(TblDetailBudget[[#This Row],[2023 Cost (LCU)]])/FX_Rate, "")</f>
        <v>0</v>
      </c>
      <c r="AG135" s="63">
        <f>IFERROR(SUM(TblDetailBudget[[#This Row],[2024 Cost (LCU)]])/FX_Rate, "")</f>
        <v>0</v>
      </c>
      <c r="AH135" s="63">
        <f>IFERROR(SUM(TblDetailBudget[[#This Row],[2025 Cost (LCU)]])/FX_Rate, "")</f>
        <v>0</v>
      </c>
      <c r="AI135" s="125">
        <f>SUM(TblDetailBudget[[#This Row],[2021 Cost (USD)]:[2025 Cost (USD)]])</f>
        <v>0</v>
      </c>
      <c r="AJ135" s="180"/>
    </row>
    <row r="136" spans="2:36" ht="12.75" hidden="1" customHeight="1">
      <c r="B136" s="122" t="s">
        <v>71</v>
      </c>
      <c r="C1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1.2.3.5.1</v>
      </c>
      <c r="D136" s="62">
        <f>IF(TblDetailBudget[[#This Row],[Level]]="", "", COUNTIFS($B$8:TblDetailBudget[[#This Row],[Level]], Lvl1Hdr))</f>
        <v>1</v>
      </c>
      <c r="E136" s="62">
        <f>IF(TblDetailBudget[[#This Row],[Level]]="", "", COUNTIFS($B$8:TblDetailBudget[[#This Row],[Level]], Lvl2Hdr, $D$8:TblDetailBudget[[#This Row],[Lvl 1 Header]], TblDetailBudget[[#This Row],[Lvl 1 Header]]))</f>
        <v>2</v>
      </c>
      <c r="F136" s="62">
        <f>IF(TblDetailBudget[[#This Row],[Level]]="", "", COUNTIFS($B$8:TblDetailBudget[[#This Row],[Level]], Lvl3Hdr, $D$8:TblDetailBudget[[#This Row],[Lvl 1 Header]], TblDetailBudget[[#This Row],[Lvl 1 Header]], $E$8:TblDetailBudget[[#This Row],[Lvl 2 Header]], TblDetailBudget[[#This Row],[Lvl 2 Header]]))</f>
        <v>3</v>
      </c>
      <c r="G1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6" s="101"/>
      <c r="J136" s="101"/>
      <c r="K136" s="88"/>
      <c r="L136" s="88"/>
      <c r="M136" s="62" t="str">
        <f>IF(TblDetailBudget[[#This Row],[Level]]=LvlBottomHdr, IFERROR(INDEX(TblUnitCost[Unit], MATCH(TblDetailBudget[[#This Row],[Row Title]], TblUnitCost[Resource], 0)), "Invalid Resource"), "")</f>
        <v>Invalid Resource</v>
      </c>
      <c r="N136" s="125" t="str">
        <f>IF(TblDetailBudget[[#This Row],[Level]]=LvlBottomHdr, IFERROR(INDEX(TblUnitCost[LCU], MATCH(TblDetailBudget[[#This Row],[Row Title]], TblUnitCost[Resource], 0)), "Invalid Resource"), "")</f>
        <v>Invalid Resource</v>
      </c>
      <c r="O136" s="128"/>
      <c r="P136" s="108"/>
      <c r="Q136" s="129"/>
      <c r="R136" s="108"/>
      <c r="S136" s="108"/>
      <c r="T136" s="108"/>
      <c r="U136" s="108"/>
      <c r="V136" s="108"/>
      <c r="W136" s="125" t="str">
        <f>IF(TblDetailBudget[[#This Row],[Level]]=LvlBottomHdr, IF(SUM(TblDetailBudget[[#This Row],[2021 Quant]:[2025 Quant]])&gt;0, SUM(TblDetailBudget[[#This Row],[2021 Quant]:[2025 Quant]]), ""), "")</f>
        <v/>
      </c>
      <c r="X13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6" s="140">
        <f>SUM(TblDetailBudget[[#This Row],[2021 Cost (LCU)]:[2025 Cost (LCU)]])</f>
        <v>0</v>
      </c>
      <c r="AD136" s="134">
        <f>IFERROR(SUM(TblDetailBudget[[#This Row],[2021 Cost (LCU)]])/FX_Rate, "")</f>
        <v>0</v>
      </c>
      <c r="AE136" s="63">
        <f>IFERROR(SUM(TblDetailBudget[[#This Row],[2022 Cost (LCU)]])/FX_Rate, "")</f>
        <v>0</v>
      </c>
      <c r="AF136" s="63">
        <f>IFERROR(SUM(TblDetailBudget[[#This Row],[2023 Cost (LCU)]])/FX_Rate, "")</f>
        <v>0</v>
      </c>
      <c r="AG136" s="63">
        <f>IFERROR(SUM(TblDetailBudget[[#This Row],[2024 Cost (LCU)]])/FX_Rate, "")</f>
        <v>0</v>
      </c>
      <c r="AH136" s="63">
        <f>IFERROR(SUM(TblDetailBudget[[#This Row],[2025 Cost (LCU)]])/FX_Rate, "")</f>
        <v>0</v>
      </c>
      <c r="AI136" s="125">
        <f>SUM(TblDetailBudget[[#This Row],[2021 Cost (USD)]:[2025 Cost (USD)]])</f>
        <v>0</v>
      </c>
      <c r="AJ136" s="180"/>
    </row>
    <row r="137" spans="2:36" ht="12.75" hidden="1" customHeight="1">
      <c r="B137" s="122" t="s">
        <v>71</v>
      </c>
      <c r="C1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1.2.3.5.2</v>
      </c>
      <c r="D137" s="62">
        <f>IF(TblDetailBudget[[#This Row],[Level]]="", "", COUNTIFS($B$8:TblDetailBudget[[#This Row],[Level]], Lvl1Hdr))</f>
        <v>1</v>
      </c>
      <c r="E137" s="62">
        <f>IF(TblDetailBudget[[#This Row],[Level]]="", "", COUNTIFS($B$8:TblDetailBudget[[#This Row],[Level]], Lvl2Hdr, $D$8:TblDetailBudget[[#This Row],[Lvl 1 Header]], TblDetailBudget[[#This Row],[Lvl 1 Header]]))</f>
        <v>2</v>
      </c>
      <c r="F137" s="62">
        <f>IF(TblDetailBudget[[#This Row],[Level]]="", "", COUNTIFS($B$8:TblDetailBudget[[#This Row],[Level]], Lvl3Hdr, $D$8:TblDetailBudget[[#This Row],[Lvl 1 Header]], TblDetailBudget[[#This Row],[Lvl 1 Header]], $E$8:TblDetailBudget[[#This Row],[Lvl 2 Header]], TblDetailBudget[[#This Row],[Lvl 2 Header]]))</f>
        <v>3</v>
      </c>
      <c r="G1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37" s="101"/>
      <c r="J137" s="101"/>
      <c r="K137" s="88"/>
      <c r="L137" s="88"/>
      <c r="M137" s="62" t="str">
        <f>IF(TblDetailBudget[[#This Row],[Level]]=LvlBottomHdr, IFERROR(INDEX(TblUnitCost[Unit], MATCH(TblDetailBudget[[#This Row],[Row Title]], TblUnitCost[Resource], 0)), "Invalid Resource"), "")</f>
        <v>Invalid Resource</v>
      </c>
      <c r="N137" s="125" t="str">
        <f>IF(TblDetailBudget[[#This Row],[Level]]=LvlBottomHdr, IFERROR(INDEX(TblUnitCost[LCU], MATCH(TblDetailBudget[[#This Row],[Row Title]], TblUnitCost[Resource], 0)), "Invalid Resource"), "")</f>
        <v>Invalid Resource</v>
      </c>
      <c r="O137" s="128"/>
      <c r="P137" s="108"/>
      <c r="Q137" s="129"/>
      <c r="R137" s="108"/>
      <c r="S137" s="108"/>
      <c r="T137" s="108"/>
      <c r="U137" s="108"/>
      <c r="V137" s="108"/>
      <c r="W137" s="125" t="str">
        <f>IF(TblDetailBudget[[#This Row],[Level]]=LvlBottomHdr, IF(SUM(TblDetailBudget[[#This Row],[2021 Quant]:[2025 Quant]])&gt;0, SUM(TblDetailBudget[[#This Row],[2021 Quant]:[2025 Quant]]), ""), "")</f>
        <v/>
      </c>
      <c r="X13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7" s="140">
        <f>SUM(TblDetailBudget[[#This Row],[2021 Cost (LCU)]:[2025 Cost (LCU)]])</f>
        <v>0</v>
      </c>
      <c r="AD137" s="134">
        <f>IFERROR(SUM(TblDetailBudget[[#This Row],[2021 Cost (LCU)]])/FX_Rate, "")</f>
        <v>0</v>
      </c>
      <c r="AE137" s="63">
        <f>IFERROR(SUM(TblDetailBudget[[#This Row],[2022 Cost (LCU)]])/FX_Rate, "")</f>
        <v>0</v>
      </c>
      <c r="AF137" s="63">
        <f>IFERROR(SUM(TblDetailBudget[[#This Row],[2023 Cost (LCU)]])/FX_Rate, "")</f>
        <v>0</v>
      </c>
      <c r="AG137" s="63">
        <f>IFERROR(SUM(TblDetailBudget[[#This Row],[2024 Cost (LCU)]])/FX_Rate, "")</f>
        <v>0</v>
      </c>
      <c r="AH137" s="63">
        <f>IFERROR(SUM(TblDetailBudget[[#This Row],[2025 Cost (LCU)]])/FX_Rate, "")</f>
        <v>0</v>
      </c>
      <c r="AI137" s="125">
        <f>SUM(TblDetailBudget[[#This Row],[2021 Cost (USD)]:[2025 Cost (USD)]])</f>
        <v>0</v>
      </c>
      <c r="AJ137" s="180"/>
    </row>
    <row r="138" spans="2:36" ht="12.75" hidden="1" customHeight="1">
      <c r="B138" s="122" t="s">
        <v>68</v>
      </c>
      <c r="C1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v>
      </c>
      <c r="D138" s="62">
        <f>IF(TblDetailBudget[[#This Row],[Level]]="", "", COUNTIFS($B$8:TblDetailBudget[[#This Row],[Level]], Lvl1Hdr))</f>
        <v>1</v>
      </c>
      <c r="E138" s="62">
        <f>IF(TblDetailBudget[[#This Row],[Level]]="", "", COUNTIFS($B$8:TblDetailBudget[[#This Row],[Level]], Lvl2Hdr, $D$8:TblDetailBudget[[#This Row],[Lvl 1 Header]], TblDetailBudget[[#This Row],[Lvl 1 Header]]))</f>
        <v>3</v>
      </c>
      <c r="F138" s="62">
        <f>IF(TblDetailBudget[[#This Row],[Level]]="", "", COUNTIFS($B$8:TblDetailBudget[[#This Row],[Level]], Lvl3Hdr, $D$8:TblDetailBudget[[#This Row],[Lvl 1 Header]], TblDetailBudget[[#This Row],[Lvl 1 Header]], $E$8:TblDetailBudget[[#This Row],[Lvl 2 Header]], TblDetailBudget[[#This Row],[Lvl 2 Header]]))</f>
        <v>0</v>
      </c>
      <c r="G1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8" s="185" t="s">
        <v>158</v>
      </c>
      <c r="J138" s="101"/>
      <c r="K138" s="88"/>
      <c r="L138" s="88"/>
      <c r="M138" s="62" t="str">
        <f>IF(TblDetailBudget[[#This Row],[Level]]=LvlBottomHdr, IFERROR(INDEX(TblUnitCost[Unit], MATCH(TblDetailBudget[[#This Row],[Row Title]], TblUnitCost[Resource], 0)), "Invalid Resource"), "")</f>
        <v/>
      </c>
      <c r="N138" s="125" t="str">
        <f>IF(TblDetailBudget[[#This Row],[Level]]=LvlBottomHdr, IFERROR(INDEX(TblUnitCost[LCU], MATCH(TblDetailBudget[[#This Row],[Row Title]], TblUnitCost[Resource], 0)), "Invalid Resource"), "")</f>
        <v/>
      </c>
      <c r="O138" s="128"/>
      <c r="P138" s="108"/>
      <c r="Q138" s="129"/>
      <c r="R138" s="108"/>
      <c r="S138" s="108"/>
      <c r="T138" s="108"/>
      <c r="U138" s="108"/>
      <c r="V138" s="108"/>
      <c r="W138" s="125" t="str">
        <f>IF(TblDetailBudget[[#This Row],[Level]]=LvlBottomHdr, IF(SUM(TblDetailBudget[[#This Row],[2021 Quant]:[2025 Quant]])&gt;0, SUM(TblDetailBudget[[#This Row],[2021 Quant]:[2025 Quant]]), ""), "")</f>
        <v/>
      </c>
      <c r="X13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38" s="140">
        <f>SUM(TblDetailBudget[[#This Row],[2021 Cost (LCU)]:[2025 Cost (LCU)]])</f>
        <v>5913600671000</v>
      </c>
      <c r="AD138" s="134">
        <f>IFERROR(SUM(TblDetailBudget[[#This Row],[2021 Cost (LCU)]])/FX_Rate, "")</f>
        <v>0</v>
      </c>
      <c r="AE138" s="63">
        <f>IFERROR(SUM(TblDetailBudget[[#This Row],[2022 Cost (LCU)]])/FX_Rate, "")</f>
        <v>0</v>
      </c>
      <c r="AF138" s="63">
        <f>IFERROR(SUM(TblDetailBudget[[#This Row],[2023 Cost (LCU)]])/FX_Rate, "")</f>
        <v>0</v>
      </c>
      <c r="AG138" s="63">
        <f>IFERROR(SUM(TblDetailBudget[[#This Row],[2024 Cost (LCU)]])/FX_Rate, "")</f>
        <v>0</v>
      </c>
      <c r="AH138" s="63">
        <f>IFERROR(SUM(TblDetailBudget[[#This Row],[2025 Cost (LCU)]])/FX_Rate, "")</f>
        <v>3696000419.375</v>
      </c>
      <c r="AI138" s="125">
        <f>SUM(TblDetailBudget[[#This Row],[2021 Cost (USD)]:[2025 Cost (USD)]])</f>
        <v>3696000419.375</v>
      </c>
      <c r="AJ138" s="180"/>
    </row>
    <row r="139" spans="2:36" ht="12.75" customHeight="1">
      <c r="B139" s="122" t="s">
        <v>69</v>
      </c>
      <c r="C1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v>
      </c>
      <c r="D139" s="62">
        <f>IF(TblDetailBudget[[#This Row],[Level]]="", "", COUNTIFS($B$8:TblDetailBudget[[#This Row],[Level]], Lvl1Hdr))</f>
        <v>1</v>
      </c>
      <c r="E139" s="62">
        <f>IF(TblDetailBudget[[#This Row],[Level]]="", "", COUNTIFS($B$8:TblDetailBudget[[#This Row],[Level]], Lvl2Hdr, $D$8:TblDetailBudget[[#This Row],[Lvl 1 Header]], TblDetailBudget[[#This Row],[Lvl 1 Header]]))</f>
        <v>3</v>
      </c>
      <c r="F139" s="62">
        <f>IF(TblDetailBudget[[#This Row],[Level]]="", "", COUNTIFS($B$8:TblDetailBudget[[#This Row],[Level]], Lvl3Hdr, $D$8:TblDetailBudget[[#This Row],[Lvl 1 Header]], TblDetailBudget[[#This Row],[Lvl 1 Header]], $E$8:TblDetailBudget[[#This Row],[Lvl 2 Header]], TblDetailBudget[[#This Row],[Lvl 2 Header]]))</f>
        <v>1</v>
      </c>
      <c r="G1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9" s="185" t="s">
        <v>159</v>
      </c>
      <c r="J139" s="101"/>
      <c r="K139" s="88"/>
      <c r="L139" s="88"/>
      <c r="M139" s="62" t="str">
        <f>IF(TblDetailBudget[[#This Row],[Level]]=LvlBottomHdr, IFERROR(INDEX(TblUnitCost[Unit], MATCH(TblDetailBudget[[#This Row],[Row Title]], TblUnitCost[Resource], 0)), "Invalid Resource"), "")</f>
        <v/>
      </c>
      <c r="N139" s="125" t="str">
        <f>IF(TblDetailBudget[[#This Row],[Level]]=LvlBottomHdr, IFERROR(INDEX(TblUnitCost[LCU], MATCH(TblDetailBudget[[#This Row],[Row Title]], TblUnitCost[Resource], 0)), "Invalid Resource"), "")</f>
        <v/>
      </c>
      <c r="O139" s="128"/>
      <c r="P139" s="108"/>
      <c r="Q139" s="129"/>
      <c r="R139" s="108"/>
      <c r="S139" s="108"/>
      <c r="T139" s="108"/>
      <c r="U139" s="108"/>
      <c r="V139" s="108"/>
      <c r="W139" s="125" t="str">
        <f>IF(TblDetailBudget[[#This Row],[Level]]=LvlBottomHdr, IF(SUM(TblDetailBudget[[#This Row],[2021 Quant]:[2025 Quant]])&gt;0, SUM(TblDetailBudget[[#This Row],[2021 Quant]:[2025 Quant]]), ""), "")</f>
        <v/>
      </c>
      <c r="X13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9" s="140">
        <f>SUM(TblDetailBudget[[#This Row],[2021 Cost (LCU)]:[2025 Cost (LCU)]])</f>
        <v>0</v>
      </c>
      <c r="AD139" s="134">
        <f>IFERROR(SUM(TblDetailBudget[[#This Row],[2021 Cost (LCU)]])/FX_Rate, "")</f>
        <v>0</v>
      </c>
      <c r="AE139" s="63">
        <f>IFERROR(SUM(TblDetailBudget[[#This Row],[2022 Cost (LCU)]])/FX_Rate, "")</f>
        <v>0</v>
      </c>
      <c r="AF139" s="63">
        <f>IFERROR(SUM(TblDetailBudget[[#This Row],[2023 Cost (LCU)]])/FX_Rate, "")</f>
        <v>0</v>
      </c>
      <c r="AG139" s="63">
        <f>IFERROR(SUM(TblDetailBudget[[#This Row],[2024 Cost (LCU)]])/FX_Rate, "")</f>
        <v>0</v>
      </c>
      <c r="AH139" s="63">
        <f>IFERROR(SUM(TblDetailBudget[[#This Row],[2025 Cost (LCU)]])/FX_Rate, "")</f>
        <v>0</v>
      </c>
      <c r="AI139" s="125">
        <f>SUM(TblDetailBudget[[#This Row],[2021 Cost (USD)]:[2025 Cost (USD)]])</f>
        <v>0</v>
      </c>
      <c r="AJ139" s="180"/>
    </row>
    <row r="140" spans="2:36" ht="12.75" customHeight="1">
      <c r="B140" s="122" t="s">
        <v>70</v>
      </c>
      <c r="C1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1.3.1.1</v>
      </c>
      <c r="D140" s="62">
        <f>IF(TblDetailBudget[[#This Row],[Level]]="", "", COUNTIFS($B$8:TblDetailBudget[[#This Row],[Level]], Lvl1Hdr))</f>
        <v>1</v>
      </c>
      <c r="E140" s="62">
        <f>IF(TblDetailBudget[[#This Row],[Level]]="", "", COUNTIFS($B$8:TblDetailBudget[[#This Row],[Level]], Lvl2Hdr, $D$8:TblDetailBudget[[#This Row],[Lvl 1 Header]], TblDetailBudget[[#This Row],[Lvl 1 Header]]))</f>
        <v>3</v>
      </c>
      <c r="F140" s="62">
        <f>IF(TblDetailBudget[[#This Row],[Level]]="", "", COUNTIFS($B$8:TblDetailBudget[[#This Row],[Level]], Lvl3Hdr, $D$8:TblDetailBudget[[#This Row],[Lvl 1 Header]], TblDetailBudget[[#This Row],[Lvl 1 Header]], $E$8:TblDetailBudget[[#This Row],[Lvl 2 Header]], TblDetailBudget[[#This Row],[Lvl 2 Header]]))</f>
        <v>1</v>
      </c>
      <c r="G1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0" s="101" t="s">
        <v>160</v>
      </c>
      <c r="J140" s="101"/>
      <c r="K140" s="88"/>
      <c r="L140" s="88"/>
      <c r="M140" s="62" t="str">
        <f>IF(TblDetailBudget[[#This Row],[Level]]=LvlBottomHdr, IFERROR(INDEX(TblUnitCost[Unit], MATCH(TblDetailBudget[[#This Row],[Row Title]], TblUnitCost[Resource], 0)), "Invalid Resource"), "")</f>
        <v/>
      </c>
      <c r="N140" s="125" t="str">
        <f>IF(TblDetailBudget[[#This Row],[Level]]=LvlBottomHdr, IFERROR(INDEX(TblUnitCost[LCU], MATCH(TblDetailBudget[[#This Row],[Row Title]], TblUnitCost[Resource], 0)), "Invalid Resource"), "")</f>
        <v/>
      </c>
      <c r="O140" s="128"/>
      <c r="P140" s="108"/>
      <c r="Q140" s="129"/>
      <c r="R140" s="108"/>
      <c r="S140" s="108"/>
      <c r="T140" s="108"/>
      <c r="U140" s="108"/>
      <c r="V140" s="108"/>
      <c r="W140" s="125" t="str">
        <f>IF(TblDetailBudget[[#This Row],[Level]]=LvlBottomHdr, IF(SUM(TblDetailBudget[[#This Row],[2021 Quant]:[2025 Quant]])&gt;0, SUM(TblDetailBudget[[#This Row],[2021 Quant]:[2025 Quant]]), ""), "")</f>
        <v/>
      </c>
      <c r="X14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0" s="140">
        <f>SUM(TblDetailBudget[[#This Row],[2021 Cost (LCU)]:[2025 Cost (LCU)]])</f>
        <v>0</v>
      </c>
      <c r="AD140" s="134">
        <f>IFERROR(SUM(TblDetailBudget[[#This Row],[2021 Cost (LCU)]])/FX_Rate, "")</f>
        <v>0</v>
      </c>
      <c r="AE140" s="63">
        <f>IFERROR(SUM(TblDetailBudget[[#This Row],[2022 Cost (LCU)]])/FX_Rate, "")</f>
        <v>0</v>
      </c>
      <c r="AF140" s="63">
        <f>IFERROR(SUM(TblDetailBudget[[#This Row],[2023 Cost (LCU)]])/FX_Rate, "")</f>
        <v>0</v>
      </c>
      <c r="AG140" s="63">
        <f>IFERROR(SUM(TblDetailBudget[[#This Row],[2024 Cost (LCU)]])/FX_Rate, "")</f>
        <v>0</v>
      </c>
      <c r="AH140" s="63">
        <f>IFERROR(SUM(TblDetailBudget[[#This Row],[2025 Cost (LCU)]])/FX_Rate, "")</f>
        <v>0</v>
      </c>
      <c r="AI140" s="125">
        <f>SUM(TblDetailBudget[[#This Row],[2021 Cost (USD)]:[2025 Cost (USD)]])</f>
        <v>0</v>
      </c>
      <c r="AJ140" s="180"/>
    </row>
    <row r="141" spans="2:36" ht="12.75" customHeight="1">
      <c r="B141" s="122" t="s">
        <v>71</v>
      </c>
      <c r="C1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1.3.1.1.1</v>
      </c>
      <c r="D141" s="62">
        <f>IF(TblDetailBudget[[#This Row],[Level]]="", "", COUNTIFS($B$8:TblDetailBudget[[#This Row],[Level]], Lvl1Hdr))</f>
        <v>1</v>
      </c>
      <c r="E141" s="62">
        <f>IF(TblDetailBudget[[#This Row],[Level]]="", "", COUNTIFS($B$8:TblDetailBudget[[#This Row],[Level]], Lvl2Hdr, $D$8:TblDetailBudget[[#This Row],[Lvl 1 Header]], TblDetailBudget[[#This Row],[Lvl 1 Header]]))</f>
        <v>3</v>
      </c>
      <c r="F141" s="62">
        <f>IF(TblDetailBudget[[#This Row],[Level]]="", "", COUNTIFS($B$8:TblDetailBudget[[#This Row],[Level]], Lvl3Hdr, $D$8:TblDetailBudget[[#This Row],[Lvl 1 Header]], TblDetailBudget[[#This Row],[Lvl 1 Header]], $E$8:TblDetailBudget[[#This Row],[Lvl 2 Header]], TblDetailBudget[[#This Row],[Lvl 2 Header]]))</f>
        <v>1</v>
      </c>
      <c r="G1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1" s="101" t="s">
        <v>112</v>
      </c>
      <c r="J141" s="101"/>
      <c r="K141" s="88"/>
      <c r="L141" s="88"/>
      <c r="M141" s="62" t="str">
        <f>IF(TblDetailBudget[[#This Row],[Level]]=LvlBottomHdr, IFERROR(INDEX(TblUnitCost[Unit], MATCH(TblDetailBudget[[#This Row],[Row Title]], TblUnitCost[Resource], 0)), "Invalid Resource"), "")</f>
        <v>Invalid Resource</v>
      </c>
      <c r="N141" s="125" t="str">
        <f>IF(TblDetailBudget[[#This Row],[Level]]=LvlBottomHdr, IFERROR(INDEX(TblUnitCost[LCU], MATCH(TblDetailBudget[[#This Row],[Row Title]], TblUnitCost[Resource], 0)), "Invalid Resource"), "")</f>
        <v>Invalid Resource</v>
      </c>
      <c r="O141" s="128"/>
      <c r="P141" s="108"/>
      <c r="Q141" s="129"/>
      <c r="R141" s="108"/>
      <c r="S141" s="108"/>
      <c r="T141" s="108"/>
      <c r="U141" s="108"/>
      <c r="V141" s="108"/>
      <c r="W141" s="125" t="str">
        <f>IF(TblDetailBudget[[#This Row],[Level]]=LvlBottomHdr, IF(SUM(TblDetailBudget[[#This Row],[2021 Quant]:[2025 Quant]])&gt;0, SUM(TblDetailBudget[[#This Row],[2021 Quant]:[2025 Quant]]), ""), "")</f>
        <v/>
      </c>
      <c r="X1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1" s="140">
        <f>SUM(TblDetailBudget[[#This Row],[2021 Cost (LCU)]:[2025 Cost (LCU)]])</f>
        <v>0</v>
      </c>
      <c r="AD141" s="134">
        <f>IFERROR(SUM(TblDetailBudget[[#This Row],[2021 Cost (LCU)]])/FX_Rate, "")</f>
        <v>0</v>
      </c>
      <c r="AE141" s="63">
        <f>IFERROR(SUM(TblDetailBudget[[#This Row],[2022 Cost (LCU)]])/FX_Rate, "")</f>
        <v>0</v>
      </c>
      <c r="AF141" s="63">
        <f>IFERROR(SUM(TblDetailBudget[[#This Row],[2023 Cost (LCU)]])/FX_Rate, "")</f>
        <v>0</v>
      </c>
      <c r="AG141" s="63">
        <f>IFERROR(SUM(TblDetailBudget[[#This Row],[2024 Cost (LCU)]])/FX_Rate, "")</f>
        <v>0</v>
      </c>
      <c r="AH141" s="63">
        <f>IFERROR(SUM(TblDetailBudget[[#This Row],[2025 Cost (LCU)]])/FX_Rate, "")</f>
        <v>0</v>
      </c>
      <c r="AI141" s="125">
        <f>SUM(TblDetailBudget[[#This Row],[2021 Cost (USD)]:[2025 Cost (USD)]])</f>
        <v>0</v>
      </c>
      <c r="AJ141" s="180"/>
    </row>
    <row r="142" spans="2:36" ht="12.75" customHeight="1">
      <c r="B142" s="122" t="s">
        <v>70</v>
      </c>
      <c r="C1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1.3.1.2</v>
      </c>
      <c r="D142" s="62">
        <f>IF(TblDetailBudget[[#This Row],[Level]]="", "", COUNTIFS($B$8:TblDetailBudget[[#This Row],[Level]], Lvl1Hdr))</f>
        <v>1</v>
      </c>
      <c r="E142" s="62">
        <f>IF(TblDetailBudget[[#This Row],[Level]]="", "", COUNTIFS($B$8:TblDetailBudget[[#This Row],[Level]], Lvl2Hdr, $D$8:TblDetailBudget[[#This Row],[Lvl 1 Header]], TblDetailBudget[[#This Row],[Lvl 1 Header]]))</f>
        <v>3</v>
      </c>
      <c r="F142" s="62">
        <f>IF(TblDetailBudget[[#This Row],[Level]]="", "", COUNTIFS($B$8:TblDetailBudget[[#This Row],[Level]], Lvl3Hdr, $D$8:TblDetailBudget[[#This Row],[Lvl 1 Header]], TblDetailBudget[[#This Row],[Lvl 1 Header]], $E$8:TblDetailBudget[[#This Row],[Lvl 2 Header]], TblDetailBudget[[#This Row],[Lvl 2 Header]]))</f>
        <v>1</v>
      </c>
      <c r="G1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2" s="101" t="s">
        <v>161</v>
      </c>
      <c r="J142" s="101"/>
      <c r="K142" s="88"/>
      <c r="L142" s="88"/>
      <c r="M142" s="62" t="str">
        <f>IF(TblDetailBudget[[#This Row],[Level]]=LvlBottomHdr, IFERROR(INDEX(TblUnitCost[Unit], MATCH(TblDetailBudget[[#This Row],[Row Title]], TblUnitCost[Resource], 0)), "Invalid Resource"), "")</f>
        <v/>
      </c>
      <c r="N142" s="125" t="str">
        <f>IF(TblDetailBudget[[#This Row],[Level]]=LvlBottomHdr, IFERROR(INDEX(TblUnitCost[LCU], MATCH(TblDetailBudget[[#This Row],[Row Title]], TblUnitCost[Resource], 0)), "Invalid Resource"), "")</f>
        <v/>
      </c>
      <c r="O142" s="128"/>
      <c r="P142" s="108"/>
      <c r="Q142" s="129"/>
      <c r="R142" s="108"/>
      <c r="S142" s="108"/>
      <c r="T142" s="108"/>
      <c r="U142" s="108"/>
      <c r="V142" s="108"/>
      <c r="W142" s="125" t="str">
        <f>IF(TblDetailBudget[[#This Row],[Level]]=LvlBottomHdr, IF(SUM(TblDetailBudget[[#This Row],[2021 Quant]:[2025 Quant]])&gt;0, SUM(TblDetailBudget[[#This Row],[2021 Quant]:[2025 Quant]]), ""), "")</f>
        <v/>
      </c>
      <c r="X14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2" s="140">
        <f>SUM(TblDetailBudget[[#This Row],[2021 Cost (LCU)]:[2025 Cost (LCU)]])</f>
        <v>0</v>
      </c>
      <c r="AD142" s="134">
        <f>IFERROR(SUM(TblDetailBudget[[#This Row],[2021 Cost (LCU)]])/FX_Rate, "")</f>
        <v>0</v>
      </c>
      <c r="AE142" s="63">
        <f>IFERROR(SUM(TblDetailBudget[[#This Row],[2022 Cost (LCU)]])/FX_Rate, "")</f>
        <v>0</v>
      </c>
      <c r="AF142" s="63">
        <f>IFERROR(SUM(TblDetailBudget[[#This Row],[2023 Cost (LCU)]])/FX_Rate, "")</f>
        <v>0</v>
      </c>
      <c r="AG142" s="63">
        <f>IFERROR(SUM(TblDetailBudget[[#This Row],[2024 Cost (LCU)]])/FX_Rate, "")</f>
        <v>0</v>
      </c>
      <c r="AH142" s="63">
        <f>IFERROR(SUM(TblDetailBudget[[#This Row],[2025 Cost (LCU)]])/FX_Rate, "")</f>
        <v>0</v>
      </c>
      <c r="AI142" s="125">
        <f>SUM(TblDetailBudget[[#This Row],[2021 Cost (USD)]:[2025 Cost (USD)]])</f>
        <v>0</v>
      </c>
      <c r="AJ142" s="180"/>
    </row>
    <row r="143" spans="2:36" ht="12.75" customHeight="1">
      <c r="B143" s="122" t="s">
        <v>71</v>
      </c>
      <c r="C1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1.3.1.2.1</v>
      </c>
      <c r="D143" s="62">
        <f>IF(TblDetailBudget[[#This Row],[Level]]="", "", COUNTIFS($B$8:TblDetailBudget[[#This Row],[Level]], Lvl1Hdr))</f>
        <v>1</v>
      </c>
      <c r="E143" s="62">
        <f>IF(TblDetailBudget[[#This Row],[Level]]="", "", COUNTIFS($B$8:TblDetailBudget[[#This Row],[Level]], Lvl2Hdr, $D$8:TblDetailBudget[[#This Row],[Lvl 1 Header]], TblDetailBudget[[#This Row],[Lvl 1 Header]]))</f>
        <v>3</v>
      </c>
      <c r="F143" s="62">
        <f>IF(TblDetailBudget[[#This Row],[Level]]="", "", COUNTIFS($B$8:TblDetailBudget[[#This Row],[Level]], Lvl3Hdr, $D$8:TblDetailBudget[[#This Row],[Lvl 1 Header]], TblDetailBudget[[#This Row],[Lvl 1 Header]], $E$8:TblDetailBudget[[#This Row],[Lvl 2 Header]], TblDetailBudget[[#This Row],[Lvl 2 Header]]))</f>
        <v>1</v>
      </c>
      <c r="G1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3" s="101" t="s">
        <v>162</v>
      </c>
      <c r="J143" s="101"/>
      <c r="K143" s="88"/>
      <c r="L143" s="88"/>
      <c r="M143" s="62" t="str">
        <f>IF(TblDetailBudget[[#This Row],[Level]]=LvlBottomHdr, IFERROR(INDEX(TblUnitCost[Unit], MATCH(TblDetailBudget[[#This Row],[Row Title]], TblUnitCost[Resource], 0)), "Invalid Resource"), "")</f>
        <v>Invalid Resource</v>
      </c>
      <c r="N143" s="125" t="str">
        <f>IF(TblDetailBudget[[#This Row],[Level]]=LvlBottomHdr, IFERROR(INDEX(TblUnitCost[LCU], MATCH(TblDetailBudget[[#This Row],[Row Title]], TblUnitCost[Resource], 0)), "Invalid Resource"), "")</f>
        <v>Invalid Resource</v>
      </c>
      <c r="O143" s="128"/>
      <c r="P143" s="108"/>
      <c r="Q143" s="129"/>
      <c r="R143" s="108"/>
      <c r="S143" s="108"/>
      <c r="T143" s="108"/>
      <c r="U143" s="108"/>
      <c r="V143" s="108"/>
      <c r="W143" s="125" t="str">
        <f>IF(TblDetailBudget[[#This Row],[Level]]=LvlBottomHdr, IF(SUM(TblDetailBudget[[#This Row],[2021 Quant]:[2025 Quant]])&gt;0, SUM(TblDetailBudget[[#This Row],[2021 Quant]:[2025 Quant]]), ""), "")</f>
        <v/>
      </c>
      <c r="X14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3" s="140">
        <f>SUM(TblDetailBudget[[#This Row],[2021 Cost (LCU)]:[2025 Cost (LCU)]])</f>
        <v>0</v>
      </c>
      <c r="AD143" s="134">
        <f>IFERROR(SUM(TblDetailBudget[[#This Row],[2021 Cost (LCU)]])/FX_Rate, "")</f>
        <v>0</v>
      </c>
      <c r="AE143" s="63">
        <f>IFERROR(SUM(TblDetailBudget[[#This Row],[2022 Cost (LCU)]])/FX_Rate, "")</f>
        <v>0</v>
      </c>
      <c r="AF143" s="63">
        <f>IFERROR(SUM(TblDetailBudget[[#This Row],[2023 Cost (LCU)]])/FX_Rate, "")</f>
        <v>0</v>
      </c>
      <c r="AG143" s="63">
        <f>IFERROR(SUM(TblDetailBudget[[#This Row],[2024 Cost (LCU)]])/FX_Rate, "")</f>
        <v>0</v>
      </c>
      <c r="AH143" s="63">
        <f>IFERROR(SUM(TblDetailBudget[[#This Row],[2025 Cost (LCU)]])/FX_Rate, "")</f>
        <v>0</v>
      </c>
      <c r="AI143" s="125">
        <f>SUM(TblDetailBudget[[#This Row],[2021 Cost (USD)]:[2025 Cost (USD)]])</f>
        <v>0</v>
      </c>
      <c r="AJ143" s="180"/>
    </row>
    <row r="144" spans="2:36" ht="12.75" customHeight="1">
      <c r="B144" s="122" t="s">
        <v>69</v>
      </c>
      <c r="C1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v>
      </c>
      <c r="D144" s="62">
        <f>IF(TblDetailBudget[[#This Row],[Level]]="", "", COUNTIFS($B$8:TblDetailBudget[[#This Row],[Level]], Lvl1Hdr))</f>
        <v>1</v>
      </c>
      <c r="E144" s="62">
        <f>IF(TblDetailBudget[[#This Row],[Level]]="", "", COUNTIFS($B$8:TblDetailBudget[[#This Row],[Level]], Lvl2Hdr, $D$8:TblDetailBudget[[#This Row],[Lvl 1 Header]], TblDetailBudget[[#This Row],[Lvl 1 Header]]))</f>
        <v>3</v>
      </c>
      <c r="F144" s="62">
        <f>IF(TblDetailBudget[[#This Row],[Level]]="", "", COUNTIFS($B$8:TblDetailBudget[[#This Row],[Level]], Lvl3Hdr, $D$8:TblDetailBudget[[#This Row],[Lvl 1 Header]], TblDetailBudget[[#This Row],[Lvl 1 Header]], $E$8:TblDetailBudget[[#This Row],[Lvl 2 Header]], TblDetailBudget[[#This Row],[Lvl 2 Header]]))</f>
        <v>2</v>
      </c>
      <c r="G1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4" s="185" t="s">
        <v>163</v>
      </c>
      <c r="J144" s="101"/>
      <c r="K144" s="88"/>
      <c r="L144" s="88"/>
      <c r="M144" s="62" t="str">
        <f>IF(TblDetailBudget[[#This Row],[Level]]=LvlBottomHdr, IFERROR(INDEX(TblUnitCost[Unit], MATCH(TblDetailBudget[[#This Row],[Row Title]], TblUnitCost[Resource], 0)), "Invalid Resource"), "")</f>
        <v/>
      </c>
      <c r="N144" s="125" t="str">
        <f>IF(TblDetailBudget[[#This Row],[Level]]=LvlBottomHdr, IFERROR(INDEX(TblUnitCost[LCU], MATCH(TblDetailBudget[[#This Row],[Row Title]], TblUnitCost[Resource], 0)), "Invalid Resource"), "")</f>
        <v/>
      </c>
      <c r="O144" s="128"/>
      <c r="P144" s="108"/>
      <c r="Q144" s="129"/>
      <c r="R144" s="108"/>
      <c r="S144" s="108"/>
      <c r="T144" s="108"/>
      <c r="U144" s="108"/>
      <c r="V144" s="108"/>
      <c r="W144" s="125" t="str">
        <f>IF(TblDetailBudget[[#This Row],[Level]]=LvlBottomHdr, IF(SUM(TblDetailBudget[[#This Row],[2021 Quant]:[2025 Quant]])&gt;0, SUM(TblDetailBudget[[#This Row],[2021 Quant]:[2025 Quant]]), ""), "")</f>
        <v/>
      </c>
      <c r="X14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4" s="140">
        <f>SUM(TblDetailBudget[[#This Row],[2021 Cost (LCU)]:[2025 Cost (LCU)]])</f>
        <v>0</v>
      </c>
      <c r="AD144" s="134">
        <f>IFERROR(SUM(TblDetailBudget[[#This Row],[2021 Cost (LCU)]])/FX_Rate, "")</f>
        <v>0</v>
      </c>
      <c r="AE144" s="63">
        <f>IFERROR(SUM(TblDetailBudget[[#This Row],[2022 Cost (LCU)]])/FX_Rate, "")</f>
        <v>0</v>
      </c>
      <c r="AF144" s="63">
        <f>IFERROR(SUM(TblDetailBudget[[#This Row],[2023 Cost (LCU)]])/FX_Rate, "")</f>
        <v>0</v>
      </c>
      <c r="AG144" s="63">
        <f>IFERROR(SUM(TblDetailBudget[[#This Row],[2024 Cost (LCU)]])/FX_Rate, "")</f>
        <v>0</v>
      </c>
      <c r="AH144" s="63">
        <f>IFERROR(SUM(TblDetailBudget[[#This Row],[2025 Cost (LCU)]])/FX_Rate, "")</f>
        <v>0</v>
      </c>
      <c r="AI144" s="125">
        <f>SUM(TblDetailBudget[[#This Row],[2021 Cost (USD)]:[2025 Cost (USD)]])</f>
        <v>0</v>
      </c>
      <c r="AJ144" s="180"/>
    </row>
    <row r="145" spans="2:36" ht="12.75" customHeight="1">
      <c r="B145" s="122" t="s">
        <v>70</v>
      </c>
      <c r="C1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1.3.2.1</v>
      </c>
      <c r="D145" s="62">
        <f>IF(TblDetailBudget[[#This Row],[Level]]="", "", COUNTIFS($B$8:TblDetailBudget[[#This Row],[Level]], Lvl1Hdr))</f>
        <v>1</v>
      </c>
      <c r="E145" s="62">
        <f>IF(TblDetailBudget[[#This Row],[Level]]="", "", COUNTIFS($B$8:TblDetailBudget[[#This Row],[Level]], Lvl2Hdr, $D$8:TblDetailBudget[[#This Row],[Lvl 1 Header]], TblDetailBudget[[#This Row],[Lvl 1 Header]]))</f>
        <v>3</v>
      </c>
      <c r="F145" s="62">
        <f>IF(TblDetailBudget[[#This Row],[Level]]="", "", COUNTIFS($B$8:TblDetailBudget[[#This Row],[Level]], Lvl3Hdr, $D$8:TblDetailBudget[[#This Row],[Lvl 1 Header]], TblDetailBudget[[#This Row],[Lvl 1 Header]], $E$8:TblDetailBudget[[#This Row],[Lvl 2 Header]], TblDetailBudget[[#This Row],[Lvl 2 Header]]))</f>
        <v>2</v>
      </c>
      <c r="G1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5" s="101" t="s">
        <v>164</v>
      </c>
      <c r="J145" s="101"/>
      <c r="K145" s="88"/>
      <c r="L145" s="88"/>
      <c r="M145" s="62" t="str">
        <f>IF(TblDetailBudget[[#This Row],[Level]]=LvlBottomHdr, IFERROR(INDEX(TblUnitCost[Unit], MATCH(TblDetailBudget[[#This Row],[Row Title]], TblUnitCost[Resource], 0)), "Invalid Resource"), "")</f>
        <v/>
      </c>
      <c r="N145" s="125" t="str">
        <f>IF(TblDetailBudget[[#This Row],[Level]]=LvlBottomHdr, IFERROR(INDEX(TblUnitCost[LCU], MATCH(TblDetailBudget[[#This Row],[Row Title]], TblUnitCost[Resource], 0)), "Invalid Resource"), "")</f>
        <v/>
      </c>
      <c r="O145" s="128"/>
      <c r="P145" s="108"/>
      <c r="Q145" s="129"/>
      <c r="R145" s="108"/>
      <c r="S145" s="108"/>
      <c r="T145" s="108"/>
      <c r="U145" s="108"/>
      <c r="V145" s="108"/>
      <c r="W145" s="125" t="str">
        <f>IF(TblDetailBudget[[#This Row],[Level]]=LvlBottomHdr, IF(SUM(TblDetailBudget[[#This Row],[2021 Quant]:[2025 Quant]])&gt;0, SUM(TblDetailBudget[[#This Row],[2021 Quant]:[2025 Quant]]), ""), "")</f>
        <v/>
      </c>
      <c r="X14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5" s="140">
        <f>SUM(TblDetailBudget[[#This Row],[2021 Cost (LCU)]:[2025 Cost (LCU)]])</f>
        <v>0</v>
      </c>
      <c r="AD145" s="134">
        <f>IFERROR(SUM(TblDetailBudget[[#This Row],[2021 Cost (LCU)]])/FX_Rate, "")</f>
        <v>0</v>
      </c>
      <c r="AE145" s="63">
        <f>IFERROR(SUM(TblDetailBudget[[#This Row],[2022 Cost (LCU)]])/FX_Rate, "")</f>
        <v>0</v>
      </c>
      <c r="AF145" s="63">
        <f>IFERROR(SUM(TblDetailBudget[[#This Row],[2023 Cost (LCU)]])/FX_Rate, "")</f>
        <v>0</v>
      </c>
      <c r="AG145" s="63">
        <f>IFERROR(SUM(TblDetailBudget[[#This Row],[2024 Cost (LCU)]])/FX_Rate, "")</f>
        <v>0</v>
      </c>
      <c r="AH145" s="63">
        <f>IFERROR(SUM(TblDetailBudget[[#This Row],[2025 Cost (LCU)]])/FX_Rate, "")</f>
        <v>0</v>
      </c>
      <c r="AI145" s="125">
        <f>SUM(TblDetailBudget[[#This Row],[2021 Cost (USD)]:[2025 Cost (USD)]])</f>
        <v>0</v>
      </c>
      <c r="AJ145" s="180"/>
    </row>
    <row r="146" spans="2:36" ht="12.75" customHeight="1">
      <c r="B146" s="122" t="s">
        <v>71</v>
      </c>
      <c r="C1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1.3.2.1.1</v>
      </c>
      <c r="D146" s="62">
        <f>IF(TblDetailBudget[[#This Row],[Level]]="", "", COUNTIFS($B$8:TblDetailBudget[[#This Row],[Level]], Lvl1Hdr))</f>
        <v>1</v>
      </c>
      <c r="E146" s="62">
        <f>IF(TblDetailBudget[[#This Row],[Level]]="", "", COUNTIFS($B$8:TblDetailBudget[[#This Row],[Level]], Lvl2Hdr, $D$8:TblDetailBudget[[#This Row],[Lvl 1 Header]], TblDetailBudget[[#This Row],[Lvl 1 Header]]))</f>
        <v>3</v>
      </c>
      <c r="F146" s="62">
        <f>IF(TblDetailBudget[[#This Row],[Level]]="", "", COUNTIFS($B$8:TblDetailBudget[[#This Row],[Level]], Lvl3Hdr, $D$8:TblDetailBudget[[#This Row],[Lvl 1 Header]], TblDetailBudget[[#This Row],[Lvl 1 Header]], $E$8:TblDetailBudget[[#This Row],[Lvl 2 Header]], TblDetailBudget[[#This Row],[Lvl 2 Header]]))</f>
        <v>2</v>
      </c>
      <c r="G1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6" s="101" t="s">
        <v>139</v>
      </c>
      <c r="J146" s="101"/>
      <c r="K146" s="88"/>
      <c r="L146" s="88"/>
      <c r="M146" s="62" t="str">
        <f>IF(TblDetailBudget[[#This Row],[Level]]=LvlBottomHdr, IFERROR(INDEX(TblUnitCost[Unit], MATCH(TblDetailBudget[[#This Row],[Row Title]], TblUnitCost[Resource], 0)), "Invalid Resource"), "")</f>
        <v>Invalid Resource</v>
      </c>
      <c r="N146" s="125" t="str">
        <f>IF(TblDetailBudget[[#This Row],[Level]]=LvlBottomHdr, IFERROR(INDEX(TblUnitCost[LCU], MATCH(TblDetailBudget[[#This Row],[Row Title]], TblUnitCost[Resource], 0)), "Invalid Resource"), "")</f>
        <v>Invalid Resource</v>
      </c>
      <c r="O146" s="128"/>
      <c r="P146" s="108"/>
      <c r="Q146" s="129"/>
      <c r="R146" s="108"/>
      <c r="S146" s="108"/>
      <c r="T146" s="108"/>
      <c r="U146" s="108"/>
      <c r="V146" s="108"/>
      <c r="W146" s="125" t="str">
        <f>IF(TblDetailBudget[[#This Row],[Level]]=LvlBottomHdr, IF(SUM(TblDetailBudget[[#This Row],[2021 Quant]:[2025 Quant]])&gt;0, SUM(TblDetailBudget[[#This Row],[2021 Quant]:[2025 Quant]]), ""), "")</f>
        <v/>
      </c>
      <c r="X14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6" s="140">
        <f>SUM(TblDetailBudget[[#This Row],[2021 Cost (LCU)]:[2025 Cost (LCU)]])</f>
        <v>0</v>
      </c>
      <c r="AD146" s="134">
        <f>IFERROR(SUM(TblDetailBudget[[#This Row],[2021 Cost (LCU)]])/FX_Rate, "")</f>
        <v>0</v>
      </c>
      <c r="AE146" s="63">
        <f>IFERROR(SUM(TblDetailBudget[[#This Row],[2022 Cost (LCU)]])/FX_Rate, "")</f>
        <v>0</v>
      </c>
      <c r="AF146" s="63">
        <f>IFERROR(SUM(TblDetailBudget[[#This Row],[2023 Cost (LCU)]])/FX_Rate, "")</f>
        <v>0</v>
      </c>
      <c r="AG146" s="63">
        <f>IFERROR(SUM(TblDetailBudget[[#This Row],[2024 Cost (LCU)]])/FX_Rate, "")</f>
        <v>0</v>
      </c>
      <c r="AH146" s="63">
        <f>IFERROR(SUM(TblDetailBudget[[#This Row],[2025 Cost (LCU)]])/FX_Rate, "")</f>
        <v>0</v>
      </c>
      <c r="AI146" s="125">
        <f>SUM(TblDetailBudget[[#This Row],[2021 Cost (USD)]:[2025 Cost (USD)]])</f>
        <v>0</v>
      </c>
      <c r="AJ146" s="180"/>
    </row>
    <row r="147" spans="2:36" ht="12.75" customHeight="1">
      <c r="B147" s="122" t="s">
        <v>69</v>
      </c>
      <c r="C1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v>
      </c>
      <c r="D147" s="62">
        <f>IF(TblDetailBudget[[#This Row],[Level]]="", "", COUNTIFS($B$8:TblDetailBudget[[#This Row],[Level]], Lvl1Hdr))</f>
        <v>1</v>
      </c>
      <c r="E147" s="62">
        <f>IF(TblDetailBudget[[#This Row],[Level]]="", "", COUNTIFS($B$8:TblDetailBudget[[#This Row],[Level]], Lvl2Hdr, $D$8:TblDetailBudget[[#This Row],[Lvl 1 Header]], TblDetailBudget[[#This Row],[Lvl 1 Header]]))</f>
        <v>3</v>
      </c>
      <c r="F147" s="62">
        <f>IF(TblDetailBudget[[#This Row],[Level]]="", "", COUNTIFS($B$8:TblDetailBudget[[#This Row],[Level]], Lvl3Hdr, $D$8:TblDetailBudget[[#This Row],[Lvl 1 Header]], TblDetailBudget[[#This Row],[Lvl 1 Header]], $E$8:TblDetailBudget[[#This Row],[Lvl 2 Header]], TblDetailBudget[[#This Row],[Lvl 2 Header]]))</f>
        <v>3</v>
      </c>
      <c r="G1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7" s="185" t="s">
        <v>165</v>
      </c>
      <c r="J147" s="101"/>
      <c r="K147" s="88"/>
      <c r="L147" s="88"/>
      <c r="M147" s="62" t="str">
        <f>IF(TblDetailBudget[[#This Row],[Level]]=LvlBottomHdr, IFERROR(INDEX(TblUnitCost[Unit], MATCH(TblDetailBudget[[#This Row],[Row Title]], TblUnitCost[Resource], 0)), "Invalid Resource"), "")</f>
        <v/>
      </c>
      <c r="N147" s="125" t="str">
        <f>IF(TblDetailBudget[[#This Row],[Level]]=LvlBottomHdr, IFERROR(INDEX(TblUnitCost[LCU], MATCH(TblDetailBudget[[#This Row],[Row Title]], TblUnitCost[Resource], 0)), "Invalid Resource"), "")</f>
        <v/>
      </c>
      <c r="O147" s="128"/>
      <c r="P147" s="108"/>
      <c r="Q147" s="129"/>
      <c r="R147" s="108"/>
      <c r="S147" s="108"/>
      <c r="T147" s="108"/>
      <c r="U147" s="108"/>
      <c r="V147" s="108"/>
      <c r="W147" s="125" t="str">
        <f>IF(TblDetailBudget[[#This Row],[Level]]=LvlBottomHdr, IF(SUM(TblDetailBudget[[#This Row],[2021 Quant]:[2025 Quant]])&gt;0, SUM(TblDetailBudget[[#This Row],[2021 Quant]:[2025 Quant]]), ""), "")</f>
        <v/>
      </c>
      <c r="X14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7" s="140">
        <f>SUM(TblDetailBudget[[#This Row],[2021 Cost (LCU)]:[2025 Cost (LCU)]])</f>
        <v>5913600671000</v>
      </c>
      <c r="AD147" s="134">
        <f>IFERROR(SUM(TblDetailBudget[[#This Row],[2021 Cost (LCU)]])/FX_Rate, "")</f>
        <v>0</v>
      </c>
      <c r="AE147" s="63">
        <f>IFERROR(SUM(TblDetailBudget[[#This Row],[2022 Cost (LCU)]])/FX_Rate, "")</f>
        <v>0</v>
      </c>
      <c r="AF147" s="63">
        <f>IFERROR(SUM(TblDetailBudget[[#This Row],[2023 Cost (LCU)]])/FX_Rate, "")</f>
        <v>0</v>
      </c>
      <c r="AG147" s="63">
        <f>IFERROR(SUM(TblDetailBudget[[#This Row],[2024 Cost (LCU)]])/FX_Rate, "")</f>
        <v>0</v>
      </c>
      <c r="AH147" s="63">
        <f>IFERROR(SUM(TblDetailBudget[[#This Row],[2025 Cost (LCU)]])/FX_Rate, "")</f>
        <v>3696000419.375</v>
      </c>
      <c r="AI147" s="125">
        <f>SUM(TblDetailBudget[[#This Row],[2021 Cost (USD)]:[2025 Cost (USD)]])</f>
        <v>3696000419.375</v>
      </c>
      <c r="AJ147" s="180"/>
    </row>
    <row r="148" spans="2:36" ht="12.75" customHeight="1">
      <c r="B148" s="122" t="s">
        <v>70</v>
      </c>
      <c r="C1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1.3.3.1</v>
      </c>
      <c r="D148" s="62">
        <f>IF(TblDetailBudget[[#This Row],[Level]]="", "", COUNTIFS($B$8:TblDetailBudget[[#This Row],[Level]], Lvl1Hdr))</f>
        <v>1</v>
      </c>
      <c r="E148" s="62">
        <f>IF(TblDetailBudget[[#This Row],[Level]]="", "", COUNTIFS($B$8:TblDetailBudget[[#This Row],[Level]], Lvl2Hdr, $D$8:TblDetailBudget[[#This Row],[Lvl 1 Header]], TblDetailBudget[[#This Row],[Lvl 1 Header]]))</f>
        <v>3</v>
      </c>
      <c r="F148" s="62">
        <f>IF(TblDetailBudget[[#This Row],[Level]]="", "", COUNTIFS($B$8:TblDetailBudget[[#This Row],[Level]], Lvl3Hdr, $D$8:TblDetailBudget[[#This Row],[Lvl 1 Header]], TblDetailBudget[[#This Row],[Lvl 1 Header]], $E$8:TblDetailBudget[[#This Row],[Lvl 2 Header]], TblDetailBudget[[#This Row],[Lvl 2 Header]]))</f>
        <v>3</v>
      </c>
      <c r="G1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8" s="101" t="s">
        <v>2717</v>
      </c>
      <c r="J148" s="101"/>
      <c r="K148" s="88"/>
      <c r="L148" s="88"/>
      <c r="M148" s="62" t="str">
        <f>IF(TblDetailBudget[[#This Row],[Level]]=LvlBottomHdr, IFERROR(INDEX(TblUnitCost[Unit], MATCH(TblDetailBudget[[#This Row],[Row Title]], TblUnitCost[Resource], 0)), "Invalid Resource"), "")</f>
        <v/>
      </c>
      <c r="N148" s="125" t="str">
        <f>IF(TblDetailBudget[[#This Row],[Level]]=LvlBottomHdr, IFERROR(INDEX(TblUnitCost[LCU], MATCH(TblDetailBudget[[#This Row],[Row Title]], TblUnitCost[Resource], 0)), "Invalid Resource"), "")</f>
        <v/>
      </c>
      <c r="O148" s="128"/>
      <c r="P148" s="108"/>
      <c r="Q148" s="129"/>
      <c r="R148" s="108"/>
      <c r="S148" s="108"/>
      <c r="T148" s="108"/>
      <c r="U148" s="108"/>
      <c r="V148" s="108"/>
      <c r="W148" s="125" t="str">
        <f>IF(TblDetailBudget[[#This Row],[Level]]=LvlBottomHdr, IF(SUM(TblDetailBudget[[#This Row],[2021 Quant]:[2025 Quant]])&gt;0, SUM(TblDetailBudget[[#This Row],[2021 Quant]:[2025 Quant]]), ""), "")</f>
        <v/>
      </c>
      <c r="X1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8" s="140">
        <f>SUM(TblDetailBudget[[#This Row],[2021 Cost (LCU)]:[2025 Cost (LCU)]])</f>
        <v>5913600671000</v>
      </c>
      <c r="AD148" s="134">
        <f>IFERROR(SUM(TblDetailBudget[[#This Row],[2021 Cost (LCU)]])/FX_Rate, "")</f>
        <v>0</v>
      </c>
      <c r="AE148" s="63">
        <f>IFERROR(SUM(TblDetailBudget[[#This Row],[2022 Cost (LCU)]])/FX_Rate, "")</f>
        <v>0</v>
      </c>
      <c r="AF148" s="63">
        <f>IFERROR(SUM(TblDetailBudget[[#This Row],[2023 Cost (LCU)]])/FX_Rate, "")</f>
        <v>0</v>
      </c>
      <c r="AG148" s="63">
        <f>IFERROR(SUM(TblDetailBudget[[#This Row],[2024 Cost (LCU)]])/FX_Rate, "")</f>
        <v>0</v>
      </c>
      <c r="AH148" s="63">
        <f>IFERROR(SUM(TblDetailBudget[[#This Row],[2025 Cost (LCU)]])/FX_Rate, "")</f>
        <v>3696000419.375</v>
      </c>
      <c r="AI148" s="125">
        <f>SUM(TblDetailBudget[[#This Row],[2021 Cost (USD)]:[2025 Cost (USD)]])</f>
        <v>3696000419.375</v>
      </c>
      <c r="AJ148" s="180"/>
    </row>
    <row r="149" spans="2:36" ht="12.75" customHeight="1">
      <c r="B149" s="122" t="s">
        <v>71</v>
      </c>
      <c r="C1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1.3.3.1.1</v>
      </c>
      <c r="D149" s="62">
        <f>IF(TblDetailBudget[[#This Row],[Level]]="", "", COUNTIFS($B$8:TblDetailBudget[[#This Row],[Level]], Lvl1Hdr))</f>
        <v>1</v>
      </c>
      <c r="E149" s="62">
        <f>IF(TblDetailBudget[[#This Row],[Level]]="", "", COUNTIFS($B$8:TblDetailBudget[[#This Row],[Level]], Lvl2Hdr, $D$8:TblDetailBudget[[#This Row],[Lvl 1 Header]], TblDetailBudget[[#This Row],[Lvl 1 Header]]))</f>
        <v>3</v>
      </c>
      <c r="F149" s="62">
        <f>IF(TblDetailBudget[[#This Row],[Level]]="", "", COUNTIFS($B$8:TblDetailBudget[[#This Row],[Level]], Lvl3Hdr, $D$8:TblDetailBudget[[#This Row],[Lvl 1 Header]], TblDetailBudget[[#This Row],[Lvl 1 Header]], $E$8:TblDetailBudget[[#This Row],[Lvl 2 Header]], TblDetailBudget[[#This Row],[Lvl 2 Header]]))</f>
        <v>3</v>
      </c>
      <c r="G1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9" s="96" t="s">
        <v>2741</v>
      </c>
      <c r="J149" s="101"/>
      <c r="K149" s="88"/>
      <c r="L149" s="88"/>
      <c r="M149" s="62" t="str">
        <f>IF(TblDetailBudget[[#This Row],[Level]]=LvlBottomHdr, IFERROR(INDEX(TblUnitCost[Unit], MATCH(TblDetailBudget[[#This Row],[Row Title]], TblUnitCost[Resource], 0)), "Invalid Resource"), "")</f>
        <v>per lGA</v>
      </c>
      <c r="N149" s="125">
        <f>IF(TblDetailBudget[[#This Row],[Level]]=LvlBottomHdr, IFERROR(INDEX(TblUnitCost[LCU], MATCH(TblDetailBudget[[#This Row],[Row Title]], TblUnitCost[Resource], 0)), "Invalid Resource"), "")</f>
        <v>347858863000</v>
      </c>
      <c r="O149" s="128">
        <f>'States and LGAs'!DD6</f>
        <v>17</v>
      </c>
      <c r="P149" s="108">
        <v>1</v>
      </c>
      <c r="Q149" s="129">
        <v>1</v>
      </c>
      <c r="R149" s="108"/>
      <c r="S149" s="108"/>
      <c r="T149" s="108"/>
      <c r="U149" s="108"/>
      <c r="V149" s="108">
        <v>1</v>
      </c>
      <c r="W149" s="125">
        <f>IF(TblDetailBudget[[#This Row],[Level]]=LvlBottomHdr, IF(SUM(TblDetailBudget[[#This Row],[2021 Quant]:[2025 Quant]])&gt;0, SUM(TblDetailBudget[[#This Row],[2021 Quant]:[2025 Quant]]), ""), "")</f>
        <v>1</v>
      </c>
      <c r="X1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9" s="140">
        <f>SUM(TblDetailBudget[[#This Row],[2021 Cost (LCU)]:[2025 Cost (LCU)]])</f>
        <v>5913600671000</v>
      </c>
      <c r="AD149" s="134">
        <f>IFERROR(SUM(TblDetailBudget[[#This Row],[2021 Cost (LCU)]])/FX_Rate, "")</f>
        <v>0</v>
      </c>
      <c r="AE149" s="63">
        <f>IFERROR(SUM(TblDetailBudget[[#This Row],[2022 Cost (LCU)]])/FX_Rate, "")</f>
        <v>0</v>
      </c>
      <c r="AF149" s="63">
        <f>IFERROR(SUM(TblDetailBudget[[#This Row],[2023 Cost (LCU)]])/FX_Rate, "")</f>
        <v>0</v>
      </c>
      <c r="AG149" s="63">
        <f>IFERROR(SUM(TblDetailBudget[[#This Row],[2024 Cost (LCU)]])/FX_Rate, "")</f>
        <v>0</v>
      </c>
      <c r="AH149" s="63">
        <f>IFERROR(SUM(TblDetailBudget[[#This Row],[2025 Cost (LCU)]])/FX_Rate, "")</f>
        <v>3696000419.375</v>
      </c>
      <c r="AI149" s="125">
        <f>SUM(TblDetailBudget[[#This Row],[2021 Cost (USD)]:[2025 Cost (USD)]])</f>
        <v>3696000419.375</v>
      </c>
      <c r="AJ149" s="180"/>
    </row>
    <row r="150" spans="2:36" ht="12.75" customHeight="1">
      <c r="B150" s="122" t="s">
        <v>70</v>
      </c>
      <c r="C1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1.3.3.2</v>
      </c>
      <c r="D150" s="62">
        <f>IF(TblDetailBudget[[#This Row],[Level]]="", "", COUNTIFS($B$8:TblDetailBudget[[#This Row],[Level]], Lvl1Hdr))</f>
        <v>1</v>
      </c>
      <c r="E150" s="62">
        <f>IF(TblDetailBudget[[#This Row],[Level]]="", "", COUNTIFS($B$8:TblDetailBudget[[#This Row],[Level]], Lvl2Hdr, $D$8:TblDetailBudget[[#This Row],[Lvl 1 Header]], TblDetailBudget[[#This Row],[Lvl 1 Header]]))</f>
        <v>3</v>
      </c>
      <c r="F150" s="62">
        <f>IF(TblDetailBudget[[#This Row],[Level]]="", "", COUNTIFS($B$8:TblDetailBudget[[#This Row],[Level]], Lvl3Hdr, $D$8:TblDetailBudget[[#This Row],[Lvl 1 Header]], TblDetailBudget[[#This Row],[Lvl 1 Header]], $E$8:TblDetailBudget[[#This Row],[Lvl 2 Header]], TblDetailBudget[[#This Row],[Lvl 2 Header]]))</f>
        <v>3</v>
      </c>
      <c r="G1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0" s="101" t="s">
        <v>169</v>
      </c>
      <c r="J150" s="101"/>
      <c r="K150" s="88"/>
      <c r="L150" s="88"/>
      <c r="M150" s="62" t="str">
        <f>IF(TblDetailBudget[[#This Row],[Level]]=LvlBottomHdr, IFERROR(INDEX(TblUnitCost[Unit], MATCH(TblDetailBudget[[#This Row],[Row Title]], TblUnitCost[Resource], 0)), "Invalid Resource"), "")</f>
        <v/>
      </c>
      <c r="N150" s="125" t="str">
        <f>IF(TblDetailBudget[[#This Row],[Level]]=LvlBottomHdr, IFERROR(INDEX(TblUnitCost[LCU], MATCH(TblDetailBudget[[#This Row],[Row Title]], TblUnitCost[Resource], 0)), "Invalid Resource"), "")</f>
        <v/>
      </c>
      <c r="O150" s="128"/>
      <c r="P150" s="108"/>
      <c r="Q150" s="129"/>
      <c r="R150" s="108"/>
      <c r="S150" s="108"/>
      <c r="T150" s="108"/>
      <c r="U150" s="108"/>
      <c r="V150" s="108"/>
      <c r="W150" s="125" t="str">
        <f>IF(TblDetailBudget[[#This Row],[Level]]=LvlBottomHdr, IF(SUM(TblDetailBudget[[#This Row],[2021 Quant]:[2025 Quant]])&gt;0, SUM(TblDetailBudget[[#This Row],[2021 Quant]:[2025 Quant]]), ""), "")</f>
        <v/>
      </c>
      <c r="X15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50" s="140">
        <f>SUM(TblDetailBudget[[#This Row],[2021 Cost (LCU)]:[2025 Cost (LCU)]])</f>
        <v>0</v>
      </c>
      <c r="AD150" s="134">
        <f>IFERROR(SUM(TblDetailBudget[[#This Row],[2021 Cost (LCU)]])/FX_Rate, "")</f>
        <v>0</v>
      </c>
      <c r="AE150" s="63">
        <f>IFERROR(SUM(TblDetailBudget[[#This Row],[2022 Cost (LCU)]])/FX_Rate, "")</f>
        <v>0</v>
      </c>
      <c r="AF150" s="63">
        <f>IFERROR(SUM(TblDetailBudget[[#This Row],[2023 Cost (LCU)]])/FX_Rate, "")</f>
        <v>0</v>
      </c>
      <c r="AG150" s="63">
        <f>IFERROR(SUM(TblDetailBudget[[#This Row],[2024 Cost (LCU)]])/FX_Rate, "")</f>
        <v>0</v>
      </c>
      <c r="AH150" s="63">
        <f>IFERROR(SUM(TblDetailBudget[[#This Row],[2025 Cost (LCU)]])/FX_Rate, "")</f>
        <v>0</v>
      </c>
      <c r="AI150" s="125">
        <f>SUM(TblDetailBudget[[#This Row],[2021 Cost (USD)]:[2025 Cost (USD)]])</f>
        <v>0</v>
      </c>
      <c r="AJ150" s="180"/>
    </row>
    <row r="151" spans="2:36" ht="12.75" customHeight="1">
      <c r="B151" s="122" t="s">
        <v>71</v>
      </c>
      <c r="C1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1.3.3.2.1</v>
      </c>
      <c r="D151" s="62">
        <f>IF(TblDetailBudget[[#This Row],[Level]]="", "", COUNTIFS($B$8:TblDetailBudget[[#This Row],[Level]], Lvl1Hdr))</f>
        <v>1</v>
      </c>
      <c r="E151" s="62">
        <f>IF(TblDetailBudget[[#This Row],[Level]]="", "", COUNTIFS($B$8:TblDetailBudget[[#This Row],[Level]], Lvl2Hdr, $D$8:TblDetailBudget[[#This Row],[Lvl 1 Header]], TblDetailBudget[[#This Row],[Lvl 1 Header]]))</f>
        <v>3</v>
      </c>
      <c r="F151" s="62">
        <f>IF(TblDetailBudget[[#This Row],[Level]]="", "", COUNTIFS($B$8:TblDetailBudget[[#This Row],[Level]], Lvl3Hdr, $D$8:TblDetailBudget[[#This Row],[Lvl 1 Header]], TblDetailBudget[[#This Row],[Lvl 1 Header]], $E$8:TblDetailBudget[[#This Row],[Lvl 2 Header]], TblDetailBudget[[#This Row],[Lvl 2 Header]]))</f>
        <v>3</v>
      </c>
      <c r="G1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1" s="101" t="s">
        <v>168</v>
      </c>
      <c r="J151" s="101"/>
      <c r="K151" s="88"/>
      <c r="L151" s="88"/>
      <c r="M151" s="62" t="str">
        <f>IF(TblDetailBudget[[#This Row],[Level]]=LvlBottomHdr, IFERROR(INDEX(TblUnitCost[Unit], MATCH(TblDetailBudget[[#This Row],[Row Title]], TblUnitCost[Resource], 0)), "Invalid Resource"), "")</f>
        <v>per person per day</v>
      </c>
      <c r="N151" s="125">
        <f>IF(TblDetailBudget[[#This Row],[Level]]=LvlBottomHdr, IFERROR(INDEX(TblUnitCost[LCU], MATCH(TblDetailBudget[[#This Row],[Row Title]], TblUnitCost[Resource], 0)), "Invalid Resource"), "")</f>
        <v>20000</v>
      </c>
      <c r="O151" s="128"/>
      <c r="P151" s="108"/>
      <c r="Q151" s="129"/>
      <c r="R151" s="108"/>
      <c r="S151" s="108"/>
      <c r="T151" s="108"/>
      <c r="U151" s="108"/>
      <c r="V151" s="108"/>
      <c r="W151" s="125" t="str">
        <f>IF(TblDetailBudget[[#This Row],[Level]]=LvlBottomHdr, IF(SUM(TblDetailBudget[[#This Row],[2021 Quant]:[2025 Quant]])&gt;0, SUM(TblDetailBudget[[#This Row],[2021 Quant]:[2025 Quant]]), ""), "")</f>
        <v/>
      </c>
      <c r="X15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51" s="140">
        <f>SUM(TblDetailBudget[[#This Row],[2021 Cost (LCU)]:[2025 Cost (LCU)]])</f>
        <v>0</v>
      </c>
      <c r="AD151" s="134">
        <f>IFERROR(SUM(TblDetailBudget[[#This Row],[2021 Cost (LCU)]])/FX_Rate, "")</f>
        <v>0</v>
      </c>
      <c r="AE151" s="63">
        <f>IFERROR(SUM(TblDetailBudget[[#This Row],[2022 Cost (LCU)]])/FX_Rate, "")</f>
        <v>0</v>
      </c>
      <c r="AF151" s="63">
        <f>IFERROR(SUM(TblDetailBudget[[#This Row],[2023 Cost (LCU)]])/FX_Rate, "")</f>
        <v>0</v>
      </c>
      <c r="AG151" s="63">
        <f>IFERROR(SUM(TblDetailBudget[[#This Row],[2024 Cost (LCU)]])/FX_Rate, "")</f>
        <v>0</v>
      </c>
      <c r="AH151" s="63">
        <f>IFERROR(SUM(TblDetailBudget[[#This Row],[2025 Cost (LCU)]])/FX_Rate, "")</f>
        <v>0</v>
      </c>
      <c r="AI151" s="125">
        <f>SUM(TblDetailBudget[[#This Row],[2021 Cost (USD)]:[2025 Cost (USD)]])</f>
        <v>0</v>
      </c>
      <c r="AJ151" s="180"/>
    </row>
    <row r="152" spans="2:36" ht="12.75" customHeight="1">
      <c r="B152" s="122" t="s">
        <v>68</v>
      </c>
      <c r="C1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v>
      </c>
      <c r="D152" s="62">
        <f>IF(TblDetailBudget[[#This Row],[Level]]="", "", COUNTIFS($B$8:TblDetailBudget[[#This Row],[Level]], Lvl1Hdr))</f>
        <v>1</v>
      </c>
      <c r="E152" s="62">
        <f>IF(TblDetailBudget[[#This Row],[Level]]="", "", COUNTIFS($B$8:TblDetailBudget[[#This Row],[Level]], Lvl2Hdr, $D$8:TblDetailBudget[[#This Row],[Lvl 1 Header]], TblDetailBudget[[#This Row],[Lvl 1 Header]]))</f>
        <v>4</v>
      </c>
      <c r="F152" s="62">
        <f>IF(TblDetailBudget[[#This Row],[Level]]="", "", COUNTIFS($B$8:TblDetailBudget[[#This Row],[Level]], Lvl3Hdr, $D$8:TblDetailBudget[[#This Row],[Lvl 1 Header]], TblDetailBudget[[#This Row],[Lvl 1 Header]], $E$8:TblDetailBudget[[#This Row],[Lvl 2 Header]], TblDetailBudget[[#This Row],[Lvl 2 Header]]))</f>
        <v>0</v>
      </c>
      <c r="G1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2" s="185" t="s">
        <v>192</v>
      </c>
      <c r="J152" s="101"/>
      <c r="K152" s="88"/>
      <c r="L152" s="88"/>
      <c r="M152" s="62" t="str">
        <f>IF(TblDetailBudget[[#This Row],[Level]]=LvlBottomHdr, IFERROR(INDEX(TblUnitCost[Unit], MATCH(TblDetailBudget[[#This Row],[Row Title]], TblUnitCost[Resource], 0)), "Invalid Resource"), "")</f>
        <v/>
      </c>
      <c r="N152" s="125" t="str">
        <f>IF(TblDetailBudget[[#This Row],[Level]]=LvlBottomHdr, IFERROR(INDEX(TblUnitCost[LCU], MATCH(TblDetailBudget[[#This Row],[Row Title]], TblUnitCost[Resource], 0)), "Invalid Resource"), "")</f>
        <v/>
      </c>
      <c r="O152" s="128"/>
      <c r="P152" s="108"/>
      <c r="Q152" s="129"/>
      <c r="R152" s="108"/>
      <c r="S152" s="108"/>
      <c r="T152" s="108"/>
      <c r="U152" s="108"/>
      <c r="V152" s="108"/>
      <c r="W152" s="125" t="str">
        <f>IF(TblDetailBudget[[#This Row],[Level]]=LvlBottomHdr, IF(SUM(TblDetailBudget[[#This Row],[2021 Quant]:[2025 Quant]])&gt;0, SUM(TblDetailBudget[[#This Row],[2021 Quant]:[2025 Quant]]), ""), "")</f>
        <v/>
      </c>
      <c r="X15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254141096880.00003</v>
      </c>
      <c r="AC152" s="140">
        <f>SUM(TblDetailBudget[[#This Row],[2021 Cost (LCU)]:[2025 Cost (LCU)]])</f>
        <v>254141096880.00003</v>
      </c>
      <c r="AD152" s="134">
        <f>IFERROR(SUM(TblDetailBudget[[#This Row],[2021 Cost (LCU)]])/FX_Rate, "")</f>
        <v>0</v>
      </c>
      <c r="AE152" s="63">
        <f>IFERROR(SUM(TblDetailBudget[[#This Row],[2022 Cost (LCU)]])/FX_Rate, "")</f>
        <v>0</v>
      </c>
      <c r="AF152" s="63">
        <f>IFERROR(SUM(TblDetailBudget[[#This Row],[2023 Cost (LCU)]])/FX_Rate, "")</f>
        <v>0</v>
      </c>
      <c r="AG152" s="63">
        <f>IFERROR(SUM(TblDetailBudget[[#This Row],[2024 Cost (LCU)]])/FX_Rate, "")</f>
        <v>0</v>
      </c>
      <c r="AH152" s="63">
        <f>IFERROR(SUM(TblDetailBudget[[#This Row],[2025 Cost (LCU)]])/FX_Rate, "")</f>
        <v>158838185.55000001</v>
      </c>
      <c r="AI152" s="125">
        <f>SUM(TblDetailBudget[[#This Row],[2021 Cost (USD)]:[2025 Cost (USD)]])</f>
        <v>158838185.55000001</v>
      </c>
      <c r="AJ152" s="180"/>
    </row>
    <row r="153" spans="2:36" ht="12.75" customHeight="1">
      <c r="B153" s="122" t="s">
        <v>69</v>
      </c>
      <c r="C1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v>
      </c>
      <c r="D153" s="62">
        <f>IF(TblDetailBudget[[#This Row],[Level]]="", "", COUNTIFS($B$8:TblDetailBudget[[#This Row],[Level]], Lvl1Hdr))</f>
        <v>1</v>
      </c>
      <c r="E153" s="62">
        <f>IF(TblDetailBudget[[#This Row],[Level]]="", "", COUNTIFS($B$8:TblDetailBudget[[#This Row],[Level]], Lvl2Hdr, $D$8:TblDetailBudget[[#This Row],[Lvl 1 Header]], TblDetailBudget[[#This Row],[Lvl 1 Header]]))</f>
        <v>4</v>
      </c>
      <c r="F153" s="62">
        <f>IF(TblDetailBudget[[#This Row],[Level]]="", "", COUNTIFS($B$8:TblDetailBudget[[#This Row],[Level]], Lvl3Hdr, $D$8:TblDetailBudget[[#This Row],[Lvl 1 Header]], TblDetailBudget[[#This Row],[Lvl 1 Header]], $E$8:TblDetailBudget[[#This Row],[Lvl 2 Header]], TblDetailBudget[[#This Row],[Lvl 2 Header]]))</f>
        <v>1</v>
      </c>
      <c r="G1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3" s="185" t="s">
        <v>2893</v>
      </c>
      <c r="J153" s="101"/>
      <c r="K153" s="88"/>
      <c r="L153" s="88"/>
      <c r="M153" s="62" t="str">
        <f>IF(TblDetailBudget[[#This Row],[Level]]=LvlBottomHdr, IFERROR(INDEX(TblUnitCost[Unit], MATCH(TblDetailBudget[[#This Row],[Row Title]], TblUnitCost[Resource], 0)), "Invalid Resource"), "")</f>
        <v/>
      </c>
      <c r="N153" s="125" t="str">
        <f>IF(TblDetailBudget[[#This Row],[Level]]=LvlBottomHdr, IFERROR(INDEX(TblUnitCost[LCU], MATCH(TblDetailBudget[[#This Row],[Row Title]], TblUnitCost[Resource], 0)), "Invalid Resource"), "")</f>
        <v/>
      </c>
      <c r="O153" s="128"/>
      <c r="P153" s="108"/>
      <c r="Q153" s="129"/>
      <c r="R153" s="108"/>
      <c r="S153" s="108"/>
      <c r="T153" s="108"/>
      <c r="U153" s="108"/>
      <c r="V153" s="108"/>
      <c r="W153" s="125" t="str">
        <f>IF(TblDetailBudget[[#This Row],[Level]]=LvlBottomHdr, IF(SUM(TblDetailBudget[[#This Row],[2021 Quant]:[2025 Quant]])&gt;0, SUM(TblDetailBudget[[#This Row],[2021 Quant]:[2025 Quant]]), ""), "")</f>
        <v/>
      </c>
      <c r="X15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3" s="140">
        <f>SUM(TblDetailBudget[[#This Row],[2021 Cost (LCU)]:[2025 Cost (LCU)]])</f>
        <v>226428026880.00003</v>
      </c>
      <c r="AD153" s="134">
        <f>IFERROR(SUM(TblDetailBudget[[#This Row],[2021 Cost (LCU)]])/FX_Rate, "")</f>
        <v>0</v>
      </c>
      <c r="AE153" s="63">
        <f>IFERROR(SUM(TblDetailBudget[[#This Row],[2022 Cost (LCU)]])/FX_Rate, "")</f>
        <v>0</v>
      </c>
      <c r="AF153" s="63">
        <f>IFERROR(SUM(TblDetailBudget[[#This Row],[2023 Cost (LCU)]])/FX_Rate, "")</f>
        <v>0</v>
      </c>
      <c r="AG153" s="63">
        <f>IFERROR(SUM(TblDetailBudget[[#This Row],[2024 Cost (LCU)]])/FX_Rate, "")</f>
        <v>0</v>
      </c>
      <c r="AH153" s="63">
        <f>IFERROR(SUM(TblDetailBudget[[#This Row],[2025 Cost (LCU)]])/FX_Rate, "")</f>
        <v>141517516.80000001</v>
      </c>
      <c r="AI153" s="125">
        <f>SUM(TblDetailBudget[[#This Row],[2021 Cost (USD)]:[2025 Cost (USD)]])</f>
        <v>141517516.80000001</v>
      </c>
      <c r="AJ153" s="180"/>
    </row>
    <row r="154" spans="2:36" ht="12.75" customHeight="1">
      <c r="B154" s="122" t="s">
        <v>70</v>
      </c>
      <c r="C1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1.4.1.1</v>
      </c>
      <c r="D154" s="62">
        <f>IF(TblDetailBudget[[#This Row],[Level]]="", "", COUNTIFS($B$8:TblDetailBudget[[#This Row],[Level]], Lvl1Hdr))</f>
        <v>1</v>
      </c>
      <c r="E154" s="62">
        <f>IF(TblDetailBudget[[#This Row],[Level]]="", "", COUNTIFS($B$8:TblDetailBudget[[#This Row],[Level]], Lvl2Hdr, $D$8:TblDetailBudget[[#This Row],[Lvl 1 Header]], TblDetailBudget[[#This Row],[Lvl 1 Header]]))</f>
        <v>4</v>
      </c>
      <c r="F154" s="62">
        <f>IF(TblDetailBudget[[#This Row],[Level]]="", "", COUNTIFS($B$8:TblDetailBudget[[#This Row],[Level]], Lvl3Hdr, $D$8:TblDetailBudget[[#This Row],[Lvl 1 Header]], TblDetailBudget[[#This Row],[Lvl 1 Header]], $E$8:TblDetailBudget[[#This Row],[Lvl 2 Header]], TblDetailBudget[[#This Row],[Lvl 2 Header]]))</f>
        <v>1</v>
      </c>
      <c r="G1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4" s="101" t="s">
        <v>2894</v>
      </c>
      <c r="J154" s="101"/>
      <c r="K154" s="88"/>
      <c r="L154" s="88"/>
      <c r="M154" s="62" t="str">
        <f>IF(TblDetailBudget[[#This Row],[Level]]=LvlBottomHdr, IFERROR(INDEX(TblUnitCost[Unit], MATCH(TblDetailBudget[[#This Row],[Row Title]], TblUnitCost[Resource], 0)), "Invalid Resource"), "")</f>
        <v/>
      </c>
      <c r="N154" s="125" t="str">
        <f>IF(TblDetailBudget[[#This Row],[Level]]=LvlBottomHdr, IFERROR(INDEX(TblUnitCost[LCU], MATCH(TblDetailBudget[[#This Row],[Row Title]], TblUnitCost[Resource], 0)), "Invalid Resource"), "")</f>
        <v/>
      </c>
      <c r="O154" s="128"/>
      <c r="P154" s="108"/>
      <c r="Q154" s="129"/>
      <c r="R154" s="108"/>
      <c r="S154" s="108"/>
      <c r="T154" s="108"/>
      <c r="U154" s="108"/>
      <c r="V154" s="108"/>
      <c r="W154" s="125" t="str">
        <f>IF(TblDetailBudget[[#This Row],[Level]]=LvlBottomHdr, IF(SUM(TblDetailBudget[[#This Row],[2021 Quant]:[2025 Quant]])&gt;0, SUM(TblDetailBudget[[#This Row],[2021 Quant]:[2025 Quant]]), ""), "")</f>
        <v/>
      </c>
      <c r="X15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4" s="140">
        <f>SUM(TblDetailBudget[[#This Row],[2021 Cost (LCU)]:[2025 Cost (LCU)]])</f>
        <v>226428026880.00003</v>
      </c>
      <c r="AD154" s="134">
        <f>IFERROR(SUM(TblDetailBudget[[#This Row],[2021 Cost (LCU)]])/FX_Rate, "")</f>
        <v>0</v>
      </c>
      <c r="AE154" s="63">
        <f>IFERROR(SUM(TblDetailBudget[[#This Row],[2022 Cost (LCU)]])/FX_Rate, "")</f>
        <v>0</v>
      </c>
      <c r="AF154" s="63">
        <f>IFERROR(SUM(TblDetailBudget[[#This Row],[2023 Cost (LCU)]])/FX_Rate, "")</f>
        <v>0</v>
      </c>
      <c r="AG154" s="63">
        <f>IFERROR(SUM(TblDetailBudget[[#This Row],[2024 Cost (LCU)]])/FX_Rate, "")</f>
        <v>0</v>
      </c>
      <c r="AH154" s="63">
        <f>IFERROR(SUM(TblDetailBudget[[#This Row],[2025 Cost (LCU)]])/FX_Rate, "")</f>
        <v>141517516.80000001</v>
      </c>
      <c r="AI154" s="125">
        <f>SUM(TblDetailBudget[[#This Row],[2021 Cost (USD)]:[2025 Cost (USD)]])</f>
        <v>141517516.80000001</v>
      </c>
      <c r="AJ154" s="180"/>
    </row>
    <row r="155" spans="2:36" ht="12.75" customHeight="1">
      <c r="B155" s="122" t="s">
        <v>71</v>
      </c>
      <c r="C1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1.4.1.1.1</v>
      </c>
      <c r="D155" s="62">
        <f>IF(TblDetailBudget[[#This Row],[Level]]="", "", COUNTIFS($B$8:TblDetailBudget[[#This Row],[Level]], Lvl1Hdr))</f>
        <v>1</v>
      </c>
      <c r="E155" s="62">
        <f>IF(TblDetailBudget[[#This Row],[Level]]="", "", COUNTIFS($B$8:TblDetailBudget[[#This Row],[Level]], Lvl2Hdr, $D$8:TblDetailBudget[[#This Row],[Lvl 1 Header]], TblDetailBudget[[#This Row],[Lvl 1 Header]]))</f>
        <v>4</v>
      </c>
      <c r="F155" s="62">
        <f>IF(TblDetailBudget[[#This Row],[Level]]="", "", COUNTIFS($B$8:TblDetailBudget[[#This Row],[Level]], Lvl3Hdr, $D$8:TblDetailBudget[[#This Row],[Lvl 1 Header]], TblDetailBudget[[#This Row],[Lvl 1 Header]], $E$8:TblDetailBudget[[#This Row],[Lvl 2 Header]], TblDetailBudget[[#This Row],[Lvl 2 Header]]))</f>
        <v>1</v>
      </c>
      <c r="G1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5" s="96" t="s">
        <v>2890</v>
      </c>
      <c r="J155" s="101"/>
      <c r="K155" s="88"/>
      <c r="L155" s="88"/>
      <c r="M155" s="62" t="str">
        <f>IF(TblDetailBudget[[#This Row],[Level]]=LvlBottomHdr, IFERROR(INDEX(TblUnitCost[Unit], MATCH(TblDetailBudget[[#This Row],[Row Title]], TblUnitCost[Resource], 0)), "Invalid Resource"), "")</f>
        <v>per kg</v>
      </c>
      <c r="N155" s="125">
        <f>IF(TblDetailBudget[[#This Row],[Level]]=LvlBottomHdr, IFERROR(INDEX(TblUnitCost[LCU], MATCH(TblDetailBudget[[#This Row],[Row Title]], TblUnitCost[Resource], 0)), "Invalid Resource"), "")</f>
        <v>102400</v>
      </c>
      <c r="O155" s="128">
        <f>'States and LGAs'!BR6</f>
        <v>2211211.2000000002</v>
      </c>
      <c r="P155" s="108">
        <v>1</v>
      </c>
      <c r="Q155" s="129">
        <v>1</v>
      </c>
      <c r="R155" s="108"/>
      <c r="S155" s="108"/>
      <c r="T155" s="108"/>
      <c r="U155" s="108"/>
      <c r="V155" s="108">
        <v>1</v>
      </c>
      <c r="W155" s="125">
        <f>IF(TblDetailBudget[[#This Row],[Level]]=LvlBottomHdr, IF(SUM(TblDetailBudget[[#This Row],[2021 Quant]:[2025 Quant]])&gt;0, SUM(TblDetailBudget[[#This Row],[2021 Quant]:[2025 Quant]]), ""), "")</f>
        <v>1</v>
      </c>
      <c r="X15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5" s="140">
        <f>SUM(TblDetailBudget[[#This Row],[2021 Cost (LCU)]:[2025 Cost (LCU)]])</f>
        <v>226428026880.00003</v>
      </c>
      <c r="AD155" s="134">
        <f>IFERROR(SUM(TblDetailBudget[[#This Row],[2021 Cost (LCU)]])/FX_Rate, "")</f>
        <v>0</v>
      </c>
      <c r="AE155" s="63">
        <f>IFERROR(SUM(TblDetailBudget[[#This Row],[2022 Cost (LCU)]])/FX_Rate, "")</f>
        <v>0</v>
      </c>
      <c r="AF155" s="63">
        <f>IFERROR(SUM(TblDetailBudget[[#This Row],[2023 Cost (LCU)]])/FX_Rate, "")</f>
        <v>0</v>
      </c>
      <c r="AG155" s="63">
        <f>IFERROR(SUM(TblDetailBudget[[#This Row],[2024 Cost (LCU)]])/FX_Rate, "")</f>
        <v>0</v>
      </c>
      <c r="AH155" s="63">
        <f>IFERROR(SUM(TblDetailBudget[[#This Row],[2025 Cost (LCU)]])/FX_Rate, "")</f>
        <v>141517516.80000001</v>
      </c>
      <c r="AI155" s="125">
        <f>SUM(TblDetailBudget[[#This Row],[2021 Cost (USD)]:[2025 Cost (USD)]])</f>
        <v>141517516.80000001</v>
      </c>
      <c r="AJ155" s="180"/>
    </row>
    <row r="156" spans="2:36" ht="12.75" customHeight="1">
      <c r="B156" s="122" t="s">
        <v>69</v>
      </c>
      <c r="C1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v>
      </c>
      <c r="D156" s="62">
        <f>IF(TblDetailBudget[[#This Row],[Level]]="", "", COUNTIFS($B$8:TblDetailBudget[[#This Row],[Level]], Lvl1Hdr))</f>
        <v>1</v>
      </c>
      <c r="E156" s="62">
        <f>IF(TblDetailBudget[[#This Row],[Level]]="", "", COUNTIFS($B$8:TblDetailBudget[[#This Row],[Level]], Lvl2Hdr, $D$8:TblDetailBudget[[#This Row],[Lvl 1 Header]], TblDetailBudget[[#This Row],[Lvl 1 Header]]))</f>
        <v>4</v>
      </c>
      <c r="F156" s="62">
        <f>IF(TblDetailBudget[[#This Row],[Level]]="", "", COUNTIFS($B$8:TblDetailBudget[[#This Row],[Level]], Lvl3Hdr, $D$8:TblDetailBudget[[#This Row],[Lvl 1 Header]], TblDetailBudget[[#This Row],[Lvl 1 Header]], $E$8:TblDetailBudget[[#This Row],[Lvl 2 Header]], TblDetailBudget[[#This Row],[Lvl 2 Header]]))</f>
        <v>2</v>
      </c>
      <c r="G1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6" s="185" t="s">
        <v>2892</v>
      </c>
      <c r="J156" s="101"/>
      <c r="K156" s="88"/>
      <c r="L156" s="88"/>
      <c r="M156" s="62" t="str">
        <f>IF(TblDetailBudget[[#This Row],[Level]]=LvlBottomHdr, IFERROR(INDEX(TblUnitCost[Unit], MATCH(TblDetailBudget[[#This Row],[Row Title]], TblUnitCost[Resource], 0)), "Invalid Resource"), "")</f>
        <v/>
      </c>
      <c r="N156" s="125" t="str">
        <f>IF(TblDetailBudget[[#This Row],[Level]]=LvlBottomHdr, IFERROR(INDEX(TblUnitCost[LCU], MATCH(TblDetailBudget[[#This Row],[Row Title]], TblUnitCost[Resource], 0)), "Invalid Resource"), "")</f>
        <v/>
      </c>
      <c r="O156" s="128"/>
      <c r="P156" s="108"/>
      <c r="Q156" s="129"/>
      <c r="R156" s="108"/>
      <c r="S156" s="108"/>
      <c r="T156" s="108"/>
      <c r="U156" s="108"/>
      <c r="V156" s="108"/>
      <c r="W156" s="125" t="str">
        <f>IF(TblDetailBudget[[#This Row],[Level]]=LvlBottomHdr, IF(SUM(TblDetailBudget[[#This Row],[2021 Quant]:[2025 Quant]])&gt;0, SUM(TblDetailBudget[[#This Row],[2021 Quant]:[2025 Quant]]), ""), "")</f>
        <v/>
      </c>
      <c r="X15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6" s="140">
        <f>SUM(TblDetailBudget[[#This Row],[2021 Cost (LCU)]:[2025 Cost (LCU)]])</f>
        <v>27713070000</v>
      </c>
      <c r="AD156" s="134">
        <f>IFERROR(SUM(TblDetailBudget[[#This Row],[2021 Cost (LCU)]])/FX_Rate, "")</f>
        <v>0</v>
      </c>
      <c r="AE156" s="63">
        <f>IFERROR(SUM(TblDetailBudget[[#This Row],[2022 Cost (LCU)]])/FX_Rate, "")</f>
        <v>0</v>
      </c>
      <c r="AF156" s="63">
        <f>IFERROR(SUM(TblDetailBudget[[#This Row],[2023 Cost (LCU)]])/FX_Rate, "")</f>
        <v>0</v>
      </c>
      <c r="AG156" s="63">
        <f>IFERROR(SUM(TblDetailBudget[[#This Row],[2024 Cost (LCU)]])/FX_Rate, "")</f>
        <v>0</v>
      </c>
      <c r="AH156" s="63">
        <f>IFERROR(SUM(TblDetailBudget[[#This Row],[2025 Cost (LCU)]])/FX_Rate, "")</f>
        <v>17320668.75</v>
      </c>
      <c r="AI156" s="125">
        <f>SUM(TblDetailBudget[[#This Row],[2021 Cost (USD)]:[2025 Cost (USD)]])</f>
        <v>17320668.75</v>
      </c>
      <c r="AJ156" s="180"/>
    </row>
    <row r="157" spans="2:36" ht="12.75" customHeight="1">
      <c r="B157" s="122" t="s">
        <v>70</v>
      </c>
      <c r="C1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1.4.2.1</v>
      </c>
      <c r="D157" s="62">
        <f>IF(TblDetailBudget[[#This Row],[Level]]="", "", COUNTIFS($B$8:TblDetailBudget[[#This Row],[Level]], Lvl1Hdr))</f>
        <v>1</v>
      </c>
      <c r="E157" s="62">
        <f>IF(TblDetailBudget[[#This Row],[Level]]="", "", COUNTIFS($B$8:TblDetailBudget[[#This Row],[Level]], Lvl2Hdr, $D$8:TblDetailBudget[[#This Row],[Lvl 1 Header]], TblDetailBudget[[#This Row],[Lvl 1 Header]]))</f>
        <v>4</v>
      </c>
      <c r="F157" s="62">
        <f>IF(TblDetailBudget[[#This Row],[Level]]="", "", COUNTIFS($B$8:TblDetailBudget[[#This Row],[Level]], Lvl3Hdr, $D$8:TblDetailBudget[[#This Row],[Lvl 1 Header]], TblDetailBudget[[#This Row],[Lvl 1 Header]], $E$8:TblDetailBudget[[#This Row],[Lvl 2 Header]], TblDetailBudget[[#This Row],[Lvl 2 Header]]))</f>
        <v>2</v>
      </c>
      <c r="G1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7" s="101" t="s">
        <v>2892</v>
      </c>
      <c r="J157" s="101"/>
      <c r="K157" s="88"/>
      <c r="L157" s="88"/>
      <c r="M157" s="62" t="str">
        <f>IF(TblDetailBudget[[#This Row],[Level]]=LvlBottomHdr, IFERROR(INDEX(TblUnitCost[Unit], MATCH(TblDetailBudget[[#This Row],[Row Title]], TblUnitCost[Resource], 0)), "Invalid Resource"), "")</f>
        <v/>
      </c>
      <c r="N157" s="125" t="str">
        <f>IF(TblDetailBudget[[#This Row],[Level]]=LvlBottomHdr, IFERROR(INDEX(TblUnitCost[LCU], MATCH(TblDetailBudget[[#This Row],[Row Title]], TblUnitCost[Resource], 0)), "Invalid Resource"), "")</f>
        <v/>
      </c>
      <c r="O157" s="128"/>
      <c r="P157" s="108"/>
      <c r="Q157" s="129"/>
      <c r="R157" s="108"/>
      <c r="S157" s="108"/>
      <c r="T157" s="108"/>
      <c r="U157" s="108"/>
      <c r="V157" s="108"/>
      <c r="W157" s="125" t="str">
        <f>IF(TblDetailBudget[[#This Row],[Level]]=LvlBottomHdr, IF(SUM(TblDetailBudget[[#This Row],[2021 Quant]:[2025 Quant]])&gt;0, SUM(TblDetailBudget[[#This Row],[2021 Quant]:[2025 Quant]]), ""), "")</f>
        <v/>
      </c>
      <c r="X15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7" s="140">
        <f>SUM(TblDetailBudget[[#This Row],[2021 Cost (LCU)]:[2025 Cost (LCU)]])</f>
        <v>27713070000</v>
      </c>
      <c r="AD157" s="134">
        <f>IFERROR(SUM(TblDetailBudget[[#This Row],[2021 Cost (LCU)]])/FX_Rate, "")</f>
        <v>0</v>
      </c>
      <c r="AE157" s="63">
        <f>IFERROR(SUM(TblDetailBudget[[#This Row],[2022 Cost (LCU)]])/FX_Rate, "")</f>
        <v>0</v>
      </c>
      <c r="AF157" s="63">
        <f>IFERROR(SUM(TblDetailBudget[[#This Row],[2023 Cost (LCU)]])/FX_Rate, "")</f>
        <v>0</v>
      </c>
      <c r="AG157" s="63">
        <f>IFERROR(SUM(TblDetailBudget[[#This Row],[2024 Cost (LCU)]])/FX_Rate, "")</f>
        <v>0</v>
      </c>
      <c r="AH157" s="63">
        <f>IFERROR(SUM(TblDetailBudget[[#This Row],[2025 Cost (LCU)]])/FX_Rate, "")</f>
        <v>17320668.75</v>
      </c>
      <c r="AI157" s="125">
        <f>SUM(TblDetailBudget[[#This Row],[2021 Cost (USD)]:[2025 Cost (USD)]])</f>
        <v>17320668.75</v>
      </c>
      <c r="AJ157" s="180"/>
    </row>
    <row r="158" spans="2:36" ht="12.75" customHeight="1">
      <c r="B158" s="122" t="s">
        <v>71</v>
      </c>
      <c r="C1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1.4.2.1.1</v>
      </c>
      <c r="D158" s="62">
        <f>IF(TblDetailBudget[[#This Row],[Level]]="", "", COUNTIFS($B$8:TblDetailBudget[[#This Row],[Level]], Lvl1Hdr))</f>
        <v>1</v>
      </c>
      <c r="E158" s="62">
        <f>IF(TblDetailBudget[[#This Row],[Level]]="", "", COUNTIFS($B$8:TblDetailBudget[[#This Row],[Level]], Lvl2Hdr, $D$8:TblDetailBudget[[#This Row],[Lvl 1 Header]], TblDetailBudget[[#This Row],[Lvl 1 Header]]))</f>
        <v>4</v>
      </c>
      <c r="F158" s="62">
        <f>IF(TblDetailBudget[[#This Row],[Level]]="", "", COUNTIFS($B$8:TblDetailBudget[[#This Row],[Level]], Lvl3Hdr, $D$8:TblDetailBudget[[#This Row],[Lvl 1 Header]], TblDetailBudget[[#This Row],[Lvl 1 Header]], $E$8:TblDetailBudget[[#This Row],[Lvl 2 Header]], TblDetailBudget[[#This Row],[Lvl 2 Header]]))</f>
        <v>2</v>
      </c>
      <c r="G1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8" s="96" t="s">
        <v>2889</v>
      </c>
      <c r="J158" s="101"/>
      <c r="K158" s="88"/>
      <c r="L158" s="88"/>
      <c r="M158" s="62" t="str">
        <f>IF(TblDetailBudget[[#This Row],[Level]]=LvlBottomHdr, IFERROR(INDEX(TblUnitCost[Unit], MATCH(TblDetailBudget[[#This Row],[Row Title]], TblUnitCost[Resource], 0)), "Invalid Resource"), "")</f>
        <v>per lGA</v>
      </c>
      <c r="N158" s="125">
        <f>IF(TblDetailBudget[[#This Row],[Level]]=LvlBottomHdr, IFERROR(INDEX(TblUnitCost[LCU], MATCH(TblDetailBudget[[#This Row],[Row Title]], TblUnitCost[Resource], 0)), "Invalid Resource"), "")</f>
        <v>35805000</v>
      </c>
      <c r="O158" s="128">
        <f>'States and LGAs'!AS6</f>
        <v>774</v>
      </c>
      <c r="P158" s="108">
        <v>1</v>
      </c>
      <c r="Q158" s="129">
        <v>1</v>
      </c>
      <c r="R158" s="108"/>
      <c r="S158" s="108"/>
      <c r="T158" s="108"/>
      <c r="U158" s="108"/>
      <c r="V158" s="108">
        <v>1</v>
      </c>
      <c r="W158" s="125">
        <f>IF(TblDetailBudget[[#This Row],[Level]]=LvlBottomHdr, IF(SUM(TblDetailBudget[[#This Row],[2021 Quant]:[2025 Quant]])&gt;0, SUM(TblDetailBudget[[#This Row],[2021 Quant]:[2025 Quant]]), ""), "")</f>
        <v>1</v>
      </c>
      <c r="X15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8" s="140">
        <f>SUM(TblDetailBudget[[#This Row],[2021 Cost (LCU)]:[2025 Cost (LCU)]])</f>
        <v>27713070000</v>
      </c>
      <c r="AD158" s="134">
        <f>IFERROR(SUM(TblDetailBudget[[#This Row],[2021 Cost (LCU)]])/FX_Rate, "")</f>
        <v>0</v>
      </c>
      <c r="AE158" s="63">
        <f>IFERROR(SUM(TblDetailBudget[[#This Row],[2022 Cost (LCU)]])/FX_Rate, "")</f>
        <v>0</v>
      </c>
      <c r="AF158" s="63">
        <f>IFERROR(SUM(TblDetailBudget[[#This Row],[2023 Cost (LCU)]])/FX_Rate, "")</f>
        <v>0</v>
      </c>
      <c r="AG158" s="63">
        <f>IFERROR(SUM(TblDetailBudget[[#This Row],[2024 Cost (LCU)]])/FX_Rate, "")</f>
        <v>0</v>
      </c>
      <c r="AH158" s="63">
        <f>IFERROR(SUM(TblDetailBudget[[#This Row],[2025 Cost (LCU)]])/FX_Rate, "")</f>
        <v>17320668.75</v>
      </c>
      <c r="AI158" s="125">
        <f>SUM(TblDetailBudget[[#This Row],[2021 Cost (USD)]:[2025 Cost (USD)]])</f>
        <v>17320668.75</v>
      </c>
      <c r="AJ158" s="180"/>
    </row>
    <row r="159" spans="2:36" ht="12.75" customHeight="1">
      <c r="B159" s="122" t="s">
        <v>68</v>
      </c>
      <c r="C1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v>
      </c>
      <c r="D159" s="62">
        <f>IF(TblDetailBudget[[#This Row],[Level]]="", "", COUNTIFS($B$8:TblDetailBudget[[#This Row],[Level]], Lvl1Hdr))</f>
        <v>1</v>
      </c>
      <c r="E159" s="62">
        <f>IF(TblDetailBudget[[#This Row],[Level]]="", "", COUNTIFS($B$8:TblDetailBudget[[#This Row],[Level]], Lvl2Hdr, $D$8:TblDetailBudget[[#This Row],[Lvl 1 Header]], TblDetailBudget[[#This Row],[Lvl 1 Header]]))</f>
        <v>5</v>
      </c>
      <c r="F159" s="62">
        <f>IF(TblDetailBudget[[#This Row],[Level]]="", "", COUNTIFS($B$8:TblDetailBudget[[#This Row],[Level]], Lvl3Hdr, $D$8:TblDetailBudget[[#This Row],[Lvl 1 Header]], TblDetailBudget[[#This Row],[Lvl 1 Header]], $E$8:TblDetailBudget[[#This Row],[Lvl 2 Header]], TblDetailBudget[[#This Row],[Lvl 2 Header]]))</f>
        <v>0</v>
      </c>
      <c r="G1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9" s="185" t="s">
        <v>2406</v>
      </c>
      <c r="J159" s="101"/>
      <c r="K159" s="88"/>
      <c r="L159" s="88"/>
      <c r="M159" s="62" t="str">
        <f>IF(TblDetailBudget[[#This Row],[Level]]=LvlBottomHdr, IFERROR(INDEX(TblUnitCost[Unit], MATCH(TblDetailBudget[[#This Row],[Row Title]], TblUnitCost[Resource], 0)), "Invalid Resource"), "")</f>
        <v/>
      </c>
      <c r="N159" s="125" t="str">
        <f>IF(TblDetailBudget[[#This Row],[Level]]=LvlBottomHdr, IFERROR(INDEX(TblUnitCost[LCU], MATCH(TblDetailBudget[[#This Row],[Row Title]], TblUnitCost[Resource], 0)), "Invalid Resource"), "")</f>
        <v/>
      </c>
      <c r="O159" s="128"/>
      <c r="P159" s="108"/>
      <c r="Q159" s="129"/>
      <c r="R159" s="108"/>
      <c r="S159" s="108"/>
      <c r="T159" s="108"/>
      <c r="U159" s="108"/>
      <c r="V159" s="108"/>
      <c r="W159" s="125" t="str">
        <f>IF(TblDetailBudget[[#This Row],[Level]]=LvlBottomHdr, IF(SUM(TblDetailBudget[[#This Row],[2021 Quant]:[2025 Quant]])&gt;0, SUM(TblDetailBudget[[#This Row],[2021 Quant]:[2025 Quant]]), ""), "")</f>
        <v/>
      </c>
      <c r="X15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266843995738.00958</v>
      </c>
      <c r="AC159" s="140">
        <f>SUM(TblDetailBudget[[#This Row],[2021 Cost (LCU)]:[2025 Cost (LCU)]])</f>
        <v>266843995738.00958</v>
      </c>
      <c r="AD159" s="134">
        <f>IFERROR(SUM(TblDetailBudget[[#This Row],[2021 Cost (LCU)]])/FX_Rate, "")</f>
        <v>0</v>
      </c>
      <c r="AE159" s="63">
        <f>IFERROR(SUM(TblDetailBudget[[#This Row],[2022 Cost (LCU)]])/FX_Rate, "")</f>
        <v>0</v>
      </c>
      <c r="AF159" s="63">
        <f>IFERROR(SUM(TblDetailBudget[[#This Row],[2023 Cost (LCU)]])/FX_Rate, "")</f>
        <v>0</v>
      </c>
      <c r="AG159" s="63">
        <f>IFERROR(SUM(TblDetailBudget[[#This Row],[2024 Cost (LCU)]])/FX_Rate, "")</f>
        <v>0</v>
      </c>
      <c r="AH159" s="63">
        <f>IFERROR(SUM(TblDetailBudget[[#This Row],[2025 Cost (LCU)]])/FX_Rate, "")</f>
        <v>166777497.336256</v>
      </c>
      <c r="AI159" s="125">
        <f>SUM(TblDetailBudget[[#This Row],[2021 Cost (USD)]:[2025 Cost (USD)]])</f>
        <v>166777497.336256</v>
      </c>
      <c r="AJ159" s="180"/>
    </row>
    <row r="160" spans="2:36" ht="12.75" customHeight="1">
      <c r="B160" s="122" t="s">
        <v>69</v>
      </c>
      <c r="C1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v>
      </c>
      <c r="D160" s="62">
        <f>IF(TblDetailBudget[[#This Row],[Level]]="", "", COUNTIFS($B$8:TblDetailBudget[[#This Row],[Level]], Lvl1Hdr))</f>
        <v>1</v>
      </c>
      <c r="E160" s="62">
        <f>IF(TblDetailBudget[[#This Row],[Level]]="", "", COUNTIFS($B$8:TblDetailBudget[[#This Row],[Level]], Lvl2Hdr, $D$8:TblDetailBudget[[#This Row],[Lvl 1 Header]], TblDetailBudget[[#This Row],[Lvl 1 Header]]))</f>
        <v>5</v>
      </c>
      <c r="F160" s="62">
        <f>IF(TblDetailBudget[[#This Row],[Level]]="", "", COUNTIFS($B$8:TblDetailBudget[[#This Row],[Level]], Lvl3Hdr, $D$8:TblDetailBudget[[#This Row],[Lvl 1 Header]], TblDetailBudget[[#This Row],[Lvl 1 Header]], $E$8:TblDetailBudget[[#This Row],[Lvl 2 Header]], TblDetailBudget[[#This Row],[Lvl 2 Header]]))</f>
        <v>1</v>
      </c>
      <c r="G1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0" s="185" t="s">
        <v>2407</v>
      </c>
      <c r="J160" s="101"/>
      <c r="K160" s="88"/>
      <c r="L160" s="88"/>
      <c r="M160" s="62" t="str">
        <f>IF(TblDetailBudget[[#This Row],[Level]]=LvlBottomHdr, IFERROR(INDEX(TblUnitCost[Unit], MATCH(TblDetailBudget[[#This Row],[Row Title]], TblUnitCost[Resource], 0)), "Invalid Resource"), "")</f>
        <v/>
      </c>
      <c r="N160" s="125" t="str">
        <f>IF(TblDetailBudget[[#This Row],[Level]]=LvlBottomHdr, IFERROR(INDEX(TblUnitCost[LCU], MATCH(TblDetailBudget[[#This Row],[Row Title]], TblUnitCost[Resource], 0)), "Invalid Resource"), "")</f>
        <v/>
      </c>
      <c r="O160" s="128"/>
      <c r="P160" s="108"/>
      <c r="Q160" s="129"/>
      <c r="R160" s="108"/>
      <c r="S160" s="108"/>
      <c r="T160" s="108"/>
      <c r="U160" s="108"/>
      <c r="V160" s="108"/>
      <c r="W160" s="125" t="str">
        <f>IF(TblDetailBudget[[#This Row],[Level]]=LvlBottomHdr, IF(SUM(TblDetailBudget[[#This Row],[2021 Quant]:[2025 Quant]])&gt;0, SUM(TblDetailBudget[[#This Row],[2021 Quant]:[2025 Quant]]), ""), "")</f>
        <v/>
      </c>
      <c r="X16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266843995738.00958</v>
      </c>
      <c r="AC160" s="140">
        <f>SUM(TblDetailBudget[[#This Row],[2021 Cost (LCU)]:[2025 Cost (LCU)]])</f>
        <v>266843995738.00958</v>
      </c>
      <c r="AD160" s="134">
        <f>IFERROR(SUM(TblDetailBudget[[#This Row],[2021 Cost (LCU)]])/FX_Rate, "")</f>
        <v>0</v>
      </c>
      <c r="AE160" s="63">
        <f>IFERROR(SUM(TblDetailBudget[[#This Row],[2022 Cost (LCU)]])/FX_Rate, "")</f>
        <v>0</v>
      </c>
      <c r="AF160" s="63">
        <f>IFERROR(SUM(TblDetailBudget[[#This Row],[2023 Cost (LCU)]])/FX_Rate, "")</f>
        <v>0</v>
      </c>
      <c r="AG160" s="63">
        <f>IFERROR(SUM(TblDetailBudget[[#This Row],[2024 Cost (LCU)]])/FX_Rate, "")</f>
        <v>0</v>
      </c>
      <c r="AH160" s="63">
        <f>IFERROR(SUM(TblDetailBudget[[#This Row],[2025 Cost (LCU)]])/FX_Rate, "")</f>
        <v>166777497.336256</v>
      </c>
      <c r="AI160" s="125">
        <f>SUM(TblDetailBudget[[#This Row],[2021 Cost (USD)]:[2025 Cost (USD)]])</f>
        <v>166777497.336256</v>
      </c>
      <c r="AJ160" s="180"/>
    </row>
    <row r="161" spans="2:36" ht="12.75" customHeight="1">
      <c r="B161" s="122" t="s">
        <v>70</v>
      </c>
      <c r="C1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1.5.1.1</v>
      </c>
      <c r="D161" s="62">
        <f>IF(TblDetailBudget[[#This Row],[Level]]="", "", COUNTIFS($B$8:TblDetailBudget[[#This Row],[Level]], Lvl1Hdr))</f>
        <v>1</v>
      </c>
      <c r="E161" s="62">
        <f>IF(TblDetailBudget[[#This Row],[Level]]="", "", COUNTIFS($B$8:TblDetailBudget[[#This Row],[Level]], Lvl2Hdr, $D$8:TblDetailBudget[[#This Row],[Lvl 1 Header]], TblDetailBudget[[#This Row],[Lvl 1 Header]]))</f>
        <v>5</v>
      </c>
      <c r="F161" s="62">
        <f>IF(TblDetailBudget[[#This Row],[Level]]="", "", COUNTIFS($B$8:TblDetailBudget[[#This Row],[Level]], Lvl3Hdr, $D$8:TblDetailBudget[[#This Row],[Lvl 1 Header]], TblDetailBudget[[#This Row],[Lvl 1 Header]], $E$8:TblDetailBudget[[#This Row],[Lvl 2 Header]], TblDetailBudget[[#This Row],[Lvl 2 Header]]))</f>
        <v>1</v>
      </c>
      <c r="G1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1" s="96" t="s">
        <v>2591</v>
      </c>
      <c r="J161" s="101"/>
      <c r="K161" s="88"/>
      <c r="L161" s="88"/>
      <c r="M161" s="62" t="str">
        <f>IF(TblDetailBudget[[#This Row],[Level]]=LvlBottomHdr, IFERROR(INDEX(TblUnitCost[Unit], MATCH(TblDetailBudget[[#This Row],[Row Title]], TblUnitCost[Resource], 0)), "Invalid Resource"), "")</f>
        <v/>
      </c>
      <c r="N161" s="125" t="str">
        <f>IF(TblDetailBudget[[#This Row],[Level]]=LvlBottomHdr, IFERROR(INDEX(TblUnitCost[LCU], MATCH(TblDetailBudget[[#This Row],[Row Title]], TblUnitCost[Resource], 0)), "Invalid Resource"), "")</f>
        <v/>
      </c>
      <c r="O161" s="128"/>
      <c r="P161" s="108"/>
      <c r="Q161" s="129"/>
      <c r="R161" s="108"/>
      <c r="S161" s="108"/>
      <c r="T161" s="108"/>
      <c r="U161" s="108"/>
      <c r="V161" s="108"/>
      <c r="W161" s="125" t="str">
        <f>IF(TblDetailBudget[[#This Row],[Level]]=LvlBottomHdr, IF(SUM(TblDetailBudget[[#This Row],[2021 Quant]:[2025 Quant]])&gt;0, SUM(TblDetailBudget[[#This Row],[2021 Quant]:[2025 Quant]]), ""), "")</f>
        <v/>
      </c>
      <c r="X1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251147290106.36197</v>
      </c>
      <c r="AC161" s="140">
        <f>SUM(TblDetailBudget[[#This Row],[2021 Cost (LCU)]:[2025 Cost (LCU)]])</f>
        <v>251147290106.36197</v>
      </c>
      <c r="AD161" s="134">
        <f>IFERROR(SUM(TblDetailBudget[[#This Row],[2021 Cost (LCU)]])/FX_Rate, "")</f>
        <v>0</v>
      </c>
      <c r="AE161" s="63">
        <f>IFERROR(SUM(TblDetailBudget[[#This Row],[2022 Cost (LCU)]])/FX_Rate, "")</f>
        <v>0</v>
      </c>
      <c r="AF161" s="63">
        <f>IFERROR(SUM(TblDetailBudget[[#This Row],[2023 Cost (LCU)]])/FX_Rate, "")</f>
        <v>0</v>
      </c>
      <c r="AG161" s="63">
        <f>IFERROR(SUM(TblDetailBudget[[#This Row],[2024 Cost (LCU)]])/FX_Rate, "")</f>
        <v>0</v>
      </c>
      <c r="AH161" s="63">
        <f>IFERROR(SUM(TblDetailBudget[[#This Row],[2025 Cost (LCU)]])/FX_Rate, "")</f>
        <v>156967056.31647623</v>
      </c>
      <c r="AI161" s="125">
        <f>SUM(TblDetailBudget[[#This Row],[2021 Cost (USD)]:[2025 Cost (USD)]])</f>
        <v>156967056.31647623</v>
      </c>
      <c r="AJ161" s="180"/>
    </row>
    <row r="162" spans="2:36" ht="12.75" customHeight="1">
      <c r="B162" s="122" t="s">
        <v>71</v>
      </c>
      <c r="C1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1.5.1.1.1</v>
      </c>
      <c r="D162" s="62">
        <f>IF(TblDetailBudget[[#This Row],[Level]]="", "", COUNTIFS($B$8:TblDetailBudget[[#This Row],[Level]], Lvl1Hdr))</f>
        <v>1</v>
      </c>
      <c r="E162" s="62">
        <f>IF(TblDetailBudget[[#This Row],[Level]]="", "", COUNTIFS($B$8:TblDetailBudget[[#This Row],[Level]], Lvl2Hdr, $D$8:TblDetailBudget[[#This Row],[Lvl 1 Header]], TblDetailBudget[[#This Row],[Lvl 1 Header]]))</f>
        <v>5</v>
      </c>
      <c r="F162" s="62">
        <f>IF(TblDetailBudget[[#This Row],[Level]]="", "", COUNTIFS($B$8:TblDetailBudget[[#This Row],[Level]], Lvl3Hdr, $D$8:TblDetailBudget[[#This Row],[Lvl 1 Header]], TblDetailBudget[[#This Row],[Lvl 1 Header]], $E$8:TblDetailBudget[[#This Row],[Lvl 2 Header]], TblDetailBudget[[#This Row],[Lvl 2 Header]]))</f>
        <v>1</v>
      </c>
      <c r="G1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2" s="96" t="s">
        <v>2589</v>
      </c>
      <c r="J162" s="101"/>
      <c r="K162" s="88"/>
      <c r="L162" s="88"/>
      <c r="M162" s="62" t="str">
        <f>IF(TblDetailBudget[[#This Row],[Level]]=LvlBottomHdr, IFERROR(INDEX(TblUnitCost[Unit], MATCH(TblDetailBudget[[#This Row],[Row Title]], TblUnitCost[Resource], 0)), "Invalid Resource"), "")</f>
        <v>per dose</v>
      </c>
      <c r="N162" s="125">
        <f>IF(TblDetailBudget[[#This Row],[Level]]=LvlBottomHdr, IFERROR(INDEX(TblUnitCost[LCU], MATCH(TblDetailBudget[[#This Row],[Row Title]], TblUnitCost[Resource], 0)), "Invalid Resource"), "")</f>
        <v>6400</v>
      </c>
      <c r="O162" s="128">
        <f>'States and LGAs'!CG6</f>
        <v>39241764.079119056</v>
      </c>
      <c r="P162" s="108">
        <v>1</v>
      </c>
      <c r="Q162" s="129">
        <v>1</v>
      </c>
      <c r="R162" s="108"/>
      <c r="S162" s="108"/>
      <c r="T162" s="108"/>
      <c r="U162" s="108"/>
      <c r="V162" s="108">
        <v>1</v>
      </c>
      <c r="W162" s="125">
        <f>IF(TblDetailBudget[[#This Row],[Level]]=LvlBottomHdr, IF(SUM(TblDetailBudget[[#This Row],[2021 Quant]:[2025 Quant]])&gt;0, SUM(TblDetailBudget[[#This Row],[2021 Quant]:[2025 Quant]]), ""), "")</f>
        <v>1</v>
      </c>
      <c r="X16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251147290106.36197</v>
      </c>
      <c r="AC162" s="140">
        <f>SUM(TblDetailBudget[[#This Row],[2021 Cost (LCU)]:[2025 Cost (LCU)]])</f>
        <v>251147290106.36197</v>
      </c>
      <c r="AD162" s="134">
        <f>IFERROR(SUM(TblDetailBudget[[#This Row],[2021 Cost (LCU)]])/FX_Rate, "")</f>
        <v>0</v>
      </c>
      <c r="AE162" s="63">
        <f>IFERROR(SUM(TblDetailBudget[[#This Row],[2022 Cost (LCU)]])/FX_Rate, "")</f>
        <v>0</v>
      </c>
      <c r="AF162" s="63">
        <f>IFERROR(SUM(TblDetailBudget[[#This Row],[2023 Cost (LCU)]])/FX_Rate, "")</f>
        <v>0</v>
      </c>
      <c r="AG162" s="63">
        <f>IFERROR(SUM(TblDetailBudget[[#This Row],[2024 Cost (LCU)]])/FX_Rate, "")</f>
        <v>0</v>
      </c>
      <c r="AH162" s="63">
        <f>IFERROR(SUM(TblDetailBudget[[#This Row],[2025 Cost (LCU)]])/FX_Rate, "")</f>
        <v>156967056.31647623</v>
      </c>
      <c r="AI162" s="125">
        <f>SUM(TblDetailBudget[[#This Row],[2021 Cost (USD)]:[2025 Cost (USD)]])</f>
        <v>156967056.31647623</v>
      </c>
      <c r="AJ162" s="180"/>
    </row>
    <row r="163" spans="2:36" ht="12.75" customHeight="1">
      <c r="B163" s="122" t="s">
        <v>70</v>
      </c>
      <c r="C1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1.5.1.2</v>
      </c>
      <c r="D163" s="62">
        <f>IF(TblDetailBudget[[#This Row],[Level]]="", "", COUNTIFS($B$8:TblDetailBudget[[#This Row],[Level]], Lvl1Hdr))</f>
        <v>1</v>
      </c>
      <c r="E163" s="62">
        <f>IF(TblDetailBudget[[#This Row],[Level]]="", "", COUNTIFS($B$8:TblDetailBudget[[#This Row],[Level]], Lvl2Hdr, $D$8:TblDetailBudget[[#This Row],[Lvl 1 Header]], TblDetailBudget[[#This Row],[Lvl 1 Header]]))</f>
        <v>5</v>
      </c>
      <c r="F163" s="62">
        <f>IF(TblDetailBudget[[#This Row],[Level]]="", "", COUNTIFS($B$8:TblDetailBudget[[#This Row],[Level]], Lvl3Hdr, $D$8:TblDetailBudget[[#This Row],[Lvl 1 Header]], TblDetailBudget[[#This Row],[Lvl 1 Header]], $E$8:TblDetailBudget[[#This Row],[Lvl 2 Header]], TblDetailBudget[[#This Row],[Lvl 2 Header]]))</f>
        <v>1</v>
      </c>
      <c r="G1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3" s="101" t="s">
        <v>2566</v>
      </c>
      <c r="J163" s="101"/>
      <c r="K163" s="88"/>
      <c r="L163" s="88"/>
      <c r="M163" s="62" t="str">
        <f>IF(TblDetailBudget[[#This Row],[Level]]=LvlBottomHdr, IFERROR(INDEX(TblUnitCost[Unit], MATCH(TblDetailBudget[[#This Row],[Row Title]], TblUnitCost[Resource], 0)), "Invalid Resource"), "")</f>
        <v/>
      </c>
      <c r="N163" s="125" t="str">
        <f>IF(TblDetailBudget[[#This Row],[Level]]=LvlBottomHdr, IFERROR(INDEX(TblUnitCost[LCU], MATCH(TblDetailBudget[[#This Row],[Row Title]], TblUnitCost[Resource], 0)), "Invalid Resource"), "")</f>
        <v/>
      </c>
      <c r="O163" s="128"/>
      <c r="P163" s="108"/>
      <c r="Q163" s="129"/>
      <c r="R163" s="108"/>
      <c r="S163" s="108"/>
      <c r="T163" s="108"/>
      <c r="U163" s="108"/>
      <c r="V163" s="108"/>
      <c r="W163" s="125" t="str">
        <f>IF(TblDetailBudget[[#This Row],[Level]]=LvlBottomHdr, IF(SUM(TblDetailBudget[[#This Row],[2021 Quant]:[2025 Quant]])&gt;0, SUM(TblDetailBudget[[#This Row],[2021 Quant]:[2025 Quant]]), ""), "")</f>
        <v/>
      </c>
      <c r="X16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15696705631.647623</v>
      </c>
      <c r="AC163" s="140">
        <f>SUM(TblDetailBudget[[#This Row],[2021 Cost (LCU)]:[2025 Cost (LCU)]])</f>
        <v>15696705631.647623</v>
      </c>
      <c r="AD163" s="134">
        <f>IFERROR(SUM(TblDetailBudget[[#This Row],[2021 Cost (LCU)]])/FX_Rate, "")</f>
        <v>0</v>
      </c>
      <c r="AE163" s="63">
        <f>IFERROR(SUM(TblDetailBudget[[#This Row],[2022 Cost (LCU)]])/FX_Rate, "")</f>
        <v>0</v>
      </c>
      <c r="AF163" s="63">
        <f>IFERROR(SUM(TblDetailBudget[[#This Row],[2023 Cost (LCU)]])/FX_Rate, "")</f>
        <v>0</v>
      </c>
      <c r="AG163" s="63">
        <f>IFERROR(SUM(TblDetailBudget[[#This Row],[2024 Cost (LCU)]])/FX_Rate, "")</f>
        <v>0</v>
      </c>
      <c r="AH163" s="63">
        <f>IFERROR(SUM(TblDetailBudget[[#This Row],[2025 Cost (LCU)]])/FX_Rate, "")</f>
        <v>9810441.0197797641</v>
      </c>
      <c r="AI163" s="125">
        <f>SUM(TblDetailBudget[[#This Row],[2021 Cost (USD)]:[2025 Cost (USD)]])</f>
        <v>9810441.0197797641</v>
      </c>
      <c r="AJ163" s="180"/>
    </row>
    <row r="164" spans="2:36" ht="12.75" customHeight="1">
      <c r="B164" s="122" t="s">
        <v>71</v>
      </c>
      <c r="C1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1.5.1.2.1</v>
      </c>
      <c r="D164" s="62">
        <f>IF(TblDetailBudget[[#This Row],[Level]]="", "", COUNTIFS($B$8:TblDetailBudget[[#This Row],[Level]], Lvl1Hdr))</f>
        <v>1</v>
      </c>
      <c r="E164" s="62">
        <f>IF(TblDetailBudget[[#This Row],[Level]]="", "", COUNTIFS($B$8:TblDetailBudget[[#This Row],[Level]], Lvl2Hdr, $D$8:TblDetailBudget[[#This Row],[Lvl 1 Header]], TblDetailBudget[[#This Row],[Lvl 1 Header]]))</f>
        <v>5</v>
      </c>
      <c r="F164" s="62">
        <f>IF(TblDetailBudget[[#This Row],[Level]]="", "", COUNTIFS($B$8:TblDetailBudget[[#This Row],[Level]], Lvl3Hdr, $D$8:TblDetailBudget[[#This Row],[Lvl 1 Header]], TblDetailBudget[[#This Row],[Lvl 1 Header]], $E$8:TblDetailBudget[[#This Row],[Lvl 2 Header]], TblDetailBudget[[#This Row],[Lvl 2 Header]]))</f>
        <v>1</v>
      </c>
      <c r="G1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4" s="101" t="s">
        <v>2587</v>
      </c>
      <c r="J164" s="101"/>
      <c r="K164" s="88"/>
      <c r="L164" s="88"/>
      <c r="M164" s="62" t="str">
        <f>IF(TblDetailBudget[[#This Row],[Level]]=LvlBottomHdr, IFERROR(INDEX(TblUnitCost[Unit], MATCH(TblDetailBudget[[#This Row],[Row Title]], TblUnitCost[Resource], 0)), "Invalid Resource"), "")</f>
        <v>per child</v>
      </c>
      <c r="N164" s="125">
        <f>IF(TblDetailBudget[[#This Row],[Level]]=LvlBottomHdr, IFERROR(INDEX(TblUnitCost[LCU], MATCH(TblDetailBudget[[#This Row],[Row Title]], TblUnitCost[Resource], 0)), "Invalid Resource"), "")</f>
        <v>1600</v>
      </c>
      <c r="O164" s="128">
        <f>'States and LGAs'!AO6</f>
        <v>9810441.0197797641</v>
      </c>
      <c r="P164" s="108">
        <v>1</v>
      </c>
      <c r="Q164" s="129">
        <v>1</v>
      </c>
      <c r="R164" s="108"/>
      <c r="S164" s="108"/>
      <c r="T164" s="108"/>
      <c r="U164" s="108"/>
      <c r="V164" s="108">
        <v>1</v>
      </c>
      <c r="W164" s="125">
        <f>IF(TblDetailBudget[[#This Row],[Level]]=LvlBottomHdr, IF(SUM(TblDetailBudget[[#This Row],[2021 Quant]:[2025 Quant]])&gt;0, SUM(TblDetailBudget[[#This Row],[2021 Quant]:[2025 Quant]]), ""), "")</f>
        <v>1</v>
      </c>
      <c r="X16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15696705631.647623</v>
      </c>
      <c r="AC164" s="140">
        <f>SUM(TblDetailBudget[[#This Row],[2021 Cost (LCU)]:[2025 Cost (LCU)]])</f>
        <v>15696705631.647623</v>
      </c>
      <c r="AD164" s="134">
        <f>IFERROR(SUM(TblDetailBudget[[#This Row],[2021 Cost (LCU)]])/FX_Rate, "")</f>
        <v>0</v>
      </c>
      <c r="AE164" s="63">
        <f>IFERROR(SUM(TblDetailBudget[[#This Row],[2022 Cost (LCU)]])/FX_Rate, "")</f>
        <v>0</v>
      </c>
      <c r="AF164" s="63">
        <f>IFERROR(SUM(TblDetailBudget[[#This Row],[2023 Cost (LCU)]])/FX_Rate, "")</f>
        <v>0</v>
      </c>
      <c r="AG164" s="63">
        <f>IFERROR(SUM(TblDetailBudget[[#This Row],[2024 Cost (LCU)]])/FX_Rate, "")</f>
        <v>0</v>
      </c>
      <c r="AH164" s="63">
        <f>IFERROR(SUM(TblDetailBudget[[#This Row],[2025 Cost (LCU)]])/FX_Rate, "")</f>
        <v>9810441.0197797641</v>
      </c>
      <c r="AI164" s="125">
        <f>SUM(TblDetailBudget[[#This Row],[2021 Cost (USD)]:[2025 Cost (USD)]])</f>
        <v>9810441.0197797641</v>
      </c>
      <c r="AJ164" s="180"/>
    </row>
    <row r="165" spans="2:36" ht="12.75" customHeight="1">
      <c r="B165" s="122" t="s">
        <v>68</v>
      </c>
      <c r="C1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v>
      </c>
      <c r="D165" s="62">
        <f>IF(TblDetailBudget[[#This Row],[Level]]="", "", COUNTIFS($B$8:TblDetailBudget[[#This Row],[Level]], Lvl1Hdr))</f>
        <v>1</v>
      </c>
      <c r="E165" s="62">
        <f>IF(TblDetailBudget[[#This Row],[Level]]="", "", COUNTIFS($B$8:TblDetailBudget[[#This Row],[Level]], Lvl2Hdr, $D$8:TblDetailBudget[[#This Row],[Lvl 1 Header]], TblDetailBudget[[#This Row],[Lvl 1 Header]]))</f>
        <v>6</v>
      </c>
      <c r="F165" s="62">
        <f>IF(TblDetailBudget[[#This Row],[Level]]="", "", COUNTIFS($B$8:TblDetailBudget[[#This Row],[Level]], Lvl3Hdr, $D$8:TblDetailBudget[[#This Row],[Lvl 1 Header]], TblDetailBudget[[#This Row],[Lvl 1 Header]], $E$8:TblDetailBudget[[#This Row],[Lvl 2 Header]], TblDetailBudget[[#This Row],[Lvl 2 Header]]))</f>
        <v>0</v>
      </c>
      <c r="G1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5" s="185" t="s">
        <v>2409</v>
      </c>
      <c r="J165" s="101"/>
      <c r="K165" s="88"/>
      <c r="L165" s="88"/>
      <c r="M165" s="62" t="str">
        <f>IF(TblDetailBudget[[#This Row],[Level]]=LvlBottomHdr, IFERROR(INDEX(TblUnitCost[Unit], MATCH(TblDetailBudget[[#This Row],[Row Title]], TblUnitCost[Resource], 0)), "Invalid Resource"), "")</f>
        <v/>
      </c>
      <c r="N165" s="125" t="str">
        <f>IF(TblDetailBudget[[#This Row],[Level]]=LvlBottomHdr, IFERROR(INDEX(TblUnitCost[LCU], MATCH(TblDetailBudget[[#This Row],[Row Title]], TblUnitCost[Resource], 0)), "Invalid Resource"), "")</f>
        <v/>
      </c>
      <c r="O165" s="128"/>
      <c r="P165" s="108"/>
      <c r="Q165" s="129"/>
      <c r="R165" s="108"/>
      <c r="S165" s="108"/>
      <c r="T165" s="108"/>
      <c r="U165" s="108"/>
      <c r="V165" s="108"/>
      <c r="W165" s="125" t="str">
        <f>IF(TblDetailBudget[[#This Row],[Level]]=LvlBottomHdr, IF(SUM(TblDetailBudget[[#This Row],[2021 Quant]:[2025 Quant]])&gt;0, SUM(TblDetailBudget[[#This Row],[2021 Quant]:[2025 Quant]]), ""), "")</f>
        <v/>
      </c>
      <c r="X16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14927760000</v>
      </c>
      <c r="AC165" s="140">
        <f>SUM(TblDetailBudget[[#This Row],[2021 Cost (LCU)]:[2025 Cost (LCU)]])</f>
        <v>14927760000</v>
      </c>
      <c r="AD165" s="134">
        <f>IFERROR(SUM(TblDetailBudget[[#This Row],[2021 Cost (LCU)]])/FX_Rate, "")</f>
        <v>0</v>
      </c>
      <c r="AE165" s="63">
        <f>IFERROR(SUM(TblDetailBudget[[#This Row],[2022 Cost (LCU)]])/FX_Rate, "")</f>
        <v>0</v>
      </c>
      <c r="AF165" s="63">
        <f>IFERROR(SUM(TblDetailBudget[[#This Row],[2023 Cost (LCU)]])/FX_Rate, "")</f>
        <v>0</v>
      </c>
      <c r="AG165" s="63">
        <f>IFERROR(SUM(TblDetailBudget[[#This Row],[2024 Cost (LCU)]])/FX_Rate, "")</f>
        <v>0</v>
      </c>
      <c r="AH165" s="63">
        <f>IFERROR(SUM(TblDetailBudget[[#This Row],[2025 Cost (LCU)]])/FX_Rate, "")</f>
        <v>9329850</v>
      </c>
      <c r="AI165" s="125">
        <f>SUM(TblDetailBudget[[#This Row],[2021 Cost (USD)]:[2025 Cost (USD)]])</f>
        <v>9329850</v>
      </c>
      <c r="AJ165" s="180"/>
    </row>
    <row r="166" spans="2:36" ht="12.75" customHeight="1">
      <c r="B166" s="122" t="s">
        <v>69</v>
      </c>
      <c r="C1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v>
      </c>
      <c r="D166" s="62">
        <f>IF(TblDetailBudget[[#This Row],[Level]]="", "", COUNTIFS($B$8:TblDetailBudget[[#This Row],[Level]], Lvl1Hdr))</f>
        <v>1</v>
      </c>
      <c r="E166" s="62">
        <f>IF(TblDetailBudget[[#This Row],[Level]]="", "", COUNTIFS($B$8:TblDetailBudget[[#This Row],[Level]], Lvl2Hdr, $D$8:TblDetailBudget[[#This Row],[Lvl 1 Header]], TblDetailBudget[[#This Row],[Lvl 1 Header]]))</f>
        <v>6</v>
      </c>
      <c r="F166" s="62">
        <f>IF(TblDetailBudget[[#This Row],[Level]]="", "", COUNTIFS($B$8:TblDetailBudget[[#This Row],[Level]], Lvl3Hdr, $D$8:TblDetailBudget[[#This Row],[Lvl 1 Header]], TblDetailBudget[[#This Row],[Lvl 1 Header]], $E$8:TblDetailBudget[[#This Row],[Lvl 2 Header]], TblDetailBudget[[#This Row],[Lvl 2 Header]]))</f>
        <v>1</v>
      </c>
      <c r="G1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6" s="185" t="s">
        <v>2411</v>
      </c>
      <c r="J166" s="101"/>
      <c r="K166" s="88"/>
      <c r="L166" s="88"/>
      <c r="M166" s="62" t="str">
        <f>IF(TblDetailBudget[[#This Row],[Level]]=LvlBottomHdr, IFERROR(INDEX(TblUnitCost[Unit], MATCH(TblDetailBudget[[#This Row],[Row Title]], TblUnitCost[Resource], 0)), "Invalid Resource"), "")</f>
        <v/>
      </c>
      <c r="N166" s="125" t="str">
        <f>IF(TblDetailBudget[[#This Row],[Level]]=LvlBottomHdr, IFERROR(INDEX(TblUnitCost[LCU], MATCH(TblDetailBudget[[#This Row],[Row Title]], TblUnitCost[Resource], 0)), "Invalid Resource"), "")</f>
        <v/>
      </c>
      <c r="O166" s="128"/>
      <c r="P166" s="108"/>
      <c r="Q166" s="129"/>
      <c r="R166" s="108"/>
      <c r="S166" s="108"/>
      <c r="T166" s="108"/>
      <c r="U166" s="108"/>
      <c r="V166" s="108"/>
      <c r="W166" s="125" t="str">
        <f>IF(TblDetailBudget[[#This Row],[Level]]=LvlBottomHdr, IF(SUM(TblDetailBudget[[#This Row],[2021 Quant]:[2025 Quant]])&gt;0, SUM(TblDetailBudget[[#This Row],[2021 Quant]:[2025 Quant]]), ""), "")</f>
        <v/>
      </c>
      <c r="X16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14927760000</v>
      </c>
      <c r="AC166" s="140">
        <f>SUM(TblDetailBudget[[#This Row],[2021 Cost (LCU)]:[2025 Cost (LCU)]])</f>
        <v>14927760000</v>
      </c>
      <c r="AD166" s="134">
        <f>IFERROR(SUM(TblDetailBudget[[#This Row],[2021 Cost (LCU)]])/FX_Rate, "")</f>
        <v>0</v>
      </c>
      <c r="AE166" s="63">
        <f>IFERROR(SUM(TblDetailBudget[[#This Row],[2022 Cost (LCU)]])/FX_Rate, "")</f>
        <v>0</v>
      </c>
      <c r="AF166" s="63">
        <f>IFERROR(SUM(TblDetailBudget[[#This Row],[2023 Cost (LCU)]])/FX_Rate, "")</f>
        <v>0</v>
      </c>
      <c r="AG166" s="63">
        <f>IFERROR(SUM(TblDetailBudget[[#This Row],[2024 Cost (LCU)]])/FX_Rate, "")</f>
        <v>0</v>
      </c>
      <c r="AH166" s="63">
        <f>IFERROR(SUM(TblDetailBudget[[#This Row],[2025 Cost (LCU)]])/FX_Rate, "")</f>
        <v>9329850</v>
      </c>
      <c r="AI166" s="125">
        <f>SUM(TblDetailBudget[[#This Row],[2021 Cost (USD)]:[2025 Cost (USD)]])</f>
        <v>9329850</v>
      </c>
      <c r="AJ166" s="180"/>
    </row>
    <row r="167" spans="2:36" ht="12.75" customHeight="1">
      <c r="B167" s="122" t="s">
        <v>70</v>
      </c>
      <c r="C1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v>
      </c>
      <c r="D167" s="62">
        <f>IF(TblDetailBudget[[#This Row],[Level]]="", "", COUNTIFS($B$8:TblDetailBudget[[#This Row],[Level]], Lvl1Hdr))</f>
        <v>1</v>
      </c>
      <c r="E167" s="62">
        <f>IF(TblDetailBudget[[#This Row],[Level]]="", "", COUNTIFS($B$8:TblDetailBudget[[#This Row],[Level]], Lvl2Hdr, $D$8:TblDetailBudget[[#This Row],[Lvl 1 Header]], TblDetailBudget[[#This Row],[Lvl 1 Header]]))</f>
        <v>6</v>
      </c>
      <c r="F167" s="62">
        <f>IF(TblDetailBudget[[#This Row],[Level]]="", "", COUNTIFS($B$8:TblDetailBudget[[#This Row],[Level]], Lvl3Hdr, $D$8:TblDetailBudget[[#This Row],[Lvl 1 Header]], TblDetailBudget[[#This Row],[Lvl 1 Header]], $E$8:TblDetailBudget[[#This Row],[Lvl 2 Header]], TblDetailBudget[[#This Row],[Lvl 2 Header]]))</f>
        <v>1</v>
      </c>
      <c r="G1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7" s="101" t="s">
        <v>2412</v>
      </c>
      <c r="J167" s="101"/>
      <c r="K167" s="88"/>
      <c r="L167" s="88"/>
      <c r="M167" s="62" t="str">
        <f>IF(TblDetailBudget[[#This Row],[Level]]=LvlBottomHdr, IFERROR(INDEX(TblUnitCost[Unit], MATCH(TblDetailBudget[[#This Row],[Row Title]], TblUnitCost[Resource], 0)), "Invalid Resource"), "")</f>
        <v/>
      </c>
      <c r="N167" s="125" t="str">
        <f>IF(TblDetailBudget[[#This Row],[Level]]=LvlBottomHdr, IFERROR(INDEX(TblUnitCost[LCU], MATCH(TblDetailBudget[[#This Row],[Row Title]], TblUnitCost[Resource], 0)), "Invalid Resource"), "")</f>
        <v/>
      </c>
      <c r="O167" s="128"/>
      <c r="P167" s="108"/>
      <c r="Q167" s="129"/>
      <c r="R167" s="108"/>
      <c r="S167" s="108"/>
      <c r="T167" s="108"/>
      <c r="U167" s="108"/>
      <c r="V167" s="108"/>
      <c r="W167" s="125" t="str">
        <f>IF(TblDetailBudget[[#This Row],[Level]]=LvlBottomHdr, IF(SUM(TblDetailBudget[[#This Row],[2021 Quant]:[2025 Quant]])&gt;0, SUM(TblDetailBudget[[#This Row],[2021 Quant]:[2025 Quant]]), ""), "")</f>
        <v/>
      </c>
      <c r="X16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2464280000</v>
      </c>
      <c r="AC167" s="140">
        <f>SUM(TblDetailBudget[[#This Row],[2021 Cost (LCU)]:[2025 Cost (LCU)]])</f>
        <v>2464280000</v>
      </c>
      <c r="AD167" s="134">
        <f>IFERROR(SUM(TblDetailBudget[[#This Row],[2021 Cost (LCU)]])/FX_Rate, "")</f>
        <v>0</v>
      </c>
      <c r="AE167" s="63">
        <f>IFERROR(SUM(TblDetailBudget[[#This Row],[2022 Cost (LCU)]])/FX_Rate, "")</f>
        <v>0</v>
      </c>
      <c r="AF167" s="63">
        <f>IFERROR(SUM(TblDetailBudget[[#This Row],[2023 Cost (LCU)]])/FX_Rate, "")</f>
        <v>0</v>
      </c>
      <c r="AG167" s="63">
        <f>IFERROR(SUM(TblDetailBudget[[#This Row],[2024 Cost (LCU)]])/FX_Rate, "")</f>
        <v>0</v>
      </c>
      <c r="AH167" s="63">
        <f>IFERROR(SUM(TblDetailBudget[[#This Row],[2025 Cost (LCU)]])/FX_Rate, "")</f>
        <v>1540175</v>
      </c>
      <c r="AI167" s="125">
        <f>SUM(TblDetailBudget[[#This Row],[2021 Cost (USD)]:[2025 Cost (USD)]])</f>
        <v>1540175</v>
      </c>
      <c r="AJ167" s="180"/>
    </row>
    <row r="168" spans="2:36" ht="12.75" customHeight="1">
      <c r="B168" s="122" t="s">
        <v>71</v>
      </c>
      <c r="C1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1.6.1.1.1</v>
      </c>
      <c r="D168" s="62">
        <f>IF(TblDetailBudget[[#This Row],[Level]]="", "", COUNTIFS($B$8:TblDetailBudget[[#This Row],[Level]], Lvl1Hdr))</f>
        <v>1</v>
      </c>
      <c r="E168" s="62">
        <f>IF(TblDetailBudget[[#This Row],[Level]]="", "", COUNTIFS($B$8:TblDetailBudget[[#This Row],[Level]], Lvl2Hdr, $D$8:TblDetailBudget[[#This Row],[Lvl 1 Header]], TblDetailBudget[[#This Row],[Lvl 1 Header]]))</f>
        <v>6</v>
      </c>
      <c r="F168" s="62">
        <f>IF(TblDetailBudget[[#This Row],[Level]]="", "", COUNTIFS($B$8:TblDetailBudget[[#This Row],[Level]], Lvl3Hdr, $D$8:TblDetailBudget[[#This Row],[Lvl 1 Header]], TblDetailBudget[[#This Row],[Lvl 1 Header]], $E$8:TblDetailBudget[[#This Row],[Lvl 2 Header]], TblDetailBudget[[#This Row],[Lvl 2 Header]]))</f>
        <v>1</v>
      </c>
      <c r="G1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8" s="96" t="s">
        <v>168</v>
      </c>
      <c r="J168" s="101"/>
      <c r="K168" s="88"/>
      <c r="L168" s="88"/>
      <c r="M168" s="62" t="str">
        <f>IF(TblDetailBudget[[#This Row],[Level]]=LvlBottomHdr, IFERROR(INDEX(TblUnitCost[Unit], MATCH(TblDetailBudget[[#This Row],[Row Title]], TblUnitCost[Resource], 0)), "Invalid Resource"), "")</f>
        <v>per person per day</v>
      </c>
      <c r="N168" s="125">
        <f>IF(TblDetailBudget[[#This Row],[Level]]=LvlBottomHdr, IFERROR(INDEX(TblUnitCost[LCU], MATCH(TblDetailBudget[[#This Row],[Row Title]], TblUnitCost[Resource], 0)), "Invalid Resource"), "")</f>
        <v>20000</v>
      </c>
      <c r="O168" s="128">
        <f>'States and LGAs'!AU6</f>
        <v>8801</v>
      </c>
      <c r="P168" s="108">
        <v>2</v>
      </c>
      <c r="Q168" s="129">
        <v>4</v>
      </c>
      <c r="R168" s="108"/>
      <c r="S168" s="108"/>
      <c r="T168" s="108"/>
      <c r="U168" s="108"/>
      <c r="V168" s="108">
        <v>1</v>
      </c>
      <c r="W168" s="125">
        <f>IF(TblDetailBudget[[#This Row],[Level]]=LvlBottomHdr, IF(SUM(TblDetailBudget[[#This Row],[2021 Quant]:[2025 Quant]])&gt;0, SUM(TblDetailBudget[[#This Row],[2021 Quant]:[2025 Quant]]), ""), "")</f>
        <v>1</v>
      </c>
      <c r="X16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1408160000</v>
      </c>
      <c r="AC168" s="140">
        <f>SUM(TblDetailBudget[[#This Row],[2021 Cost (LCU)]:[2025 Cost (LCU)]])</f>
        <v>1408160000</v>
      </c>
      <c r="AD168" s="134">
        <f>IFERROR(SUM(TblDetailBudget[[#This Row],[2021 Cost (LCU)]])/FX_Rate, "")</f>
        <v>0</v>
      </c>
      <c r="AE168" s="63">
        <f>IFERROR(SUM(TblDetailBudget[[#This Row],[2022 Cost (LCU)]])/FX_Rate, "")</f>
        <v>0</v>
      </c>
      <c r="AF168" s="63">
        <f>IFERROR(SUM(TblDetailBudget[[#This Row],[2023 Cost (LCU)]])/FX_Rate, "")</f>
        <v>0</v>
      </c>
      <c r="AG168" s="63">
        <f>IFERROR(SUM(TblDetailBudget[[#This Row],[2024 Cost (LCU)]])/FX_Rate, "")</f>
        <v>0</v>
      </c>
      <c r="AH168" s="63">
        <f>IFERROR(SUM(TblDetailBudget[[#This Row],[2025 Cost (LCU)]])/FX_Rate, "")</f>
        <v>880100</v>
      </c>
      <c r="AI168" s="125">
        <f>SUM(TblDetailBudget[[#This Row],[2021 Cost (USD)]:[2025 Cost (USD)]])</f>
        <v>880100</v>
      </c>
      <c r="AJ168" s="180"/>
    </row>
    <row r="169" spans="2:36" ht="12.75" customHeight="1">
      <c r="B169" s="122" t="s">
        <v>71</v>
      </c>
      <c r="C1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1.6.1.1.2</v>
      </c>
      <c r="D169" s="62">
        <f>IF(TblDetailBudget[[#This Row],[Level]]="", "", COUNTIFS($B$8:TblDetailBudget[[#This Row],[Level]], Lvl1Hdr))</f>
        <v>1</v>
      </c>
      <c r="E169" s="62">
        <f>IF(TblDetailBudget[[#This Row],[Level]]="", "", COUNTIFS($B$8:TblDetailBudget[[#This Row],[Level]], Lvl2Hdr, $D$8:TblDetailBudget[[#This Row],[Lvl 1 Header]], TblDetailBudget[[#This Row],[Lvl 1 Header]]))</f>
        <v>6</v>
      </c>
      <c r="F169" s="62">
        <f>IF(TblDetailBudget[[#This Row],[Level]]="", "", COUNTIFS($B$8:TblDetailBudget[[#This Row],[Level]], Lvl3Hdr, $D$8:TblDetailBudget[[#This Row],[Lvl 1 Header]], TblDetailBudget[[#This Row],[Lvl 1 Header]], $E$8:TblDetailBudget[[#This Row],[Lvl 2 Header]], TblDetailBudget[[#This Row],[Lvl 2 Header]]))</f>
        <v>1</v>
      </c>
      <c r="G1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69" s="96" t="s">
        <v>1842</v>
      </c>
      <c r="J169" s="101"/>
      <c r="K169" s="88"/>
      <c r="L169" s="88"/>
      <c r="M169" s="62" t="str">
        <f>IF(TblDetailBudget[[#This Row],[Level]]=LvlBottomHdr, IFERROR(INDEX(TblUnitCost[Unit], MATCH(TblDetailBudget[[#This Row],[Row Title]], TblUnitCost[Resource], 0)), "Invalid Resource"), "")</f>
        <v>per person</v>
      </c>
      <c r="N169" s="125">
        <f>IF(TblDetailBudget[[#This Row],[Level]]=LvlBottomHdr, IFERROR(INDEX(TblUnitCost[LCU], MATCH(TblDetailBudget[[#This Row],[Row Title]], TblUnitCost[Resource], 0)), "Invalid Resource"), "")</f>
        <v>15000</v>
      </c>
      <c r="O169" s="128">
        <f>'States and LGAs'!AU6</f>
        <v>8801</v>
      </c>
      <c r="P169" s="108">
        <v>2</v>
      </c>
      <c r="Q169" s="129">
        <v>4</v>
      </c>
      <c r="R169" s="108"/>
      <c r="S169" s="108"/>
      <c r="T169" s="108"/>
      <c r="U169" s="108"/>
      <c r="V169" s="108">
        <v>1</v>
      </c>
      <c r="W169" s="125">
        <f>IF(TblDetailBudget[[#This Row],[Level]]=LvlBottomHdr, IF(SUM(TblDetailBudget[[#This Row],[2021 Quant]:[2025 Quant]])&gt;0, SUM(TblDetailBudget[[#This Row],[2021 Quant]:[2025 Quant]]), ""), "")</f>
        <v>1</v>
      </c>
      <c r="X16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1056120000</v>
      </c>
      <c r="AC169" s="140">
        <f>SUM(TblDetailBudget[[#This Row],[2021 Cost (LCU)]:[2025 Cost (LCU)]])</f>
        <v>1056120000</v>
      </c>
      <c r="AD169" s="134">
        <f>IFERROR(SUM(TblDetailBudget[[#This Row],[2021 Cost (LCU)]])/FX_Rate, "")</f>
        <v>0</v>
      </c>
      <c r="AE169" s="63">
        <f>IFERROR(SUM(TblDetailBudget[[#This Row],[2022 Cost (LCU)]])/FX_Rate, "")</f>
        <v>0</v>
      </c>
      <c r="AF169" s="63">
        <f>IFERROR(SUM(TblDetailBudget[[#This Row],[2023 Cost (LCU)]])/FX_Rate, "")</f>
        <v>0</v>
      </c>
      <c r="AG169" s="63">
        <f>IFERROR(SUM(TblDetailBudget[[#This Row],[2024 Cost (LCU)]])/FX_Rate, "")</f>
        <v>0</v>
      </c>
      <c r="AH169" s="63">
        <f>IFERROR(SUM(TblDetailBudget[[#This Row],[2025 Cost (LCU)]])/FX_Rate, "")</f>
        <v>660075</v>
      </c>
      <c r="AI169" s="125">
        <f>SUM(TblDetailBudget[[#This Row],[2021 Cost (USD)]:[2025 Cost (USD)]])</f>
        <v>660075</v>
      </c>
      <c r="AJ169" s="180"/>
    </row>
    <row r="170" spans="2:36" ht="12.75" customHeight="1">
      <c r="B170" s="122" t="s">
        <v>70</v>
      </c>
      <c r="C1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v>
      </c>
      <c r="D170" s="62">
        <f>IF(TblDetailBudget[[#This Row],[Level]]="", "", COUNTIFS($B$8:TblDetailBudget[[#This Row],[Level]], Lvl1Hdr))</f>
        <v>1</v>
      </c>
      <c r="E170" s="62">
        <f>IF(TblDetailBudget[[#This Row],[Level]]="", "", COUNTIFS($B$8:TblDetailBudget[[#This Row],[Level]], Lvl2Hdr, $D$8:TblDetailBudget[[#This Row],[Lvl 1 Header]], TblDetailBudget[[#This Row],[Lvl 1 Header]]))</f>
        <v>6</v>
      </c>
      <c r="F170" s="62">
        <f>IF(TblDetailBudget[[#This Row],[Level]]="", "", COUNTIFS($B$8:TblDetailBudget[[#This Row],[Level]], Lvl3Hdr, $D$8:TblDetailBudget[[#This Row],[Lvl 1 Header]], TblDetailBudget[[#This Row],[Lvl 1 Header]], $E$8:TblDetailBudget[[#This Row],[Lvl 2 Header]], TblDetailBudget[[#This Row],[Lvl 2 Header]]))</f>
        <v>1</v>
      </c>
      <c r="G1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0" s="101" t="s">
        <v>2410</v>
      </c>
      <c r="J170" s="101"/>
      <c r="K170" s="88"/>
      <c r="L170" s="88"/>
      <c r="M170" s="62" t="str">
        <f>IF(TblDetailBudget[[#This Row],[Level]]=LvlBottomHdr, IFERROR(INDEX(TblUnitCost[Unit], MATCH(TblDetailBudget[[#This Row],[Row Title]], TblUnitCost[Resource], 0)), "Invalid Resource"), "")</f>
        <v/>
      </c>
      <c r="N170" s="125" t="str">
        <f>IF(TblDetailBudget[[#This Row],[Level]]=LvlBottomHdr, IFERROR(INDEX(TblUnitCost[LCU], MATCH(TblDetailBudget[[#This Row],[Row Title]], TblUnitCost[Resource], 0)), "Invalid Resource"), "")</f>
        <v/>
      </c>
      <c r="O170" s="128"/>
      <c r="P170" s="108"/>
      <c r="Q170" s="129"/>
      <c r="R170" s="108"/>
      <c r="S170" s="108"/>
      <c r="T170" s="108"/>
      <c r="U170" s="108"/>
      <c r="V170" s="108"/>
      <c r="W170" s="125" t="str">
        <f>IF(TblDetailBudget[[#This Row],[Level]]=LvlBottomHdr, IF(SUM(TblDetailBudget[[#This Row],[2021 Quant]:[2025 Quant]])&gt;0, SUM(TblDetailBudget[[#This Row],[2021 Quant]:[2025 Quant]]), ""), "")</f>
        <v/>
      </c>
      <c r="X17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12463480000</v>
      </c>
      <c r="AC170" s="140">
        <f>SUM(TblDetailBudget[[#This Row],[2021 Cost (LCU)]:[2025 Cost (LCU)]])</f>
        <v>12463480000</v>
      </c>
      <c r="AD170" s="134">
        <f>IFERROR(SUM(TblDetailBudget[[#This Row],[2021 Cost (LCU)]])/FX_Rate, "")</f>
        <v>0</v>
      </c>
      <c r="AE170" s="63">
        <f>IFERROR(SUM(TblDetailBudget[[#This Row],[2022 Cost (LCU)]])/FX_Rate, "")</f>
        <v>0</v>
      </c>
      <c r="AF170" s="63">
        <f>IFERROR(SUM(TblDetailBudget[[#This Row],[2023 Cost (LCU)]])/FX_Rate, "")</f>
        <v>0</v>
      </c>
      <c r="AG170" s="63">
        <f>IFERROR(SUM(TblDetailBudget[[#This Row],[2024 Cost (LCU)]])/FX_Rate, "")</f>
        <v>0</v>
      </c>
      <c r="AH170" s="63">
        <f>IFERROR(SUM(TblDetailBudget[[#This Row],[2025 Cost (LCU)]])/FX_Rate, "")</f>
        <v>7789675</v>
      </c>
      <c r="AI170" s="125">
        <f>SUM(TblDetailBudget[[#This Row],[2021 Cost (USD)]:[2025 Cost (USD)]])</f>
        <v>7789675</v>
      </c>
      <c r="AJ170" s="180"/>
    </row>
    <row r="171" spans="2:36" ht="12.75" customHeight="1">
      <c r="B171" s="122" t="s">
        <v>71</v>
      </c>
      <c r="C1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1.6.1.2.1</v>
      </c>
      <c r="D171" s="62">
        <f>IF(TblDetailBudget[[#This Row],[Level]]="", "", COUNTIFS($B$8:TblDetailBudget[[#This Row],[Level]], Lvl1Hdr))</f>
        <v>1</v>
      </c>
      <c r="E171" s="62">
        <f>IF(TblDetailBudget[[#This Row],[Level]]="", "", COUNTIFS($B$8:TblDetailBudget[[#This Row],[Level]], Lvl2Hdr, $D$8:TblDetailBudget[[#This Row],[Lvl 1 Header]], TblDetailBudget[[#This Row],[Lvl 1 Header]]))</f>
        <v>6</v>
      </c>
      <c r="F171" s="62">
        <f>IF(TblDetailBudget[[#This Row],[Level]]="", "", COUNTIFS($B$8:TblDetailBudget[[#This Row],[Level]], Lvl3Hdr, $D$8:TblDetailBudget[[#This Row],[Lvl 1 Header]], TblDetailBudget[[#This Row],[Lvl 1 Header]], $E$8:TblDetailBudget[[#This Row],[Lvl 2 Header]], TblDetailBudget[[#This Row],[Lvl 2 Header]]))</f>
        <v>1</v>
      </c>
      <c r="G1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1" s="96" t="s">
        <v>168</v>
      </c>
      <c r="J171" s="101"/>
      <c r="K171" s="88"/>
      <c r="L171" s="88"/>
      <c r="M171" s="62" t="str">
        <f>IF(TblDetailBudget[[#This Row],[Level]]=LvlBottomHdr, IFERROR(INDEX(TblUnitCost[Unit], MATCH(TblDetailBudget[[#This Row],[Row Title]], TblUnitCost[Resource], 0)), "Invalid Resource"), "")</f>
        <v>per person per day</v>
      </c>
      <c r="N171" s="125">
        <f>IF(TblDetailBudget[[#This Row],[Level]]=LvlBottomHdr, IFERROR(INDEX(TblUnitCost[LCU], MATCH(TblDetailBudget[[#This Row],[Row Title]], TblUnitCost[Resource], 0)), "Invalid Resource"), "")</f>
        <v>20000</v>
      </c>
      <c r="O171" s="128">
        <f>'States and LGAs'!AZ6</f>
        <v>27291</v>
      </c>
      <c r="P171" s="108">
        <v>2</v>
      </c>
      <c r="Q171" s="129">
        <v>4</v>
      </c>
      <c r="R171" s="108"/>
      <c r="S171" s="108"/>
      <c r="T171" s="108"/>
      <c r="U171" s="108"/>
      <c r="V171" s="108">
        <v>1</v>
      </c>
      <c r="W171" s="125">
        <f>IF(TblDetailBudget[[#This Row],[Level]]=LvlBottomHdr, IF(SUM(TblDetailBudget[[#This Row],[2021 Quant]:[2025 Quant]])&gt;0, SUM(TblDetailBudget[[#This Row],[2021 Quant]:[2025 Quant]]), ""), "")</f>
        <v>1</v>
      </c>
      <c r="X17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4366560000</v>
      </c>
      <c r="AC171" s="140">
        <f>SUM(TblDetailBudget[[#This Row],[2021 Cost (LCU)]:[2025 Cost (LCU)]])</f>
        <v>4366560000</v>
      </c>
      <c r="AD171" s="134">
        <f>IFERROR(SUM(TblDetailBudget[[#This Row],[2021 Cost (LCU)]])/FX_Rate, "")</f>
        <v>0</v>
      </c>
      <c r="AE171" s="63">
        <f>IFERROR(SUM(TblDetailBudget[[#This Row],[2022 Cost (LCU)]])/FX_Rate, "")</f>
        <v>0</v>
      </c>
      <c r="AF171" s="63">
        <f>IFERROR(SUM(TblDetailBudget[[#This Row],[2023 Cost (LCU)]])/FX_Rate, "")</f>
        <v>0</v>
      </c>
      <c r="AG171" s="63">
        <f>IFERROR(SUM(TblDetailBudget[[#This Row],[2024 Cost (LCU)]])/FX_Rate, "")</f>
        <v>0</v>
      </c>
      <c r="AH171" s="63">
        <f>IFERROR(SUM(TblDetailBudget[[#This Row],[2025 Cost (LCU)]])/FX_Rate, "")</f>
        <v>2729100</v>
      </c>
      <c r="AI171" s="125">
        <f>SUM(TblDetailBudget[[#This Row],[2021 Cost (USD)]:[2025 Cost (USD)]])</f>
        <v>2729100</v>
      </c>
      <c r="AJ171" s="180"/>
    </row>
    <row r="172" spans="2:36" ht="12.75" customHeight="1">
      <c r="B172" s="122" t="s">
        <v>71</v>
      </c>
      <c r="C1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1.6.1.2.2</v>
      </c>
      <c r="D172" s="62">
        <f>IF(TblDetailBudget[[#This Row],[Level]]="", "", COUNTIFS($B$8:TblDetailBudget[[#This Row],[Level]], Lvl1Hdr))</f>
        <v>1</v>
      </c>
      <c r="E172" s="62">
        <f>IF(TblDetailBudget[[#This Row],[Level]]="", "", COUNTIFS($B$8:TblDetailBudget[[#This Row],[Level]], Lvl2Hdr, $D$8:TblDetailBudget[[#This Row],[Lvl 1 Header]], TblDetailBudget[[#This Row],[Lvl 1 Header]]))</f>
        <v>6</v>
      </c>
      <c r="F172" s="62">
        <f>IF(TblDetailBudget[[#This Row],[Level]]="", "", COUNTIFS($B$8:TblDetailBudget[[#This Row],[Level]], Lvl3Hdr, $D$8:TblDetailBudget[[#This Row],[Lvl 1 Header]], TblDetailBudget[[#This Row],[Lvl 1 Header]], $E$8:TblDetailBudget[[#This Row],[Lvl 2 Header]], TblDetailBudget[[#This Row],[Lvl 2 Header]]))</f>
        <v>1</v>
      </c>
      <c r="G1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72" s="96" t="s">
        <v>1842</v>
      </c>
      <c r="J172" s="101"/>
      <c r="K172" s="88"/>
      <c r="L172" s="88"/>
      <c r="M172" s="62" t="str">
        <f>IF(TblDetailBudget[[#This Row],[Level]]=LvlBottomHdr, IFERROR(INDEX(TblUnitCost[Unit], MATCH(TblDetailBudget[[#This Row],[Row Title]], TblUnitCost[Resource], 0)), "Invalid Resource"), "")</f>
        <v>per person</v>
      </c>
      <c r="N172" s="125">
        <f>IF(TblDetailBudget[[#This Row],[Level]]=LvlBottomHdr, IFERROR(INDEX(TblUnitCost[LCU], MATCH(TblDetailBudget[[#This Row],[Row Title]], TblUnitCost[Resource], 0)), "Invalid Resource"), "")</f>
        <v>15000</v>
      </c>
      <c r="O172" s="128">
        <f>'States and LGAs'!AU6</f>
        <v>8801</v>
      </c>
      <c r="P172" s="108">
        <v>2</v>
      </c>
      <c r="Q172" s="129">
        <v>4</v>
      </c>
      <c r="R172" s="108"/>
      <c r="S172" s="108"/>
      <c r="T172" s="108"/>
      <c r="U172" s="108"/>
      <c r="V172" s="108">
        <v>1</v>
      </c>
      <c r="W172" s="125">
        <f>IF(TblDetailBudget[[#This Row],[Level]]=LvlBottomHdr, IF(SUM(TblDetailBudget[[#This Row],[2021 Quant]:[2025 Quant]])&gt;0, SUM(TblDetailBudget[[#This Row],[2021 Quant]:[2025 Quant]]), ""), "")</f>
        <v>1</v>
      </c>
      <c r="X17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1056120000</v>
      </c>
      <c r="AC172" s="140">
        <f>SUM(TblDetailBudget[[#This Row],[2021 Cost (LCU)]:[2025 Cost (LCU)]])</f>
        <v>1056120000</v>
      </c>
      <c r="AD172" s="134">
        <f>IFERROR(SUM(TblDetailBudget[[#This Row],[2021 Cost (LCU)]])/FX_Rate, "")</f>
        <v>0</v>
      </c>
      <c r="AE172" s="63">
        <f>IFERROR(SUM(TblDetailBudget[[#This Row],[2022 Cost (LCU)]])/FX_Rate, "")</f>
        <v>0</v>
      </c>
      <c r="AF172" s="63">
        <f>IFERROR(SUM(TblDetailBudget[[#This Row],[2023 Cost (LCU)]])/FX_Rate, "")</f>
        <v>0</v>
      </c>
      <c r="AG172" s="63">
        <f>IFERROR(SUM(TblDetailBudget[[#This Row],[2024 Cost (LCU)]])/FX_Rate, "")</f>
        <v>0</v>
      </c>
      <c r="AH172" s="63">
        <f>IFERROR(SUM(TblDetailBudget[[#This Row],[2025 Cost (LCU)]])/FX_Rate, "")</f>
        <v>660075</v>
      </c>
      <c r="AI172" s="125">
        <f>SUM(TblDetailBudget[[#This Row],[2021 Cost (USD)]:[2025 Cost (USD)]])</f>
        <v>660075</v>
      </c>
      <c r="AJ172" s="180"/>
    </row>
    <row r="173" spans="2:36" ht="12.75" customHeight="1">
      <c r="B173" s="122" t="s">
        <v>71</v>
      </c>
      <c r="C1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1.6.1.2.3</v>
      </c>
      <c r="D173" s="62">
        <f>IF(TblDetailBudget[[#This Row],[Level]]="", "", COUNTIFS($B$8:TblDetailBudget[[#This Row],[Level]], Lvl1Hdr))</f>
        <v>1</v>
      </c>
      <c r="E173" s="62">
        <f>IF(TblDetailBudget[[#This Row],[Level]]="", "", COUNTIFS($B$8:TblDetailBudget[[#This Row],[Level]], Lvl2Hdr, $D$8:TblDetailBudget[[#This Row],[Lvl 1 Header]], TblDetailBudget[[#This Row],[Lvl 1 Header]]))</f>
        <v>6</v>
      </c>
      <c r="F173" s="62">
        <f>IF(TblDetailBudget[[#This Row],[Level]]="", "", COUNTIFS($B$8:TblDetailBudget[[#This Row],[Level]], Lvl3Hdr, $D$8:TblDetailBudget[[#This Row],[Lvl 1 Header]], TblDetailBudget[[#This Row],[Lvl 1 Header]], $E$8:TblDetailBudget[[#This Row],[Lvl 2 Header]], TblDetailBudget[[#This Row],[Lvl 2 Header]]))</f>
        <v>1</v>
      </c>
      <c r="G1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73" s="96" t="s">
        <v>72</v>
      </c>
      <c r="J173" s="101"/>
      <c r="K173" s="88"/>
      <c r="L173" s="88"/>
      <c r="M173" s="62" t="str">
        <f>IF(TblDetailBudget[[#This Row],[Level]]=LvlBottomHdr, IFERROR(INDEX(TblUnitCost[Unit], MATCH(TblDetailBudget[[#This Row],[Row Title]], TblUnitCost[Resource], 0)), "Invalid Resource"), "")</f>
        <v>per person per day</v>
      </c>
      <c r="N173" s="125">
        <f>IF(TblDetailBudget[[#This Row],[Level]]=LvlBottomHdr, IFERROR(INDEX(TblUnitCost[LCU], MATCH(TblDetailBudget[[#This Row],[Row Title]], TblUnitCost[Resource], 0)), "Invalid Resource"), "")</f>
        <v>5000</v>
      </c>
      <c r="O173" s="128">
        <f>'States and LGAs'!AU6</f>
        <v>8801</v>
      </c>
      <c r="P173" s="108">
        <v>40</v>
      </c>
      <c r="Q173" s="129">
        <v>4</v>
      </c>
      <c r="R173" s="108"/>
      <c r="S173" s="108"/>
      <c r="T173" s="108"/>
      <c r="U173" s="108"/>
      <c r="V173" s="108">
        <v>1</v>
      </c>
      <c r="W173" s="125">
        <f>IF(TblDetailBudget[[#This Row],[Level]]=LvlBottomHdr, IF(SUM(TblDetailBudget[[#This Row],[2021 Quant]:[2025 Quant]])&gt;0, SUM(TblDetailBudget[[#This Row],[2021 Quant]:[2025 Quant]]), ""), "")</f>
        <v>1</v>
      </c>
      <c r="X1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7040800000</v>
      </c>
      <c r="AC173" s="140">
        <f>SUM(TblDetailBudget[[#This Row],[2021 Cost (LCU)]:[2025 Cost (LCU)]])</f>
        <v>7040800000</v>
      </c>
      <c r="AD173" s="134">
        <f>IFERROR(SUM(TblDetailBudget[[#This Row],[2021 Cost (LCU)]])/FX_Rate, "")</f>
        <v>0</v>
      </c>
      <c r="AE173" s="63">
        <f>IFERROR(SUM(TblDetailBudget[[#This Row],[2022 Cost (LCU)]])/FX_Rate, "")</f>
        <v>0</v>
      </c>
      <c r="AF173" s="63">
        <f>IFERROR(SUM(TblDetailBudget[[#This Row],[2023 Cost (LCU)]])/FX_Rate, "")</f>
        <v>0</v>
      </c>
      <c r="AG173" s="63">
        <f>IFERROR(SUM(TblDetailBudget[[#This Row],[2024 Cost (LCU)]])/FX_Rate, "")</f>
        <v>0</v>
      </c>
      <c r="AH173" s="63">
        <f>IFERROR(SUM(TblDetailBudget[[#This Row],[2025 Cost (LCU)]])/FX_Rate, "")</f>
        <v>4400500</v>
      </c>
      <c r="AI173" s="125">
        <f>SUM(TblDetailBudget[[#This Row],[2021 Cost (USD)]:[2025 Cost (USD)]])</f>
        <v>4400500</v>
      </c>
      <c r="AJ173" s="180"/>
    </row>
    <row r="174" spans="2:36" ht="12.75" customHeight="1">
      <c r="B174" s="122" t="s">
        <v>67</v>
      </c>
      <c r="C1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v>
      </c>
      <c r="D174" s="62">
        <f>IF(TblDetailBudget[[#This Row],[Level]]="", "", COUNTIFS($B$8:TblDetailBudget[[#This Row],[Level]], Lvl1Hdr))</f>
        <v>2</v>
      </c>
      <c r="E174" s="62">
        <f>IF(TblDetailBudget[[#This Row],[Level]]="", "", COUNTIFS($B$8:TblDetailBudget[[#This Row],[Level]], Lvl2Hdr, $D$8:TblDetailBudget[[#This Row],[Lvl 1 Header]], TblDetailBudget[[#This Row],[Lvl 1 Header]]))</f>
        <v>0</v>
      </c>
      <c r="F174" s="62">
        <f>IF(TblDetailBudget[[#This Row],[Level]]="", "", COUNTIFS($B$8:TblDetailBudget[[#This Row],[Level]], Lvl3Hdr, $D$8:TblDetailBudget[[#This Row],[Lvl 1 Header]], TblDetailBudget[[#This Row],[Lvl 1 Header]], $E$8:TblDetailBudget[[#This Row],[Lvl 2 Header]], TblDetailBudget[[#This Row],[Lvl 2 Header]]))</f>
        <v>0</v>
      </c>
      <c r="G1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4" s="101" t="s">
        <v>153</v>
      </c>
      <c r="J174" s="101"/>
      <c r="K174" s="88"/>
      <c r="L174" s="88"/>
      <c r="M174" s="62" t="str">
        <f>IF(TblDetailBudget[[#This Row],[Level]]=LvlBottomHdr, IFERROR(INDEX(TblUnitCost[Unit], MATCH(TblDetailBudget[[#This Row],[Row Title]], TblUnitCost[Resource], 0)), "Invalid Resource"), "")</f>
        <v/>
      </c>
      <c r="N174" s="125" t="str">
        <f>IF(TblDetailBudget[[#This Row],[Level]]=LvlBottomHdr, IFERROR(INDEX(TblUnitCost[LCU], MATCH(TblDetailBudget[[#This Row],[Row Title]], TblUnitCost[Resource], 0)), "Invalid Resource"), "")</f>
        <v/>
      </c>
      <c r="O174" s="128"/>
      <c r="P174" s="108"/>
      <c r="Q174" s="129"/>
      <c r="R174" s="108"/>
      <c r="S174" s="108"/>
      <c r="T174" s="108"/>
      <c r="U174" s="108"/>
      <c r="V174" s="108"/>
      <c r="W174" s="125" t="str">
        <f>IF(TblDetailBudget[[#This Row],[Level]]=LvlBottomHdr, IF(SUM(TblDetailBudget[[#This Row],[2021 Quant]:[2025 Quant]])&gt;0, SUM(TblDetailBudget[[#This Row],[2021 Quant]:[2025 Quant]]), ""), "")</f>
        <v/>
      </c>
      <c r="X17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441340633080.09705</v>
      </c>
      <c r="AC174" s="140">
        <f>SUM(TblDetailBudget[[#This Row],[2021 Cost (LCU)]:[2025 Cost (LCU)]])</f>
        <v>441340633080.09705</v>
      </c>
      <c r="AD174" s="134">
        <f>IFERROR(SUM(TblDetailBudget[[#This Row],[2021 Cost (LCU)]])/FX_Rate, "")</f>
        <v>0</v>
      </c>
      <c r="AE174" s="63">
        <f>IFERROR(SUM(TblDetailBudget[[#This Row],[2022 Cost (LCU)]])/FX_Rate, "")</f>
        <v>0</v>
      </c>
      <c r="AF174" s="63">
        <f>IFERROR(SUM(TblDetailBudget[[#This Row],[2023 Cost (LCU)]])/FX_Rate, "")</f>
        <v>0</v>
      </c>
      <c r="AG174" s="63">
        <f>IFERROR(SUM(TblDetailBudget[[#This Row],[2024 Cost (LCU)]])/FX_Rate, "")</f>
        <v>0</v>
      </c>
      <c r="AH174" s="63">
        <f>IFERROR(SUM(TblDetailBudget[[#This Row],[2025 Cost (LCU)]])/FX_Rate, "")</f>
        <v>275837895.67506063</v>
      </c>
      <c r="AI174" s="125">
        <f>SUM(TblDetailBudget[[#This Row],[2021 Cost (USD)]:[2025 Cost (USD)]])</f>
        <v>275837895.67506063</v>
      </c>
      <c r="AJ174" s="180"/>
    </row>
    <row r="175" spans="2:36" ht="12.75" customHeight="1">
      <c r="B175" s="122" t="s">
        <v>68</v>
      </c>
      <c r="C1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v>
      </c>
      <c r="D175" s="62">
        <f>IF(TblDetailBudget[[#This Row],[Level]]="", "", COUNTIFS($B$8:TblDetailBudget[[#This Row],[Level]], Lvl1Hdr))</f>
        <v>2</v>
      </c>
      <c r="E175" s="62">
        <f>IF(TblDetailBudget[[#This Row],[Level]]="", "", COUNTIFS($B$8:TblDetailBudget[[#This Row],[Level]], Lvl2Hdr, $D$8:TblDetailBudget[[#This Row],[Lvl 1 Header]], TblDetailBudget[[#This Row],[Lvl 1 Header]]))</f>
        <v>1</v>
      </c>
      <c r="F175" s="62">
        <f>IF(TblDetailBudget[[#This Row],[Level]]="", "", COUNTIFS($B$8:TblDetailBudget[[#This Row],[Level]], Lvl3Hdr, $D$8:TblDetailBudget[[#This Row],[Lvl 1 Header]], TblDetailBudget[[#This Row],[Lvl 1 Header]], $E$8:TblDetailBudget[[#This Row],[Lvl 2 Header]], TblDetailBudget[[#This Row],[Lvl 2 Header]]))</f>
        <v>0</v>
      </c>
      <c r="G1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5" s="185" t="s">
        <v>1803</v>
      </c>
      <c r="J175" s="101"/>
      <c r="K175" s="88"/>
      <c r="L175" s="88"/>
      <c r="M175" s="62" t="str">
        <f>IF(TblDetailBudget[[#This Row],[Level]]=LvlBottomHdr, IFERROR(INDEX(TblUnitCost[Unit], MATCH(TblDetailBudget[[#This Row],[Row Title]], TblUnitCost[Resource], 0)), "Invalid Resource"), "")</f>
        <v/>
      </c>
      <c r="N175" s="125" t="str">
        <f>IF(TblDetailBudget[[#This Row],[Level]]=LvlBottomHdr, IFERROR(INDEX(TblUnitCost[LCU], MATCH(TblDetailBudget[[#This Row],[Row Title]], TblUnitCost[Resource], 0)), "Invalid Resource"), "")</f>
        <v/>
      </c>
      <c r="O175" s="128"/>
      <c r="P175" s="108"/>
      <c r="Q175" s="129"/>
      <c r="R175" s="108"/>
      <c r="S175" s="108"/>
      <c r="T175" s="108"/>
      <c r="U175" s="108"/>
      <c r="V175" s="108"/>
      <c r="W175" s="125" t="str">
        <f>IF(TblDetailBudget[[#This Row],[Level]]=LvlBottomHdr, IF(SUM(TblDetailBudget[[#This Row],[2021 Quant]:[2025 Quant]])&gt;0, SUM(TblDetailBudget[[#This Row],[2021 Quant]:[2025 Quant]]), ""), "")</f>
        <v/>
      </c>
      <c r="X17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83339521300.126236</v>
      </c>
      <c r="AC175" s="140">
        <f>SUM(TblDetailBudget[[#This Row],[2021 Cost (LCU)]:[2025 Cost (LCU)]])</f>
        <v>83339521300.126236</v>
      </c>
      <c r="AD175" s="134">
        <f>IFERROR(SUM(TblDetailBudget[[#This Row],[2021 Cost (LCU)]])/FX_Rate, "")</f>
        <v>0</v>
      </c>
      <c r="AE175" s="63">
        <f>IFERROR(SUM(TblDetailBudget[[#This Row],[2022 Cost (LCU)]])/FX_Rate, "")</f>
        <v>0</v>
      </c>
      <c r="AF175" s="63">
        <f>IFERROR(SUM(TblDetailBudget[[#This Row],[2023 Cost (LCU)]])/FX_Rate, "")</f>
        <v>0</v>
      </c>
      <c r="AG175" s="63">
        <f>IFERROR(SUM(TblDetailBudget[[#This Row],[2024 Cost (LCU)]])/FX_Rate, "")</f>
        <v>0</v>
      </c>
      <c r="AH175" s="63">
        <f>IFERROR(SUM(TblDetailBudget[[#This Row],[2025 Cost (LCU)]])/FX_Rate, "")</f>
        <v>52087200.812578894</v>
      </c>
      <c r="AI175" s="125">
        <f>SUM(TblDetailBudget[[#This Row],[2021 Cost (USD)]:[2025 Cost (USD)]])</f>
        <v>52087200.812578894</v>
      </c>
      <c r="AJ175" s="180"/>
    </row>
    <row r="176" spans="2:36" ht="12.75" customHeight="1">
      <c r="B176" s="122" t="s">
        <v>69</v>
      </c>
      <c r="C1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v>
      </c>
      <c r="D176" s="62">
        <f>IF(TblDetailBudget[[#This Row],[Level]]="", "", COUNTIFS($B$8:TblDetailBudget[[#This Row],[Level]], Lvl1Hdr))</f>
        <v>2</v>
      </c>
      <c r="E176" s="62">
        <f>IF(TblDetailBudget[[#This Row],[Level]]="", "", COUNTIFS($B$8:TblDetailBudget[[#This Row],[Level]], Lvl2Hdr, $D$8:TblDetailBudget[[#This Row],[Lvl 1 Header]], TblDetailBudget[[#This Row],[Lvl 1 Header]]))</f>
        <v>1</v>
      </c>
      <c r="F176" s="62">
        <f>IF(TblDetailBudget[[#This Row],[Level]]="", "", COUNTIFS($B$8:TblDetailBudget[[#This Row],[Level]], Lvl3Hdr, $D$8:TblDetailBudget[[#This Row],[Lvl 1 Header]], TblDetailBudget[[#This Row],[Lvl 1 Header]], $E$8:TblDetailBudget[[#This Row],[Lvl 2 Header]], TblDetailBudget[[#This Row],[Lvl 2 Header]]))</f>
        <v>1</v>
      </c>
      <c r="G1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6" s="185" t="s">
        <v>1804</v>
      </c>
      <c r="J176" s="101"/>
      <c r="K176" s="88"/>
      <c r="L176" s="88"/>
      <c r="M176" s="62" t="str">
        <f>IF(TblDetailBudget[[#This Row],[Level]]=LvlBottomHdr, IFERROR(INDEX(TblUnitCost[Unit], MATCH(TblDetailBudget[[#This Row],[Row Title]], TblUnitCost[Resource], 0)), "Invalid Resource"), "")</f>
        <v/>
      </c>
      <c r="N176" s="125" t="str">
        <f>IF(TblDetailBudget[[#This Row],[Level]]=LvlBottomHdr, IFERROR(INDEX(TblUnitCost[LCU], MATCH(TblDetailBudget[[#This Row],[Row Title]], TblUnitCost[Resource], 0)), "Invalid Resource"), "")</f>
        <v/>
      </c>
      <c r="O176" s="128"/>
      <c r="P176" s="108"/>
      <c r="Q176" s="129"/>
      <c r="R176" s="108"/>
      <c r="S176" s="108"/>
      <c r="T176" s="108"/>
      <c r="U176" s="108"/>
      <c r="V176" s="108"/>
      <c r="W176" s="125" t="str">
        <f>IF(TblDetailBudget[[#This Row],[Level]]=LvlBottomHdr, IF(SUM(TblDetailBudget[[#This Row],[2021 Quant]:[2025 Quant]])&gt;0, SUM(TblDetailBudget[[#This Row],[2021 Quant]:[2025 Quant]]), ""), "")</f>
        <v/>
      </c>
      <c r="X17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83339521300.126236</v>
      </c>
      <c r="AC176" s="140">
        <f>SUM(TblDetailBudget[[#This Row],[2021 Cost (LCU)]:[2025 Cost (LCU)]])</f>
        <v>83339521300.126236</v>
      </c>
      <c r="AD176" s="134">
        <f>IFERROR(SUM(TblDetailBudget[[#This Row],[2021 Cost (LCU)]])/FX_Rate, "")</f>
        <v>0</v>
      </c>
      <c r="AE176" s="63">
        <f>IFERROR(SUM(TblDetailBudget[[#This Row],[2022 Cost (LCU)]])/FX_Rate, "")</f>
        <v>0</v>
      </c>
      <c r="AF176" s="63">
        <f>IFERROR(SUM(TblDetailBudget[[#This Row],[2023 Cost (LCU)]])/FX_Rate, "")</f>
        <v>0</v>
      </c>
      <c r="AG176" s="63">
        <f>IFERROR(SUM(TblDetailBudget[[#This Row],[2024 Cost (LCU)]])/FX_Rate, "")</f>
        <v>0</v>
      </c>
      <c r="AH176" s="63">
        <f>IFERROR(SUM(TblDetailBudget[[#This Row],[2025 Cost (LCU)]])/FX_Rate, "")</f>
        <v>52087200.812578894</v>
      </c>
      <c r="AI176" s="125">
        <f>SUM(TblDetailBudget[[#This Row],[2021 Cost (USD)]:[2025 Cost (USD)]])</f>
        <v>52087200.812578894</v>
      </c>
      <c r="AJ176" s="180"/>
    </row>
    <row r="177" spans="2:36" ht="12.75" customHeight="1">
      <c r="B177" s="122" t="s">
        <v>70</v>
      </c>
      <c r="C1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v>
      </c>
      <c r="D177" s="62">
        <f>IF(TblDetailBudget[[#This Row],[Level]]="", "", COUNTIFS($B$8:TblDetailBudget[[#This Row],[Level]], Lvl1Hdr))</f>
        <v>2</v>
      </c>
      <c r="E177" s="62">
        <f>IF(TblDetailBudget[[#This Row],[Level]]="", "", COUNTIFS($B$8:TblDetailBudget[[#This Row],[Level]], Lvl2Hdr, $D$8:TblDetailBudget[[#This Row],[Lvl 1 Header]], TblDetailBudget[[#This Row],[Lvl 1 Header]]))</f>
        <v>1</v>
      </c>
      <c r="F177" s="62">
        <f>IF(TblDetailBudget[[#This Row],[Level]]="", "", COUNTIFS($B$8:TblDetailBudget[[#This Row],[Level]], Lvl3Hdr, $D$8:TblDetailBudget[[#This Row],[Lvl 1 Header]], TblDetailBudget[[#This Row],[Lvl 1 Header]], $E$8:TblDetailBudget[[#This Row],[Lvl 2 Header]], TblDetailBudget[[#This Row],[Lvl 2 Header]]))</f>
        <v>1</v>
      </c>
      <c r="G1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7" s="101" t="s">
        <v>1805</v>
      </c>
      <c r="J177" s="101"/>
      <c r="K177" s="88"/>
      <c r="L177" s="88"/>
      <c r="M177" s="62" t="str">
        <f>IF(TblDetailBudget[[#This Row],[Level]]=LvlBottomHdr, IFERROR(INDEX(TblUnitCost[Unit], MATCH(TblDetailBudget[[#This Row],[Row Title]], TblUnitCost[Resource], 0)), "Invalid Resource"), "")</f>
        <v/>
      </c>
      <c r="N177" s="125" t="str">
        <f>IF(TblDetailBudget[[#This Row],[Level]]=LvlBottomHdr, IFERROR(INDEX(TblUnitCost[LCU], MATCH(TblDetailBudget[[#This Row],[Row Title]], TblUnitCost[Resource], 0)), "Invalid Resource"), "")</f>
        <v/>
      </c>
      <c r="O177" s="128"/>
      <c r="P177" s="108"/>
      <c r="Q177" s="129"/>
      <c r="R177" s="108"/>
      <c r="S177" s="108"/>
      <c r="T177" s="108"/>
      <c r="U177" s="108"/>
      <c r="V177" s="108"/>
      <c r="W177" s="125" t="str">
        <f>IF(TblDetailBudget[[#This Row],[Level]]=LvlBottomHdr, IF(SUM(TblDetailBudget[[#This Row],[2021 Quant]:[2025 Quant]])&gt;0, SUM(TblDetailBudget[[#This Row],[2021 Quant]:[2025 Quant]]), ""), "")</f>
        <v/>
      </c>
      <c r="X17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32450574444.750999</v>
      </c>
      <c r="AC177" s="140">
        <f>SUM(TblDetailBudget[[#This Row],[2021 Cost (LCU)]:[2025 Cost (LCU)]])</f>
        <v>32450574444.750999</v>
      </c>
      <c r="AD177" s="134">
        <f>IFERROR(SUM(TblDetailBudget[[#This Row],[2021 Cost (LCU)]])/FX_Rate, "")</f>
        <v>0</v>
      </c>
      <c r="AE177" s="63">
        <f>IFERROR(SUM(TblDetailBudget[[#This Row],[2022 Cost (LCU)]])/FX_Rate, "")</f>
        <v>0</v>
      </c>
      <c r="AF177" s="63">
        <f>IFERROR(SUM(TblDetailBudget[[#This Row],[2023 Cost (LCU)]])/FX_Rate, "")</f>
        <v>0</v>
      </c>
      <c r="AG177" s="63">
        <f>IFERROR(SUM(TblDetailBudget[[#This Row],[2024 Cost (LCU)]])/FX_Rate, "")</f>
        <v>0</v>
      </c>
      <c r="AH177" s="63">
        <f>IFERROR(SUM(TblDetailBudget[[#This Row],[2025 Cost (LCU)]])/FX_Rate, "")</f>
        <v>20281609.027969375</v>
      </c>
      <c r="AI177" s="125">
        <f>SUM(TblDetailBudget[[#This Row],[2021 Cost (USD)]:[2025 Cost (USD)]])</f>
        <v>20281609.027969375</v>
      </c>
      <c r="AJ177" s="180"/>
    </row>
    <row r="178" spans="2:36" ht="12.75" customHeight="1">
      <c r="B178" s="122" t="s">
        <v>71</v>
      </c>
      <c r="C1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2.1.1.1.1</v>
      </c>
      <c r="D178" s="62">
        <f>IF(TblDetailBudget[[#This Row],[Level]]="", "", COUNTIFS($B$8:TblDetailBudget[[#This Row],[Level]], Lvl1Hdr))</f>
        <v>2</v>
      </c>
      <c r="E178" s="62">
        <f>IF(TblDetailBudget[[#This Row],[Level]]="", "", COUNTIFS($B$8:TblDetailBudget[[#This Row],[Level]], Lvl2Hdr, $D$8:TblDetailBudget[[#This Row],[Lvl 1 Header]], TblDetailBudget[[#This Row],[Lvl 1 Header]]))</f>
        <v>1</v>
      </c>
      <c r="F178" s="62">
        <f>IF(TblDetailBudget[[#This Row],[Level]]="", "", COUNTIFS($B$8:TblDetailBudget[[#This Row],[Level]], Lvl3Hdr, $D$8:TblDetailBudget[[#This Row],[Lvl 1 Header]], TblDetailBudget[[#This Row],[Lvl 1 Header]], $E$8:TblDetailBudget[[#This Row],[Lvl 2 Header]], TblDetailBudget[[#This Row],[Lvl 2 Header]]))</f>
        <v>1</v>
      </c>
      <c r="G1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8" s="101" t="s">
        <v>2283</v>
      </c>
      <c r="J178" s="101"/>
      <c r="K178" s="88"/>
      <c r="L178" s="88"/>
      <c r="M178" s="62" t="str">
        <f>IF(TblDetailBudget[[#This Row],[Level]]=LvlBottomHdr, IFERROR(INDEX(TblUnitCost[Unit], MATCH(TblDetailBudget[[#This Row],[Row Title]], TblUnitCost[Resource], 0)), "Invalid Resource"), "")</f>
        <v>per SPAQ</v>
      </c>
      <c r="N178" s="125">
        <f>IF(TblDetailBudget[[#This Row],[Level]]=LvlBottomHdr, IFERROR(INDEX(TblUnitCost[LCU], MATCH(TblDetailBudget[[#This Row],[Row Title]], TblUnitCost[Resource], 0)), "Invalid Resource"), "")</f>
        <v>390</v>
      </c>
      <c r="O178" s="128">
        <f>'States and LGAs'!BU6</f>
        <v>14417137.850315139</v>
      </c>
      <c r="P178" s="108">
        <v>1</v>
      </c>
      <c r="Q178" s="129">
        <v>1</v>
      </c>
      <c r="R178" s="108"/>
      <c r="S178" s="108"/>
      <c r="T178" s="108"/>
      <c r="U178" s="108"/>
      <c r="V178" s="108">
        <v>1</v>
      </c>
      <c r="W178" s="125">
        <f>IF(TblDetailBudget[[#This Row],[Level]]=LvlBottomHdr, IF(SUM(TblDetailBudget[[#This Row],[2021 Quant]:[2025 Quant]])&gt;0, SUM(TblDetailBudget[[#This Row],[2021 Quant]:[2025 Quant]]), ""), "")</f>
        <v>1</v>
      </c>
      <c r="X17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5622683761.6229038</v>
      </c>
      <c r="AC178" s="140">
        <f>SUM(TblDetailBudget[[#This Row],[2021 Cost (LCU)]:[2025 Cost (LCU)]])</f>
        <v>5622683761.6229038</v>
      </c>
      <c r="AD178" s="134">
        <f>IFERROR(SUM(TblDetailBudget[[#This Row],[2021 Cost (LCU)]])/FX_Rate, "")</f>
        <v>0</v>
      </c>
      <c r="AE178" s="63">
        <f>IFERROR(SUM(TblDetailBudget[[#This Row],[2022 Cost (LCU)]])/FX_Rate, "")</f>
        <v>0</v>
      </c>
      <c r="AF178" s="63">
        <f>IFERROR(SUM(TblDetailBudget[[#This Row],[2023 Cost (LCU)]])/FX_Rate, "")</f>
        <v>0</v>
      </c>
      <c r="AG178" s="63">
        <f>IFERROR(SUM(TblDetailBudget[[#This Row],[2024 Cost (LCU)]])/FX_Rate, "")</f>
        <v>0</v>
      </c>
      <c r="AH178" s="63">
        <f>IFERROR(SUM(TblDetailBudget[[#This Row],[2025 Cost (LCU)]])/FX_Rate, "")</f>
        <v>3514177.3510143147</v>
      </c>
      <c r="AI178" s="125">
        <f>SUM(TblDetailBudget[[#This Row],[2021 Cost (USD)]:[2025 Cost (USD)]])</f>
        <v>3514177.3510143147</v>
      </c>
      <c r="AJ178" s="180"/>
    </row>
    <row r="179" spans="2:36" ht="12.75" customHeight="1">
      <c r="B179" s="122" t="s">
        <v>71</v>
      </c>
      <c r="C1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2.1.1.1.2</v>
      </c>
      <c r="D179" s="62">
        <f>IF(TblDetailBudget[[#This Row],[Level]]="", "", COUNTIFS($B$8:TblDetailBudget[[#This Row],[Level]], Lvl1Hdr))</f>
        <v>2</v>
      </c>
      <c r="E179" s="62">
        <f>IF(TblDetailBudget[[#This Row],[Level]]="", "", COUNTIFS($B$8:TblDetailBudget[[#This Row],[Level]], Lvl2Hdr, $D$8:TblDetailBudget[[#This Row],[Lvl 1 Header]], TblDetailBudget[[#This Row],[Lvl 1 Header]]))</f>
        <v>1</v>
      </c>
      <c r="F179" s="62">
        <f>IF(TblDetailBudget[[#This Row],[Level]]="", "", COUNTIFS($B$8:TblDetailBudget[[#This Row],[Level]], Lvl3Hdr, $D$8:TblDetailBudget[[#This Row],[Lvl 1 Header]], TblDetailBudget[[#This Row],[Lvl 1 Header]], $E$8:TblDetailBudget[[#This Row],[Lvl 2 Header]], TblDetailBudget[[#This Row],[Lvl 2 Header]]))</f>
        <v>1</v>
      </c>
      <c r="G1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79" s="101" t="s">
        <v>2284</v>
      </c>
      <c r="J179" s="101"/>
      <c r="K179" s="88"/>
      <c r="L179" s="88"/>
      <c r="M179" s="62" t="str">
        <f>IF(TblDetailBudget[[#This Row],[Level]]=LvlBottomHdr, IFERROR(INDEX(TblUnitCost[Unit], MATCH(TblDetailBudget[[#This Row],[Row Title]], TblUnitCost[Resource], 0)), "Invalid Resource"), "")</f>
        <v>per SPAQ</v>
      </c>
      <c r="N179" s="125">
        <f>IF(TblDetailBudget[[#This Row],[Level]]=LvlBottomHdr, IFERROR(INDEX(TblUnitCost[LCU], MATCH(TblDetailBudget[[#This Row],[Row Title]], TblUnitCost[Resource], 0)), "Invalid Resource"), "")</f>
        <v>435</v>
      </c>
      <c r="O179" s="128">
        <f>'States and LGAs'!BW6</f>
        <v>61673311.915236995</v>
      </c>
      <c r="P179" s="108">
        <v>1</v>
      </c>
      <c r="Q179" s="129">
        <v>1</v>
      </c>
      <c r="R179" s="108"/>
      <c r="S179" s="108"/>
      <c r="T179" s="108"/>
      <c r="U179" s="108"/>
      <c r="V179" s="108">
        <v>1</v>
      </c>
      <c r="W179" s="125">
        <f>IF(TblDetailBudget[[#This Row],[Level]]=LvlBottomHdr, IF(SUM(TblDetailBudget[[#This Row],[2021 Quant]:[2025 Quant]])&gt;0, SUM(TblDetailBudget[[#This Row],[2021 Quant]:[2025 Quant]]), ""), "")</f>
        <v>1</v>
      </c>
      <c r="X17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26827890683.128094</v>
      </c>
      <c r="AC179" s="140">
        <f>SUM(TblDetailBudget[[#This Row],[2021 Cost (LCU)]:[2025 Cost (LCU)]])</f>
        <v>26827890683.128094</v>
      </c>
      <c r="AD179" s="134">
        <f>IFERROR(SUM(TblDetailBudget[[#This Row],[2021 Cost (LCU)]])/FX_Rate, "")</f>
        <v>0</v>
      </c>
      <c r="AE179" s="63">
        <f>IFERROR(SUM(TblDetailBudget[[#This Row],[2022 Cost (LCU)]])/FX_Rate, "")</f>
        <v>0</v>
      </c>
      <c r="AF179" s="63">
        <f>IFERROR(SUM(TblDetailBudget[[#This Row],[2023 Cost (LCU)]])/FX_Rate, "")</f>
        <v>0</v>
      </c>
      <c r="AG179" s="63">
        <f>IFERROR(SUM(TblDetailBudget[[#This Row],[2024 Cost (LCU)]])/FX_Rate, "")</f>
        <v>0</v>
      </c>
      <c r="AH179" s="63">
        <f>IFERROR(SUM(TblDetailBudget[[#This Row],[2025 Cost (LCU)]])/FX_Rate, "")</f>
        <v>16767431.676955059</v>
      </c>
      <c r="AI179" s="125">
        <f>SUM(TblDetailBudget[[#This Row],[2021 Cost (USD)]:[2025 Cost (USD)]])</f>
        <v>16767431.676955059</v>
      </c>
      <c r="AJ179" s="180"/>
    </row>
    <row r="180" spans="2:36" ht="12.75" customHeight="1">
      <c r="B180" s="122" t="s">
        <v>70</v>
      </c>
      <c r="C1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v>
      </c>
      <c r="D180" s="62">
        <f>IF(TblDetailBudget[[#This Row],[Level]]="", "", COUNTIFS($B$8:TblDetailBudget[[#This Row],[Level]], Lvl1Hdr))</f>
        <v>2</v>
      </c>
      <c r="E180" s="62">
        <f>IF(TblDetailBudget[[#This Row],[Level]]="", "", COUNTIFS($B$8:TblDetailBudget[[#This Row],[Level]], Lvl2Hdr, $D$8:TblDetailBudget[[#This Row],[Lvl 1 Header]], TblDetailBudget[[#This Row],[Lvl 1 Header]]))</f>
        <v>1</v>
      </c>
      <c r="F180" s="62">
        <f>IF(TblDetailBudget[[#This Row],[Level]]="", "", COUNTIFS($B$8:TblDetailBudget[[#This Row],[Level]], Lvl3Hdr, $D$8:TblDetailBudget[[#This Row],[Lvl 1 Header]], TblDetailBudget[[#This Row],[Lvl 1 Header]], $E$8:TblDetailBudget[[#This Row],[Lvl 2 Header]], TblDetailBudget[[#This Row],[Lvl 2 Header]]))</f>
        <v>1</v>
      </c>
      <c r="G1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0" s="101" t="s">
        <v>2400</v>
      </c>
      <c r="J180" s="101"/>
      <c r="K180" s="88"/>
      <c r="L180" s="88"/>
      <c r="M180" s="62" t="str">
        <f>IF(TblDetailBudget[[#This Row],[Level]]=LvlBottomHdr, IFERROR(INDEX(TblUnitCost[Unit], MATCH(TblDetailBudget[[#This Row],[Row Title]], TblUnitCost[Resource], 0)), "Invalid Resource"), "")</f>
        <v/>
      </c>
      <c r="N180" s="125" t="str">
        <f>IF(TblDetailBudget[[#This Row],[Level]]=LvlBottomHdr, IFERROR(INDEX(TblUnitCost[LCU], MATCH(TblDetailBudget[[#This Row],[Row Title]], TblUnitCost[Resource], 0)), "Invalid Resource"), "")</f>
        <v/>
      </c>
      <c r="O180" s="128"/>
      <c r="P180" s="108"/>
      <c r="Q180" s="129"/>
      <c r="R180" s="108"/>
      <c r="S180" s="108"/>
      <c r="T180" s="108"/>
      <c r="U180" s="108"/>
      <c r="V180" s="108"/>
      <c r="W180" s="125" t="str">
        <f>IF(TblDetailBudget[[#This Row],[Level]]=LvlBottomHdr, IF(SUM(TblDetailBudget[[#This Row],[2021 Quant]:[2025 Quant]])&gt;0, SUM(TblDetailBudget[[#This Row],[2021 Quant]:[2025 Quant]]), ""), "")</f>
        <v/>
      </c>
      <c r="X18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50888946855.375237</v>
      </c>
      <c r="AC180" s="140">
        <f>SUM(TblDetailBudget[[#This Row],[2021 Cost (LCU)]:[2025 Cost (LCU)]])</f>
        <v>50888946855.375237</v>
      </c>
      <c r="AD180" s="134">
        <f>IFERROR(SUM(TblDetailBudget[[#This Row],[2021 Cost (LCU)]])/FX_Rate, "")</f>
        <v>0</v>
      </c>
      <c r="AE180" s="63">
        <f>IFERROR(SUM(TblDetailBudget[[#This Row],[2022 Cost (LCU)]])/FX_Rate, "")</f>
        <v>0</v>
      </c>
      <c r="AF180" s="63">
        <f>IFERROR(SUM(TblDetailBudget[[#This Row],[2023 Cost (LCU)]])/FX_Rate, "")</f>
        <v>0</v>
      </c>
      <c r="AG180" s="63">
        <f>IFERROR(SUM(TblDetailBudget[[#This Row],[2024 Cost (LCU)]])/FX_Rate, "")</f>
        <v>0</v>
      </c>
      <c r="AH180" s="63">
        <f>IFERROR(SUM(TblDetailBudget[[#This Row],[2025 Cost (LCU)]])/FX_Rate, "")</f>
        <v>31805591.784609523</v>
      </c>
      <c r="AI180" s="125">
        <f>SUM(TblDetailBudget[[#This Row],[2021 Cost (USD)]:[2025 Cost (USD)]])</f>
        <v>31805591.784609523</v>
      </c>
      <c r="AJ180" s="180"/>
    </row>
    <row r="181" spans="2:36" ht="12.75" customHeight="1">
      <c r="B181" s="122" t="s">
        <v>71</v>
      </c>
      <c r="C1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2.1.1.2.1</v>
      </c>
      <c r="D181" s="62">
        <f>IF(TblDetailBudget[[#This Row],[Level]]="", "", COUNTIFS($B$8:TblDetailBudget[[#This Row],[Level]], Lvl1Hdr))</f>
        <v>2</v>
      </c>
      <c r="E181" s="62">
        <f>IF(TblDetailBudget[[#This Row],[Level]]="", "", COUNTIFS($B$8:TblDetailBudget[[#This Row],[Level]], Lvl2Hdr, $D$8:TblDetailBudget[[#This Row],[Lvl 1 Header]], TblDetailBudget[[#This Row],[Lvl 1 Header]]))</f>
        <v>1</v>
      </c>
      <c r="F181" s="62">
        <f>IF(TblDetailBudget[[#This Row],[Level]]="", "", COUNTIFS($B$8:TblDetailBudget[[#This Row],[Level]], Lvl3Hdr, $D$8:TblDetailBudget[[#This Row],[Lvl 1 Header]], TblDetailBudget[[#This Row],[Lvl 1 Header]], $E$8:TblDetailBudget[[#This Row],[Lvl 2 Header]], TblDetailBudget[[#This Row],[Lvl 2 Header]]))</f>
        <v>1</v>
      </c>
      <c r="G1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1" s="96" t="s">
        <v>2408</v>
      </c>
      <c r="J181" s="101"/>
      <c r="K181" s="88"/>
      <c r="L181" s="88"/>
      <c r="M181" s="62" t="str">
        <f>IF(TblDetailBudget[[#This Row],[Level]]=LvlBottomHdr, IFERROR(INDEX(TblUnitCost[Unit], MATCH(TblDetailBudget[[#This Row],[Row Title]], TblUnitCost[Resource], 0)), "Invalid Resource"), "")</f>
        <v>per child</v>
      </c>
      <c r="N181" s="125">
        <f>IF(TblDetailBudget[[#This Row],[Level]]=LvlBottomHdr, IFERROR(INDEX(TblUnitCost[LCU], MATCH(TblDetailBudget[[#This Row],[Row Title]], TblUnitCost[Resource], 0)), "Invalid Resource"), "")</f>
        <v>2128</v>
      </c>
      <c r="O181" s="128">
        <f>'States and LGAs'!AF6</f>
        <v>23913978.785420693</v>
      </c>
      <c r="P181" s="108">
        <v>1</v>
      </c>
      <c r="Q181" s="129">
        <v>1</v>
      </c>
      <c r="R181" s="108"/>
      <c r="S181" s="108"/>
      <c r="T181" s="108"/>
      <c r="U181" s="108"/>
      <c r="V181" s="108">
        <v>1</v>
      </c>
      <c r="W181" s="125">
        <f>IF(TblDetailBudget[[#This Row],[Level]]=LvlBottomHdr, IF(SUM(TblDetailBudget[[#This Row],[2021 Quant]:[2025 Quant]])&gt;0, SUM(TblDetailBudget[[#This Row],[2021 Quant]:[2025 Quant]]), ""), "")</f>
        <v>1</v>
      </c>
      <c r="X18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50888946855.375237</v>
      </c>
      <c r="AC181" s="140">
        <f>SUM(TblDetailBudget[[#This Row],[2021 Cost (LCU)]:[2025 Cost (LCU)]])</f>
        <v>50888946855.375237</v>
      </c>
      <c r="AD181" s="134">
        <f>IFERROR(SUM(TblDetailBudget[[#This Row],[2021 Cost (LCU)]])/FX_Rate, "")</f>
        <v>0</v>
      </c>
      <c r="AE181" s="63">
        <f>IFERROR(SUM(TblDetailBudget[[#This Row],[2022 Cost (LCU)]])/FX_Rate, "")</f>
        <v>0</v>
      </c>
      <c r="AF181" s="63">
        <f>IFERROR(SUM(TblDetailBudget[[#This Row],[2023 Cost (LCU)]])/FX_Rate, "")</f>
        <v>0</v>
      </c>
      <c r="AG181" s="63">
        <f>IFERROR(SUM(TblDetailBudget[[#This Row],[2024 Cost (LCU)]])/FX_Rate, "")</f>
        <v>0</v>
      </c>
      <c r="AH181" s="63">
        <f>IFERROR(SUM(TblDetailBudget[[#This Row],[2025 Cost (LCU)]])/FX_Rate, "")</f>
        <v>31805591.784609523</v>
      </c>
      <c r="AI181" s="125">
        <f>SUM(TblDetailBudget[[#This Row],[2021 Cost (USD)]:[2025 Cost (USD)]])</f>
        <v>31805591.784609523</v>
      </c>
      <c r="AJ181" s="180"/>
    </row>
    <row r="182" spans="2:36" ht="12.75" hidden="1" customHeight="1">
      <c r="B182" s="122" t="s">
        <v>71</v>
      </c>
      <c r="C1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2.1.1.2.2</v>
      </c>
      <c r="D182" s="62">
        <f>IF(TblDetailBudget[[#This Row],[Level]]="", "", COUNTIFS($B$8:TblDetailBudget[[#This Row],[Level]], Lvl1Hdr))</f>
        <v>2</v>
      </c>
      <c r="E182" s="62">
        <f>IF(TblDetailBudget[[#This Row],[Level]]="", "", COUNTIFS($B$8:TblDetailBudget[[#This Row],[Level]], Lvl2Hdr, $D$8:TblDetailBudget[[#This Row],[Lvl 1 Header]], TblDetailBudget[[#This Row],[Lvl 1 Header]]))</f>
        <v>1</v>
      </c>
      <c r="F182" s="62">
        <f>IF(TblDetailBudget[[#This Row],[Level]]="", "", COUNTIFS($B$8:TblDetailBudget[[#This Row],[Level]], Lvl3Hdr, $D$8:TblDetailBudget[[#This Row],[Lvl 1 Header]], TblDetailBudget[[#This Row],[Lvl 1 Header]], $E$8:TblDetailBudget[[#This Row],[Lvl 2 Header]], TblDetailBudget[[#This Row],[Lvl 2 Header]]))</f>
        <v>1</v>
      </c>
      <c r="G1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82" s="101"/>
      <c r="J182" s="101"/>
      <c r="K182" s="88"/>
      <c r="L182" s="88"/>
      <c r="M182" s="62" t="str">
        <f>IF(TblDetailBudget[[#This Row],[Level]]=LvlBottomHdr, IFERROR(INDEX(TblUnitCost[Unit], MATCH(TblDetailBudget[[#This Row],[Row Title]], TblUnitCost[Resource], 0)), "Invalid Resource"), "")</f>
        <v>Invalid Resource</v>
      </c>
      <c r="N182" s="125" t="str">
        <f>IF(TblDetailBudget[[#This Row],[Level]]=LvlBottomHdr, IFERROR(INDEX(TblUnitCost[LCU], MATCH(TblDetailBudget[[#This Row],[Row Title]], TblUnitCost[Resource], 0)), "Invalid Resource"), "")</f>
        <v>Invalid Resource</v>
      </c>
      <c r="O182" s="128"/>
      <c r="P182" s="108"/>
      <c r="Q182" s="129"/>
      <c r="R182" s="108"/>
      <c r="S182" s="108"/>
      <c r="T182" s="108"/>
      <c r="U182" s="108"/>
      <c r="V182" s="108"/>
      <c r="W182" s="125" t="str">
        <f>IF(TblDetailBudget[[#This Row],[Level]]=LvlBottomHdr, IF(SUM(TblDetailBudget[[#This Row],[2021 Quant]:[2025 Quant]])&gt;0, SUM(TblDetailBudget[[#This Row],[2021 Quant]:[2025 Quant]]), ""), "")</f>
        <v/>
      </c>
      <c r="X18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2" s="140">
        <f>SUM(TblDetailBudget[[#This Row],[2021 Cost (LCU)]:[2025 Cost (LCU)]])</f>
        <v>0</v>
      </c>
      <c r="AD182" s="134">
        <f>IFERROR(SUM(TblDetailBudget[[#This Row],[2021 Cost (LCU)]])/FX_Rate, "")</f>
        <v>0</v>
      </c>
      <c r="AE182" s="63">
        <f>IFERROR(SUM(TblDetailBudget[[#This Row],[2022 Cost (LCU)]])/FX_Rate, "")</f>
        <v>0</v>
      </c>
      <c r="AF182" s="63">
        <f>IFERROR(SUM(TblDetailBudget[[#This Row],[2023 Cost (LCU)]])/FX_Rate, "")</f>
        <v>0</v>
      </c>
      <c r="AG182" s="63">
        <f>IFERROR(SUM(TblDetailBudget[[#This Row],[2024 Cost (LCU)]])/FX_Rate, "")</f>
        <v>0</v>
      </c>
      <c r="AH182" s="63">
        <f>IFERROR(SUM(TblDetailBudget[[#This Row],[2025 Cost (LCU)]])/FX_Rate, "")</f>
        <v>0</v>
      </c>
      <c r="AI182" s="125">
        <f>SUM(TblDetailBudget[[#This Row],[2021 Cost (USD)]:[2025 Cost (USD)]])</f>
        <v>0</v>
      </c>
      <c r="AJ182" s="180"/>
    </row>
    <row r="183" spans="2:36" ht="12.75" hidden="1" customHeight="1">
      <c r="B183" s="122" t="s">
        <v>70</v>
      </c>
      <c r="C1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v>
      </c>
      <c r="D183" s="62">
        <f>IF(TblDetailBudget[[#This Row],[Level]]="", "", COUNTIFS($B$8:TblDetailBudget[[#This Row],[Level]], Lvl1Hdr))</f>
        <v>2</v>
      </c>
      <c r="E183" s="62">
        <f>IF(TblDetailBudget[[#This Row],[Level]]="", "", COUNTIFS($B$8:TblDetailBudget[[#This Row],[Level]], Lvl2Hdr, $D$8:TblDetailBudget[[#This Row],[Lvl 1 Header]], TblDetailBudget[[#This Row],[Lvl 1 Header]]))</f>
        <v>1</v>
      </c>
      <c r="F183" s="62">
        <f>IF(TblDetailBudget[[#This Row],[Level]]="", "", COUNTIFS($B$8:TblDetailBudget[[#This Row],[Level]], Lvl3Hdr, $D$8:TblDetailBudget[[#This Row],[Lvl 1 Header]], TblDetailBudget[[#This Row],[Lvl 1 Header]], $E$8:TblDetailBudget[[#This Row],[Lvl 2 Header]], TblDetailBudget[[#This Row],[Lvl 2 Header]]))</f>
        <v>1</v>
      </c>
      <c r="G1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3" s="101"/>
      <c r="J183" s="101"/>
      <c r="K183" s="88"/>
      <c r="L183" s="88"/>
      <c r="M183" s="62" t="str">
        <f>IF(TblDetailBudget[[#This Row],[Level]]=LvlBottomHdr, IFERROR(INDEX(TblUnitCost[Unit], MATCH(TblDetailBudget[[#This Row],[Row Title]], TblUnitCost[Resource], 0)), "Invalid Resource"), "")</f>
        <v/>
      </c>
      <c r="N183" s="125" t="str">
        <f>IF(TblDetailBudget[[#This Row],[Level]]=LvlBottomHdr, IFERROR(INDEX(TblUnitCost[LCU], MATCH(TblDetailBudget[[#This Row],[Row Title]], TblUnitCost[Resource], 0)), "Invalid Resource"), "")</f>
        <v/>
      </c>
      <c r="O183" s="128"/>
      <c r="P183" s="108"/>
      <c r="Q183" s="129"/>
      <c r="R183" s="108"/>
      <c r="S183" s="108"/>
      <c r="T183" s="108"/>
      <c r="U183" s="108"/>
      <c r="V183" s="108"/>
      <c r="W183" s="125" t="str">
        <f>IF(TblDetailBudget[[#This Row],[Level]]=LvlBottomHdr, IF(SUM(TblDetailBudget[[#This Row],[2021 Quant]:[2025 Quant]])&gt;0, SUM(TblDetailBudget[[#This Row],[2021 Quant]:[2025 Quant]]), ""), "")</f>
        <v/>
      </c>
      <c r="X18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3" s="140">
        <f>SUM(TblDetailBudget[[#This Row],[2021 Cost (LCU)]:[2025 Cost (LCU)]])</f>
        <v>0</v>
      </c>
      <c r="AD183" s="134">
        <f>IFERROR(SUM(TblDetailBudget[[#This Row],[2021 Cost (LCU)]])/FX_Rate, "")</f>
        <v>0</v>
      </c>
      <c r="AE183" s="63">
        <f>IFERROR(SUM(TblDetailBudget[[#This Row],[2022 Cost (LCU)]])/FX_Rate, "")</f>
        <v>0</v>
      </c>
      <c r="AF183" s="63">
        <f>IFERROR(SUM(TblDetailBudget[[#This Row],[2023 Cost (LCU)]])/FX_Rate, "")</f>
        <v>0</v>
      </c>
      <c r="AG183" s="63">
        <f>IFERROR(SUM(TblDetailBudget[[#This Row],[2024 Cost (LCU)]])/FX_Rate, "")</f>
        <v>0</v>
      </c>
      <c r="AH183" s="63">
        <f>IFERROR(SUM(TblDetailBudget[[#This Row],[2025 Cost (LCU)]])/FX_Rate, "")</f>
        <v>0</v>
      </c>
      <c r="AI183" s="125">
        <f>SUM(TblDetailBudget[[#This Row],[2021 Cost (USD)]:[2025 Cost (USD)]])</f>
        <v>0</v>
      </c>
      <c r="AJ183" s="180"/>
    </row>
    <row r="184" spans="2:36" ht="12.75" hidden="1" customHeight="1">
      <c r="B184" s="122" t="s">
        <v>71</v>
      </c>
      <c r="C1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2.1.1.3.1</v>
      </c>
      <c r="D184" s="62">
        <f>IF(TblDetailBudget[[#This Row],[Level]]="", "", COUNTIFS($B$8:TblDetailBudget[[#This Row],[Level]], Lvl1Hdr))</f>
        <v>2</v>
      </c>
      <c r="E184" s="62">
        <f>IF(TblDetailBudget[[#This Row],[Level]]="", "", COUNTIFS($B$8:TblDetailBudget[[#This Row],[Level]], Lvl2Hdr, $D$8:TblDetailBudget[[#This Row],[Lvl 1 Header]], TblDetailBudget[[#This Row],[Lvl 1 Header]]))</f>
        <v>1</v>
      </c>
      <c r="F184" s="62">
        <f>IF(TblDetailBudget[[#This Row],[Level]]="", "", COUNTIFS($B$8:TblDetailBudget[[#This Row],[Level]], Lvl3Hdr, $D$8:TblDetailBudget[[#This Row],[Lvl 1 Header]], TblDetailBudget[[#This Row],[Lvl 1 Header]], $E$8:TblDetailBudget[[#This Row],[Lvl 2 Header]], TblDetailBudget[[#This Row],[Lvl 2 Header]]))</f>
        <v>1</v>
      </c>
      <c r="G1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4" s="101"/>
      <c r="J184" s="101"/>
      <c r="K184" s="88"/>
      <c r="L184" s="88"/>
      <c r="M184" s="62" t="str">
        <f>IF(TblDetailBudget[[#This Row],[Level]]=LvlBottomHdr, IFERROR(INDEX(TblUnitCost[Unit], MATCH(TblDetailBudget[[#This Row],[Row Title]], TblUnitCost[Resource], 0)), "Invalid Resource"), "")</f>
        <v>Invalid Resource</v>
      </c>
      <c r="N184" s="125" t="str">
        <f>IF(TblDetailBudget[[#This Row],[Level]]=LvlBottomHdr, IFERROR(INDEX(TblUnitCost[LCU], MATCH(TblDetailBudget[[#This Row],[Row Title]], TblUnitCost[Resource], 0)), "Invalid Resource"), "")</f>
        <v>Invalid Resource</v>
      </c>
      <c r="O184" s="128"/>
      <c r="P184" s="108"/>
      <c r="Q184" s="129"/>
      <c r="R184" s="108"/>
      <c r="S184" s="108"/>
      <c r="T184" s="108"/>
      <c r="U184" s="108"/>
      <c r="V184" s="108"/>
      <c r="W184" s="125" t="str">
        <f>IF(TblDetailBudget[[#This Row],[Level]]=LvlBottomHdr, IF(SUM(TblDetailBudget[[#This Row],[2021 Quant]:[2025 Quant]])&gt;0, SUM(TblDetailBudget[[#This Row],[2021 Quant]:[2025 Quant]]), ""), "")</f>
        <v/>
      </c>
      <c r="X18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4" s="140">
        <f>SUM(TblDetailBudget[[#This Row],[2021 Cost (LCU)]:[2025 Cost (LCU)]])</f>
        <v>0</v>
      </c>
      <c r="AD184" s="134">
        <f>IFERROR(SUM(TblDetailBudget[[#This Row],[2021 Cost (LCU)]])/FX_Rate, "")</f>
        <v>0</v>
      </c>
      <c r="AE184" s="63">
        <f>IFERROR(SUM(TblDetailBudget[[#This Row],[2022 Cost (LCU)]])/FX_Rate, "")</f>
        <v>0</v>
      </c>
      <c r="AF184" s="63">
        <f>IFERROR(SUM(TblDetailBudget[[#This Row],[2023 Cost (LCU)]])/FX_Rate, "")</f>
        <v>0</v>
      </c>
      <c r="AG184" s="63">
        <f>IFERROR(SUM(TblDetailBudget[[#This Row],[2024 Cost (LCU)]])/FX_Rate, "")</f>
        <v>0</v>
      </c>
      <c r="AH184" s="63">
        <f>IFERROR(SUM(TblDetailBudget[[#This Row],[2025 Cost (LCU)]])/FX_Rate, "")</f>
        <v>0</v>
      </c>
      <c r="AI184" s="125">
        <f>SUM(TblDetailBudget[[#This Row],[2021 Cost (USD)]:[2025 Cost (USD)]])</f>
        <v>0</v>
      </c>
      <c r="AJ184" s="180"/>
    </row>
    <row r="185" spans="2:36" ht="12.75" hidden="1" customHeight="1">
      <c r="B185" s="122" t="s">
        <v>71</v>
      </c>
      <c r="C1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2.1.1.3.2</v>
      </c>
      <c r="D185" s="62">
        <f>IF(TblDetailBudget[[#This Row],[Level]]="", "", COUNTIFS($B$8:TblDetailBudget[[#This Row],[Level]], Lvl1Hdr))</f>
        <v>2</v>
      </c>
      <c r="E185" s="62">
        <f>IF(TblDetailBudget[[#This Row],[Level]]="", "", COUNTIFS($B$8:TblDetailBudget[[#This Row],[Level]], Lvl2Hdr, $D$8:TblDetailBudget[[#This Row],[Lvl 1 Header]], TblDetailBudget[[#This Row],[Lvl 1 Header]]))</f>
        <v>1</v>
      </c>
      <c r="F185" s="62">
        <f>IF(TblDetailBudget[[#This Row],[Level]]="", "", COUNTIFS($B$8:TblDetailBudget[[#This Row],[Level]], Lvl3Hdr, $D$8:TblDetailBudget[[#This Row],[Lvl 1 Header]], TblDetailBudget[[#This Row],[Lvl 1 Header]], $E$8:TblDetailBudget[[#This Row],[Lvl 2 Header]], TblDetailBudget[[#This Row],[Lvl 2 Header]]))</f>
        <v>1</v>
      </c>
      <c r="G1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85" s="101"/>
      <c r="J185" s="101"/>
      <c r="K185" s="88"/>
      <c r="L185" s="88"/>
      <c r="M185" s="62" t="str">
        <f>IF(TblDetailBudget[[#This Row],[Level]]=LvlBottomHdr, IFERROR(INDEX(TblUnitCost[Unit], MATCH(TblDetailBudget[[#This Row],[Row Title]], TblUnitCost[Resource], 0)), "Invalid Resource"), "")</f>
        <v>Invalid Resource</v>
      </c>
      <c r="N185" s="125" t="str">
        <f>IF(TblDetailBudget[[#This Row],[Level]]=LvlBottomHdr, IFERROR(INDEX(TblUnitCost[LCU], MATCH(TblDetailBudget[[#This Row],[Row Title]], TblUnitCost[Resource], 0)), "Invalid Resource"), "")</f>
        <v>Invalid Resource</v>
      </c>
      <c r="O185" s="128"/>
      <c r="P185" s="108"/>
      <c r="Q185" s="129"/>
      <c r="R185" s="108"/>
      <c r="S185" s="108"/>
      <c r="T185" s="108"/>
      <c r="U185" s="108"/>
      <c r="V185" s="108"/>
      <c r="W185" s="125" t="str">
        <f>IF(TblDetailBudget[[#This Row],[Level]]=LvlBottomHdr, IF(SUM(TblDetailBudget[[#This Row],[2021 Quant]:[2025 Quant]])&gt;0, SUM(TblDetailBudget[[#This Row],[2021 Quant]:[2025 Quant]]), ""), "")</f>
        <v/>
      </c>
      <c r="X18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5" s="140">
        <f>SUM(TblDetailBudget[[#This Row],[2021 Cost (LCU)]:[2025 Cost (LCU)]])</f>
        <v>0</v>
      </c>
      <c r="AD185" s="134">
        <f>IFERROR(SUM(TblDetailBudget[[#This Row],[2021 Cost (LCU)]])/FX_Rate, "")</f>
        <v>0</v>
      </c>
      <c r="AE185" s="63">
        <f>IFERROR(SUM(TblDetailBudget[[#This Row],[2022 Cost (LCU)]])/FX_Rate, "")</f>
        <v>0</v>
      </c>
      <c r="AF185" s="63">
        <f>IFERROR(SUM(TblDetailBudget[[#This Row],[2023 Cost (LCU)]])/FX_Rate, "")</f>
        <v>0</v>
      </c>
      <c r="AG185" s="63">
        <f>IFERROR(SUM(TblDetailBudget[[#This Row],[2024 Cost (LCU)]])/FX_Rate, "")</f>
        <v>0</v>
      </c>
      <c r="AH185" s="63">
        <f>IFERROR(SUM(TblDetailBudget[[#This Row],[2025 Cost (LCU)]])/FX_Rate, "")</f>
        <v>0</v>
      </c>
      <c r="AI185" s="125">
        <f>SUM(TblDetailBudget[[#This Row],[2021 Cost (USD)]:[2025 Cost (USD)]])</f>
        <v>0</v>
      </c>
      <c r="AJ185" s="180"/>
    </row>
    <row r="186" spans="2:36" ht="12.75" hidden="1" customHeight="1">
      <c r="B186" s="122" t="s">
        <v>71</v>
      </c>
      <c r="C1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2.1.1.3.3</v>
      </c>
      <c r="D186" s="62">
        <f>IF(TblDetailBudget[[#This Row],[Level]]="", "", COUNTIFS($B$8:TblDetailBudget[[#This Row],[Level]], Lvl1Hdr))</f>
        <v>2</v>
      </c>
      <c r="E186" s="62">
        <f>IF(TblDetailBudget[[#This Row],[Level]]="", "", COUNTIFS($B$8:TblDetailBudget[[#This Row],[Level]], Lvl2Hdr, $D$8:TblDetailBudget[[#This Row],[Lvl 1 Header]], TblDetailBudget[[#This Row],[Lvl 1 Header]]))</f>
        <v>1</v>
      </c>
      <c r="F186" s="62">
        <f>IF(TblDetailBudget[[#This Row],[Level]]="", "", COUNTIFS($B$8:TblDetailBudget[[#This Row],[Level]], Lvl3Hdr, $D$8:TblDetailBudget[[#This Row],[Lvl 1 Header]], TblDetailBudget[[#This Row],[Lvl 1 Header]], $E$8:TblDetailBudget[[#This Row],[Lvl 2 Header]], TblDetailBudget[[#This Row],[Lvl 2 Header]]))</f>
        <v>1</v>
      </c>
      <c r="G1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86" s="101"/>
      <c r="J186" s="101"/>
      <c r="K186" s="88"/>
      <c r="L186" s="88"/>
      <c r="M186" s="62" t="str">
        <f>IF(TblDetailBudget[[#This Row],[Level]]=LvlBottomHdr, IFERROR(INDEX(TblUnitCost[Unit], MATCH(TblDetailBudget[[#This Row],[Row Title]], TblUnitCost[Resource], 0)), "Invalid Resource"), "")</f>
        <v>Invalid Resource</v>
      </c>
      <c r="N186" s="125" t="str">
        <f>IF(TblDetailBudget[[#This Row],[Level]]=LvlBottomHdr, IFERROR(INDEX(TblUnitCost[LCU], MATCH(TblDetailBudget[[#This Row],[Row Title]], TblUnitCost[Resource], 0)), "Invalid Resource"), "")</f>
        <v>Invalid Resource</v>
      </c>
      <c r="O186" s="128"/>
      <c r="P186" s="108"/>
      <c r="Q186" s="129"/>
      <c r="R186" s="108"/>
      <c r="S186" s="108"/>
      <c r="T186" s="108"/>
      <c r="U186" s="108"/>
      <c r="V186" s="108"/>
      <c r="W186" s="125" t="str">
        <f>IF(TblDetailBudget[[#This Row],[Level]]=LvlBottomHdr, IF(SUM(TblDetailBudget[[#This Row],[2021 Quant]:[2025 Quant]])&gt;0, SUM(TblDetailBudget[[#This Row],[2021 Quant]:[2025 Quant]]), ""), "")</f>
        <v/>
      </c>
      <c r="X18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6" s="140">
        <f>SUM(TblDetailBudget[[#This Row],[2021 Cost (LCU)]:[2025 Cost (LCU)]])</f>
        <v>0</v>
      </c>
      <c r="AD186" s="134">
        <f>IFERROR(SUM(TblDetailBudget[[#This Row],[2021 Cost (LCU)]])/FX_Rate, "")</f>
        <v>0</v>
      </c>
      <c r="AE186" s="63">
        <f>IFERROR(SUM(TblDetailBudget[[#This Row],[2022 Cost (LCU)]])/FX_Rate, "")</f>
        <v>0</v>
      </c>
      <c r="AF186" s="63">
        <f>IFERROR(SUM(TblDetailBudget[[#This Row],[2023 Cost (LCU)]])/FX_Rate, "")</f>
        <v>0</v>
      </c>
      <c r="AG186" s="63">
        <f>IFERROR(SUM(TblDetailBudget[[#This Row],[2024 Cost (LCU)]])/FX_Rate, "")</f>
        <v>0</v>
      </c>
      <c r="AH186" s="63">
        <f>IFERROR(SUM(TblDetailBudget[[#This Row],[2025 Cost (LCU)]])/FX_Rate, "")</f>
        <v>0</v>
      </c>
      <c r="AI186" s="125">
        <f>SUM(TblDetailBudget[[#This Row],[2021 Cost (USD)]:[2025 Cost (USD)]])</f>
        <v>0</v>
      </c>
      <c r="AJ186" s="180"/>
    </row>
    <row r="187" spans="2:36" ht="12.75" hidden="1" customHeight="1">
      <c r="B187" s="122" t="s">
        <v>70</v>
      </c>
      <c r="C1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2.1.1.4</v>
      </c>
      <c r="D187" s="62">
        <f>IF(TblDetailBudget[[#This Row],[Level]]="", "", COUNTIFS($B$8:TblDetailBudget[[#This Row],[Level]], Lvl1Hdr))</f>
        <v>2</v>
      </c>
      <c r="E187" s="62">
        <f>IF(TblDetailBudget[[#This Row],[Level]]="", "", COUNTIFS($B$8:TblDetailBudget[[#This Row],[Level]], Lvl2Hdr, $D$8:TblDetailBudget[[#This Row],[Lvl 1 Header]], TblDetailBudget[[#This Row],[Lvl 1 Header]]))</f>
        <v>1</v>
      </c>
      <c r="F187" s="62">
        <f>IF(TblDetailBudget[[#This Row],[Level]]="", "", COUNTIFS($B$8:TblDetailBudget[[#This Row],[Level]], Lvl3Hdr, $D$8:TblDetailBudget[[#This Row],[Lvl 1 Header]], TblDetailBudget[[#This Row],[Lvl 1 Header]], $E$8:TblDetailBudget[[#This Row],[Lvl 2 Header]], TblDetailBudget[[#This Row],[Lvl 2 Header]]))</f>
        <v>1</v>
      </c>
      <c r="G1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7" s="101"/>
      <c r="J187" s="101"/>
      <c r="K187" s="88"/>
      <c r="L187" s="88"/>
      <c r="M187" s="62" t="str">
        <f>IF(TblDetailBudget[[#This Row],[Level]]=LvlBottomHdr, IFERROR(INDEX(TblUnitCost[Unit], MATCH(TblDetailBudget[[#This Row],[Row Title]], TblUnitCost[Resource], 0)), "Invalid Resource"), "")</f>
        <v/>
      </c>
      <c r="N187" s="125" t="str">
        <f>IF(TblDetailBudget[[#This Row],[Level]]=LvlBottomHdr, IFERROR(INDEX(TblUnitCost[LCU], MATCH(TblDetailBudget[[#This Row],[Row Title]], TblUnitCost[Resource], 0)), "Invalid Resource"), "")</f>
        <v/>
      </c>
      <c r="O187" s="128"/>
      <c r="P187" s="108"/>
      <c r="Q187" s="129"/>
      <c r="R187" s="108"/>
      <c r="S187" s="108"/>
      <c r="T187" s="108"/>
      <c r="U187" s="108"/>
      <c r="V187" s="108"/>
      <c r="W187" s="125" t="str">
        <f>IF(TblDetailBudget[[#This Row],[Level]]=LvlBottomHdr, IF(SUM(TblDetailBudget[[#This Row],[2021 Quant]:[2025 Quant]])&gt;0, SUM(TblDetailBudget[[#This Row],[2021 Quant]:[2025 Quant]]), ""), "")</f>
        <v/>
      </c>
      <c r="X18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7" s="140">
        <f>SUM(TblDetailBudget[[#This Row],[2021 Cost (LCU)]:[2025 Cost (LCU)]])</f>
        <v>0</v>
      </c>
      <c r="AD187" s="134">
        <f>IFERROR(SUM(TblDetailBudget[[#This Row],[2021 Cost (LCU)]])/FX_Rate, "")</f>
        <v>0</v>
      </c>
      <c r="AE187" s="63">
        <f>IFERROR(SUM(TblDetailBudget[[#This Row],[2022 Cost (LCU)]])/FX_Rate, "")</f>
        <v>0</v>
      </c>
      <c r="AF187" s="63">
        <f>IFERROR(SUM(TblDetailBudget[[#This Row],[2023 Cost (LCU)]])/FX_Rate, "")</f>
        <v>0</v>
      </c>
      <c r="AG187" s="63">
        <f>IFERROR(SUM(TblDetailBudget[[#This Row],[2024 Cost (LCU)]])/FX_Rate, "")</f>
        <v>0</v>
      </c>
      <c r="AH187" s="63">
        <f>IFERROR(SUM(TblDetailBudget[[#This Row],[2025 Cost (LCU)]])/FX_Rate, "")</f>
        <v>0</v>
      </c>
      <c r="AI187" s="125">
        <f>SUM(TblDetailBudget[[#This Row],[2021 Cost (USD)]:[2025 Cost (USD)]])</f>
        <v>0</v>
      </c>
      <c r="AJ187" s="180"/>
    </row>
    <row r="188" spans="2:36" ht="12.75" hidden="1" customHeight="1">
      <c r="B188" s="122" t="s">
        <v>70</v>
      </c>
      <c r="C1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2.1.1.5</v>
      </c>
      <c r="D188" s="62">
        <f>IF(TblDetailBudget[[#This Row],[Level]]="", "", COUNTIFS($B$8:TblDetailBudget[[#This Row],[Level]], Lvl1Hdr))</f>
        <v>2</v>
      </c>
      <c r="E188" s="62">
        <f>IF(TblDetailBudget[[#This Row],[Level]]="", "", COUNTIFS($B$8:TblDetailBudget[[#This Row],[Level]], Lvl2Hdr, $D$8:TblDetailBudget[[#This Row],[Lvl 1 Header]], TblDetailBudget[[#This Row],[Lvl 1 Header]]))</f>
        <v>1</v>
      </c>
      <c r="F188" s="62">
        <f>IF(TblDetailBudget[[#This Row],[Level]]="", "", COUNTIFS($B$8:TblDetailBudget[[#This Row],[Level]], Lvl3Hdr, $D$8:TblDetailBudget[[#This Row],[Lvl 1 Header]], TblDetailBudget[[#This Row],[Lvl 1 Header]], $E$8:TblDetailBudget[[#This Row],[Lvl 2 Header]], TblDetailBudget[[#This Row],[Lvl 2 Header]]))</f>
        <v>1</v>
      </c>
      <c r="G1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8" s="101"/>
      <c r="J188" s="101"/>
      <c r="K188" s="88"/>
      <c r="L188" s="88"/>
      <c r="M188" s="62" t="str">
        <f>IF(TblDetailBudget[[#This Row],[Level]]=LvlBottomHdr, IFERROR(INDEX(TblUnitCost[Unit], MATCH(TblDetailBudget[[#This Row],[Row Title]], TblUnitCost[Resource], 0)), "Invalid Resource"), "")</f>
        <v/>
      </c>
      <c r="N188" s="125" t="str">
        <f>IF(TblDetailBudget[[#This Row],[Level]]=LvlBottomHdr, IFERROR(INDEX(TblUnitCost[LCU], MATCH(TblDetailBudget[[#This Row],[Row Title]], TblUnitCost[Resource], 0)), "Invalid Resource"), "")</f>
        <v/>
      </c>
      <c r="O188" s="128"/>
      <c r="P188" s="108"/>
      <c r="Q188" s="129"/>
      <c r="R188" s="108"/>
      <c r="S188" s="108"/>
      <c r="T188" s="108"/>
      <c r="U188" s="108"/>
      <c r="V188" s="108"/>
      <c r="W188" s="125" t="str">
        <f>IF(TblDetailBudget[[#This Row],[Level]]=LvlBottomHdr, IF(SUM(TblDetailBudget[[#This Row],[2021 Quant]:[2025 Quant]])&gt;0, SUM(TblDetailBudget[[#This Row],[2021 Quant]:[2025 Quant]]), ""), "")</f>
        <v/>
      </c>
      <c r="X1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8" s="140">
        <f>SUM(TblDetailBudget[[#This Row],[2021 Cost (LCU)]:[2025 Cost (LCU)]])</f>
        <v>0</v>
      </c>
      <c r="AD188" s="134">
        <f>IFERROR(SUM(TblDetailBudget[[#This Row],[2021 Cost (LCU)]])/FX_Rate, "")</f>
        <v>0</v>
      </c>
      <c r="AE188" s="63">
        <f>IFERROR(SUM(TblDetailBudget[[#This Row],[2022 Cost (LCU)]])/FX_Rate, "")</f>
        <v>0</v>
      </c>
      <c r="AF188" s="63">
        <f>IFERROR(SUM(TblDetailBudget[[#This Row],[2023 Cost (LCU)]])/FX_Rate, "")</f>
        <v>0</v>
      </c>
      <c r="AG188" s="63">
        <f>IFERROR(SUM(TblDetailBudget[[#This Row],[2024 Cost (LCU)]])/FX_Rate, "")</f>
        <v>0</v>
      </c>
      <c r="AH188" s="63">
        <f>IFERROR(SUM(TblDetailBudget[[#This Row],[2025 Cost (LCU)]])/FX_Rate, "")</f>
        <v>0</v>
      </c>
      <c r="AI188" s="125">
        <f>SUM(TblDetailBudget[[#This Row],[2021 Cost (USD)]:[2025 Cost (USD)]])</f>
        <v>0</v>
      </c>
      <c r="AJ188" s="180"/>
    </row>
    <row r="189" spans="2:36" ht="12.75" hidden="1" customHeight="1">
      <c r="B189" s="122" t="s">
        <v>71</v>
      </c>
      <c r="C1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2.1.1.5.1</v>
      </c>
      <c r="D189" s="62">
        <f>IF(TblDetailBudget[[#This Row],[Level]]="", "", COUNTIFS($B$8:TblDetailBudget[[#This Row],[Level]], Lvl1Hdr))</f>
        <v>2</v>
      </c>
      <c r="E189" s="62">
        <f>IF(TblDetailBudget[[#This Row],[Level]]="", "", COUNTIFS($B$8:TblDetailBudget[[#This Row],[Level]], Lvl2Hdr, $D$8:TblDetailBudget[[#This Row],[Lvl 1 Header]], TblDetailBudget[[#This Row],[Lvl 1 Header]]))</f>
        <v>1</v>
      </c>
      <c r="F189" s="62">
        <f>IF(TblDetailBudget[[#This Row],[Level]]="", "", COUNTIFS($B$8:TblDetailBudget[[#This Row],[Level]], Lvl3Hdr, $D$8:TblDetailBudget[[#This Row],[Lvl 1 Header]], TblDetailBudget[[#This Row],[Lvl 1 Header]], $E$8:TblDetailBudget[[#This Row],[Lvl 2 Header]], TblDetailBudget[[#This Row],[Lvl 2 Header]]))</f>
        <v>1</v>
      </c>
      <c r="G1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9" s="101"/>
      <c r="J189" s="101"/>
      <c r="K189" s="88"/>
      <c r="L189" s="88"/>
      <c r="M189" s="62" t="str">
        <f>IF(TblDetailBudget[[#This Row],[Level]]=LvlBottomHdr, IFERROR(INDEX(TblUnitCost[Unit], MATCH(TblDetailBudget[[#This Row],[Row Title]], TblUnitCost[Resource], 0)), "Invalid Resource"), "")</f>
        <v>Invalid Resource</v>
      </c>
      <c r="N189" s="125" t="str">
        <f>IF(TblDetailBudget[[#This Row],[Level]]=LvlBottomHdr, IFERROR(INDEX(TblUnitCost[LCU], MATCH(TblDetailBudget[[#This Row],[Row Title]], TblUnitCost[Resource], 0)), "Invalid Resource"), "")</f>
        <v>Invalid Resource</v>
      </c>
      <c r="O189" s="128"/>
      <c r="P189" s="108"/>
      <c r="Q189" s="129"/>
      <c r="R189" s="108"/>
      <c r="S189" s="108"/>
      <c r="T189" s="108"/>
      <c r="U189" s="108"/>
      <c r="V189" s="108"/>
      <c r="W189" s="125" t="str">
        <f>IF(TblDetailBudget[[#This Row],[Level]]=LvlBottomHdr, IF(SUM(TblDetailBudget[[#This Row],[2021 Quant]:[2025 Quant]])&gt;0, SUM(TblDetailBudget[[#This Row],[2021 Quant]:[2025 Quant]]), ""), "")</f>
        <v/>
      </c>
      <c r="X18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9" s="140">
        <f>SUM(TblDetailBudget[[#This Row],[2021 Cost (LCU)]:[2025 Cost (LCU)]])</f>
        <v>0</v>
      </c>
      <c r="AD189" s="134">
        <f>IFERROR(SUM(TblDetailBudget[[#This Row],[2021 Cost (LCU)]])/FX_Rate, "")</f>
        <v>0</v>
      </c>
      <c r="AE189" s="63">
        <f>IFERROR(SUM(TblDetailBudget[[#This Row],[2022 Cost (LCU)]])/FX_Rate, "")</f>
        <v>0</v>
      </c>
      <c r="AF189" s="63">
        <f>IFERROR(SUM(TblDetailBudget[[#This Row],[2023 Cost (LCU)]])/FX_Rate, "")</f>
        <v>0</v>
      </c>
      <c r="AG189" s="63">
        <f>IFERROR(SUM(TblDetailBudget[[#This Row],[2024 Cost (LCU)]])/FX_Rate, "")</f>
        <v>0</v>
      </c>
      <c r="AH189" s="63">
        <f>IFERROR(SUM(TblDetailBudget[[#This Row],[2025 Cost (LCU)]])/FX_Rate, "")</f>
        <v>0</v>
      </c>
      <c r="AI189" s="125">
        <f>SUM(TblDetailBudget[[#This Row],[2021 Cost (USD)]:[2025 Cost (USD)]])</f>
        <v>0</v>
      </c>
      <c r="AJ189" s="180"/>
    </row>
    <row r="190" spans="2:36" ht="12.75" customHeight="1">
      <c r="B190" s="122" t="s">
        <v>68</v>
      </c>
      <c r="C1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v>
      </c>
      <c r="D190" s="62">
        <f>IF(TblDetailBudget[[#This Row],[Level]]="", "", COUNTIFS($B$8:TblDetailBudget[[#This Row],[Level]], Lvl1Hdr))</f>
        <v>2</v>
      </c>
      <c r="E190" s="62">
        <f>IF(TblDetailBudget[[#This Row],[Level]]="", "", COUNTIFS($B$8:TblDetailBudget[[#This Row],[Level]], Lvl2Hdr, $D$8:TblDetailBudget[[#This Row],[Lvl 1 Header]], TblDetailBudget[[#This Row],[Lvl 1 Header]]))</f>
        <v>2</v>
      </c>
      <c r="F190" s="62">
        <f>IF(TblDetailBudget[[#This Row],[Level]]="", "", COUNTIFS($B$8:TblDetailBudget[[#This Row],[Level]], Lvl3Hdr, $D$8:TblDetailBudget[[#This Row],[Lvl 1 Header]], TblDetailBudget[[#This Row],[Lvl 1 Header]], $E$8:TblDetailBudget[[#This Row],[Lvl 2 Header]], TblDetailBudget[[#This Row],[Lvl 2 Header]]))</f>
        <v>0</v>
      </c>
      <c r="G1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0" s="185" t="s">
        <v>1821</v>
      </c>
      <c r="J190" s="101"/>
      <c r="K190" s="88"/>
      <c r="L190" s="88"/>
      <c r="M190" s="62" t="str">
        <f>IF(TblDetailBudget[[#This Row],[Level]]=LvlBottomHdr, IFERROR(INDEX(TblUnitCost[Unit], MATCH(TblDetailBudget[[#This Row],[Row Title]], TblUnitCost[Resource], 0)), "Invalid Resource"), "")</f>
        <v/>
      </c>
      <c r="N190" s="125" t="str">
        <f>IF(TblDetailBudget[[#This Row],[Level]]=LvlBottomHdr, IFERROR(INDEX(TblUnitCost[LCU], MATCH(TblDetailBudget[[#This Row],[Row Title]], TblUnitCost[Resource], 0)), "Invalid Resource"), "")</f>
        <v/>
      </c>
      <c r="O190" s="128"/>
      <c r="P190" s="108"/>
      <c r="Q190" s="129"/>
      <c r="R190" s="108"/>
      <c r="S190" s="108"/>
      <c r="T190" s="108"/>
      <c r="U190" s="108"/>
      <c r="V190" s="108"/>
      <c r="W190" s="125" t="str">
        <f>IF(TblDetailBudget[[#This Row],[Level]]=LvlBottomHdr, IF(SUM(TblDetailBudget[[#This Row],[2021 Quant]:[2025 Quant]])&gt;0, SUM(TblDetailBudget[[#This Row],[2021 Quant]:[2025 Quant]]), ""), "")</f>
        <v/>
      </c>
      <c r="X19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80183832488.666275</v>
      </c>
      <c r="AC190" s="140">
        <f>SUM(TblDetailBudget[[#This Row],[2021 Cost (LCU)]:[2025 Cost (LCU)]])</f>
        <v>80183832488.666275</v>
      </c>
      <c r="AD190" s="134">
        <f>IFERROR(SUM(TblDetailBudget[[#This Row],[2021 Cost (LCU)]])/FX_Rate, "")</f>
        <v>0</v>
      </c>
      <c r="AE190" s="63">
        <f>IFERROR(SUM(TblDetailBudget[[#This Row],[2022 Cost (LCU)]])/FX_Rate, "")</f>
        <v>0</v>
      </c>
      <c r="AF190" s="63">
        <f>IFERROR(SUM(TblDetailBudget[[#This Row],[2023 Cost (LCU)]])/FX_Rate, "")</f>
        <v>0</v>
      </c>
      <c r="AG190" s="63">
        <f>IFERROR(SUM(TblDetailBudget[[#This Row],[2024 Cost (LCU)]])/FX_Rate, "")</f>
        <v>0</v>
      </c>
      <c r="AH190" s="63">
        <f>IFERROR(SUM(TblDetailBudget[[#This Row],[2025 Cost (LCU)]])/FX_Rate, "")</f>
        <v>50114895.30541642</v>
      </c>
      <c r="AI190" s="125">
        <f>SUM(TblDetailBudget[[#This Row],[2021 Cost (USD)]:[2025 Cost (USD)]])</f>
        <v>50114895.30541642</v>
      </c>
      <c r="AJ190" s="180"/>
    </row>
    <row r="191" spans="2:36" ht="12.75" customHeight="1">
      <c r="B191" s="122" t="s">
        <v>69</v>
      </c>
      <c r="C1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v>
      </c>
      <c r="D191" s="62">
        <f>IF(TblDetailBudget[[#This Row],[Level]]="", "", COUNTIFS($B$8:TblDetailBudget[[#This Row],[Level]], Lvl1Hdr))</f>
        <v>2</v>
      </c>
      <c r="E191" s="62">
        <f>IF(TblDetailBudget[[#This Row],[Level]]="", "", COUNTIFS($B$8:TblDetailBudget[[#This Row],[Level]], Lvl2Hdr, $D$8:TblDetailBudget[[#This Row],[Lvl 1 Header]], TblDetailBudget[[#This Row],[Lvl 1 Header]]))</f>
        <v>2</v>
      </c>
      <c r="F191" s="62">
        <f>IF(TblDetailBudget[[#This Row],[Level]]="", "", COUNTIFS($B$8:TblDetailBudget[[#This Row],[Level]], Lvl3Hdr, $D$8:TblDetailBudget[[#This Row],[Lvl 1 Header]], TblDetailBudget[[#This Row],[Lvl 1 Header]], $E$8:TblDetailBudget[[#This Row],[Lvl 2 Header]], TblDetailBudget[[#This Row],[Lvl 2 Header]]))</f>
        <v>1</v>
      </c>
      <c r="G1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1" s="185" t="s">
        <v>1822</v>
      </c>
      <c r="J191" s="101"/>
      <c r="K191" s="88"/>
      <c r="L191" s="88"/>
      <c r="M191" s="62" t="str">
        <f>IF(TblDetailBudget[[#This Row],[Level]]=LvlBottomHdr, IFERROR(INDEX(TblUnitCost[Unit], MATCH(TblDetailBudget[[#This Row],[Row Title]], TblUnitCost[Resource], 0)), "Invalid Resource"), "")</f>
        <v/>
      </c>
      <c r="N191" s="125" t="str">
        <f>IF(TblDetailBudget[[#This Row],[Level]]=LvlBottomHdr, IFERROR(INDEX(TblUnitCost[LCU], MATCH(TblDetailBudget[[#This Row],[Row Title]], TblUnitCost[Resource], 0)), "Invalid Resource"), "")</f>
        <v/>
      </c>
      <c r="O191" s="128"/>
      <c r="P191" s="108"/>
      <c r="Q191" s="129"/>
      <c r="R191" s="108"/>
      <c r="S191" s="108"/>
      <c r="T191" s="108"/>
      <c r="U191" s="108"/>
      <c r="V191" s="108"/>
      <c r="W191" s="125" t="str">
        <f>IF(TblDetailBudget[[#This Row],[Level]]=LvlBottomHdr, IF(SUM(TblDetailBudget[[#This Row],[2021 Quant]:[2025 Quant]])&gt;0, SUM(TblDetailBudget[[#This Row],[2021 Quant]:[2025 Quant]]), ""), "")</f>
        <v/>
      </c>
      <c r="X1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80183832488.666275</v>
      </c>
      <c r="AC191" s="140">
        <f>SUM(TblDetailBudget[[#This Row],[2021 Cost (LCU)]:[2025 Cost (LCU)]])</f>
        <v>80183832488.666275</v>
      </c>
      <c r="AD191" s="134">
        <f>IFERROR(SUM(TblDetailBudget[[#This Row],[2021 Cost (LCU)]])/FX_Rate, "")</f>
        <v>0</v>
      </c>
      <c r="AE191" s="63">
        <f>IFERROR(SUM(TblDetailBudget[[#This Row],[2022 Cost (LCU)]])/FX_Rate, "")</f>
        <v>0</v>
      </c>
      <c r="AF191" s="63">
        <f>IFERROR(SUM(TblDetailBudget[[#This Row],[2023 Cost (LCU)]])/FX_Rate, "")</f>
        <v>0</v>
      </c>
      <c r="AG191" s="63">
        <f>IFERROR(SUM(TblDetailBudget[[#This Row],[2024 Cost (LCU)]])/FX_Rate, "")</f>
        <v>0</v>
      </c>
      <c r="AH191" s="63">
        <f>IFERROR(SUM(TblDetailBudget[[#This Row],[2025 Cost (LCU)]])/FX_Rate, "")</f>
        <v>50114895.30541642</v>
      </c>
      <c r="AI191" s="125">
        <f>SUM(TblDetailBudget[[#This Row],[2021 Cost (USD)]:[2025 Cost (USD)]])</f>
        <v>50114895.30541642</v>
      </c>
      <c r="AJ191" s="180"/>
    </row>
    <row r="192" spans="2:36" ht="12.75" customHeight="1">
      <c r="B192" s="122" t="s">
        <v>70</v>
      </c>
      <c r="C1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2.2.1.1</v>
      </c>
      <c r="D192" s="62">
        <f>IF(TblDetailBudget[[#This Row],[Level]]="", "", COUNTIFS($B$8:TblDetailBudget[[#This Row],[Level]], Lvl1Hdr))</f>
        <v>2</v>
      </c>
      <c r="E192" s="62">
        <f>IF(TblDetailBudget[[#This Row],[Level]]="", "", COUNTIFS($B$8:TblDetailBudget[[#This Row],[Level]], Lvl2Hdr, $D$8:TblDetailBudget[[#This Row],[Lvl 1 Header]], TblDetailBudget[[#This Row],[Lvl 1 Header]]))</f>
        <v>2</v>
      </c>
      <c r="F192" s="62">
        <f>IF(TblDetailBudget[[#This Row],[Level]]="", "", COUNTIFS($B$8:TblDetailBudget[[#This Row],[Level]], Lvl3Hdr, $D$8:TblDetailBudget[[#This Row],[Lvl 1 Header]], TblDetailBudget[[#This Row],[Lvl 1 Header]], $E$8:TblDetailBudget[[#This Row],[Lvl 2 Header]], TblDetailBudget[[#This Row],[Lvl 2 Header]]))</f>
        <v>1</v>
      </c>
      <c r="G1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2" s="101" t="s">
        <v>1823</v>
      </c>
      <c r="J192" s="101"/>
      <c r="K192" s="88"/>
      <c r="L192" s="88"/>
      <c r="M192" s="62" t="str">
        <f>IF(TblDetailBudget[[#This Row],[Level]]=LvlBottomHdr, IFERROR(INDEX(TblUnitCost[Unit], MATCH(TblDetailBudget[[#This Row],[Row Title]], TblUnitCost[Resource], 0)), "Invalid Resource"), "")</f>
        <v/>
      </c>
      <c r="N192" s="125" t="str">
        <f>IF(TblDetailBudget[[#This Row],[Level]]=LvlBottomHdr, IFERROR(INDEX(TblUnitCost[LCU], MATCH(TblDetailBudget[[#This Row],[Row Title]], TblUnitCost[Resource], 0)), "Invalid Resource"), "")</f>
        <v/>
      </c>
      <c r="O192" s="128"/>
      <c r="P192" s="108"/>
      <c r="Q192" s="129"/>
      <c r="R192" s="108"/>
      <c r="S192" s="108"/>
      <c r="T192" s="108"/>
      <c r="U192" s="108"/>
      <c r="V192" s="108"/>
      <c r="W192" s="125" t="str">
        <f>IF(TblDetailBudget[[#This Row],[Level]]=LvlBottomHdr, IF(SUM(TblDetailBudget[[#This Row],[2021 Quant]:[2025 Quant]])&gt;0, SUM(TblDetailBudget[[#This Row],[2021 Quant]:[2025 Quant]]), ""), "")</f>
        <v/>
      </c>
      <c r="X19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77498869683.252869</v>
      </c>
      <c r="AC192" s="140">
        <f>SUM(TblDetailBudget[[#This Row],[2021 Cost (LCU)]:[2025 Cost (LCU)]])</f>
        <v>77498869683.252869</v>
      </c>
      <c r="AD192" s="134">
        <f>IFERROR(SUM(TblDetailBudget[[#This Row],[2021 Cost (LCU)]])/FX_Rate, "")</f>
        <v>0</v>
      </c>
      <c r="AE192" s="63">
        <f>IFERROR(SUM(TblDetailBudget[[#This Row],[2022 Cost (LCU)]])/FX_Rate, "")</f>
        <v>0</v>
      </c>
      <c r="AF192" s="63">
        <f>IFERROR(SUM(TblDetailBudget[[#This Row],[2023 Cost (LCU)]])/FX_Rate, "")</f>
        <v>0</v>
      </c>
      <c r="AG192" s="63">
        <f>IFERROR(SUM(TblDetailBudget[[#This Row],[2024 Cost (LCU)]])/FX_Rate, "")</f>
        <v>0</v>
      </c>
      <c r="AH192" s="63">
        <f>IFERROR(SUM(TblDetailBudget[[#This Row],[2025 Cost (LCU)]])/FX_Rate, "")</f>
        <v>48436793.552033044</v>
      </c>
      <c r="AI192" s="125">
        <f>SUM(TblDetailBudget[[#This Row],[2021 Cost (USD)]:[2025 Cost (USD)]])</f>
        <v>48436793.552033044</v>
      </c>
      <c r="AJ192" s="180"/>
    </row>
    <row r="193" spans="2:36" ht="12.75" customHeight="1">
      <c r="B193" s="122" t="s">
        <v>71</v>
      </c>
      <c r="C1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2.2.1.1.1</v>
      </c>
      <c r="D193" s="62">
        <f>IF(TblDetailBudget[[#This Row],[Level]]="", "", COUNTIFS($B$8:TblDetailBudget[[#This Row],[Level]], Lvl1Hdr))</f>
        <v>2</v>
      </c>
      <c r="E193" s="62">
        <f>IF(TblDetailBudget[[#This Row],[Level]]="", "", COUNTIFS($B$8:TblDetailBudget[[#This Row],[Level]], Lvl2Hdr, $D$8:TblDetailBudget[[#This Row],[Lvl 1 Header]], TblDetailBudget[[#This Row],[Lvl 1 Header]]))</f>
        <v>2</v>
      </c>
      <c r="F193" s="62">
        <f>IF(TblDetailBudget[[#This Row],[Level]]="", "", COUNTIFS($B$8:TblDetailBudget[[#This Row],[Level]], Lvl3Hdr, $D$8:TblDetailBudget[[#This Row],[Lvl 1 Header]], TblDetailBudget[[#This Row],[Lvl 1 Header]], $E$8:TblDetailBudget[[#This Row],[Lvl 2 Header]], TblDetailBudget[[#This Row],[Lvl 2 Header]]))</f>
        <v>1</v>
      </c>
      <c r="G1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3" s="96" t="s">
        <v>2536</v>
      </c>
      <c r="J193" s="101"/>
      <c r="K193" s="88"/>
      <c r="L193" s="88"/>
      <c r="M193" s="62" t="str">
        <f>IF(TblDetailBudget[[#This Row],[Level]]=LvlBottomHdr, IFERROR(INDEX(TblUnitCost[Unit], MATCH(TblDetailBudget[[#This Row],[Row Title]], TblUnitCost[Resource], 0)), "Invalid Resource"), "")</f>
        <v>per SP</v>
      </c>
      <c r="N193" s="125">
        <f>IF(TblDetailBudget[[#This Row],[Level]]=LvlBottomHdr, IFERROR(INDEX(TblUnitCost[LCU], MATCH(TblDetailBudget[[#This Row],[Row Title]], TblUnitCost[Resource], 0)), "Invalid Resource"), "")</f>
        <v>327</v>
      </c>
      <c r="O193" s="128">
        <f>'States and LGAs'!CC6</f>
        <v>236999601.4778375</v>
      </c>
      <c r="P193" s="108">
        <v>1</v>
      </c>
      <c r="Q193" s="129">
        <v>1</v>
      </c>
      <c r="R193" s="108"/>
      <c r="S193" s="108"/>
      <c r="T193" s="108"/>
      <c r="U193" s="108"/>
      <c r="V193" s="108">
        <v>1</v>
      </c>
      <c r="W193" s="125">
        <f>IF(TblDetailBudget[[#This Row],[Level]]=LvlBottomHdr, IF(SUM(TblDetailBudget[[#This Row],[2021 Quant]:[2025 Quant]])&gt;0, SUM(TblDetailBudget[[#This Row],[2021 Quant]:[2025 Quant]]), ""), "")</f>
        <v>1</v>
      </c>
      <c r="X19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77498869683.252869</v>
      </c>
      <c r="AC193" s="140">
        <f>SUM(TblDetailBudget[[#This Row],[2021 Cost (LCU)]:[2025 Cost (LCU)]])</f>
        <v>77498869683.252869</v>
      </c>
      <c r="AD193" s="134">
        <f>IFERROR(SUM(TblDetailBudget[[#This Row],[2021 Cost (LCU)]])/FX_Rate, "")</f>
        <v>0</v>
      </c>
      <c r="AE193" s="63">
        <f>IFERROR(SUM(TblDetailBudget[[#This Row],[2022 Cost (LCU)]])/FX_Rate, "")</f>
        <v>0</v>
      </c>
      <c r="AF193" s="63">
        <f>IFERROR(SUM(TblDetailBudget[[#This Row],[2023 Cost (LCU)]])/FX_Rate, "")</f>
        <v>0</v>
      </c>
      <c r="AG193" s="63">
        <f>IFERROR(SUM(TblDetailBudget[[#This Row],[2024 Cost (LCU)]])/FX_Rate, "")</f>
        <v>0</v>
      </c>
      <c r="AH193" s="63">
        <f>IFERROR(SUM(TblDetailBudget[[#This Row],[2025 Cost (LCU)]])/FX_Rate, "")</f>
        <v>48436793.552033044</v>
      </c>
      <c r="AI193" s="125">
        <f>SUM(TblDetailBudget[[#This Row],[2021 Cost (USD)]:[2025 Cost (USD)]])</f>
        <v>48436793.552033044</v>
      </c>
      <c r="AJ193" s="180"/>
    </row>
    <row r="194" spans="2:36" ht="12.75" customHeight="1">
      <c r="B194" s="122" t="s">
        <v>70</v>
      </c>
      <c r="C1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2.2.1.2</v>
      </c>
      <c r="D194" s="62">
        <f>IF(TblDetailBudget[[#This Row],[Level]]="", "", COUNTIFS($B$8:TblDetailBudget[[#This Row],[Level]], Lvl1Hdr))</f>
        <v>2</v>
      </c>
      <c r="E194" s="62">
        <f>IF(TblDetailBudget[[#This Row],[Level]]="", "", COUNTIFS($B$8:TblDetailBudget[[#This Row],[Level]], Lvl2Hdr, $D$8:TblDetailBudget[[#This Row],[Lvl 1 Header]], TblDetailBudget[[#This Row],[Lvl 1 Header]]))</f>
        <v>2</v>
      </c>
      <c r="F194" s="62">
        <f>IF(TblDetailBudget[[#This Row],[Level]]="", "", COUNTIFS($B$8:TblDetailBudget[[#This Row],[Level]], Lvl3Hdr, $D$8:TblDetailBudget[[#This Row],[Lvl 1 Header]], TblDetailBudget[[#This Row],[Lvl 1 Header]], $E$8:TblDetailBudget[[#This Row],[Lvl 2 Header]], TblDetailBudget[[#This Row],[Lvl 2 Header]]))</f>
        <v>1</v>
      </c>
      <c r="G1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4" s="101" t="s">
        <v>1824</v>
      </c>
      <c r="J194" s="101"/>
      <c r="K194" s="88"/>
      <c r="L194" s="88"/>
      <c r="M194" s="62" t="str">
        <f>IF(TblDetailBudget[[#This Row],[Level]]=LvlBottomHdr, IFERROR(INDEX(TblUnitCost[Unit], MATCH(TblDetailBudget[[#This Row],[Row Title]], TblUnitCost[Resource], 0)), "Invalid Resource"), "")</f>
        <v/>
      </c>
      <c r="N194" s="125" t="str">
        <f>IF(TblDetailBudget[[#This Row],[Level]]=LvlBottomHdr, IFERROR(INDEX(TblUnitCost[LCU], MATCH(TblDetailBudget[[#This Row],[Row Title]], TblUnitCost[Resource], 0)), "Invalid Resource"), "")</f>
        <v/>
      </c>
      <c r="O194" s="128"/>
      <c r="P194" s="108"/>
      <c r="Q194" s="129"/>
      <c r="R194" s="108"/>
      <c r="S194" s="108"/>
      <c r="T194" s="108"/>
      <c r="U194" s="108"/>
      <c r="V194" s="108"/>
      <c r="W194" s="125" t="str">
        <f>IF(TblDetailBudget[[#This Row],[Level]]=LvlBottomHdr, IF(SUM(TblDetailBudget[[#This Row],[2021 Quant]:[2025 Quant]])&gt;0, SUM(TblDetailBudget[[#This Row],[2021 Quant]:[2025 Quant]]), ""), "")</f>
        <v/>
      </c>
      <c r="X19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2684962805.4134097</v>
      </c>
      <c r="AC194" s="140">
        <f>SUM(TblDetailBudget[[#This Row],[2021 Cost (LCU)]:[2025 Cost (LCU)]])</f>
        <v>2684962805.4134097</v>
      </c>
      <c r="AD194" s="134">
        <f>IFERROR(SUM(TblDetailBudget[[#This Row],[2021 Cost (LCU)]])/FX_Rate, "")</f>
        <v>0</v>
      </c>
      <c r="AE194" s="63">
        <f>IFERROR(SUM(TblDetailBudget[[#This Row],[2022 Cost (LCU)]])/FX_Rate, "")</f>
        <v>0</v>
      </c>
      <c r="AF194" s="63">
        <f>IFERROR(SUM(TblDetailBudget[[#This Row],[2023 Cost (LCU)]])/FX_Rate, "")</f>
        <v>0</v>
      </c>
      <c r="AG194" s="63">
        <f>IFERROR(SUM(TblDetailBudget[[#This Row],[2024 Cost (LCU)]])/FX_Rate, "")</f>
        <v>0</v>
      </c>
      <c r="AH194" s="63">
        <f>IFERROR(SUM(TblDetailBudget[[#This Row],[2025 Cost (LCU)]])/FX_Rate, "")</f>
        <v>1678101.7533833811</v>
      </c>
      <c r="AI194" s="125">
        <f>SUM(TblDetailBudget[[#This Row],[2021 Cost (USD)]:[2025 Cost (USD)]])</f>
        <v>1678101.7533833811</v>
      </c>
      <c r="AJ194" s="180"/>
    </row>
    <row r="195" spans="2:36" ht="12.75" customHeight="1">
      <c r="B195" s="122" t="s">
        <v>71</v>
      </c>
      <c r="C1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2.2.1.2.1</v>
      </c>
      <c r="D195" s="62">
        <f>IF(TblDetailBudget[[#This Row],[Level]]="", "", COUNTIFS($B$8:TblDetailBudget[[#This Row],[Level]], Lvl1Hdr))</f>
        <v>2</v>
      </c>
      <c r="E195" s="62">
        <f>IF(TblDetailBudget[[#This Row],[Level]]="", "", COUNTIFS($B$8:TblDetailBudget[[#This Row],[Level]], Lvl2Hdr, $D$8:TblDetailBudget[[#This Row],[Lvl 1 Header]], TblDetailBudget[[#This Row],[Lvl 1 Header]]))</f>
        <v>2</v>
      </c>
      <c r="F195" s="62">
        <f>IF(TblDetailBudget[[#This Row],[Level]]="", "", COUNTIFS($B$8:TblDetailBudget[[#This Row],[Level]], Lvl3Hdr, $D$8:TblDetailBudget[[#This Row],[Lvl 1 Header]], TblDetailBudget[[#This Row],[Lvl 1 Header]], $E$8:TblDetailBudget[[#This Row],[Lvl 2 Header]], TblDetailBudget[[#This Row],[Lvl 2 Header]]))</f>
        <v>1</v>
      </c>
      <c r="G1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5" s="96" t="s">
        <v>2535</v>
      </c>
      <c r="J195" s="101"/>
      <c r="K195" s="88"/>
      <c r="L195" s="88"/>
      <c r="M195" s="62" t="str">
        <f>IF(TblDetailBudget[[#This Row],[Level]]=LvlBottomHdr, IFERROR(INDEX(TblUnitCost[Unit], MATCH(TblDetailBudget[[#This Row],[Row Title]], TblUnitCost[Resource], 0)), "Invalid Resource"), "")</f>
        <v>per child</v>
      </c>
      <c r="N195" s="125">
        <f>IF(TblDetailBudget[[#This Row],[Level]]=LvlBottomHdr, IFERROR(INDEX(TblUnitCost[LCU], MATCH(TblDetailBudget[[#This Row],[Row Title]], TblUnitCost[Resource], 0)), "Invalid Resource"), "")</f>
        <v>130</v>
      </c>
      <c r="O195" s="128">
        <f>'States and LGAs'!AM6</f>
        <v>20653560.041641612</v>
      </c>
      <c r="P195" s="108">
        <v>1</v>
      </c>
      <c r="Q195" s="129">
        <v>1</v>
      </c>
      <c r="R195" s="108"/>
      <c r="S195" s="108"/>
      <c r="T195" s="108"/>
      <c r="U195" s="108"/>
      <c r="V195" s="108">
        <v>1</v>
      </c>
      <c r="W195" s="125">
        <f>IF(TblDetailBudget[[#This Row],[Level]]=LvlBottomHdr, IF(SUM(TblDetailBudget[[#This Row],[2021 Quant]:[2025 Quant]])&gt;0, SUM(TblDetailBudget[[#This Row],[2021 Quant]:[2025 Quant]]), ""), "")</f>
        <v>1</v>
      </c>
      <c r="X19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2684962805.4134097</v>
      </c>
      <c r="AC195" s="140">
        <f>SUM(TblDetailBudget[[#This Row],[2021 Cost (LCU)]:[2025 Cost (LCU)]])</f>
        <v>2684962805.4134097</v>
      </c>
      <c r="AD195" s="134">
        <f>IFERROR(SUM(TblDetailBudget[[#This Row],[2021 Cost (LCU)]])/FX_Rate, "")</f>
        <v>0</v>
      </c>
      <c r="AE195" s="63">
        <f>IFERROR(SUM(TblDetailBudget[[#This Row],[2022 Cost (LCU)]])/FX_Rate, "")</f>
        <v>0</v>
      </c>
      <c r="AF195" s="63">
        <f>IFERROR(SUM(TblDetailBudget[[#This Row],[2023 Cost (LCU)]])/FX_Rate, "")</f>
        <v>0</v>
      </c>
      <c r="AG195" s="63">
        <f>IFERROR(SUM(TblDetailBudget[[#This Row],[2024 Cost (LCU)]])/FX_Rate, "")</f>
        <v>0</v>
      </c>
      <c r="AH195" s="63">
        <f>IFERROR(SUM(TblDetailBudget[[#This Row],[2025 Cost (LCU)]])/FX_Rate, "")</f>
        <v>1678101.7533833811</v>
      </c>
      <c r="AI195" s="125">
        <f>SUM(TblDetailBudget[[#This Row],[2021 Cost (USD)]:[2025 Cost (USD)]])</f>
        <v>1678101.7533833811</v>
      </c>
      <c r="AJ195" s="180"/>
    </row>
    <row r="196" spans="2:36" ht="12.75" customHeight="1">
      <c r="B196" s="122" t="s">
        <v>68</v>
      </c>
      <c r="C1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v>
      </c>
      <c r="D196" s="62">
        <f>IF(TblDetailBudget[[#This Row],[Level]]="", "", COUNTIFS($B$8:TblDetailBudget[[#This Row],[Level]], Lvl1Hdr))</f>
        <v>2</v>
      </c>
      <c r="E196" s="62">
        <f>IF(TblDetailBudget[[#This Row],[Level]]="", "", COUNTIFS($B$8:TblDetailBudget[[#This Row],[Level]], Lvl2Hdr, $D$8:TblDetailBudget[[#This Row],[Lvl 1 Header]], TblDetailBudget[[#This Row],[Lvl 1 Header]]))</f>
        <v>3</v>
      </c>
      <c r="F196" s="62">
        <f>IF(TblDetailBudget[[#This Row],[Level]]="", "", COUNTIFS($B$8:TblDetailBudget[[#This Row],[Level]], Lvl3Hdr, $D$8:TblDetailBudget[[#This Row],[Lvl 1 Header]], TblDetailBudget[[#This Row],[Lvl 1 Header]], $E$8:TblDetailBudget[[#This Row],[Lvl 2 Header]], TblDetailBudget[[#This Row],[Lvl 2 Header]]))</f>
        <v>0</v>
      </c>
      <c r="G1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6" s="185" t="s">
        <v>1825</v>
      </c>
      <c r="J196" s="101"/>
      <c r="K196" s="88"/>
      <c r="L196" s="88"/>
      <c r="M196" s="62" t="str">
        <f>IF(TblDetailBudget[[#This Row],[Level]]=LvlBottomHdr, IFERROR(INDEX(TblUnitCost[Unit], MATCH(TblDetailBudget[[#This Row],[Row Title]], TblUnitCost[Resource], 0)), "Invalid Resource"), "")</f>
        <v/>
      </c>
      <c r="N196" s="125" t="str">
        <f>IF(TblDetailBudget[[#This Row],[Level]]=LvlBottomHdr, IFERROR(INDEX(TblUnitCost[LCU], MATCH(TblDetailBudget[[#This Row],[Row Title]], TblUnitCost[Resource], 0)), "Invalid Resource"), "")</f>
        <v/>
      </c>
      <c r="O196" s="128"/>
      <c r="P196" s="108"/>
      <c r="Q196" s="129"/>
      <c r="R196" s="108"/>
      <c r="S196" s="108"/>
      <c r="T196" s="108"/>
      <c r="U196" s="108"/>
      <c r="V196" s="108"/>
      <c r="W196" s="125" t="str">
        <f>IF(TblDetailBudget[[#This Row],[Level]]=LvlBottomHdr, IF(SUM(TblDetailBudget[[#This Row],[2021 Quant]:[2025 Quant]])&gt;0, SUM(TblDetailBudget[[#This Row],[2021 Quant]:[2025 Quant]]), ""), "")</f>
        <v/>
      </c>
      <c r="X1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23415675022.975765</v>
      </c>
      <c r="AC196" s="140">
        <f>SUM(TblDetailBudget[[#This Row],[2021 Cost (LCU)]:[2025 Cost (LCU)]])</f>
        <v>23415675022.975765</v>
      </c>
      <c r="AD196" s="134">
        <f>IFERROR(SUM(TblDetailBudget[[#This Row],[2021 Cost (LCU)]])/FX_Rate, "")</f>
        <v>0</v>
      </c>
      <c r="AE196" s="63">
        <f>IFERROR(SUM(TblDetailBudget[[#This Row],[2022 Cost (LCU)]])/FX_Rate, "")</f>
        <v>0</v>
      </c>
      <c r="AF196" s="63">
        <f>IFERROR(SUM(TblDetailBudget[[#This Row],[2023 Cost (LCU)]])/FX_Rate, "")</f>
        <v>0</v>
      </c>
      <c r="AG196" s="63">
        <f>IFERROR(SUM(TblDetailBudget[[#This Row],[2024 Cost (LCU)]])/FX_Rate, "")</f>
        <v>0</v>
      </c>
      <c r="AH196" s="63">
        <f>IFERROR(SUM(TblDetailBudget[[#This Row],[2025 Cost (LCU)]])/FX_Rate, "")</f>
        <v>14634796.889359854</v>
      </c>
      <c r="AI196" s="125">
        <f>SUM(TblDetailBudget[[#This Row],[2021 Cost (USD)]:[2025 Cost (USD)]])</f>
        <v>14634796.889359854</v>
      </c>
      <c r="AJ196" s="180"/>
    </row>
    <row r="197" spans="2:36" ht="12.75" customHeight="1">
      <c r="B197" s="122" t="s">
        <v>69</v>
      </c>
      <c r="C1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v>
      </c>
      <c r="D197" s="62">
        <f>IF(TblDetailBudget[[#This Row],[Level]]="", "", COUNTIFS($B$8:TblDetailBudget[[#This Row],[Level]], Lvl1Hdr))</f>
        <v>2</v>
      </c>
      <c r="E197" s="62">
        <f>IF(TblDetailBudget[[#This Row],[Level]]="", "", COUNTIFS($B$8:TblDetailBudget[[#This Row],[Level]], Lvl2Hdr, $D$8:TblDetailBudget[[#This Row],[Lvl 1 Header]], TblDetailBudget[[#This Row],[Lvl 1 Header]]))</f>
        <v>3</v>
      </c>
      <c r="F197" s="62">
        <f>IF(TblDetailBudget[[#This Row],[Level]]="", "", COUNTIFS($B$8:TblDetailBudget[[#This Row],[Level]], Lvl3Hdr, $D$8:TblDetailBudget[[#This Row],[Lvl 1 Header]], TblDetailBudget[[#This Row],[Lvl 1 Header]], $E$8:TblDetailBudget[[#This Row],[Lvl 2 Header]], TblDetailBudget[[#This Row],[Lvl 2 Header]]))</f>
        <v>1</v>
      </c>
      <c r="G1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7" s="185" t="s">
        <v>1826</v>
      </c>
      <c r="J197" s="101"/>
      <c r="K197" s="88"/>
      <c r="L197" s="88"/>
      <c r="M197" s="62" t="str">
        <f>IF(TblDetailBudget[[#This Row],[Level]]=LvlBottomHdr, IFERROR(INDEX(TblUnitCost[Unit], MATCH(TblDetailBudget[[#This Row],[Row Title]], TblUnitCost[Resource], 0)), "Invalid Resource"), "")</f>
        <v/>
      </c>
      <c r="N197" s="125" t="str">
        <f>IF(TblDetailBudget[[#This Row],[Level]]=LvlBottomHdr, IFERROR(INDEX(TblUnitCost[LCU], MATCH(TblDetailBudget[[#This Row],[Row Title]], TblUnitCost[Resource], 0)), "Invalid Resource"), "")</f>
        <v/>
      </c>
      <c r="O197" s="128"/>
      <c r="P197" s="108"/>
      <c r="Q197" s="129"/>
      <c r="R197" s="108"/>
      <c r="S197" s="108"/>
      <c r="T197" s="108"/>
      <c r="U197" s="108"/>
      <c r="V197" s="108"/>
      <c r="W197" s="125" t="str">
        <f>IF(TblDetailBudget[[#This Row],[Level]]=LvlBottomHdr, IF(SUM(TblDetailBudget[[#This Row],[2021 Quant]:[2025 Quant]])&gt;0, SUM(TblDetailBudget[[#This Row],[2021 Quant]:[2025 Quant]]), ""), "")</f>
        <v/>
      </c>
      <c r="X19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23415675022.975765</v>
      </c>
      <c r="AC197" s="140">
        <f>SUM(TblDetailBudget[[#This Row],[2021 Cost (LCU)]:[2025 Cost (LCU)]])</f>
        <v>23415675022.975765</v>
      </c>
      <c r="AD197" s="134">
        <f>IFERROR(SUM(TblDetailBudget[[#This Row],[2021 Cost (LCU)]])/FX_Rate, "")</f>
        <v>0</v>
      </c>
      <c r="AE197" s="63">
        <f>IFERROR(SUM(TblDetailBudget[[#This Row],[2022 Cost (LCU)]])/FX_Rate, "")</f>
        <v>0</v>
      </c>
      <c r="AF197" s="63">
        <f>IFERROR(SUM(TblDetailBudget[[#This Row],[2023 Cost (LCU)]])/FX_Rate, "")</f>
        <v>0</v>
      </c>
      <c r="AG197" s="63">
        <f>IFERROR(SUM(TblDetailBudget[[#This Row],[2024 Cost (LCU)]])/FX_Rate, "")</f>
        <v>0</v>
      </c>
      <c r="AH197" s="63">
        <f>IFERROR(SUM(TblDetailBudget[[#This Row],[2025 Cost (LCU)]])/FX_Rate, "")</f>
        <v>14634796.889359854</v>
      </c>
      <c r="AI197" s="125">
        <f>SUM(TblDetailBudget[[#This Row],[2021 Cost (USD)]:[2025 Cost (USD)]])</f>
        <v>14634796.889359854</v>
      </c>
      <c r="AJ197" s="180"/>
    </row>
    <row r="198" spans="2:36" ht="12.75" customHeight="1">
      <c r="B198" s="122" t="s">
        <v>70</v>
      </c>
      <c r="C1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2.3.1.1</v>
      </c>
      <c r="D198" s="62">
        <f>IF(TblDetailBudget[[#This Row],[Level]]="", "", COUNTIFS($B$8:TblDetailBudget[[#This Row],[Level]], Lvl1Hdr))</f>
        <v>2</v>
      </c>
      <c r="E198" s="62">
        <f>IF(TblDetailBudget[[#This Row],[Level]]="", "", COUNTIFS($B$8:TblDetailBudget[[#This Row],[Level]], Lvl2Hdr, $D$8:TblDetailBudget[[#This Row],[Lvl 1 Header]], TblDetailBudget[[#This Row],[Lvl 1 Header]]))</f>
        <v>3</v>
      </c>
      <c r="F198" s="62">
        <f>IF(TblDetailBudget[[#This Row],[Level]]="", "", COUNTIFS($B$8:TblDetailBudget[[#This Row],[Level]], Lvl3Hdr, $D$8:TblDetailBudget[[#This Row],[Lvl 1 Header]], TblDetailBudget[[#This Row],[Lvl 1 Header]], $E$8:TblDetailBudget[[#This Row],[Lvl 2 Header]], TblDetailBudget[[#This Row],[Lvl 2 Header]]))</f>
        <v>1</v>
      </c>
      <c r="G19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8" s="101" t="s">
        <v>1827</v>
      </c>
      <c r="J198" s="101"/>
      <c r="K198" s="88"/>
      <c r="L198" s="88"/>
      <c r="M198" s="62" t="str">
        <f>IF(TblDetailBudget[[#This Row],[Level]]=LvlBottomHdr, IFERROR(INDEX(TblUnitCost[Unit], MATCH(TblDetailBudget[[#This Row],[Row Title]], TblUnitCost[Resource], 0)), "Invalid Resource"), "")</f>
        <v/>
      </c>
      <c r="N198" s="125" t="str">
        <f>IF(TblDetailBudget[[#This Row],[Level]]=LvlBottomHdr, IFERROR(INDEX(TblUnitCost[LCU], MATCH(TblDetailBudget[[#This Row],[Row Title]], TblUnitCost[Resource], 0)), "Invalid Resource"), "")</f>
        <v/>
      </c>
      <c r="O198" s="128"/>
      <c r="P198" s="108"/>
      <c r="Q198" s="129"/>
      <c r="R198" s="108"/>
      <c r="S198" s="108"/>
      <c r="T198" s="108"/>
      <c r="U198" s="108"/>
      <c r="V198" s="108"/>
      <c r="W198" s="125" t="str">
        <f>IF(TblDetailBudget[[#This Row],[Level]]=LvlBottomHdr, IF(SUM(TblDetailBudget[[#This Row],[2021 Quant]:[2025 Quant]])&gt;0, SUM(TblDetailBudget[[#This Row],[2021 Quant]:[2025 Quant]]), ""), "")</f>
        <v/>
      </c>
      <c r="X19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18732540018.380611</v>
      </c>
      <c r="AC198" s="140">
        <f>SUM(TblDetailBudget[[#This Row],[2021 Cost (LCU)]:[2025 Cost (LCU)]])</f>
        <v>18732540018.380611</v>
      </c>
      <c r="AD198" s="134">
        <f>IFERROR(SUM(TblDetailBudget[[#This Row],[2021 Cost (LCU)]])/FX_Rate, "")</f>
        <v>0</v>
      </c>
      <c r="AE198" s="63">
        <f>IFERROR(SUM(TblDetailBudget[[#This Row],[2022 Cost (LCU)]])/FX_Rate, "")</f>
        <v>0</v>
      </c>
      <c r="AF198" s="63">
        <f>IFERROR(SUM(TblDetailBudget[[#This Row],[2023 Cost (LCU)]])/FX_Rate, "")</f>
        <v>0</v>
      </c>
      <c r="AG198" s="63">
        <f>IFERROR(SUM(TblDetailBudget[[#This Row],[2024 Cost (LCU)]])/FX_Rate, "")</f>
        <v>0</v>
      </c>
      <c r="AH198" s="63">
        <f>IFERROR(SUM(TblDetailBudget[[#This Row],[2025 Cost (LCU)]])/FX_Rate, "")</f>
        <v>11707837.511487883</v>
      </c>
      <c r="AI198" s="125">
        <f>SUM(TblDetailBudget[[#This Row],[2021 Cost (USD)]:[2025 Cost (USD)]])</f>
        <v>11707837.511487883</v>
      </c>
      <c r="AJ198" s="180"/>
    </row>
    <row r="199" spans="2:36" ht="12.75" customHeight="1">
      <c r="B199" s="122" t="s">
        <v>71</v>
      </c>
      <c r="C1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2.3.1.1.1</v>
      </c>
      <c r="D199" s="62">
        <f>IF(TblDetailBudget[[#This Row],[Level]]="", "", COUNTIFS($B$8:TblDetailBudget[[#This Row],[Level]], Lvl1Hdr))</f>
        <v>2</v>
      </c>
      <c r="E199" s="62">
        <f>IF(TblDetailBudget[[#This Row],[Level]]="", "", COUNTIFS($B$8:TblDetailBudget[[#This Row],[Level]], Lvl2Hdr, $D$8:TblDetailBudget[[#This Row],[Lvl 1 Header]], TblDetailBudget[[#This Row],[Lvl 1 Header]]))</f>
        <v>3</v>
      </c>
      <c r="F199" s="62">
        <f>IF(TblDetailBudget[[#This Row],[Level]]="", "", COUNTIFS($B$8:TblDetailBudget[[#This Row],[Level]], Lvl3Hdr, $D$8:TblDetailBudget[[#This Row],[Lvl 1 Header]], TblDetailBudget[[#This Row],[Lvl 1 Header]], $E$8:TblDetailBudget[[#This Row],[Lvl 2 Header]], TblDetailBudget[[#This Row],[Lvl 2 Header]]))</f>
        <v>1</v>
      </c>
      <c r="G19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9" s="96" t="s">
        <v>2285</v>
      </c>
      <c r="J199" s="101"/>
      <c r="K199" s="88"/>
      <c r="L199" s="88"/>
      <c r="M199" s="62" t="str">
        <f>IF(TblDetailBudget[[#This Row],[Level]]=LvlBottomHdr, IFERROR(INDEX(TblUnitCost[Unit], MATCH(TblDetailBudget[[#This Row],[Row Title]], TblUnitCost[Resource], 0)), "Invalid Resource"), "")</f>
        <v>per SP</v>
      </c>
      <c r="N199" s="125">
        <f>IF(TblDetailBudget[[#This Row],[Level]]=LvlBottomHdr, IFERROR(INDEX(TblUnitCost[LCU], MATCH(TblDetailBudget[[#This Row],[Row Title]], TblUnitCost[Resource], 0)), "Invalid Resource"), "")</f>
        <v>808.92950399999995</v>
      </c>
      <c r="O199" s="128">
        <f>'States and LGAs'!CE6</f>
        <v>23157197.167060696</v>
      </c>
      <c r="P199" s="108">
        <v>1</v>
      </c>
      <c r="Q199" s="129">
        <v>1</v>
      </c>
      <c r="R199" s="108"/>
      <c r="S199" s="108"/>
      <c r="T199" s="108"/>
      <c r="U199" s="108"/>
      <c r="V199" s="108">
        <v>1</v>
      </c>
      <c r="W199" s="125">
        <f>IF(TblDetailBudget[[#This Row],[Level]]=LvlBottomHdr, IF(SUM(TblDetailBudget[[#This Row],[2021 Quant]:[2025 Quant]])&gt;0, SUM(TblDetailBudget[[#This Row],[2021 Quant]:[2025 Quant]]), ""), "")</f>
        <v>1</v>
      </c>
      <c r="X19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18732540018.380611</v>
      </c>
      <c r="AC199" s="140">
        <f>SUM(TblDetailBudget[[#This Row],[2021 Cost (LCU)]:[2025 Cost (LCU)]])</f>
        <v>18732540018.380611</v>
      </c>
      <c r="AD199" s="134">
        <f>IFERROR(SUM(TblDetailBudget[[#This Row],[2021 Cost (LCU)]])/FX_Rate, "")</f>
        <v>0</v>
      </c>
      <c r="AE199" s="63">
        <f>IFERROR(SUM(TblDetailBudget[[#This Row],[2022 Cost (LCU)]])/FX_Rate, "")</f>
        <v>0</v>
      </c>
      <c r="AF199" s="63">
        <f>IFERROR(SUM(TblDetailBudget[[#This Row],[2023 Cost (LCU)]])/FX_Rate, "")</f>
        <v>0</v>
      </c>
      <c r="AG199" s="63">
        <f>IFERROR(SUM(TblDetailBudget[[#This Row],[2024 Cost (LCU)]])/FX_Rate, "")</f>
        <v>0</v>
      </c>
      <c r="AH199" s="63">
        <f>IFERROR(SUM(TblDetailBudget[[#This Row],[2025 Cost (LCU)]])/FX_Rate, "")</f>
        <v>11707837.511487883</v>
      </c>
      <c r="AI199" s="125">
        <f>SUM(TblDetailBudget[[#This Row],[2021 Cost (USD)]:[2025 Cost (USD)]])</f>
        <v>11707837.511487883</v>
      </c>
      <c r="AJ199" s="180"/>
    </row>
    <row r="200" spans="2:36" ht="12.75" customHeight="1">
      <c r="B200" s="122" t="s">
        <v>70</v>
      </c>
      <c r="C2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2.3.1.2</v>
      </c>
      <c r="D200" s="62">
        <f>IF(TblDetailBudget[[#This Row],[Level]]="", "", COUNTIFS($B$8:TblDetailBudget[[#This Row],[Level]], Lvl1Hdr))</f>
        <v>2</v>
      </c>
      <c r="E200" s="62">
        <f>IF(TblDetailBudget[[#This Row],[Level]]="", "", COUNTIFS($B$8:TblDetailBudget[[#This Row],[Level]], Lvl2Hdr, $D$8:TblDetailBudget[[#This Row],[Lvl 1 Header]], TblDetailBudget[[#This Row],[Lvl 1 Header]]))</f>
        <v>3</v>
      </c>
      <c r="F200" s="62">
        <f>IF(TblDetailBudget[[#This Row],[Level]]="", "", COUNTIFS($B$8:TblDetailBudget[[#This Row],[Level]], Lvl3Hdr, $D$8:TblDetailBudget[[#This Row],[Lvl 1 Header]], TblDetailBudget[[#This Row],[Lvl 1 Header]], $E$8:TblDetailBudget[[#This Row],[Lvl 2 Header]], TblDetailBudget[[#This Row],[Lvl 2 Header]]))</f>
        <v>1</v>
      </c>
      <c r="G20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0" s="101" t="s">
        <v>1828</v>
      </c>
      <c r="J200" s="101"/>
      <c r="K200" s="88"/>
      <c r="L200" s="88"/>
      <c r="M200" s="62" t="str">
        <f>IF(TblDetailBudget[[#This Row],[Level]]=LvlBottomHdr, IFERROR(INDEX(TblUnitCost[Unit], MATCH(TblDetailBudget[[#This Row],[Row Title]], TblUnitCost[Resource], 0)), "Invalid Resource"), "")</f>
        <v/>
      </c>
      <c r="N200" s="125" t="str">
        <f>IF(TblDetailBudget[[#This Row],[Level]]=LvlBottomHdr, IFERROR(INDEX(TblUnitCost[LCU], MATCH(TblDetailBudget[[#This Row],[Row Title]], TblUnitCost[Resource], 0)), "Invalid Resource"), "")</f>
        <v/>
      </c>
      <c r="O200" s="128"/>
      <c r="P200" s="108"/>
      <c r="Q200" s="129"/>
      <c r="R200" s="108"/>
      <c r="S200" s="108"/>
      <c r="T200" s="108"/>
      <c r="U200" s="108"/>
      <c r="V200" s="108"/>
      <c r="W200" s="125" t="str">
        <f>IF(TblDetailBudget[[#This Row],[Level]]=LvlBottomHdr, IF(SUM(TblDetailBudget[[#This Row],[2021 Quant]:[2025 Quant]])&gt;0, SUM(TblDetailBudget[[#This Row],[2021 Quant]:[2025 Quant]]), ""), "")</f>
        <v/>
      </c>
      <c r="X20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4683135004.5951529</v>
      </c>
      <c r="AC200" s="140">
        <f>SUM(TblDetailBudget[[#This Row],[2021 Cost (LCU)]:[2025 Cost (LCU)]])</f>
        <v>4683135004.5951529</v>
      </c>
      <c r="AD200" s="134">
        <f>IFERROR(SUM(TblDetailBudget[[#This Row],[2021 Cost (LCU)]])/FX_Rate, "")</f>
        <v>0</v>
      </c>
      <c r="AE200" s="63">
        <f>IFERROR(SUM(TblDetailBudget[[#This Row],[2022 Cost (LCU)]])/FX_Rate, "")</f>
        <v>0</v>
      </c>
      <c r="AF200" s="63">
        <f>IFERROR(SUM(TblDetailBudget[[#This Row],[2023 Cost (LCU)]])/FX_Rate, "")</f>
        <v>0</v>
      </c>
      <c r="AG200" s="63">
        <f>IFERROR(SUM(TblDetailBudget[[#This Row],[2024 Cost (LCU)]])/FX_Rate, "")</f>
        <v>0</v>
      </c>
      <c r="AH200" s="63">
        <f>IFERROR(SUM(TblDetailBudget[[#This Row],[2025 Cost (LCU)]])/FX_Rate, "")</f>
        <v>2926959.3778719706</v>
      </c>
      <c r="AI200" s="125">
        <f>SUM(TblDetailBudget[[#This Row],[2021 Cost (USD)]:[2025 Cost (USD)]])</f>
        <v>2926959.3778719706</v>
      </c>
      <c r="AJ200" s="180"/>
    </row>
    <row r="201" spans="2:36" ht="12.75" customHeight="1">
      <c r="B201" s="122" t="s">
        <v>71</v>
      </c>
      <c r="C2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2.3.1.2.1</v>
      </c>
      <c r="D201" s="62">
        <f>IF(TblDetailBudget[[#This Row],[Level]]="", "", COUNTIFS($B$8:TblDetailBudget[[#This Row],[Level]], Lvl1Hdr))</f>
        <v>2</v>
      </c>
      <c r="E201" s="62">
        <f>IF(TblDetailBudget[[#This Row],[Level]]="", "", COUNTIFS($B$8:TblDetailBudget[[#This Row],[Level]], Lvl2Hdr, $D$8:TblDetailBudget[[#This Row],[Lvl 1 Header]], TblDetailBudget[[#This Row],[Lvl 1 Header]]))</f>
        <v>3</v>
      </c>
      <c r="F201" s="62">
        <f>IF(TblDetailBudget[[#This Row],[Level]]="", "", COUNTIFS($B$8:TblDetailBudget[[#This Row],[Level]], Lvl3Hdr, $D$8:TblDetailBudget[[#This Row],[Lvl 1 Header]], TblDetailBudget[[#This Row],[Lvl 1 Header]], $E$8:TblDetailBudget[[#This Row],[Lvl 2 Header]], TblDetailBudget[[#This Row],[Lvl 2 Header]]))</f>
        <v>1</v>
      </c>
      <c r="G20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1" s="96" t="s">
        <v>2588</v>
      </c>
      <c r="J201" s="101"/>
      <c r="K201" s="88"/>
      <c r="L201" s="88"/>
      <c r="M201" s="62" t="str">
        <f>IF(TblDetailBudget[[#This Row],[Level]]=LvlBottomHdr, IFERROR(INDEX(TblUnitCost[Unit], MATCH(TblDetailBudget[[#This Row],[Row Title]], TblUnitCost[Resource], 0)), "Invalid Resource"), "")</f>
        <v>per SP</v>
      </c>
      <c r="N201" s="125">
        <f>IF(TblDetailBudget[[#This Row],[Level]]=LvlBottomHdr, IFERROR(INDEX(TblUnitCost[LCU], MATCH(TblDetailBudget[[#This Row],[Row Title]], TblUnitCost[Resource], 0)), "Invalid Resource"), "")</f>
        <v>202.23237599999999</v>
      </c>
      <c r="O201" s="128">
        <f>'States and LGAs'!CE6</f>
        <v>23157197.167060696</v>
      </c>
      <c r="P201" s="108">
        <v>1</v>
      </c>
      <c r="Q201" s="129">
        <v>1</v>
      </c>
      <c r="R201" s="108"/>
      <c r="S201" s="108"/>
      <c r="T201" s="108"/>
      <c r="U201" s="108"/>
      <c r="V201" s="108">
        <v>1</v>
      </c>
      <c r="W201" s="125">
        <f>IF(TblDetailBudget[[#This Row],[Level]]=LvlBottomHdr, IF(SUM(TblDetailBudget[[#This Row],[2021 Quant]:[2025 Quant]])&gt;0, SUM(TblDetailBudget[[#This Row],[2021 Quant]:[2025 Quant]]), ""), "")</f>
        <v>1</v>
      </c>
      <c r="X20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4683135004.5951529</v>
      </c>
      <c r="AC201" s="140">
        <f>SUM(TblDetailBudget[[#This Row],[2021 Cost (LCU)]:[2025 Cost (LCU)]])</f>
        <v>4683135004.5951529</v>
      </c>
      <c r="AD201" s="134">
        <f>IFERROR(SUM(TblDetailBudget[[#This Row],[2021 Cost (LCU)]])/FX_Rate, "")</f>
        <v>0</v>
      </c>
      <c r="AE201" s="63">
        <f>IFERROR(SUM(TblDetailBudget[[#This Row],[2022 Cost (LCU)]])/FX_Rate, "")</f>
        <v>0</v>
      </c>
      <c r="AF201" s="63">
        <f>IFERROR(SUM(TblDetailBudget[[#This Row],[2023 Cost (LCU)]])/FX_Rate, "")</f>
        <v>0</v>
      </c>
      <c r="AG201" s="63">
        <f>IFERROR(SUM(TblDetailBudget[[#This Row],[2024 Cost (LCU)]])/FX_Rate, "")</f>
        <v>0</v>
      </c>
      <c r="AH201" s="63">
        <f>IFERROR(SUM(TblDetailBudget[[#This Row],[2025 Cost (LCU)]])/FX_Rate, "")</f>
        <v>2926959.3778719706</v>
      </c>
      <c r="AI201" s="125">
        <f>SUM(TblDetailBudget[[#This Row],[2021 Cost (USD)]:[2025 Cost (USD)]])</f>
        <v>2926959.3778719706</v>
      </c>
      <c r="AJ201" s="180"/>
    </row>
    <row r="202" spans="2:36" ht="12.75" customHeight="1">
      <c r="B202" s="122" t="s">
        <v>68</v>
      </c>
      <c r="C2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v>
      </c>
      <c r="D202" s="62">
        <f>IF(TblDetailBudget[[#This Row],[Level]]="", "", COUNTIFS($B$8:TblDetailBudget[[#This Row],[Level]], Lvl1Hdr))</f>
        <v>2</v>
      </c>
      <c r="E202" s="62">
        <f>IF(TblDetailBudget[[#This Row],[Level]]="", "", COUNTIFS($B$8:TblDetailBudget[[#This Row],[Level]], Lvl2Hdr, $D$8:TblDetailBudget[[#This Row],[Lvl 1 Header]], TblDetailBudget[[#This Row],[Lvl 1 Header]]))</f>
        <v>4</v>
      </c>
      <c r="F202" s="62">
        <f>IF(TblDetailBudget[[#This Row],[Level]]="", "", COUNTIFS($B$8:TblDetailBudget[[#This Row],[Level]], Lvl3Hdr, $D$8:TblDetailBudget[[#This Row],[Lvl 1 Header]], TblDetailBudget[[#This Row],[Lvl 1 Header]], $E$8:TblDetailBudget[[#This Row],[Lvl 2 Header]], TblDetailBudget[[#This Row],[Lvl 2 Header]]))</f>
        <v>0</v>
      </c>
      <c r="G20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2" s="185" t="s">
        <v>1829</v>
      </c>
      <c r="J202" s="101"/>
      <c r="K202" s="88"/>
      <c r="L202" s="88"/>
      <c r="M202" s="62" t="str">
        <f>IF(TblDetailBudget[[#This Row],[Level]]=LvlBottomHdr, IFERROR(INDEX(TblUnitCost[Unit], MATCH(TblDetailBudget[[#This Row],[Row Title]], TblUnitCost[Resource], 0)), "Invalid Resource"), "")</f>
        <v/>
      </c>
      <c r="N202" s="125" t="str">
        <f>IF(TblDetailBudget[[#This Row],[Level]]=LvlBottomHdr, IFERROR(INDEX(TblUnitCost[LCU], MATCH(TblDetailBudget[[#This Row],[Row Title]], TblUnitCost[Resource], 0)), "Invalid Resource"), "")</f>
        <v/>
      </c>
      <c r="O202" s="128"/>
      <c r="P202" s="108"/>
      <c r="Q202" s="129"/>
      <c r="R202" s="108"/>
      <c r="S202" s="108"/>
      <c r="T202" s="108"/>
      <c r="U202" s="108"/>
      <c r="V202" s="108"/>
      <c r="W202" s="125" t="str">
        <f>IF(TblDetailBudget[[#This Row],[Level]]=LvlBottomHdr, IF(SUM(TblDetailBudget[[#This Row],[2021 Quant]:[2025 Quant]])&gt;0, SUM(TblDetailBudget[[#This Row],[2021 Quant]:[2025 Quant]]), ""), "")</f>
        <v/>
      </c>
      <c r="X20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254401604268.32867</v>
      </c>
      <c r="AC202" s="140">
        <f>SUM(TblDetailBudget[[#This Row],[2021 Cost (LCU)]:[2025 Cost (LCU)]])</f>
        <v>254401604268.32867</v>
      </c>
      <c r="AD202" s="134">
        <f>IFERROR(SUM(TblDetailBudget[[#This Row],[2021 Cost (LCU)]])/FX_Rate, "")</f>
        <v>0</v>
      </c>
      <c r="AE202" s="63">
        <f>IFERROR(SUM(TblDetailBudget[[#This Row],[2022 Cost (LCU)]])/FX_Rate, "")</f>
        <v>0</v>
      </c>
      <c r="AF202" s="63">
        <f>IFERROR(SUM(TblDetailBudget[[#This Row],[2023 Cost (LCU)]])/FX_Rate, "")</f>
        <v>0</v>
      </c>
      <c r="AG202" s="63">
        <f>IFERROR(SUM(TblDetailBudget[[#This Row],[2024 Cost (LCU)]])/FX_Rate, "")</f>
        <v>0</v>
      </c>
      <c r="AH202" s="63">
        <f>IFERROR(SUM(TblDetailBudget[[#This Row],[2025 Cost (LCU)]])/FX_Rate, "")</f>
        <v>159001002.66770542</v>
      </c>
      <c r="AI202" s="125">
        <f>SUM(TblDetailBudget[[#This Row],[2021 Cost (USD)]:[2025 Cost (USD)]])</f>
        <v>159001002.66770542</v>
      </c>
      <c r="AJ202" s="180"/>
    </row>
    <row r="203" spans="2:36" ht="12.75" customHeight="1">
      <c r="B203" s="122" t="s">
        <v>69</v>
      </c>
      <c r="C2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v>
      </c>
      <c r="D203" s="62">
        <f>IF(TblDetailBudget[[#This Row],[Level]]="", "", COUNTIFS($B$8:TblDetailBudget[[#This Row],[Level]], Lvl1Hdr))</f>
        <v>2</v>
      </c>
      <c r="E203" s="62">
        <f>IF(TblDetailBudget[[#This Row],[Level]]="", "", COUNTIFS($B$8:TblDetailBudget[[#This Row],[Level]], Lvl2Hdr, $D$8:TblDetailBudget[[#This Row],[Lvl 1 Header]], TblDetailBudget[[#This Row],[Lvl 1 Header]]))</f>
        <v>4</v>
      </c>
      <c r="F203" s="62">
        <f>IF(TblDetailBudget[[#This Row],[Level]]="", "", COUNTIFS($B$8:TblDetailBudget[[#This Row],[Level]], Lvl3Hdr, $D$8:TblDetailBudget[[#This Row],[Lvl 1 Header]], TblDetailBudget[[#This Row],[Lvl 1 Header]], $E$8:TblDetailBudget[[#This Row],[Lvl 2 Header]], TblDetailBudget[[#This Row],[Lvl 2 Header]]))</f>
        <v>1</v>
      </c>
      <c r="G20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3" s="185" t="s">
        <v>1830</v>
      </c>
      <c r="J203" s="101"/>
      <c r="K203" s="88"/>
      <c r="L203" s="88"/>
      <c r="M203" s="62" t="str">
        <f>IF(TblDetailBudget[[#This Row],[Level]]=LvlBottomHdr, IFERROR(INDEX(TblUnitCost[Unit], MATCH(TblDetailBudget[[#This Row],[Row Title]], TblUnitCost[Resource], 0)), "Invalid Resource"), "")</f>
        <v/>
      </c>
      <c r="N203" s="125" t="str">
        <f>IF(TblDetailBudget[[#This Row],[Level]]=LvlBottomHdr, IFERROR(INDEX(TblUnitCost[LCU], MATCH(TblDetailBudget[[#This Row],[Row Title]], TblUnitCost[Resource], 0)), "Invalid Resource"), "")</f>
        <v/>
      </c>
      <c r="O203" s="128"/>
      <c r="P203" s="108"/>
      <c r="Q203" s="129"/>
      <c r="R203" s="108"/>
      <c r="S203" s="108"/>
      <c r="T203" s="108"/>
      <c r="U203" s="108"/>
      <c r="V203" s="108"/>
      <c r="W203" s="125" t="str">
        <f>IF(TblDetailBudget[[#This Row],[Level]]=LvlBottomHdr, IF(SUM(TblDetailBudget[[#This Row],[2021 Quant]:[2025 Quant]])&gt;0, SUM(TblDetailBudget[[#This Row],[2021 Quant]:[2025 Quant]]), ""), "")</f>
        <v/>
      </c>
      <c r="X20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56265215634.41497</v>
      </c>
      <c r="AC203" s="140">
        <f>SUM(TblDetailBudget[[#This Row],[2021 Cost (LCU)]:[2025 Cost (LCU)]])</f>
        <v>56265215634.41497</v>
      </c>
      <c r="AD203" s="134">
        <f>IFERROR(SUM(TblDetailBudget[[#This Row],[2021 Cost (LCU)]])/FX_Rate, "")</f>
        <v>0</v>
      </c>
      <c r="AE203" s="63">
        <f>IFERROR(SUM(TblDetailBudget[[#This Row],[2022 Cost (LCU)]])/FX_Rate, "")</f>
        <v>0</v>
      </c>
      <c r="AF203" s="63">
        <f>IFERROR(SUM(TblDetailBudget[[#This Row],[2023 Cost (LCU)]])/FX_Rate, "")</f>
        <v>0</v>
      </c>
      <c r="AG203" s="63">
        <f>IFERROR(SUM(TblDetailBudget[[#This Row],[2024 Cost (LCU)]])/FX_Rate, "")</f>
        <v>0</v>
      </c>
      <c r="AH203" s="63">
        <f>IFERROR(SUM(TblDetailBudget[[#This Row],[2025 Cost (LCU)]])/FX_Rate, "")</f>
        <v>35165759.771509357</v>
      </c>
      <c r="AI203" s="125">
        <f>SUM(TblDetailBudget[[#This Row],[2021 Cost (USD)]:[2025 Cost (USD)]])</f>
        <v>35165759.771509357</v>
      </c>
      <c r="AJ203" s="180"/>
    </row>
    <row r="204" spans="2:36" ht="12.75" customHeight="1">
      <c r="B204" s="122" t="s">
        <v>70</v>
      </c>
      <c r="C2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2.4.1.1</v>
      </c>
      <c r="D204" s="62">
        <f>IF(TblDetailBudget[[#This Row],[Level]]="", "", COUNTIFS($B$8:TblDetailBudget[[#This Row],[Level]], Lvl1Hdr))</f>
        <v>2</v>
      </c>
      <c r="E204" s="62">
        <f>IF(TblDetailBudget[[#This Row],[Level]]="", "", COUNTIFS($B$8:TblDetailBudget[[#This Row],[Level]], Lvl2Hdr, $D$8:TblDetailBudget[[#This Row],[Lvl 1 Header]], TblDetailBudget[[#This Row],[Lvl 1 Header]]))</f>
        <v>4</v>
      </c>
      <c r="F204" s="62">
        <f>IF(TblDetailBudget[[#This Row],[Level]]="", "", COUNTIFS($B$8:TblDetailBudget[[#This Row],[Level]], Lvl3Hdr, $D$8:TblDetailBudget[[#This Row],[Lvl 1 Header]], TblDetailBudget[[#This Row],[Lvl 1 Header]], $E$8:TblDetailBudget[[#This Row],[Lvl 2 Header]], TblDetailBudget[[#This Row],[Lvl 2 Header]]))</f>
        <v>1</v>
      </c>
      <c r="G20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4" s="101" t="s">
        <v>1831</v>
      </c>
      <c r="J204" s="101"/>
      <c r="K204" s="88"/>
      <c r="L204" s="88"/>
      <c r="M204" s="62" t="str">
        <f>IF(TblDetailBudget[[#This Row],[Level]]=LvlBottomHdr, IFERROR(INDEX(TblUnitCost[Unit], MATCH(TblDetailBudget[[#This Row],[Row Title]], TblUnitCost[Resource], 0)), "Invalid Resource"), "")</f>
        <v/>
      </c>
      <c r="N204" s="125" t="str">
        <f>IF(TblDetailBudget[[#This Row],[Level]]=LvlBottomHdr, IFERROR(INDEX(TblUnitCost[LCU], MATCH(TblDetailBudget[[#This Row],[Row Title]], TblUnitCost[Resource], 0)), "Invalid Resource"), "")</f>
        <v/>
      </c>
      <c r="O204" s="128"/>
      <c r="P204" s="108"/>
      <c r="Q204" s="129"/>
      <c r="R204" s="108"/>
      <c r="S204" s="108"/>
      <c r="T204" s="108"/>
      <c r="U204" s="108"/>
      <c r="V204" s="108"/>
      <c r="W204" s="125" t="str">
        <f>IF(TblDetailBudget[[#This Row],[Level]]=LvlBottomHdr, IF(SUM(TblDetailBudget[[#This Row],[2021 Quant]:[2025 Quant]])&gt;0, SUM(TblDetailBudget[[#This Row],[2021 Quant]:[2025 Quant]]), ""), "")</f>
        <v/>
      </c>
      <c r="X20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45012172507.531975</v>
      </c>
      <c r="AC204" s="140">
        <f>SUM(TblDetailBudget[[#This Row],[2021 Cost (LCU)]:[2025 Cost (LCU)]])</f>
        <v>45012172507.531975</v>
      </c>
      <c r="AD204" s="134">
        <f>IFERROR(SUM(TblDetailBudget[[#This Row],[2021 Cost (LCU)]])/FX_Rate, "")</f>
        <v>0</v>
      </c>
      <c r="AE204" s="63">
        <f>IFERROR(SUM(TblDetailBudget[[#This Row],[2022 Cost (LCU)]])/FX_Rate, "")</f>
        <v>0</v>
      </c>
      <c r="AF204" s="63">
        <f>IFERROR(SUM(TblDetailBudget[[#This Row],[2023 Cost (LCU)]])/FX_Rate, "")</f>
        <v>0</v>
      </c>
      <c r="AG204" s="63">
        <f>IFERROR(SUM(TblDetailBudget[[#This Row],[2024 Cost (LCU)]])/FX_Rate, "")</f>
        <v>0</v>
      </c>
      <c r="AH204" s="63">
        <f>IFERROR(SUM(TblDetailBudget[[#This Row],[2025 Cost (LCU)]])/FX_Rate, "")</f>
        <v>28132607.817207485</v>
      </c>
      <c r="AI204" s="125">
        <f>SUM(TblDetailBudget[[#This Row],[2021 Cost (USD)]:[2025 Cost (USD)]])</f>
        <v>28132607.817207485</v>
      </c>
      <c r="AJ204" s="180"/>
    </row>
    <row r="205" spans="2:36" ht="12.75" customHeight="1">
      <c r="B205" s="122" t="s">
        <v>71</v>
      </c>
      <c r="C2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2.4.1.1.1</v>
      </c>
      <c r="D205" s="62">
        <f>IF(TblDetailBudget[[#This Row],[Level]]="", "", COUNTIFS($B$8:TblDetailBudget[[#This Row],[Level]], Lvl1Hdr))</f>
        <v>2</v>
      </c>
      <c r="E205" s="62">
        <f>IF(TblDetailBudget[[#This Row],[Level]]="", "", COUNTIFS($B$8:TblDetailBudget[[#This Row],[Level]], Lvl2Hdr, $D$8:TblDetailBudget[[#This Row],[Lvl 1 Header]], TblDetailBudget[[#This Row],[Lvl 1 Header]]))</f>
        <v>4</v>
      </c>
      <c r="F205" s="62">
        <f>IF(TblDetailBudget[[#This Row],[Level]]="", "", COUNTIFS($B$8:TblDetailBudget[[#This Row],[Level]], Lvl3Hdr, $D$8:TblDetailBudget[[#This Row],[Lvl 1 Header]], TblDetailBudget[[#This Row],[Lvl 1 Header]], $E$8:TblDetailBudget[[#This Row],[Lvl 2 Header]], TblDetailBudget[[#This Row],[Lvl 2 Header]]))</f>
        <v>1</v>
      </c>
      <c r="G20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5" s="96" t="s">
        <v>2398</v>
      </c>
      <c r="J205" s="101"/>
      <c r="K205" s="88"/>
      <c r="L205" s="88"/>
      <c r="M205" s="62" t="str">
        <f>IF(TblDetailBudget[[#This Row],[Level]]=LvlBottomHdr, IFERROR(INDEX(TblUnitCost[Unit], MATCH(TblDetailBudget[[#This Row],[Row Title]], TblUnitCost[Resource], 0)), "Invalid Resource"), "")</f>
        <v>per kit</v>
      </c>
      <c r="N205" s="125">
        <f>IF(TblDetailBudget[[#This Row],[Level]]=LvlBottomHdr, IFERROR(INDEX(TblUnitCost[LCU], MATCH(TblDetailBudget[[#This Row],[Row Title]], TblUnitCost[Resource], 0)), "Invalid Resource"), "")</f>
        <v>740</v>
      </c>
      <c r="O205" s="128">
        <f>'States and LGAs'!CI6</f>
        <v>60827260.145313479</v>
      </c>
      <c r="P205" s="108">
        <v>1</v>
      </c>
      <c r="Q205" s="129">
        <v>1</v>
      </c>
      <c r="R205" s="108"/>
      <c r="S205" s="108"/>
      <c r="T205" s="108"/>
      <c r="U205" s="108"/>
      <c r="V205" s="108">
        <v>1</v>
      </c>
      <c r="W205" s="125">
        <f>IF(TblDetailBudget[[#This Row],[Level]]=LvlBottomHdr, IF(SUM(TblDetailBudget[[#This Row],[2021 Quant]:[2025 Quant]])&gt;0, SUM(TblDetailBudget[[#This Row],[2021 Quant]:[2025 Quant]]), ""), "")</f>
        <v>1</v>
      </c>
      <c r="X20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45012172507.531975</v>
      </c>
      <c r="AC205" s="140">
        <f>SUM(TblDetailBudget[[#This Row],[2021 Cost (LCU)]:[2025 Cost (LCU)]])</f>
        <v>45012172507.531975</v>
      </c>
      <c r="AD205" s="134">
        <f>IFERROR(SUM(TblDetailBudget[[#This Row],[2021 Cost (LCU)]])/FX_Rate, "")</f>
        <v>0</v>
      </c>
      <c r="AE205" s="63">
        <f>IFERROR(SUM(TblDetailBudget[[#This Row],[2022 Cost (LCU)]])/FX_Rate, "")</f>
        <v>0</v>
      </c>
      <c r="AF205" s="63">
        <f>IFERROR(SUM(TblDetailBudget[[#This Row],[2023 Cost (LCU)]])/FX_Rate, "")</f>
        <v>0</v>
      </c>
      <c r="AG205" s="63">
        <f>IFERROR(SUM(TblDetailBudget[[#This Row],[2024 Cost (LCU)]])/FX_Rate, "")</f>
        <v>0</v>
      </c>
      <c r="AH205" s="63">
        <f>IFERROR(SUM(TblDetailBudget[[#This Row],[2025 Cost (LCU)]])/FX_Rate, "")</f>
        <v>28132607.817207485</v>
      </c>
      <c r="AI205" s="125">
        <f>SUM(TblDetailBudget[[#This Row],[2021 Cost (USD)]:[2025 Cost (USD)]])</f>
        <v>28132607.817207485</v>
      </c>
      <c r="AJ205" s="180"/>
    </row>
    <row r="206" spans="2:36" ht="12.75" customHeight="1">
      <c r="B206" s="122" t="s">
        <v>70</v>
      </c>
      <c r="C2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2.4.1.2</v>
      </c>
      <c r="D206" s="62">
        <f>IF(TblDetailBudget[[#This Row],[Level]]="", "", COUNTIFS($B$8:TblDetailBudget[[#This Row],[Level]], Lvl1Hdr))</f>
        <v>2</v>
      </c>
      <c r="E206" s="62">
        <f>IF(TblDetailBudget[[#This Row],[Level]]="", "", COUNTIFS($B$8:TblDetailBudget[[#This Row],[Level]], Lvl2Hdr, $D$8:TblDetailBudget[[#This Row],[Lvl 1 Header]], TblDetailBudget[[#This Row],[Lvl 1 Header]]))</f>
        <v>4</v>
      </c>
      <c r="F206" s="62">
        <f>IF(TblDetailBudget[[#This Row],[Level]]="", "", COUNTIFS($B$8:TblDetailBudget[[#This Row],[Level]], Lvl3Hdr, $D$8:TblDetailBudget[[#This Row],[Lvl 1 Header]], TblDetailBudget[[#This Row],[Lvl 1 Header]], $E$8:TblDetailBudget[[#This Row],[Lvl 2 Header]], TblDetailBudget[[#This Row],[Lvl 2 Header]]))</f>
        <v>1</v>
      </c>
      <c r="G20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6" s="101" t="s">
        <v>1832</v>
      </c>
      <c r="J206" s="101"/>
      <c r="K206" s="88"/>
      <c r="L206" s="88"/>
      <c r="M206" s="62" t="str">
        <f>IF(TblDetailBudget[[#This Row],[Level]]=LvlBottomHdr, IFERROR(INDEX(TblUnitCost[Unit], MATCH(TblDetailBudget[[#This Row],[Row Title]], TblUnitCost[Resource], 0)), "Invalid Resource"), "")</f>
        <v/>
      </c>
      <c r="N206" s="125" t="str">
        <f>IF(TblDetailBudget[[#This Row],[Level]]=LvlBottomHdr, IFERROR(INDEX(TblUnitCost[LCU], MATCH(TblDetailBudget[[#This Row],[Row Title]], TblUnitCost[Resource], 0)), "Invalid Resource"), "")</f>
        <v/>
      </c>
      <c r="O206" s="128"/>
      <c r="P206" s="108"/>
      <c r="Q206" s="129"/>
      <c r="R206" s="108"/>
      <c r="S206" s="108"/>
      <c r="T206" s="108"/>
      <c r="U206" s="108"/>
      <c r="V206" s="108"/>
      <c r="W206" s="125" t="str">
        <f>IF(TblDetailBudget[[#This Row],[Level]]=LvlBottomHdr, IF(SUM(TblDetailBudget[[#This Row],[2021 Quant]:[2025 Quant]])&gt;0, SUM(TblDetailBudget[[#This Row],[2021 Quant]:[2025 Quant]]), ""), "")</f>
        <v/>
      </c>
      <c r="X20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11253043126.882994</v>
      </c>
      <c r="AC206" s="140">
        <f>SUM(TblDetailBudget[[#This Row],[2021 Cost (LCU)]:[2025 Cost (LCU)]])</f>
        <v>11253043126.882994</v>
      </c>
      <c r="AD206" s="134">
        <f>IFERROR(SUM(TblDetailBudget[[#This Row],[2021 Cost (LCU)]])/FX_Rate, "")</f>
        <v>0</v>
      </c>
      <c r="AE206" s="63">
        <f>IFERROR(SUM(TblDetailBudget[[#This Row],[2022 Cost (LCU)]])/FX_Rate, "")</f>
        <v>0</v>
      </c>
      <c r="AF206" s="63">
        <f>IFERROR(SUM(TblDetailBudget[[#This Row],[2023 Cost (LCU)]])/FX_Rate, "")</f>
        <v>0</v>
      </c>
      <c r="AG206" s="63">
        <f>IFERROR(SUM(TblDetailBudget[[#This Row],[2024 Cost (LCU)]])/FX_Rate, "")</f>
        <v>0</v>
      </c>
      <c r="AH206" s="63">
        <f>IFERROR(SUM(TblDetailBudget[[#This Row],[2025 Cost (LCU)]])/FX_Rate, "")</f>
        <v>7033151.9543018714</v>
      </c>
      <c r="AI206" s="125">
        <f>SUM(TblDetailBudget[[#This Row],[2021 Cost (USD)]:[2025 Cost (USD)]])</f>
        <v>7033151.9543018714</v>
      </c>
      <c r="AJ206" s="180"/>
    </row>
    <row r="207" spans="2:36" ht="12.75" customHeight="1">
      <c r="B207" s="122" t="s">
        <v>71</v>
      </c>
      <c r="C2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2.4.1.2.1</v>
      </c>
      <c r="D207" s="62">
        <f>IF(TblDetailBudget[[#This Row],[Level]]="", "", COUNTIFS($B$8:TblDetailBudget[[#This Row],[Level]], Lvl1Hdr))</f>
        <v>2</v>
      </c>
      <c r="E207" s="62">
        <f>IF(TblDetailBudget[[#This Row],[Level]]="", "", COUNTIFS($B$8:TblDetailBudget[[#This Row],[Level]], Lvl2Hdr, $D$8:TblDetailBudget[[#This Row],[Lvl 1 Header]], TblDetailBudget[[#This Row],[Lvl 1 Header]]))</f>
        <v>4</v>
      </c>
      <c r="F207" s="62">
        <f>IF(TblDetailBudget[[#This Row],[Level]]="", "", COUNTIFS($B$8:TblDetailBudget[[#This Row],[Level]], Lvl3Hdr, $D$8:TblDetailBudget[[#This Row],[Lvl 1 Header]], TblDetailBudget[[#This Row],[Lvl 1 Header]], $E$8:TblDetailBudget[[#This Row],[Lvl 2 Header]], TblDetailBudget[[#This Row],[Lvl 2 Header]]))</f>
        <v>1</v>
      </c>
      <c r="G20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7" s="96" t="s">
        <v>2399</v>
      </c>
      <c r="J207" s="101"/>
      <c r="K207" s="88"/>
      <c r="L207" s="88"/>
      <c r="M207" s="62" t="str">
        <f>IF(TblDetailBudget[[#This Row],[Level]]=LvlBottomHdr, IFERROR(INDEX(TblUnitCost[Unit], MATCH(TblDetailBudget[[#This Row],[Row Title]], TblUnitCost[Resource], 0)), "Invalid Resource"), "")</f>
        <v>per kit</v>
      </c>
      <c r="N207" s="125">
        <f>IF(TblDetailBudget[[#This Row],[Level]]=LvlBottomHdr, IFERROR(INDEX(TblUnitCost[LCU], MATCH(TblDetailBudget[[#This Row],[Row Title]], TblUnitCost[Resource], 0)), "Invalid Resource"), "")</f>
        <v>185</v>
      </c>
      <c r="O207" s="128">
        <f>'States and LGAs'!CI6</f>
        <v>60827260.145313479</v>
      </c>
      <c r="P207" s="108">
        <v>1</v>
      </c>
      <c r="Q207" s="129">
        <v>1</v>
      </c>
      <c r="R207" s="108"/>
      <c r="S207" s="108"/>
      <c r="T207" s="108"/>
      <c r="U207" s="108"/>
      <c r="V207" s="108">
        <v>1</v>
      </c>
      <c r="W207" s="125">
        <f>IF(TblDetailBudget[[#This Row],[Level]]=LvlBottomHdr, IF(SUM(TblDetailBudget[[#This Row],[2021 Quant]:[2025 Quant]])&gt;0, SUM(TblDetailBudget[[#This Row],[2021 Quant]:[2025 Quant]]), ""), "")</f>
        <v>1</v>
      </c>
      <c r="X20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11253043126.882994</v>
      </c>
      <c r="AC207" s="140">
        <f>SUM(TblDetailBudget[[#This Row],[2021 Cost (LCU)]:[2025 Cost (LCU)]])</f>
        <v>11253043126.882994</v>
      </c>
      <c r="AD207" s="134">
        <f>IFERROR(SUM(TblDetailBudget[[#This Row],[2021 Cost (LCU)]])/FX_Rate, "")</f>
        <v>0</v>
      </c>
      <c r="AE207" s="63">
        <f>IFERROR(SUM(TblDetailBudget[[#This Row],[2022 Cost (LCU)]])/FX_Rate, "")</f>
        <v>0</v>
      </c>
      <c r="AF207" s="63">
        <f>IFERROR(SUM(TblDetailBudget[[#This Row],[2023 Cost (LCU)]])/FX_Rate, "")</f>
        <v>0</v>
      </c>
      <c r="AG207" s="63">
        <f>IFERROR(SUM(TblDetailBudget[[#This Row],[2024 Cost (LCU)]])/FX_Rate, "")</f>
        <v>0</v>
      </c>
      <c r="AH207" s="63">
        <f>IFERROR(SUM(TblDetailBudget[[#This Row],[2025 Cost (LCU)]])/FX_Rate, "")</f>
        <v>7033151.9543018714</v>
      </c>
      <c r="AI207" s="125">
        <f>SUM(TblDetailBudget[[#This Row],[2021 Cost (USD)]:[2025 Cost (USD)]])</f>
        <v>7033151.9543018714</v>
      </c>
      <c r="AJ207" s="180"/>
    </row>
    <row r="208" spans="2:36" ht="12.75" customHeight="1">
      <c r="B208" s="122" t="s">
        <v>69</v>
      </c>
      <c r="C2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v>
      </c>
      <c r="D208" s="62">
        <f>IF(TblDetailBudget[[#This Row],[Level]]="", "", COUNTIFS($B$8:TblDetailBudget[[#This Row],[Level]], Lvl1Hdr))</f>
        <v>2</v>
      </c>
      <c r="E208" s="62">
        <f>IF(TblDetailBudget[[#This Row],[Level]]="", "", COUNTIFS($B$8:TblDetailBudget[[#This Row],[Level]], Lvl2Hdr, $D$8:TblDetailBudget[[#This Row],[Lvl 1 Header]], TblDetailBudget[[#This Row],[Lvl 1 Header]]))</f>
        <v>4</v>
      </c>
      <c r="F208" s="62">
        <f>IF(TblDetailBudget[[#This Row],[Level]]="", "", COUNTIFS($B$8:TblDetailBudget[[#This Row],[Level]], Lvl3Hdr, $D$8:TblDetailBudget[[#This Row],[Lvl 1 Header]], TblDetailBudget[[#This Row],[Lvl 1 Header]], $E$8:TblDetailBudget[[#This Row],[Lvl 2 Header]], TblDetailBudget[[#This Row],[Lvl 2 Header]]))</f>
        <v>2</v>
      </c>
      <c r="G20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8" s="185" t="s">
        <v>1833</v>
      </c>
      <c r="J208" s="101"/>
      <c r="K208" s="88"/>
      <c r="L208" s="88"/>
      <c r="M208" s="62" t="str">
        <f>IF(TblDetailBudget[[#This Row],[Level]]=LvlBottomHdr, IFERROR(INDEX(TblUnitCost[Unit], MATCH(TblDetailBudget[[#This Row],[Row Title]], TblUnitCost[Resource], 0)), "Invalid Resource"), "")</f>
        <v/>
      </c>
      <c r="N208" s="125" t="str">
        <f>IF(TblDetailBudget[[#This Row],[Level]]=LvlBottomHdr, IFERROR(INDEX(TblUnitCost[LCU], MATCH(TblDetailBudget[[#This Row],[Row Title]], TblUnitCost[Resource], 0)), "Invalid Resource"), "")</f>
        <v/>
      </c>
      <c r="O208" s="128"/>
      <c r="P208" s="108"/>
      <c r="Q208" s="129"/>
      <c r="R208" s="108"/>
      <c r="S208" s="108"/>
      <c r="T208" s="108"/>
      <c r="U208" s="108"/>
      <c r="V208" s="108"/>
      <c r="W208" s="125" t="str">
        <f>IF(TblDetailBudget[[#This Row],[Level]]=LvlBottomHdr, IF(SUM(TblDetailBudget[[#This Row],[2021 Quant]:[2025 Quant]])&gt;0, SUM(TblDetailBudget[[#This Row],[2021 Quant]:[2025 Quant]]), ""), "")</f>
        <v/>
      </c>
      <c r="X20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169736702096.93521</v>
      </c>
      <c r="AC208" s="140">
        <f>SUM(TblDetailBudget[[#This Row],[2021 Cost (LCU)]:[2025 Cost (LCU)]])</f>
        <v>169736702096.93521</v>
      </c>
      <c r="AD208" s="134">
        <f>IFERROR(SUM(TblDetailBudget[[#This Row],[2021 Cost (LCU)]])/FX_Rate, "")</f>
        <v>0</v>
      </c>
      <c r="AE208" s="63">
        <f>IFERROR(SUM(TblDetailBudget[[#This Row],[2022 Cost (LCU)]])/FX_Rate, "")</f>
        <v>0</v>
      </c>
      <c r="AF208" s="63">
        <f>IFERROR(SUM(TblDetailBudget[[#This Row],[2023 Cost (LCU)]])/FX_Rate, "")</f>
        <v>0</v>
      </c>
      <c r="AG208" s="63">
        <f>IFERROR(SUM(TblDetailBudget[[#This Row],[2024 Cost (LCU)]])/FX_Rate, "")</f>
        <v>0</v>
      </c>
      <c r="AH208" s="63">
        <f>IFERROR(SUM(TblDetailBudget[[#This Row],[2025 Cost (LCU)]])/FX_Rate, "")</f>
        <v>106085438.8105845</v>
      </c>
      <c r="AI208" s="125">
        <f>SUM(TblDetailBudget[[#This Row],[2021 Cost (USD)]:[2025 Cost (USD)]])</f>
        <v>106085438.8105845</v>
      </c>
      <c r="AJ208" s="180"/>
    </row>
    <row r="209" spans="2:36" ht="12.75" customHeight="1">
      <c r="B209" s="122" t="s">
        <v>70</v>
      </c>
      <c r="C2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2.4.2.1</v>
      </c>
      <c r="D209" s="62">
        <f>IF(TblDetailBudget[[#This Row],[Level]]="", "", COUNTIFS($B$8:TblDetailBudget[[#This Row],[Level]], Lvl1Hdr))</f>
        <v>2</v>
      </c>
      <c r="E209" s="62">
        <f>IF(TblDetailBudget[[#This Row],[Level]]="", "", COUNTIFS($B$8:TblDetailBudget[[#This Row],[Level]], Lvl2Hdr, $D$8:TblDetailBudget[[#This Row],[Lvl 1 Header]], TblDetailBudget[[#This Row],[Lvl 1 Header]]))</f>
        <v>4</v>
      </c>
      <c r="F209" s="62">
        <f>IF(TblDetailBudget[[#This Row],[Level]]="", "", COUNTIFS($B$8:TblDetailBudget[[#This Row],[Level]], Lvl3Hdr, $D$8:TblDetailBudget[[#This Row],[Lvl 1 Header]], TblDetailBudget[[#This Row],[Lvl 1 Header]], $E$8:TblDetailBudget[[#This Row],[Lvl 2 Header]], TblDetailBudget[[#This Row],[Lvl 2 Header]]))</f>
        <v>2</v>
      </c>
      <c r="G20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9" s="101" t="s">
        <v>2401</v>
      </c>
      <c r="J209" s="101"/>
      <c r="K209" s="88"/>
      <c r="L209" s="88"/>
      <c r="M209" s="62" t="str">
        <f>IF(TblDetailBudget[[#This Row],[Level]]=LvlBottomHdr, IFERROR(INDEX(TblUnitCost[Unit], MATCH(TblDetailBudget[[#This Row],[Row Title]], TblUnitCost[Resource], 0)), "Invalid Resource"), "")</f>
        <v/>
      </c>
      <c r="N209" s="125" t="str">
        <f>IF(TblDetailBudget[[#This Row],[Level]]=LvlBottomHdr, IFERROR(INDEX(TblUnitCost[LCU], MATCH(TblDetailBudget[[#This Row],[Row Title]], TblUnitCost[Resource], 0)), "Invalid Resource"), "")</f>
        <v/>
      </c>
      <c r="O209" s="128"/>
      <c r="P209" s="108"/>
      <c r="Q209" s="129"/>
      <c r="R209" s="108"/>
      <c r="S209" s="108"/>
      <c r="T209" s="108"/>
      <c r="U209" s="108"/>
      <c r="V209" s="108"/>
      <c r="W209" s="125" t="str">
        <f>IF(TblDetailBudget[[#This Row],[Level]]=LvlBottomHdr, IF(SUM(TblDetailBudget[[#This Row],[2021 Quant]:[2025 Quant]])&gt;0, SUM(TblDetailBudget[[#This Row],[2021 Quant]:[2025 Quant]]), ""), "")</f>
        <v/>
      </c>
      <c r="X20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135789361677.54817</v>
      </c>
      <c r="AC209" s="140">
        <f>SUM(TblDetailBudget[[#This Row],[2021 Cost (LCU)]:[2025 Cost (LCU)]])</f>
        <v>135789361677.54817</v>
      </c>
      <c r="AD209" s="134">
        <f>IFERROR(SUM(TblDetailBudget[[#This Row],[2021 Cost (LCU)]])/FX_Rate, "")</f>
        <v>0</v>
      </c>
      <c r="AE209" s="63">
        <f>IFERROR(SUM(TblDetailBudget[[#This Row],[2022 Cost (LCU)]])/FX_Rate, "")</f>
        <v>0</v>
      </c>
      <c r="AF209" s="63">
        <f>IFERROR(SUM(TblDetailBudget[[#This Row],[2023 Cost (LCU)]])/FX_Rate, "")</f>
        <v>0</v>
      </c>
      <c r="AG209" s="63">
        <f>IFERROR(SUM(TblDetailBudget[[#This Row],[2024 Cost (LCU)]])/FX_Rate, "")</f>
        <v>0</v>
      </c>
      <c r="AH209" s="63">
        <f>IFERROR(SUM(TblDetailBudget[[#This Row],[2025 Cost (LCU)]])/FX_Rate, "")</f>
        <v>84868351.048467606</v>
      </c>
      <c r="AI209" s="125">
        <f>SUM(TblDetailBudget[[#This Row],[2021 Cost (USD)]:[2025 Cost (USD)]])</f>
        <v>84868351.048467606</v>
      </c>
      <c r="AJ209" s="180"/>
    </row>
    <row r="210" spans="2:36" ht="12.75" customHeight="1">
      <c r="B210" s="122" t="s">
        <v>71</v>
      </c>
      <c r="C2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2.4.2.1.1</v>
      </c>
      <c r="D210" s="62">
        <f>IF(TblDetailBudget[[#This Row],[Level]]="", "", COUNTIFS($B$8:TblDetailBudget[[#This Row],[Level]], Lvl1Hdr))</f>
        <v>2</v>
      </c>
      <c r="E210" s="62">
        <f>IF(TblDetailBudget[[#This Row],[Level]]="", "", COUNTIFS($B$8:TblDetailBudget[[#This Row],[Level]], Lvl2Hdr, $D$8:TblDetailBudget[[#This Row],[Lvl 1 Header]], TblDetailBudget[[#This Row],[Lvl 1 Header]]))</f>
        <v>4</v>
      </c>
      <c r="F210" s="62">
        <f>IF(TblDetailBudget[[#This Row],[Level]]="", "", COUNTIFS($B$8:TblDetailBudget[[#This Row],[Level]], Lvl3Hdr, $D$8:TblDetailBudget[[#This Row],[Lvl 1 Header]], TblDetailBudget[[#This Row],[Lvl 1 Header]], $E$8:TblDetailBudget[[#This Row],[Lvl 2 Header]], TblDetailBudget[[#This Row],[Lvl 2 Header]]))</f>
        <v>2</v>
      </c>
      <c r="G2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0" s="96" t="s">
        <v>2286</v>
      </c>
      <c r="J210" s="101"/>
      <c r="K210" s="88"/>
      <c r="L210" s="88"/>
      <c r="M210" s="62" t="str">
        <f>IF(TblDetailBudget[[#This Row],[Level]]=LvlBottomHdr, IFERROR(INDEX(TblUnitCost[Unit], MATCH(TblDetailBudget[[#This Row],[Row Title]], TblUnitCost[Resource], 0)), "Invalid Resource"), "")</f>
        <v>per AL</v>
      </c>
      <c r="N210" s="125">
        <f>IF(TblDetailBudget[[#This Row],[Level]]=LvlBottomHdr, IFERROR(INDEX(TblUnitCost[LCU], MATCH(TblDetailBudget[[#This Row],[Row Title]], TblUnitCost[Resource], 0)), "Invalid Resource"), "")</f>
        <v>1952</v>
      </c>
      <c r="O210" s="128">
        <f>'States and LGAs'!CK6</f>
        <v>69564222.170875087</v>
      </c>
      <c r="P210" s="108">
        <v>1</v>
      </c>
      <c r="Q210" s="129">
        <v>1</v>
      </c>
      <c r="R210" s="108"/>
      <c r="S210" s="108"/>
      <c r="T210" s="108"/>
      <c r="U210" s="108"/>
      <c r="V210" s="108">
        <v>1</v>
      </c>
      <c r="W210" s="125">
        <f>IF(TblDetailBudget[[#This Row],[Level]]=LvlBottomHdr, IF(SUM(TblDetailBudget[[#This Row],[2021 Quant]:[2025 Quant]])&gt;0, SUM(TblDetailBudget[[#This Row],[2021 Quant]:[2025 Quant]]), ""), "")</f>
        <v>1</v>
      </c>
      <c r="X2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135789361677.54817</v>
      </c>
      <c r="AC210" s="140">
        <f>SUM(TblDetailBudget[[#This Row],[2021 Cost (LCU)]:[2025 Cost (LCU)]])</f>
        <v>135789361677.54817</v>
      </c>
      <c r="AD210" s="134">
        <f>IFERROR(SUM(TblDetailBudget[[#This Row],[2021 Cost (LCU)]])/FX_Rate, "")</f>
        <v>0</v>
      </c>
      <c r="AE210" s="63">
        <f>IFERROR(SUM(TblDetailBudget[[#This Row],[2022 Cost (LCU)]])/FX_Rate, "")</f>
        <v>0</v>
      </c>
      <c r="AF210" s="63">
        <f>IFERROR(SUM(TblDetailBudget[[#This Row],[2023 Cost (LCU)]])/FX_Rate, "")</f>
        <v>0</v>
      </c>
      <c r="AG210" s="63">
        <f>IFERROR(SUM(TblDetailBudget[[#This Row],[2024 Cost (LCU)]])/FX_Rate, "")</f>
        <v>0</v>
      </c>
      <c r="AH210" s="63">
        <f>IFERROR(SUM(TblDetailBudget[[#This Row],[2025 Cost (LCU)]])/FX_Rate, "")</f>
        <v>84868351.048467606</v>
      </c>
      <c r="AI210" s="125">
        <f>SUM(TblDetailBudget[[#This Row],[2021 Cost (USD)]:[2025 Cost (USD)]])</f>
        <v>84868351.048467606</v>
      </c>
      <c r="AJ210" s="180"/>
    </row>
    <row r="211" spans="2:36" ht="12.75" customHeight="1">
      <c r="B211" s="122" t="s">
        <v>70</v>
      </c>
      <c r="C2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2.4.2.2</v>
      </c>
      <c r="D211" s="62">
        <f>IF(TblDetailBudget[[#This Row],[Level]]="", "", COUNTIFS($B$8:TblDetailBudget[[#This Row],[Level]], Lvl1Hdr))</f>
        <v>2</v>
      </c>
      <c r="E211" s="62">
        <f>IF(TblDetailBudget[[#This Row],[Level]]="", "", COUNTIFS($B$8:TblDetailBudget[[#This Row],[Level]], Lvl2Hdr, $D$8:TblDetailBudget[[#This Row],[Lvl 1 Header]], TblDetailBudget[[#This Row],[Lvl 1 Header]]))</f>
        <v>4</v>
      </c>
      <c r="F211" s="62">
        <f>IF(TblDetailBudget[[#This Row],[Level]]="", "", COUNTIFS($B$8:TblDetailBudget[[#This Row],[Level]], Lvl3Hdr, $D$8:TblDetailBudget[[#This Row],[Lvl 1 Header]], TblDetailBudget[[#This Row],[Lvl 1 Header]], $E$8:TblDetailBudget[[#This Row],[Lvl 2 Header]], TblDetailBudget[[#This Row],[Lvl 2 Header]]))</f>
        <v>2</v>
      </c>
      <c r="G2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1" s="101" t="s">
        <v>1834</v>
      </c>
      <c r="J211" s="101"/>
      <c r="K211" s="88"/>
      <c r="L211" s="88"/>
      <c r="M211" s="62" t="str">
        <f>IF(TblDetailBudget[[#This Row],[Level]]=LvlBottomHdr, IFERROR(INDEX(TblUnitCost[Unit], MATCH(TblDetailBudget[[#This Row],[Row Title]], TblUnitCost[Resource], 0)), "Invalid Resource"), "")</f>
        <v/>
      </c>
      <c r="N211" s="125" t="str">
        <f>IF(TblDetailBudget[[#This Row],[Level]]=LvlBottomHdr, IFERROR(INDEX(TblUnitCost[LCU], MATCH(TblDetailBudget[[#This Row],[Row Title]], TblUnitCost[Resource], 0)), "Invalid Resource"), "")</f>
        <v/>
      </c>
      <c r="O211" s="128"/>
      <c r="P211" s="108"/>
      <c r="Q211" s="129"/>
      <c r="R211" s="108"/>
      <c r="S211" s="108"/>
      <c r="T211" s="108"/>
      <c r="U211" s="108"/>
      <c r="V211" s="108"/>
      <c r="W211" s="125" t="str">
        <f>IF(TblDetailBudget[[#This Row],[Level]]=LvlBottomHdr, IF(SUM(TblDetailBudget[[#This Row],[2021 Quant]:[2025 Quant]])&gt;0, SUM(TblDetailBudget[[#This Row],[2021 Quant]:[2025 Quant]]), ""), "")</f>
        <v/>
      </c>
      <c r="X21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33947340419.387043</v>
      </c>
      <c r="AC211" s="140">
        <f>SUM(TblDetailBudget[[#This Row],[2021 Cost (LCU)]:[2025 Cost (LCU)]])</f>
        <v>33947340419.387043</v>
      </c>
      <c r="AD211" s="134">
        <f>IFERROR(SUM(TblDetailBudget[[#This Row],[2021 Cost (LCU)]])/FX_Rate, "")</f>
        <v>0</v>
      </c>
      <c r="AE211" s="63">
        <f>IFERROR(SUM(TblDetailBudget[[#This Row],[2022 Cost (LCU)]])/FX_Rate, "")</f>
        <v>0</v>
      </c>
      <c r="AF211" s="63">
        <f>IFERROR(SUM(TblDetailBudget[[#This Row],[2023 Cost (LCU)]])/FX_Rate, "")</f>
        <v>0</v>
      </c>
      <c r="AG211" s="63">
        <f>IFERROR(SUM(TblDetailBudget[[#This Row],[2024 Cost (LCU)]])/FX_Rate, "")</f>
        <v>0</v>
      </c>
      <c r="AH211" s="63">
        <f>IFERROR(SUM(TblDetailBudget[[#This Row],[2025 Cost (LCU)]])/FX_Rate, "")</f>
        <v>21217087.762116902</v>
      </c>
      <c r="AI211" s="125">
        <f>SUM(TblDetailBudget[[#This Row],[2021 Cost (USD)]:[2025 Cost (USD)]])</f>
        <v>21217087.762116902</v>
      </c>
      <c r="AJ211" s="180"/>
    </row>
    <row r="212" spans="2:36" ht="12.75" customHeight="1">
      <c r="B212" s="122" t="s">
        <v>71</v>
      </c>
      <c r="C2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2.4.2.2.1</v>
      </c>
      <c r="D212" s="62">
        <f>IF(TblDetailBudget[[#This Row],[Level]]="", "", COUNTIFS($B$8:TblDetailBudget[[#This Row],[Level]], Lvl1Hdr))</f>
        <v>2</v>
      </c>
      <c r="E212" s="62">
        <f>IF(TblDetailBudget[[#This Row],[Level]]="", "", COUNTIFS($B$8:TblDetailBudget[[#This Row],[Level]], Lvl2Hdr, $D$8:TblDetailBudget[[#This Row],[Lvl 1 Header]], TblDetailBudget[[#This Row],[Lvl 1 Header]]))</f>
        <v>4</v>
      </c>
      <c r="F212" s="62">
        <f>IF(TblDetailBudget[[#This Row],[Level]]="", "", COUNTIFS($B$8:TblDetailBudget[[#This Row],[Level]], Lvl3Hdr, $D$8:TblDetailBudget[[#This Row],[Lvl 1 Header]], TblDetailBudget[[#This Row],[Lvl 1 Header]], $E$8:TblDetailBudget[[#This Row],[Lvl 2 Header]], TblDetailBudget[[#This Row],[Lvl 2 Header]]))</f>
        <v>2</v>
      </c>
      <c r="G2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2" s="96" t="s">
        <v>2287</v>
      </c>
      <c r="J212" s="101"/>
      <c r="K212" s="88"/>
      <c r="L212" s="88"/>
      <c r="M212" s="62" t="str">
        <f>IF(TblDetailBudget[[#This Row],[Level]]=LvlBottomHdr, IFERROR(INDEX(TblUnitCost[Unit], MATCH(TblDetailBudget[[#This Row],[Row Title]], TblUnitCost[Resource], 0)), "Invalid Resource"), "")</f>
        <v>per AL</v>
      </c>
      <c r="N212" s="125">
        <f>IF(TblDetailBudget[[#This Row],[Level]]=LvlBottomHdr, IFERROR(INDEX(TblUnitCost[LCU], MATCH(TblDetailBudget[[#This Row],[Row Title]], TblUnitCost[Resource], 0)), "Invalid Resource"), "")</f>
        <v>488</v>
      </c>
      <c r="O212" s="128">
        <f>'States and LGAs'!CK6</f>
        <v>69564222.170875087</v>
      </c>
      <c r="P212" s="108">
        <v>1</v>
      </c>
      <c r="Q212" s="129">
        <v>1</v>
      </c>
      <c r="R212" s="108"/>
      <c r="S212" s="108"/>
      <c r="T212" s="108"/>
      <c r="U212" s="108"/>
      <c r="V212" s="108">
        <v>1</v>
      </c>
      <c r="W212" s="125">
        <f>IF(TblDetailBudget[[#This Row],[Level]]=LvlBottomHdr, IF(SUM(TblDetailBudget[[#This Row],[2021 Quant]:[2025 Quant]])&gt;0, SUM(TblDetailBudget[[#This Row],[2021 Quant]:[2025 Quant]]), ""), "")</f>
        <v>1</v>
      </c>
      <c r="X2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33947340419.387043</v>
      </c>
      <c r="AC212" s="140">
        <f>SUM(TblDetailBudget[[#This Row],[2021 Cost (LCU)]:[2025 Cost (LCU)]])</f>
        <v>33947340419.387043</v>
      </c>
      <c r="AD212" s="134">
        <f>IFERROR(SUM(TblDetailBudget[[#This Row],[2021 Cost (LCU)]])/FX_Rate, "")</f>
        <v>0</v>
      </c>
      <c r="AE212" s="63">
        <f>IFERROR(SUM(TblDetailBudget[[#This Row],[2022 Cost (LCU)]])/FX_Rate, "")</f>
        <v>0</v>
      </c>
      <c r="AF212" s="63">
        <f>IFERROR(SUM(TblDetailBudget[[#This Row],[2023 Cost (LCU)]])/FX_Rate, "")</f>
        <v>0</v>
      </c>
      <c r="AG212" s="63">
        <f>IFERROR(SUM(TblDetailBudget[[#This Row],[2024 Cost (LCU)]])/FX_Rate, "")</f>
        <v>0</v>
      </c>
      <c r="AH212" s="63">
        <f>IFERROR(SUM(TblDetailBudget[[#This Row],[2025 Cost (LCU)]])/FX_Rate, "")</f>
        <v>21217087.762116902</v>
      </c>
      <c r="AI212" s="125">
        <f>SUM(TblDetailBudget[[#This Row],[2021 Cost (USD)]:[2025 Cost (USD)]])</f>
        <v>21217087.762116902</v>
      </c>
      <c r="AJ212" s="180"/>
    </row>
    <row r="213" spans="2:36" ht="12.75" customHeight="1">
      <c r="B213" s="122" t="s">
        <v>69</v>
      </c>
      <c r="C2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v>
      </c>
      <c r="D213" s="62">
        <f>IF(TblDetailBudget[[#This Row],[Level]]="", "", COUNTIFS($B$8:TblDetailBudget[[#This Row],[Level]], Lvl1Hdr))</f>
        <v>2</v>
      </c>
      <c r="E213" s="62">
        <f>IF(TblDetailBudget[[#This Row],[Level]]="", "", COUNTIFS($B$8:TblDetailBudget[[#This Row],[Level]], Lvl2Hdr, $D$8:TblDetailBudget[[#This Row],[Lvl 1 Header]], TblDetailBudget[[#This Row],[Lvl 1 Header]]))</f>
        <v>4</v>
      </c>
      <c r="F213" s="62">
        <f>IF(TblDetailBudget[[#This Row],[Level]]="", "", COUNTIFS($B$8:TblDetailBudget[[#This Row],[Level]], Lvl3Hdr, $D$8:TblDetailBudget[[#This Row],[Lvl 1 Header]], TblDetailBudget[[#This Row],[Lvl 1 Header]], $E$8:TblDetailBudget[[#This Row],[Lvl 2 Header]], TblDetailBudget[[#This Row],[Lvl 2 Header]]))</f>
        <v>3</v>
      </c>
      <c r="G2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3" s="185" t="s">
        <v>1835</v>
      </c>
      <c r="J213" s="101"/>
      <c r="K213" s="88"/>
      <c r="L213" s="88"/>
      <c r="M213" s="62" t="str">
        <f>IF(TblDetailBudget[[#This Row],[Level]]=LvlBottomHdr, IFERROR(INDEX(TblUnitCost[Unit], MATCH(TblDetailBudget[[#This Row],[Row Title]], TblUnitCost[Resource], 0)), "Invalid Resource"), "")</f>
        <v/>
      </c>
      <c r="N213" s="125" t="str">
        <f>IF(TblDetailBudget[[#This Row],[Level]]=LvlBottomHdr, IFERROR(INDEX(TblUnitCost[LCU], MATCH(TblDetailBudget[[#This Row],[Row Title]], TblUnitCost[Resource], 0)), "Invalid Resource"), "")</f>
        <v/>
      </c>
      <c r="O213" s="128"/>
      <c r="P213" s="108"/>
      <c r="Q213" s="129"/>
      <c r="R213" s="108"/>
      <c r="S213" s="108"/>
      <c r="T213" s="108"/>
      <c r="U213" s="108"/>
      <c r="V213" s="108"/>
      <c r="W213" s="125" t="str">
        <f>IF(TblDetailBudget[[#This Row],[Level]]=LvlBottomHdr, IF(SUM(TblDetailBudget[[#This Row],[2021 Quant]:[2025 Quant]])&gt;0, SUM(TblDetailBudget[[#This Row],[2021 Quant]:[2025 Quant]]), ""), "")</f>
        <v/>
      </c>
      <c r="X2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27799681930.251381</v>
      </c>
      <c r="AC213" s="140">
        <f>SUM(TblDetailBudget[[#This Row],[2021 Cost (LCU)]:[2025 Cost (LCU)]])</f>
        <v>27799681930.251381</v>
      </c>
      <c r="AD213" s="134">
        <f>IFERROR(SUM(TblDetailBudget[[#This Row],[2021 Cost (LCU)]])/FX_Rate, "")</f>
        <v>0</v>
      </c>
      <c r="AE213" s="63">
        <f>IFERROR(SUM(TblDetailBudget[[#This Row],[2022 Cost (LCU)]])/FX_Rate, "")</f>
        <v>0</v>
      </c>
      <c r="AF213" s="63">
        <f>IFERROR(SUM(TblDetailBudget[[#This Row],[2023 Cost (LCU)]])/FX_Rate, "")</f>
        <v>0</v>
      </c>
      <c r="AG213" s="63">
        <f>IFERROR(SUM(TblDetailBudget[[#This Row],[2024 Cost (LCU)]])/FX_Rate, "")</f>
        <v>0</v>
      </c>
      <c r="AH213" s="63">
        <f>IFERROR(SUM(TblDetailBudget[[#This Row],[2025 Cost (LCU)]])/FX_Rate, "")</f>
        <v>17374801.206407115</v>
      </c>
      <c r="AI213" s="125">
        <f>SUM(TblDetailBudget[[#This Row],[2021 Cost (USD)]:[2025 Cost (USD)]])</f>
        <v>17374801.206407115</v>
      </c>
      <c r="AJ213" s="180"/>
    </row>
    <row r="214" spans="2:36" ht="12.75" customHeight="1">
      <c r="B214" s="122" t="s">
        <v>70</v>
      </c>
      <c r="C2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2.4.3.1</v>
      </c>
      <c r="D214" s="62">
        <f>IF(TblDetailBudget[[#This Row],[Level]]="", "", COUNTIFS($B$8:TblDetailBudget[[#This Row],[Level]], Lvl1Hdr))</f>
        <v>2</v>
      </c>
      <c r="E214" s="62">
        <f>IF(TblDetailBudget[[#This Row],[Level]]="", "", COUNTIFS($B$8:TblDetailBudget[[#This Row],[Level]], Lvl2Hdr, $D$8:TblDetailBudget[[#This Row],[Lvl 1 Header]], TblDetailBudget[[#This Row],[Lvl 1 Header]]))</f>
        <v>4</v>
      </c>
      <c r="F214" s="62">
        <f>IF(TblDetailBudget[[#This Row],[Level]]="", "", COUNTIFS($B$8:TblDetailBudget[[#This Row],[Level]], Lvl3Hdr, $D$8:TblDetailBudget[[#This Row],[Lvl 1 Header]], TblDetailBudget[[#This Row],[Lvl 1 Header]], $E$8:TblDetailBudget[[#This Row],[Lvl 2 Header]], TblDetailBudget[[#This Row],[Lvl 2 Header]]))</f>
        <v>3</v>
      </c>
      <c r="G2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4" s="101" t="s">
        <v>1836</v>
      </c>
      <c r="J214" s="101"/>
      <c r="K214" s="88"/>
      <c r="L214" s="88"/>
      <c r="M214" s="62" t="str">
        <f>IF(TblDetailBudget[[#This Row],[Level]]=LvlBottomHdr, IFERROR(INDEX(TblUnitCost[Unit], MATCH(TblDetailBudget[[#This Row],[Row Title]], TblUnitCost[Resource], 0)), "Invalid Resource"), "")</f>
        <v/>
      </c>
      <c r="N214" s="125" t="str">
        <f>IF(TblDetailBudget[[#This Row],[Level]]=LvlBottomHdr, IFERROR(INDEX(TblUnitCost[LCU], MATCH(TblDetailBudget[[#This Row],[Row Title]], TblUnitCost[Resource], 0)), "Invalid Resource"), "")</f>
        <v/>
      </c>
      <c r="O214" s="128"/>
      <c r="P214" s="108"/>
      <c r="Q214" s="129"/>
      <c r="R214" s="108"/>
      <c r="S214" s="108"/>
      <c r="T214" s="108"/>
      <c r="U214" s="108"/>
      <c r="V214" s="108"/>
      <c r="W214" s="125" t="str">
        <f>IF(TblDetailBudget[[#This Row],[Level]]=LvlBottomHdr, IF(SUM(TblDetailBudget[[#This Row],[2021 Quant]:[2025 Quant]])&gt;0, SUM(TblDetailBudget[[#This Row],[2021 Quant]:[2025 Quant]]), ""), "")</f>
        <v/>
      </c>
      <c r="X21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22239745544.201103</v>
      </c>
      <c r="AC214" s="140">
        <f>SUM(TblDetailBudget[[#This Row],[2021 Cost (LCU)]:[2025 Cost (LCU)]])</f>
        <v>22239745544.201103</v>
      </c>
      <c r="AD214" s="134">
        <f>IFERROR(SUM(TblDetailBudget[[#This Row],[2021 Cost (LCU)]])/FX_Rate, "")</f>
        <v>0</v>
      </c>
      <c r="AE214" s="63">
        <f>IFERROR(SUM(TblDetailBudget[[#This Row],[2022 Cost (LCU)]])/FX_Rate, "")</f>
        <v>0</v>
      </c>
      <c r="AF214" s="63">
        <f>IFERROR(SUM(TblDetailBudget[[#This Row],[2023 Cost (LCU)]])/FX_Rate, "")</f>
        <v>0</v>
      </c>
      <c r="AG214" s="63">
        <f>IFERROR(SUM(TblDetailBudget[[#This Row],[2024 Cost (LCU)]])/FX_Rate, "")</f>
        <v>0</v>
      </c>
      <c r="AH214" s="63">
        <f>IFERROR(SUM(TblDetailBudget[[#This Row],[2025 Cost (LCU)]])/FX_Rate, "")</f>
        <v>13899840.965125689</v>
      </c>
      <c r="AI214" s="125">
        <f>SUM(TblDetailBudget[[#This Row],[2021 Cost (USD)]:[2025 Cost (USD)]])</f>
        <v>13899840.965125689</v>
      </c>
      <c r="AJ214" s="180"/>
    </row>
    <row r="215" spans="2:36" ht="12.75" customHeight="1">
      <c r="B215" s="122" t="s">
        <v>71</v>
      </c>
      <c r="C2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2.4.3.1.1</v>
      </c>
      <c r="D215" s="62">
        <f>IF(TblDetailBudget[[#This Row],[Level]]="", "", COUNTIFS($B$8:TblDetailBudget[[#This Row],[Level]], Lvl1Hdr))</f>
        <v>2</v>
      </c>
      <c r="E215" s="62">
        <f>IF(TblDetailBudget[[#This Row],[Level]]="", "", COUNTIFS($B$8:TblDetailBudget[[#This Row],[Level]], Lvl2Hdr, $D$8:TblDetailBudget[[#This Row],[Lvl 1 Header]], TblDetailBudget[[#This Row],[Lvl 1 Header]]))</f>
        <v>4</v>
      </c>
      <c r="F215" s="62">
        <f>IF(TblDetailBudget[[#This Row],[Level]]="", "", COUNTIFS($B$8:TblDetailBudget[[#This Row],[Level]], Lvl3Hdr, $D$8:TblDetailBudget[[#This Row],[Lvl 1 Header]], TblDetailBudget[[#This Row],[Lvl 1 Header]], $E$8:TblDetailBudget[[#This Row],[Lvl 2 Header]], TblDetailBudget[[#This Row],[Lvl 2 Header]]))</f>
        <v>3</v>
      </c>
      <c r="G2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5" s="96" t="s">
        <v>2422</v>
      </c>
      <c r="J215" s="101"/>
      <c r="K215" s="88"/>
      <c r="L215" s="88"/>
      <c r="M215" s="62" t="str">
        <f>IF(TblDetailBudget[[#This Row],[Level]]=LvlBottomHdr, IFERROR(INDEX(TblUnitCost[Unit], MATCH(TblDetailBudget[[#This Row],[Row Title]], TblUnitCost[Resource], 0)), "Invalid Resource"), "")</f>
        <v>per 60mg powder</v>
      </c>
      <c r="N215" s="125">
        <f>IF(TblDetailBudget[[#This Row],[Level]]=LvlBottomHdr, IFERROR(INDEX(TblUnitCost[LCU], MATCH(TblDetailBudget[[#This Row],[Row Title]], TblUnitCost[Resource], 0)), "Invalid Resource"), "")</f>
        <v>3205</v>
      </c>
      <c r="O215" s="128">
        <f>'States and LGAs'!CM6</f>
        <v>6939078.1729176603</v>
      </c>
      <c r="P215" s="108">
        <v>1</v>
      </c>
      <c r="Q215" s="129">
        <v>1</v>
      </c>
      <c r="R215" s="108"/>
      <c r="S215" s="108"/>
      <c r="T215" s="108"/>
      <c r="U215" s="108"/>
      <c r="V215" s="108">
        <v>1</v>
      </c>
      <c r="W215" s="125">
        <f>IF(TblDetailBudget[[#This Row],[Level]]=LvlBottomHdr, IF(SUM(TblDetailBudget[[#This Row],[2021 Quant]:[2025 Quant]])&gt;0, SUM(TblDetailBudget[[#This Row],[2021 Quant]:[2025 Quant]]), ""), "")</f>
        <v>1</v>
      </c>
      <c r="X21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22239745544.201103</v>
      </c>
      <c r="AC215" s="140">
        <f>SUM(TblDetailBudget[[#This Row],[2021 Cost (LCU)]:[2025 Cost (LCU)]])</f>
        <v>22239745544.201103</v>
      </c>
      <c r="AD215" s="134">
        <f>IFERROR(SUM(TblDetailBudget[[#This Row],[2021 Cost (LCU)]])/FX_Rate, "")</f>
        <v>0</v>
      </c>
      <c r="AE215" s="63">
        <f>IFERROR(SUM(TblDetailBudget[[#This Row],[2022 Cost (LCU)]])/FX_Rate, "")</f>
        <v>0</v>
      </c>
      <c r="AF215" s="63">
        <f>IFERROR(SUM(TblDetailBudget[[#This Row],[2023 Cost (LCU)]])/FX_Rate, "")</f>
        <v>0</v>
      </c>
      <c r="AG215" s="63">
        <f>IFERROR(SUM(TblDetailBudget[[#This Row],[2024 Cost (LCU)]])/FX_Rate, "")</f>
        <v>0</v>
      </c>
      <c r="AH215" s="63">
        <f>IFERROR(SUM(TblDetailBudget[[#This Row],[2025 Cost (LCU)]])/FX_Rate, "")</f>
        <v>13899840.965125689</v>
      </c>
      <c r="AI215" s="125">
        <f>SUM(TblDetailBudget[[#This Row],[2021 Cost (USD)]:[2025 Cost (USD)]])</f>
        <v>13899840.965125689</v>
      </c>
      <c r="AJ215" s="180"/>
    </row>
    <row r="216" spans="2:36" ht="12.75" customHeight="1">
      <c r="B216" s="122" t="s">
        <v>70</v>
      </c>
      <c r="C2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2.4.3.2</v>
      </c>
      <c r="D216" s="62">
        <f>IF(TblDetailBudget[[#This Row],[Level]]="", "", COUNTIFS($B$8:TblDetailBudget[[#This Row],[Level]], Lvl1Hdr))</f>
        <v>2</v>
      </c>
      <c r="E216" s="62">
        <f>IF(TblDetailBudget[[#This Row],[Level]]="", "", COUNTIFS($B$8:TblDetailBudget[[#This Row],[Level]], Lvl2Hdr, $D$8:TblDetailBudget[[#This Row],[Lvl 1 Header]], TblDetailBudget[[#This Row],[Lvl 1 Header]]))</f>
        <v>4</v>
      </c>
      <c r="F216" s="62">
        <f>IF(TblDetailBudget[[#This Row],[Level]]="", "", COUNTIFS($B$8:TblDetailBudget[[#This Row],[Level]], Lvl3Hdr, $D$8:TblDetailBudget[[#This Row],[Lvl 1 Header]], TblDetailBudget[[#This Row],[Lvl 1 Header]], $E$8:TblDetailBudget[[#This Row],[Lvl 2 Header]], TblDetailBudget[[#This Row],[Lvl 2 Header]]))</f>
        <v>3</v>
      </c>
      <c r="G2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6" s="101" t="s">
        <v>1837</v>
      </c>
      <c r="J216" s="101"/>
      <c r="K216" s="88"/>
      <c r="L216" s="88"/>
      <c r="M216" s="62" t="str">
        <f>IF(TblDetailBudget[[#This Row],[Level]]=LvlBottomHdr, IFERROR(INDEX(TblUnitCost[Unit], MATCH(TblDetailBudget[[#This Row],[Row Title]], TblUnitCost[Resource], 0)), "Invalid Resource"), "")</f>
        <v/>
      </c>
      <c r="N216" s="125" t="str">
        <f>IF(TblDetailBudget[[#This Row],[Level]]=LvlBottomHdr, IFERROR(INDEX(TblUnitCost[LCU], MATCH(TblDetailBudget[[#This Row],[Row Title]], TblUnitCost[Resource], 0)), "Invalid Resource"), "")</f>
        <v/>
      </c>
      <c r="O216" s="128"/>
      <c r="P216" s="108"/>
      <c r="Q216" s="129"/>
      <c r="R216" s="108"/>
      <c r="S216" s="108"/>
      <c r="T216" s="108"/>
      <c r="U216" s="108"/>
      <c r="V216" s="108"/>
      <c r="W216" s="125" t="str">
        <f>IF(TblDetailBudget[[#This Row],[Level]]=LvlBottomHdr, IF(SUM(TblDetailBudget[[#This Row],[2021 Quant]:[2025 Quant]])&gt;0, SUM(TblDetailBudget[[#This Row],[2021 Quant]:[2025 Quant]]), ""), "")</f>
        <v/>
      </c>
      <c r="X2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5559936386.0502758</v>
      </c>
      <c r="AC216" s="140">
        <f>SUM(TblDetailBudget[[#This Row],[2021 Cost (LCU)]:[2025 Cost (LCU)]])</f>
        <v>5559936386.0502758</v>
      </c>
      <c r="AD216" s="134">
        <f>IFERROR(SUM(TblDetailBudget[[#This Row],[2021 Cost (LCU)]])/FX_Rate, "")</f>
        <v>0</v>
      </c>
      <c r="AE216" s="63">
        <f>IFERROR(SUM(TblDetailBudget[[#This Row],[2022 Cost (LCU)]])/FX_Rate, "")</f>
        <v>0</v>
      </c>
      <c r="AF216" s="63">
        <f>IFERROR(SUM(TblDetailBudget[[#This Row],[2023 Cost (LCU)]])/FX_Rate, "")</f>
        <v>0</v>
      </c>
      <c r="AG216" s="63">
        <f>IFERROR(SUM(TblDetailBudget[[#This Row],[2024 Cost (LCU)]])/FX_Rate, "")</f>
        <v>0</v>
      </c>
      <c r="AH216" s="63">
        <f>IFERROR(SUM(TblDetailBudget[[#This Row],[2025 Cost (LCU)]])/FX_Rate, "")</f>
        <v>3474960.2412814223</v>
      </c>
      <c r="AI216" s="125">
        <f>SUM(TblDetailBudget[[#This Row],[2021 Cost (USD)]:[2025 Cost (USD)]])</f>
        <v>3474960.2412814223</v>
      </c>
      <c r="AJ216" s="180"/>
    </row>
    <row r="217" spans="2:36" ht="12.75" customHeight="1">
      <c r="B217" s="122" t="s">
        <v>71</v>
      </c>
      <c r="C2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2.4.3.2.1</v>
      </c>
      <c r="D217" s="62">
        <f>IF(TblDetailBudget[[#This Row],[Level]]="", "", COUNTIFS($B$8:TblDetailBudget[[#This Row],[Level]], Lvl1Hdr))</f>
        <v>2</v>
      </c>
      <c r="E217" s="62">
        <f>IF(TblDetailBudget[[#This Row],[Level]]="", "", COUNTIFS($B$8:TblDetailBudget[[#This Row],[Level]], Lvl2Hdr, $D$8:TblDetailBudget[[#This Row],[Lvl 1 Header]], TblDetailBudget[[#This Row],[Lvl 1 Header]]))</f>
        <v>4</v>
      </c>
      <c r="F217" s="62">
        <f>IF(TblDetailBudget[[#This Row],[Level]]="", "", COUNTIFS($B$8:TblDetailBudget[[#This Row],[Level]], Lvl3Hdr, $D$8:TblDetailBudget[[#This Row],[Lvl 1 Header]], TblDetailBudget[[#This Row],[Lvl 1 Header]], $E$8:TblDetailBudget[[#This Row],[Lvl 2 Header]], TblDetailBudget[[#This Row],[Lvl 2 Header]]))</f>
        <v>3</v>
      </c>
      <c r="G2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7" s="96" t="s">
        <v>2547</v>
      </c>
      <c r="J217" s="101"/>
      <c r="K217" s="88"/>
      <c r="L217" s="88"/>
      <c r="M217" s="62" t="str">
        <f>IF(TblDetailBudget[[#This Row],[Level]]=LvlBottomHdr, IFERROR(INDEX(TblUnitCost[Unit], MATCH(TblDetailBudget[[#This Row],[Row Title]], TblUnitCost[Resource], 0)), "Invalid Resource"), "")</f>
        <v>per 60mg powder</v>
      </c>
      <c r="N217" s="125">
        <f>IF(TblDetailBudget[[#This Row],[Level]]=LvlBottomHdr, IFERROR(INDEX(TblUnitCost[LCU], MATCH(TblDetailBudget[[#This Row],[Row Title]], TblUnitCost[Resource], 0)), "Invalid Resource"), "")</f>
        <v>801.25</v>
      </c>
      <c r="O217" s="128">
        <f>'States and LGAs'!CM6</f>
        <v>6939078.1729176603</v>
      </c>
      <c r="P217" s="108">
        <v>1</v>
      </c>
      <c r="Q217" s="129">
        <v>1</v>
      </c>
      <c r="R217" s="108"/>
      <c r="S217" s="108"/>
      <c r="T217" s="108"/>
      <c r="U217" s="108"/>
      <c r="V217" s="108">
        <v>1</v>
      </c>
      <c r="W217" s="125">
        <f>IF(TblDetailBudget[[#This Row],[Level]]=LvlBottomHdr, IF(SUM(TblDetailBudget[[#This Row],[2021 Quant]:[2025 Quant]])&gt;0, SUM(TblDetailBudget[[#This Row],[2021 Quant]:[2025 Quant]]), ""), "")</f>
        <v>1</v>
      </c>
      <c r="X2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5559936386.0502758</v>
      </c>
      <c r="AC217" s="140">
        <f>SUM(TblDetailBudget[[#This Row],[2021 Cost (LCU)]:[2025 Cost (LCU)]])</f>
        <v>5559936386.0502758</v>
      </c>
      <c r="AD217" s="134">
        <f>IFERROR(SUM(TblDetailBudget[[#This Row],[2021 Cost (LCU)]])/FX_Rate, "")</f>
        <v>0</v>
      </c>
      <c r="AE217" s="63">
        <f>IFERROR(SUM(TblDetailBudget[[#This Row],[2022 Cost (LCU)]])/FX_Rate, "")</f>
        <v>0</v>
      </c>
      <c r="AF217" s="63">
        <f>IFERROR(SUM(TblDetailBudget[[#This Row],[2023 Cost (LCU)]])/FX_Rate, "")</f>
        <v>0</v>
      </c>
      <c r="AG217" s="63">
        <f>IFERROR(SUM(TblDetailBudget[[#This Row],[2024 Cost (LCU)]])/FX_Rate, "")</f>
        <v>0</v>
      </c>
      <c r="AH217" s="63">
        <f>IFERROR(SUM(TblDetailBudget[[#This Row],[2025 Cost (LCU)]])/FX_Rate, "")</f>
        <v>3474960.2412814223</v>
      </c>
      <c r="AI217" s="125">
        <f>SUM(TblDetailBudget[[#This Row],[2021 Cost (USD)]:[2025 Cost (USD)]])</f>
        <v>3474960.2412814223</v>
      </c>
      <c r="AJ217" s="180"/>
    </row>
    <row r="218" spans="2:36" ht="12.75" customHeight="1">
      <c r="B218" s="122" t="s">
        <v>69</v>
      </c>
      <c r="C2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v>
      </c>
      <c r="D218" s="62">
        <f>IF(TblDetailBudget[[#This Row],[Level]]="", "", COUNTIFS($B$8:TblDetailBudget[[#This Row],[Level]], Lvl1Hdr))</f>
        <v>2</v>
      </c>
      <c r="E218" s="62">
        <f>IF(TblDetailBudget[[#This Row],[Level]]="", "", COUNTIFS($B$8:TblDetailBudget[[#This Row],[Level]], Lvl2Hdr, $D$8:TblDetailBudget[[#This Row],[Lvl 1 Header]], TblDetailBudget[[#This Row],[Lvl 1 Header]]))</f>
        <v>4</v>
      </c>
      <c r="F218" s="62">
        <f>IF(TblDetailBudget[[#This Row],[Level]]="", "", COUNTIFS($B$8:TblDetailBudget[[#This Row],[Level]], Lvl3Hdr, $D$8:TblDetailBudget[[#This Row],[Lvl 1 Header]], TblDetailBudget[[#This Row],[Lvl 1 Header]], $E$8:TblDetailBudget[[#This Row],[Lvl 2 Header]], TblDetailBudget[[#This Row],[Lvl 2 Header]]))</f>
        <v>4</v>
      </c>
      <c r="G2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8" s="185" t="s">
        <v>1838</v>
      </c>
      <c r="J218" s="101"/>
      <c r="K218" s="88"/>
      <c r="L218" s="88"/>
      <c r="M218" s="62" t="str">
        <f>IF(TblDetailBudget[[#This Row],[Level]]=LvlBottomHdr, IFERROR(INDEX(TblUnitCost[Unit], MATCH(TblDetailBudget[[#This Row],[Row Title]], TblUnitCost[Resource], 0)), "Invalid Resource"), "")</f>
        <v/>
      </c>
      <c r="N218" s="125" t="str">
        <f>IF(TblDetailBudget[[#This Row],[Level]]=LvlBottomHdr, IFERROR(INDEX(TblUnitCost[LCU], MATCH(TblDetailBudget[[#This Row],[Row Title]], TblUnitCost[Resource], 0)), "Invalid Resource"), "")</f>
        <v/>
      </c>
      <c r="O218" s="128"/>
      <c r="P218" s="108"/>
      <c r="Q218" s="129"/>
      <c r="R218" s="108"/>
      <c r="S218" s="108"/>
      <c r="T218" s="108"/>
      <c r="U218" s="108"/>
      <c r="V218" s="108"/>
      <c r="W218" s="125" t="str">
        <f>IF(TblDetailBudget[[#This Row],[Level]]=LvlBottomHdr, IF(SUM(TblDetailBudget[[#This Row],[2021 Quant]:[2025 Quant]])&gt;0, SUM(TblDetailBudget[[#This Row],[2021 Quant]:[2025 Quant]]), ""), "")</f>
        <v/>
      </c>
      <c r="X21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465971255.72712892</v>
      </c>
      <c r="AC218" s="140">
        <f>SUM(TblDetailBudget[[#This Row],[2021 Cost (LCU)]:[2025 Cost (LCU)]])</f>
        <v>465971255.72712892</v>
      </c>
      <c r="AD218" s="134">
        <f>IFERROR(SUM(TblDetailBudget[[#This Row],[2021 Cost (LCU)]])/FX_Rate, "")</f>
        <v>0</v>
      </c>
      <c r="AE218" s="63">
        <f>IFERROR(SUM(TblDetailBudget[[#This Row],[2022 Cost (LCU)]])/FX_Rate, "")</f>
        <v>0</v>
      </c>
      <c r="AF218" s="63">
        <f>IFERROR(SUM(TblDetailBudget[[#This Row],[2023 Cost (LCU)]])/FX_Rate, "")</f>
        <v>0</v>
      </c>
      <c r="AG218" s="63">
        <f>IFERROR(SUM(TblDetailBudget[[#This Row],[2024 Cost (LCU)]])/FX_Rate, "")</f>
        <v>0</v>
      </c>
      <c r="AH218" s="63">
        <f>IFERROR(SUM(TblDetailBudget[[#This Row],[2025 Cost (LCU)]])/FX_Rate, "")</f>
        <v>291232.0348294556</v>
      </c>
      <c r="AI218" s="125">
        <f>SUM(TblDetailBudget[[#This Row],[2021 Cost (USD)]:[2025 Cost (USD)]])</f>
        <v>291232.0348294556</v>
      </c>
      <c r="AJ218" s="180"/>
    </row>
    <row r="219" spans="2:36" ht="12.75" customHeight="1">
      <c r="B219" s="122" t="s">
        <v>70</v>
      </c>
      <c r="C2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2.4.4.1</v>
      </c>
      <c r="D219" s="62">
        <f>IF(TblDetailBudget[[#This Row],[Level]]="", "", COUNTIFS($B$8:TblDetailBudget[[#This Row],[Level]], Lvl1Hdr))</f>
        <v>2</v>
      </c>
      <c r="E219" s="62">
        <f>IF(TblDetailBudget[[#This Row],[Level]]="", "", COUNTIFS($B$8:TblDetailBudget[[#This Row],[Level]], Lvl2Hdr, $D$8:TblDetailBudget[[#This Row],[Lvl 1 Header]], TblDetailBudget[[#This Row],[Lvl 1 Header]]))</f>
        <v>4</v>
      </c>
      <c r="F219" s="62">
        <f>IF(TblDetailBudget[[#This Row],[Level]]="", "", COUNTIFS($B$8:TblDetailBudget[[#This Row],[Level]], Lvl3Hdr, $D$8:TblDetailBudget[[#This Row],[Lvl 1 Header]], TblDetailBudget[[#This Row],[Lvl 1 Header]], $E$8:TblDetailBudget[[#This Row],[Lvl 2 Header]], TblDetailBudget[[#This Row],[Lvl 2 Header]]))</f>
        <v>4</v>
      </c>
      <c r="G2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9" s="101" t="s">
        <v>2404</v>
      </c>
      <c r="J219" s="101"/>
      <c r="K219" s="88"/>
      <c r="L219" s="88"/>
      <c r="M219" s="62" t="str">
        <f>IF(TblDetailBudget[[#This Row],[Level]]=LvlBottomHdr, IFERROR(INDEX(TblUnitCost[Unit], MATCH(TblDetailBudget[[#This Row],[Row Title]], TblUnitCost[Resource], 0)), "Invalid Resource"), "")</f>
        <v/>
      </c>
      <c r="N219" s="125" t="str">
        <f>IF(TblDetailBudget[[#This Row],[Level]]=LvlBottomHdr, IFERROR(INDEX(TblUnitCost[LCU], MATCH(TblDetailBudget[[#This Row],[Row Title]], TblUnitCost[Resource], 0)), "Invalid Resource"), "")</f>
        <v/>
      </c>
      <c r="O219" s="128"/>
      <c r="P219" s="108"/>
      <c r="Q219" s="129"/>
      <c r="R219" s="108"/>
      <c r="S219" s="108"/>
      <c r="T219" s="108"/>
      <c r="U219" s="108"/>
      <c r="V219" s="108"/>
      <c r="W219" s="125" t="str">
        <f>IF(TblDetailBudget[[#This Row],[Level]]=LvlBottomHdr, IF(SUM(TblDetailBudget[[#This Row],[2021 Quant]:[2025 Quant]])&gt;0, SUM(TblDetailBudget[[#This Row],[2021 Quant]:[2025 Quant]]), ""), "")</f>
        <v/>
      </c>
      <c r="X21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372777004.58170313</v>
      </c>
      <c r="AC219" s="140">
        <f>SUM(TblDetailBudget[[#This Row],[2021 Cost (LCU)]:[2025 Cost (LCU)]])</f>
        <v>372777004.58170313</v>
      </c>
      <c r="AD219" s="134">
        <f>IFERROR(SUM(TblDetailBudget[[#This Row],[2021 Cost (LCU)]])/FX_Rate, "")</f>
        <v>0</v>
      </c>
      <c r="AE219" s="63">
        <f>IFERROR(SUM(TblDetailBudget[[#This Row],[2022 Cost (LCU)]])/FX_Rate, "")</f>
        <v>0</v>
      </c>
      <c r="AF219" s="63">
        <f>IFERROR(SUM(TblDetailBudget[[#This Row],[2023 Cost (LCU)]])/FX_Rate, "")</f>
        <v>0</v>
      </c>
      <c r="AG219" s="63">
        <f>IFERROR(SUM(TblDetailBudget[[#This Row],[2024 Cost (LCU)]])/FX_Rate, "")</f>
        <v>0</v>
      </c>
      <c r="AH219" s="63">
        <f>IFERROR(SUM(TblDetailBudget[[#This Row],[2025 Cost (LCU)]])/FX_Rate, "")</f>
        <v>232985.62786356444</v>
      </c>
      <c r="AI219" s="125">
        <f>SUM(TblDetailBudget[[#This Row],[2021 Cost (USD)]:[2025 Cost (USD)]])</f>
        <v>232985.62786356444</v>
      </c>
      <c r="AJ219" s="180"/>
    </row>
    <row r="220" spans="2:36" ht="12.75" customHeight="1">
      <c r="B220" s="122" t="s">
        <v>71</v>
      </c>
      <c r="C2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2.4.4.1.1</v>
      </c>
      <c r="D220" s="62">
        <f>IF(TblDetailBudget[[#This Row],[Level]]="", "", COUNTIFS($B$8:TblDetailBudget[[#This Row],[Level]], Lvl1Hdr))</f>
        <v>2</v>
      </c>
      <c r="E220" s="62">
        <f>IF(TblDetailBudget[[#This Row],[Level]]="", "", COUNTIFS($B$8:TblDetailBudget[[#This Row],[Level]], Lvl2Hdr, $D$8:TblDetailBudget[[#This Row],[Lvl 1 Header]], TblDetailBudget[[#This Row],[Lvl 1 Header]]))</f>
        <v>4</v>
      </c>
      <c r="F220" s="62">
        <f>IF(TblDetailBudget[[#This Row],[Level]]="", "", COUNTIFS($B$8:TblDetailBudget[[#This Row],[Level]], Lvl3Hdr, $D$8:TblDetailBudget[[#This Row],[Lvl 1 Header]], TblDetailBudget[[#This Row],[Lvl 1 Header]], $E$8:TblDetailBudget[[#This Row],[Lvl 2 Header]], TblDetailBudget[[#This Row],[Lvl 2 Header]]))</f>
        <v>4</v>
      </c>
      <c r="G2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0" s="96" t="s">
        <v>2402</v>
      </c>
      <c r="J220" s="101"/>
      <c r="K220" s="88"/>
      <c r="L220" s="88"/>
      <c r="M220" s="62" t="str">
        <f>IF(TblDetailBudget[[#This Row],[Level]]=LvlBottomHdr, IFERROR(INDEX(TblUnitCost[Unit], MATCH(TblDetailBudget[[#This Row],[Row Title]], TblUnitCost[Resource], 0)), "Invalid Resource"), "")</f>
        <v>per RAS</v>
      </c>
      <c r="N220" s="125">
        <f>IF(TblDetailBudget[[#This Row],[Level]]=LvlBottomHdr, IFERROR(INDEX(TblUnitCost[LCU], MATCH(TblDetailBudget[[#This Row],[Row Title]], TblUnitCost[Resource], 0)), "Invalid Resource"), "")</f>
        <v>703</v>
      </c>
      <c r="O220" s="128">
        <f>'States and LGAs'!CO6</f>
        <v>530266.00936230889</v>
      </c>
      <c r="P220" s="108">
        <v>1</v>
      </c>
      <c r="Q220" s="129">
        <v>1</v>
      </c>
      <c r="R220" s="108"/>
      <c r="S220" s="108"/>
      <c r="T220" s="108"/>
      <c r="U220" s="108"/>
      <c r="V220" s="108">
        <v>1</v>
      </c>
      <c r="W220" s="125">
        <f>IF(TblDetailBudget[[#This Row],[Level]]=LvlBottomHdr, IF(SUM(TblDetailBudget[[#This Row],[2021 Quant]:[2025 Quant]])&gt;0, SUM(TblDetailBudget[[#This Row],[2021 Quant]:[2025 Quant]]), ""), "")</f>
        <v>1</v>
      </c>
      <c r="X22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372777004.58170313</v>
      </c>
      <c r="AC220" s="140">
        <f>SUM(TblDetailBudget[[#This Row],[2021 Cost (LCU)]:[2025 Cost (LCU)]])</f>
        <v>372777004.58170313</v>
      </c>
      <c r="AD220" s="134">
        <f>IFERROR(SUM(TblDetailBudget[[#This Row],[2021 Cost (LCU)]])/FX_Rate, "")</f>
        <v>0</v>
      </c>
      <c r="AE220" s="63">
        <f>IFERROR(SUM(TblDetailBudget[[#This Row],[2022 Cost (LCU)]])/FX_Rate, "")</f>
        <v>0</v>
      </c>
      <c r="AF220" s="63">
        <f>IFERROR(SUM(TblDetailBudget[[#This Row],[2023 Cost (LCU)]])/FX_Rate, "")</f>
        <v>0</v>
      </c>
      <c r="AG220" s="63">
        <f>IFERROR(SUM(TblDetailBudget[[#This Row],[2024 Cost (LCU)]])/FX_Rate, "")</f>
        <v>0</v>
      </c>
      <c r="AH220" s="63">
        <f>IFERROR(SUM(TblDetailBudget[[#This Row],[2025 Cost (LCU)]])/FX_Rate, "")</f>
        <v>232985.62786356444</v>
      </c>
      <c r="AI220" s="125">
        <f>SUM(TblDetailBudget[[#This Row],[2021 Cost (USD)]:[2025 Cost (USD)]])</f>
        <v>232985.62786356444</v>
      </c>
      <c r="AJ220" s="180"/>
    </row>
    <row r="221" spans="2:36" ht="12.75" customHeight="1">
      <c r="B221" s="122" t="s">
        <v>70</v>
      </c>
      <c r="C2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2.4.4.2</v>
      </c>
      <c r="D221" s="62">
        <f>IF(TblDetailBudget[[#This Row],[Level]]="", "", COUNTIFS($B$8:TblDetailBudget[[#This Row],[Level]], Lvl1Hdr))</f>
        <v>2</v>
      </c>
      <c r="E221" s="62">
        <f>IF(TblDetailBudget[[#This Row],[Level]]="", "", COUNTIFS($B$8:TblDetailBudget[[#This Row],[Level]], Lvl2Hdr, $D$8:TblDetailBudget[[#This Row],[Lvl 1 Header]], TblDetailBudget[[#This Row],[Lvl 1 Header]]))</f>
        <v>4</v>
      </c>
      <c r="F221" s="62">
        <f>IF(TblDetailBudget[[#This Row],[Level]]="", "", COUNTIFS($B$8:TblDetailBudget[[#This Row],[Level]], Lvl3Hdr, $D$8:TblDetailBudget[[#This Row],[Lvl 1 Header]], TblDetailBudget[[#This Row],[Lvl 1 Header]], $E$8:TblDetailBudget[[#This Row],[Lvl 2 Header]], TblDetailBudget[[#This Row],[Lvl 2 Header]]))</f>
        <v>4</v>
      </c>
      <c r="G2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1" s="101" t="s">
        <v>2405</v>
      </c>
      <c r="J221" s="101"/>
      <c r="K221" s="88"/>
      <c r="L221" s="88"/>
      <c r="M221" s="62" t="str">
        <f>IF(TblDetailBudget[[#This Row],[Level]]=LvlBottomHdr, IFERROR(INDEX(TblUnitCost[Unit], MATCH(TblDetailBudget[[#This Row],[Row Title]], TblUnitCost[Resource], 0)), "Invalid Resource"), "")</f>
        <v/>
      </c>
      <c r="N221" s="125" t="str">
        <f>IF(TblDetailBudget[[#This Row],[Level]]=LvlBottomHdr, IFERROR(INDEX(TblUnitCost[LCU], MATCH(TblDetailBudget[[#This Row],[Row Title]], TblUnitCost[Resource], 0)), "Invalid Resource"), "")</f>
        <v/>
      </c>
      <c r="O221" s="128"/>
      <c r="P221" s="108"/>
      <c r="Q221" s="129"/>
      <c r="R221" s="108"/>
      <c r="S221" s="108"/>
      <c r="T221" s="108"/>
      <c r="U221" s="108"/>
      <c r="V221" s="108"/>
      <c r="W221" s="125" t="str">
        <f>IF(TblDetailBudget[[#This Row],[Level]]=LvlBottomHdr, IF(SUM(TblDetailBudget[[#This Row],[2021 Quant]:[2025 Quant]])&gt;0, SUM(TblDetailBudget[[#This Row],[2021 Quant]:[2025 Quant]]), ""), "")</f>
        <v/>
      </c>
      <c r="X22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93194251.145425782</v>
      </c>
      <c r="AC221" s="140">
        <f>SUM(TblDetailBudget[[#This Row],[2021 Cost (LCU)]:[2025 Cost (LCU)]])</f>
        <v>93194251.145425782</v>
      </c>
      <c r="AD221" s="134">
        <f>IFERROR(SUM(TblDetailBudget[[#This Row],[2021 Cost (LCU)]])/FX_Rate, "")</f>
        <v>0</v>
      </c>
      <c r="AE221" s="63">
        <f>IFERROR(SUM(TblDetailBudget[[#This Row],[2022 Cost (LCU)]])/FX_Rate, "")</f>
        <v>0</v>
      </c>
      <c r="AF221" s="63">
        <f>IFERROR(SUM(TblDetailBudget[[#This Row],[2023 Cost (LCU)]])/FX_Rate, "")</f>
        <v>0</v>
      </c>
      <c r="AG221" s="63">
        <f>IFERROR(SUM(TblDetailBudget[[#This Row],[2024 Cost (LCU)]])/FX_Rate, "")</f>
        <v>0</v>
      </c>
      <c r="AH221" s="63">
        <f>IFERROR(SUM(TblDetailBudget[[#This Row],[2025 Cost (LCU)]])/FX_Rate, "")</f>
        <v>58246.40696589111</v>
      </c>
      <c r="AI221" s="125">
        <f>SUM(TblDetailBudget[[#This Row],[2021 Cost (USD)]:[2025 Cost (USD)]])</f>
        <v>58246.40696589111</v>
      </c>
      <c r="AJ221" s="180"/>
    </row>
    <row r="222" spans="2:36" ht="12.75" customHeight="1">
      <c r="B222" s="122" t="s">
        <v>71</v>
      </c>
      <c r="C2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2.4.4.2.1</v>
      </c>
      <c r="D222" s="62">
        <f>IF(TblDetailBudget[[#This Row],[Level]]="", "", COUNTIFS($B$8:TblDetailBudget[[#This Row],[Level]], Lvl1Hdr))</f>
        <v>2</v>
      </c>
      <c r="E222" s="62">
        <f>IF(TblDetailBudget[[#This Row],[Level]]="", "", COUNTIFS($B$8:TblDetailBudget[[#This Row],[Level]], Lvl2Hdr, $D$8:TblDetailBudget[[#This Row],[Lvl 1 Header]], TblDetailBudget[[#This Row],[Lvl 1 Header]]))</f>
        <v>4</v>
      </c>
      <c r="F222" s="62">
        <f>IF(TblDetailBudget[[#This Row],[Level]]="", "", COUNTIFS($B$8:TblDetailBudget[[#This Row],[Level]], Lvl3Hdr, $D$8:TblDetailBudget[[#This Row],[Lvl 1 Header]], TblDetailBudget[[#This Row],[Lvl 1 Header]], $E$8:TblDetailBudget[[#This Row],[Lvl 2 Header]], TblDetailBudget[[#This Row],[Lvl 2 Header]]))</f>
        <v>4</v>
      </c>
      <c r="G2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2" s="96" t="s">
        <v>2403</v>
      </c>
      <c r="J222" s="101"/>
      <c r="K222" s="88"/>
      <c r="L222" s="88"/>
      <c r="M222" s="62" t="str">
        <f>IF(TblDetailBudget[[#This Row],[Level]]=LvlBottomHdr, IFERROR(INDEX(TblUnitCost[Unit], MATCH(TblDetailBudget[[#This Row],[Row Title]], TblUnitCost[Resource], 0)), "Invalid Resource"), "")</f>
        <v>per RAS</v>
      </c>
      <c r="N222" s="125">
        <f>IF(TblDetailBudget[[#This Row],[Level]]=LvlBottomHdr, IFERROR(INDEX(TblUnitCost[LCU], MATCH(TblDetailBudget[[#This Row],[Row Title]], TblUnitCost[Resource], 0)), "Invalid Resource"), "")</f>
        <v>175.75</v>
      </c>
      <c r="O222" s="128">
        <f>'States and LGAs'!CO6</f>
        <v>530266.00936230889</v>
      </c>
      <c r="P222" s="108">
        <v>1</v>
      </c>
      <c r="Q222" s="129">
        <v>1</v>
      </c>
      <c r="R222" s="108"/>
      <c r="S222" s="108"/>
      <c r="T222" s="108"/>
      <c r="U222" s="108"/>
      <c r="V222" s="108">
        <v>1</v>
      </c>
      <c r="W222" s="125">
        <f>IF(TblDetailBudget[[#This Row],[Level]]=LvlBottomHdr, IF(SUM(TblDetailBudget[[#This Row],[2021 Quant]:[2025 Quant]])&gt;0, SUM(TblDetailBudget[[#This Row],[2021 Quant]:[2025 Quant]]), ""), "")</f>
        <v>1</v>
      </c>
      <c r="X22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93194251.145425782</v>
      </c>
      <c r="AC222" s="140">
        <f>SUM(TblDetailBudget[[#This Row],[2021 Cost (LCU)]:[2025 Cost (LCU)]])</f>
        <v>93194251.145425782</v>
      </c>
      <c r="AD222" s="134">
        <f>IFERROR(SUM(TblDetailBudget[[#This Row],[2021 Cost (LCU)]])/FX_Rate, "")</f>
        <v>0</v>
      </c>
      <c r="AE222" s="63">
        <f>IFERROR(SUM(TblDetailBudget[[#This Row],[2022 Cost (LCU)]])/FX_Rate, "")</f>
        <v>0</v>
      </c>
      <c r="AF222" s="63">
        <f>IFERROR(SUM(TblDetailBudget[[#This Row],[2023 Cost (LCU)]])/FX_Rate, "")</f>
        <v>0</v>
      </c>
      <c r="AG222" s="63">
        <f>IFERROR(SUM(TblDetailBudget[[#This Row],[2024 Cost (LCU)]])/FX_Rate, "")</f>
        <v>0</v>
      </c>
      <c r="AH222" s="63">
        <f>IFERROR(SUM(TblDetailBudget[[#This Row],[2025 Cost (LCU)]])/FX_Rate, "")</f>
        <v>58246.40696589111</v>
      </c>
      <c r="AI222" s="125">
        <f>SUM(TblDetailBudget[[#This Row],[2021 Cost (USD)]:[2025 Cost (USD)]])</f>
        <v>58246.40696589111</v>
      </c>
      <c r="AJ222" s="180"/>
    </row>
    <row r="223" spans="2:36" ht="12.75" customHeight="1">
      <c r="B223" s="122" t="s">
        <v>69</v>
      </c>
      <c r="C2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v>
      </c>
      <c r="D223" s="62">
        <f>IF(TblDetailBudget[[#This Row],[Level]]="", "", COUNTIFS($B$8:TblDetailBudget[[#This Row],[Level]], Lvl1Hdr))</f>
        <v>2</v>
      </c>
      <c r="E223" s="62">
        <f>IF(TblDetailBudget[[#This Row],[Level]]="", "", COUNTIFS($B$8:TblDetailBudget[[#This Row],[Level]], Lvl2Hdr, $D$8:TblDetailBudget[[#This Row],[Lvl 1 Header]], TblDetailBudget[[#This Row],[Lvl 1 Header]]))</f>
        <v>4</v>
      </c>
      <c r="F223" s="62">
        <f>IF(TblDetailBudget[[#This Row],[Level]]="", "", COUNTIFS($B$8:TblDetailBudget[[#This Row],[Level]], Lvl3Hdr, $D$8:TblDetailBudget[[#This Row],[Lvl 1 Header]], TblDetailBudget[[#This Row],[Lvl 1 Header]], $E$8:TblDetailBudget[[#This Row],[Lvl 2 Header]], TblDetailBudget[[#This Row],[Lvl 2 Header]]))</f>
        <v>5</v>
      </c>
      <c r="G2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3" s="185" t="s">
        <v>2813</v>
      </c>
      <c r="J223" s="101"/>
      <c r="K223" s="88"/>
      <c r="L223" s="88"/>
      <c r="M223" s="62" t="str">
        <f>IF(TblDetailBudget[[#This Row],[Level]]=LvlBottomHdr, IFERROR(INDEX(TblUnitCost[Unit], MATCH(TblDetailBudget[[#This Row],[Row Title]], TblUnitCost[Resource], 0)), "Invalid Resource"), "")</f>
        <v/>
      </c>
      <c r="N223" s="125" t="str">
        <f>IF(TblDetailBudget[[#This Row],[Level]]=LvlBottomHdr, IFERROR(INDEX(TblUnitCost[LCU], MATCH(TblDetailBudget[[#This Row],[Row Title]], TblUnitCost[Resource], 0)), "Invalid Resource"), "")</f>
        <v/>
      </c>
      <c r="O223" s="128"/>
      <c r="P223" s="108"/>
      <c r="Q223" s="129"/>
      <c r="R223" s="108"/>
      <c r="S223" s="108"/>
      <c r="T223" s="108"/>
      <c r="U223" s="108"/>
      <c r="V223" s="108"/>
      <c r="W223" s="125" t="str">
        <f>IF(TblDetailBudget[[#This Row],[Level]]=LvlBottomHdr, IF(SUM(TblDetailBudget[[#This Row],[2021 Quant]:[2025 Quant]])&gt;0, SUM(TblDetailBudget[[#This Row],[2021 Quant]:[2025 Quant]]), ""), "")</f>
        <v/>
      </c>
      <c r="X22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23" s="140">
        <f>SUM(TblDetailBudget[[#This Row],[2021 Cost (LCU)]:[2025 Cost (LCU)]])</f>
        <v>134033351</v>
      </c>
      <c r="AD223" s="134">
        <f>IFERROR(SUM(TblDetailBudget[[#This Row],[2021 Cost (LCU)]])/FX_Rate, "")</f>
        <v>0</v>
      </c>
      <c r="AE223" s="63">
        <f>IFERROR(SUM(TblDetailBudget[[#This Row],[2022 Cost (LCU)]])/FX_Rate, "")</f>
        <v>0</v>
      </c>
      <c r="AF223" s="63">
        <f>IFERROR(SUM(TblDetailBudget[[#This Row],[2023 Cost (LCU)]])/FX_Rate, "")</f>
        <v>0</v>
      </c>
      <c r="AG223" s="63">
        <f>IFERROR(SUM(TblDetailBudget[[#This Row],[2024 Cost (LCU)]])/FX_Rate, "")</f>
        <v>0</v>
      </c>
      <c r="AH223" s="63">
        <f>IFERROR(SUM(TblDetailBudget[[#This Row],[2025 Cost (LCU)]])/FX_Rate, "")</f>
        <v>83770.844375000001</v>
      </c>
      <c r="AI223" s="125">
        <f>SUM(TblDetailBudget[[#This Row],[2021 Cost (USD)]:[2025 Cost (USD)]])</f>
        <v>83770.844375000001</v>
      </c>
      <c r="AJ223" s="180"/>
    </row>
    <row r="224" spans="2:36" ht="12.75" customHeight="1">
      <c r="B224" s="122" t="s">
        <v>70</v>
      </c>
      <c r="C2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2.4.5.1</v>
      </c>
      <c r="D224" s="62">
        <f>IF(TblDetailBudget[[#This Row],[Level]]="", "", COUNTIFS($B$8:TblDetailBudget[[#This Row],[Level]], Lvl1Hdr))</f>
        <v>2</v>
      </c>
      <c r="E224" s="62">
        <f>IF(TblDetailBudget[[#This Row],[Level]]="", "", COUNTIFS($B$8:TblDetailBudget[[#This Row],[Level]], Lvl2Hdr, $D$8:TblDetailBudget[[#This Row],[Lvl 1 Header]], TblDetailBudget[[#This Row],[Lvl 1 Header]]))</f>
        <v>4</v>
      </c>
      <c r="F224" s="62">
        <f>IF(TblDetailBudget[[#This Row],[Level]]="", "", COUNTIFS($B$8:TblDetailBudget[[#This Row],[Level]], Lvl3Hdr, $D$8:TblDetailBudget[[#This Row],[Lvl 1 Header]], TblDetailBudget[[#This Row],[Lvl 1 Header]], $E$8:TblDetailBudget[[#This Row],[Lvl 2 Header]], TblDetailBudget[[#This Row],[Lvl 2 Header]]))</f>
        <v>5</v>
      </c>
      <c r="G2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4" s="101" t="s">
        <v>2812</v>
      </c>
      <c r="J224" s="101"/>
      <c r="K224" s="88"/>
      <c r="L224" s="88"/>
      <c r="M224" s="62" t="str">
        <f>IF(TblDetailBudget[[#This Row],[Level]]=LvlBottomHdr, IFERROR(INDEX(TblUnitCost[Unit], MATCH(TblDetailBudget[[#This Row],[Row Title]], TblUnitCost[Resource], 0)), "Invalid Resource"), "")</f>
        <v/>
      </c>
      <c r="N224" s="125" t="str">
        <f>IF(TblDetailBudget[[#This Row],[Level]]=LvlBottomHdr, IFERROR(INDEX(TblUnitCost[LCU], MATCH(TblDetailBudget[[#This Row],[Row Title]], TblUnitCost[Resource], 0)), "Invalid Resource"), "")</f>
        <v/>
      </c>
      <c r="O224" s="128"/>
      <c r="P224" s="108"/>
      <c r="Q224" s="129"/>
      <c r="R224" s="108"/>
      <c r="S224" s="108"/>
      <c r="T224" s="108"/>
      <c r="U224" s="108"/>
      <c r="V224" s="108"/>
      <c r="W224" s="125" t="str">
        <f>IF(TblDetailBudget[[#This Row],[Level]]=LvlBottomHdr, IF(SUM(TblDetailBudget[[#This Row],[2021 Quant]:[2025 Quant]])&gt;0, SUM(TblDetailBudget[[#This Row],[2021 Quant]:[2025 Quant]]), ""), "")</f>
        <v/>
      </c>
      <c r="X22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24" s="140">
        <f>SUM(TblDetailBudget[[#This Row],[2021 Cost (LCU)]:[2025 Cost (LCU)]])</f>
        <v>134033351</v>
      </c>
      <c r="AD224" s="134">
        <f>IFERROR(SUM(TblDetailBudget[[#This Row],[2021 Cost (LCU)]])/FX_Rate, "")</f>
        <v>0</v>
      </c>
      <c r="AE224" s="63">
        <f>IFERROR(SUM(TblDetailBudget[[#This Row],[2022 Cost (LCU)]])/FX_Rate, "")</f>
        <v>0</v>
      </c>
      <c r="AF224" s="63">
        <f>IFERROR(SUM(TblDetailBudget[[#This Row],[2023 Cost (LCU)]])/FX_Rate, "")</f>
        <v>0</v>
      </c>
      <c r="AG224" s="63">
        <f>IFERROR(SUM(TblDetailBudget[[#This Row],[2024 Cost (LCU)]])/FX_Rate, "")</f>
        <v>0</v>
      </c>
      <c r="AH224" s="63">
        <f>IFERROR(SUM(TblDetailBudget[[#This Row],[2025 Cost (LCU)]])/FX_Rate, "")</f>
        <v>83770.844375000001</v>
      </c>
      <c r="AI224" s="125">
        <f>SUM(TblDetailBudget[[#This Row],[2021 Cost (USD)]:[2025 Cost (USD)]])</f>
        <v>83770.844375000001</v>
      </c>
      <c r="AJ224" s="180"/>
    </row>
    <row r="225" spans="2:36" ht="12.75" customHeight="1">
      <c r="B225" s="122" t="s">
        <v>71</v>
      </c>
      <c r="C2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2.4.5.1.1</v>
      </c>
      <c r="D225" s="62">
        <f>IF(TblDetailBudget[[#This Row],[Level]]="", "", COUNTIFS($B$8:TblDetailBudget[[#This Row],[Level]], Lvl1Hdr))</f>
        <v>2</v>
      </c>
      <c r="E225" s="62">
        <f>IF(TblDetailBudget[[#This Row],[Level]]="", "", COUNTIFS($B$8:TblDetailBudget[[#This Row],[Level]], Lvl2Hdr, $D$8:TblDetailBudget[[#This Row],[Lvl 1 Header]], TblDetailBudget[[#This Row],[Lvl 1 Header]]))</f>
        <v>4</v>
      </c>
      <c r="F225" s="62">
        <f>IF(TblDetailBudget[[#This Row],[Level]]="", "", COUNTIFS($B$8:TblDetailBudget[[#This Row],[Level]], Lvl3Hdr, $D$8:TblDetailBudget[[#This Row],[Lvl 1 Header]], TblDetailBudget[[#This Row],[Lvl 1 Header]], $E$8:TblDetailBudget[[#This Row],[Lvl 2 Header]], TblDetailBudget[[#This Row],[Lvl 2 Header]]))</f>
        <v>5</v>
      </c>
      <c r="G2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5" s="96" t="s">
        <v>2809</v>
      </c>
      <c r="J225" s="101"/>
      <c r="K225" s="88"/>
      <c r="L225" s="88"/>
      <c r="M225" s="62" t="str">
        <f>IF(TblDetailBudget[[#This Row],[Level]]=LvlBottomHdr, IFERROR(INDEX(TblUnitCost[Unit], MATCH(TblDetailBudget[[#This Row],[Row Title]], TblUnitCost[Resource], 0)), "Invalid Resource"), "")</f>
        <v>per state</v>
      </c>
      <c r="N225" s="125">
        <f>IF(TblDetailBudget[[#This Row],[Level]]=LvlBottomHdr, IFERROR(INDEX(TblUnitCost[LCU], MATCH(TblDetailBudget[[#This Row],[Row Title]], TblUnitCost[Resource], 0)), "Invalid Resource"), "")</f>
        <v>3622523</v>
      </c>
      <c r="O225" s="128">
        <f>'States and LGAs'!AQ6</f>
        <v>37</v>
      </c>
      <c r="P225" s="108">
        <v>1</v>
      </c>
      <c r="Q225" s="129">
        <v>1</v>
      </c>
      <c r="R225" s="108"/>
      <c r="S225" s="108"/>
      <c r="T225" s="108"/>
      <c r="U225" s="108"/>
      <c r="V225" s="108">
        <v>1</v>
      </c>
      <c r="W225" s="125">
        <f>IF(TblDetailBudget[[#This Row],[Level]]=LvlBottomHdr, IF(SUM(TblDetailBudget[[#This Row],[2021 Quant]:[2025 Quant]])&gt;0, SUM(TblDetailBudget[[#This Row],[2021 Quant]:[2025 Quant]]), ""), "")</f>
        <v>1</v>
      </c>
      <c r="X22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25" s="140">
        <f>SUM(TblDetailBudget[[#This Row],[2021 Cost (LCU)]:[2025 Cost (LCU)]])</f>
        <v>134033351</v>
      </c>
      <c r="AD225" s="134">
        <f>IFERROR(SUM(TblDetailBudget[[#This Row],[2021 Cost (LCU)]])/FX_Rate, "")</f>
        <v>0</v>
      </c>
      <c r="AE225" s="63">
        <f>IFERROR(SUM(TblDetailBudget[[#This Row],[2022 Cost (LCU)]])/FX_Rate, "")</f>
        <v>0</v>
      </c>
      <c r="AF225" s="63">
        <f>IFERROR(SUM(TblDetailBudget[[#This Row],[2023 Cost (LCU)]])/FX_Rate, "")</f>
        <v>0</v>
      </c>
      <c r="AG225" s="63">
        <f>IFERROR(SUM(TblDetailBudget[[#This Row],[2024 Cost (LCU)]])/FX_Rate, "")</f>
        <v>0</v>
      </c>
      <c r="AH225" s="63">
        <f>IFERROR(SUM(TblDetailBudget[[#This Row],[2025 Cost (LCU)]])/FX_Rate, "")</f>
        <v>83770.844375000001</v>
      </c>
      <c r="AI225" s="125">
        <f>SUM(TblDetailBudget[[#This Row],[2021 Cost (USD)]:[2025 Cost (USD)]])</f>
        <v>83770.844375000001</v>
      </c>
      <c r="AJ225" s="180"/>
    </row>
    <row r="226" spans="2:36" ht="12.75" customHeight="1">
      <c r="B226" s="122" t="s">
        <v>67</v>
      </c>
      <c r="C2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v>
      </c>
      <c r="D226" s="62">
        <f>IF(TblDetailBudget[[#This Row],[Level]]="", "", COUNTIFS($B$8:TblDetailBudget[[#This Row],[Level]], Lvl1Hdr))</f>
        <v>3</v>
      </c>
      <c r="E226" s="62">
        <f>IF(TblDetailBudget[[#This Row],[Level]]="", "", COUNTIFS($B$8:TblDetailBudget[[#This Row],[Level]], Lvl2Hdr, $D$8:TblDetailBudget[[#This Row],[Lvl 1 Header]], TblDetailBudget[[#This Row],[Lvl 1 Header]]))</f>
        <v>0</v>
      </c>
      <c r="F226" s="62">
        <f>IF(TblDetailBudget[[#This Row],[Level]]="", "", COUNTIFS($B$8:TblDetailBudget[[#This Row],[Level]], Lvl3Hdr, $D$8:TblDetailBudget[[#This Row],[Lvl 1 Header]], TblDetailBudget[[#This Row],[Lvl 1 Header]], $E$8:TblDetailBudget[[#This Row],[Lvl 2 Header]], TblDetailBudget[[#This Row],[Lvl 2 Header]]))</f>
        <v>0</v>
      </c>
      <c r="G2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6" s="101" t="s">
        <v>154</v>
      </c>
      <c r="J226" s="101"/>
      <c r="K226" s="88"/>
      <c r="L226" s="88"/>
      <c r="M226" s="62" t="str">
        <f>IF(TblDetailBudget[[#This Row],[Level]]=LvlBottomHdr, IFERROR(INDEX(TblUnitCost[Unit], MATCH(TblDetailBudget[[#This Row],[Row Title]], TblUnitCost[Resource], 0)), "Invalid Resource"), "")</f>
        <v/>
      </c>
      <c r="N226" s="125" t="str">
        <f>IF(TblDetailBudget[[#This Row],[Level]]=LvlBottomHdr, IFERROR(INDEX(TblUnitCost[LCU], MATCH(TblDetailBudget[[#This Row],[Row Title]], TblUnitCost[Resource], 0)), "Invalid Resource"), "")</f>
        <v/>
      </c>
      <c r="O226" s="128"/>
      <c r="P226" s="108"/>
      <c r="Q226" s="129"/>
      <c r="R226" s="108"/>
      <c r="S226" s="108"/>
      <c r="T226" s="108"/>
      <c r="U226" s="108"/>
      <c r="V226" s="108"/>
      <c r="W226" s="125" t="str">
        <f>IF(TblDetailBudget[[#This Row],[Level]]=LvlBottomHdr, IF(SUM(TblDetailBudget[[#This Row],[2021 Quant]:[2025 Quant]])&gt;0, SUM(TblDetailBudget[[#This Row],[2021 Quant]:[2025 Quant]]), ""), "")</f>
        <v/>
      </c>
      <c r="X2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9118142934</v>
      </c>
      <c r="AC226" s="140">
        <f>SUM(TblDetailBudget[[#This Row],[2021 Cost (LCU)]:[2025 Cost (LCU)]])</f>
        <v>9118142934</v>
      </c>
      <c r="AD226" s="134">
        <f>IFERROR(SUM(TblDetailBudget[[#This Row],[2021 Cost (LCU)]])/FX_Rate, "")</f>
        <v>0</v>
      </c>
      <c r="AE226" s="63">
        <f>IFERROR(SUM(TblDetailBudget[[#This Row],[2022 Cost (LCU)]])/FX_Rate, "")</f>
        <v>0</v>
      </c>
      <c r="AF226" s="63">
        <f>IFERROR(SUM(TblDetailBudget[[#This Row],[2023 Cost (LCU)]])/FX_Rate, "")</f>
        <v>0</v>
      </c>
      <c r="AG226" s="63">
        <f>IFERROR(SUM(TblDetailBudget[[#This Row],[2024 Cost (LCU)]])/FX_Rate, "")</f>
        <v>0</v>
      </c>
      <c r="AH226" s="63">
        <f>IFERROR(SUM(TblDetailBudget[[#This Row],[2025 Cost (LCU)]])/FX_Rate, "")</f>
        <v>5698839.3337500002</v>
      </c>
      <c r="AI226" s="125">
        <f>SUM(TblDetailBudget[[#This Row],[2021 Cost (USD)]:[2025 Cost (USD)]])</f>
        <v>5698839.3337500002</v>
      </c>
      <c r="AJ226" s="180"/>
    </row>
    <row r="227" spans="2:36" s="949" customFormat="1" ht="12.75" customHeight="1">
      <c r="B227" s="938" t="s">
        <v>68</v>
      </c>
      <c r="C227" s="939"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v>
      </c>
      <c r="D227" s="939">
        <f>IF(TblDetailBudget[[#This Row],[Level]]="", "", COUNTIFS($B$8:TblDetailBudget[[#This Row],[Level]], Lvl1Hdr))</f>
        <v>3</v>
      </c>
      <c r="E227" s="939">
        <f>IF(TblDetailBudget[[#This Row],[Level]]="", "", COUNTIFS($B$8:TblDetailBudget[[#This Row],[Level]], Lvl2Hdr, $D$8:TblDetailBudget[[#This Row],[Lvl 1 Header]], TblDetailBudget[[#This Row],[Lvl 1 Header]]))</f>
        <v>1</v>
      </c>
      <c r="F227" s="939">
        <f>IF(TblDetailBudget[[#This Row],[Level]]="", "", COUNTIFS($B$8:TblDetailBudget[[#This Row],[Level]], Lvl3Hdr, $D$8:TblDetailBudget[[#This Row],[Lvl 1 Header]], TblDetailBudget[[#This Row],[Lvl 1 Header]], $E$8:TblDetailBudget[[#This Row],[Lvl 2 Header]], TblDetailBudget[[#This Row],[Lvl 2 Header]]))</f>
        <v>0</v>
      </c>
      <c r="G227" s="939">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7" s="939">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7" s="185" t="s">
        <v>1839</v>
      </c>
      <c r="J227" s="185"/>
      <c r="K227" s="940"/>
      <c r="L227" s="940"/>
      <c r="M227" s="939" t="str">
        <f>IF(TblDetailBudget[[#This Row],[Level]]=LvlBottomHdr, IFERROR(INDEX(TblUnitCost[Unit], MATCH(TblDetailBudget[[#This Row],[Row Title]], TblUnitCost[Resource], 0)), "Invalid Resource"), "")</f>
        <v/>
      </c>
      <c r="N227" s="941" t="str">
        <f>IF(TblDetailBudget[[#This Row],[Level]]=LvlBottomHdr, IFERROR(INDEX(TblUnitCost[LCU], MATCH(TblDetailBudget[[#This Row],[Row Title]], TblUnitCost[Resource], 0)), "Invalid Resource"), "")</f>
        <v/>
      </c>
      <c r="O227" s="942"/>
      <c r="P227" s="943"/>
      <c r="Q227" s="944"/>
      <c r="R227" s="943"/>
      <c r="S227" s="943"/>
      <c r="T227" s="943"/>
      <c r="U227" s="943"/>
      <c r="V227" s="943"/>
      <c r="W227" s="941" t="str">
        <f>IF(TblDetailBudget[[#This Row],[Level]]=LvlBottomHdr, IF(SUM(TblDetailBudget[[#This Row],[2021 Quant]:[2025 Quant]])&gt;0, SUM(TblDetailBudget[[#This Row],[2021 Quant]:[2025 Quant]]), ""), "")</f>
        <v/>
      </c>
      <c r="X227" s="945">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7" s="946">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7" s="946">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7" s="946">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7" s="946">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9118142934</v>
      </c>
      <c r="AC227" s="929">
        <f>SUM(TblDetailBudget[[#This Row],[2021 Cost (LCU)]:[2025 Cost (LCU)]])</f>
        <v>9118142934</v>
      </c>
      <c r="AD227" s="947">
        <f>IFERROR(SUM(TblDetailBudget[[#This Row],[2021 Cost (LCU)]])/FX_Rate, "")</f>
        <v>0</v>
      </c>
      <c r="AE227" s="946">
        <f>IFERROR(SUM(TblDetailBudget[[#This Row],[2022 Cost (LCU)]])/FX_Rate, "")</f>
        <v>0</v>
      </c>
      <c r="AF227" s="946">
        <f>IFERROR(SUM(TblDetailBudget[[#This Row],[2023 Cost (LCU)]])/FX_Rate, "")</f>
        <v>0</v>
      </c>
      <c r="AG227" s="946">
        <f>IFERROR(SUM(TblDetailBudget[[#This Row],[2024 Cost (LCU)]])/FX_Rate, "")</f>
        <v>0</v>
      </c>
      <c r="AH227" s="946">
        <f>IFERROR(SUM(TblDetailBudget[[#This Row],[2025 Cost (LCU)]])/FX_Rate, "")</f>
        <v>5698839.3337500002</v>
      </c>
      <c r="AI227" s="941">
        <f>SUM(TblDetailBudget[[#This Row],[2021 Cost (USD)]:[2025 Cost (USD)]])</f>
        <v>5698839.3337500002</v>
      </c>
      <c r="AJ227" s="948"/>
    </row>
    <row r="228" spans="2:36" ht="12.75" customHeight="1">
      <c r="B228" s="122" t="s">
        <v>69</v>
      </c>
      <c r="C2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v>
      </c>
      <c r="D228" s="62">
        <f>IF(TblDetailBudget[[#This Row],[Level]]="", "", COUNTIFS($B$8:TblDetailBudget[[#This Row],[Level]], Lvl1Hdr))</f>
        <v>3</v>
      </c>
      <c r="E228" s="62">
        <f>IF(TblDetailBudget[[#This Row],[Level]]="", "", COUNTIFS($B$8:TblDetailBudget[[#This Row],[Level]], Lvl2Hdr, $D$8:TblDetailBudget[[#This Row],[Lvl 1 Header]], TblDetailBudget[[#This Row],[Lvl 1 Header]]))</f>
        <v>1</v>
      </c>
      <c r="F228" s="62">
        <f>IF(TblDetailBudget[[#This Row],[Level]]="", "", COUNTIFS($B$8:TblDetailBudget[[#This Row],[Level]], Lvl3Hdr, $D$8:TblDetailBudget[[#This Row],[Lvl 1 Header]], TblDetailBudget[[#This Row],[Lvl 1 Header]], $E$8:TblDetailBudget[[#This Row],[Lvl 2 Header]], TblDetailBudget[[#This Row],[Lvl 2 Header]]))</f>
        <v>1</v>
      </c>
      <c r="G2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8" s="185" t="s">
        <v>1840</v>
      </c>
      <c r="J228" s="101"/>
      <c r="K228" s="88"/>
      <c r="L228" s="88"/>
      <c r="M228" s="62" t="str">
        <f>IF(TblDetailBudget[[#This Row],[Level]]=LvlBottomHdr, IFERROR(INDEX(TblUnitCost[Unit], MATCH(TblDetailBudget[[#This Row],[Row Title]], TblUnitCost[Resource], 0)), "Invalid Resource"), "")</f>
        <v/>
      </c>
      <c r="N228" s="125" t="str">
        <f>IF(TblDetailBudget[[#This Row],[Level]]=LvlBottomHdr, IFERROR(INDEX(TblUnitCost[LCU], MATCH(TblDetailBudget[[#This Row],[Row Title]], TblUnitCost[Resource], 0)), "Invalid Resource"), "")</f>
        <v/>
      </c>
      <c r="O228" s="128"/>
      <c r="P228" s="108"/>
      <c r="Q228" s="129"/>
      <c r="R228" s="108"/>
      <c r="S228" s="108"/>
      <c r="T228" s="108"/>
      <c r="U228" s="108"/>
      <c r="V228" s="108"/>
      <c r="W228" s="125" t="str">
        <f>IF(TblDetailBudget[[#This Row],[Level]]=LvlBottomHdr, IF(SUM(TblDetailBudget[[#This Row],[2021 Quant]:[2025 Quant]])&gt;0, SUM(TblDetailBudget[[#This Row],[2021 Quant]:[2025 Quant]]), ""), "")</f>
        <v/>
      </c>
      <c r="X22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5494446762</v>
      </c>
      <c r="AC228" s="140">
        <f>SUM(TblDetailBudget[[#This Row],[2021 Cost (LCU)]:[2025 Cost (LCU)]])</f>
        <v>5494446762</v>
      </c>
      <c r="AD228" s="134">
        <f>IFERROR(SUM(TblDetailBudget[[#This Row],[2021 Cost (LCU)]])/FX_Rate, "")</f>
        <v>0</v>
      </c>
      <c r="AE228" s="63">
        <f>IFERROR(SUM(TblDetailBudget[[#This Row],[2022 Cost (LCU)]])/FX_Rate, "")</f>
        <v>0</v>
      </c>
      <c r="AF228" s="63">
        <f>IFERROR(SUM(TblDetailBudget[[#This Row],[2023 Cost (LCU)]])/FX_Rate, "")</f>
        <v>0</v>
      </c>
      <c r="AG228" s="63">
        <f>IFERROR(SUM(TblDetailBudget[[#This Row],[2024 Cost (LCU)]])/FX_Rate, "")</f>
        <v>0</v>
      </c>
      <c r="AH228" s="63">
        <f>IFERROR(SUM(TblDetailBudget[[#This Row],[2025 Cost (LCU)]])/FX_Rate, "")</f>
        <v>3434029.2262499998</v>
      </c>
      <c r="AI228" s="125">
        <f>SUM(TblDetailBudget[[#This Row],[2021 Cost (USD)]:[2025 Cost (USD)]])</f>
        <v>3434029.2262499998</v>
      </c>
      <c r="AJ228" s="180"/>
    </row>
    <row r="229" spans="2:36" ht="12.75" customHeight="1">
      <c r="B229" s="122" t="s">
        <v>70</v>
      </c>
      <c r="C2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v>
      </c>
      <c r="D229" s="62">
        <f>IF(TblDetailBudget[[#This Row],[Level]]="", "", COUNTIFS($B$8:TblDetailBudget[[#This Row],[Level]], Lvl1Hdr))</f>
        <v>3</v>
      </c>
      <c r="E229" s="62">
        <f>IF(TblDetailBudget[[#This Row],[Level]]="", "", COUNTIFS($B$8:TblDetailBudget[[#This Row],[Level]], Lvl2Hdr, $D$8:TblDetailBudget[[#This Row],[Lvl 1 Header]], TblDetailBudget[[#This Row],[Lvl 1 Header]]))</f>
        <v>1</v>
      </c>
      <c r="F229" s="62">
        <f>IF(TblDetailBudget[[#This Row],[Level]]="", "", COUNTIFS($B$8:TblDetailBudget[[#This Row],[Level]], Lvl3Hdr, $D$8:TblDetailBudget[[#This Row],[Lvl 1 Header]], TblDetailBudget[[#This Row],[Lvl 1 Header]], $E$8:TblDetailBudget[[#This Row],[Lvl 2 Header]], TblDetailBudget[[#This Row],[Lvl 2 Header]]))</f>
        <v>1</v>
      </c>
      <c r="G2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9" s="101" t="s">
        <v>2796</v>
      </c>
      <c r="J229" s="101"/>
      <c r="K229" s="88"/>
      <c r="L229" s="88"/>
      <c r="M229" s="62" t="str">
        <f>IF(TblDetailBudget[[#This Row],[Level]]=LvlBottomHdr, IFERROR(INDEX(TblUnitCost[Unit], MATCH(TblDetailBudget[[#This Row],[Row Title]], TblUnitCost[Resource], 0)), "Invalid Resource"), "")</f>
        <v/>
      </c>
      <c r="N229" s="125" t="str">
        <f>IF(TblDetailBudget[[#This Row],[Level]]=LvlBottomHdr, IFERROR(INDEX(TblUnitCost[LCU], MATCH(TblDetailBudget[[#This Row],[Row Title]], TblUnitCost[Resource], 0)), "Invalid Resource"), "")</f>
        <v/>
      </c>
      <c r="O229" s="128"/>
      <c r="P229" s="108"/>
      <c r="Q229" s="129"/>
      <c r="R229" s="108"/>
      <c r="S229" s="108"/>
      <c r="T229" s="108"/>
      <c r="U229" s="108"/>
      <c r="V229" s="108"/>
      <c r="W229" s="125" t="str">
        <f>IF(TblDetailBudget[[#This Row],[Level]]=LvlBottomHdr, IF(SUM(TblDetailBudget[[#This Row],[2021 Quant]:[2025 Quant]])&gt;0, SUM(TblDetailBudget[[#This Row],[2021 Quant]:[2025 Quant]]), ""), "")</f>
        <v/>
      </c>
      <c r="X22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5375560064</v>
      </c>
      <c r="AC229" s="140">
        <f>SUM(TblDetailBudget[[#This Row],[2021 Cost (LCU)]:[2025 Cost (LCU)]])</f>
        <v>5375560064</v>
      </c>
      <c r="AD229" s="134">
        <f>IFERROR(SUM(TblDetailBudget[[#This Row],[2021 Cost (LCU)]])/FX_Rate, "")</f>
        <v>0</v>
      </c>
      <c r="AE229" s="63">
        <f>IFERROR(SUM(TblDetailBudget[[#This Row],[2022 Cost (LCU)]])/FX_Rate, "")</f>
        <v>0</v>
      </c>
      <c r="AF229" s="63">
        <f>IFERROR(SUM(TblDetailBudget[[#This Row],[2023 Cost (LCU)]])/FX_Rate, "")</f>
        <v>0</v>
      </c>
      <c r="AG229" s="63">
        <f>IFERROR(SUM(TblDetailBudget[[#This Row],[2024 Cost (LCU)]])/FX_Rate, "")</f>
        <v>0</v>
      </c>
      <c r="AH229" s="63">
        <f>IFERROR(SUM(TblDetailBudget[[#This Row],[2025 Cost (LCU)]])/FX_Rate, "")</f>
        <v>3359725.04</v>
      </c>
      <c r="AI229" s="125">
        <f>SUM(TblDetailBudget[[#This Row],[2021 Cost (USD)]:[2025 Cost (USD)]])</f>
        <v>3359725.04</v>
      </c>
      <c r="AJ229" s="180"/>
    </row>
    <row r="230" spans="2:36" ht="12.75" customHeight="1">
      <c r="B230" s="122" t="s">
        <v>71</v>
      </c>
      <c r="C2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3.1.1.1.1</v>
      </c>
      <c r="D230" s="62">
        <f>IF(TblDetailBudget[[#This Row],[Level]]="", "", COUNTIFS($B$8:TblDetailBudget[[#This Row],[Level]], Lvl1Hdr))</f>
        <v>3</v>
      </c>
      <c r="E230" s="62">
        <f>IF(TblDetailBudget[[#This Row],[Level]]="", "", COUNTIFS($B$8:TblDetailBudget[[#This Row],[Level]], Lvl2Hdr, $D$8:TblDetailBudget[[#This Row],[Lvl 1 Header]], TblDetailBudget[[#This Row],[Lvl 1 Header]]))</f>
        <v>1</v>
      </c>
      <c r="F230" s="62">
        <f>IF(TblDetailBudget[[#This Row],[Level]]="", "", COUNTIFS($B$8:TblDetailBudget[[#This Row],[Level]], Lvl3Hdr, $D$8:TblDetailBudget[[#This Row],[Lvl 1 Header]], TblDetailBudget[[#This Row],[Lvl 1 Header]], $E$8:TblDetailBudget[[#This Row],[Lvl 2 Header]], TblDetailBudget[[#This Row],[Lvl 2 Header]]))</f>
        <v>1</v>
      </c>
      <c r="G2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0" s="96" t="s">
        <v>2807</v>
      </c>
      <c r="J230" s="101"/>
      <c r="K230" s="88"/>
      <c r="L230" s="88"/>
      <c r="M230" s="62" t="str">
        <f>IF(TblDetailBudget[[#This Row],[Level]]=LvlBottomHdr, IFERROR(INDEX(TblUnitCost[Unit], MATCH(TblDetailBudget[[#This Row],[Row Title]], TblUnitCost[Resource], 0)), "Invalid Resource"), "")</f>
        <v>per facility</v>
      </c>
      <c r="N230" s="125">
        <f>IF(TblDetailBudget[[#This Row],[Level]]=LvlBottomHdr, IFERROR(INDEX(TblUnitCost[LCU], MATCH(TblDetailBudget[[#This Row],[Row Title]], TblUnitCost[Resource], 0)), "Invalid Resource"), "")</f>
        <v>173564</v>
      </c>
      <c r="O230" s="128">
        <f>'States and LGAs'!BF6</f>
        <v>28597</v>
      </c>
      <c r="P230" s="108">
        <v>1</v>
      </c>
      <c r="Q230" s="129">
        <v>1</v>
      </c>
      <c r="R230" s="108"/>
      <c r="S230" s="108"/>
      <c r="T230" s="108"/>
      <c r="U230" s="108"/>
      <c r="V230" s="108">
        <v>1</v>
      </c>
      <c r="W230" s="125">
        <f>IF(TblDetailBudget[[#This Row],[Level]]=LvlBottomHdr, IF(SUM(TblDetailBudget[[#This Row],[2021 Quant]:[2025 Quant]])&gt;0, SUM(TblDetailBudget[[#This Row],[2021 Quant]:[2025 Quant]]), ""), "")</f>
        <v>1</v>
      </c>
      <c r="X23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4963409708</v>
      </c>
      <c r="AC230" s="140">
        <f>SUM(TblDetailBudget[[#This Row],[2021 Cost (LCU)]:[2025 Cost (LCU)]])</f>
        <v>4963409708</v>
      </c>
      <c r="AD230" s="134">
        <f>IFERROR(SUM(TblDetailBudget[[#This Row],[2021 Cost (LCU)]])/FX_Rate, "")</f>
        <v>0</v>
      </c>
      <c r="AE230" s="63">
        <f>IFERROR(SUM(TblDetailBudget[[#This Row],[2022 Cost (LCU)]])/FX_Rate, "")</f>
        <v>0</v>
      </c>
      <c r="AF230" s="63">
        <f>IFERROR(SUM(TblDetailBudget[[#This Row],[2023 Cost (LCU)]])/FX_Rate, "")</f>
        <v>0</v>
      </c>
      <c r="AG230" s="63">
        <f>IFERROR(SUM(TblDetailBudget[[#This Row],[2024 Cost (LCU)]])/FX_Rate, "")</f>
        <v>0</v>
      </c>
      <c r="AH230" s="63">
        <f>IFERROR(SUM(TblDetailBudget[[#This Row],[2025 Cost (LCU)]])/FX_Rate, "")</f>
        <v>3102131.0674999999</v>
      </c>
      <c r="AI230" s="125">
        <f>SUM(TblDetailBudget[[#This Row],[2021 Cost (USD)]:[2025 Cost (USD)]])</f>
        <v>3102131.0674999999</v>
      </c>
      <c r="AJ230" s="180"/>
    </row>
    <row r="231" spans="2:36" ht="12.75" customHeight="1">
      <c r="B231" s="122" t="s">
        <v>71</v>
      </c>
      <c r="C2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3.1.1.1.2</v>
      </c>
      <c r="D231" s="62">
        <f>IF(TblDetailBudget[[#This Row],[Level]]="", "", COUNTIFS($B$8:TblDetailBudget[[#This Row],[Level]], Lvl1Hdr))</f>
        <v>3</v>
      </c>
      <c r="E231" s="62">
        <f>IF(TblDetailBudget[[#This Row],[Level]]="", "", COUNTIFS($B$8:TblDetailBudget[[#This Row],[Level]], Lvl2Hdr, $D$8:TblDetailBudget[[#This Row],[Lvl 1 Header]], TblDetailBudget[[#This Row],[Lvl 1 Header]]))</f>
        <v>1</v>
      </c>
      <c r="F231" s="62">
        <f>IF(TblDetailBudget[[#This Row],[Level]]="", "", COUNTIFS($B$8:TblDetailBudget[[#This Row],[Level]], Lvl3Hdr, $D$8:TblDetailBudget[[#This Row],[Lvl 1 Header]], TblDetailBudget[[#This Row],[Lvl 1 Header]], $E$8:TblDetailBudget[[#This Row],[Lvl 2 Header]], TblDetailBudget[[#This Row],[Lvl 2 Header]]))</f>
        <v>1</v>
      </c>
      <c r="G2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31" s="96" t="s">
        <v>2811</v>
      </c>
      <c r="J231" s="101"/>
      <c r="K231" s="88"/>
      <c r="L231" s="88"/>
      <c r="M231" s="62" t="str">
        <f>IF(TblDetailBudget[[#This Row],[Level]]=LvlBottomHdr, IFERROR(INDEX(TblUnitCost[Unit], MATCH(TblDetailBudget[[#This Row],[Row Title]], TblUnitCost[Resource], 0)), "Invalid Resource"), "")</f>
        <v>per LGA</v>
      </c>
      <c r="N231" s="125">
        <f>IF(TblDetailBudget[[#This Row],[Level]]=LvlBottomHdr, IFERROR(INDEX(TblUnitCost[LCU], MATCH(TblDetailBudget[[#This Row],[Row Title]], TblUnitCost[Resource], 0)), "Invalid Resource"), "")</f>
        <v>532494</v>
      </c>
      <c r="O231" s="128">
        <f>'States and LGAs'!AS6</f>
        <v>774</v>
      </c>
      <c r="P231" s="108">
        <v>1</v>
      </c>
      <c r="Q231" s="129">
        <v>1</v>
      </c>
      <c r="R231" s="108"/>
      <c r="S231" s="108"/>
      <c r="T231" s="108"/>
      <c r="U231" s="108"/>
      <c r="V231" s="108">
        <v>1</v>
      </c>
      <c r="W231" s="125">
        <f>IF(TblDetailBudget[[#This Row],[Level]]=LvlBottomHdr, IF(SUM(TblDetailBudget[[#This Row],[2021 Quant]:[2025 Quant]])&gt;0, SUM(TblDetailBudget[[#This Row],[2021 Quant]:[2025 Quant]]), ""), "")</f>
        <v>1</v>
      </c>
      <c r="X23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412150356</v>
      </c>
      <c r="AC231" s="140">
        <f>SUM(TblDetailBudget[[#This Row],[2021 Cost (LCU)]:[2025 Cost (LCU)]])</f>
        <v>412150356</v>
      </c>
      <c r="AD231" s="134">
        <f>IFERROR(SUM(TblDetailBudget[[#This Row],[2021 Cost (LCU)]])/FX_Rate, "")</f>
        <v>0</v>
      </c>
      <c r="AE231" s="63">
        <f>IFERROR(SUM(TblDetailBudget[[#This Row],[2022 Cost (LCU)]])/FX_Rate, "")</f>
        <v>0</v>
      </c>
      <c r="AF231" s="63">
        <f>IFERROR(SUM(TblDetailBudget[[#This Row],[2023 Cost (LCU)]])/FX_Rate, "")</f>
        <v>0</v>
      </c>
      <c r="AG231" s="63">
        <f>IFERROR(SUM(TblDetailBudget[[#This Row],[2024 Cost (LCU)]])/FX_Rate, "")</f>
        <v>0</v>
      </c>
      <c r="AH231" s="63">
        <f>IFERROR(SUM(TblDetailBudget[[#This Row],[2025 Cost (LCU)]])/FX_Rate, "")</f>
        <v>257593.9725</v>
      </c>
      <c r="AI231" s="125">
        <f>SUM(TblDetailBudget[[#This Row],[2021 Cost (USD)]:[2025 Cost (USD)]])</f>
        <v>257593.9725</v>
      </c>
      <c r="AJ231" s="180"/>
    </row>
    <row r="232" spans="2:36" ht="12.75" customHeight="1">
      <c r="B232" s="122" t="s">
        <v>70</v>
      </c>
      <c r="C2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3.1.1.2</v>
      </c>
      <c r="D232" s="62">
        <f>IF(TblDetailBudget[[#This Row],[Level]]="", "", COUNTIFS($B$8:TblDetailBudget[[#This Row],[Level]], Lvl1Hdr))</f>
        <v>3</v>
      </c>
      <c r="E232" s="62">
        <f>IF(TblDetailBudget[[#This Row],[Level]]="", "", COUNTIFS($B$8:TblDetailBudget[[#This Row],[Level]], Lvl2Hdr, $D$8:TblDetailBudget[[#This Row],[Lvl 1 Header]], TblDetailBudget[[#This Row],[Lvl 1 Header]]))</f>
        <v>1</v>
      </c>
      <c r="F232" s="62">
        <f>IF(TblDetailBudget[[#This Row],[Level]]="", "", COUNTIFS($B$8:TblDetailBudget[[#This Row],[Level]], Lvl3Hdr, $D$8:TblDetailBudget[[#This Row],[Lvl 1 Header]], TblDetailBudget[[#This Row],[Lvl 1 Header]], $E$8:TblDetailBudget[[#This Row],[Lvl 2 Header]], TblDetailBudget[[#This Row],[Lvl 2 Header]]))</f>
        <v>1</v>
      </c>
      <c r="G2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2" s="101" t="s">
        <v>2743</v>
      </c>
      <c r="J232" s="101"/>
      <c r="K232" s="88"/>
      <c r="L232" s="88"/>
      <c r="M232" s="62" t="str">
        <f>IF(TblDetailBudget[[#This Row],[Level]]=LvlBottomHdr, IFERROR(INDEX(TblUnitCost[Unit], MATCH(TblDetailBudget[[#This Row],[Row Title]], TblUnitCost[Resource], 0)), "Invalid Resource"), "")</f>
        <v/>
      </c>
      <c r="N232" s="125" t="str">
        <f>IF(TblDetailBudget[[#This Row],[Level]]=LvlBottomHdr, IFERROR(INDEX(TblUnitCost[LCU], MATCH(TblDetailBudget[[#This Row],[Row Title]], TblUnitCost[Resource], 0)), "Invalid Resource"), "")</f>
        <v/>
      </c>
      <c r="O232" s="128"/>
      <c r="P232" s="108"/>
      <c r="Q232" s="129"/>
      <c r="R232" s="108"/>
      <c r="S232" s="108"/>
      <c r="T232" s="108"/>
      <c r="U232" s="108"/>
      <c r="V232" s="108"/>
      <c r="W232" s="125" t="str">
        <f>IF(TblDetailBudget[[#This Row],[Level]]=LvlBottomHdr, IF(SUM(TblDetailBudget[[#This Row],[2021 Quant]:[2025 Quant]])&gt;0, SUM(TblDetailBudget[[#This Row],[2021 Quant]:[2025 Quant]]), ""), "")</f>
        <v/>
      </c>
      <c r="X23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118886698</v>
      </c>
      <c r="AC232" s="140">
        <f>SUM(TblDetailBudget[[#This Row],[2021 Cost (LCU)]:[2025 Cost (LCU)]])</f>
        <v>118886698</v>
      </c>
      <c r="AD232" s="134">
        <f>IFERROR(SUM(TblDetailBudget[[#This Row],[2021 Cost (LCU)]])/FX_Rate, "")</f>
        <v>0</v>
      </c>
      <c r="AE232" s="63">
        <f>IFERROR(SUM(TblDetailBudget[[#This Row],[2022 Cost (LCU)]])/FX_Rate, "")</f>
        <v>0</v>
      </c>
      <c r="AF232" s="63">
        <f>IFERROR(SUM(TblDetailBudget[[#This Row],[2023 Cost (LCU)]])/FX_Rate, "")</f>
        <v>0</v>
      </c>
      <c r="AG232" s="63">
        <f>IFERROR(SUM(TblDetailBudget[[#This Row],[2024 Cost (LCU)]])/FX_Rate, "")</f>
        <v>0</v>
      </c>
      <c r="AH232" s="63">
        <f>IFERROR(SUM(TblDetailBudget[[#This Row],[2025 Cost (LCU)]])/FX_Rate, "")</f>
        <v>74304.186249999999</v>
      </c>
      <c r="AI232" s="125">
        <f>SUM(TblDetailBudget[[#This Row],[2021 Cost (USD)]:[2025 Cost (USD)]])</f>
        <v>74304.186249999999</v>
      </c>
      <c r="AJ232" s="180"/>
    </row>
    <row r="233" spans="2:36" ht="12.75" customHeight="1">
      <c r="B233" s="122" t="s">
        <v>71</v>
      </c>
      <c r="C2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3.1.1.2.1</v>
      </c>
      <c r="D233" s="62">
        <f>IF(TblDetailBudget[[#This Row],[Level]]="", "", COUNTIFS($B$8:TblDetailBudget[[#This Row],[Level]], Lvl1Hdr))</f>
        <v>3</v>
      </c>
      <c r="E233" s="62">
        <f>IF(TblDetailBudget[[#This Row],[Level]]="", "", COUNTIFS($B$8:TblDetailBudget[[#This Row],[Level]], Lvl2Hdr, $D$8:TblDetailBudget[[#This Row],[Lvl 1 Header]], TblDetailBudget[[#This Row],[Lvl 1 Header]]))</f>
        <v>1</v>
      </c>
      <c r="F233" s="62">
        <f>IF(TblDetailBudget[[#This Row],[Level]]="", "", COUNTIFS($B$8:TblDetailBudget[[#This Row],[Level]], Lvl3Hdr, $D$8:TblDetailBudget[[#This Row],[Lvl 1 Header]], TblDetailBudget[[#This Row],[Lvl 1 Header]], $E$8:TblDetailBudget[[#This Row],[Lvl 2 Header]], TblDetailBudget[[#This Row],[Lvl 2 Header]]))</f>
        <v>1</v>
      </c>
      <c r="G2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3" s="96" t="s">
        <v>2738</v>
      </c>
      <c r="J233" s="101"/>
      <c r="K233" s="88"/>
      <c r="L233" s="88"/>
      <c r="M233" s="62" t="str">
        <f>IF(TblDetailBudget[[#This Row],[Level]]=LvlBottomHdr, IFERROR(INDEX(TblUnitCost[Unit], MATCH(TblDetailBudget[[#This Row],[Row Title]], TblUnitCost[Resource], 0)), "Invalid Resource"), "")</f>
        <v>per State</v>
      </c>
      <c r="N233" s="125">
        <f>IF(TblDetailBudget[[#This Row],[Level]]=LvlBottomHdr, IFERROR(INDEX(TblUnitCost[LCU], MATCH(TblDetailBudget[[#This Row],[Row Title]], TblUnitCost[Resource], 0)), "Invalid Resource"), "")</f>
        <v>3213154</v>
      </c>
      <c r="O233" s="128">
        <v>37</v>
      </c>
      <c r="P233" s="108">
        <v>1</v>
      </c>
      <c r="Q233" s="129">
        <v>1</v>
      </c>
      <c r="R233" s="108"/>
      <c r="S233" s="108"/>
      <c r="T233" s="108"/>
      <c r="U233" s="108"/>
      <c r="V233" s="108">
        <v>1</v>
      </c>
      <c r="W233" s="125">
        <f>IF(TblDetailBudget[[#This Row],[Level]]=LvlBottomHdr, IF(SUM(TblDetailBudget[[#This Row],[2021 Quant]:[2025 Quant]])&gt;0, SUM(TblDetailBudget[[#This Row],[2021 Quant]:[2025 Quant]]), ""), "")</f>
        <v>1</v>
      </c>
      <c r="X23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118886698</v>
      </c>
      <c r="AC233" s="140">
        <f>SUM(TblDetailBudget[[#This Row],[2021 Cost (LCU)]:[2025 Cost (LCU)]])</f>
        <v>118886698</v>
      </c>
      <c r="AD233" s="134">
        <f>IFERROR(SUM(TblDetailBudget[[#This Row],[2021 Cost (LCU)]])/FX_Rate, "")</f>
        <v>0</v>
      </c>
      <c r="AE233" s="63">
        <f>IFERROR(SUM(TblDetailBudget[[#This Row],[2022 Cost (LCU)]])/FX_Rate, "")</f>
        <v>0</v>
      </c>
      <c r="AF233" s="63">
        <f>IFERROR(SUM(TblDetailBudget[[#This Row],[2023 Cost (LCU)]])/FX_Rate, "")</f>
        <v>0</v>
      </c>
      <c r="AG233" s="63">
        <f>IFERROR(SUM(TblDetailBudget[[#This Row],[2024 Cost (LCU)]])/FX_Rate, "")</f>
        <v>0</v>
      </c>
      <c r="AH233" s="63">
        <f>IFERROR(SUM(TblDetailBudget[[#This Row],[2025 Cost (LCU)]])/FX_Rate, "")</f>
        <v>74304.186249999999</v>
      </c>
      <c r="AI233" s="125">
        <f>SUM(TblDetailBudget[[#This Row],[2021 Cost (USD)]:[2025 Cost (USD)]])</f>
        <v>74304.186249999999</v>
      </c>
      <c r="AJ233" s="180"/>
    </row>
    <row r="234" spans="2:36" ht="12.75" customHeight="1">
      <c r="B234" s="122" t="s">
        <v>69</v>
      </c>
      <c r="C2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v>
      </c>
      <c r="D234" s="62">
        <f>IF(TblDetailBudget[[#This Row],[Level]]="", "", COUNTIFS($B$8:TblDetailBudget[[#This Row],[Level]], Lvl1Hdr))</f>
        <v>3</v>
      </c>
      <c r="E234" s="62">
        <f>IF(TblDetailBudget[[#This Row],[Level]]="", "", COUNTIFS($B$8:TblDetailBudget[[#This Row],[Level]], Lvl2Hdr, $D$8:TblDetailBudget[[#This Row],[Lvl 1 Header]], TblDetailBudget[[#This Row],[Lvl 1 Header]]))</f>
        <v>1</v>
      </c>
      <c r="F234" s="62">
        <f>IF(TblDetailBudget[[#This Row],[Level]]="", "", COUNTIFS($B$8:TblDetailBudget[[#This Row],[Level]], Lvl3Hdr, $D$8:TblDetailBudget[[#This Row],[Lvl 1 Header]], TblDetailBudget[[#This Row],[Lvl 1 Header]], $E$8:TblDetailBudget[[#This Row],[Lvl 2 Header]], TblDetailBudget[[#This Row],[Lvl 2 Header]]))</f>
        <v>2</v>
      </c>
      <c r="G2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4" s="185" t="s">
        <v>1841</v>
      </c>
      <c r="J234" s="101"/>
      <c r="K234" s="88"/>
      <c r="L234" s="88"/>
      <c r="M234" s="62" t="str">
        <f>IF(TblDetailBudget[[#This Row],[Level]]=LvlBottomHdr, IFERROR(INDEX(TblUnitCost[Unit], MATCH(TblDetailBudget[[#This Row],[Row Title]], TblUnitCost[Resource], 0)), "Invalid Resource"), "")</f>
        <v/>
      </c>
      <c r="N234" s="125" t="str">
        <f>IF(TblDetailBudget[[#This Row],[Level]]=LvlBottomHdr, IFERROR(INDEX(TblUnitCost[LCU], MATCH(TblDetailBudget[[#This Row],[Row Title]], TblUnitCost[Resource], 0)), "Invalid Resource"), "")</f>
        <v/>
      </c>
      <c r="O234" s="128"/>
      <c r="P234" s="108"/>
      <c r="Q234" s="129"/>
      <c r="R234" s="108"/>
      <c r="S234" s="108"/>
      <c r="T234" s="108"/>
      <c r="U234" s="108"/>
      <c r="V234" s="108"/>
      <c r="W234" s="125" t="str">
        <f>IF(TblDetailBudget[[#This Row],[Level]]=LvlBottomHdr, IF(SUM(TblDetailBudget[[#This Row],[2021 Quant]:[2025 Quant]])&gt;0, SUM(TblDetailBudget[[#This Row],[2021 Quant]:[2025 Quant]]), ""), "")</f>
        <v/>
      </c>
      <c r="X23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34" s="140">
        <f>SUM(TblDetailBudget[[#This Row],[2021 Cost (LCU)]:[2025 Cost (LCU)]])</f>
        <v>3623696172</v>
      </c>
      <c r="AD234" s="134">
        <f>IFERROR(SUM(TblDetailBudget[[#This Row],[2021 Cost (LCU)]])/FX_Rate, "")</f>
        <v>0</v>
      </c>
      <c r="AE234" s="63">
        <f>IFERROR(SUM(TblDetailBudget[[#This Row],[2022 Cost (LCU)]])/FX_Rate, "")</f>
        <v>0</v>
      </c>
      <c r="AF234" s="63">
        <f>IFERROR(SUM(TblDetailBudget[[#This Row],[2023 Cost (LCU)]])/FX_Rate, "")</f>
        <v>0</v>
      </c>
      <c r="AG234" s="63">
        <f>IFERROR(SUM(TblDetailBudget[[#This Row],[2024 Cost (LCU)]])/FX_Rate, "")</f>
        <v>0</v>
      </c>
      <c r="AH234" s="63">
        <f>IFERROR(SUM(TblDetailBudget[[#This Row],[2025 Cost (LCU)]])/FX_Rate, "")</f>
        <v>2264810.1074999999</v>
      </c>
      <c r="AI234" s="125">
        <f>SUM(TblDetailBudget[[#This Row],[2021 Cost (USD)]:[2025 Cost (USD)]])</f>
        <v>2264810.1074999999</v>
      </c>
      <c r="AJ234" s="180"/>
    </row>
    <row r="235" spans="2:36" ht="12.75" customHeight="1">
      <c r="B235" s="122" t="s">
        <v>70</v>
      </c>
      <c r="C2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3.1.2.1</v>
      </c>
      <c r="D235" s="62">
        <f>IF(TblDetailBudget[[#This Row],[Level]]="", "", COUNTIFS($B$8:TblDetailBudget[[#This Row],[Level]], Lvl1Hdr))</f>
        <v>3</v>
      </c>
      <c r="E235" s="62">
        <f>IF(TblDetailBudget[[#This Row],[Level]]="", "", COUNTIFS($B$8:TblDetailBudget[[#This Row],[Level]], Lvl2Hdr, $D$8:TblDetailBudget[[#This Row],[Lvl 1 Header]], TblDetailBudget[[#This Row],[Lvl 1 Header]]))</f>
        <v>1</v>
      </c>
      <c r="F235" s="62">
        <f>IF(TblDetailBudget[[#This Row],[Level]]="", "", COUNTIFS($B$8:TblDetailBudget[[#This Row],[Level]], Lvl3Hdr, $D$8:TblDetailBudget[[#This Row],[Lvl 1 Header]], TblDetailBudget[[#This Row],[Lvl 1 Header]], $E$8:TblDetailBudget[[#This Row],[Lvl 2 Header]], TblDetailBudget[[#This Row],[Lvl 2 Header]]))</f>
        <v>2</v>
      </c>
      <c r="G2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5" s="96" t="s">
        <v>2634</v>
      </c>
      <c r="J235" s="101"/>
      <c r="K235" s="88"/>
      <c r="L235" s="88"/>
      <c r="M235" s="62" t="str">
        <f>IF(TblDetailBudget[[#This Row],[Level]]=LvlBottomHdr, IFERROR(INDEX(TblUnitCost[Unit], MATCH(TblDetailBudget[[#This Row],[Row Title]], TblUnitCost[Resource], 0)), "Invalid Resource"), "")</f>
        <v/>
      </c>
      <c r="N235" s="125" t="str">
        <f>IF(TblDetailBudget[[#This Row],[Level]]=LvlBottomHdr, IFERROR(INDEX(TblUnitCost[LCU], MATCH(TblDetailBudget[[#This Row],[Row Title]], TblUnitCost[Resource], 0)), "Invalid Resource"), "")</f>
        <v/>
      </c>
      <c r="O235" s="128"/>
      <c r="P235" s="108"/>
      <c r="Q235" s="129"/>
      <c r="R235" s="108"/>
      <c r="S235" s="108"/>
      <c r="T235" s="108"/>
      <c r="U235" s="108"/>
      <c r="V235" s="108"/>
      <c r="W235" s="125" t="str">
        <f>IF(TblDetailBudget[[#This Row],[Level]]=LvlBottomHdr, IF(SUM(TblDetailBudget[[#This Row],[2021 Quant]:[2025 Quant]])&gt;0, SUM(TblDetailBudget[[#This Row],[2021 Quant]:[2025 Quant]]), ""), "")</f>
        <v/>
      </c>
      <c r="X23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35" s="140">
        <f>SUM(TblDetailBudget[[#This Row],[2021 Cost (LCU)]:[2025 Cost (LCU)]])</f>
        <v>3623696172</v>
      </c>
      <c r="AD235" s="134">
        <f>IFERROR(SUM(TblDetailBudget[[#This Row],[2021 Cost (LCU)]])/FX_Rate, "")</f>
        <v>0</v>
      </c>
      <c r="AE235" s="63">
        <f>IFERROR(SUM(TblDetailBudget[[#This Row],[2022 Cost (LCU)]])/FX_Rate, "")</f>
        <v>0</v>
      </c>
      <c r="AF235" s="63">
        <f>IFERROR(SUM(TblDetailBudget[[#This Row],[2023 Cost (LCU)]])/FX_Rate, "")</f>
        <v>0</v>
      </c>
      <c r="AG235" s="63">
        <f>IFERROR(SUM(TblDetailBudget[[#This Row],[2024 Cost (LCU)]])/FX_Rate, "")</f>
        <v>0</v>
      </c>
      <c r="AH235" s="63">
        <f>IFERROR(SUM(TblDetailBudget[[#This Row],[2025 Cost (LCU)]])/FX_Rate, "")</f>
        <v>2264810.1074999999</v>
      </c>
      <c r="AI235" s="125">
        <f>SUM(TblDetailBudget[[#This Row],[2021 Cost (USD)]:[2025 Cost (USD)]])</f>
        <v>2264810.1074999999</v>
      </c>
      <c r="AJ235" s="180"/>
    </row>
    <row r="236" spans="2:36" ht="12.75" customHeight="1">
      <c r="B236" s="122" t="s">
        <v>71</v>
      </c>
      <c r="C2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3.1.2.1.1</v>
      </c>
      <c r="D236" s="62">
        <f>IF(TblDetailBudget[[#This Row],[Level]]="", "", COUNTIFS($B$8:TblDetailBudget[[#This Row],[Level]], Lvl1Hdr))</f>
        <v>3</v>
      </c>
      <c r="E236" s="62">
        <f>IF(TblDetailBudget[[#This Row],[Level]]="", "", COUNTIFS($B$8:TblDetailBudget[[#This Row],[Level]], Lvl2Hdr, $D$8:TblDetailBudget[[#This Row],[Lvl 1 Header]], TblDetailBudget[[#This Row],[Lvl 1 Header]]))</f>
        <v>1</v>
      </c>
      <c r="F236" s="62">
        <f>IF(TblDetailBudget[[#This Row],[Level]]="", "", COUNTIFS($B$8:TblDetailBudget[[#This Row],[Level]], Lvl3Hdr, $D$8:TblDetailBudget[[#This Row],[Lvl 1 Header]], TblDetailBudget[[#This Row],[Lvl 1 Header]], $E$8:TblDetailBudget[[#This Row],[Lvl 2 Header]], TblDetailBudget[[#This Row],[Lvl 2 Header]]))</f>
        <v>2</v>
      </c>
      <c r="G2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6" s="96" t="s">
        <v>2632</v>
      </c>
      <c r="J236" s="101"/>
      <c r="K236" s="88"/>
      <c r="L236" s="88"/>
      <c r="M236" s="62" t="str">
        <f>IF(TblDetailBudget[[#This Row],[Level]]=LvlBottomHdr, IFERROR(INDEX(TblUnitCost[Unit], MATCH(TblDetailBudget[[#This Row],[Row Title]], TblUnitCost[Resource], 0)), "Invalid Resource"), "")</f>
        <v>per LGA</v>
      </c>
      <c r="N236" s="125">
        <f>IF(TblDetailBudget[[#This Row],[Level]]=LvlBottomHdr, IFERROR(INDEX(TblUnitCost[LCU], MATCH(TblDetailBudget[[#This Row],[Row Title]], TblUnitCost[Resource], 0)), "Invalid Resource"), "")</f>
        <v>4681778</v>
      </c>
      <c r="O236" s="128">
        <v>774</v>
      </c>
      <c r="P236" s="108">
        <v>1</v>
      </c>
      <c r="Q236" s="129">
        <v>1</v>
      </c>
      <c r="R236" s="108"/>
      <c r="S236" s="108"/>
      <c r="T236" s="108"/>
      <c r="U236" s="108"/>
      <c r="V236" s="108">
        <v>1</v>
      </c>
      <c r="W236" s="125">
        <f>IF(TblDetailBudget[[#This Row],[Level]]=LvlBottomHdr, IF(SUM(TblDetailBudget[[#This Row],[2021 Quant]:[2025 Quant]])&gt;0, SUM(TblDetailBudget[[#This Row],[2021 Quant]:[2025 Quant]]), ""), "")</f>
        <v>1</v>
      </c>
      <c r="X23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36" s="140">
        <f>SUM(TblDetailBudget[[#This Row],[2021 Cost (LCU)]:[2025 Cost (LCU)]])</f>
        <v>3623696172</v>
      </c>
      <c r="AD236" s="134">
        <f>IFERROR(SUM(TblDetailBudget[[#This Row],[2021 Cost (LCU)]])/FX_Rate, "")</f>
        <v>0</v>
      </c>
      <c r="AE236" s="63">
        <f>IFERROR(SUM(TblDetailBudget[[#This Row],[2022 Cost (LCU)]])/FX_Rate, "")</f>
        <v>0</v>
      </c>
      <c r="AF236" s="63">
        <f>IFERROR(SUM(TblDetailBudget[[#This Row],[2023 Cost (LCU)]])/FX_Rate, "")</f>
        <v>0</v>
      </c>
      <c r="AG236" s="63">
        <f>IFERROR(SUM(TblDetailBudget[[#This Row],[2024 Cost (LCU)]])/FX_Rate, "")</f>
        <v>0</v>
      </c>
      <c r="AH236" s="63">
        <f>IFERROR(SUM(TblDetailBudget[[#This Row],[2025 Cost (LCU)]])/FX_Rate, "")</f>
        <v>2264810.1074999999</v>
      </c>
      <c r="AI236" s="125">
        <f>SUM(TblDetailBudget[[#This Row],[2021 Cost (USD)]:[2025 Cost (USD)]])</f>
        <v>2264810.1074999999</v>
      </c>
      <c r="AJ236" s="180"/>
    </row>
    <row r="237" spans="2:36" ht="12.75" hidden="1" customHeight="1">
      <c r="B237" s="122" t="s">
        <v>70</v>
      </c>
      <c r="C2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3.1.2.2</v>
      </c>
      <c r="D237" s="62">
        <f>IF(TblDetailBudget[[#This Row],[Level]]="", "", COUNTIFS($B$8:TblDetailBudget[[#This Row],[Level]], Lvl1Hdr))</f>
        <v>3</v>
      </c>
      <c r="E237" s="62">
        <f>IF(TblDetailBudget[[#This Row],[Level]]="", "", COUNTIFS($B$8:TblDetailBudget[[#This Row],[Level]], Lvl2Hdr, $D$8:TblDetailBudget[[#This Row],[Lvl 1 Header]], TblDetailBudget[[#This Row],[Lvl 1 Header]]))</f>
        <v>1</v>
      </c>
      <c r="F237" s="62">
        <f>IF(TblDetailBudget[[#This Row],[Level]]="", "", COUNTIFS($B$8:TblDetailBudget[[#This Row],[Level]], Lvl3Hdr, $D$8:TblDetailBudget[[#This Row],[Lvl 1 Header]], TblDetailBudget[[#This Row],[Lvl 1 Header]], $E$8:TblDetailBudget[[#This Row],[Lvl 2 Header]], TblDetailBudget[[#This Row],[Lvl 2 Header]]))</f>
        <v>2</v>
      </c>
      <c r="G2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7" s="101"/>
      <c r="J237" s="101"/>
      <c r="K237" s="88"/>
      <c r="L237" s="88"/>
      <c r="M237" s="62" t="str">
        <f>IF(TblDetailBudget[[#This Row],[Level]]=LvlBottomHdr, IFERROR(INDEX(TblUnitCost[Unit], MATCH(TblDetailBudget[[#This Row],[Row Title]], TblUnitCost[Resource], 0)), "Invalid Resource"), "")</f>
        <v/>
      </c>
      <c r="N237" s="125" t="str">
        <f>IF(TblDetailBudget[[#This Row],[Level]]=LvlBottomHdr, IFERROR(INDEX(TblUnitCost[LCU], MATCH(TblDetailBudget[[#This Row],[Row Title]], TblUnitCost[Resource], 0)), "Invalid Resource"), "")</f>
        <v/>
      </c>
      <c r="O237" s="128"/>
      <c r="P237" s="108"/>
      <c r="Q237" s="129"/>
      <c r="R237" s="108"/>
      <c r="S237" s="108"/>
      <c r="T237" s="108"/>
      <c r="U237" s="108"/>
      <c r="V237" s="108"/>
      <c r="W237" s="125" t="str">
        <f>IF(TblDetailBudget[[#This Row],[Level]]=LvlBottomHdr, IF(SUM(TblDetailBudget[[#This Row],[2021 Quant]:[2025 Quant]])&gt;0, SUM(TblDetailBudget[[#This Row],[2021 Quant]:[2025 Quant]]), ""), "")</f>
        <v/>
      </c>
      <c r="X23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37" s="140">
        <f>SUM(TblDetailBudget[[#This Row],[2021 Cost (LCU)]:[2025 Cost (LCU)]])</f>
        <v>0</v>
      </c>
      <c r="AD237" s="134">
        <f>IFERROR(SUM(TblDetailBudget[[#This Row],[2021 Cost (LCU)]])/FX_Rate, "")</f>
        <v>0</v>
      </c>
      <c r="AE237" s="63">
        <f>IFERROR(SUM(TblDetailBudget[[#This Row],[2022 Cost (LCU)]])/FX_Rate, "")</f>
        <v>0</v>
      </c>
      <c r="AF237" s="63">
        <f>IFERROR(SUM(TblDetailBudget[[#This Row],[2023 Cost (LCU)]])/FX_Rate, "")</f>
        <v>0</v>
      </c>
      <c r="AG237" s="63">
        <f>IFERROR(SUM(TblDetailBudget[[#This Row],[2024 Cost (LCU)]])/FX_Rate, "")</f>
        <v>0</v>
      </c>
      <c r="AH237" s="63">
        <f>IFERROR(SUM(TblDetailBudget[[#This Row],[2025 Cost (LCU)]])/FX_Rate, "")</f>
        <v>0</v>
      </c>
      <c r="AI237" s="125">
        <f>SUM(TblDetailBudget[[#This Row],[2021 Cost (USD)]:[2025 Cost (USD)]])</f>
        <v>0</v>
      </c>
      <c r="AJ237" s="180"/>
    </row>
    <row r="238" spans="2:36" ht="12.75" hidden="1" customHeight="1">
      <c r="B238" s="122" t="s">
        <v>71</v>
      </c>
      <c r="C2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3.1.2.2.1</v>
      </c>
      <c r="D238" s="62">
        <f>IF(TblDetailBudget[[#This Row],[Level]]="", "", COUNTIFS($B$8:TblDetailBudget[[#This Row],[Level]], Lvl1Hdr))</f>
        <v>3</v>
      </c>
      <c r="E238" s="62">
        <f>IF(TblDetailBudget[[#This Row],[Level]]="", "", COUNTIFS($B$8:TblDetailBudget[[#This Row],[Level]], Lvl2Hdr, $D$8:TblDetailBudget[[#This Row],[Lvl 1 Header]], TblDetailBudget[[#This Row],[Lvl 1 Header]]))</f>
        <v>1</v>
      </c>
      <c r="F238" s="62">
        <f>IF(TblDetailBudget[[#This Row],[Level]]="", "", COUNTIFS($B$8:TblDetailBudget[[#This Row],[Level]], Lvl3Hdr, $D$8:TblDetailBudget[[#This Row],[Lvl 1 Header]], TblDetailBudget[[#This Row],[Lvl 1 Header]], $E$8:TblDetailBudget[[#This Row],[Lvl 2 Header]], TblDetailBudget[[#This Row],[Lvl 2 Header]]))</f>
        <v>2</v>
      </c>
      <c r="G2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8" s="101"/>
      <c r="J238" s="101"/>
      <c r="K238" s="88"/>
      <c r="L238" s="88"/>
      <c r="M238" s="62" t="str">
        <f>IF(TblDetailBudget[[#This Row],[Level]]=LvlBottomHdr, IFERROR(INDEX(TblUnitCost[Unit], MATCH(TblDetailBudget[[#This Row],[Row Title]], TblUnitCost[Resource], 0)), "Invalid Resource"), "")</f>
        <v>Invalid Resource</v>
      </c>
      <c r="N238" s="125" t="str">
        <f>IF(TblDetailBudget[[#This Row],[Level]]=LvlBottomHdr, IFERROR(INDEX(TblUnitCost[LCU], MATCH(TblDetailBudget[[#This Row],[Row Title]], TblUnitCost[Resource], 0)), "Invalid Resource"), "")</f>
        <v>Invalid Resource</v>
      </c>
      <c r="O238" s="128"/>
      <c r="P238" s="108"/>
      <c r="Q238" s="129"/>
      <c r="R238" s="108"/>
      <c r="S238" s="108"/>
      <c r="T238" s="108"/>
      <c r="U238" s="108"/>
      <c r="V238" s="108"/>
      <c r="W238" s="125" t="str">
        <f>IF(TblDetailBudget[[#This Row],[Level]]=LvlBottomHdr, IF(SUM(TblDetailBudget[[#This Row],[2021 Quant]:[2025 Quant]])&gt;0, SUM(TblDetailBudget[[#This Row],[2021 Quant]:[2025 Quant]]), ""), "")</f>
        <v/>
      </c>
      <c r="X23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3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3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3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3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38" s="140">
        <f>SUM(TblDetailBudget[[#This Row],[2021 Cost (LCU)]:[2025 Cost (LCU)]])</f>
        <v>0</v>
      </c>
      <c r="AD238" s="134">
        <f>IFERROR(SUM(TblDetailBudget[[#This Row],[2021 Cost (LCU)]])/FX_Rate, "")</f>
        <v>0</v>
      </c>
      <c r="AE238" s="63">
        <f>IFERROR(SUM(TblDetailBudget[[#This Row],[2022 Cost (LCU)]])/FX_Rate, "")</f>
        <v>0</v>
      </c>
      <c r="AF238" s="63">
        <f>IFERROR(SUM(TblDetailBudget[[#This Row],[2023 Cost (LCU)]])/FX_Rate, "")</f>
        <v>0</v>
      </c>
      <c r="AG238" s="63">
        <f>IFERROR(SUM(TblDetailBudget[[#This Row],[2024 Cost (LCU)]])/FX_Rate, "")</f>
        <v>0</v>
      </c>
      <c r="AH238" s="63">
        <f>IFERROR(SUM(TblDetailBudget[[#This Row],[2025 Cost (LCU)]])/FX_Rate, "")</f>
        <v>0</v>
      </c>
      <c r="AI238" s="125">
        <f>SUM(TblDetailBudget[[#This Row],[2021 Cost (USD)]:[2025 Cost (USD)]])</f>
        <v>0</v>
      </c>
      <c r="AJ238" s="180"/>
    </row>
    <row r="239" spans="2:36" ht="12.75" hidden="1" customHeight="1">
      <c r="B239" s="122" t="s">
        <v>70</v>
      </c>
      <c r="C2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v>
      </c>
      <c r="D239" s="62">
        <f>IF(TblDetailBudget[[#This Row],[Level]]="", "", COUNTIFS($B$8:TblDetailBudget[[#This Row],[Level]], Lvl1Hdr))</f>
        <v>3</v>
      </c>
      <c r="E239" s="62">
        <f>IF(TblDetailBudget[[#This Row],[Level]]="", "", COUNTIFS($B$8:TblDetailBudget[[#This Row],[Level]], Lvl2Hdr, $D$8:TblDetailBudget[[#This Row],[Lvl 1 Header]], TblDetailBudget[[#This Row],[Lvl 1 Header]]))</f>
        <v>1</v>
      </c>
      <c r="F239" s="62">
        <f>IF(TblDetailBudget[[#This Row],[Level]]="", "", COUNTIFS($B$8:TblDetailBudget[[#This Row],[Level]], Lvl3Hdr, $D$8:TblDetailBudget[[#This Row],[Lvl 1 Header]], TblDetailBudget[[#This Row],[Lvl 1 Header]], $E$8:TblDetailBudget[[#This Row],[Lvl 2 Header]], TblDetailBudget[[#This Row],[Lvl 2 Header]]))</f>
        <v>2</v>
      </c>
      <c r="G2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9" s="101"/>
      <c r="J239" s="101"/>
      <c r="K239" s="88"/>
      <c r="L239" s="88"/>
      <c r="M239" s="62" t="str">
        <f>IF(TblDetailBudget[[#This Row],[Level]]=LvlBottomHdr, IFERROR(INDEX(TblUnitCost[Unit], MATCH(TblDetailBudget[[#This Row],[Row Title]], TblUnitCost[Resource], 0)), "Invalid Resource"), "")</f>
        <v/>
      </c>
      <c r="N239" s="125" t="str">
        <f>IF(TblDetailBudget[[#This Row],[Level]]=LvlBottomHdr, IFERROR(INDEX(TblUnitCost[LCU], MATCH(TblDetailBudget[[#This Row],[Row Title]], TblUnitCost[Resource], 0)), "Invalid Resource"), "")</f>
        <v/>
      </c>
      <c r="O239" s="128"/>
      <c r="P239" s="108"/>
      <c r="Q239" s="129"/>
      <c r="R239" s="108"/>
      <c r="S239" s="108"/>
      <c r="T239" s="108"/>
      <c r="U239" s="108"/>
      <c r="V239" s="108"/>
      <c r="W239" s="125" t="str">
        <f>IF(TblDetailBudget[[#This Row],[Level]]=LvlBottomHdr, IF(SUM(TblDetailBudget[[#This Row],[2021 Quant]:[2025 Quant]])&gt;0, SUM(TblDetailBudget[[#This Row],[2021 Quant]:[2025 Quant]]), ""), "")</f>
        <v/>
      </c>
      <c r="X23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39" s="140">
        <f>SUM(TblDetailBudget[[#This Row],[2021 Cost (LCU)]:[2025 Cost (LCU)]])</f>
        <v>0</v>
      </c>
      <c r="AD239" s="134">
        <f>IFERROR(SUM(TblDetailBudget[[#This Row],[2021 Cost (LCU)]])/FX_Rate, "")</f>
        <v>0</v>
      </c>
      <c r="AE239" s="63">
        <f>IFERROR(SUM(TblDetailBudget[[#This Row],[2022 Cost (LCU)]])/FX_Rate, "")</f>
        <v>0</v>
      </c>
      <c r="AF239" s="63">
        <f>IFERROR(SUM(TblDetailBudget[[#This Row],[2023 Cost (LCU)]])/FX_Rate, "")</f>
        <v>0</v>
      </c>
      <c r="AG239" s="63">
        <f>IFERROR(SUM(TblDetailBudget[[#This Row],[2024 Cost (LCU)]])/FX_Rate, "")</f>
        <v>0</v>
      </c>
      <c r="AH239" s="63">
        <f>IFERROR(SUM(TblDetailBudget[[#This Row],[2025 Cost (LCU)]])/FX_Rate, "")</f>
        <v>0</v>
      </c>
      <c r="AI239" s="125">
        <f>SUM(TblDetailBudget[[#This Row],[2021 Cost (USD)]:[2025 Cost (USD)]])</f>
        <v>0</v>
      </c>
      <c r="AJ239" s="180"/>
    </row>
    <row r="240" spans="2:36" ht="12.75" hidden="1" customHeight="1">
      <c r="B240" s="122" t="s">
        <v>71</v>
      </c>
      <c r="C2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3.1.2.3.1</v>
      </c>
      <c r="D240" s="62">
        <f>IF(TblDetailBudget[[#This Row],[Level]]="", "", COUNTIFS($B$8:TblDetailBudget[[#This Row],[Level]], Lvl1Hdr))</f>
        <v>3</v>
      </c>
      <c r="E240" s="62">
        <f>IF(TblDetailBudget[[#This Row],[Level]]="", "", COUNTIFS($B$8:TblDetailBudget[[#This Row],[Level]], Lvl2Hdr, $D$8:TblDetailBudget[[#This Row],[Lvl 1 Header]], TblDetailBudget[[#This Row],[Lvl 1 Header]]))</f>
        <v>1</v>
      </c>
      <c r="F240" s="62">
        <f>IF(TblDetailBudget[[#This Row],[Level]]="", "", COUNTIFS($B$8:TblDetailBudget[[#This Row],[Level]], Lvl3Hdr, $D$8:TblDetailBudget[[#This Row],[Lvl 1 Header]], TblDetailBudget[[#This Row],[Lvl 1 Header]], $E$8:TblDetailBudget[[#This Row],[Lvl 2 Header]], TblDetailBudget[[#This Row],[Lvl 2 Header]]))</f>
        <v>2</v>
      </c>
      <c r="G2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0" s="101"/>
      <c r="J240" s="101"/>
      <c r="K240" s="88"/>
      <c r="L240" s="88"/>
      <c r="M240" s="62" t="str">
        <f>IF(TblDetailBudget[[#This Row],[Level]]=LvlBottomHdr, IFERROR(INDEX(TblUnitCost[Unit], MATCH(TblDetailBudget[[#This Row],[Row Title]], TblUnitCost[Resource], 0)), "Invalid Resource"), "")</f>
        <v>Invalid Resource</v>
      </c>
      <c r="N240" s="125" t="str">
        <f>IF(TblDetailBudget[[#This Row],[Level]]=LvlBottomHdr, IFERROR(INDEX(TblUnitCost[LCU], MATCH(TblDetailBudget[[#This Row],[Row Title]], TblUnitCost[Resource], 0)), "Invalid Resource"), "")</f>
        <v>Invalid Resource</v>
      </c>
      <c r="O240" s="128"/>
      <c r="P240" s="108"/>
      <c r="Q240" s="129"/>
      <c r="R240" s="108"/>
      <c r="S240" s="108"/>
      <c r="T240" s="108"/>
      <c r="U240" s="108"/>
      <c r="V240" s="108"/>
      <c r="W240" s="125" t="str">
        <f>IF(TblDetailBudget[[#This Row],[Level]]=LvlBottomHdr, IF(SUM(TblDetailBudget[[#This Row],[2021 Quant]:[2025 Quant]])&gt;0, SUM(TblDetailBudget[[#This Row],[2021 Quant]:[2025 Quant]]), ""), "")</f>
        <v/>
      </c>
      <c r="X24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0" s="140">
        <f>SUM(TblDetailBudget[[#This Row],[2021 Cost (LCU)]:[2025 Cost (LCU)]])</f>
        <v>0</v>
      </c>
      <c r="AD240" s="134">
        <f>IFERROR(SUM(TblDetailBudget[[#This Row],[2021 Cost (LCU)]])/FX_Rate, "")</f>
        <v>0</v>
      </c>
      <c r="AE240" s="63">
        <f>IFERROR(SUM(TblDetailBudget[[#This Row],[2022 Cost (LCU)]])/FX_Rate, "")</f>
        <v>0</v>
      </c>
      <c r="AF240" s="63">
        <f>IFERROR(SUM(TblDetailBudget[[#This Row],[2023 Cost (LCU)]])/FX_Rate, "")</f>
        <v>0</v>
      </c>
      <c r="AG240" s="63">
        <f>IFERROR(SUM(TblDetailBudget[[#This Row],[2024 Cost (LCU)]])/FX_Rate, "")</f>
        <v>0</v>
      </c>
      <c r="AH240" s="63">
        <f>IFERROR(SUM(TblDetailBudget[[#This Row],[2025 Cost (LCU)]])/FX_Rate, "")</f>
        <v>0</v>
      </c>
      <c r="AI240" s="125">
        <f>SUM(TblDetailBudget[[#This Row],[2021 Cost (USD)]:[2025 Cost (USD)]])</f>
        <v>0</v>
      </c>
      <c r="AJ240" s="180"/>
    </row>
    <row r="241" spans="2:36" ht="12.75" hidden="1" customHeight="1">
      <c r="B241" s="122" t="s">
        <v>71</v>
      </c>
      <c r="C2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3.1.2.3.2</v>
      </c>
      <c r="D241" s="62">
        <f>IF(TblDetailBudget[[#This Row],[Level]]="", "", COUNTIFS($B$8:TblDetailBudget[[#This Row],[Level]], Lvl1Hdr))</f>
        <v>3</v>
      </c>
      <c r="E241" s="62">
        <f>IF(TblDetailBudget[[#This Row],[Level]]="", "", COUNTIFS($B$8:TblDetailBudget[[#This Row],[Level]], Lvl2Hdr, $D$8:TblDetailBudget[[#This Row],[Lvl 1 Header]], TblDetailBudget[[#This Row],[Lvl 1 Header]]))</f>
        <v>1</v>
      </c>
      <c r="F241" s="62">
        <f>IF(TblDetailBudget[[#This Row],[Level]]="", "", COUNTIFS($B$8:TblDetailBudget[[#This Row],[Level]], Lvl3Hdr, $D$8:TblDetailBudget[[#This Row],[Lvl 1 Header]], TblDetailBudget[[#This Row],[Lvl 1 Header]], $E$8:TblDetailBudget[[#This Row],[Lvl 2 Header]], TblDetailBudget[[#This Row],[Lvl 2 Header]]))</f>
        <v>2</v>
      </c>
      <c r="G2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41" s="101"/>
      <c r="J241" s="101"/>
      <c r="K241" s="88"/>
      <c r="L241" s="88"/>
      <c r="M241" s="62" t="str">
        <f>IF(TblDetailBudget[[#This Row],[Level]]=LvlBottomHdr, IFERROR(INDEX(TblUnitCost[Unit], MATCH(TblDetailBudget[[#This Row],[Row Title]], TblUnitCost[Resource], 0)), "Invalid Resource"), "")</f>
        <v>Invalid Resource</v>
      </c>
      <c r="N241" s="125" t="str">
        <f>IF(TblDetailBudget[[#This Row],[Level]]=LvlBottomHdr, IFERROR(INDEX(TblUnitCost[LCU], MATCH(TblDetailBudget[[#This Row],[Row Title]], TblUnitCost[Resource], 0)), "Invalid Resource"), "")</f>
        <v>Invalid Resource</v>
      </c>
      <c r="O241" s="128"/>
      <c r="P241" s="108"/>
      <c r="Q241" s="129"/>
      <c r="R241" s="108"/>
      <c r="S241" s="108"/>
      <c r="T241" s="108"/>
      <c r="U241" s="108"/>
      <c r="V241" s="108"/>
      <c r="W241" s="125" t="str">
        <f>IF(TblDetailBudget[[#This Row],[Level]]=LvlBottomHdr, IF(SUM(TblDetailBudget[[#This Row],[2021 Quant]:[2025 Quant]])&gt;0, SUM(TblDetailBudget[[#This Row],[2021 Quant]:[2025 Quant]]), ""), "")</f>
        <v/>
      </c>
      <c r="X2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1" s="140">
        <f>SUM(TblDetailBudget[[#This Row],[2021 Cost (LCU)]:[2025 Cost (LCU)]])</f>
        <v>0</v>
      </c>
      <c r="AD241" s="134">
        <f>IFERROR(SUM(TblDetailBudget[[#This Row],[2021 Cost (LCU)]])/FX_Rate, "")</f>
        <v>0</v>
      </c>
      <c r="AE241" s="63">
        <f>IFERROR(SUM(TblDetailBudget[[#This Row],[2022 Cost (LCU)]])/FX_Rate, "")</f>
        <v>0</v>
      </c>
      <c r="AF241" s="63">
        <f>IFERROR(SUM(TblDetailBudget[[#This Row],[2023 Cost (LCU)]])/FX_Rate, "")</f>
        <v>0</v>
      </c>
      <c r="AG241" s="63">
        <f>IFERROR(SUM(TblDetailBudget[[#This Row],[2024 Cost (LCU)]])/FX_Rate, "")</f>
        <v>0</v>
      </c>
      <c r="AH241" s="63">
        <f>IFERROR(SUM(TblDetailBudget[[#This Row],[2025 Cost (LCU)]])/FX_Rate, "")</f>
        <v>0</v>
      </c>
      <c r="AI241" s="125">
        <f>SUM(TblDetailBudget[[#This Row],[2021 Cost (USD)]:[2025 Cost (USD)]])</f>
        <v>0</v>
      </c>
      <c r="AJ241" s="180"/>
    </row>
    <row r="242" spans="2:36" ht="12.75" hidden="1" customHeight="1">
      <c r="B242" s="122" t="s">
        <v>69</v>
      </c>
      <c r="C2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v>
      </c>
      <c r="D242" s="62">
        <f>IF(TblDetailBudget[[#This Row],[Level]]="", "", COUNTIFS($B$8:TblDetailBudget[[#This Row],[Level]], Lvl1Hdr))</f>
        <v>3</v>
      </c>
      <c r="E242" s="62">
        <f>IF(TblDetailBudget[[#This Row],[Level]]="", "", COUNTIFS($B$8:TblDetailBudget[[#This Row],[Level]], Lvl2Hdr, $D$8:TblDetailBudget[[#This Row],[Lvl 1 Header]], TblDetailBudget[[#This Row],[Lvl 1 Header]]))</f>
        <v>1</v>
      </c>
      <c r="F242" s="62">
        <f>IF(TblDetailBudget[[#This Row],[Level]]="", "", COUNTIFS($B$8:TblDetailBudget[[#This Row],[Level]], Lvl3Hdr, $D$8:TblDetailBudget[[#This Row],[Lvl 1 Header]], TblDetailBudget[[#This Row],[Lvl 1 Header]], $E$8:TblDetailBudget[[#This Row],[Lvl 2 Header]], TblDetailBudget[[#This Row],[Lvl 2 Header]]))</f>
        <v>3</v>
      </c>
      <c r="G2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2" s="185"/>
      <c r="J242" s="101"/>
      <c r="K242" s="88"/>
      <c r="L242" s="88"/>
      <c r="M242" s="62" t="str">
        <f>IF(TblDetailBudget[[#This Row],[Level]]=LvlBottomHdr, IFERROR(INDEX(TblUnitCost[Unit], MATCH(TblDetailBudget[[#This Row],[Row Title]], TblUnitCost[Resource], 0)), "Invalid Resource"), "")</f>
        <v/>
      </c>
      <c r="N242" s="125" t="str">
        <f>IF(TblDetailBudget[[#This Row],[Level]]=LvlBottomHdr, IFERROR(INDEX(TblUnitCost[LCU], MATCH(TblDetailBudget[[#This Row],[Row Title]], TblUnitCost[Resource], 0)), "Invalid Resource"), "")</f>
        <v/>
      </c>
      <c r="O242" s="128"/>
      <c r="P242" s="108"/>
      <c r="Q242" s="129"/>
      <c r="R242" s="108"/>
      <c r="S242" s="108"/>
      <c r="T242" s="108"/>
      <c r="U242" s="108"/>
      <c r="V242" s="108"/>
      <c r="W242" s="125" t="str">
        <f>IF(TblDetailBudget[[#This Row],[Level]]=LvlBottomHdr, IF(SUM(TblDetailBudget[[#This Row],[2021 Quant]:[2025 Quant]])&gt;0, SUM(TblDetailBudget[[#This Row],[2021 Quant]:[2025 Quant]]), ""), "")</f>
        <v/>
      </c>
      <c r="X24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42" s="140">
        <f>SUM(TblDetailBudget[[#This Row],[2021 Cost (LCU)]:[2025 Cost (LCU)]])</f>
        <v>0</v>
      </c>
      <c r="AD242" s="134">
        <f>IFERROR(SUM(TblDetailBudget[[#This Row],[2021 Cost (LCU)]])/FX_Rate, "")</f>
        <v>0</v>
      </c>
      <c r="AE242" s="63">
        <f>IFERROR(SUM(TblDetailBudget[[#This Row],[2022 Cost (LCU)]])/FX_Rate, "")</f>
        <v>0</v>
      </c>
      <c r="AF242" s="63">
        <f>IFERROR(SUM(TblDetailBudget[[#This Row],[2023 Cost (LCU)]])/FX_Rate, "")</f>
        <v>0</v>
      </c>
      <c r="AG242" s="63">
        <f>IFERROR(SUM(TblDetailBudget[[#This Row],[2024 Cost (LCU)]])/FX_Rate, "")</f>
        <v>0</v>
      </c>
      <c r="AH242" s="63">
        <f>IFERROR(SUM(TblDetailBudget[[#This Row],[2025 Cost (LCU)]])/FX_Rate, "")</f>
        <v>0</v>
      </c>
      <c r="AI242" s="125">
        <f>SUM(TblDetailBudget[[#This Row],[2021 Cost (USD)]:[2025 Cost (USD)]])</f>
        <v>0</v>
      </c>
      <c r="AJ242" s="180"/>
    </row>
    <row r="243" spans="2:36" ht="12.75" hidden="1" customHeight="1">
      <c r="B243" s="122" t="s">
        <v>70</v>
      </c>
      <c r="C2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v>
      </c>
      <c r="D243" s="62">
        <f>IF(TblDetailBudget[[#This Row],[Level]]="", "", COUNTIFS($B$8:TblDetailBudget[[#This Row],[Level]], Lvl1Hdr))</f>
        <v>3</v>
      </c>
      <c r="E243" s="62">
        <f>IF(TblDetailBudget[[#This Row],[Level]]="", "", COUNTIFS($B$8:TblDetailBudget[[#This Row],[Level]], Lvl2Hdr, $D$8:TblDetailBudget[[#This Row],[Lvl 1 Header]], TblDetailBudget[[#This Row],[Lvl 1 Header]]))</f>
        <v>1</v>
      </c>
      <c r="F243" s="62">
        <f>IF(TblDetailBudget[[#This Row],[Level]]="", "", COUNTIFS($B$8:TblDetailBudget[[#This Row],[Level]], Lvl3Hdr, $D$8:TblDetailBudget[[#This Row],[Lvl 1 Header]], TblDetailBudget[[#This Row],[Lvl 1 Header]], $E$8:TblDetailBudget[[#This Row],[Lvl 2 Header]], TblDetailBudget[[#This Row],[Lvl 2 Header]]))</f>
        <v>3</v>
      </c>
      <c r="G2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3" s="101"/>
      <c r="J243" s="101"/>
      <c r="K243" s="88"/>
      <c r="L243" s="88"/>
      <c r="M243" s="62" t="str">
        <f>IF(TblDetailBudget[[#This Row],[Level]]=LvlBottomHdr, IFERROR(INDEX(TblUnitCost[Unit], MATCH(TblDetailBudget[[#This Row],[Row Title]], TblUnitCost[Resource], 0)), "Invalid Resource"), "")</f>
        <v/>
      </c>
      <c r="N243" s="125" t="str">
        <f>IF(TblDetailBudget[[#This Row],[Level]]=LvlBottomHdr, IFERROR(INDEX(TblUnitCost[LCU], MATCH(TblDetailBudget[[#This Row],[Row Title]], TblUnitCost[Resource], 0)), "Invalid Resource"), "")</f>
        <v/>
      </c>
      <c r="O243" s="128"/>
      <c r="P243" s="108"/>
      <c r="Q243" s="129"/>
      <c r="R243" s="108"/>
      <c r="S243" s="108"/>
      <c r="T243" s="108"/>
      <c r="U243" s="108"/>
      <c r="V243" s="108"/>
      <c r="W243" s="125" t="str">
        <f>IF(TblDetailBudget[[#This Row],[Level]]=LvlBottomHdr, IF(SUM(TblDetailBudget[[#This Row],[2021 Quant]:[2025 Quant]])&gt;0, SUM(TblDetailBudget[[#This Row],[2021 Quant]:[2025 Quant]]), ""), "")</f>
        <v/>
      </c>
      <c r="X24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43" s="140">
        <f>SUM(TblDetailBudget[[#This Row],[2021 Cost (LCU)]:[2025 Cost (LCU)]])</f>
        <v>0</v>
      </c>
      <c r="AD243" s="134">
        <f>IFERROR(SUM(TblDetailBudget[[#This Row],[2021 Cost (LCU)]])/FX_Rate, "")</f>
        <v>0</v>
      </c>
      <c r="AE243" s="63">
        <f>IFERROR(SUM(TblDetailBudget[[#This Row],[2022 Cost (LCU)]])/FX_Rate, "")</f>
        <v>0</v>
      </c>
      <c r="AF243" s="63">
        <f>IFERROR(SUM(TblDetailBudget[[#This Row],[2023 Cost (LCU)]])/FX_Rate, "")</f>
        <v>0</v>
      </c>
      <c r="AG243" s="63">
        <f>IFERROR(SUM(TblDetailBudget[[#This Row],[2024 Cost (LCU)]])/FX_Rate, "")</f>
        <v>0</v>
      </c>
      <c r="AH243" s="63">
        <f>IFERROR(SUM(TblDetailBudget[[#This Row],[2025 Cost (LCU)]])/FX_Rate, "")</f>
        <v>0</v>
      </c>
      <c r="AI243" s="125">
        <f>SUM(TblDetailBudget[[#This Row],[2021 Cost (USD)]:[2025 Cost (USD)]])</f>
        <v>0</v>
      </c>
      <c r="AJ243" s="180"/>
    </row>
    <row r="244" spans="2:36" ht="12.75" hidden="1" customHeight="1">
      <c r="B244" s="122" t="s">
        <v>71</v>
      </c>
      <c r="C2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3.1.3.1.1</v>
      </c>
      <c r="D244" s="62">
        <f>IF(TblDetailBudget[[#This Row],[Level]]="", "", COUNTIFS($B$8:TblDetailBudget[[#This Row],[Level]], Lvl1Hdr))</f>
        <v>3</v>
      </c>
      <c r="E244" s="62">
        <f>IF(TblDetailBudget[[#This Row],[Level]]="", "", COUNTIFS($B$8:TblDetailBudget[[#This Row],[Level]], Lvl2Hdr, $D$8:TblDetailBudget[[#This Row],[Lvl 1 Header]], TblDetailBudget[[#This Row],[Lvl 1 Header]]))</f>
        <v>1</v>
      </c>
      <c r="F244" s="62">
        <f>IF(TblDetailBudget[[#This Row],[Level]]="", "", COUNTIFS($B$8:TblDetailBudget[[#This Row],[Level]], Lvl3Hdr, $D$8:TblDetailBudget[[#This Row],[Lvl 1 Header]], TblDetailBudget[[#This Row],[Lvl 1 Header]], $E$8:TblDetailBudget[[#This Row],[Lvl 2 Header]], TblDetailBudget[[#This Row],[Lvl 2 Header]]))</f>
        <v>3</v>
      </c>
      <c r="G2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4" s="101"/>
      <c r="J244" s="101"/>
      <c r="K244" s="88"/>
      <c r="L244" s="88"/>
      <c r="M244" s="62" t="str">
        <f>IF(TblDetailBudget[[#This Row],[Level]]=LvlBottomHdr, IFERROR(INDEX(TblUnitCost[Unit], MATCH(TblDetailBudget[[#This Row],[Row Title]], TblUnitCost[Resource], 0)), "Invalid Resource"), "")</f>
        <v>Invalid Resource</v>
      </c>
      <c r="N244" s="125" t="str">
        <f>IF(TblDetailBudget[[#This Row],[Level]]=LvlBottomHdr, IFERROR(INDEX(TblUnitCost[LCU], MATCH(TblDetailBudget[[#This Row],[Row Title]], TblUnitCost[Resource], 0)), "Invalid Resource"), "")</f>
        <v>Invalid Resource</v>
      </c>
      <c r="O244" s="128"/>
      <c r="P244" s="108"/>
      <c r="Q244" s="129"/>
      <c r="R244" s="108"/>
      <c r="S244" s="108"/>
      <c r="T244" s="108"/>
      <c r="U244" s="108"/>
      <c r="V244" s="108"/>
      <c r="W244" s="125" t="str">
        <f>IF(TblDetailBudget[[#This Row],[Level]]=LvlBottomHdr, IF(SUM(TblDetailBudget[[#This Row],[2021 Quant]:[2025 Quant]])&gt;0, SUM(TblDetailBudget[[#This Row],[2021 Quant]:[2025 Quant]]), ""), "")</f>
        <v/>
      </c>
      <c r="X24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4" s="140">
        <f>SUM(TblDetailBudget[[#This Row],[2021 Cost (LCU)]:[2025 Cost (LCU)]])</f>
        <v>0</v>
      </c>
      <c r="AD244" s="134">
        <f>IFERROR(SUM(TblDetailBudget[[#This Row],[2021 Cost (LCU)]])/FX_Rate, "")</f>
        <v>0</v>
      </c>
      <c r="AE244" s="63">
        <f>IFERROR(SUM(TblDetailBudget[[#This Row],[2022 Cost (LCU)]])/FX_Rate, "")</f>
        <v>0</v>
      </c>
      <c r="AF244" s="63">
        <f>IFERROR(SUM(TblDetailBudget[[#This Row],[2023 Cost (LCU)]])/FX_Rate, "")</f>
        <v>0</v>
      </c>
      <c r="AG244" s="63">
        <f>IFERROR(SUM(TblDetailBudget[[#This Row],[2024 Cost (LCU)]])/FX_Rate, "")</f>
        <v>0</v>
      </c>
      <c r="AH244" s="63">
        <f>IFERROR(SUM(TblDetailBudget[[#This Row],[2025 Cost (LCU)]])/FX_Rate, "")</f>
        <v>0</v>
      </c>
      <c r="AI244" s="125">
        <f>SUM(TblDetailBudget[[#This Row],[2021 Cost (USD)]:[2025 Cost (USD)]])</f>
        <v>0</v>
      </c>
      <c r="AJ244" s="180"/>
    </row>
    <row r="245" spans="2:36" ht="12.75" hidden="1" customHeight="1">
      <c r="B245" s="122" t="s">
        <v>71</v>
      </c>
      <c r="C2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3.1.3.1.2</v>
      </c>
      <c r="D245" s="62">
        <f>IF(TblDetailBudget[[#This Row],[Level]]="", "", COUNTIFS($B$8:TblDetailBudget[[#This Row],[Level]], Lvl1Hdr))</f>
        <v>3</v>
      </c>
      <c r="E245" s="62">
        <f>IF(TblDetailBudget[[#This Row],[Level]]="", "", COUNTIFS($B$8:TblDetailBudget[[#This Row],[Level]], Lvl2Hdr, $D$8:TblDetailBudget[[#This Row],[Lvl 1 Header]], TblDetailBudget[[#This Row],[Lvl 1 Header]]))</f>
        <v>1</v>
      </c>
      <c r="F245" s="62">
        <f>IF(TblDetailBudget[[#This Row],[Level]]="", "", COUNTIFS($B$8:TblDetailBudget[[#This Row],[Level]], Lvl3Hdr, $D$8:TblDetailBudget[[#This Row],[Lvl 1 Header]], TblDetailBudget[[#This Row],[Lvl 1 Header]], $E$8:TblDetailBudget[[#This Row],[Lvl 2 Header]], TblDetailBudget[[#This Row],[Lvl 2 Header]]))</f>
        <v>3</v>
      </c>
      <c r="G2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45" s="101"/>
      <c r="J245" s="101"/>
      <c r="K245" s="88"/>
      <c r="L245" s="88"/>
      <c r="M245" s="62" t="str">
        <f>IF(TblDetailBudget[[#This Row],[Level]]=LvlBottomHdr, IFERROR(INDEX(TblUnitCost[Unit], MATCH(TblDetailBudget[[#This Row],[Row Title]], TblUnitCost[Resource], 0)), "Invalid Resource"), "")</f>
        <v>Invalid Resource</v>
      </c>
      <c r="N245" s="125" t="str">
        <f>IF(TblDetailBudget[[#This Row],[Level]]=LvlBottomHdr, IFERROR(INDEX(TblUnitCost[LCU], MATCH(TblDetailBudget[[#This Row],[Row Title]], TblUnitCost[Resource], 0)), "Invalid Resource"), "")</f>
        <v>Invalid Resource</v>
      </c>
      <c r="O245" s="128"/>
      <c r="P245" s="108"/>
      <c r="Q245" s="129"/>
      <c r="R245" s="108"/>
      <c r="S245" s="108"/>
      <c r="T245" s="108"/>
      <c r="U245" s="108"/>
      <c r="V245" s="108"/>
      <c r="W245" s="125" t="str">
        <f>IF(TblDetailBudget[[#This Row],[Level]]=LvlBottomHdr, IF(SUM(TblDetailBudget[[#This Row],[2021 Quant]:[2025 Quant]])&gt;0, SUM(TblDetailBudget[[#This Row],[2021 Quant]:[2025 Quant]]), ""), "")</f>
        <v/>
      </c>
      <c r="X24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5" s="140">
        <f>SUM(TblDetailBudget[[#This Row],[2021 Cost (LCU)]:[2025 Cost (LCU)]])</f>
        <v>0</v>
      </c>
      <c r="AD245" s="134">
        <f>IFERROR(SUM(TblDetailBudget[[#This Row],[2021 Cost (LCU)]])/FX_Rate, "")</f>
        <v>0</v>
      </c>
      <c r="AE245" s="63">
        <f>IFERROR(SUM(TblDetailBudget[[#This Row],[2022 Cost (LCU)]])/FX_Rate, "")</f>
        <v>0</v>
      </c>
      <c r="AF245" s="63">
        <f>IFERROR(SUM(TblDetailBudget[[#This Row],[2023 Cost (LCU)]])/FX_Rate, "")</f>
        <v>0</v>
      </c>
      <c r="AG245" s="63">
        <f>IFERROR(SUM(TblDetailBudget[[#This Row],[2024 Cost (LCU)]])/FX_Rate, "")</f>
        <v>0</v>
      </c>
      <c r="AH245" s="63">
        <f>IFERROR(SUM(TblDetailBudget[[#This Row],[2025 Cost (LCU)]])/FX_Rate, "")</f>
        <v>0</v>
      </c>
      <c r="AI245" s="125">
        <f>SUM(TblDetailBudget[[#This Row],[2021 Cost (USD)]:[2025 Cost (USD)]])</f>
        <v>0</v>
      </c>
      <c r="AJ245" s="180"/>
    </row>
    <row r="246" spans="2:36" ht="12.75" customHeight="1">
      <c r="B246" s="122" t="s">
        <v>67</v>
      </c>
      <c r="C2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v>
      </c>
      <c r="D246" s="62">
        <f>IF(TblDetailBudget[[#This Row],[Level]]="", "", COUNTIFS($B$8:TblDetailBudget[[#This Row],[Level]], Lvl1Hdr))</f>
        <v>4</v>
      </c>
      <c r="E246" s="62">
        <f>IF(TblDetailBudget[[#This Row],[Level]]="", "", COUNTIFS($B$8:TblDetailBudget[[#This Row],[Level]], Lvl2Hdr, $D$8:TblDetailBudget[[#This Row],[Lvl 1 Header]], TblDetailBudget[[#This Row],[Lvl 1 Header]]))</f>
        <v>0</v>
      </c>
      <c r="F246" s="62">
        <f>IF(TblDetailBudget[[#This Row],[Level]]="", "", COUNTIFS($B$8:TblDetailBudget[[#This Row],[Level]], Lvl3Hdr, $D$8:TblDetailBudget[[#This Row],[Lvl 1 Header]], TblDetailBudget[[#This Row],[Lvl 1 Header]], $E$8:TblDetailBudget[[#This Row],[Lvl 2 Header]], TblDetailBudget[[#This Row],[Lvl 2 Header]]))</f>
        <v>0</v>
      </c>
      <c r="G2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6" s="101" t="s">
        <v>155</v>
      </c>
      <c r="J246" s="101"/>
      <c r="K246" s="88"/>
      <c r="L246" s="88"/>
      <c r="M246" s="62" t="str">
        <f>IF(TblDetailBudget[[#This Row],[Level]]=LvlBottomHdr, IFERROR(INDEX(TblUnitCost[Unit], MATCH(TblDetailBudget[[#This Row],[Row Title]], TblUnitCost[Resource], 0)), "Invalid Resource"), "")</f>
        <v/>
      </c>
      <c r="N246" s="125" t="str">
        <f>IF(TblDetailBudget[[#This Row],[Level]]=LvlBottomHdr, IFERROR(INDEX(TblUnitCost[LCU], MATCH(TblDetailBudget[[#This Row],[Row Title]], TblUnitCost[Resource], 0)), "Invalid Resource"), "")</f>
        <v/>
      </c>
      <c r="O246" s="128"/>
      <c r="P246" s="108"/>
      <c r="Q246" s="129"/>
      <c r="R246" s="108"/>
      <c r="S246" s="108"/>
      <c r="T246" s="108"/>
      <c r="U246" s="108"/>
      <c r="V246" s="108"/>
      <c r="W246" s="125" t="str">
        <f>IF(TblDetailBudget[[#This Row],[Level]]=LvlBottomHdr, IF(SUM(TblDetailBudget[[#This Row],[2021 Quant]:[2025 Quant]])&gt;0, SUM(TblDetailBudget[[#This Row],[2021 Quant]:[2025 Quant]]), ""), "")</f>
        <v/>
      </c>
      <c r="X24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25063782518</v>
      </c>
      <c r="AC246" s="140">
        <f>SUM(TblDetailBudget[[#This Row],[2021 Cost (LCU)]:[2025 Cost (LCU)]])</f>
        <v>25063782518</v>
      </c>
      <c r="AD246" s="134">
        <f>IFERROR(SUM(TblDetailBudget[[#This Row],[2021 Cost (LCU)]])/FX_Rate, "")</f>
        <v>0</v>
      </c>
      <c r="AE246" s="63">
        <f>IFERROR(SUM(TblDetailBudget[[#This Row],[2022 Cost (LCU)]])/FX_Rate, "")</f>
        <v>0</v>
      </c>
      <c r="AF246" s="63">
        <f>IFERROR(SUM(TblDetailBudget[[#This Row],[2023 Cost (LCU)]])/FX_Rate, "")</f>
        <v>0</v>
      </c>
      <c r="AG246" s="63">
        <f>IFERROR(SUM(TblDetailBudget[[#This Row],[2024 Cost (LCU)]])/FX_Rate, "")</f>
        <v>0</v>
      </c>
      <c r="AH246" s="63">
        <f>IFERROR(SUM(TblDetailBudget[[#This Row],[2025 Cost (LCU)]])/FX_Rate, "")</f>
        <v>15664864.07375</v>
      </c>
      <c r="AI246" s="125">
        <f>SUM(TblDetailBudget[[#This Row],[2021 Cost (USD)]:[2025 Cost (USD)]])</f>
        <v>15664864.07375</v>
      </c>
      <c r="AJ246" s="180"/>
    </row>
    <row r="247" spans="2:36" ht="12.75" customHeight="1">
      <c r="B247" s="122" t="s">
        <v>68</v>
      </c>
      <c r="C2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v>
      </c>
      <c r="D247" s="62">
        <f>IF(TblDetailBudget[[#This Row],[Level]]="", "", COUNTIFS($B$8:TblDetailBudget[[#This Row],[Level]], Lvl1Hdr))</f>
        <v>4</v>
      </c>
      <c r="E247" s="62">
        <f>IF(TblDetailBudget[[#This Row],[Level]]="", "", COUNTIFS($B$8:TblDetailBudget[[#This Row],[Level]], Lvl2Hdr, $D$8:TblDetailBudget[[#This Row],[Lvl 1 Header]], TblDetailBudget[[#This Row],[Lvl 1 Header]]))</f>
        <v>1</v>
      </c>
      <c r="F247" s="62">
        <f>IF(TblDetailBudget[[#This Row],[Level]]="", "", COUNTIFS($B$8:TblDetailBudget[[#This Row],[Level]], Lvl3Hdr, $D$8:TblDetailBudget[[#This Row],[Lvl 1 Header]], TblDetailBudget[[#This Row],[Lvl 1 Header]], $E$8:TblDetailBudget[[#This Row],[Lvl 2 Header]], TblDetailBudget[[#This Row],[Lvl 2 Header]]))</f>
        <v>0</v>
      </c>
      <c r="G2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7" s="185" t="s">
        <v>1845</v>
      </c>
      <c r="J247" s="101"/>
      <c r="K247" s="88"/>
      <c r="L247" s="88"/>
      <c r="M247" s="62" t="str">
        <f>IF(TblDetailBudget[[#This Row],[Level]]=LvlBottomHdr, IFERROR(INDEX(TblUnitCost[Unit], MATCH(TblDetailBudget[[#This Row],[Row Title]], TblUnitCost[Resource], 0)), "Invalid Resource"), "")</f>
        <v/>
      </c>
      <c r="N247" s="125" t="str">
        <f>IF(TblDetailBudget[[#This Row],[Level]]=LvlBottomHdr, IFERROR(INDEX(TblUnitCost[LCU], MATCH(TblDetailBudget[[#This Row],[Row Title]], TblUnitCost[Resource], 0)), "Invalid Resource"), "")</f>
        <v/>
      </c>
      <c r="O247" s="128"/>
      <c r="P247" s="108"/>
      <c r="Q247" s="129"/>
      <c r="R247" s="108"/>
      <c r="S247" s="108"/>
      <c r="T247" s="108"/>
      <c r="U247" s="108"/>
      <c r="V247" s="108"/>
      <c r="W247" s="125" t="str">
        <f>IF(TblDetailBudget[[#This Row],[Level]]=LvlBottomHdr, IF(SUM(TblDetailBudget[[#This Row],[2021 Quant]:[2025 Quant]])&gt;0, SUM(TblDetailBudget[[#This Row],[2021 Quant]:[2025 Quant]]), ""), "")</f>
        <v/>
      </c>
      <c r="X24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25063782518</v>
      </c>
      <c r="AC247" s="140">
        <f>SUM(TblDetailBudget[[#This Row],[2021 Cost (LCU)]:[2025 Cost (LCU)]])</f>
        <v>25063782518</v>
      </c>
      <c r="AD247" s="134">
        <f>IFERROR(SUM(TblDetailBudget[[#This Row],[2021 Cost (LCU)]])/FX_Rate, "")</f>
        <v>0</v>
      </c>
      <c r="AE247" s="63">
        <f>IFERROR(SUM(TblDetailBudget[[#This Row],[2022 Cost (LCU)]])/FX_Rate, "")</f>
        <v>0</v>
      </c>
      <c r="AF247" s="63">
        <f>IFERROR(SUM(TblDetailBudget[[#This Row],[2023 Cost (LCU)]])/FX_Rate, "")</f>
        <v>0</v>
      </c>
      <c r="AG247" s="63">
        <f>IFERROR(SUM(TblDetailBudget[[#This Row],[2024 Cost (LCU)]])/FX_Rate, "")</f>
        <v>0</v>
      </c>
      <c r="AH247" s="63">
        <f>IFERROR(SUM(TblDetailBudget[[#This Row],[2025 Cost (LCU)]])/FX_Rate, "")</f>
        <v>15664864.07375</v>
      </c>
      <c r="AI247" s="125">
        <f>SUM(TblDetailBudget[[#This Row],[2021 Cost (USD)]:[2025 Cost (USD)]])</f>
        <v>15664864.07375</v>
      </c>
      <c r="AJ247" s="180"/>
    </row>
    <row r="248" spans="2:36" ht="12.75" customHeight="1">
      <c r="B248" s="122" t="s">
        <v>69</v>
      </c>
      <c r="C2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v>
      </c>
      <c r="D248" s="62">
        <f>IF(TblDetailBudget[[#This Row],[Level]]="", "", COUNTIFS($B$8:TblDetailBudget[[#This Row],[Level]], Lvl1Hdr))</f>
        <v>4</v>
      </c>
      <c r="E248" s="62">
        <f>IF(TblDetailBudget[[#This Row],[Level]]="", "", COUNTIFS($B$8:TblDetailBudget[[#This Row],[Level]], Lvl2Hdr, $D$8:TblDetailBudget[[#This Row],[Lvl 1 Header]], TblDetailBudget[[#This Row],[Lvl 1 Header]]))</f>
        <v>1</v>
      </c>
      <c r="F248" s="62">
        <f>IF(TblDetailBudget[[#This Row],[Level]]="", "", COUNTIFS($B$8:TblDetailBudget[[#This Row],[Level]], Lvl3Hdr, $D$8:TblDetailBudget[[#This Row],[Lvl 1 Header]], TblDetailBudget[[#This Row],[Lvl 1 Header]], $E$8:TblDetailBudget[[#This Row],[Lvl 2 Header]], TblDetailBudget[[#This Row],[Lvl 2 Header]]))</f>
        <v>1</v>
      </c>
      <c r="G2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8" s="185" t="s">
        <v>2656</v>
      </c>
      <c r="J248" s="101"/>
      <c r="K248" s="88"/>
      <c r="L248" s="88"/>
      <c r="M248" s="62" t="str">
        <f>IF(TblDetailBudget[[#This Row],[Level]]=LvlBottomHdr, IFERROR(INDEX(TblUnitCost[Unit], MATCH(TblDetailBudget[[#This Row],[Row Title]], TblUnitCost[Resource], 0)), "Invalid Resource"), "")</f>
        <v/>
      </c>
      <c r="N248" s="125" t="str">
        <f>IF(TblDetailBudget[[#This Row],[Level]]=LvlBottomHdr, IFERROR(INDEX(TblUnitCost[LCU], MATCH(TblDetailBudget[[#This Row],[Row Title]], TblUnitCost[Resource], 0)), "Invalid Resource"), "")</f>
        <v/>
      </c>
      <c r="O248" s="128"/>
      <c r="P248" s="108"/>
      <c r="Q248" s="129"/>
      <c r="R248" s="108"/>
      <c r="S248" s="108"/>
      <c r="T248" s="108"/>
      <c r="U248" s="108"/>
      <c r="V248" s="108"/>
      <c r="W248" s="125" t="str">
        <f>IF(TblDetailBudget[[#This Row],[Level]]=LvlBottomHdr, IF(SUM(TblDetailBudget[[#This Row],[2021 Quant]:[2025 Quant]])&gt;0, SUM(TblDetailBudget[[#This Row],[2021 Quant]:[2025 Quant]]), ""), "")</f>
        <v/>
      </c>
      <c r="X2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48" s="140">
        <f>SUM(TblDetailBudget[[#This Row],[2021 Cost (LCU)]:[2025 Cost (LCU)]])</f>
        <v>82340100</v>
      </c>
      <c r="AD248" s="134">
        <f>IFERROR(SUM(TblDetailBudget[[#This Row],[2021 Cost (LCU)]])/FX_Rate, "")</f>
        <v>0</v>
      </c>
      <c r="AE248" s="63">
        <f>IFERROR(SUM(TblDetailBudget[[#This Row],[2022 Cost (LCU)]])/FX_Rate, "")</f>
        <v>0</v>
      </c>
      <c r="AF248" s="63">
        <f>IFERROR(SUM(TblDetailBudget[[#This Row],[2023 Cost (LCU)]])/FX_Rate, "")</f>
        <v>0</v>
      </c>
      <c r="AG248" s="63">
        <f>IFERROR(SUM(TblDetailBudget[[#This Row],[2024 Cost (LCU)]])/FX_Rate, "")</f>
        <v>0</v>
      </c>
      <c r="AH248" s="63">
        <f>IFERROR(SUM(TblDetailBudget[[#This Row],[2025 Cost (LCU)]])/FX_Rate, "")</f>
        <v>51462.5625</v>
      </c>
      <c r="AI248" s="125">
        <f>SUM(TblDetailBudget[[#This Row],[2021 Cost (USD)]:[2025 Cost (USD)]])</f>
        <v>51462.5625</v>
      </c>
      <c r="AJ248" s="180"/>
    </row>
    <row r="249" spans="2:36" ht="12.75" customHeight="1">
      <c r="B249" s="122" t="s">
        <v>70</v>
      </c>
      <c r="C2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4.1.1.1</v>
      </c>
      <c r="D249" s="62">
        <f>IF(TblDetailBudget[[#This Row],[Level]]="", "", COUNTIFS($B$8:TblDetailBudget[[#This Row],[Level]], Lvl1Hdr))</f>
        <v>4</v>
      </c>
      <c r="E249" s="62">
        <f>IF(TblDetailBudget[[#This Row],[Level]]="", "", COUNTIFS($B$8:TblDetailBudget[[#This Row],[Level]], Lvl2Hdr, $D$8:TblDetailBudget[[#This Row],[Lvl 1 Header]], TblDetailBudget[[#This Row],[Lvl 1 Header]]))</f>
        <v>1</v>
      </c>
      <c r="F249" s="62">
        <f>IF(TblDetailBudget[[#This Row],[Level]]="", "", COUNTIFS($B$8:TblDetailBudget[[#This Row],[Level]], Lvl3Hdr, $D$8:TblDetailBudget[[#This Row],[Lvl 1 Header]], TblDetailBudget[[#This Row],[Lvl 1 Header]], $E$8:TblDetailBudget[[#This Row],[Lvl 2 Header]], TblDetailBudget[[#This Row],[Lvl 2 Header]]))</f>
        <v>1</v>
      </c>
      <c r="G2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9" s="101" t="s">
        <v>2654</v>
      </c>
      <c r="J249" s="101"/>
      <c r="K249" s="88"/>
      <c r="L249" s="88"/>
      <c r="M249" s="62" t="str">
        <f>IF(TblDetailBudget[[#This Row],[Level]]=LvlBottomHdr, IFERROR(INDEX(TblUnitCost[Unit], MATCH(TblDetailBudget[[#This Row],[Row Title]], TblUnitCost[Resource], 0)), "Invalid Resource"), "")</f>
        <v/>
      </c>
      <c r="N249" s="125" t="str">
        <f>IF(TblDetailBudget[[#This Row],[Level]]=LvlBottomHdr, IFERROR(INDEX(TblUnitCost[LCU], MATCH(TblDetailBudget[[#This Row],[Row Title]], TblUnitCost[Resource], 0)), "Invalid Resource"), "")</f>
        <v/>
      </c>
      <c r="O249" s="128"/>
      <c r="P249" s="108"/>
      <c r="Q249" s="129"/>
      <c r="R249" s="108"/>
      <c r="S249" s="108"/>
      <c r="T249" s="108"/>
      <c r="U249" s="108"/>
      <c r="V249" s="108"/>
      <c r="W249" s="125" t="str">
        <f>IF(TblDetailBudget[[#This Row],[Level]]=LvlBottomHdr, IF(SUM(TblDetailBudget[[#This Row],[2021 Quant]:[2025 Quant]])&gt;0, SUM(TblDetailBudget[[#This Row],[2021 Quant]:[2025 Quant]]), ""), "")</f>
        <v/>
      </c>
      <c r="X2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49" s="140">
        <f>SUM(TblDetailBudget[[#This Row],[2021 Cost (LCU)]:[2025 Cost (LCU)]])</f>
        <v>82340100</v>
      </c>
      <c r="AD249" s="134">
        <f>IFERROR(SUM(TblDetailBudget[[#This Row],[2021 Cost (LCU)]])/FX_Rate, "")</f>
        <v>0</v>
      </c>
      <c r="AE249" s="63">
        <f>IFERROR(SUM(TblDetailBudget[[#This Row],[2022 Cost (LCU)]])/FX_Rate, "")</f>
        <v>0</v>
      </c>
      <c r="AF249" s="63">
        <f>IFERROR(SUM(TblDetailBudget[[#This Row],[2023 Cost (LCU)]])/FX_Rate, "")</f>
        <v>0</v>
      </c>
      <c r="AG249" s="63">
        <f>IFERROR(SUM(TblDetailBudget[[#This Row],[2024 Cost (LCU)]])/FX_Rate, "")</f>
        <v>0</v>
      </c>
      <c r="AH249" s="63">
        <f>IFERROR(SUM(TblDetailBudget[[#This Row],[2025 Cost (LCU)]])/FX_Rate, "")</f>
        <v>51462.5625</v>
      </c>
      <c r="AI249" s="125">
        <f>SUM(TblDetailBudget[[#This Row],[2021 Cost (USD)]:[2025 Cost (USD)]])</f>
        <v>51462.5625</v>
      </c>
      <c r="AJ249" s="180"/>
    </row>
    <row r="250" spans="2:36" ht="12.75" customHeight="1">
      <c r="B250" s="122" t="s">
        <v>71</v>
      </c>
      <c r="C2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4.1.1.1.1</v>
      </c>
      <c r="D250" s="62">
        <f>IF(TblDetailBudget[[#This Row],[Level]]="", "", COUNTIFS($B$8:TblDetailBudget[[#This Row],[Level]], Lvl1Hdr))</f>
        <v>4</v>
      </c>
      <c r="E250" s="62">
        <f>IF(TblDetailBudget[[#This Row],[Level]]="", "", COUNTIFS($B$8:TblDetailBudget[[#This Row],[Level]], Lvl2Hdr, $D$8:TblDetailBudget[[#This Row],[Lvl 1 Header]], TblDetailBudget[[#This Row],[Lvl 1 Header]]))</f>
        <v>1</v>
      </c>
      <c r="F250" s="62">
        <f>IF(TblDetailBudget[[#This Row],[Level]]="", "", COUNTIFS($B$8:TblDetailBudget[[#This Row],[Level]], Lvl3Hdr, $D$8:TblDetailBudget[[#This Row],[Lvl 1 Header]], TblDetailBudget[[#This Row],[Lvl 1 Header]], $E$8:TblDetailBudget[[#This Row],[Lvl 2 Header]], TblDetailBudget[[#This Row],[Lvl 2 Header]]))</f>
        <v>1</v>
      </c>
      <c r="G2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0" s="96" t="s">
        <v>2675</v>
      </c>
      <c r="J250" s="101"/>
      <c r="K250" s="88"/>
      <c r="L250" s="88"/>
      <c r="M250" s="62" t="str">
        <f>IF(TblDetailBudget[[#This Row],[Level]]=LvlBottomHdr, IFERROR(INDEX(TblUnitCost[Unit], MATCH(TblDetailBudget[[#This Row],[Row Title]], TblUnitCost[Resource], 0)), "Invalid Resource"), "")</f>
        <v>per person per day</v>
      </c>
      <c r="N250" s="125">
        <f>IF(TblDetailBudget[[#This Row],[Level]]=LvlBottomHdr, IFERROR(INDEX(TblUnitCost[LCU], MATCH(TblDetailBudget[[#This Row],[Row Title]], TblUnitCost[Resource], 0)), "Invalid Resource"), "")</f>
        <v>274467</v>
      </c>
      <c r="O250" s="128">
        <v>1</v>
      </c>
      <c r="P250" s="108">
        <v>60</v>
      </c>
      <c r="Q250" s="129">
        <v>5</v>
      </c>
      <c r="R250" s="108"/>
      <c r="S250" s="108"/>
      <c r="T250" s="108"/>
      <c r="U250" s="108"/>
      <c r="V250" s="108">
        <v>1</v>
      </c>
      <c r="W250" s="125">
        <f>IF(TblDetailBudget[[#This Row],[Level]]=LvlBottomHdr, IF(SUM(TblDetailBudget[[#This Row],[2021 Quant]:[2025 Quant]])&gt;0, SUM(TblDetailBudget[[#This Row],[2021 Quant]:[2025 Quant]]), ""), "")</f>
        <v>1</v>
      </c>
      <c r="X25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50" s="140">
        <f>SUM(TblDetailBudget[[#This Row],[2021 Cost (LCU)]:[2025 Cost (LCU)]])</f>
        <v>82340100</v>
      </c>
      <c r="AD250" s="134">
        <f>IFERROR(SUM(TblDetailBudget[[#This Row],[2021 Cost (LCU)]])/FX_Rate, "")</f>
        <v>0</v>
      </c>
      <c r="AE250" s="63">
        <f>IFERROR(SUM(TblDetailBudget[[#This Row],[2022 Cost (LCU)]])/FX_Rate, "")</f>
        <v>0</v>
      </c>
      <c r="AF250" s="63">
        <f>IFERROR(SUM(TblDetailBudget[[#This Row],[2023 Cost (LCU)]])/FX_Rate, "")</f>
        <v>0</v>
      </c>
      <c r="AG250" s="63">
        <f>IFERROR(SUM(TblDetailBudget[[#This Row],[2024 Cost (LCU)]])/FX_Rate, "")</f>
        <v>0</v>
      </c>
      <c r="AH250" s="63">
        <f>IFERROR(SUM(TblDetailBudget[[#This Row],[2025 Cost (LCU)]])/FX_Rate, "")</f>
        <v>51462.5625</v>
      </c>
      <c r="AI250" s="125">
        <f>SUM(TblDetailBudget[[#This Row],[2021 Cost (USD)]:[2025 Cost (USD)]])</f>
        <v>51462.5625</v>
      </c>
      <c r="AJ250" s="180"/>
    </row>
    <row r="251" spans="2:36" ht="12.75" customHeight="1">
      <c r="B251" s="122" t="s">
        <v>69</v>
      </c>
      <c r="C2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v>
      </c>
      <c r="D251" s="62">
        <f>IF(TblDetailBudget[[#This Row],[Level]]="", "", COUNTIFS($B$8:TblDetailBudget[[#This Row],[Level]], Lvl1Hdr))</f>
        <v>4</v>
      </c>
      <c r="E251" s="62">
        <f>IF(TblDetailBudget[[#This Row],[Level]]="", "", COUNTIFS($B$8:TblDetailBudget[[#This Row],[Level]], Lvl2Hdr, $D$8:TblDetailBudget[[#This Row],[Lvl 1 Header]], TblDetailBudget[[#This Row],[Lvl 1 Header]]))</f>
        <v>1</v>
      </c>
      <c r="F251" s="62">
        <f>IF(TblDetailBudget[[#This Row],[Level]]="", "", COUNTIFS($B$8:TblDetailBudget[[#This Row],[Level]], Lvl3Hdr, $D$8:TblDetailBudget[[#This Row],[Lvl 1 Header]], TblDetailBudget[[#This Row],[Lvl 1 Header]], $E$8:TblDetailBudget[[#This Row],[Lvl 2 Header]], TblDetailBudget[[#This Row],[Lvl 2 Header]]))</f>
        <v>2</v>
      </c>
      <c r="G2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1" s="185" t="s">
        <v>2661</v>
      </c>
      <c r="J251" s="101"/>
      <c r="K251" s="88"/>
      <c r="L251" s="88"/>
      <c r="M251" s="62" t="str">
        <f>IF(TblDetailBudget[[#This Row],[Level]]=LvlBottomHdr, IFERROR(INDEX(TblUnitCost[Unit], MATCH(TblDetailBudget[[#This Row],[Row Title]], TblUnitCost[Resource], 0)), "Invalid Resource"), "")</f>
        <v/>
      </c>
      <c r="N251" s="125" t="str">
        <f>IF(TblDetailBudget[[#This Row],[Level]]=LvlBottomHdr, IFERROR(INDEX(TblUnitCost[LCU], MATCH(TblDetailBudget[[#This Row],[Row Title]], TblUnitCost[Resource], 0)), "Invalid Resource"), "")</f>
        <v/>
      </c>
      <c r="O251" s="128"/>
      <c r="P251" s="108"/>
      <c r="Q251" s="129"/>
      <c r="R251" s="108"/>
      <c r="S251" s="108"/>
      <c r="T251" s="108"/>
      <c r="U251" s="108"/>
      <c r="V251" s="108"/>
      <c r="W251" s="125" t="str">
        <f>IF(TblDetailBudget[[#This Row],[Level]]=LvlBottomHdr, IF(SUM(TblDetailBudget[[#This Row],[2021 Quant]:[2025 Quant]])&gt;0, SUM(TblDetailBudget[[#This Row],[2021 Quant]:[2025 Quant]]), ""), "")</f>
        <v/>
      </c>
      <c r="X25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51" s="140">
        <f>SUM(TblDetailBudget[[#This Row],[2021 Cost (LCU)]:[2025 Cost (LCU)]])</f>
        <v>1047595800</v>
      </c>
      <c r="AD251" s="134">
        <f>IFERROR(SUM(TblDetailBudget[[#This Row],[2021 Cost (LCU)]])/FX_Rate, "")</f>
        <v>0</v>
      </c>
      <c r="AE251" s="63">
        <f>IFERROR(SUM(TblDetailBudget[[#This Row],[2022 Cost (LCU)]])/FX_Rate, "")</f>
        <v>0</v>
      </c>
      <c r="AF251" s="63">
        <f>IFERROR(SUM(TblDetailBudget[[#This Row],[2023 Cost (LCU)]])/FX_Rate, "")</f>
        <v>0</v>
      </c>
      <c r="AG251" s="63">
        <f>IFERROR(SUM(TblDetailBudget[[#This Row],[2024 Cost (LCU)]])/FX_Rate, "")</f>
        <v>0</v>
      </c>
      <c r="AH251" s="63">
        <f>IFERROR(SUM(TblDetailBudget[[#This Row],[2025 Cost (LCU)]])/FX_Rate, "")</f>
        <v>654747.375</v>
      </c>
      <c r="AI251" s="125">
        <f>SUM(TblDetailBudget[[#This Row],[2021 Cost (USD)]:[2025 Cost (USD)]])</f>
        <v>654747.375</v>
      </c>
      <c r="AJ251" s="180"/>
    </row>
    <row r="252" spans="2:36" ht="12.75" customHeight="1">
      <c r="B252" s="122" t="s">
        <v>70</v>
      </c>
      <c r="C2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4.1.2.1</v>
      </c>
      <c r="D252" s="62">
        <f>IF(TblDetailBudget[[#This Row],[Level]]="", "", COUNTIFS($B$8:TblDetailBudget[[#This Row],[Level]], Lvl1Hdr))</f>
        <v>4</v>
      </c>
      <c r="E252" s="62">
        <f>IF(TblDetailBudget[[#This Row],[Level]]="", "", COUNTIFS($B$8:TblDetailBudget[[#This Row],[Level]], Lvl2Hdr, $D$8:TblDetailBudget[[#This Row],[Lvl 1 Header]], TblDetailBudget[[#This Row],[Lvl 1 Header]]))</f>
        <v>1</v>
      </c>
      <c r="F252" s="62">
        <f>IF(TblDetailBudget[[#This Row],[Level]]="", "", COUNTIFS($B$8:TblDetailBudget[[#This Row],[Level]], Lvl3Hdr, $D$8:TblDetailBudget[[#This Row],[Lvl 1 Header]], TblDetailBudget[[#This Row],[Lvl 1 Header]], $E$8:TblDetailBudget[[#This Row],[Lvl 2 Header]], TblDetailBudget[[#This Row],[Lvl 2 Header]]))</f>
        <v>2</v>
      </c>
      <c r="G2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2" s="101" t="s">
        <v>1847</v>
      </c>
      <c r="J252" s="101"/>
      <c r="K252" s="88"/>
      <c r="L252" s="88"/>
      <c r="M252" s="62" t="str">
        <f>IF(TblDetailBudget[[#This Row],[Level]]=LvlBottomHdr, IFERROR(INDEX(TblUnitCost[Unit], MATCH(TblDetailBudget[[#This Row],[Row Title]], TblUnitCost[Resource], 0)), "Invalid Resource"), "")</f>
        <v/>
      </c>
      <c r="N252" s="125" t="str">
        <f>IF(TblDetailBudget[[#This Row],[Level]]=LvlBottomHdr, IFERROR(INDEX(TblUnitCost[LCU], MATCH(TblDetailBudget[[#This Row],[Row Title]], TblUnitCost[Resource], 0)), "Invalid Resource"), "")</f>
        <v/>
      </c>
      <c r="O252" s="128"/>
      <c r="P252" s="108"/>
      <c r="Q252" s="129"/>
      <c r="R252" s="108"/>
      <c r="S252" s="108"/>
      <c r="T252" s="108"/>
      <c r="U252" s="108"/>
      <c r="V252" s="108"/>
      <c r="W252" s="125" t="str">
        <f>IF(TblDetailBudget[[#This Row],[Level]]=LvlBottomHdr, IF(SUM(TblDetailBudget[[#This Row],[2021 Quant]:[2025 Quant]])&gt;0, SUM(TblDetailBudget[[#This Row],[2021 Quant]:[2025 Quant]]), ""), "")</f>
        <v/>
      </c>
      <c r="X25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52" s="140">
        <f>SUM(TblDetailBudget[[#This Row],[2021 Cost (LCU)]:[2025 Cost (LCU)]])</f>
        <v>1047595800</v>
      </c>
      <c r="AD252" s="134">
        <f>IFERROR(SUM(TblDetailBudget[[#This Row],[2021 Cost (LCU)]])/FX_Rate, "")</f>
        <v>0</v>
      </c>
      <c r="AE252" s="63">
        <f>IFERROR(SUM(TblDetailBudget[[#This Row],[2022 Cost (LCU)]])/FX_Rate, "")</f>
        <v>0</v>
      </c>
      <c r="AF252" s="63">
        <f>IFERROR(SUM(TblDetailBudget[[#This Row],[2023 Cost (LCU)]])/FX_Rate, "")</f>
        <v>0</v>
      </c>
      <c r="AG252" s="63">
        <f>IFERROR(SUM(TblDetailBudget[[#This Row],[2024 Cost (LCU)]])/FX_Rate, "")</f>
        <v>0</v>
      </c>
      <c r="AH252" s="63">
        <f>IFERROR(SUM(TblDetailBudget[[#This Row],[2025 Cost (LCU)]])/FX_Rate, "")</f>
        <v>654747.375</v>
      </c>
      <c r="AI252" s="125">
        <f>SUM(TblDetailBudget[[#This Row],[2021 Cost (USD)]:[2025 Cost (USD)]])</f>
        <v>654747.375</v>
      </c>
      <c r="AJ252" s="180"/>
    </row>
    <row r="253" spans="2:36" ht="12.75" customHeight="1">
      <c r="B253" s="122" t="s">
        <v>71</v>
      </c>
      <c r="C2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4.1.2.1.1</v>
      </c>
      <c r="D253" s="62">
        <f>IF(TblDetailBudget[[#This Row],[Level]]="", "", COUNTIFS($B$8:TblDetailBudget[[#This Row],[Level]], Lvl1Hdr))</f>
        <v>4</v>
      </c>
      <c r="E253" s="62">
        <f>IF(TblDetailBudget[[#This Row],[Level]]="", "", COUNTIFS($B$8:TblDetailBudget[[#This Row],[Level]], Lvl2Hdr, $D$8:TblDetailBudget[[#This Row],[Lvl 1 Header]], TblDetailBudget[[#This Row],[Lvl 1 Header]]))</f>
        <v>1</v>
      </c>
      <c r="F253" s="62">
        <f>IF(TblDetailBudget[[#This Row],[Level]]="", "", COUNTIFS($B$8:TblDetailBudget[[#This Row],[Level]], Lvl3Hdr, $D$8:TblDetailBudget[[#This Row],[Lvl 1 Header]], TblDetailBudget[[#This Row],[Lvl 1 Header]], $E$8:TblDetailBudget[[#This Row],[Lvl 2 Header]], TblDetailBudget[[#This Row],[Lvl 2 Header]]))</f>
        <v>2</v>
      </c>
      <c r="G2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3" s="96" t="s">
        <v>2677</v>
      </c>
      <c r="J253" s="101"/>
      <c r="K253" s="88"/>
      <c r="L253" s="88"/>
      <c r="M253" s="62" t="str">
        <f>IF(TblDetailBudget[[#This Row],[Level]]=LvlBottomHdr, IFERROR(INDEX(TblUnitCost[Unit], MATCH(TblDetailBudget[[#This Row],[Row Title]], TblUnitCost[Resource], 0)), "Invalid Resource"), "")</f>
        <v>per person per day</v>
      </c>
      <c r="N253" s="125">
        <f>IF(TblDetailBudget[[#This Row],[Level]]=LvlBottomHdr, IFERROR(INDEX(TblUnitCost[LCU], MATCH(TblDetailBudget[[#This Row],[Row Title]], TblUnitCost[Resource], 0)), "Invalid Resource"), "")</f>
        <v>141567</v>
      </c>
      <c r="O253" s="128">
        <v>37</v>
      </c>
      <c r="P253" s="108">
        <v>40</v>
      </c>
      <c r="Q253" s="129">
        <v>5</v>
      </c>
      <c r="R253" s="108"/>
      <c r="S253" s="108"/>
      <c r="T253" s="108"/>
      <c r="U253" s="108"/>
      <c r="V253" s="108">
        <v>1</v>
      </c>
      <c r="W253" s="125">
        <f>IF(TblDetailBudget[[#This Row],[Level]]=LvlBottomHdr, IF(SUM(TblDetailBudget[[#This Row],[2021 Quant]:[2025 Quant]])&gt;0, SUM(TblDetailBudget[[#This Row],[2021 Quant]:[2025 Quant]]), ""), "")</f>
        <v>1</v>
      </c>
      <c r="X25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53" s="140">
        <f>SUM(TblDetailBudget[[#This Row],[2021 Cost (LCU)]:[2025 Cost (LCU)]])</f>
        <v>1047595800</v>
      </c>
      <c r="AD253" s="134">
        <f>IFERROR(SUM(TblDetailBudget[[#This Row],[2021 Cost (LCU)]])/FX_Rate, "")</f>
        <v>0</v>
      </c>
      <c r="AE253" s="63">
        <f>IFERROR(SUM(TblDetailBudget[[#This Row],[2022 Cost (LCU)]])/FX_Rate, "")</f>
        <v>0</v>
      </c>
      <c r="AF253" s="63">
        <f>IFERROR(SUM(TblDetailBudget[[#This Row],[2023 Cost (LCU)]])/FX_Rate, "")</f>
        <v>0</v>
      </c>
      <c r="AG253" s="63">
        <f>IFERROR(SUM(TblDetailBudget[[#This Row],[2024 Cost (LCU)]])/FX_Rate, "")</f>
        <v>0</v>
      </c>
      <c r="AH253" s="63">
        <f>IFERROR(SUM(TblDetailBudget[[#This Row],[2025 Cost (LCU)]])/FX_Rate, "")</f>
        <v>654747.375</v>
      </c>
      <c r="AI253" s="125">
        <f>SUM(TblDetailBudget[[#This Row],[2021 Cost (USD)]:[2025 Cost (USD)]])</f>
        <v>654747.375</v>
      </c>
      <c r="AJ253" s="180"/>
    </row>
    <row r="254" spans="2:36" ht="12.75" customHeight="1">
      <c r="B254" s="122" t="s">
        <v>69</v>
      </c>
      <c r="C2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v>
      </c>
      <c r="D254" s="62">
        <f>IF(TblDetailBudget[[#This Row],[Level]]="", "", COUNTIFS($B$8:TblDetailBudget[[#This Row],[Level]], Lvl1Hdr))</f>
        <v>4</v>
      </c>
      <c r="E254" s="62">
        <f>IF(TblDetailBudget[[#This Row],[Level]]="", "", COUNTIFS($B$8:TblDetailBudget[[#This Row],[Level]], Lvl2Hdr, $D$8:TblDetailBudget[[#This Row],[Lvl 1 Header]], TblDetailBudget[[#This Row],[Lvl 1 Header]]))</f>
        <v>1</v>
      </c>
      <c r="F254" s="62">
        <f>IF(TblDetailBudget[[#This Row],[Level]]="", "", COUNTIFS($B$8:TblDetailBudget[[#This Row],[Level]], Lvl3Hdr, $D$8:TblDetailBudget[[#This Row],[Lvl 1 Header]], TblDetailBudget[[#This Row],[Lvl 1 Header]], $E$8:TblDetailBudget[[#This Row],[Lvl 2 Header]], TblDetailBudget[[#This Row],[Lvl 2 Header]]))</f>
        <v>3</v>
      </c>
      <c r="G2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4" s="185" t="s">
        <v>2662</v>
      </c>
      <c r="J254" s="101"/>
      <c r="K254" s="88"/>
      <c r="L254" s="88"/>
      <c r="M254" s="62" t="str">
        <f>IF(TblDetailBudget[[#This Row],[Level]]=LvlBottomHdr, IFERROR(INDEX(TblUnitCost[Unit], MATCH(TblDetailBudget[[#This Row],[Row Title]], TblUnitCost[Resource], 0)), "Invalid Resource"), "")</f>
        <v/>
      </c>
      <c r="N254" s="125" t="str">
        <f>IF(TblDetailBudget[[#This Row],[Level]]=LvlBottomHdr, IFERROR(INDEX(TblUnitCost[LCU], MATCH(TblDetailBudget[[#This Row],[Row Title]], TblUnitCost[Resource], 0)), "Invalid Resource"), "")</f>
        <v/>
      </c>
      <c r="O254" s="128"/>
      <c r="P254" s="108"/>
      <c r="Q254" s="129"/>
      <c r="R254" s="108"/>
      <c r="S254" s="108"/>
      <c r="T254" s="108"/>
      <c r="U254" s="108"/>
      <c r="V254" s="108"/>
      <c r="W254" s="125" t="str">
        <f>IF(TblDetailBudget[[#This Row],[Level]]=LvlBottomHdr, IF(SUM(TblDetailBudget[[#This Row],[2021 Quant]:[2025 Quant]])&gt;0, SUM(TblDetailBudget[[#This Row],[2021 Quant]:[2025 Quant]]), ""), "")</f>
        <v/>
      </c>
      <c r="X25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54" s="140">
        <f>SUM(TblDetailBudget[[#This Row],[2021 Cost (LCU)]:[2025 Cost (LCU)]])</f>
        <v>2773297530</v>
      </c>
      <c r="AD254" s="134">
        <f>IFERROR(SUM(TblDetailBudget[[#This Row],[2021 Cost (LCU)]])/FX_Rate, "")</f>
        <v>0</v>
      </c>
      <c r="AE254" s="63">
        <f>IFERROR(SUM(TblDetailBudget[[#This Row],[2022 Cost (LCU)]])/FX_Rate, "")</f>
        <v>0</v>
      </c>
      <c r="AF254" s="63">
        <f>IFERROR(SUM(TblDetailBudget[[#This Row],[2023 Cost (LCU)]])/FX_Rate, "")</f>
        <v>0</v>
      </c>
      <c r="AG254" s="63">
        <f>IFERROR(SUM(TblDetailBudget[[#This Row],[2024 Cost (LCU)]])/FX_Rate, "")</f>
        <v>0</v>
      </c>
      <c r="AH254" s="63">
        <f>IFERROR(SUM(TblDetailBudget[[#This Row],[2025 Cost (LCU)]])/FX_Rate, "")</f>
        <v>1733310.95625</v>
      </c>
      <c r="AI254" s="125">
        <f>SUM(TblDetailBudget[[#This Row],[2021 Cost (USD)]:[2025 Cost (USD)]])</f>
        <v>1733310.95625</v>
      </c>
      <c r="AJ254" s="180"/>
    </row>
    <row r="255" spans="2:36" ht="12.75" customHeight="1">
      <c r="B255" s="122" t="s">
        <v>70</v>
      </c>
      <c r="C2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4.1.3.1</v>
      </c>
      <c r="D255" s="62">
        <f>IF(TblDetailBudget[[#This Row],[Level]]="", "", COUNTIFS($B$8:TblDetailBudget[[#This Row],[Level]], Lvl1Hdr))</f>
        <v>4</v>
      </c>
      <c r="E255" s="62">
        <f>IF(TblDetailBudget[[#This Row],[Level]]="", "", COUNTIFS($B$8:TblDetailBudget[[#This Row],[Level]], Lvl2Hdr, $D$8:TblDetailBudget[[#This Row],[Lvl 1 Header]], TblDetailBudget[[#This Row],[Lvl 1 Header]]))</f>
        <v>1</v>
      </c>
      <c r="F255" s="62">
        <f>IF(TblDetailBudget[[#This Row],[Level]]="", "", COUNTIFS($B$8:TblDetailBudget[[#This Row],[Level]], Lvl3Hdr, $D$8:TblDetailBudget[[#This Row],[Lvl 1 Header]], TblDetailBudget[[#This Row],[Lvl 1 Header]], $E$8:TblDetailBudget[[#This Row],[Lvl 2 Header]], TblDetailBudget[[#This Row],[Lvl 2 Header]]))</f>
        <v>3</v>
      </c>
      <c r="G2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5" s="101" t="s">
        <v>2655</v>
      </c>
      <c r="J255" s="101"/>
      <c r="K255" s="88"/>
      <c r="L255" s="88"/>
      <c r="M255" s="62" t="str">
        <f>IF(TblDetailBudget[[#This Row],[Level]]=LvlBottomHdr, IFERROR(INDEX(TblUnitCost[Unit], MATCH(TblDetailBudget[[#This Row],[Row Title]], TblUnitCost[Resource], 0)), "Invalid Resource"), "")</f>
        <v/>
      </c>
      <c r="N255" s="125" t="str">
        <f>IF(TblDetailBudget[[#This Row],[Level]]=LvlBottomHdr, IFERROR(INDEX(TblUnitCost[LCU], MATCH(TblDetailBudget[[#This Row],[Row Title]], TblUnitCost[Resource], 0)), "Invalid Resource"), "")</f>
        <v/>
      </c>
      <c r="O255" s="128"/>
      <c r="P255" s="108"/>
      <c r="Q255" s="129"/>
      <c r="R255" s="108"/>
      <c r="S255" s="108"/>
      <c r="T255" s="108"/>
      <c r="U255" s="108"/>
      <c r="V255" s="108"/>
      <c r="W255" s="125" t="str">
        <f>IF(TblDetailBudget[[#This Row],[Level]]=LvlBottomHdr, IF(SUM(TblDetailBudget[[#This Row],[2021 Quant]:[2025 Quant]])&gt;0, SUM(TblDetailBudget[[#This Row],[2021 Quant]:[2025 Quant]]), ""), "")</f>
        <v/>
      </c>
      <c r="X25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55" s="140">
        <f>SUM(TblDetailBudget[[#This Row],[2021 Cost (LCU)]:[2025 Cost (LCU)]])</f>
        <v>2773297530</v>
      </c>
      <c r="AD255" s="134">
        <f>IFERROR(SUM(TblDetailBudget[[#This Row],[2021 Cost (LCU)]])/FX_Rate, "")</f>
        <v>0</v>
      </c>
      <c r="AE255" s="63">
        <f>IFERROR(SUM(TblDetailBudget[[#This Row],[2022 Cost (LCU)]])/FX_Rate, "")</f>
        <v>0</v>
      </c>
      <c r="AF255" s="63">
        <f>IFERROR(SUM(TblDetailBudget[[#This Row],[2023 Cost (LCU)]])/FX_Rate, "")</f>
        <v>0</v>
      </c>
      <c r="AG255" s="63">
        <f>IFERROR(SUM(TblDetailBudget[[#This Row],[2024 Cost (LCU)]])/FX_Rate, "")</f>
        <v>0</v>
      </c>
      <c r="AH255" s="63">
        <f>IFERROR(SUM(TblDetailBudget[[#This Row],[2025 Cost (LCU)]])/FX_Rate, "")</f>
        <v>1733310.95625</v>
      </c>
      <c r="AI255" s="125">
        <f>SUM(TblDetailBudget[[#This Row],[2021 Cost (USD)]:[2025 Cost (USD)]])</f>
        <v>1733310.95625</v>
      </c>
      <c r="AJ255" s="180"/>
    </row>
    <row r="256" spans="2:36" ht="12.75" customHeight="1">
      <c r="B256" s="122" t="s">
        <v>71</v>
      </c>
      <c r="C2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4.1.3.1.1</v>
      </c>
      <c r="D256" s="62">
        <f>IF(TblDetailBudget[[#This Row],[Level]]="", "", COUNTIFS($B$8:TblDetailBudget[[#This Row],[Level]], Lvl1Hdr))</f>
        <v>4</v>
      </c>
      <c r="E256" s="62">
        <f>IF(TblDetailBudget[[#This Row],[Level]]="", "", COUNTIFS($B$8:TblDetailBudget[[#This Row],[Level]], Lvl2Hdr, $D$8:TblDetailBudget[[#This Row],[Lvl 1 Header]], TblDetailBudget[[#This Row],[Lvl 1 Header]]))</f>
        <v>1</v>
      </c>
      <c r="F256" s="62">
        <f>IF(TblDetailBudget[[#This Row],[Level]]="", "", COUNTIFS($B$8:TblDetailBudget[[#This Row],[Level]], Lvl3Hdr, $D$8:TblDetailBudget[[#This Row],[Lvl 1 Header]], TblDetailBudget[[#This Row],[Lvl 1 Header]], $E$8:TblDetailBudget[[#This Row],[Lvl 2 Header]], TblDetailBudget[[#This Row],[Lvl 2 Header]]))</f>
        <v>3</v>
      </c>
      <c r="G2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6" s="96" t="s">
        <v>2677</v>
      </c>
      <c r="J256" s="101"/>
      <c r="K256" s="88"/>
      <c r="L256" s="88"/>
      <c r="M256" s="62" t="str">
        <f>IF(TblDetailBudget[[#This Row],[Level]]=LvlBottomHdr, IFERROR(INDEX(TblUnitCost[Unit], MATCH(TblDetailBudget[[#This Row],[Row Title]], TblUnitCost[Resource], 0)), "Invalid Resource"), "")</f>
        <v>per person per day</v>
      </c>
      <c r="N256" s="125">
        <f>IF(TblDetailBudget[[#This Row],[Level]]=LvlBottomHdr, IFERROR(INDEX(TblUnitCost[LCU], MATCH(TblDetailBudget[[#This Row],[Row Title]], TblUnitCost[Resource], 0)), "Invalid Resource"), "")</f>
        <v>141567</v>
      </c>
      <c r="O256" s="128">
        <f>'States and LGAs'!BD6</f>
        <v>1306</v>
      </c>
      <c r="P256" s="108">
        <v>5</v>
      </c>
      <c r="Q256" s="129">
        <v>3</v>
      </c>
      <c r="R256" s="108"/>
      <c r="S256" s="108"/>
      <c r="T256" s="108"/>
      <c r="U256" s="108"/>
      <c r="V256" s="108">
        <v>1</v>
      </c>
      <c r="W256" s="125">
        <f>IF(TblDetailBudget[[#This Row],[Level]]=LvlBottomHdr, IF(SUM(TblDetailBudget[[#This Row],[2021 Quant]:[2025 Quant]])&gt;0, SUM(TblDetailBudget[[#This Row],[2021 Quant]:[2025 Quant]]), ""), "")</f>
        <v>1</v>
      </c>
      <c r="X25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56" s="140">
        <f>SUM(TblDetailBudget[[#This Row],[2021 Cost (LCU)]:[2025 Cost (LCU)]])</f>
        <v>2773297530</v>
      </c>
      <c r="AD256" s="134">
        <f>IFERROR(SUM(TblDetailBudget[[#This Row],[2021 Cost (LCU)]])/FX_Rate, "")</f>
        <v>0</v>
      </c>
      <c r="AE256" s="63">
        <f>IFERROR(SUM(TblDetailBudget[[#This Row],[2022 Cost (LCU)]])/FX_Rate, "")</f>
        <v>0</v>
      </c>
      <c r="AF256" s="63">
        <f>IFERROR(SUM(TblDetailBudget[[#This Row],[2023 Cost (LCU)]])/FX_Rate, "")</f>
        <v>0</v>
      </c>
      <c r="AG256" s="63">
        <f>IFERROR(SUM(TblDetailBudget[[#This Row],[2024 Cost (LCU)]])/FX_Rate, "")</f>
        <v>0</v>
      </c>
      <c r="AH256" s="63">
        <f>IFERROR(SUM(TblDetailBudget[[#This Row],[2025 Cost (LCU)]])/FX_Rate, "")</f>
        <v>1733310.95625</v>
      </c>
      <c r="AI256" s="125">
        <f>SUM(TblDetailBudget[[#This Row],[2021 Cost (USD)]:[2025 Cost (USD)]])</f>
        <v>1733310.95625</v>
      </c>
      <c r="AJ256" s="180"/>
    </row>
    <row r="257" spans="2:36" ht="12.75" customHeight="1">
      <c r="B257" s="122" t="s">
        <v>69</v>
      </c>
      <c r="C2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v>
      </c>
      <c r="D257" s="62">
        <f>IF(TblDetailBudget[[#This Row],[Level]]="", "", COUNTIFS($B$8:TblDetailBudget[[#This Row],[Level]], Lvl1Hdr))</f>
        <v>4</v>
      </c>
      <c r="E257" s="62">
        <f>IF(TblDetailBudget[[#This Row],[Level]]="", "", COUNTIFS($B$8:TblDetailBudget[[#This Row],[Level]], Lvl2Hdr, $D$8:TblDetailBudget[[#This Row],[Lvl 1 Header]], TblDetailBudget[[#This Row],[Lvl 1 Header]]))</f>
        <v>1</v>
      </c>
      <c r="F257" s="62">
        <f>IF(TblDetailBudget[[#This Row],[Level]]="", "", COUNTIFS($B$8:TblDetailBudget[[#This Row],[Level]], Lvl3Hdr, $D$8:TblDetailBudget[[#This Row],[Lvl 1 Header]], TblDetailBudget[[#This Row],[Lvl 1 Header]], $E$8:TblDetailBudget[[#This Row],[Lvl 2 Header]], TblDetailBudget[[#This Row],[Lvl 2 Header]]))</f>
        <v>4</v>
      </c>
      <c r="G2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7" s="185" t="s">
        <v>2663</v>
      </c>
      <c r="J257" s="101"/>
      <c r="K257" s="88"/>
      <c r="L257" s="88"/>
      <c r="M257" s="62" t="str">
        <f>IF(TblDetailBudget[[#This Row],[Level]]=LvlBottomHdr, IFERROR(INDEX(TblUnitCost[Unit], MATCH(TblDetailBudget[[#This Row],[Row Title]], TblUnitCost[Resource], 0)), "Invalid Resource"), "")</f>
        <v/>
      </c>
      <c r="N257" s="125" t="str">
        <f>IF(TblDetailBudget[[#This Row],[Level]]=LvlBottomHdr, IFERROR(INDEX(TblUnitCost[LCU], MATCH(TblDetailBudget[[#This Row],[Row Title]], TblUnitCost[Resource], 0)), "Invalid Resource"), "")</f>
        <v/>
      </c>
      <c r="O257" s="128"/>
      <c r="P257" s="108"/>
      <c r="Q257" s="129"/>
      <c r="R257" s="108"/>
      <c r="S257" s="108"/>
      <c r="T257" s="108"/>
      <c r="U257" s="108"/>
      <c r="V257" s="108"/>
      <c r="W257" s="125" t="str">
        <f>IF(TblDetailBudget[[#This Row],[Level]]=LvlBottomHdr, IF(SUM(TblDetailBudget[[#This Row],[2021 Quant]:[2025 Quant]])&gt;0, SUM(TblDetailBudget[[#This Row],[2021 Quant]:[2025 Quant]]), ""), "")</f>
        <v/>
      </c>
      <c r="X25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57" s="140">
        <f>SUM(TblDetailBudget[[#This Row],[2021 Cost (LCU)]:[2025 Cost (LCU)]])</f>
        <v>13636439388</v>
      </c>
      <c r="AD257" s="134">
        <f>IFERROR(SUM(TblDetailBudget[[#This Row],[2021 Cost (LCU)]])/FX_Rate, "")</f>
        <v>0</v>
      </c>
      <c r="AE257" s="63">
        <f>IFERROR(SUM(TblDetailBudget[[#This Row],[2022 Cost (LCU)]])/FX_Rate, "")</f>
        <v>0</v>
      </c>
      <c r="AF257" s="63">
        <f>IFERROR(SUM(TblDetailBudget[[#This Row],[2023 Cost (LCU)]])/FX_Rate, "")</f>
        <v>0</v>
      </c>
      <c r="AG257" s="63">
        <f>IFERROR(SUM(TblDetailBudget[[#This Row],[2024 Cost (LCU)]])/FX_Rate, "")</f>
        <v>0</v>
      </c>
      <c r="AH257" s="63">
        <f>IFERROR(SUM(TblDetailBudget[[#This Row],[2025 Cost (LCU)]])/FX_Rate, "")</f>
        <v>8522774.6174999997</v>
      </c>
      <c r="AI257" s="125">
        <f>SUM(TblDetailBudget[[#This Row],[2021 Cost (USD)]:[2025 Cost (USD)]])</f>
        <v>8522774.6174999997</v>
      </c>
      <c r="AJ257" s="180"/>
    </row>
    <row r="258" spans="2:36" ht="12.75" customHeight="1">
      <c r="B258" s="122" t="s">
        <v>70</v>
      </c>
      <c r="C2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4.1.4.1</v>
      </c>
      <c r="D258" s="62">
        <f>IF(TblDetailBudget[[#This Row],[Level]]="", "", COUNTIFS($B$8:TblDetailBudget[[#This Row],[Level]], Lvl1Hdr))</f>
        <v>4</v>
      </c>
      <c r="E258" s="62">
        <f>IF(TblDetailBudget[[#This Row],[Level]]="", "", COUNTIFS($B$8:TblDetailBudget[[#This Row],[Level]], Lvl2Hdr, $D$8:TblDetailBudget[[#This Row],[Lvl 1 Header]], TblDetailBudget[[#This Row],[Lvl 1 Header]]))</f>
        <v>1</v>
      </c>
      <c r="F258" s="62">
        <f>IF(TblDetailBudget[[#This Row],[Level]]="", "", COUNTIFS($B$8:TblDetailBudget[[#This Row],[Level]], Lvl3Hdr, $D$8:TblDetailBudget[[#This Row],[Lvl 1 Header]], TblDetailBudget[[#This Row],[Lvl 1 Header]], $E$8:TblDetailBudget[[#This Row],[Lvl 2 Header]], TblDetailBudget[[#This Row],[Lvl 2 Header]]))</f>
        <v>4</v>
      </c>
      <c r="G2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8" s="101" t="s">
        <v>1848</v>
      </c>
      <c r="J258" s="101"/>
      <c r="K258" s="88"/>
      <c r="L258" s="88"/>
      <c r="M258" s="62" t="str">
        <f>IF(TblDetailBudget[[#This Row],[Level]]=LvlBottomHdr, IFERROR(INDEX(TblUnitCost[Unit], MATCH(TblDetailBudget[[#This Row],[Row Title]], TblUnitCost[Resource], 0)), "Invalid Resource"), "")</f>
        <v/>
      </c>
      <c r="N258" s="125" t="str">
        <f>IF(TblDetailBudget[[#This Row],[Level]]=LvlBottomHdr, IFERROR(INDEX(TblUnitCost[LCU], MATCH(TblDetailBudget[[#This Row],[Row Title]], TblUnitCost[Resource], 0)), "Invalid Resource"), "")</f>
        <v/>
      </c>
      <c r="O258" s="128"/>
      <c r="P258" s="108"/>
      <c r="Q258" s="129"/>
      <c r="R258" s="108"/>
      <c r="S258" s="108"/>
      <c r="T258" s="108"/>
      <c r="U258" s="108"/>
      <c r="V258" s="108"/>
      <c r="W258" s="125" t="str">
        <f>IF(TblDetailBudget[[#This Row],[Level]]=LvlBottomHdr, IF(SUM(TblDetailBudget[[#This Row],[2021 Quant]:[2025 Quant]])&gt;0, SUM(TblDetailBudget[[#This Row],[2021 Quant]:[2025 Quant]]), ""), "")</f>
        <v/>
      </c>
      <c r="X25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58" s="140">
        <f>SUM(TblDetailBudget[[#This Row],[2021 Cost (LCU)]:[2025 Cost (LCU)]])</f>
        <v>13636439388</v>
      </c>
      <c r="AD258" s="134">
        <f>IFERROR(SUM(TblDetailBudget[[#This Row],[2021 Cost (LCU)]])/FX_Rate, "")</f>
        <v>0</v>
      </c>
      <c r="AE258" s="63">
        <f>IFERROR(SUM(TblDetailBudget[[#This Row],[2022 Cost (LCU)]])/FX_Rate, "")</f>
        <v>0</v>
      </c>
      <c r="AF258" s="63">
        <f>IFERROR(SUM(TblDetailBudget[[#This Row],[2023 Cost (LCU)]])/FX_Rate, "")</f>
        <v>0</v>
      </c>
      <c r="AG258" s="63">
        <f>IFERROR(SUM(TblDetailBudget[[#This Row],[2024 Cost (LCU)]])/FX_Rate, "")</f>
        <v>0</v>
      </c>
      <c r="AH258" s="63">
        <f>IFERROR(SUM(TblDetailBudget[[#This Row],[2025 Cost (LCU)]])/FX_Rate, "")</f>
        <v>8522774.6174999997</v>
      </c>
      <c r="AI258" s="125">
        <f>SUM(TblDetailBudget[[#This Row],[2021 Cost (USD)]:[2025 Cost (USD)]])</f>
        <v>8522774.6174999997</v>
      </c>
      <c r="AJ258" s="180"/>
    </row>
    <row r="259" spans="2:36" ht="12.75" customHeight="1">
      <c r="B259" s="122" t="s">
        <v>71</v>
      </c>
      <c r="C2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4.1.4.1.1</v>
      </c>
      <c r="D259" s="62">
        <f>IF(TblDetailBudget[[#This Row],[Level]]="", "", COUNTIFS($B$8:TblDetailBudget[[#This Row],[Level]], Lvl1Hdr))</f>
        <v>4</v>
      </c>
      <c r="E259" s="62">
        <f>IF(TblDetailBudget[[#This Row],[Level]]="", "", COUNTIFS($B$8:TblDetailBudget[[#This Row],[Level]], Lvl2Hdr, $D$8:TblDetailBudget[[#This Row],[Lvl 1 Header]], TblDetailBudget[[#This Row],[Lvl 1 Header]]))</f>
        <v>1</v>
      </c>
      <c r="F259" s="62">
        <f>IF(TblDetailBudget[[#This Row],[Level]]="", "", COUNTIFS($B$8:TblDetailBudget[[#This Row],[Level]], Lvl3Hdr, $D$8:TblDetailBudget[[#This Row],[Lvl 1 Header]], TblDetailBudget[[#This Row],[Lvl 1 Header]], $E$8:TblDetailBudget[[#This Row],[Lvl 2 Header]], TblDetailBudget[[#This Row],[Lvl 2 Header]]))</f>
        <v>4</v>
      </c>
      <c r="G2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9" s="96" t="s">
        <v>2679</v>
      </c>
      <c r="J259" s="101"/>
      <c r="K259" s="88"/>
      <c r="L259" s="88"/>
      <c r="M259" s="62" t="str">
        <f>IF(TblDetailBudget[[#This Row],[Level]]=LvlBottomHdr, IFERROR(INDEX(TblUnitCost[Unit], MATCH(TblDetailBudget[[#This Row],[Row Title]], TblUnitCost[Resource], 0)), "Invalid Resource"), "")</f>
        <v>per person per day</v>
      </c>
      <c r="N259" s="125">
        <f>IF(TblDetailBudget[[#This Row],[Level]]=LvlBottomHdr, IFERROR(INDEX(TblUnitCost[LCU], MATCH(TblDetailBudget[[#This Row],[Row Title]], TblUnitCost[Resource], 0)), "Invalid Resource"), "")</f>
        <v>83278</v>
      </c>
      <c r="O259" s="128">
        <f>'States and LGAs'!AZ6</f>
        <v>27291</v>
      </c>
      <c r="P259" s="108">
        <v>2</v>
      </c>
      <c r="Q259" s="129">
        <v>3</v>
      </c>
      <c r="R259" s="108"/>
      <c r="S259" s="108"/>
      <c r="T259" s="108"/>
      <c r="U259" s="108"/>
      <c r="V259" s="108">
        <v>1</v>
      </c>
      <c r="W259" s="125">
        <f>IF(TblDetailBudget[[#This Row],[Level]]=LvlBottomHdr, IF(SUM(TblDetailBudget[[#This Row],[2021 Quant]:[2025 Quant]])&gt;0, SUM(TblDetailBudget[[#This Row],[2021 Quant]:[2025 Quant]]), ""), "")</f>
        <v>1</v>
      </c>
      <c r="X25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59" s="140">
        <f>SUM(TblDetailBudget[[#This Row],[2021 Cost (LCU)]:[2025 Cost (LCU)]])</f>
        <v>13636439388</v>
      </c>
      <c r="AD259" s="134">
        <f>IFERROR(SUM(TblDetailBudget[[#This Row],[2021 Cost (LCU)]])/FX_Rate, "")</f>
        <v>0</v>
      </c>
      <c r="AE259" s="63">
        <f>IFERROR(SUM(TblDetailBudget[[#This Row],[2022 Cost (LCU)]])/FX_Rate, "")</f>
        <v>0</v>
      </c>
      <c r="AF259" s="63">
        <f>IFERROR(SUM(TblDetailBudget[[#This Row],[2023 Cost (LCU)]])/FX_Rate, "")</f>
        <v>0</v>
      </c>
      <c r="AG259" s="63">
        <f>IFERROR(SUM(TblDetailBudget[[#This Row],[2024 Cost (LCU)]])/FX_Rate, "")</f>
        <v>0</v>
      </c>
      <c r="AH259" s="63">
        <f>IFERROR(SUM(TblDetailBudget[[#This Row],[2025 Cost (LCU)]])/FX_Rate, "")</f>
        <v>8522774.6174999997</v>
      </c>
      <c r="AI259" s="125">
        <f>SUM(TblDetailBudget[[#This Row],[2021 Cost (USD)]:[2025 Cost (USD)]])</f>
        <v>8522774.6174999997</v>
      </c>
      <c r="AJ259" s="180"/>
    </row>
    <row r="260" spans="2:36" ht="12.75" customHeight="1">
      <c r="B260" s="122" t="s">
        <v>69</v>
      </c>
      <c r="C2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v>
      </c>
      <c r="D260" s="62">
        <f>IF(TblDetailBudget[[#This Row],[Level]]="", "", COUNTIFS($B$8:TblDetailBudget[[#This Row],[Level]], Lvl1Hdr))</f>
        <v>4</v>
      </c>
      <c r="E260" s="62">
        <f>IF(TblDetailBudget[[#This Row],[Level]]="", "", COUNTIFS($B$8:TblDetailBudget[[#This Row],[Level]], Lvl2Hdr, $D$8:TblDetailBudget[[#This Row],[Lvl 1 Header]], TblDetailBudget[[#This Row],[Lvl 1 Header]]))</f>
        <v>1</v>
      </c>
      <c r="F260" s="62">
        <f>IF(TblDetailBudget[[#This Row],[Level]]="", "", COUNTIFS($B$8:TblDetailBudget[[#This Row],[Level]], Lvl3Hdr, $D$8:TblDetailBudget[[#This Row],[Lvl 1 Header]], TblDetailBudget[[#This Row],[Lvl 1 Header]], $E$8:TblDetailBudget[[#This Row],[Lvl 2 Header]], TblDetailBudget[[#This Row],[Lvl 2 Header]]))</f>
        <v>5</v>
      </c>
      <c r="G2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0" s="185" t="s">
        <v>2671</v>
      </c>
      <c r="J260" s="101"/>
      <c r="K260" s="88"/>
      <c r="L260" s="88"/>
      <c r="M260" s="62" t="str">
        <f>IF(TblDetailBudget[[#This Row],[Level]]=LvlBottomHdr, IFERROR(INDEX(TblUnitCost[Unit], MATCH(TblDetailBudget[[#This Row],[Row Title]], TblUnitCost[Resource], 0)), "Invalid Resource"), "")</f>
        <v/>
      </c>
      <c r="N260" s="125" t="str">
        <f>IF(TblDetailBudget[[#This Row],[Level]]=LvlBottomHdr, IFERROR(INDEX(TblUnitCost[LCU], MATCH(TblDetailBudget[[#This Row],[Row Title]], TblUnitCost[Resource], 0)), "Invalid Resource"), "")</f>
        <v/>
      </c>
      <c r="O260" s="128"/>
      <c r="P260" s="108"/>
      <c r="Q260" s="129"/>
      <c r="R260" s="108"/>
      <c r="S260" s="108"/>
      <c r="T260" s="108"/>
      <c r="U260" s="108"/>
      <c r="V260" s="108"/>
      <c r="W260" s="125" t="str">
        <f>IF(TblDetailBudget[[#This Row],[Level]]=LvlBottomHdr, IF(SUM(TblDetailBudget[[#This Row],[2021 Quant]:[2025 Quant]])&gt;0, SUM(TblDetailBudget[[#This Row],[2021 Quant]:[2025 Quant]]), ""), "")</f>
        <v/>
      </c>
      <c r="X26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131744160</v>
      </c>
      <c r="AC260" s="140">
        <f>SUM(TblDetailBudget[[#This Row],[2021 Cost (LCU)]:[2025 Cost (LCU)]])</f>
        <v>131744160</v>
      </c>
      <c r="AD260" s="134">
        <f>IFERROR(SUM(TblDetailBudget[[#This Row],[2021 Cost (LCU)]])/FX_Rate, "")</f>
        <v>0</v>
      </c>
      <c r="AE260" s="63">
        <f>IFERROR(SUM(TblDetailBudget[[#This Row],[2022 Cost (LCU)]])/FX_Rate, "")</f>
        <v>0</v>
      </c>
      <c r="AF260" s="63">
        <f>IFERROR(SUM(TblDetailBudget[[#This Row],[2023 Cost (LCU)]])/FX_Rate, "")</f>
        <v>0</v>
      </c>
      <c r="AG260" s="63">
        <f>IFERROR(SUM(TblDetailBudget[[#This Row],[2024 Cost (LCU)]])/FX_Rate, "")</f>
        <v>0</v>
      </c>
      <c r="AH260" s="63">
        <f>IFERROR(SUM(TblDetailBudget[[#This Row],[2025 Cost (LCU)]])/FX_Rate, "")</f>
        <v>82340.100000000006</v>
      </c>
      <c r="AI260" s="125">
        <f>SUM(TblDetailBudget[[#This Row],[2021 Cost (USD)]:[2025 Cost (USD)]])</f>
        <v>82340.100000000006</v>
      </c>
      <c r="AJ260" s="180"/>
    </row>
    <row r="261" spans="2:36" ht="12.75" customHeight="1">
      <c r="B261" s="122" t="s">
        <v>70</v>
      </c>
      <c r="C2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4.1.5.1</v>
      </c>
      <c r="D261" s="62">
        <f>IF(TblDetailBudget[[#This Row],[Level]]="", "", COUNTIFS($B$8:TblDetailBudget[[#This Row],[Level]], Lvl1Hdr))</f>
        <v>4</v>
      </c>
      <c r="E261" s="62">
        <f>IF(TblDetailBudget[[#This Row],[Level]]="", "", COUNTIFS($B$8:TblDetailBudget[[#This Row],[Level]], Lvl2Hdr, $D$8:TblDetailBudget[[#This Row],[Lvl 1 Header]], TblDetailBudget[[#This Row],[Lvl 1 Header]]))</f>
        <v>1</v>
      </c>
      <c r="F261" s="62">
        <f>IF(TblDetailBudget[[#This Row],[Level]]="", "", COUNTIFS($B$8:TblDetailBudget[[#This Row],[Level]], Lvl3Hdr, $D$8:TblDetailBudget[[#This Row],[Lvl 1 Header]], TblDetailBudget[[#This Row],[Lvl 1 Header]], $E$8:TblDetailBudget[[#This Row],[Lvl 2 Header]], TblDetailBudget[[#This Row],[Lvl 2 Header]]))</f>
        <v>5</v>
      </c>
      <c r="G2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1" s="101" t="s">
        <v>2672</v>
      </c>
      <c r="J261" s="101"/>
      <c r="K261" s="88"/>
      <c r="L261" s="88"/>
      <c r="M261" s="62" t="str">
        <f>IF(TblDetailBudget[[#This Row],[Level]]=LvlBottomHdr, IFERROR(INDEX(TblUnitCost[Unit], MATCH(TblDetailBudget[[#This Row],[Row Title]], TblUnitCost[Resource], 0)), "Invalid Resource"), "")</f>
        <v/>
      </c>
      <c r="N261" s="125" t="str">
        <f>IF(TblDetailBudget[[#This Row],[Level]]=LvlBottomHdr, IFERROR(INDEX(TblUnitCost[LCU], MATCH(TblDetailBudget[[#This Row],[Row Title]], TblUnitCost[Resource], 0)), "Invalid Resource"), "")</f>
        <v/>
      </c>
      <c r="O261" s="128"/>
      <c r="P261" s="108"/>
      <c r="Q261" s="129"/>
      <c r="R261" s="108"/>
      <c r="S261" s="108"/>
      <c r="T261" s="108"/>
      <c r="U261" s="108"/>
      <c r="V261" s="108"/>
      <c r="W261" s="125" t="str">
        <f>IF(TblDetailBudget[[#This Row],[Level]]=LvlBottomHdr, IF(SUM(TblDetailBudget[[#This Row],[2021 Quant]:[2025 Quant]])&gt;0, SUM(TblDetailBudget[[#This Row],[2021 Quant]:[2025 Quant]]), ""), "")</f>
        <v/>
      </c>
      <c r="X2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49404060</v>
      </c>
      <c r="AC261" s="140">
        <f>SUM(TblDetailBudget[[#This Row],[2021 Cost (LCU)]:[2025 Cost (LCU)]])</f>
        <v>49404060</v>
      </c>
      <c r="AD261" s="134">
        <f>IFERROR(SUM(TblDetailBudget[[#This Row],[2021 Cost (LCU)]])/FX_Rate, "")</f>
        <v>0</v>
      </c>
      <c r="AE261" s="63">
        <f>IFERROR(SUM(TblDetailBudget[[#This Row],[2022 Cost (LCU)]])/FX_Rate, "")</f>
        <v>0</v>
      </c>
      <c r="AF261" s="63">
        <f>IFERROR(SUM(TblDetailBudget[[#This Row],[2023 Cost (LCU)]])/FX_Rate, "")</f>
        <v>0</v>
      </c>
      <c r="AG261" s="63">
        <f>IFERROR(SUM(TblDetailBudget[[#This Row],[2024 Cost (LCU)]])/FX_Rate, "")</f>
        <v>0</v>
      </c>
      <c r="AH261" s="63">
        <f>IFERROR(SUM(TblDetailBudget[[#This Row],[2025 Cost (LCU)]])/FX_Rate, "")</f>
        <v>30877.537499999999</v>
      </c>
      <c r="AI261" s="125">
        <f>SUM(TblDetailBudget[[#This Row],[2021 Cost (USD)]:[2025 Cost (USD)]])</f>
        <v>30877.537499999999</v>
      </c>
      <c r="AJ261" s="180"/>
    </row>
    <row r="262" spans="2:36" ht="12.75" customHeight="1">
      <c r="B262" s="122" t="s">
        <v>71</v>
      </c>
      <c r="C2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4.1.5.1.1</v>
      </c>
      <c r="D262" s="62">
        <f>IF(TblDetailBudget[[#This Row],[Level]]="", "", COUNTIFS($B$8:TblDetailBudget[[#This Row],[Level]], Lvl1Hdr))</f>
        <v>4</v>
      </c>
      <c r="E262" s="62">
        <f>IF(TblDetailBudget[[#This Row],[Level]]="", "", COUNTIFS($B$8:TblDetailBudget[[#This Row],[Level]], Lvl2Hdr, $D$8:TblDetailBudget[[#This Row],[Lvl 1 Header]], TblDetailBudget[[#This Row],[Lvl 1 Header]]))</f>
        <v>1</v>
      </c>
      <c r="F262" s="62">
        <f>IF(TblDetailBudget[[#This Row],[Level]]="", "", COUNTIFS($B$8:TblDetailBudget[[#This Row],[Level]], Lvl3Hdr, $D$8:TblDetailBudget[[#This Row],[Lvl 1 Header]], TblDetailBudget[[#This Row],[Lvl 1 Header]], $E$8:TblDetailBudget[[#This Row],[Lvl 2 Header]], TblDetailBudget[[#This Row],[Lvl 2 Header]]))</f>
        <v>5</v>
      </c>
      <c r="G2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2" s="96" t="s">
        <v>2675</v>
      </c>
      <c r="J262" s="101"/>
      <c r="K262" s="88"/>
      <c r="L262" s="88"/>
      <c r="M262" s="62" t="str">
        <f>IF(TblDetailBudget[[#This Row],[Level]]=LvlBottomHdr, IFERROR(INDEX(TblUnitCost[Unit], MATCH(TblDetailBudget[[#This Row],[Row Title]], TblUnitCost[Resource], 0)), "Invalid Resource"), "")</f>
        <v>per person per day</v>
      </c>
      <c r="N262" s="125">
        <f>IF(TblDetailBudget[[#This Row],[Level]]=LvlBottomHdr, IFERROR(INDEX(TblUnitCost[LCU], MATCH(TblDetailBudget[[#This Row],[Row Title]], TblUnitCost[Resource], 0)), "Invalid Resource"), "")</f>
        <v>274467</v>
      </c>
      <c r="O262" s="128">
        <v>1</v>
      </c>
      <c r="P262" s="108">
        <v>60</v>
      </c>
      <c r="Q262" s="129">
        <v>3</v>
      </c>
      <c r="R262" s="108"/>
      <c r="S262" s="108"/>
      <c r="T262" s="108"/>
      <c r="U262" s="108"/>
      <c r="V262" s="108">
        <v>1</v>
      </c>
      <c r="W262" s="125">
        <f>IF(TblDetailBudget[[#This Row],[Level]]=LvlBottomHdr, IF(SUM(TblDetailBudget[[#This Row],[2021 Quant]:[2025 Quant]])&gt;0, SUM(TblDetailBudget[[#This Row],[2021 Quant]:[2025 Quant]]), ""), "")</f>
        <v>1</v>
      </c>
      <c r="X26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49404060</v>
      </c>
      <c r="AC262" s="140">
        <f>SUM(TblDetailBudget[[#This Row],[2021 Cost (LCU)]:[2025 Cost (LCU)]])</f>
        <v>49404060</v>
      </c>
      <c r="AD262" s="134">
        <f>IFERROR(SUM(TblDetailBudget[[#This Row],[2021 Cost (LCU)]])/FX_Rate, "")</f>
        <v>0</v>
      </c>
      <c r="AE262" s="63">
        <f>IFERROR(SUM(TblDetailBudget[[#This Row],[2022 Cost (LCU)]])/FX_Rate, "")</f>
        <v>0</v>
      </c>
      <c r="AF262" s="63">
        <f>IFERROR(SUM(TblDetailBudget[[#This Row],[2023 Cost (LCU)]])/FX_Rate, "")</f>
        <v>0</v>
      </c>
      <c r="AG262" s="63">
        <f>IFERROR(SUM(TblDetailBudget[[#This Row],[2024 Cost (LCU)]])/FX_Rate, "")</f>
        <v>0</v>
      </c>
      <c r="AH262" s="63">
        <f>IFERROR(SUM(TblDetailBudget[[#This Row],[2025 Cost (LCU)]])/FX_Rate, "")</f>
        <v>30877.537499999999</v>
      </c>
      <c r="AI262" s="125">
        <f>SUM(TblDetailBudget[[#This Row],[2021 Cost (USD)]:[2025 Cost (USD)]])</f>
        <v>30877.537499999999</v>
      </c>
      <c r="AJ262" s="180"/>
    </row>
    <row r="263" spans="2:36" ht="12.75" customHeight="1">
      <c r="B263" s="122" t="s">
        <v>70</v>
      </c>
      <c r="C2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4.1.5.2</v>
      </c>
      <c r="D263" s="62">
        <f>IF(TblDetailBudget[[#This Row],[Level]]="", "", COUNTIFS($B$8:TblDetailBudget[[#This Row],[Level]], Lvl1Hdr))</f>
        <v>4</v>
      </c>
      <c r="E263" s="62">
        <f>IF(TblDetailBudget[[#This Row],[Level]]="", "", COUNTIFS($B$8:TblDetailBudget[[#This Row],[Level]], Lvl2Hdr, $D$8:TblDetailBudget[[#This Row],[Lvl 1 Header]], TblDetailBudget[[#This Row],[Lvl 1 Header]]))</f>
        <v>1</v>
      </c>
      <c r="F263" s="62">
        <f>IF(TblDetailBudget[[#This Row],[Level]]="", "", COUNTIFS($B$8:TblDetailBudget[[#This Row],[Level]], Lvl3Hdr, $D$8:TblDetailBudget[[#This Row],[Lvl 1 Header]], TblDetailBudget[[#This Row],[Lvl 1 Header]], $E$8:TblDetailBudget[[#This Row],[Lvl 2 Header]], TblDetailBudget[[#This Row],[Lvl 2 Header]]))</f>
        <v>5</v>
      </c>
      <c r="G2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3" s="101" t="s">
        <v>2670</v>
      </c>
      <c r="J263" s="101"/>
      <c r="K263" s="88"/>
      <c r="L263" s="88"/>
      <c r="M263" s="62" t="str">
        <f>IF(TblDetailBudget[[#This Row],[Level]]=LvlBottomHdr, IFERROR(INDEX(TblUnitCost[Unit], MATCH(TblDetailBudget[[#This Row],[Row Title]], TblUnitCost[Resource], 0)), "Invalid Resource"), "")</f>
        <v/>
      </c>
      <c r="N263" s="125" t="str">
        <f>IF(TblDetailBudget[[#This Row],[Level]]=LvlBottomHdr, IFERROR(INDEX(TblUnitCost[LCU], MATCH(TblDetailBudget[[#This Row],[Row Title]], TblUnitCost[Resource], 0)), "Invalid Resource"), "")</f>
        <v/>
      </c>
      <c r="O263" s="128"/>
      <c r="P263" s="108"/>
      <c r="Q263" s="129"/>
      <c r="R263" s="108"/>
      <c r="S263" s="108"/>
      <c r="T263" s="108"/>
      <c r="U263" s="108"/>
      <c r="V263" s="108"/>
      <c r="W263" s="125" t="str">
        <f>IF(TblDetailBudget[[#This Row],[Level]]=LvlBottomHdr, IF(SUM(TblDetailBudget[[#This Row],[2021 Quant]:[2025 Quant]])&gt;0, SUM(TblDetailBudget[[#This Row],[2021 Quant]:[2025 Quant]]), ""), "")</f>
        <v/>
      </c>
      <c r="X26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63" s="140">
        <f>SUM(TblDetailBudget[[#This Row],[2021 Cost (LCU)]:[2025 Cost (LCU)]])</f>
        <v>82340100</v>
      </c>
      <c r="AD263" s="134">
        <f>IFERROR(SUM(TblDetailBudget[[#This Row],[2021 Cost (LCU)]])/FX_Rate, "")</f>
        <v>0</v>
      </c>
      <c r="AE263" s="63">
        <f>IFERROR(SUM(TblDetailBudget[[#This Row],[2022 Cost (LCU)]])/FX_Rate, "")</f>
        <v>0</v>
      </c>
      <c r="AF263" s="63">
        <f>IFERROR(SUM(TblDetailBudget[[#This Row],[2023 Cost (LCU)]])/FX_Rate, "")</f>
        <v>0</v>
      </c>
      <c r="AG263" s="63">
        <f>IFERROR(SUM(TblDetailBudget[[#This Row],[2024 Cost (LCU)]])/FX_Rate, "")</f>
        <v>0</v>
      </c>
      <c r="AH263" s="63">
        <f>IFERROR(SUM(TblDetailBudget[[#This Row],[2025 Cost (LCU)]])/FX_Rate, "")</f>
        <v>51462.5625</v>
      </c>
      <c r="AI263" s="125">
        <f>SUM(TblDetailBudget[[#This Row],[2021 Cost (USD)]:[2025 Cost (USD)]])</f>
        <v>51462.5625</v>
      </c>
      <c r="AJ263" s="180"/>
    </row>
    <row r="264" spans="2:36" ht="12.75" customHeight="1">
      <c r="B264" s="122" t="s">
        <v>71</v>
      </c>
      <c r="C2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4.1.5.2.1</v>
      </c>
      <c r="D264" s="62">
        <f>IF(TblDetailBudget[[#This Row],[Level]]="", "", COUNTIFS($B$8:TblDetailBudget[[#This Row],[Level]], Lvl1Hdr))</f>
        <v>4</v>
      </c>
      <c r="E264" s="62">
        <f>IF(TblDetailBudget[[#This Row],[Level]]="", "", COUNTIFS($B$8:TblDetailBudget[[#This Row],[Level]], Lvl2Hdr, $D$8:TblDetailBudget[[#This Row],[Lvl 1 Header]], TblDetailBudget[[#This Row],[Lvl 1 Header]]))</f>
        <v>1</v>
      </c>
      <c r="F264" s="62">
        <f>IF(TblDetailBudget[[#This Row],[Level]]="", "", COUNTIFS($B$8:TblDetailBudget[[#This Row],[Level]], Lvl3Hdr, $D$8:TblDetailBudget[[#This Row],[Lvl 1 Header]], TblDetailBudget[[#This Row],[Lvl 1 Header]], $E$8:TblDetailBudget[[#This Row],[Lvl 2 Header]], TblDetailBudget[[#This Row],[Lvl 2 Header]]))</f>
        <v>5</v>
      </c>
      <c r="G2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4" s="96" t="s">
        <v>2675</v>
      </c>
      <c r="J264" s="101"/>
      <c r="K264" s="88"/>
      <c r="L264" s="88"/>
      <c r="M264" s="62" t="str">
        <f>IF(TblDetailBudget[[#This Row],[Level]]=LvlBottomHdr, IFERROR(INDEX(TblUnitCost[Unit], MATCH(TblDetailBudget[[#This Row],[Row Title]], TblUnitCost[Resource], 0)), "Invalid Resource"), "")</f>
        <v>per person per day</v>
      </c>
      <c r="N264" s="125">
        <f>IF(TblDetailBudget[[#This Row],[Level]]=LvlBottomHdr, IFERROR(INDEX(TblUnitCost[LCU], MATCH(TblDetailBudget[[#This Row],[Row Title]], TblUnitCost[Resource], 0)), "Invalid Resource"), "")</f>
        <v>274467</v>
      </c>
      <c r="O264" s="128">
        <v>1</v>
      </c>
      <c r="P264" s="108">
        <v>60</v>
      </c>
      <c r="Q264" s="129">
        <v>5</v>
      </c>
      <c r="R264" s="108"/>
      <c r="S264" s="108"/>
      <c r="T264" s="108"/>
      <c r="U264" s="108"/>
      <c r="V264" s="108">
        <v>1</v>
      </c>
      <c r="W264" s="125">
        <f>IF(TblDetailBudget[[#This Row],[Level]]=LvlBottomHdr, IF(SUM(TblDetailBudget[[#This Row],[2021 Quant]:[2025 Quant]])&gt;0, SUM(TblDetailBudget[[#This Row],[2021 Quant]:[2025 Quant]]), ""), "")</f>
        <v>1</v>
      </c>
      <c r="X26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64" s="140">
        <f>SUM(TblDetailBudget[[#This Row],[2021 Cost (LCU)]:[2025 Cost (LCU)]])</f>
        <v>82340100</v>
      </c>
      <c r="AD264" s="134">
        <f>IFERROR(SUM(TblDetailBudget[[#This Row],[2021 Cost (LCU)]])/FX_Rate, "")</f>
        <v>0</v>
      </c>
      <c r="AE264" s="63">
        <f>IFERROR(SUM(TblDetailBudget[[#This Row],[2022 Cost (LCU)]])/FX_Rate, "")</f>
        <v>0</v>
      </c>
      <c r="AF264" s="63">
        <f>IFERROR(SUM(TblDetailBudget[[#This Row],[2023 Cost (LCU)]])/FX_Rate, "")</f>
        <v>0</v>
      </c>
      <c r="AG264" s="63">
        <f>IFERROR(SUM(TblDetailBudget[[#This Row],[2024 Cost (LCU)]])/FX_Rate, "")</f>
        <v>0</v>
      </c>
      <c r="AH264" s="63">
        <f>IFERROR(SUM(TblDetailBudget[[#This Row],[2025 Cost (LCU)]])/FX_Rate, "")</f>
        <v>51462.5625</v>
      </c>
      <c r="AI264" s="125">
        <f>SUM(TblDetailBudget[[#This Row],[2021 Cost (USD)]:[2025 Cost (USD)]])</f>
        <v>51462.5625</v>
      </c>
      <c r="AJ264" s="180"/>
    </row>
    <row r="265" spans="2:36" ht="12.75" customHeight="1">
      <c r="B265" s="122" t="s">
        <v>69</v>
      </c>
      <c r="C2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v>
      </c>
      <c r="D265" s="62">
        <f>IF(TblDetailBudget[[#This Row],[Level]]="", "", COUNTIFS($B$8:TblDetailBudget[[#This Row],[Level]], Lvl1Hdr))</f>
        <v>4</v>
      </c>
      <c r="E265" s="62">
        <f>IF(TblDetailBudget[[#This Row],[Level]]="", "", COUNTIFS($B$8:TblDetailBudget[[#This Row],[Level]], Lvl2Hdr, $D$8:TblDetailBudget[[#This Row],[Lvl 1 Header]], TblDetailBudget[[#This Row],[Lvl 1 Header]]))</f>
        <v>1</v>
      </c>
      <c r="F265" s="62">
        <f>IF(TblDetailBudget[[#This Row],[Level]]="", "", COUNTIFS($B$8:TblDetailBudget[[#This Row],[Level]], Lvl3Hdr, $D$8:TblDetailBudget[[#This Row],[Lvl 1 Header]], TblDetailBudget[[#This Row],[Lvl 1 Header]], $E$8:TblDetailBudget[[#This Row],[Lvl 2 Header]], TblDetailBudget[[#This Row],[Lvl 2 Header]]))</f>
        <v>6</v>
      </c>
      <c r="G2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5" s="185" t="s">
        <v>2673</v>
      </c>
      <c r="J265" s="101"/>
      <c r="K265" s="88"/>
      <c r="L265" s="88"/>
      <c r="M265" s="62" t="str">
        <f>IF(TblDetailBudget[[#This Row],[Level]]=LvlBottomHdr, IFERROR(INDEX(TblUnitCost[Unit], MATCH(TblDetailBudget[[#This Row],[Row Title]], TblUnitCost[Resource], 0)), "Invalid Resource"), "")</f>
        <v/>
      </c>
      <c r="N265" s="125" t="str">
        <f>IF(TblDetailBudget[[#This Row],[Level]]=LvlBottomHdr, IFERROR(INDEX(TblUnitCost[LCU], MATCH(TblDetailBudget[[#This Row],[Row Title]], TblUnitCost[Resource], 0)), "Invalid Resource"), "")</f>
        <v/>
      </c>
      <c r="O265" s="128"/>
      <c r="P265" s="108"/>
      <c r="Q265" s="129"/>
      <c r="R265" s="108"/>
      <c r="S265" s="108"/>
      <c r="T265" s="108"/>
      <c r="U265" s="108"/>
      <c r="V265" s="108"/>
      <c r="W265" s="125" t="str">
        <f>IF(TblDetailBudget[[#This Row],[Level]]=LvlBottomHdr, IF(SUM(TblDetailBudget[[#This Row],[2021 Quant]:[2025 Quant]])&gt;0, SUM(TblDetailBudget[[#This Row],[2021 Quant]:[2025 Quant]]), ""), "")</f>
        <v/>
      </c>
      <c r="X26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6277805540</v>
      </c>
      <c r="AC265" s="140">
        <f>SUM(TblDetailBudget[[#This Row],[2021 Cost (LCU)]:[2025 Cost (LCU)]])</f>
        <v>6277805540</v>
      </c>
      <c r="AD265" s="134">
        <f>IFERROR(SUM(TblDetailBudget[[#This Row],[2021 Cost (LCU)]])/FX_Rate, "")</f>
        <v>0</v>
      </c>
      <c r="AE265" s="63">
        <f>IFERROR(SUM(TblDetailBudget[[#This Row],[2022 Cost (LCU)]])/FX_Rate, "")</f>
        <v>0</v>
      </c>
      <c r="AF265" s="63">
        <f>IFERROR(SUM(TblDetailBudget[[#This Row],[2023 Cost (LCU)]])/FX_Rate, "")</f>
        <v>0</v>
      </c>
      <c r="AG265" s="63">
        <f>IFERROR(SUM(TblDetailBudget[[#This Row],[2024 Cost (LCU)]])/FX_Rate, "")</f>
        <v>0</v>
      </c>
      <c r="AH265" s="63">
        <f>IFERROR(SUM(TblDetailBudget[[#This Row],[2025 Cost (LCU)]])/FX_Rate, "")</f>
        <v>3923628.4624999999</v>
      </c>
      <c r="AI265" s="125">
        <f>SUM(TblDetailBudget[[#This Row],[2021 Cost (USD)]:[2025 Cost (USD)]])</f>
        <v>3923628.4624999999</v>
      </c>
      <c r="AJ265" s="180"/>
    </row>
    <row r="266" spans="2:36" ht="12.75" customHeight="1">
      <c r="B266" s="122" t="s">
        <v>70</v>
      </c>
      <c r="C2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4.1.6.1</v>
      </c>
      <c r="D266" s="62">
        <f>IF(TblDetailBudget[[#This Row],[Level]]="", "", COUNTIFS($B$8:TblDetailBudget[[#This Row],[Level]], Lvl1Hdr))</f>
        <v>4</v>
      </c>
      <c r="E266" s="62">
        <f>IF(TblDetailBudget[[#This Row],[Level]]="", "", COUNTIFS($B$8:TblDetailBudget[[#This Row],[Level]], Lvl2Hdr, $D$8:TblDetailBudget[[#This Row],[Lvl 1 Header]], TblDetailBudget[[#This Row],[Lvl 1 Header]]))</f>
        <v>1</v>
      </c>
      <c r="F266" s="62">
        <f>IF(TblDetailBudget[[#This Row],[Level]]="", "", COUNTIFS($B$8:TblDetailBudget[[#This Row],[Level]], Lvl3Hdr, $D$8:TblDetailBudget[[#This Row],[Lvl 1 Header]], TblDetailBudget[[#This Row],[Lvl 1 Header]], $E$8:TblDetailBudget[[#This Row],[Lvl 2 Header]], TblDetailBudget[[#This Row],[Lvl 2 Header]]))</f>
        <v>6</v>
      </c>
      <c r="G2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6" s="101" t="s">
        <v>2674</v>
      </c>
      <c r="J266" s="101"/>
      <c r="K266" s="88"/>
      <c r="L266" s="88"/>
      <c r="M266" s="62" t="str">
        <f>IF(TblDetailBudget[[#This Row],[Level]]=LvlBottomHdr, IFERROR(INDEX(TblUnitCost[Unit], MATCH(TblDetailBudget[[#This Row],[Row Title]], TblUnitCost[Resource], 0)), "Invalid Resource"), "")</f>
        <v/>
      </c>
      <c r="N266" s="125" t="str">
        <f>IF(TblDetailBudget[[#This Row],[Level]]=LvlBottomHdr, IFERROR(INDEX(TblUnitCost[LCU], MATCH(TblDetailBudget[[#This Row],[Row Title]], TblUnitCost[Resource], 0)), "Invalid Resource"), "")</f>
        <v/>
      </c>
      <c r="O266" s="128"/>
      <c r="P266" s="108"/>
      <c r="Q266" s="129"/>
      <c r="R266" s="108"/>
      <c r="S266" s="108"/>
      <c r="T266" s="108"/>
      <c r="U266" s="108"/>
      <c r="V266" s="108"/>
      <c r="W266" s="125" t="str">
        <f>IF(TblDetailBudget[[#This Row],[Level]]=LvlBottomHdr, IF(SUM(TblDetailBudget[[#This Row],[2021 Quant]:[2025 Quant]])&gt;0, SUM(TblDetailBudget[[#This Row],[2021 Quant]:[2025 Quant]]), ""), "")</f>
        <v/>
      </c>
      <c r="X26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2514229920</v>
      </c>
      <c r="AC266" s="140">
        <f>SUM(TblDetailBudget[[#This Row],[2021 Cost (LCU)]:[2025 Cost (LCU)]])</f>
        <v>2514229920</v>
      </c>
      <c r="AD266" s="134">
        <f>IFERROR(SUM(TblDetailBudget[[#This Row],[2021 Cost (LCU)]])/FX_Rate, "")</f>
        <v>0</v>
      </c>
      <c r="AE266" s="63">
        <f>IFERROR(SUM(TblDetailBudget[[#This Row],[2022 Cost (LCU)]])/FX_Rate, "")</f>
        <v>0</v>
      </c>
      <c r="AF266" s="63">
        <f>IFERROR(SUM(TblDetailBudget[[#This Row],[2023 Cost (LCU)]])/FX_Rate, "")</f>
        <v>0</v>
      </c>
      <c r="AG266" s="63">
        <f>IFERROR(SUM(TblDetailBudget[[#This Row],[2024 Cost (LCU)]])/FX_Rate, "")</f>
        <v>0</v>
      </c>
      <c r="AH266" s="63">
        <f>IFERROR(SUM(TblDetailBudget[[#This Row],[2025 Cost (LCU)]])/FX_Rate, "")</f>
        <v>1571393.7</v>
      </c>
      <c r="AI266" s="125">
        <f>SUM(TblDetailBudget[[#This Row],[2021 Cost (USD)]:[2025 Cost (USD)]])</f>
        <v>1571393.7</v>
      </c>
      <c r="AJ266" s="180"/>
    </row>
    <row r="267" spans="2:36" ht="12.75" customHeight="1">
      <c r="B267" s="122" t="s">
        <v>71</v>
      </c>
      <c r="C2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4.1.6.1.1</v>
      </c>
      <c r="D267" s="62">
        <f>IF(TblDetailBudget[[#This Row],[Level]]="", "", COUNTIFS($B$8:TblDetailBudget[[#This Row],[Level]], Lvl1Hdr))</f>
        <v>4</v>
      </c>
      <c r="E267" s="62">
        <f>IF(TblDetailBudget[[#This Row],[Level]]="", "", COUNTIFS($B$8:TblDetailBudget[[#This Row],[Level]], Lvl2Hdr, $D$8:TblDetailBudget[[#This Row],[Lvl 1 Header]], TblDetailBudget[[#This Row],[Lvl 1 Header]]))</f>
        <v>1</v>
      </c>
      <c r="F267" s="62">
        <f>IF(TblDetailBudget[[#This Row],[Level]]="", "", COUNTIFS($B$8:TblDetailBudget[[#This Row],[Level]], Lvl3Hdr, $D$8:TblDetailBudget[[#This Row],[Lvl 1 Header]], TblDetailBudget[[#This Row],[Lvl 1 Header]], $E$8:TblDetailBudget[[#This Row],[Lvl 2 Header]], TblDetailBudget[[#This Row],[Lvl 2 Header]]))</f>
        <v>6</v>
      </c>
      <c r="G2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7" s="96" t="s">
        <v>2677</v>
      </c>
      <c r="J267" s="101"/>
      <c r="K267" s="88"/>
      <c r="L267" s="88"/>
      <c r="M267" s="62" t="str">
        <f>IF(TblDetailBudget[[#This Row],[Level]]=LvlBottomHdr, IFERROR(INDEX(TblUnitCost[Unit], MATCH(TblDetailBudget[[#This Row],[Row Title]], TblUnitCost[Resource], 0)), "Invalid Resource"), "")</f>
        <v>per person per day</v>
      </c>
      <c r="N267" s="125">
        <f>IF(TblDetailBudget[[#This Row],[Level]]=LvlBottomHdr, IFERROR(INDEX(TblUnitCost[LCU], MATCH(TblDetailBudget[[#This Row],[Row Title]], TblUnitCost[Resource], 0)), "Invalid Resource"), "")</f>
        <v>141567</v>
      </c>
      <c r="O267" s="128">
        <v>37</v>
      </c>
      <c r="P267" s="108">
        <v>60</v>
      </c>
      <c r="Q267" s="129">
        <f>2*4</f>
        <v>8</v>
      </c>
      <c r="R267" s="108"/>
      <c r="S267" s="108"/>
      <c r="T267" s="108"/>
      <c r="U267" s="108"/>
      <c r="V267" s="108">
        <v>1</v>
      </c>
      <c r="W267" s="125">
        <f>IF(TblDetailBudget[[#This Row],[Level]]=LvlBottomHdr, IF(SUM(TblDetailBudget[[#This Row],[2021 Quant]:[2025 Quant]])&gt;0, SUM(TblDetailBudget[[#This Row],[2021 Quant]:[2025 Quant]]), ""), "")</f>
        <v>1</v>
      </c>
      <c r="X26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2514229920</v>
      </c>
      <c r="AC267" s="140">
        <f>SUM(TblDetailBudget[[#This Row],[2021 Cost (LCU)]:[2025 Cost (LCU)]])</f>
        <v>2514229920</v>
      </c>
      <c r="AD267" s="134">
        <f>IFERROR(SUM(TblDetailBudget[[#This Row],[2021 Cost (LCU)]])/FX_Rate, "")</f>
        <v>0</v>
      </c>
      <c r="AE267" s="63">
        <f>IFERROR(SUM(TblDetailBudget[[#This Row],[2022 Cost (LCU)]])/FX_Rate, "")</f>
        <v>0</v>
      </c>
      <c r="AF267" s="63">
        <f>IFERROR(SUM(TblDetailBudget[[#This Row],[2023 Cost (LCU)]])/FX_Rate, "")</f>
        <v>0</v>
      </c>
      <c r="AG267" s="63">
        <f>IFERROR(SUM(TblDetailBudget[[#This Row],[2024 Cost (LCU)]])/FX_Rate, "")</f>
        <v>0</v>
      </c>
      <c r="AH267" s="63">
        <f>IFERROR(SUM(TblDetailBudget[[#This Row],[2025 Cost (LCU)]])/FX_Rate, "")</f>
        <v>1571393.7</v>
      </c>
      <c r="AI267" s="125">
        <f>SUM(TblDetailBudget[[#This Row],[2021 Cost (USD)]:[2025 Cost (USD)]])</f>
        <v>1571393.7</v>
      </c>
      <c r="AJ267" s="180"/>
    </row>
    <row r="268" spans="2:36" ht="12.75" customHeight="1">
      <c r="B268" s="122" t="s">
        <v>70</v>
      </c>
      <c r="C2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4.1.6.2</v>
      </c>
      <c r="D268" s="62">
        <f>IF(TblDetailBudget[[#This Row],[Level]]="", "", COUNTIFS($B$8:TblDetailBudget[[#This Row],[Level]], Lvl1Hdr))</f>
        <v>4</v>
      </c>
      <c r="E268" s="62">
        <f>IF(TblDetailBudget[[#This Row],[Level]]="", "", COUNTIFS($B$8:TblDetailBudget[[#This Row],[Level]], Lvl2Hdr, $D$8:TblDetailBudget[[#This Row],[Lvl 1 Header]], TblDetailBudget[[#This Row],[Lvl 1 Header]]))</f>
        <v>1</v>
      </c>
      <c r="F268" s="62">
        <f>IF(TblDetailBudget[[#This Row],[Level]]="", "", COUNTIFS($B$8:TblDetailBudget[[#This Row],[Level]], Lvl3Hdr, $D$8:TblDetailBudget[[#This Row],[Lvl 1 Header]], TblDetailBudget[[#This Row],[Lvl 1 Header]], $E$8:TblDetailBudget[[#This Row],[Lvl 2 Header]], TblDetailBudget[[#This Row],[Lvl 2 Header]]))</f>
        <v>6</v>
      </c>
      <c r="G2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8" s="101" t="s">
        <v>2681</v>
      </c>
      <c r="J268" s="101"/>
      <c r="K268" s="88"/>
      <c r="L268" s="88"/>
      <c r="M268" s="62" t="str">
        <f>IF(TblDetailBudget[[#This Row],[Level]]=LvlBottomHdr, IFERROR(INDEX(TblUnitCost[Unit], MATCH(TblDetailBudget[[#This Row],[Row Title]], TblUnitCost[Resource], 0)), "Invalid Resource"), "")</f>
        <v/>
      </c>
      <c r="N268" s="125" t="str">
        <f>IF(TblDetailBudget[[#This Row],[Level]]=LvlBottomHdr, IFERROR(INDEX(TblUnitCost[LCU], MATCH(TblDetailBudget[[#This Row],[Row Title]], TblUnitCost[Resource], 0)), "Invalid Resource"), "")</f>
        <v/>
      </c>
      <c r="O268" s="128"/>
      <c r="P268" s="108"/>
      <c r="Q268" s="129"/>
      <c r="R268" s="108"/>
      <c r="S268" s="108"/>
      <c r="T268" s="108"/>
      <c r="U268" s="108"/>
      <c r="V268" s="108"/>
      <c r="W268" s="125" t="str">
        <f>IF(TblDetailBudget[[#This Row],[Level]]=LvlBottomHdr, IF(SUM(TblDetailBudget[[#This Row],[2021 Quant]:[2025 Quant]])&gt;0, SUM(TblDetailBudget[[#This Row],[2021 Quant]:[2025 Quant]]), ""), "")</f>
        <v/>
      </c>
      <c r="X26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772266960</v>
      </c>
      <c r="AC268" s="140">
        <f>SUM(TblDetailBudget[[#This Row],[2021 Cost (LCU)]:[2025 Cost (LCU)]])</f>
        <v>772266960</v>
      </c>
      <c r="AD268" s="134">
        <f>IFERROR(SUM(TblDetailBudget[[#This Row],[2021 Cost (LCU)]])/FX_Rate, "")</f>
        <v>0</v>
      </c>
      <c r="AE268" s="63">
        <f>IFERROR(SUM(TblDetailBudget[[#This Row],[2022 Cost (LCU)]])/FX_Rate, "")</f>
        <v>0</v>
      </c>
      <c r="AF268" s="63">
        <f>IFERROR(SUM(TblDetailBudget[[#This Row],[2023 Cost (LCU)]])/FX_Rate, "")</f>
        <v>0</v>
      </c>
      <c r="AG268" s="63">
        <f>IFERROR(SUM(TblDetailBudget[[#This Row],[2024 Cost (LCU)]])/FX_Rate, "")</f>
        <v>0</v>
      </c>
      <c r="AH268" s="63">
        <f>IFERROR(SUM(TblDetailBudget[[#This Row],[2025 Cost (LCU)]])/FX_Rate, "")</f>
        <v>482666.85</v>
      </c>
      <c r="AI268" s="125">
        <f>SUM(TblDetailBudget[[#This Row],[2021 Cost (USD)]:[2025 Cost (USD)]])</f>
        <v>482666.85</v>
      </c>
      <c r="AJ268" s="180"/>
    </row>
    <row r="269" spans="2:36" ht="12.75" customHeight="1">
      <c r="B269" s="122" t="s">
        <v>71</v>
      </c>
      <c r="C2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4.1.6.2.1</v>
      </c>
      <c r="D269" s="62">
        <f>IF(TblDetailBudget[[#This Row],[Level]]="", "", COUNTIFS($B$8:TblDetailBudget[[#This Row],[Level]], Lvl1Hdr))</f>
        <v>4</v>
      </c>
      <c r="E269" s="62">
        <f>IF(TblDetailBudget[[#This Row],[Level]]="", "", COUNTIFS($B$8:TblDetailBudget[[#This Row],[Level]], Lvl2Hdr, $D$8:TblDetailBudget[[#This Row],[Lvl 1 Header]], TblDetailBudget[[#This Row],[Lvl 1 Header]]))</f>
        <v>1</v>
      </c>
      <c r="F269" s="62">
        <f>IF(TblDetailBudget[[#This Row],[Level]]="", "", COUNTIFS($B$8:TblDetailBudget[[#This Row],[Level]], Lvl3Hdr, $D$8:TblDetailBudget[[#This Row],[Lvl 1 Header]], TblDetailBudget[[#This Row],[Lvl 1 Header]], $E$8:TblDetailBudget[[#This Row],[Lvl 2 Header]], TblDetailBudget[[#This Row],[Lvl 2 Header]]))</f>
        <v>6</v>
      </c>
      <c r="G2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9" s="96" t="s">
        <v>2678</v>
      </c>
      <c r="J269" s="101"/>
      <c r="K269" s="88"/>
      <c r="L269" s="88"/>
      <c r="M269" s="62" t="str">
        <f>IF(TblDetailBudget[[#This Row],[Level]]=LvlBottomHdr, IFERROR(INDEX(TblUnitCost[Unit], MATCH(TblDetailBudget[[#This Row],[Row Title]], TblUnitCost[Resource], 0)), "Invalid Resource"), "")</f>
        <v>per person per day</v>
      </c>
      <c r="N269" s="125">
        <f>IF(TblDetailBudget[[#This Row],[Level]]=LvlBottomHdr, IFERROR(INDEX(TblUnitCost[LCU], MATCH(TblDetailBudget[[#This Row],[Row Title]], TblUnitCost[Resource], 0)), "Invalid Resource"), "")</f>
        <v>86967</v>
      </c>
      <c r="O269" s="128">
        <v>37</v>
      </c>
      <c r="P269" s="108">
        <v>60</v>
      </c>
      <c r="Q269" s="129">
        <v>4</v>
      </c>
      <c r="R269" s="108"/>
      <c r="S269" s="108"/>
      <c r="T269" s="108"/>
      <c r="U269" s="108"/>
      <c r="V269" s="108">
        <v>1</v>
      </c>
      <c r="W269" s="125">
        <f>IF(TblDetailBudget[[#This Row],[Level]]=LvlBottomHdr, IF(SUM(TblDetailBudget[[#This Row],[2021 Quant]:[2025 Quant]])&gt;0, SUM(TblDetailBudget[[#This Row],[2021 Quant]:[2025 Quant]]), ""), "")</f>
        <v>1</v>
      </c>
      <c r="X26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772266960</v>
      </c>
      <c r="AC269" s="140">
        <f>SUM(TblDetailBudget[[#This Row],[2021 Cost (LCU)]:[2025 Cost (LCU)]])</f>
        <v>772266960</v>
      </c>
      <c r="AD269" s="134">
        <f>IFERROR(SUM(TblDetailBudget[[#This Row],[2021 Cost (LCU)]])/FX_Rate, "")</f>
        <v>0</v>
      </c>
      <c r="AE269" s="63">
        <f>IFERROR(SUM(TblDetailBudget[[#This Row],[2022 Cost (LCU)]])/FX_Rate, "")</f>
        <v>0</v>
      </c>
      <c r="AF269" s="63">
        <f>IFERROR(SUM(TblDetailBudget[[#This Row],[2023 Cost (LCU)]])/FX_Rate, "")</f>
        <v>0</v>
      </c>
      <c r="AG269" s="63">
        <f>IFERROR(SUM(TblDetailBudget[[#This Row],[2024 Cost (LCU)]])/FX_Rate, "")</f>
        <v>0</v>
      </c>
      <c r="AH269" s="63">
        <f>IFERROR(SUM(TblDetailBudget[[#This Row],[2025 Cost (LCU)]])/FX_Rate, "")</f>
        <v>482666.85</v>
      </c>
      <c r="AI269" s="125">
        <f>SUM(TblDetailBudget[[#This Row],[2021 Cost (USD)]:[2025 Cost (USD)]])</f>
        <v>482666.85</v>
      </c>
      <c r="AJ269" s="180"/>
    </row>
    <row r="270" spans="2:36" ht="12.75" customHeight="1">
      <c r="B270" s="122" t="s">
        <v>70</v>
      </c>
      <c r="C2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4.1.6.3</v>
      </c>
      <c r="D270" s="62">
        <f>IF(TblDetailBudget[[#This Row],[Level]]="", "", COUNTIFS($B$8:TblDetailBudget[[#This Row],[Level]], Lvl1Hdr))</f>
        <v>4</v>
      </c>
      <c r="E270" s="62">
        <f>IF(TblDetailBudget[[#This Row],[Level]]="", "", COUNTIFS($B$8:TblDetailBudget[[#This Row],[Level]], Lvl2Hdr, $D$8:TblDetailBudget[[#This Row],[Lvl 1 Header]], TblDetailBudget[[#This Row],[Lvl 1 Header]]))</f>
        <v>1</v>
      </c>
      <c r="F270" s="62">
        <f>IF(TblDetailBudget[[#This Row],[Level]]="", "", COUNTIFS($B$8:TblDetailBudget[[#This Row],[Level]], Lvl3Hdr, $D$8:TblDetailBudget[[#This Row],[Lvl 1 Header]], TblDetailBudget[[#This Row],[Lvl 1 Header]], $E$8:TblDetailBudget[[#This Row],[Lvl 2 Header]], TblDetailBudget[[#This Row],[Lvl 2 Header]]))</f>
        <v>6</v>
      </c>
      <c r="G2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0" s="101" t="s">
        <v>2682</v>
      </c>
      <c r="J270" s="101"/>
      <c r="K270" s="88"/>
      <c r="L270" s="88"/>
      <c r="M270" s="62" t="str">
        <f>IF(TblDetailBudget[[#This Row],[Level]]=LvlBottomHdr, IFERROR(INDEX(TblUnitCost[Unit], MATCH(TblDetailBudget[[#This Row],[Row Title]], TblUnitCost[Resource], 0)), "Invalid Resource"), "")</f>
        <v/>
      </c>
      <c r="N270" s="125" t="str">
        <f>IF(TblDetailBudget[[#This Row],[Level]]=LvlBottomHdr, IFERROR(INDEX(TblUnitCost[LCU], MATCH(TblDetailBudget[[#This Row],[Row Title]], TblUnitCost[Resource], 0)), "Invalid Resource"), "")</f>
        <v/>
      </c>
      <c r="O270" s="128"/>
      <c r="P270" s="108"/>
      <c r="Q270" s="129"/>
      <c r="R270" s="108"/>
      <c r="S270" s="108"/>
      <c r="T270" s="108"/>
      <c r="U270" s="108"/>
      <c r="V270" s="108"/>
      <c r="W270" s="125" t="str">
        <f>IF(TblDetailBudget[[#This Row],[Level]]=LvlBottomHdr, IF(SUM(TblDetailBudget[[#This Row],[2021 Quant]:[2025 Quant]])&gt;0, SUM(TblDetailBudget[[#This Row],[2021 Quant]:[2025 Quant]]), ""), "")</f>
        <v/>
      </c>
      <c r="X27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1257114960</v>
      </c>
      <c r="AC270" s="140">
        <f>SUM(TblDetailBudget[[#This Row],[2021 Cost (LCU)]:[2025 Cost (LCU)]])</f>
        <v>1257114960</v>
      </c>
      <c r="AD270" s="134">
        <f>IFERROR(SUM(TblDetailBudget[[#This Row],[2021 Cost (LCU)]])/FX_Rate, "")</f>
        <v>0</v>
      </c>
      <c r="AE270" s="63">
        <f>IFERROR(SUM(TblDetailBudget[[#This Row],[2022 Cost (LCU)]])/FX_Rate, "")</f>
        <v>0</v>
      </c>
      <c r="AF270" s="63">
        <f>IFERROR(SUM(TblDetailBudget[[#This Row],[2023 Cost (LCU)]])/FX_Rate, "")</f>
        <v>0</v>
      </c>
      <c r="AG270" s="63">
        <f>IFERROR(SUM(TblDetailBudget[[#This Row],[2024 Cost (LCU)]])/FX_Rate, "")</f>
        <v>0</v>
      </c>
      <c r="AH270" s="63">
        <f>IFERROR(SUM(TblDetailBudget[[#This Row],[2025 Cost (LCU)]])/FX_Rate, "")</f>
        <v>785696.85</v>
      </c>
      <c r="AI270" s="125">
        <f>SUM(TblDetailBudget[[#This Row],[2021 Cost (USD)]:[2025 Cost (USD)]])</f>
        <v>785696.85</v>
      </c>
      <c r="AJ270" s="180"/>
    </row>
    <row r="271" spans="2:36" ht="12.75" customHeight="1">
      <c r="B271" s="122" t="s">
        <v>71</v>
      </c>
      <c r="C2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4.1.6.3.1</v>
      </c>
      <c r="D271" s="62">
        <f>IF(TblDetailBudget[[#This Row],[Level]]="", "", COUNTIFS($B$8:TblDetailBudget[[#This Row],[Level]], Lvl1Hdr))</f>
        <v>4</v>
      </c>
      <c r="E271" s="62">
        <f>IF(TblDetailBudget[[#This Row],[Level]]="", "", COUNTIFS($B$8:TblDetailBudget[[#This Row],[Level]], Lvl2Hdr, $D$8:TblDetailBudget[[#This Row],[Lvl 1 Header]], TblDetailBudget[[#This Row],[Lvl 1 Header]]))</f>
        <v>1</v>
      </c>
      <c r="F271" s="62">
        <f>IF(TblDetailBudget[[#This Row],[Level]]="", "", COUNTIFS($B$8:TblDetailBudget[[#This Row],[Level]], Lvl3Hdr, $D$8:TblDetailBudget[[#This Row],[Lvl 1 Header]], TblDetailBudget[[#This Row],[Lvl 1 Header]], $E$8:TblDetailBudget[[#This Row],[Lvl 2 Header]], TblDetailBudget[[#This Row],[Lvl 2 Header]]))</f>
        <v>6</v>
      </c>
      <c r="G2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1" s="96" t="s">
        <v>2677</v>
      </c>
      <c r="J271" s="101"/>
      <c r="K271" s="88"/>
      <c r="L271" s="88"/>
      <c r="M271" s="62" t="str">
        <f>IF(TblDetailBudget[[#This Row],[Level]]=LvlBottomHdr, IFERROR(INDEX(TblUnitCost[Unit], MATCH(TblDetailBudget[[#This Row],[Row Title]], TblUnitCost[Resource], 0)), "Invalid Resource"), "")</f>
        <v>per person per day</v>
      </c>
      <c r="N271" s="125">
        <f>IF(TblDetailBudget[[#This Row],[Level]]=LvlBottomHdr, IFERROR(INDEX(TblUnitCost[LCU], MATCH(TblDetailBudget[[#This Row],[Row Title]], TblUnitCost[Resource], 0)), "Invalid Resource"), "")</f>
        <v>141567</v>
      </c>
      <c r="O271" s="128">
        <v>37</v>
      </c>
      <c r="P271" s="108">
        <v>60</v>
      </c>
      <c r="Q271" s="129">
        <v>4</v>
      </c>
      <c r="R271" s="108"/>
      <c r="S271" s="108"/>
      <c r="T271" s="108"/>
      <c r="U271" s="108"/>
      <c r="V271" s="108">
        <v>1</v>
      </c>
      <c r="W271" s="125">
        <f>IF(TblDetailBudget[[#This Row],[Level]]=LvlBottomHdr, IF(SUM(TblDetailBudget[[#This Row],[2021 Quant]:[2025 Quant]])&gt;0, SUM(TblDetailBudget[[#This Row],[2021 Quant]:[2025 Quant]]), ""), "")</f>
        <v>1</v>
      </c>
      <c r="X27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1257114960</v>
      </c>
      <c r="AC271" s="140">
        <f>SUM(TblDetailBudget[[#This Row],[2021 Cost (LCU)]:[2025 Cost (LCU)]])</f>
        <v>1257114960</v>
      </c>
      <c r="AD271" s="134">
        <f>IFERROR(SUM(TblDetailBudget[[#This Row],[2021 Cost (LCU)]])/FX_Rate, "")</f>
        <v>0</v>
      </c>
      <c r="AE271" s="63">
        <f>IFERROR(SUM(TblDetailBudget[[#This Row],[2022 Cost (LCU)]])/FX_Rate, "")</f>
        <v>0</v>
      </c>
      <c r="AF271" s="63">
        <f>IFERROR(SUM(TblDetailBudget[[#This Row],[2023 Cost (LCU)]])/FX_Rate, "")</f>
        <v>0</v>
      </c>
      <c r="AG271" s="63">
        <f>IFERROR(SUM(TblDetailBudget[[#This Row],[2024 Cost (LCU)]])/FX_Rate, "")</f>
        <v>0</v>
      </c>
      <c r="AH271" s="63">
        <f>IFERROR(SUM(TblDetailBudget[[#This Row],[2025 Cost (LCU)]])/FX_Rate, "")</f>
        <v>785696.85</v>
      </c>
      <c r="AI271" s="125">
        <f>SUM(TblDetailBudget[[#This Row],[2021 Cost (USD)]:[2025 Cost (USD)]])</f>
        <v>785696.85</v>
      </c>
      <c r="AJ271" s="180"/>
    </row>
    <row r="272" spans="2:36" ht="12.75" customHeight="1">
      <c r="B272" s="122" t="s">
        <v>70</v>
      </c>
      <c r="C2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4.1.6.4</v>
      </c>
      <c r="D272" s="62">
        <f>IF(TblDetailBudget[[#This Row],[Level]]="", "", COUNTIFS($B$8:TblDetailBudget[[#This Row],[Level]], Lvl1Hdr))</f>
        <v>4</v>
      </c>
      <c r="E272" s="62">
        <f>IF(TblDetailBudget[[#This Row],[Level]]="", "", COUNTIFS($B$8:TblDetailBudget[[#This Row],[Level]], Lvl2Hdr, $D$8:TblDetailBudget[[#This Row],[Lvl 1 Header]], TblDetailBudget[[#This Row],[Lvl 1 Header]]))</f>
        <v>1</v>
      </c>
      <c r="F272" s="62">
        <f>IF(TblDetailBudget[[#This Row],[Level]]="", "", COUNTIFS($B$8:TblDetailBudget[[#This Row],[Level]], Lvl3Hdr, $D$8:TblDetailBudget[[#This Row],[Lvl 1 Header]], TblDetailBudget[[#This Row],[Lvl 1 Header]], $E$8:TblDetailBudget[[#This Row],[Lvl 2 Header]], TblDetailBudget[[#This Row],[Lvl 2 Header]]))</f>
        <v>6</v>
      </c>
      <c r="G2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2" s="101" t="s">
        <v>2680</v>
      </c>
      <c r="J272" s="101"/>
      <c r="K272" s="88"/>
      <c r="L272" s="88"/>
      <c r="M272" s="62" t="str">
        <f>IF(TblDetailBudget[[#This Row],[Level]]=LvlBottomHdr, IFERROR(INDEX(TblUnitCost[Unit], MATCH(TblDetailBudget[[#This Row],[Row Title]], TblUnitCost[Resource], 0)), "Invalid Resource"), "")</f>
        <v/>
      </c>
      <c r="N272" s="125" t="str">
        <f>IF(TblDetailBudget[[#This Row],[Level]]=LvlBottomHdr, IFERROR(INDEX(TblUnitCost[LCU], MATCH(TblDetailBudget[[#This Row],[Row Title]], TblUnitCost[Resource], 0)), "Invalid Resource"), "")</f>
        <v/>
      </c>
      <c r="O272" s="128"/>
      <c r="P272" s="108"/>
      <c r="Q272" s="129"/>
      <c r="R272" s="108"/>
      <c r="S272" s="108"/>
      <c r="T272" s="108"/>
      <c r="U272" s="108"/>
      <c r="V272" s="108"/>
      <c r="W272" s="125" t="str">
        <f>IF(TblDetailBudget[[#This Row],[Level]]=LvlBottomHdr, IF(SUM(TblDetailBudget[[#This Row],[2021 Quant]:[2025 Quant]])&gt;0, SUM(TblDetailBudget[[#This Row],[2021 Quant]:[2025 Quant]]), ""), "")</f>
        <v/>
      </c>
      <c r="X27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1571393700</v>
      </c>
      <c r="AC272" s="140">
        <f>SUM(TblDetailBudget[[#This Row],[2021 Cost (LCU)]:[2025 Cost (LCU)]])</f>
        <v>1571393700</v>
      </c>
      <c r="AD272" s="134">
        <f>IFERROR(SUM(TblDetailBudget[[#This Row],[2021 Cost (LCU)]])/FX_Rate, "")</f>
        <v>0</v>
      </c>
      <c r="AE272" s="63">
        <f>IFERROR(SUM(TblDetailBudget[[#This Row],[2022 Cost (LCU)]])/FX_Rate, "")</f>
        <v>0</v>
      </c>
      <c r="AF272" s="63">
        <f>IFERROR(SUM(TblDetailBudget[[#This Row],[2023 Cost (LCU)]])/FX_Rate, "")</f>
        <v>0</v>
      </c>
      <c r="AG272" s="63">
        <f>IFERROR(SUM(TblDetailBudget[[#This Row],[2024 Cost (LCU)]])/FX_Rate, "")</f>
        <v>0</v>
      </c>
      <c r="AH272" s="63">
        <f>IFERROR(SUM(TblDetailBudget[[#This Row],[2025 Cost (LCU)]])/FX_Rate, "")</f>
        <v>982121.0625</v>
      </c>
      <c r="AI272" s="125">
        <f>SUM(TblDetailBudget[[#This Row],[2021 Cost (USD)]:[2025 Cost (USD)]])</f>
        <v>982121.0625</v>
      </c>
      <c r="AJ272" s="180"/>
    </row>
    <row r="273" spans="2:36" ht="12.75" customHeight="1">
      <c r="B273" s="122" t="s">
        <v>71</v>
      </c>
      <c r="C2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4.1.6.4.1</v>
      </c>
      <c r="D273" s="62">
        <f>IF(TblDetailBudget[[#This Row],[Level]]="", "", COUNTIFS($B$8:TblDetailBudget[[#This Row],[Level]], Lvl1Hdr))</f>
        <v>4</v>
      </c>
      <c r="E273" s="62">
        <f>IF(TblDetailBudget[[#This Row],[Level]]="", "", COUNTIFS($B$8:TblDetailBudget[[#This Row],[Level]], Lvl2Hdr, $D$8:TblDetailBudget[[#This Row],[Lvl 1 Header]], TblDetailBudget[[#This Row],[Lvl 1 Header]]))</f>
        <v>1</v>
      </c>
      <c r="F273" s="62">
        <f>IF(TblDetailBudget[[#This Row],[Level]]="", "", COUNTIFS($B$8:TblDetailBudget[[#This Row],[Level]], Lvl3Hdr, $D$8:TblDetailBudget[[#This Row],[Lvl 1 Header]], TblDetailBudget[[#This Row],[Lvl 1 Header]], $E$8:TblDetailBudget[[#This Row],[Lvl 2 Header]], TblDetailBudget[[#This Row],[Lvl 2 Header]]))</f>
        <v>6</v>
      </c>
      <c r="G2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3" s="96" t="s">
        <v>2677</v>
      </c>
      <c r="J273" s="101"/>
      <c r="K273" s="88"/>
      <c r="L273" s="88"/>
      <c r="M273" s="62" t="str">
        <f>IF(TblDetailBudget[[#This Row],[Level]]=LvlBottomHdr, IFERROR(INDEX(TblUnitCost[Unit], MATCH(TblDetailBudget[[#This Row],[Row Title]], TblUnitCost[Resource], 0)), "Invalid Resource"), "")</f>
        <v>per person per day</v>
      </c>
      <c r="N273" s="125">
        <f>IF(TblDetailBudget[[#This Row],[Level]]=LvlBottomHdr, IFERROR(INDEX(TblUnitCost[LCU], MATCH(TblDetailBudget[[#This Row],[Row Title]], TblUnitCost[Resource], 0)), "Invalid Resource"), "")</f>
        <v>141567</v>
      </c>
      <c r="O273" s="128">
        <v>37</v>
      </c>
      <c r="P273" s="108">
        <v>60</v>
      </c>
      <c r="Q273" s="129">
        <v>5</v>
      </c>
      <c r="R273" s="108"/>
      <c r="S273" s="108"/>
      <c r="T273" s="108"/>
      <c r="U273" s="108"/>
      <c r="V273" s="108">
        <v>1</v>
      </c>
      <c r="W273" s="125">
        <f>IF(TblDetailBudget[[#This Row],[Level]]=LvlBottomHdr, IF(SUM(TblDetailBudget[[#This Row],[2021 Quant]:[2025 Quant]])&gt;0, SUM(TblDetailBudget[[#This Row],[2021 Quant]:[2025 Quant]]), ""), "")</f>
        <v>1</v>
      </c>
      <c r="X2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1571393700</v>
      </c>
      <c r="AC273" s="140">
        <f>SUM(TblDetailBudget[[#This Row],[2021 Cost (LCU)]:[2025 Cost (LCU)]])</f>
        <v>1571393700</v>
      </c>
      <c r="AD273" s="134">
        <f>IFERROR(SUM(TblDetailBudget[[#This Row],[2021 Cost (LCU)]])/FX_Rate, "")</f>
        <v>0</v>
      </c>
      <c r="AE273" s="63">
        <f>IFERROR(SUM(TblDetailBudget[[#This Row],[2022 Cost (LCU)]])/FX_Rate, "")</f>
        <v>0</v>
      </c>
      <c r="AF273" s="63">
        <f>IFERROR(SUM(TblDetailBudget[[#This Row],[2023 Cost (LCU)]])/FX_Rate, "")</f>
        <v>0</v>
      </c>
      <c r="AG273" s="63">
        <f>IFERROR(SUM(TblDetailBudget[[#This Row],[2024 Cost (LCU)]])/FX_Rate, "")</f>
        <v>0</v>
      </c>
      <c r="AH273" s="63">
        <f>IFERROR(SUM(TblDetailBudget[[#This Row],[2025 Cost (LCU)]])/FX_Rate, "")</f>
        <v>982121.0625</v>
      </c>
      <c r="AI273" s="125">
        <f>SUM(TblDetailBudget[[#This Row],[2021 Cost (USD)]:[2025 Cost (USD)]])</f>
        <v>982121.0625</v>
      </c>
      <c r="AJ273" s="180"/>
    </row>
    <row r="274" spans="2:36" ht="12.75" customHeight="1">
      <c r="B274" s="122" t="s">
        <v>70</v>
      </c>
      <c r="C2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v>
      </c>
      <c r="D274" s="62">
        <f>IF(TblDetailBudget[[#This Row],[Level]]="", "", COUNTIFS($B$8:TblDetailBudget[[#This Row],[Level]], Lvl1Hdr))</f>
        <v>4</v>
      </c>
      <c r="E274" s="62">
        <f>IF(TblDetailBudget[[#This Row],[Level]]="", "", COUNTIFS($B$8:TblDetailBudget[[#This Row],[Level]], Lvl2Hdr, $D$8:TblDetailBudget[[#This Row],[Lvl 1 Header]], TblDetailBudget[[#This Row],[Lvl 1 Header]]))</f>
        <v>1</v>
      </c>
      <c r="F274" s="62">
        <f>IF(TblDetailBudget[[#This Row],[Level]]="", "", COUNTIFS($B$8:TblDetailBudget[[#This Row],[Level]], Lvl3Hdr, $D$8:TblDetailBudget[[#This Row],[Lvl 1 Header]], TblDetailBudget[[#This Row],[Lvl 1 Header]], $E$8:TblDetailBudget[[#This Row],[Lvl 2 Header]], TblDetailBudget[[#This Row],[Lvl 2 Header]]))</f>
        <v>6</v>
      </c>
      <c r="G2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4" s="101" t="s">
        <v>2685</v>
      </c>
      <c r="J274" s="101"/>
      <c r="K274" s="88"/>
      <c r="L274" s="88"/>
      <c r="M274" s="62" t="str">
        <f>IF(TblDetailBudget[[#This Row],[Level]]=LvlBottomHdr, IFERROR(INDEX(TblUnitCost[Unit], MATCH(TblDetailBudget[[#This Row],[Row Title]], TblUnitCost[Resource], 0)), "Invalid Resource"), "")</f>
        <v/>
      </c>
      <c r="N274" s="125" t="str">
        <f>IF(TblDetailBudget[[#This Row],[Level]]=LvlBottomHdr, IFERROR(INDEX(TblUnitCost[LCU], MATCH(TblDetailBudget[[#This Row],[Row Title]], TblUnitCost[Resource], 0)), "Invalid Resource"), "")</f>
        <v/>
      </c>
      <c r="O274" s="128"/>
      <c r="P274" s="108"/>
      <c r="Q274" s="129"/>
      <c r="R274" s="108"/>
      <c r="S274" s="108"/>
      <c r="T274" s="108"/>
      <c r="U274" s="108"/>
      <c r="V274" s="108"/>
      <c r="W274" s="125" t="str">
        <f>IF(TblDetailBudget[[#This Row],[Level]]=LvlBottomHdr, IF(SUM(TblDetailBudget[[#This Row],[2021 Quant]:[2025 Quant]])&gt;0, SUM(TblDetailBudget[[#This Row],[2021 Quant]:[2025 Quant]]), ""), "")</f>
        <v/>
      </c>
      <c r="X27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162800000</v>
      </c>
      <c r="AC274" s="140">
        <f>SUM(TblDetailBudget[[#This Row],[2021 Cost (LCU)]:[2025 Cost (LCU)]])</f>
        <v>162800000</v>
      </c>
      <c r="AD274" s="134">
        <f>IFERROR(SUM(TblDetailBudget[[#This Row],[2021 Cost (LCU)]])/FX_Rate, "")</f>
        <v>0</v>
      </c>
      <c r="AE274" s="63">
        <f>IFERROR(SUM(TblDetailBudget[[#This Row],[2022 Cost (LCU)]])/FX_Rate, "")</f>
        <v>0</v>
      </c>
      <c r="AF274" s="63">
        <f>IFERROR(SUM(TblDetailBudget[[#This Row],[2023 Cost (LCU)]])/FX_Rate, "")</f>
        <v>0</v>
      </c>
      <c r="AG274" s="63">
        <f>IFERROR(SUM(TblDetailBudget[[#This Row],[2024 Cost (LCU)]])/FX_Rate, "")</f>
        <v>0</v>
      </c>
      <c r="AH274" s="63">
        <f>IFERROR(SUM(TblDetailBudget[[#This Row],[2025 Cost (LCU)]])/FX_Rate, "")</f>
        <v>101750</v>
      </c>
      <c r="AI274" s="125">
        <f>SUM(TblDetailBudget[[#This Row],[2021 Cost (USD)]:[2025 Cost (USD)]])</f>
        <v>101750</v>
      </c>
      <c r="AJ274" s="180"/>
    </row>
    <row r="275" spans="2:36" ht="12.75" customHeight="1">
      <c r="B275" s="122" t="s">
        <v>71</v>
      </c>
      <c r="C2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4.1.6.5.1</v>
      </c>
      <c r="D275" s="62">
        <f>IF(TblDetailBudget[[#This Row],[Level]]="", "", COUNTIFS($B$8:TblDetailBudget[[#This Row],[Level]], Lvl1Hdr))</f>
        <v>4</v>
      </c>
      <c r="E275" s="62">
        <f>IF(TblDetailBudget[[#This Row],[Level]]="", "", COUNTIFS($B$8:TblDetailBudget[[#This Row],[Level]], Lvl2Hdr, $D$8:TblDetailBudget[[#This Row],[Lvl 1 Header]], TblDetailBudget[[#This Row],[Lvl 1 Header]]))</f>
        <v>1</v>
      </c>
      <c r="F275" s="62">
        <f>IF(TblDetailBudget[[#This Row],[Level]]="", "", COUNTIFS($B$8:TblDetailBudget[[#This Row],[Level]], Lvl3Hdr, $D$8:TblDetailBudget[[#This Row],[Lvl 1 Header]], TblDetailBudget[[#This Row],[Lvl 1 Header]], $E$8:TblDetailBudget[[#This Row],[Lvl 2 Header]], TblDetailBudget[[#This Row],[Lvl 2 Header]]))</f>
        <v>6</v>
      </c>
      <c r="G2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5" s="957" t="s">
        <v>73</v>
      </c>
      <c r="J275" s="101"/>
      <c r="K275" s="88"/>
      <c r="L275" s="88"/>
      <c r="M275" s="62" t="str">
        <f>IF(TblDetailBudget[[#This Row],[Level]]=LvlBottomHdr, IFERROR(INDEX(TblUnitCost[Unit], MATCH(TblDetailBudget[[#This Row],[Row Title]], TblUnitCost[Resource], 0)), "Invalid Resource"), "")</f>
        <v>per person</v>
      </c>
      <c r="N275" s="125">
        <f>IF(TblDetailBudget[[#This Row],[Level]]=LvlBottomHdr, IFERROR(INDEX(TblUnitCost[LCU], MATCH(TblDetailBudget[[#This Row],[Row Title]], TblUnitCost[Resource], 0)), "Invalid Resource"), "")</f>
        <v>2000</v>
      </c>
      <c r="O275" s="128">
        <v>37</v>
      </c>
      <c r="P275" s="108">
        <v>50</v>
      </c>
      <c r="Q275" s="129">
        <v>4</v>
      </c>
      <c r="R275" s="108"/>
      <c r="S275" s="108"/>
      <c r="T275" s="108"/>
      <c r="U275" s="108"/>
      <c r="V275" s="108">
        <v>1</v>
      </c>
      <c r="W275" s="125">
        <f>IF(TblDetailBudget[[#This Row],[Level]]=LvlBottomHdr, IF(SUM(TblDetailBudget[[#This Row],[2021 Quant]:[2025 Quant]])&gt;0, SUM(TblDetailBudget[[#This Row],[2021 Quant]:[2025 Quant]]), ""), "")</f>
        <v>1</v>
      </c>
      <c r="X27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14800000</v>
      </c>
      <c r="AC275" s="140">
        <f>SUM(TblDetailBudget[[#This Row],[2021 Cost (LCU)]:[2025 Cost (LCU)]])</f>
        <v>14800000</v>
      </c>
      <c r="AD275" s="134">
        <f>IFERROR(SUM(TblDetailBudget[[#This Row],[2021 Cost (LCU)]])/FX_Rate, "")</f>
        <v>0</v>
      </c>
      <c r="AE275" s="63">
        <f>IFERROR(SUM(TblDetailBudget[[#This Row],[2022 Cost (LCU)]])/FX_Rate, "")</f>
        <v>0</v>
      </c>
      <c r="AF275" s="63">
        <f>IFERROR(SUM(TblDetailBudget[[#This Row],[2023 Cost (LCU)]])/FX_Rate, "")</f>
        <v>0</v>
      </c>
      <c r="AG275" s="63">
        <f>IFERROR(SUM(TblDetailBudget[[#This Row],[2024 Cost (LCU)]])/FX_Rate, "")</f>
        <v>0</v>
      </c>
      <c r="AH275" s="63">
        <f>IFERROR(SUM(TblDetailBudget[[#This Row],[2025 Cost (LCU)]])/FX_Rate, "")</f>
        <v>9250</v>
      </c>
      <c r="AI275" s="125">
        <f>SUM(TblDetailBudget[[#This Row],[2021 Cost (USD)]:[2025 Cost (USD)]])</f>
        <v>9250</v>
      </c>
      <c r="AJ275" s="180"/>
    </row>
    <row r="276" spans="2:36" ht="12.75" customHeight="1">
      <c r="B276" s="122" t="s">
        <v>71</v>
      </c>
      <c r="C2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4.1.6.5.2</v>
      </c>
      <c r="D276" s="62">
        <f>IF(TblDetailBudget[[#This Row],[Level]]="", "", COUNTIFS($B$8:TblDetailBudget[[#This Row],[Level]], Lvl1Hdr))</f>
        <v>4</v>
      </c>
      <c r="E276" s="62">
        <f>IF(TblDetailBudget[[#This Row],[Level]]="", "", COUNTIFS($B$8:TblDetailBudget[[#This Row],[Level]], Lvl2Hdr, $D$8:TblDetailBudget[[#This Row],[Lvl 1 Header]], TblDetailBudget[[#This Row],[Lvl 1 Header]]))</f>
        <v>1</v>
      </c>
      <c r="F276" s="62">
        <f>IF(TblDetailBudget[[#This Row],[Level]]="", "", COUNTIFS($B$8:TblDetailBudget[[#This Row],[Level]], Lvl3Hdr, $D$8:TblDetailBudget[[#This Row],[Lvl 1 Header]], TblDetailBudget[[#This Row],[Lvl 1 Header]], $E$8:TblDetailBudget[[#This Row],[Lvl 2 Header]], TblDetailBudget[[#This Row],[Lvl 2 Header]]))</f>
        <v>6</v>
      </c>
      <c r="G2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76" s="957" t="s">
        <v>72</v>
      </c>
      <c r="J276" s="101"/>
      <c r="K276" s="88"/>
      <c r="L276" s="88"/>
      <c r="M276" s="62" t="str">
        <f>IF(TblDetailBudget[[#This Row],[Level]]=LvlBottomHdr, IFERROR(INDEX(TblUnitCost[Unit], MATCH(TblDetailBudget[[#This Row],[Row Title]], TblUnitCost[Resource], 0)), "Invalid Resource"), "")</f>
        <v>per person per day</v>
      </c>
      <c r="N276" s="125">
        <f>IF(TblDetailBudget[[#This Row],[Level]]=LvlBottomHdr, IFERROR(INDEX(TblUnitCost[LCU], MATCH(TblDetailBudget[[#This Row],[Row Title]], TblUnitCost[Resource], 0)), "Invalid Resource"), "")</f>
        <v>5000</v>
      </c>
      <c r="O276" s="128">
        <v>37</v>
      </c>
      <c r="P276" s="108">
        <v>50</v>
      </c>
      <c r="Q276" s="129">
        <v>4</v>
      </c>
      <c r="R276" s="108"/>
      <c r="S276" s="108"/>
      <c r="T276" s="108"/>
      <c r="U276" s="108"/>
      <c r="V276" s="108">
        <v>1</v>
      </c>
      <c r="W276" s="125">
        <f>IF(TblDetailBudget[[#This Row],[Level]]=LvlBottomHdr, IF(SUM(TblDetailBudget[[#This Row],[2021 Quant]:[2025 Quant]])&gt;0, SUM(TblDetailBudget[[#This Row],[2021 Quant]:[2025 Quant]]), ""), "")</f>
        <v>1</v>
      </c>
      <c r="X27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37000000</v>
      </c>
      <c r="AC276" s="140">
        <f>SUM(TblDetailBudget[[#This Row],[2021 Cost (LCU)]:[2025 Cost (LCU)]])</f>
        <v>37000000</v>
      </c>
      <c r="AD276" s="134">
        <f>IFERROR(SUM(TblDetailBudget[[#This Row],[2021 Cost (LCU)]])/FX_Rate, "")</f>
        <v>0</v>
      </c>
      <c r="AE276" s="63">
        <f>IFERROR(SUM(TblDetailBudget[[#This Row],[2022 Cost (LCU)]])/FX_Rate, "")</f>
        <v>0</v>
      </c>
      <c r="AF276" s="63">
        <f>IFERROR(SUM(TblDetailBudget[[#This Row],[2023 Cost (LCU)]])/FX_Rate, "")</f>
        <v>0</v>
      </c>
      <c r="AG276" s="63">
        <f>IFERROR(SUM(TblDetailBudget[[#This Row],[2024 Cost (LCU)]])/FX_Rate, "")</f>
        <v>0</v>
      </c>
      <c r="AH276" s="63">
        <f>IFERROR(SUM(TblDetailBudget[[#This Row],[2025 Cost (LCU)]])/FX_Rate, "")</f>
        <v>23125</v>
      </c>
      <c r="AI276" s="125">
        <f>SUM(TblDetailBudget[[#This Row],[2021 Cost (USD)]:[2025 Cost (USD)]])</f>
        <v>23125</v>
      </c>
      <c r="AJ276" s="180"/>
    </row>
    <row r="277" spans="2:36" ht="12.75" customHeight="1">
      <c r="B277" s="122" t="s">
        <v>71</v>
      </c>
      <c r="C2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4.1.6.5.3</v>
      </c>
      <c r="D277" s="62">
        <f>IF(TblDetailBudget[[#This Row],[Level]]="", "", COUNTIFS($B$8:TblDetailBudget[[#This Row],[Level]], Lvl1Hdr))</f>
        <v>4</v>
      </c>
      <c r="E277" s="62">
        <f>IF(TblDetailBudget[[#This Row],[Level]]="", "", COUNTIFS($B$8:TblDetailBudget[[#This Row],[Level]], Lvl2Hdr, $D$8:TblDetailBudget[[#This Row],[Lvl 1 Header]], TblDetailBudget[[#This Row],[Lvl 1 Header]]))</f>
        <v>1</v>
      </c>
      <c r="F277" s="62">
        <f>IF(TblDetailBudget[[#This Row],[Level]]="", "", COUNTIFS($B$8:TblDetailBudget[[#This Row],[Level]], Lvl3Hdr, $D$8:TblDetailBudget[[#This Row],[Lvl 1 Header]], TblDetailBudget[[#This Row],[Lvl 1 Header]], $E$8:TblDetailBudget[[#This Row],[Lvl 2 Header]], TblDetailBudget[[#This Row],[Lvl 2 Header]]))</f>
        <v>6</v>
      </c>
      <c r="G2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77" s="957" t="s">
        <v>1842</v>
      </c>
      <c r="J277" s="101"/>
      <c r="K277" s="88"/>
      <c r="L277" s="88"/>
      <c r="M277" s="62" t="str">
        <f>IF(TblDetailBudget[[#This Row],[Level]]=LvlBottomHdr, IFERROR(INDEX(TblUnitCost[Unit], MATCH(TblDetailBudget[[#This Row],[Row Title]], TblUnitCost[Resource], 0)), "Invalid Resource"), "")</f>
        <v>per person</v>
      </c>
      <c r="N277" s="125">
        <f>IF(TblDetailBudget[[#This Row],[Level]]=LvlBottomHdr, IFERROR(INDEX(TblUnitCost[LCU], MATCH(TblDetailBudget[[#This Row],[Row Title]], TblUnitCost[Resource], 0)), "Invalid Resource"), "")</f>
        <v>15000</v>
      </c>
      <c r="O277" s="128">
        <v>37</v>
      </c>
      <c r="P277" s="108">
        <v>50</v>
      </c>
      <c r="Q277" s="129">
        <v>4</v>
      </c>
      <c r="R277" s="108"/>
      <c r="S277" s="108"/>
      <c r="T277" s="108"/>
      <c r="U277" s="108"/>
      <c r="V277" s="108">
        <v>1</v>
      </c>
      <c r="W277" s="125">
        <f>IF(TblDetailBudget[[#This Row],[Level]]=LvlBottomHdr, IF(SUM(TblDetailBudget[[#This Row],[2021 Quant]:[2025 Quant]])&gt;0, SUM(TblDetailBudget[[#This Row],[2021 Quant]:[2025 Quant]]), ""), "")</f>
        <v>1</v>
      </c>
      <c r="X27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111000000</v>
      </c>
      <c r="AC277" s="140">
        <f>SUM(TblDetailBudget[[#This Row],[2021 Cost (LCU)]:[2025 Cost (LCU)]])</f>
        <v>111000000</v>
      </c>
      <c r="AD277" s="134">
        <f>IFERROR(SUM(TblDetailBudget[[#This Row],[2021 Cost (LCU)]])/FX_Rate, "")</f>
        <v>0</v>
      </c>
      <c r="AE277" s="63">
        <f>IFERROR(SUM(TblDetailBudget[[#This Row],[2022 Cost (LCU)]])/FX_Rate, "")</f>
        <v>0</v>
      </c>
      <c r="AF277" s="63">
        <f>IFERROR(SUM(TblDetailBudget[[#This Row],[2023 Cost (LCU)]])/FX_Rate, "")</f>
        <v>0</v>
      </c>
      <c r="AG277" s="63">
        <f>IFERROR(SUM(TblDetailBudget[[#This Row],[2024 Cost (LCU)]])/FX_Rate, "")</f>
        <v>0</v>
      </c>
      <c r="AH277" s="63">
        <f>IFERROR(SUM(TblDetailBudget[[#This Row],[2025 Cost (LCU)]])/FX_Rate, "")</f>
        <v>69375</v>
      </c>
      <c r="AI277" s="125">
        <f>SUM(TblDetailBudget[[#This Row],[2021 Cost (USD)]:[2025 Cost (USD)]])</f>
        <v>69375</v>
      </c>
      <c r="AJ277" s="180"/>
    </row>
    <row r="278" spans="2:36" ht="12.75" customHeight="1">
      <c r="B278" s="122" t="s">
        <v>69</v>
      </c>
      <c r="C2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v>
      </c>
      <c r="D278" s="62">
        <f>IF(TblDetailBudget[[#This Row],[Level]]="", "", COUNTIFS($B$8:TblDetailBudget[[#This Row],[Level]], Lvl1Hdr))</f>
        <v>4</v>
      </c>
      <c r="E278" s="62">
        <f>IF(TblDetailBudget[[#This Row],[Level]]="", "", COUNTIFS($B$8:TblDetailBudget[[#This Row],[Level]], Lvl2Hdr, $D$8:TblDetailBudget[[#This Row],[Lvl 1 Header]], TblDetailBudget[[#This Row],[Lvl 1 Header]]))</f>
        <v>1</v>
      </c>
      <c r="F278" s="62">
        <f>IF(TblDetailBudget[[#This Row],[Level]]="", "", COUNTIFS($B$8:TblDetailBudget[[#This Row],[Level]], Lvl3Hdr, $D$8:TblDetailBudget[[#This Row],[Lvl 1 Header]], TblDetailBudget[[#This Row],[Lvl 1 Header]], $E$8:TblDetailBudget[[#This Row],[Lvl 2 Header]], TblDetailBudget[[#This Row],[Lvl 2 Header]]))</f>
        <v>7</v>
      </c>
      <c r="G2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8" s="185" t="s">
        <v>2683</v>
      </c>
      <c r="J278" s="101"/>
      <c r="K278" s="88"/>
      <c r="L278" s="88"/>
      <c r="M278" s="62" t="str">
        <f>IF(TblDetailBudget[[#This Row],[Level]]=LvlBottomHdr, IFERROR(INDEX(TblUnitCost[Unit], MATCH(TblDetailBudget[[#This Row],[Row Title]], TblUnitCost[Resource], 0)), "Invalid Resource"), "")</f>
        <v/>
      </c>
      <c r="N278" s="125" t="str">
        <f>IF(TblDetailBudget[[#This Row],[Level]]=LvlBottomHdr, IFERROR(INDEX(TblUnitCost[LCU], MATCH(TblDetailBudget[[#This Row],[Row Title]], TblUnitCost[Resource], 0)), "Invalid Resource"), "")</f>
        <v/>
      </c>
      <c r="O278" s="128"/>
      <c r="P278" s="108"/>
      <c r="Q278" s="129"/>
      <c r="R278" s="108"/>
      <c r="S278" s="108"/>
      <c r="T278" s="108"/>
      <c r="U278" s="108"/>
      <c r="V278" s="108"/>
      <c r="W278" s="125" t="str">
        <f>IF(TblDetailBudget[[#This Row],[Level]]=LvlBottomHdr, IF(SUM(TblDetailBudget[[#This Row],[2021 Quant]:[2025 Quant]])&gt;0, SUM(TblDetailBudget[[#This Row],[2021 Quant]:[2025 Quant]]), ""), "")</f>
        <v/>
      </c>
      <c r="X27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1114560000</v>
      </c>
      <c r="AC278" s="140">
        <f>SUM(TblDetailBudget[[#This Row],[2021 Cost (LCU)]:[2025 Cost (LCU)]])</f>
        <v>1114560000</v>
      </c>
      <c r="AD278" s="134">
        <f>IFERROR(SUM(TblDetailBudget[[#This Row],[2021 Cost (LCU)]])/FX_Rate, "")</f>
        <v>0</v>
      </c>
      <c r="AE278" s="63">
        <f>IFERROR(SUM(TblDetailBudget[[#This Row],[2022 Cost (LCU)]])/FX_Rate, "")</f>
        <v>0</v>
      </c>
      <c r="AF278" s="63">
        <f>IFERROR(SUM(TblDetailBudget[[#This Row],[2023 Cost (LCU)]])/FX_Rate, "")</f>
        <v>0</v>
      </c>
      <c r="AG278" s="63">
        <f>IFERROR(SUM(TblDetailBudget[[#This Row],[2024 Cost (LCU)]])/FX_Rate, "")</f>
        <v>0</v>
      </c>
      <c r="AH278" s="63">
        <f>IFERROR(SUM(TblDetailBudget[[#This Row],[2025 Cost (LCU)]])/FX_Rate, "")</f>
        <v>696600</v>
      </c>
      <c r="AI278" s="125">
        <f>SUM(TblDetailBudget[[#This Row],[2021 Cost (USD)]:[2025 Cost (USD)]])</f>
        <v>696600</v>
      </c>
      <c r="AJ278" s="180"/>
    </row>
    <row r="279" spans="2:36" ht="12.75" customHeight="1">
      <c r="B279" s="122" t="s">
        <v>70</v>
      </c>
      <c r="C2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v>
      </c>
      <c r="D279" s="62">
        <f>IF(TblDetailBudget[[#This Row],[Level]]="", "", COUNTIFS($B$8:TblDetailBudget[[#This Row],[Level]], Lvl1Hdr))</f>
        <v>4</v>
      </c>
      <c r="E279" s="62">
        <f>IF(TblDetailBudget[[#This Row],[Level]]="", "", COUNTIFS($B$8:TblDetailBudget[[#This Row],[Level]], Lvl2Hdr, $D$8:TblDetailBudget[[#This Row],[Lvl 1 Header]], TblDetailBudget[[#This Row],[Lvl 1 Header]]))</f>
        <v>1</v>
      </c>
      <c r="F279" s="62">
        <f>IF(TblDetailBudget[[#This Row],[Level]]="", "", COUNTIFS($B$8:TblDetailBudget[[#This Row],[Level]], Lvl3Hdr, $D$8:TblDetailBudget[[#This Row],[Lvl 1 Header]], TblDetailBudget[[#This Row],[Lvl 1 Header]], $E$8:TblDetailBudget[[#This Row],[Lvl 2 Header]], TblDetailBudget[[#This Row],[Lvl 2 Header]]))</f>
        <v>7</v>
      </c>
      <c r="G2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9" s="101" t="s">
        <v>2684</v>
      </c>
      <c r="J279" s="101"/>
      <c r="K279" s="88"/>
      <c r="L279" s="88"/>
      <c r="M279" s="62" t="str">
        <f>IF(TblDetailBudget[[#This Row],[Level]]=LvlBottomHdr, IFERROR(INDEX(TblUnitCost[Unit], MATCH(TblDetailBudget[[#This Row],[Row Title]], TblUnitCost[Resource], 0)), "Invalid Resource"), "")</f>
        <v/>
      </c>
      <c r="N279" s="125" t="str">
        <f>IF(TblDetailBudget[[#This Row],[Level]]=LvlBottomHdr, IFERROR(INDEX(TblUnitCost[LCU], MATCH(TblDetailBudget[[#This Row],[Row Title]], TblUnitCost[Resource], 0)), "Invalid Resource"), "")</f>
        <v/>
      </c>
      <c r="O279" s="128"/>
      <c r="P279" s="108"/>
      <c r="Q279" s="129"/>
      <c r="R279" s="108"/>
      <c r="S279" s="108"/>
      <c r="T279" s="108"/>
      <c r="U279" s="108"/>
      <c r="V279" s="108"/>
      <c r="W279" s="125" t="str">
        <f>IF(TblDetailBudget[[#This Row],[Level]]=LvlBottomHdr, IF(SUM(TblDetailBudget[[#This Row],[2021 Quant]:[2025 Quant]])&gt;0, SUM(TblDetailBudget[[#This Row],[2021 Quant]:[2025 Quant]]), ""), "")</f>
        <v/>
      </c>
      <c r="X27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1114560000</v>
      </c>
      <c r="AC279" s="140">
        <f>SUM(TblDetailBudget[[#This Row],[2021 Cost (LCU)]:[2025 Cost (LCU)]])</f>
        <v>1114560000</v>
      </c>
      <c r="AD279" s="134">
        <f>IFERROR(SUM(TblDetailBudget[[#This Row],[2021 Cost (LCU)]])/FX_Rate, "")</f>
        <v>0</v>
      </c>
      <c r="AE279" s="63">
        <f>IFERROR(SUM(TblDetailBudget[[#This Row],[2022 Cost (LCU)]])/FX_Rate, "")</f>
        <v>0</v>
      </c>
      <c r="AF279" s="63">
        <f>IFERROR(SUM(TblDetailBudget[[#This Row],[2023 Cost (LCU)]])/FX_Rate, "")</f>
        <v>0</v>
      </c>
      <c r="AG279" s="63">
        <f>IFERROR(SUM(TblDetailBudget[[#This Row],[2024 Cost (LCU)]])/FX_Rate, "")</f>
        <v>0</v>
      </c>
      <c r="AH279" s="63">
        <f>IFERROR(SUM(TblDetailBudget[[#This Row],[2025 Cost (LCU)]])/FX_Rate, "")</f>
        <v>696600</v>
      </c>
      <c r="AI279" s="125">
        <f>SUM(TblDetailBudget[[#This Row],[2021 Cost (USD)]:[2025 Cost (USD)]])</f>
        <v>696600</v>
      </c>
      <c r="AJ279" s="180"/>
    </row>
    <row r="280" spans="2:36" ht="12.75" customHeight="1">
      <c r="B280" s="122" t="s">
        <v>71</v>
      </c>
      <c r="C2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4.1.7.1.1</v>
      </c>
      <c r="D280" s="62">
        <f>IF(TblDetailBudget[[#This Row],[Level]]="", "", COUNTIFS($B$8:TblDetailBudget[[#This Row],[Level]], Lvl1Hdr))</f>
        <v>4</v>
      </c>
      <c r="E280" s="62">
        <f>IF(TblDetailBudget[[#This Row],[Level]]="", "", COUNTIFS($B$8:TblDetailBudget[[#This Row],[Level]], Lvl2Hdr, $D$8:TblDetailBudget[[#This Row],[Lvl 1 Header]], TblDetailBudget[[#This Row],[Lvl 1 Header]]))</f>
        <v>1</v>
      </c>
      <c r="F280" s="62">
        <f>IF(TblDetailBudget[[#This Row],[Level]]="", "", COUNTIFS($B$8:TblDetailBudget[[#This Row],[Level]], Lvl3Hdr, $D$8:TblDetailBudget[[#This Row],[Lvl 1 Header]], TblDetailBudget[[#This Row],[Lvl 1 Header]], $E$8:TblDetailBudget[[#This Row],[Lvl 2 Header]], TblDetailBudget[[#This Row],[Lvl 2 Header]]))</f>
        <v>7</v>
      </c>
      <c r="G2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0" s="957" t="s">
        <v>73</v>
      </c>
      <c r="J280" s="101"/>
      <c r="K280" s="88"/>
      <c r="L280" s="88"/>
      <c r="M280" s="62" t="str">
        <f>IF(TblDetailBudget[[#This Row],[Level]]=LvlBottomHdr, IFERROR(INDEX(TblUnitCost[Unit], MATCH(TblDetailBudget[[#This Row],[Row Title]], TblUnitCost[Resource], 0)), "Invalid Resource"), "")</f>
        <v>per person</v>
      </c>
      <c r="N280" s="125">
        <f>IF(TblDetailBudget[[#This Row],[Level]]=LvlBottomHdr, IFERROR(INDEX(TblUnitCost[LCU], MATCH(TblDetailBudget[[#This Row],[Row Title]], TblUnitCost[Resource], 0)), "Invalid Resource"), "")</f>
        <v>2000</v>
      </c>
      <c r="O280" s="128">
        <v>774</v>
      </c>
      <c r="P280" s="108">
        <v>30</v>
      </c>
      <c r="Q280" s="129">
        <v>4</v>
      </c>
      <c r="R280" s="108"/>
      <c r="S280" s="108"/>
      <c r="T280" s="108"/>
      <c r="U280" s="108"/>
      <c r="V280" s="108">
        <v>1</v>
      </c>
      <c r="W280" s="125">
        <f>IF(TblDetailBudget[[#This Row],[Level]]=LvlBottomHdr, IF(SUM(TblDetailBudget[[#This Row],[2021 Quant]:[2025 Quant]])&gt;0, SUM(TblDetailBudget[[#This Row],[2021 Quant]:[2025 Quant]]), ""), "")</f>
        <v>1</v>
      </c>
      <c r="X28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185760000</v>
      </c>
      <c r="AC280" s="140">
        <f>SUM(TblDetailBudget[[#This Row],[2021 Cost (LCU)]:[2025 Cost (LCU)]])</f>
        <v>185760000</v>
      </c>
      <c r="AD280" s="134">
        <f>IFERROR(SUM(TblDetailBudget[[#This Row],[2021 Cost (LCU)]])/FX_Rate, "")</f>
        <v>0</v>
      </c>
      <c r="AE280" s="63">
        <f>IFERROR(SUM(TblDetailBudget[[#This Row],[2022 Cost (LCU)]])/FX_Rate, "")</f>
        <v>0</v>
      </c>
      <c r="AF280" s="63">
        <f>IFERROR(SUM(TblDetailBudget[[#This Row],[2023 Cost (LCU)]])/FX_Rate, "")</f>
        <v>0</v>
      </c>
      <c r="AG280" s="63">
        <f>IFERROR(SUM(TblDetailBudget[[#This Row],[2024 Cost (LCU)]])/FX_Rate, "")</f>
        <v>0</v>
      </c>
      <c r="AH280" s="63">
        <f>IFERROR(SUM(TblDetailBudget[[#This Row],[2025 Cost (LCU)]])/FX_Rate, "")</f>
        <v>116100</v>
      </c>
      <c r="AI280" s="125">
        <f>SUM(TblDetailBudget[[#This Row],[2021 Cost (USD)]:[2025 Cost (USD)]])</f>
        <v>116100</v>
      </c>
      <c r="AJ280" s="180"/>
    </row>
    <row r="281" spans="2:36" ht="12.75" customHeight="1">
      <c r="B281" s="122" t="s">
        <v>71</v>
      </c>
      <c r="C2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4.1.7.1.2</v>
      </c>
      <c r="D281" s="62">
        <f>IF(TblDetailBudget[[#This Row],[Level]]="", "", COUNTIFS($B$8:TblDetailBudget[[#This Row],[Level]], Lvl1Hdr))</f>
        <v>4</v>
      </c>
      <c r="E281" s="62">
        <f>IF(TblDetailBudget[[#This Row],[Level]]="", "", COUNTIFS($B$8:TblDetailBudget[[#This Row],[Level]], Lvl2Hdr, $D$8:TblDetailBudget[[#This Row],[Lvl 1 Header]], TblDetailBudget[[#This Row],[Lvl 1 Header]]))</f>
        <v>1</v>
      </c>
      <c r="F281" s="62">
        <f>IF(TblDetailBudget[[#This Row],[Level]]="", "", COUNTIFS($B$8:TblDetailBudget[[#This Row],[Level]], Lvl3Hdr, $D$8:TblDetailBudget[[#This Row],[Lvl 1 Header]], TblDetailBudget[[#This Row],[Lvl 1 Header]], $E$8:TblDetailBudget[[#This Row],[Lvl 2 Header]], TblDetailBudget[[#This Row],[Lvl 2 Header]]))</f>
        <v>7</v>
      </c>
      <c r="G2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81" s="957" t="s">
        <v>72</v>
      </c>
      <c r="J281" s="101"/>
      <c r="K281" s="88"/>
      <c r="L281" s="88"/>
      <c r="M281" s="62" t="str">
        <f>IF(TblDetailBudget[[#This Row],[Level]]=LvlBottomHdr, IFERROR(INDEX(TblUnitCost[Unit], MATCH(TblDetailBudget[[#This Row],[Row Title]], TblUnitCost[Resource], 0)), "Invalid Resource"), "")</f>
        <v>per person per day</v>
      </c>
      <c r="N281" s="125">
        <f>IF(TblDetailBudget[[#This Row],[Level]]=LvlBottomHdr, IFERROR(INDEX(TblUnitCost[LCU], MATCH(TblDetailBudget[[#This Row],[Row Title]], TblUnitCost[Resource], 0)), "Invalid Resource"), "")</f>
        <v>5000</v>
      </c>
      <c r="O281" s="128">
        <v>774</v>
      </c>
      <c r="P281" s="108">
        <v>30</v>
      </c>
      <c r="Q281" s="129">
        <v>4</v>
      </c>
      <c r="R281" s="108"/>
      <c r="S281" s="108"/>
      <c r="T281" s="108"/>
      <c r="U281" s="108"/>
      <c r="V281" s="108">
        <v>1</v>
      </c>
      <c r="W281" s="125">
        <f>IF(TblDetailBudget[[#This Row],[Level]]=LvlBottomHdr, IF(SUM(TblDetailBudget[[#This Row],[2021 Quant]:[2025 Quant]])&gt;0, SUM(TblDetailBudget[[#This Row],[2021 Quant]:[2025 Quant]]), ""), "")</f>
        <v>1</v>
      </c>
      <c r="X28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464400000</v>
      </c>
      <c r="AC281" s="140">
        <f>SUM(TblDetailBudget[[#This Row],[2021 Cost (LCU)]:[2025 Cost (LCU)]])</f>
        <v>464400000</v>
      </c>
      <c r="AD281" s="134">
        <f>IFERROR(SUM(TblDetailBudget[[#This Row],[2021 Cost (LCU)]])/FX_Rate, "")</f>
        <v>0</v>
      </c>
      <c r="AE281" s="63">
        <f>IFERROR(SUM(TblDetailBudget[[#This Row],[2022 Cost (LCU)]])/FX_Rate, "")</f>
        <v>0</v>
      </c>
      <c r="AF281" s="63">
        <f>IFERROR(SUM(TblDetailBudget[[#This Row],[2023 Cost (LCU)]])/FX_Rate, "")</f>
        <v>0</v>
      </c>
      <c r="AG281" s="63">
        <f>IFERROR(SUM(TblDetailBudget[[#This Row],[2024 Cost (LCU)]])/FX_Rate, "")</f>
        <v>0</v>
      </c>
      <c r="AH281" s="63">
        <f>IFERROR(SUM(TblDetailBudget[[#This Row],[2025 Cost (LCU)]])/FX_Rate, "")</f>
        <v>290250</v>
      </c>
      <c r="AI281" s="125">
        <f>SUM(TblDetailBudget[[#This Row],[2021 Cost (USD)]:[2025 Cost (USD)]])</f>
        <v>290250</v>
      </c>
      <c r="AJ281" s="180"/>
    </row>
    <row r="282" spans="2:36" ht="12.75" customHeight="1">
      <c r="B282" s="122" t="s">
        <v>71</v>
      </c>
      <c r="C2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4.1.7.1.3</v>
      </c>
      <c r="D282" s="62">
        <f>IF(TblDetailBudget[[#This Row],[Level]]="", "", COUNTIFS($B$8:TblDetailBudget[[#This Row],[Level]], Lvl1Hdr))</f>
        <v>4</v>
      </c>
      <c r="E282" s="62">
        <f>IF(TblDetailBudget[[#This Row],[Level]]="", "", COUNTIFS($B$8:TblDetailBudget[[#This Row],[Level]], Lvl2Hdr, $D$8:TblDetailBudget[[#This Row],[Lvl 1 Header]], TblDetailBudget[[#This Row],[Lvl 1 Header]]))</f>
        <v>1</v>
      </c>
      <c r="F282" s="62">
        <f>IF(TblDetailBudget[[#This Row],[Level]]="", "", COUNTIFS($B$8:TblDetailBudget[[#This Row],[Level]], Lvl3Hdr, $D$8:TblDetailBudget[[#This Row],[Lvl 1 Header]], TblDetailBudget[[#This Row],[Lvl 1 Header]], $E$8:TblDetailBudget[[#This Row],[Lvl 2 Header]], TblDetailBudget[[#This Row],[Lvl 2 Header]]))</f>
        <v>7</v>
      </c>
      <c r="G2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82" s="957" t="s">
        <v>1844</v>
      </c>
      <c r="J282" s="101"/>
      <c r="K282" s="88"/>
      <c r="L282" s="88"/>
      <c r="M282" s="62" t="str">
        <f>IF(TblDetailBudget[[#This Row],[Level]]=LvlBottomHdr, IFERROR(INDEX(TblUnitCost[Unit], MATCH(TblDetailBudget[[#This Row],[Row Title]], TblUnitCost[Resource], 0)), "Invalid Resource"), "")</f>
        <v>per person</v>
      </c>
      <c r="N282" s="125">
        <f>IF(TblDetailBudget[[#This Row],[Level]]=LvlBottomHdr, IFERROR(INDEX(TblUnitCost[LCU], MATCH(TblDetailBudget[[#This Row],[Row Title]], TblUnitCost[Resource], 0)), "Invalid Resource"), "")</f>
        <v>5000</v>
      </c>
      <c r="O282" s="128">
        <v>774</v>
      </c>
      <c r="P282" s="108">
        <v>30</v>
      </c>
      <c r="Q282" s="129">
        <v>4</v>
      </c>
      <c r="R282" s="108"/>
      <c r="S282" s="108"/>
      <c r="T282" s="108"/>
      <c r="U282" s="108"/>
      <c r="V282" s="108">
        <v>1</v>
      </c>
      <c r="W282" s="125">
        <f>IF(TblDetailBudget[[#This Row],[Level]]=LvlBottomHdr, IF(SUM(TblDetailBudget[[#This Row],[2021 Quant]:[2025 Quant]])&gt;0, SUM(TblDetailBudget[[#This Row],[2021 Quant]:[2025 Quant]]), ""), "")</f>
        <v>1</v>
      </c>
      <c r="X28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464400000</v>
      </c>
      <c r="AC282" s="140">
        <f>SUM(TblDetailBudget[[#This Row],[2021 Cost (LCU)]:[2025 Cost (LCU)]])</f>
        <v>464400000</v>
      </c>
      <c r="AD282" s="134">
        <f>IFERROR(SUM(TblDetailBudget[[#This Row],[2021 Cost (LCU)]])/FX_Rate, "")</f>
        <v>0</v>
      </c>
      <c r="AE282" s="63">
        <f>IFERROR(SUM(TblDetailBudget[[#This Row],[2022 Cost (LCU)]])/FX_Rate, "")</f>
        <v>0</v>
      </c>
      <c r="AF282" s="63">
        <f>IFERROR(SUM(TblDetailBudget[[#This Row],[2023 Cost (LCU)]])/FX_Rate, "")</f>
        <v>0</v>
      </c>
      <c r="AG282" s="63">
        <f>IFERROR(SUM(TblDetailBudget[[#This Row],[2024 Cost (LCU)]])/FX_Rate, "")</f>
        <v>0</v>
      </c>
      <c r="AH282" s="63">
        <f>IFERROR(SUM(TblDetailBudget[[#This Row],[2025 Cost (LCU)]])/FX_Rate, "")</f>
        <v>290250</v>
      </c>
      <c r="AI282" s="125">
        <f>SUM(TblDetailBudget[[#This Row],[2021 Cost (USD)]:[2025 Cost (USD)]])</f>
        <v>290250</v>
      </c>
      <c r="AJ282" s="180"/>
    </row>
    <row r="283" spans="2:36" ht="12.75" customHeight="1">
      <c r="B283" s="122" t="s">
        <v>67</v>
      </c>
      <c r="C2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v>
      </c>
      <c r="D283" s="62">
        <f>IF(TblDetailBudget[[#This Row],[Level]]="", "", COUNTIFS($B$8:TblDetailBudget[[#This Row],[Level]], Lvl1Hdr))</f>
        <v>5</v>
      </c>
      <c r="E283" s="62">
        <f>IF(TblDetailBudget[[#This Row],[Level]]="", "", COUNTIFS($B$8:TblDetailBudget[[#This Row],[Level]], Lvl2Hdr, $D$8:TblDetailBudget[[#This Row],[Lvl 1 Header]], TblDetailBudget[[#This Row],[Lvl 1 Header]]))</f>
        <v>0</v>
      </c>
      <c r="F283" s="62">
        <f>IF(TblDetailBudget[[#This Row],[Level]]="", "", COUNTIFS($B$8:TblDetailBudget[[#This Row],[Level]], Lvl3Hdr, $D$8:TblDetailBudget[[#This Row],[Lvl 1 Header]], TblDetailBudget[[#This Row],[Lvl 1 Header]], $E$8:TblDetailBudget[[#This Row],[Lvl 2 Header]], TblDetailBudget[[#This Row],[Lvl 2 Header]]))</f>
        <v>0</v>
      </c>
      <c r="G2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3" s="101" t="s">
        <v>156</v>
      </c>
      <c r="J283" s="101"/>
      <c r="K283" s="88"/>
      <c r="L283" s="88"/>
      <c r="M283" s="62" t="str">
        <f>IF(TblDetailBudget[[#This Row],[Level]]=LvlBottomHdr, IFERROR(INDEX(TblUnitCost[Unit], MATCH(TblDetailBudget[[#This Row],[Row Title]], TblUnitCost[Resource], 0)), "Invalid Resource"), "")</f>
        <v/>
      </c>
      <c r="N283" s="125" t="str">
        <f>IF(TblDetailBudget[[#This Row],[Level]]=LvlBottomHdr, IFERROR(INDEX(TblUnitCost[LCU], MATCH(TblDetailBudget[[#This Row],[Row Title]], TblUnitCost[Resource], 0)), "Invalid Resource"), "")</f>
        <v/>
      </c>
      <c r="O283" s="128"/>
      <c r="P283" s="108"/>
      <c r="Q283" s="129"/>
      <c r="R283" s="108"/>
      <c r="S283" s="108"/>
      <c r="T283" s="108"/>
      <c r="U283" s="108"/>
      <c r="V283" s="108"/>
      <c r="W283" s="125" t="str">
        <f>IF(TblDetailBudget[[#This Row],[Level]]=LvlBottomHdr, IF(SUM(TblDetailBudget[[#This Row],[2021 Quant]:[2025 Quant]])&gt;0, SUM(TblDetailBudget[[#This Row],[2021 Quant]:[2025 Quant]]), ""), "")</f>
        <v/>
      </c>
      <c r="X28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3" s="140">
        <f>SUM(TblDetailBudget[[#This Row],[2021 Cost (LCU)]:[2025 Cost (LCU)]])</f>
        <v>105450000</v>
      </c>
      <c r="AD283" s="134">
        <f>IFERROR(SUM(TblDetailBudget[[#This Row],[2021 Cost (LCU)]])/FX_Rate, "")</f>
        <v>0</v>
      </c>
      <c r="AE283" s="63">
        <f>IFERROR(SUM(TblDetailBudget[[#This Row],[2022 Cost (LCU)]])/FX_Rate, "")</f>
        <v>0</v>
      </c>
      <c r="AF283" s="63">
        <f>IFERROR(SUM(TblDetailBudget[[#This Row],[2023 Cost (LCU)]])/FX_Rate, "")</f>
        <v>0</v>
      </c>
      <c r="AG283" s="63">
        <f>IFERROR(SUM(TblDetailBudget[[#This Row],[2024 Cost (LCU)]])/FX_Rate, "")</f>
        <v>0</v>
      </c>
      <c r="AH283" s="63">
        <f>IFERROR(SUM(TblDetailBudget[[#This Row],[2025 Cost (LCU)]])/FX_Rate, "")</f>
        <v>65906.25</v>
      </c>
      <c r="AI283" s="125">
        <f>SUM(TblDetailBudget[[#This Row],[2021 Cost (USD)]:[2025 Cost (USD)]])</f>
        <v>65906.25</v>
      </c>
      <c r="AJ283" s="180"/>
    </row>
    <row r="284" spans="2:36" ht="12.75" customHeight="1">
      <c r="B284" s="122" t="s">
        <v>68</v>
      </c>
      <c r="C2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v>
      </c>
      <c r="D284" s="62">
        <f>IF(TblDetailBudget[[#This Row],[Level]]="", "", COUNTIFS($B$8:TblDetailBudget[[#This Row],[Level]], Lvl1Hdr))</f>
        <v>5</v>
      </c>
      <c r="E284" s="62">
        <f>IF(TblDetailBudget[[#This Row],[Level]]="", "", COUNTIFS($B$8:TblDetailBudget[[#This Row],[Level]], Lvl2Hdr, $D$8:TblDetailBudget[[#This Row],[Lvl 1 Header]], TblDetailBudget[[#This Row],[Lvl 1 Header]]))</f>
        <v>1</v>
      </c>
      <c r="F284" s="62">
        <f>IF(TblDetailBudget[[#This Row],[Level]]="", "", COUNTIFS($B$8:TblDetailBudget[[#This Row],[Level]], Lvl3Hdr, $D$8:TblDetailBudget[[#This Row],[Lvl 1 Header]], TblDetailBudget[[#This Row],[Lvl 1 Header]], $E$8:TblDetailBudget[[#This Row],[Lvl 2 Header]], TblDetailBudget[[#This Row],[Lvl 2 Header]]))</f>
        <v>0</v>
      </c>
      <c r="G2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4" s="185" t="s">
        <v>211</v>
      </c>
      <c r="J284" s="101"/>
      <c r="K284" s="88"/>
      <c r="L284" s="88"/>
      <c r="M284" s="62" t="str">
        <f>IF(TblDetailBudget[[#This Row],[Level]]=LvlBottomHdr, IFERROR(INDEX(TblUnitCost[Unit], MATCH(TblDetailBudget[[#This Row],[Row Title]], TblUnitCost[Resource], 0)), "Invalid Resource"), "")</f>
        <v/>
      </c>
      <c r="N284" s="125" t="str">
        <f>IF(TblDetailBudget[[#This Row],[Level]]=LvlBottomHdr, IFERROR(INDEX(TblUnitCost[LCU], MATCH(TblDetailBudget[[#This Row],[Row Title]], TblUnitCost[Resource], 0)), "Invalid Resource"), "")</f>
        <v/>
      </c>
      <c r="O284" s="128"/>
      <c r="P284" s="108"/>
      <c r="Q284" s="129"/>
      <c r="R284" s="108"/>
      <c r="S284" s="108"/>
      <c r="T284" s="108"/>
      <c r="U284" s="108"/>
      <c r="V284" s="108"/>
      <c r="W284" s="125" t="str">
        <f>IF(TblDetailBudget[[#This Row],[Level]]=LvlBottomHdr, IF(SUM(TblDetailBudget[[#This Row],[2021 Quant]:[2025 Quant]])&gt;0, SUM(TblDetailBudget[[#This Row],[2021 Quant]:[2025 Quant]]), ""), "")</f>
        <v/>
      </c>
      <c r="X28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4" s="140">
        <f>SUM(TblDetailBudget[[#This Row],[2021 Cost (LCU)]:[2025 Cost (LCU)]])</f>
        <v>105450000</v>
      </c>
      <c r="AD284" s="134">
        <f>IFERROR(SUM(TblDetailBudget[[#This Row],[2021 Cost (LCU)]])/FX_Rate, "")</f>
        <v>0</v>
      </c>
      <c r="AE284" s="63">
        <f>IFERROR(SUM(TblDetailBudget[[#This Row],[2022 Cost (LCU)]])/FX_Rate, "")</f>
        <v>0</v>
      </c>
      <c r="AF284" s="63">
        <f>IFERROR(SUM(TblDetailBudget[[#This Row],[2023 Cost (LCU)]])/FX_Rate, "")</f>
        <v>0</v>
      </c>
      <c r="AG284" s="63">
        <f>IFERROR(SUM(TblDetailBudget[[#This Row],[2024 Cost (LCU)]])/FX_Rate, "")</f>
        <v>0</v>
      </c>
      <c r="AH284" s="63">
        <f>IFERROR(SUM(TblDetailBudget[[#This Row],[2025 Cost (LCU)]])/FX_Rate, "")</f>
        <v>65906.25</v>
      </c>
      <c r="AI284" s="125">
        <f>SUM(TblDetailBudget[[#This Row],[2021 Cost (USD)]:[2025 Cost (USD)]])</f>
        <v>65906.25</v>
      </c>
      <c r="AJ284" s="180"/>
    </row>
    <row r="285" spans="2:36" ht="12.75" customHeight="1">
      <c r="B285" s="122" t="s">
        <v>69</v>
      </c>
      <c r="C2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v>
      </c>
      <c r="D285" s="62">
        <f>IF(TblDetailBudget[[#This Row],[Level]]="", "", COUNTIFS($B$8:TblDetailBudget[[#This Row],[Level]], Lvl1Hdr))</f>
        <v>5</v>
      </c>
      <c r="E285" s="62">
        <f>IF(TblDetailBudget[[#This Row],[Level]]="", "", COUNTIFS($B$8:TblDetailBudget[[#This Row],[Level]], Lvl2Hdr, $D$8:TblDetailBudget[[#This Row],[Lvl 1 Header]], TblDetailBudget[[#This Row],[Lvl 1 Header]]))</f>
        <v>1</v>
      </c>
      <c r="F285" s="62">
        <f>IF(TblDetailBudget[[#This Row],[Level]]="", "", COUNTIFS($B$8:TblDetailBudget[[#This Row],[Level]], Lvl3Hdr, $D$8:TblDetailBudget[[#This Row],[Lvl 1 Header]], TblDetailBudget[[#This Row],[Lvl 1 Header]], $E$8:TblDetailBudget[[#This Row],[Lvl 2 Header]], TblDetailBudget[[#This Row],[Lvl 2 Header]]))</f>
        <v>1</v>
      </c>
      <c r="G2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5" s="185" t="s">
        <v>1846</v>
      </c>
      <c r="J285" s="101"/>
      <c r="K285" s="88"/>
      <c r="L285" s="88"/>
      <c r="M285" s="62" t="str">
        <f>IF(TblDetailBudget[[#This Row],[Level]]=LvlBottomHdr, IFERROR(INDEX(TblUnitCost[Unit], MATCH(TblDetailBudget[[#This Row],[Row Title]], TblUnitCost[Resource], 0)), "Invalid Resource"), "")</f>
        <v/>
      </c>
      <c r="N285" s="125" t="str">
        <f>IF(TblDetailBudget[[#This Row],[Level]]=LvlBottomHdr, IFERROR(INDEX(TblUnitCost[LCU], MATCH(TblDetailBudget[[#This Row],[Row Title]], TblUnitCost[Resource], 0)), "Invalid Resource"), "")</f>
        <v/>
      </c>
      <c r="O285" s="128"/>
      <c r="P285" s="108"/>
      <c r="Q285" s="129"/>
      <c r="R285" s="108"/>
      <c r="S285" s="108"/>
      <c r="T285" s="108"/>
      <c r="U285" s="108"/>
      <c r="V285" s="108"/>
      <c r="W285" s="125" t="str">
        <f>IF(TblDetailBudget[[#This Row],[Level]]=LvlBottomHdr, IF(SUM(TblDetailBudget[[#This Row],[2021 Quant]:[2025 Quant]])&gt;0, SUM(TblDetailBudget[[#This Row],[2021 Quant]:[2025 Quant]]), ""), "")</f>
        <v/>
      </c>
      <c r="X28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5" s="140">
        <f>SUM(TblDetailBudget[[#This Row],[2021 Cost (LCU)]:[2025 Cost (LCU)]])</f>
        <v>105450000</v>
      </c>
      <c r="AD285" s="134">
        <f>IFERROR(SUM(TblDetailBudget[[#This Row],[2021 Cost (LCU)]])/FX_Rate, "")</f>
        <v>0</v>
      </c>
      <c r="AE285" s="63">
        <f>IFERROR(SUM(TblDetailBudget[[#This Row],[2022 Cost (LCU)]])/FX_Rate, "")</f>
        <v>0</v>
      </c>
      <c r="AF285" s="63">
        <f>IFERROR(SUM(TblDetailBudget[[#This Row],[2023 Cost (LCU)]])/FX_Rate, "")</f>
        <v>0</v>
      </c>
      <c r="AG285" s="63">
        <f>IFERROR(SUM(TblDetailBudget[[#This Row],[2024 Cost (LCU)]])/FX_Rate, "")</f>
        <v>0</v>
      </c>
      <c r="AH285" s="63">
        <f>IFERROR(SUM(TblDetailBudget[[#This Row],[2025 Cost (LCU)]])/FX_Rate, "")</f>
        <v>65906.25</v>
      </c>
      <c r="AI285" s="125">
        <f>SUM(TblDetailBudget[[#This Row],[2021 Cost (USD)]:[2025 Cost (USD)]])</f>
        <v>65906.25</v>
      </c>
      <c r="AJ285" s="180"/>
    </row>
    <row r="286" spans="2:36" ht="12.75" customHeight="1">
      <c r="B286" s="122" t="s">
        <v>70</v>
      </c>
      <c r="C2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5.1.1.1</v>
      </c>
      <c r="D286" s="62">
        <f>IF(TblDetailBudget[[#This Row],[Level]]="", "", COUNTIFS($B$8:TblDetailBudget[[#This Row],[Level]], Lvl1Hdr))</f>
        <v>5</v>
      </c>
      <c r="E286" s="62">
        <f>IF(TblDetailBudget[[#This Row],[Level]]="", "", COUNTIFS($B$8:TblDetailBudget[[#This Row],[Level]], Lvl2Hdr, $D$8:TblDetailBudget[[#This Row],[Lvl 1 Header]], TblDetailBudget[[#This Row],[Lvl 1 Header]]))</f>
        <v>1</v>
      </c>
      <c r="F286" s="62">
        <f>IF(TblDetailBudget[[#This Row],[Level]]="", "", COUNTIFS($B$8:TblDetailBudget[[#This Row],[Level]], Lvl3Hdr, $D$8:TblDetailBudget[[#This Row],[Lvl 1 Header]], TblDetailBudget[[#This Row],[Lvl 1 Header]], $E$8:TblDetailBudget[[#This Row],[Lvl 2 Header]], TblDetailBudget[[#This Row],[Lvl 2 Header]]))</f>
        <v>1</v>
      </c>
      <c r="G2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6" s="101" t="s">
        <v>2826</v>
      </c>
      <c r="J286" s="101"/>
      <c r="K286" s="88"/>
      <c r="L286" s="88"/>
      <c r="M286" s="62" t="str">
        <f>IF(TblDetailBudget[[#This Row],[Level]]=LvlBottomHdr, IFERROR(INDEX(TblUnitCost[Unit], MATCH(TblDetailBudget[[#This Row],[Row Title]], TblUnitCost[Resource], 0)), "Invalid Resource"), "")</f>
        <v/>
      </c>
      <c r="N286" s="125" t="str">
        <f>IF(TblDetailBudget[[#This Row],[Level]]=LvlBottomHdr, IFERROR(INDEX(TblUnitCost[LCU], MATCH(TblDetailBudget[[#This Row],[Row Title]], TblUnitCost[Resource], 0)), "Invalid Resource"), "")</f>
        <v/>
      </c>
      <c r="O286" s="128"/>
      <c r="P286" s="108"/>
      <c r="Q286" s="129"/>
      <c r="R286" s="108"/>
      <c r="S286" s="108"/>
      <c r="T286" s="108"/>
      <c r="U286" s="108"/>
      <c r="V286" s="108"/>
      <c r="W286" s="125" t="str">
        <f>IF(TblDetailBudget[[#This Row],[Level]]=LvlBottomHdr, IF(SUM(TblDetailBudget[[#This Row],[2021 Quant]:[2025 Quant]])&gt;0, SUM(TblDetailBudget[[#This Row],[2021 Quant]:[2025 Quant]]), ""), "")</f>
        <v/>
      </c>
      <c r="X28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6" s="140">
        <f>SUM(TblDetailBudget[[#This Row],[2021 Cost (LCU)]:[2025 Cost (LCU)]])</f>
        <v>105450000</v>
      </c>
      <c r="AD286" s="134">
        <f>IFERROR(SUM(TblDetailBudget[[#This Row],[2021 Cost (LCU)]])/FX_Rate, "")</f>
        <v>0</v>
      </c>
      <c r="AE286" s="63">
        <f>IFERROR(SUM(TblDetailBudget[[#This Row],[2022 Cost (LCU)]])/FX_Rate, "")</f>
        <v>0</v>
      </c>
      <c r="AF286" s="63">
        <f>IFERROR(SUM(TblDetailBudget[[#This Row],[2023 Cost (LCU)]])/FX_Rate, "")</f>
        <v>0</v>
      </c>
      <c r="AG286" s="63">
        <f>IFERROR(SUM(TblDetailBudget[[#This Row],[2024 Cost (LCU)]])/FX_Rate, "")</f>
        <v>0</v>
      </c>
      <c r="AH286" s="63">
        <f>IFERROR(SUM(TblDetailBudget[[#This Row],[2025 Cost (LCU)]])/FX_Rate, "")</f>
        <v>65906.25</v>
      </c>
      <c r="AI286" s="125">
        <f>SUM(TblDetailBudget[[#This Row],[2021 Cost (USD)]:[2025 Cost (USD)]])</f>
        <v>65906.25</v>
      </c>
      <c r="AJ286" s="180"/>
    </row>
    <row r="287" spans="2:36" ht="12.75" customHeight="1">
      <c r="B287" s="122" t="s">
        <v>71</v>
      </c>
      <c r="C2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5.1.1.1.1</v>
      </c>
      <c r="D287" s="62">
        <f>IF(TblDetailBudget[[#This Row],[Level]]="", "", COUNTIFS($B$8:TblDetailBudget[[#This Row],[Level]], Lvl1Hdr))</f>
        <v>5</v>
      </c>
      <c r="E287" s="62">
        <f>IF(TblDetailBudget[[#This Row],[Level]]="", "", COUNTIFS($B$8:TblDetailBudget[[#This Row],[Level]], Lvl2Hdr, $D$8:TblDetailBudget[[#This Row],[Lvl 1 Header]], TblDetailBudget[[#This Row],[Lvl 1 Header]]))</f>
        <v>1</v>
      </c>
      <c r="F287" s="62">
        <f>IF(TblDetailBudget[[#This Row],[Level]]="", "", COUNTIFS($B$8:TblDetailBudget[[#This Row],[Level]], Lvl3Hdr, $D$8:TblDetailBudget[[#This Row],[Lvl 1 Header]], TblDetailBudget[[#This Row],[Lvl 1 Header]], $E$8:TblDetailBudget[[#This Row],[Lvl 2 Header]], TblDetailBudget[[#This Row],[Lvl 2 Header]]))</f>
        <v>1</v>
      </c>
      <c r="G2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7" s="96" t="s">
        <v>2825</v>
      </c>
      <c r="J287" s="101"/>
      <c r="K287" s="88"/>
      <c r="L287" s="88"/>
      <c r="M287" s="62" t="str">
        <f>IF(TblDetailBudget[[#This Row],[Level]]=LvlBottomHdr, IFERROR(INDEX(TblUnitCost[Unit], MATCH(TblDetailBudget[[#This Row],[Row Title]], TblUnitCost[Resource], 0)), "Invalid Resource"), "")</f>
        <v>per State</v>
      </c>
      <c r="N287" s="125">
        <f>IF(TblDetailBudget[[#This Row],[Level]]=LvlBottomHdr, IFERROR(INDEX(TblUnitCost[LCU], MATCH(TblDetailBudget[[#This Row],[Row Title]], TblUnitCost[Resource], 0)), "Invalid Resource"), "")</f>
        <v>2850000</v>
      </c>
      <c r="O287" s="128">
        <f>'States and LGAs'!AQ6</f>
        <v>37</v>
      </c>
      <c r="P287" s="108">
        <v>1</v>
      </c>
      <c r="Q287" s="129">
        <v>1</v>
      </c>
      <c r="R287" s="108"/>
      <c r="S287" s="108"/>
      <c r="T287" s="108"/>
      <c r="U287" s="108"/>
      <c r="V287" s="108">
        <v>1</v>
      </c>
      <c r="W287" s="125">
        <f>IF(TblDetailBudget[[#This Row],[Level]]=LvlBottomHdr, IF(SUM(TblDetailBudget[[#This Row],[2021 Quant]:[2025 Quant]])&gt;0, SUM(TblDetailBudget[[#This Row],[2021 Quant]:[2025 Quant]]), ""), "")</f>
        <v>1</v>
      </c>
      <c r="X28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87" s="140">
        <f>SUM(TblDetailBudget[[#This Row],[2021 Cost (LCU)]:[2025 Cost (LCU)]])</f>
        <v>105450000</v>
      </c>
      <c r="AD287" s="134">
        <f>IFERROR(SUM(TblDetailBudget[[#This Row],[2021 Cost (LCU)]])/FX_Rate, "")</f>
        <v>0</v>
      </c>
      <c r="AE287" s="63">
        <f>IFERROR(SUM(TblDetailBudget[[#This Row],[2022 Cost (LCU)]])/FX_Rate, "")</f>
        <v>0</v>
      </c>
      <c r="AF287" s="63">
        <f>IFERROR(SUM(TblDetailBudget[[#This Row],[2023 Cost (LCU)]])/FX_Rate, "")</f>
        <v>0</v>
      </c>
      <c r="AG287" s="63">
        <f>IFERROR(SUM(TblDetailBudget[[#This Row],[2024 Cost (LCU)]])/FX_Rate, "")</f>
        <v>0</v>
      </c>
      <c r="AH287" s="63">
        <f>IFERROR(SUM(TblDetailBudget[[#This Row],[2025 Cost (LCU)]])/FX_Rate, "")</f>
        <v>65906.25</v>
      </c>
      <c r="AI287" s="125">
        <f>SUM(TblDetailBudget[[#This Row],[2021 Cost (USD)]:[2025 Cost (USD)]])</f>
        <v>65906.25</v>
      </c>
      <c r="AJ287" s="180"/>
    </row>
    <row r="288" spans="2:36" ht="12.75" customHeight="1">
      <c r="B288" s="122" t="s">
        <v>70</v>
      </c>
      <c r="C2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v>
      </c>
      <c r="D288" s="62">
        <f>IF(TblDetailBudget[[#This Row],[Level]]="", "", COUNTIFS($B$8:TblDetailBudget[[#This Row],[Level]], Lvl1Hdr))</f>
        <v>5</v>
      </c>
      <c r="E288" s="62">
        <f>IF(TblDetailBudget[[#This Row],[Level]]="", "", COUNTIFS($B$8:TblDetailBudget[[#This Row],[Level]], Lvl2Hdr, $D$8:TblDetailBudget[[#This Row],[Lvl 1 Header]], TblDetailBudget[[#This Row],[Lvl 1 Header]]))</f>
        <v>1</v>
      </c>
      <c r="F288" s="62">
        <f>IF(TblDetailBudget[[#This Row],[Level]]="", "", COUNTIFS($B$8:TblDetailBudget[[#This Row],[Level]], Lvl3Hdr, $D$8:TblDetailBudget[[#This Row],[Lvl 1 Header]], TblDetailBudget[[#This Row],[Lvl 1 Header]], $E$8:TblDetailBudget[[#This Row],[Lvl 2 Header]], TblDetailBudget[[#This Row],[Lvl 2 Header]]))</f>
        <v>1</v>
      </c>
      <c r="G2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8" s="101"/>
      <c r="J288" s="101"/>
      <c r="K288" s="88"/>
      <c r="L288" s="88"/>
      <c r="M288" s="62" t="str">
        <f>IF(TblDetailBudget[[#This Row],[Level]]=LvlBottomHdr, IFERROR(INDEX(TblUnitCost[Unit], MATCH(TblDetailBudget[[#This Row],[Row Title]], TblUnitCost[Resource], 0)), "Invalid Resource"), "")</f>
        <v/>
      </c>
      <c r="N288" s="125" t="str">
        <f>IF(TblDetailBudget[[#This Row],[Level]]=LvlBottomHdr, IFERROR(INDEX(TblUnitCost[LCU], MATCH(TblDetailBudget[[#This Row],[Row Title]], TblUnitCost[Resource], 0)), "Invalid Resource"), "")</f>
        <v/>
      </c>
      <c r="O288" s="128"/>
      <c r="P288" s="108"/>
      <c r="Q288" s="129"/>
      <c r="R288" s="108"/>
      <c r="S288" s="108"/>
      <c r="T288" s="108"/>
      <c r="U288" s="108"/>
      <c r="V288" s="108"/>
      <c r="W288" s="125" t="str">
        <f>IF(TblDetailBudget[[#This Row],[Level]]=LvlBottomHdr, IF(SUM(TblDetailBudget[[#This Row],[2021 Quant]:[2025 Quant]])&gt;0, SUM(TblDetailBudget[[#This Row],[2021 Quant]:[2025 Quant]]), ""), "")</f>
        <v/>
      </c>
      <c r="X2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88" s="140">
        <f>SUM(TblDetailBudget[[#This Row],[2021 Cost (LCU)]:[2025 Cost (LCU)]])</f>
        <v>0</v>
      </c>
      <c r="AD288" s="134">
        <f>IFERROR(SUM(TblDetailBudget[[#This Row],[2021 Cost (LCU)]])/FX_Rate, "")</f>
        <v>0</v>
      </c>
      <c r="AE288" s="63">
        <f>IFERROR(SUM(TblDetailBudget[[#This Row],[2022 Cost (LCU)]])/FX_Rate, "")</f>
        <v>0</v>
      </c>
      <c r="AF288" s="63">
        <f>IFERROR(SUM(TblDetailBudget[[#This Row],[2023 Cost (LCU)]])/FX_Rate, "")</f>
        <v>0</v>
      </c>
      <c r="AG288" s="63">
        <f>IFERROR(SUM(TblDetailBudget[[#This Row],[2024 Cost (LCU)]])/FX_Rate, "")</f>
        <v>0</v>
      </c>
      <c r="AH288" s="63">
        <f>IFERROR(SUM(TblDetailBudget[[#This Row],[2025 Cost (LCU)]])/FX_Rate, "")</f>
        <v>0</v>
      </c>
      <c r="AI288" s="125">
        <f>SUM(TblDetailBudget[[#This Row],[2021 Cost (USD)]:[2025 Cost (USD)]])</f>
        <v>0</v>
      </c>
      <c r="AJ288" s="180"/>
    </row>
    <row r="289" spans="2:36" ht="12.75" customHeight="1">
      <c r="B289" s="122" t="s">
        <v>71</v>
      </c>
      <c r="C2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5.1.1.2.1</v>
      </c>
      <c r="D289" s="62">
        <f>IF(TblDetailBudget[[#This Row],[Level]]="", "", COUNTIFS($B$8:TblDetailBudget[[#This Row],[Level]], Lvl1Hdr))</f>
        <v>5</v>
      </c>
      <c r="E289" s="62">
        <f>IF(TblDetailBudget[[#This Row],[Level]]="", "", COUNTIFS($B$8:TblDetailBudget[[#This Row],[Level]], Lvl2Hdr, $D$8:TblDetailBudget[[#This Row],[Lvl 1 Header]], TblDetailBudget[[#This Row],[Lvl 1 Header]]))</f>
        <v>1</v>
      </c>
      <c r="F289" s="62">
        <f>IF(TblDetailBudget[[#This Row],[Level]]="", "", COUNTIFS($B$8:TblDetailBudget[[#This Row],[Level]], Lvl3Hdr, $D$8:TblDetailBudget[[#This Row],[Lvl 1 Header]], TblDetailBudget[[#This Row],[Lvl 1 Header]], $E$8:TblDetailBudget[[#This Row],[Lvl 2 Header]], TblDetailBudget[[#This Row],[Lvl 2 Header]]))</f>
        <v>1</v>
      </c>
      <c r="G2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9" s="101"/>
      <c r="J289" s="101"/>
      <c r="K289" s="88"/>
      <c r="L289" s="88"/>
      <c r="M289" s="62" t="str">
        <f>IF(TblDetailBudget[[#This Row],[Level]]=LvlBottomHdr, IFERROR(INDEX(TblUnitCost[Unit], MATCH(TblDetailBudget[[#This Row],[Row Title]], TblUnitCost[Resource], 0)), "Invalid Resource"), "")</f>
        <v>Invalid Resource</v>
      </c>
      <c r="N289" s="125" t="str">
        <f>IF(TblDetailBudget[[#This Row],[Level]]=LvlBottomHdr, IFERROR(INDEX(TblUnitCost[LCU], MATCH(TblDetailBudget[[#This Row],[Row Title]], TblUnitCost[Resource], 0)), "Invalid Resource"), "")</f>
        <v>Invalid Resource</v>
      </c>
      <c r="O289" s="128"/>
      <c r="P289" s="108"/>
      <c r="Q289" s="129"/>
      <c r="R289" s="108"/>
      <c r="S289" s="108"/>
      <c r="T289" s="108"/>
      <c r="U289" s="108"/>
      <c r="V289" s="108"/>
      <c r="W289" s="125" t="str">
        <f>IF(TblDetailBudget[[#This Row],[Level]]=LvlBottomHdr, IF(SUM(TblDetailBudget[[#This Row],[2021 Quant]:[2025 Quant]])&gt;0, SUM(TblDetailBudget[[#This Row],[2021 Quant]:[2025 Quant]]), ""), "")</f>
        <v/>
      </c>
      <c r="X28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8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8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8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8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89" s="140">
        <f>SUM(TblDetailBudget[[#This Row],[2021 Cost (LCU)]:[2025 Cost (LCU)]])</f>
        <v>0</v>
      </c>
      <c r="AD289" s="134">
        <f>IFERROR(SUM(TblDetailBudget[[#This Row],[2021 Cost (LCU)]])/FX_Rate, "")</f>
        <v>0</v>
      </c>
      <c r="AE289" s="63">
        <f>IFERROR(SUM(TblDetailBudget[[#This Row],[2022 Cost (LCU)]])/FX_Rate, "")</f>
        <v>0</v>
      </c>
      <c r="AF289" s="63">
        <f>IFERROR(SUM(TblDetailBudget[[#This Row],[2023 Cost (LCU)]])/FX_Rate, "")</f>
        <v>0</v>
      </c>
      <c r="AG289" s="63">
        <f>IFERROR(SUM(TblDetailBudget[[#This Row],[2024 Cost (LCU)]])/FX_Rate, "")</f>
        <v>0</v>
      </c>
      <c r="AH289" s="63">
        <f>IFERROR(SUM(TblDetailBudget[[#This Row],[2025 Cost (LCU)]])/FX_Rate, "")</f>
        <v>0</v>
      </c>
      <c r="AI289" s="125">
        <f>SUM(TblDetailBudget[[#This Row],[2021 Cost (USD)]:[2025 Cost (USD)]])</f>
        <v>0</v>
      </c>
      <c r="AJ289" s="180"/>
    </row>
    <row r="290" spans="2:36" ht="12.75" customHeight="1">
      <c r="B290" s="122" t="s">
        <v>71</v>
      </c>
      <c r="C2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5.1.1.2.2</v>
      </c>
      <c r="D290" s="62">
        <f>IF(TblDetailBudget[[#This Row],[Level]]="", "", COUNTIFS($B$8:TblDetailBudget[[#This Row],[Level]], Lvl1Hdr))</f>
        <v>5</v>
      </c>
      <c r="E290" s="62">
        <f>IF(TblDetailBudget[[#This Row],[Level]]="", "", COUNTIFS($B$8:TblDetailBudget[[#This Row],[Level]], Lvl2Hdr, $D$8:TblDetailBudget[[#This Row],[Lvl 1 Header]], TblDetailBudget[[#This Row],[Lvl 1 Header]]))</f>
        <v>1</v>
      </c>
      <c r="F290" s="62">
        <f>IF(TblDetailBudget[[#This Row],[Level]]="", "", COUNTIFS($B$8:TblDetailBudget[[#This Row],[Level]], Lvl3Hdr, $D$8:TblDetailBudget[[#This Row],[Lvl 1 Header]], TblDetailBudget[[#This Row],[Lvl 1 Header]], $E$8:TblDetailBudget[[#This Row],[Lvl 2 Header]], TblDetailBudget[[#This Row],[Lvl 2 Header]]))</f>
        <v>1</v>
      </c>
      <c r="G2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0" s="101"/>
      <c r="J290" s="101"/>
      <c r="K290" s="88"/>
      <c r="L290" s="88"/>
      <c r="M290" s="62" t="str">
        <f>IF(TblDetailBudget[[#This Row],[Level]]=LvlBottomHdr, IFERROR(INDEX(TblUnitCost[Unit], MATCH(TblDetailBudget[[#This Row],[Row Title]], TblUnitCost[Resource], 0)), "Invalid Resource"), "")</f>
        <v>Invalid Resource</v>
      </c>
      <c r="N290" s="125" t="str">
        <f>IF(TblDetailBudget[[#This Row],[Level]]=LvlBottomHdr, IFERROR(INDEX(TblUnitCost[LCU], MATCH(TblDetailBudget[[#This Row],[Row Title]], TblUnitCost[Resource], 0)), "Invalid Resource"), "")</f>
        <v>Invalid Resource</v>
      </c>
      <c r="O290" s="128"/>
      <c r="P290" s="108"/>
      <c r="Q290" s="129"/>
      <c r="R290" s="108"/>
      <c r="S290" s="108"/>
      <c r="T290" s="108"/>
      <c r="U290" s="108"/>
      <c r="V290" s="108"/>
      <c r="W290" s="125" t="str">
        <f>IF(TblDetailBudget[[#This Row],[Level]]=LvlBottomHdr, IF(SUM(TblDetailBudget[[#This Row],[2021 Quant]:[2025 Quant]])&gt;0, SUM(TblDetailBudget[[#This Row],[2021 Quant]:[2025 Quant]]), ""), "")</f>
        <v/>
      </c>
      <c r="X29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0" s="140">
        <f>SUM(TblDetailBudget[[#This Row],[2021 Cost (LCU)]:[2025 Cost (LCU)]])</f>
        <v>0</v>
      </c>
      <c r="AD290" s="134">
        <f>IFERROR(SUM(TblDetailBudget[[#This Row],[2021 Cost (LCU)]])/FX_Rate, "")</f>
        <v>0</v>
      </c>
      <c r="AE290" s="63">
        <f>IFERROR(SUM(TblDetailBudget[[#This Row],[2022 Cost (LCU)]])/FX_Rate, "")</f>
        <v>0</v>
      </c>
      <c r="AF290" s="63">
        <f>IFERROR(SUM(TblDetailBudget[[#This Row],[2023 Cost (LCU)]])/FX_Rate, "")</f>
        <v>0</v>
      </c>
      <c r="AG290" s="63">
        <f>IFERROR(SUM(TblDetailBudget[[#This Row],[2024 Cost (LCU)]])/FX_Rate, "")</f>
        <v>0</v>
      </c>
      <c r="AH290" s="63">
        <f>IFERROR(SUM(TblDetailBudget[[#This Row],[2025 Cost (LCU)]])/FX_Rate, "")</f>
        <v>0</v>
      </c>
      <c r="AI290" s="125">
        <f>SUM(TblDetailBudget[[#This Row],[2021 Cost (USD)]:[2025 Cost (USD)]])</f>
        <v>0</v>
      </c>
      <c r="AJ290" s="180"/>
    </row>
    <row r="291" spans="2:36" ht="12.75" customHeight="1">
      <c r="B291" s="122" t="s">
        <v>70</v>
      </c>
      <c r="C2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v>
      </c>
      <c r="D291" s="62">
        <f>IF(TblDetailBudget[[#This Row],[Level]]="", "", COUNTIFS($B$8:TblDetailBudget[[#This Row],[Level]], Lvl1Hdr))</f>
        <v>5</v>
      </c>
      <c r="E291" s="62">
        <f>IF(TblDetailBudget[[#This Row],[Level]]="", "", COUNTIFS($B$8:TblDetailBudget[[#This Row],[Level]], Lvl2Hdr, $D$8:TblDetailBudget[[#This Row],[Lvl 1 Header]], TblDetailBudget[[#This Row],[Lvl 1 Header]]))</f>
        <v>1</v>
      </c>
      <c r="F291" s="62">
        <f>IF(TblDetailBudget[[#This Row],[Level]]="", "", COUNTIFS($B$8:TblDetailBudget[[#This Row],[Level]], Lvl3Hdr, $D$8:TblDetailBudget[[#This Row],[Lvl 1 Header]], TblDetailBudget[[#This Row],[Lvl 1 Header]], $E$8:TblDetailBudget[[#This Row],[Lvl 2 Header]], TblDetailBudget[[#This Row],[Lvl 2 Header]]))</f>
        <v>1</v>
      </c>
      <c r="G2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1" s="101"/>
      <c r="J291" s="101"/>
      <c r="K291" s="88"/>
      <c r="L291" s="88"/>
      <c r="M291" s="62" t="str">
        <f>IF(TblDetailBudget[[#This Row],[Level]]=LvlBottomHdr, IFERROR(INDEX(TblUnitCost[Unit], MATCH(TblDetailBudget[[#This Row],[Row Title]], TblUnitCost[Resource], 0)), "Invalid Resource"), "")</f>
        <v/>
      </c>
      <c r="N291" s="125" t="str">
        <f>IF(TblDetailBudget[[#This Row],[Level]]=LvlBottomHdr, IFERROR(INDEX(TblUnitCost[LCU], MATCH(TblDetailBudget[[#This Row],[Row Title]], TblUnitCost[Resource], 0)), "Invalid Resource"), "")</f>
        <v/>
      </c>
      <c r="O291" s="128"/>
      <c r="P291" s="108"/>
      <c r="Q291" s="129"/>
      <c r="R291" s="108"/>
      <c r="S291" s="108"/>
      <c r="T291" s="108"/>
      <c r="U291" s="108"/>
      <c r="V291" s="108"/>
      <c r="W291" s="125" t="str">
        <f>IF(TblDetailBudget[[#This Row],[Level]]=LvlBottomHdr, IF(SUM(TblDetailBudget[[#This Row],[2021 Quant]:[2025 Quant]])&gt;0, SUM(TblDetailBudget[[#This Row],[2021 Quant]:[2025 Quant]]), ""), "")</f>
        <v/>
      </c>
      <c r="X2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91" s="140">
        <f>SUM(TblDetailBudget[[#This Row],[2021 Cost (LCU)]:[2025 Cost (LCU)]])</f>
        <v>0</v>
      </c>
      <c r="AD291" s="134">
        <f>IFERROR(SUM(TblDetailBudget[[#This Row],[2021 Cost (LCU)]])/FX_Rate, "")</f>
        <v>0</v>
      </c>
      <c r="AE291" s="63">
        <f>IFERROR(SUM(TblDetailBudget[[#This Row],[2022 Cost (LCU)]])/FX_Rate, "")</f>
        <v>0</v>
      </c>
      <c r="AF291" s="63">
        <f>IFERROR(SUM(TblDetailBudget[[#This Row],[2023 Cost (LCU)]])/FX_Rate, "")</f>
        <v>0</v>
      </c>
      <c r="AG291" s="63">
        <f>IFERROR(SUM(TblDetailBudget[[#This Row],[2024 Cost (LCU)]])/FX_Rate, "")</f>
        <v>0</v>
      </c>
      <c r="AH291" s="63">
        <f>IFERROR(SUM(TblDetailBudget[[#This Row],[2025 Cost (LCU)]])/FX_Rate, "")</f>
        <v>0</v>
      </c>
      <c r="AI291" s="125">
        <f>SUM(TblDetailBudget[[#This Row],[2021 Cost (USD)]:[2025 Cost (USD)]])</f>
        <v>0</v>
      </c>
      <c r="AJ291" s="180"/>
    </row>
    <row r="292" spans="2:36" ht="12.75" customHeight="1">
      <c r="B292" s="122" t="s">
        <v>71</v>
      </c>
      <c r="C2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5.1.1.3.1</v>
      </c>
      <c r="D292" s="62">
        <f>IF(TblDetailBudget[[#This Row],[Level]]="", "", COUNTIFS($B$8:TblDetailBudget[[#This Row],[Level]], Lvl1Hdr))</f>
        <v>5</v>
      </c>
      <c r="E292" s="62">
        <f>IF(TblDetailBudget[[#This Row],[Level]]="", "", COUNTIFS($B$8:TblDetailBudget[[#This Row],[Level]], Lvl2Hdr, $D$8:TblDetailBudget[[#This Row],[Lvl 1 Header]], TblDetailBudget[[#This Row],[Lvl 1 Header]]))</f>
        <v>1</v>
      </c>
      <c r="F292" s="62">
        <f>IF(TblDetailBudget[[#This Row],[Level]]="", "", COUNTIFS($B$8:TblDetailBudget[[#This Row],[Level]], Lvl3Hdr, $D$8:TblDetailBudget[[#This Row],[Lvl 1 Header]], TblDetailBudget[[#This Row],[Lvl 1 Header]], $E$8:TblDetailBudget[[#This Row],[Lvl 2 Header]], TblDetailBudget[[#This Row],[Lvl 2 Header]]))</f>
        <v>1</v>
      </c>
      <c r="G2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92" s="101"/>
      <c r="J292" s="101"/>
      <c r="K292" s="88"/>
      <c r="L292" s="88"/>
      <c r="M292" s="62" t="str">
        <f>IF(TblDetailBudget[[#This Row],[Level]]=LvlBottomHdr, IFERROR(INDEX(TblUnitCost[Unit], MATCH(TblDetailBudget[[#This Row],[Row Title]], TblUnitCost[Resource], 0)), "Invalid Resource"), "")</f>
        <v>Invalid Resource</v>
      </c>
      <c r="N292" s="125" t="str">
        <f>IF(TblDetailBudget[[#This Row],[Level]]=LvlBottomHdr, IFERROR(INDEX(TblUnitCost[LCU], MATCH(TblDetailBudget[[#This Row],[Row Title]], TblUnitCost[Resource], 0)), "Invalid Resource"), "")</f>
        <v>Invalid Resource</v>
      </c>
      <c r="O292" s="128"/>
      <c r="P292" s="108"/>
      <c r="Q292" s="129"/>
      <c r="R292" s="108"/>
      <c r="S292" s="108"/>
      <c r="T292" s="108"/>
      <c r="U292" s="108"/>
      <c r="V292" s="108"/>
      <c r="W292" s="125" t="str">
        <f>IF(TblDetailBudget[[#This Row],[Level]]=LvlBottomHdr, IF(SUM(TblDetailBudget[[#This Row],[2021 Quant]:[2025 Quant]])&gt;0, SUM(TblDetailBudget[[#This Row],[2021 Quant]:[2025 Quant]]), ""), "")</f>
        <v/>
      </c>
      <c r="X29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2" s="140">
        <f>SUM(TblDetailBudget[[#This Row],[2021 Cost (LCU)]:[2025 Cost (LCU)]])</f>
        <v>0</v>
      </c>
      <c r="AD292" s="134">
        <f>IFERROR(SUM(TblDetailBudget[[#This Row],[2021 Cost (LCU)]])/FX_Rate, "")</f>
        <v>0</v>
      </c>
      <c r="AE292" s="63">
        <f>IFERROR(SUM(TblDetailBudget[[#This Row],[2022 Cost (LCU)]])/FX_Rate, "")</f>
        <v>0</v>
      </c>
      <c r="AF292" s="63">
        <f>IFERROR(SUM(TblDetailBudget[[#This Row],[2023 Cost (LCU)]])/FX_Rate, "")</f>
        <v>0</v>
      </c>
      <c r="AG292" s="63">
        <f>IFERROR(SUM(TblDetailBudget[[#This Row],[2024 Cost (LCU)]])/FX_Rate, "")</f>
        <v>0</v>
      </c>
      <c r="AH292" s="63">
        <f>IFERROR(SUM(TblDetailBudget[[#This Row],[2025 Cost (LCU)]])/FX_Rate, "")</f>
        <v>0</v>
      </c>
      <c r="AI292" s="125">
        <f>SUM(TblDetailBudget[[#This Row],[2021 Cost (USD)]:[2025 Cost (USD)]])</f>
        <v>0</v>
      </c>
      <c r="AJ292" s="180"/>
    </row>
    <row r="293" spans="2:36" ht="12.75" customHeight="1">
      <c r="B293" s="122" t="s">
        <v>71</v>
      </c>
      <c r="C2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5.1.1.3.2</v>
      </c>
      <c r="D293" s="62">
        <f>IF(TblDetailBudget[[#This Row],[Level]]="", "", COUNTIFS($B$8:TblDetailBudget[[#This Row],[Level]], Lvl1Hdr))</f>
        <v>5</v>
      </c>
      <c r="E293" s="62">
        <f>IF(TblDetailBudget[[#This Row],[Level]]="", "", COUNTIFS($B$8:TblDetailBudget[[#This Row],[Level]], Lvl2Hdr, $D$8:TblDetailBudget[[#This Row],[Lvl 1 Header]], TblDetailBudget[[#This Row],[Lvl 1 Header]]))</f>
        <v>1</v>
      </c>
      <c r="F293" s="62">
        <f>IF(TblDetailBudget[[#This Row],[Level]]="", "", COUNTIFS($B$8:TblDetailBudget[[#This Row],[Level]], Lvl3Hdr, $D$8:TblDetailBudget[[#This Row],[Lvl 1 Header]], TblDetailBudget[[#This Row],[Lvl 1 Header]], $E$8:TblDetailBudget[[#This Row],[Lvl 2 Header]], TblDetailBudget[[#This Row],[Lvl 2 Header]]))</f>
        <v>1</v>
      </c>
      <c r="G2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3" s="101"/>
      <c r="J293" s="101"/>
      <c r="K293" s="88"/>
      <c r="L293" s="88"/>
      <c r="M293" s="62" t="str">
        <f>IF(TblDetailBudget[[#This Row],[Level]]=LvlBottomHdr, IFERROR(INDEX(TblUnitCost[Unit], MATCH(TblDetailBudget[[#This Row],[Row Title]], TblUnitCost[Resource], 0)), "Invalid Resource"), "")</f>
        <v>Invalid Resource</v>
      </c>
      <c r="N293" s="125" t="str">
        <f>IF(TblDetailBudget[[#This Row],[Level]]=LvlBottomHdr, IFERROR(INDEX(TblUnitCost[LCU], MATCH(TblDetailBudget[[#This Row],[Row Title]], TblUnitCost[Resource], 0)), "Invalid Resource"), "")</f>
        <v>Invalid Resource</v>
      </c>
      <c r="O293" s="128"/>
      <c r="P293" s="108"/>
      <c r="Q293" s="129"/>
      <c r="R293" s="108"/>
      <c r="S293" s="108"/>
      <c r="T293" s="108"/>
      <c r="U293" s="108"/>
      <c r="V293" s="108"/>
      <c r="W293" s="125" t="str">
        <f>IF(TblDetailBudget[[#This Row],[Level]]=LvlBottomHdr, IF(SUM(TblDetailBudget[[#This Row],[2021 Quant]:[2025 Quant]])&gt;0, SUM(TblDetailBudget[[#This Row],[2021 Quant]:[2025 Quant]]), ""), "")</f>
        <v/>
      </c>
      <c r="X29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3" s="140">
        <f>SUM(TblDetailBudget[[#This Row],[2021 Cost (LCU)]:[2025 Cost (LCU)]])</f>
        <v>0</v>
      </c>
      <c r="AD293" s="134">
        <f>IFERROR(SUM(TblDetailBudget[[#This Row],[2021 Cost (LCU)]])/FX_Rate, "")</f>
        <v>0</v>
      </c>
      <c r="AE293" s="63">
        <f>IFERROR(SUM(TblDetailBudget[[#This Row],[2022 Cost (LCU)]])/FX_Rate, "")</f>
        <v>0</v>
      </c>
      <c r="AF293" s="63">
        <f>IFERROR(SUM(TblDetailBudget[[#This Row],[2023 Cost (LCU)]])/FX_Rate, "")</f>
        <v>0</v>
      </c>
      <c r="AG293" s="63">
        <f>IFERROR(SUM(TblDetailBudget[[#This Row],[2024 Cost (LCU)]])/FX_Rate, "")</f>
        <v>0</v>
      </c>
      <c r="AH293" s="63">
        <f>IFERROR(SUM(TblDetailBudget[[#This Row],[2025 Cost (LCU)]])/FX_Rate, "")</f>
        <v>0</v>
      </c>
      <c r="AI293" s="125">
        <f>SUM(TblDetailBudget[[#This Row],[2021 Cost (USD)]:[2025 Cost (USD)]])</f>
        <v>0</v>
      </c>
      <c r="AJ293" s="180"/>
    </row>
    <row r="294" spans="2:36" ht="12.75" customHeight="1">
      <c r="B294" s="122" t="s">
        <v>71</v>
      </c>
      <c r="C2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5.1.1.3.3</v>
      </c>
      <c r="D294" s="62">
        <f>IF(TblDetailBudget[[#This Row],[Level]]="", "", COUNTIFS($B$8:TblDetailBudget[[#This Row],[Level]], Lvl1Hdr))</f>
        <v>5</v>
      </c>
      <c r="E294" s="62">
        <f>IF(TblDetailBudget[[#This Row],[Level]]="", "", COUNTIFS($B$8:TblDetailBudget[[#This Row],[Level]], Lvl2Hdr, $D$8:TblDetailBudget[[#This Row],[Lvl 1 Header]], TblDetailBudget[[#This Row],[Lvl 1 Header]]))</f>
        <v>1</v>
      </c>
      <c r="F294" s="62">
        <f>IF(TblDetailBudget[[#This Row],[Level]]="", "", COUNTIFS($B$8:TblDetailBudget[[#This Row],[Level]], Lvl3Hdr, $D$8:TblDetailBudget[[#This Row],[Lvl 1 Header]], TblDetailBudget[[#This Row],[Lvl 1 Header]], $E$8:TblDetailBudget[[#This Row],[Lvl 2 Header]], TblDetailBudget[[#This Row],[Lvl 2 Header]]))</f>
        <v>1</v>
      </c>
      <c r="G2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94" s="101"/>
      <c r="J294" s="101"/>
      <c r="K294" s="88"/>
      <c r="L294" s="88"/>
      <c r="M294" s="62" t="str">
        <f>IF(TblDetailBudget[[#This Row],[Level]]=LvlBottomHdr, IFERROR(INDEX(TblUnitCost[Unit], MATCH(TblDetailBudget[[#This Row],[Row Title]], TblUnitCost[Resource], 0)), "Invalid Resource"), "")</f>
        <v>Invalid Resource</v>
      </c>
      <c r="N294" s="125" t="str">
        <f>IF(TblDetailBudget[[#This Row],[Level]]=LvlBottomHdr, IFERROR(INDEX(TblUnitCost[LCU], MATCH(TblDetailBudget[[#This Row],[Row Title]], TblUnitCost[Resource], 0)), "Invalid Resource"), "")</f>
        <v>Invalid Resource</v>
      </c>
      <c r="O294" s="128"/>
      <c r="P294" s="108"/>
      <c r="Q294" s="129"/>
      <c r="R294" s="108"/>
      <c r="S294" s="108"/>
      <c r="T294" s="108"/>
      <c r="U294" s="108"/>
      <c r="V294" s="108"/>
      <c r="W294" s="125" t="str">
        <f>IF(TblDetailBudget[[#This Row],[Level]]=LvlBottomHdr, IF(SUM(TblDetailBudget[[#This Row],[2021 Quant]:[2025 Quant]])&gt;0, SUM(TblDetailBudget[[#This Row],[2021 Quant]:[2025 Quant]]), ""), "")</f>
        <v/>
      </c>
      <c r="X29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4" s="140">
        <f>SUM(TblDetailBudget[[#This Row],[2021 Cost (LCU)]:[2025 Cost (LCU)]])</f>
        <v>0</v>
      </c>
      <c r="AD294" s="134">
        <f>IFERROR(SUM(TblDetailBudget[[#This Row],[2021 Cost (LCU)]])/FX_Rate, "")</f>
        <v>0</v>
      </c>
      <c r="AE294" s="63">
        <f>IFERROR(SUM(TblDetailBudget[[#This Row],[2022 Cost (LCU)]])/FX_Rate, "")</f>
        <v>0</v>
      </c>
      <c r="AF294" s="63">
        <f>IFERROR(SUM(TblDetailBudget[[#This Row],[2023 Cost (LCU)]])/FX_Rate, "")</f>
        <v>0</v>
      </c>
      <c r="AG294" s="63">
        <f>IFERROR(SUM(TblDetailBudget[[#This Row],[2024 Cost (LCU)]])/FX_Rate, "")</f>
        <v>0</v>
      </c>
      <c r="AH294" s="63">
        <f>IFERROR(SUM(TblDetailBudget[[#This Row],[2025 Cost (LCU)]])/FX_Rate, "")</f>
        <v>0</v>
      </c>
      <c r="AI294" s="125">
        <f>SUM(TblDetailBudget[[#This Row],[2021 Cost (USD)]:[2025 Cost (USD)]])</f>
        <v>0</v>
      </c>
      <c r="AJ294" s="180"/>
    </row>
    <row r="295" spans="2:36" ht="12.75" customHeight="1">
      <c r="B295" s="122" t="s">
        <v>70</v>
      </c>
      <c r="C2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5.1.1.4</v>
      </c>
      <c r="D295" s="62">
        <f>IF(TblDetailBudget[[#This Row],[Level]]="", "", COUNTIFS($B$8:TblDetailBudget[[#This Row],[Level]], Lvl1Hdr))</f>
        <v>5</v>
      </c>
      <c r="E295" s="62">
        <f>IF(TblDetailBudget[[#This Row],[Level]]="", "", COUNTIFS($B$8:TblDetailBudget[[#This Row],[Level]], Lvl2Hdr, $D$8:TblDetailBudget[[#This Row],[Lvl 1 Header]], TblDetailBudget[[#This Row],[Lvl 1 Header]]))</f>
        <v>1</v>
      </c>
      <c r="F295" s="62">
        <f>IF(TblDetailBudget[[#This Row],[Level]]="", "", COUNTIFS($B$8:TblDetailBudget[[#This Row],[Level]], Lvl3Hdr, $D$8:TblDetailBudget[[#This Row],[Lvl 1 Header]], TblDetailBudget[[#This Row],[Lvl 1 Header]], $E$8:TblDetailBudget[[#This Row],[Lvl 2 Header]], TblDetailBudget[[#This Row],[Lvl 2 Header]]))</f>
        <v>1</v>
      </c>
      <c r="G2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5" s="101"/>
      <c r="J295" s="101"/>
      <c r="K295" s="88"/>
      <c r="L295" s="88"/>
      <c r="M295" s="62" t="str">
        <f>IF(TblDetailBudget[[#This Row],[Level]]=LvlBottomHdr, IFERROR(INDEX(TblUnitCost[Unit], MATCH(TblDetailBudget[[#This Row],[Row Title]], TblUnitCost[Resource], 0)), "Invalid Resource"), "")</f>
        <v/>
      </c>
      <c r="N295" s="125" t="str">
        <f>IF(TblDetailBudget[[#This Row],[Level]]=LvlBottomHdr, IFERROR(INDEX(TblUnitCost[LCU], MATCH(TblDetailBudget[[#This Row],[Row Title]], TblUnitCost[Resource], 0)), "Invalid Resource"), "")</f>
        <v/>
      </c>
      <c r="O295" s="128"/>
      <c r="P295" s="108"/>
      <c r="Q295" s="129"/>
      <c r="R295" s="108"/>
      <c r="S295" s="108"/>
      <c r="T295" s="108"/>
      <c r="U295" s="108"/>
      <c r="V295" s="108"/>
      <c r="W295" s="125" t="str">
        <f>IF(TblDetailBudget[[#This Row],[Level]]=LvlBottomHdr, IF(SUM(TblDetailBudget[[#This Row],[2021 Quant]:[2025 Quant]])&gt;0, SUM(TblDetailBudget[[#This Row],[2021 Quant]:[2025 Quant]]), ""), "")</f>
        <v/>
      </c>
      <c r="X29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95" s="140">
        <f>SUM(TblDetailBudget[[#This Row],[2021 Cost (LCU)]:[2025 Cost (LCU)]])</f>
        <v>0</v>
      </c>
      <c r="AD295" s="134">
        <f>IFERROR(SUM(TblDetailBudget[[#This Row],[2021 Cost (LCU)]])/FX_Rate, "")</f>
        <v>0</v>
      </c>
      <c r="AE295" s="63">
        <f>IFERROR(SUM(TblDetailBudget[[#This Row],[2022 Cost (LCU)]])/FX_Rate, "")</f>
        <v>0</v>
      </c>
      <c r="AF295" s="63">
        <f>IFERROR(SUM(TblDetailBudget[[#This Row],[2023 Cost (LCU)]])/FX_Rate, "")</f>
        <v>0</v>
      </c>
      <c r="AG295" s="63">
        <f>IFERROR(SUM(TblDetailBudget[[#This Row],[2024 Cost (LCU)]])/FX_Rate, "")</f>
        <v>0</v>
      </c>
      <c r="AH295" s="63">
        <f>IFERROR(SUM(TblDetailBudget[[#This Row],[2025 Cost (LCU)]])/FX_Rate, "")</f>
        <v>0</v>
      </c>
      <c r="AI295" s="125">
        <f>SUM(TblDetailBudget[[#This Row],[2021 Cost (USD)]:[2025 Cost (USD)]])</f>
        <v>0</v>
      </c>
      <c r="AJ295" s="180"/>
    </row>
    <row r="296" spans="2:36" ht="12.75" customHeight="1">
      <c r="B296" s="122" t="s">
        <v>70</v>
      </c>
      <c r="C2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5.1.1.5</v>
      </c>
      <c r="D296" s="62">
        <f>IF(TblDetailBudget[[#This Row],[Level]]="", "", COUNTIFS($B$8:TblDetailBudget[[#This Row],[Level]], Lvl1Hdr))</f>
        <v>5</v>
      </c>
      <c r="E296" s="62">
        <f>IF(TblDetailBudget[[#This Row],[Level]]="", "", COUNTIFS($B$8:TblDetailBudget[[#This Row],[Level]], Lvl2Hdr, $D$8:TblDetailBudget[[#This Row],[Lvl 1 Header]], TblDetailBudget[[#This Row],[Lvl 1 Header]]))</f>
        <v>1</v>
      </c>
      <c r="F296" s="62">
        <f>IF(TblDetailBudget[[#This Row],[Level]]="", "", COUNTIFS($B$8:TblDetailBudget[[#This Row],[Level]], Lvl3Hdr, $D$8:TblDetailBudget[[#This Row],[Lvl 1 Header]], TblDetailBudget[[#This Row],[Lvl 1 Header]], $E$8:TblDetailBudget[[#This Row],[Lvl 2 Header]], TblDetailBudget[[#This Row],[Lvl 2 Header]]))</f>
        <v>1</v>
      </c>
      <c r="G2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6" s="101"/>
      <c r="J296" s="101"/>
      <c r="K296" s="88"/>
      <c r="L296" s="88"/>
      <c r="M296" s="62" t="str">
        <f>IF(TblDetailBudget[[#This Row],[Level]]=LvlBottomHdr, IFERROR(INDEX(TblUnitCost[Unit], MATCH(TblDetailBudget[[#This Row],[Row Title]], TblUnitCost[Resource], 0)), "Invalid Resource"), "")</f>
        <v/>
      </c>
      <c r="N296" s="125" t="str">
        <f>IF(TblDetailBudget[[#This Row],[Level]]=LvlBottomHdr, IFERROR(INDEX(TblUnitCost[LCU], MATCH(TblDetailBudget[[#This Row],[Row Title]], TblUnitCost[Resource], 0)), "Invalid Resource"), "")</f>
        <v/>
      </c>
      <c r="O296" s="128"/>
      <c r="P296" s="108"/>
      <c r="Q296" s="129"/>
      <c r="R296" s="108"/>
      <c r="S296" s="108"/>
      <c r="T296" s="108"/>
      <c r="U296" s="108"/>
      <c r="V296" s="108"/>
      <c r="W296" s="125" t="str">
        <f>IF(TblDetailBudget[[#This Row],[Level]]=LvlBottomHdr, IF(SUM(TblDetailBudget[[#This Row],[2021 Quant]:[2025 Quant]])&gt;0, SUM(TblDetailBudget[[#This Row],[2021 Quant]:[2025 Quant]]), ""), "")</f>
        <v/>
      </c>
      <c r="X2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96" s="140">
        <f>SUM(TblDetailBudget[[#This Row],[2021 Cost (LCU)]:[2025 Cost (LCU)]])</f>
        <v>0</v>
      </c>
      <c r="AD296" s="134">
        <f>IFERROR(SUM(TblDetailBudget[[#This Row],[2021 Cost (LCU)]])/FX_Rate, "")</f>
        <v>0</v>
      </c>
      <c r="AE296" s="63">
        <f>IFERROR(SUM(TblDetailBudget[[#This Row],[2022 Cost (LCU)]])/FX_Rate, "")</f>
        <v>0</v>
      </c>
      <c r="AF296" s="63">
        <f>IFERROR(SUM(TblDetailBudget[[#This Row],[2023 Cost (LCU)]])/FX_Rate, "")</f>
        <v>0</v>
      </c>
      <c r="AG296" s="63">
        <f>IFERROR(SUM(TblDetailBudget[[#This Row],[2024 Cost (LCU)]])/FX_Rate, "")</f>
        <v>0</v>
      </c>
      <c r="AH296" s="63">
        <f>IFERROR(SUM(TblDetailBudget[[#This Row],[2025 Cost (LCU)]])/FX_Rate, "")</f>
        <v>0</v>
      </c>
      <c r="AI296" s="125">
        <f>SUM(TblDetailBudget[[#This Row],[2021 Cost (USD)]:[2025 Cost (USD)]])</f>
        <v>0</v>
      </c>
      <c r="AJ296" s="180"/>
    </row>
    <row r="297" spans="2:36" ht="12.75" customHeight="1">
      <c r="B297" s="122" t="s">
        <v>71</v>
      </c>
      <c r="C2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5.1.1.5.1</v>
      </c>
      <c r="D297" s="62">
        <f>IF(TblDetailBudget[[#This Row],[Level]]="", "", COUNTIFS($B$8:TblDetailBudget[[#This Row],[Level]], Lvl1Hdr))</f>
        <v>5</v>
      </c>
      <c r="E297" s="62">
        <f>IF(TblDetailBudget[[#This Row],[Level]]="", "", COUNTIFS($B$8:TblDetailBudget[[#This Row],[Level]], Lvl2Hdr, $D$8:TblDetailBudget[[#This Row],[Lvl 1 Header]], TblDetailBudget[[#This Row],[Lvl 1 Header]]))</f>
        <v>1</v>
      </c>
      <c r="F297" s="62">
        <f>IF(TblDetailBudget[[#This Row],[Level]]="", "", COUNTIFS($B$8:TblDetailBudget[[#This Row],[Level]], Lvl3Hdr, $D$8:TblDetailBudget[[#This Row],[Lvl 1 Header]], TblDetailBudget[[#This Row],[Lvl 1 Header]], $E$8:TblDetailBudget[[#This Row],[Lvl 2 Header]], TblDetailBudget[[#This Row],[Lvl 2 Header]]))</f>
        <v>1</v>
      </c>
      <c r="G2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97" s="101"/>
      <c r="J297" s="101"/>
      <c r="K297" s="88"/>
      <c r="L297" s="88"/>
      <c r="M297" s="62" t="str">
        <f>IF(TblDetailBudget[[#This Row],[Level]]=LvlBottomHdr, IFERROR(INDEX(TblUnitCost[Unit], MATCH(TblDetailBudget[[#This Row],[Row Title]], TblUnitCost[Resource], 0)), "Invalid Resource"), "")</f>
        <v>Invalid Resource</v>
      </c>
      <c r="N297" s="125" t="str">
        <f>IF(TblDetailBudget[[#This Row],[Level]]=LvlBottomHdr, IFERROR(INDEX(TblUnitCost[LCU], MATCH(TblDetailBudget[[#This Row],[Row Title]], TblUnitCost[Resource], 0)), "Invalid Resource"), "")</f>
        <v>Invalid Resource</v>
      </c>
      <c r="O297" s="128"/>
      <c r="P297" s="108"/>
      <c r="Q297" s="129"/>
      <c r="R297" s="108"/>
      <c r="S297" s="108"/>
      <c r="T297" s="108"/>
      <c r="U297" s="108"/>
      <c r="V297" s="108"/>
      <c r="W297" s="125" t="str">
        <f>IF(TblDetailBudget[[#This Row],[Level]]=LvlBottomHdr, IF(SUM(TblDetailBudget[[#This Row],[2021 Quant]:[2025 Quant]])&gt;0, SUM(TblDetailBudget[[#This Row],[2021 Quant]:[2025 Quant]]), ""), "")</f>
        <v/>
      </c>
      <c r="X29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7" s="140">
        <f>SUM(TblDetailBudget[[#This Row],[2021 Cost (LCU)]:[2025 Cost (LCU)]])</f>
        <v>0</v>
      </c>
      <c r="AD297" s="134">
        <f>IFERROR(SUM(TblDetailBudget[[#This Row],[2021 Cost (LCU)]])/FX_Rate, "")</f>
        <v>0</v>
      </c>
      <c r="AE297" s="63">
        <f>IFERROR(SUM(TblDetailBudget[[#This Row],[2022 Cost (LCU)]])/FX_Rate, "")</f>
        <v>0</v>
      </c>
      <c r="AF297" s="63">
        <f>IFERROR(SUM(TblDetailBudget[[#This Row],[2023 Cost (LCU)]])/FX_Rate, "")</f>
        <v>0</v>
      </c>
      <c r="AG297" s="63">
        <f>IFERROR(SUM(TblDetailBudget[[#This Row],[2024 Cost (LCU)]])/FX_Rate, "")</f>
        <v>0</v>
      </c>
      <c r="AH297" s="63">
        <f>IFERROR(SUM(TblDetailBudget[[#This Row],[2025 Cost (LCU)]])/FX_Rate, "")</f>
        <v>0</v>
      </c>
      <c r="AI297" s="125">
        <f>SUM(TblDetailBudget[[#This Row],[2021 Cost (USD)]:[2025 Cost (USD)]])</f>
        <v>0</v>
      </c>
      <c r="AJ297" s="180"/>
    </row>
    <row r="298" spans="2:36" ht="12.75" customHeight="1">
      <c r="B298" s="122"/>
      <c r="C2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298" s="62" t="str">
        <f>IF(TblDetailBudget[[#This Row],[Level]]="", "", COUNTIFS($B$8:TblDetailBudget[[#This Row],[Level]], Lvl1Hdr))</f>
        <v/>
      </c>
      <c r="E298" s="62" t="str">
        <f>IF(TblDetailBudget[[#This Row],[Level]]="", "", COUNTIFS($B$8:TblDetailBudget[[#This Row],[Level]], Lvl2Hdr, $D$8:TblDetailBudget[[#This Row],[Lvl 1 Header]], TblDetailBudget[[#This Row],[Lvl 1 Header]]))</f>
        <v/>
      </c>
      <c r="F298" s="62" t="str">
        <f>IF(TblDetailBudget[[#This Row],[Level]]="", "", COUNTIFS($B$8:TblDetailBudget[[#This Row],[Level]], Lvl3Hdr, $D$8:TblDetailBudget[[#This Row],[Lvl 1 Header]], TblDetailBudget[[#This Row],[Lvl 1 Header]], $E$8:TblDetailBudget[[#This Row],[Lvl 2 Header]], TblDetailBudget[[#This Row],[Lvl 2 Header]]))</f>
        <v/>
      </c>
      <c r="G29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29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298" s="101"/>
      <c r="J298" s="101"/>
      <c r="K298" s="88"/>
      <c r="L298" s="88"/>
      <c r="M298" s="62" t="str">
        <f>IF(TblDetailBudget[[#This Row],[Level]]=LvlBottomHdr, IFERROR(INDEX(TblUnitCost[Unit], MATCH(TblDetailBudget[[#This Row],[Row Title]], TblUnitCost[Resource], 0)), "Invalid Resource"), "")</f>
        <v/>
      </c>
      <c r="N298" s="125" t="str">
        <f>IF(TblDetailBudget[[#This Row],[Level]]=LvlBottomHdr, IFERROR(INDEX(TblUnitCost[LCU], MATCH(TblDetailBudget[[#This Row],[Row Title]], TblUnitCost[Resource], 0)), "Invalid Resource"), "")</f>
        <v/>
      </c>
      <c r="O298" s="128"/>
      <c r="P298" s="108"/>
      <c r="Q298" s="129"/>
      <c r="R298" s="108" t="s">
        <v>66</v>
      </c>
      <c r="S298" s="108" t="s">
        <v>66</v>
      </c>
      <c r="T298" s="108" t="s">
        <v>66</v>
      </c>
      <c r="U298" s="108" t="s">
        <v>66</v>
      </c>
      <c r="V298" s="108" t="s">
        <v>66</v>
      </c>
      <c r="W298" s="125" t="str">
        <f>IF(TblDetailBudget[[#This Row],[Level]]=LvlBottomHdr, IF(SUM(TblDetailBudget[[#This Row],[2021 Quant]:[2025 Quant]])&gt;0, SUM(TblDetailBudget[[#This Row],[2021 Quant]:[2025 Quant]]), ""), "")</f>
        <v/>
      </c>
      <c r="X29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8" s="140">
        <f>SUM(TblDetailBudget[[#This Row],[2021 Cost (LCU)]:[2025 Cost (LCU)]])</f>
        <v>0</v>
      </c>
      <c r="AD298" s="134">
        <f>IFERROR(SUM(TblDetailBudget[[#This Row],[2021 Cost (LCU)]])/FX_Rate, "")</f>
        <v>0</v>
      </c>
      <c r="AE298" s="63">
        <f>IFERROR(SUM(TblDetailBudget[[#This Row],[2022 Cost (LCU)]])/FX_Rate, "")</f>
        <v>0</v>
      </c>
      <c r="AF298" s="63">
        <f>IFERROR(SUM(TblDetailBudget[[#This Row],[2023 Cost (LCU)]])/FX_Rate, "")</f>
        <v>0</v>
      </c>
      <c r="AG298" s="63">
        <f>IFERROR(SUM(TblDetailBudget[[#This Row],[2024 Cost (LCU)]])/FX_Rate, "")</f>
        <v>0</v>
      </c>
      <c r="AH298" s="63">
        <f>IFERROR(SUM(TblDetailBudget[[#This Row],[2025 Cost (LCU)]])/FX_Rate, "")</f>
        <v>0</v>
      </c>
      <c r="AI298" s="125">
        <f>SUM(TblDetailBudget[[#This Row],[2021 Cost (USD)]:[2025 Cost (USD)]])</f>
        <v>0</v>
      </c>
      <c r="AJ298" s="180"/>
    </row>
    <row r="299" spans="2:36" ht="12.75" customHeight="1">
      <c r="B299" s="122"/>
      <c r="C2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299" s="62" t="str">
        <f>IF(TblDetailBudget[[#This Row],[Level]]="", "", COUNTIFS($B$8:TblDetailBudget[[#This Row],[Level]], Lvl1Hdr))</f>
        <v/>
      </c>
      <c r="E299" s="62" t="str">
        <f>IF(TblDetailBudget[[#This Row],[Level]]="", "", COUNTIFS($B$8:TblDetailBudget[[#This Row],[Level]], Lvl2Hdr, $D$8:TblDetailBudget[[#This Row],[Lvl 1 Header]], TblDetailBudget[[#This Row],[Lvl 1 Header]]))</f>
        <v/>
      </c>
      <c r="F299" s="62" t="str">
        <f>IF(TblDetailBudget[[#This Row],[Level]]="", "", COUNTIFS($B$8:TblDetailBudget[[#This Row],[Level]], Lvl3Hdr, $D$8:TblDetailBudget[[#This Row],[Lvl 1 Header]], TblDetailBudget[[#This Row],[Lvl 1 Header]], $E$8:TblDetailBudget[[#This Row],[Lvl 2 Header]], TblDetailBudget[[#This Row],[Lvl 2 Header]]))</f>
        <v/>
      </c>
      <c r="G29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29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299" s="101"/>
      <c r="J299" s="101"/>
      <c r="K299" s="88"/>
      <c r="L299" s="88"/>
      <c r="M299" s="62" t="str">
        <f>IF(TblDetailBudget[[#This Row],[Level]]=LvlBottomHdr, IFERROR(INDEX(TblUnitCost[Unit], MATCH(TblDetailBudget[[#This Row],[Row Title]], TblUnitCost[Resource], 0)), "Invalid Resource"), "")</f>
        <v/>
      </c>
      <c r="N299" s="125" t="str">
        <f>IF(TblDetailBudget[[#This Row],[Level]]=LvlBottomHdr, IFERROR(INDEX(TblUnitCost[LCU], MATCH(TblDetailBudget[[#This Row],[Row Title]], TblUnitCost[Resource], 0)), "Invalid Resource"), "")</f>
        <v/>
      </c>
      <c r="O299" s="128"/>
      <c r="P299" s="108"/>
      <c r="Q299" s="129"/>
      <c r="R299" s="108" t="s">
        <v>66</v>
      </c>
      <c r="S299" s="108" t="s">
        <v>66</v>
      </c>
      <c r="T299" s="108" t="s">
        <v>66</v>
      </c>
      <c r="U299" s="108" t="s">
        <v>66</v>
      </c>
      <c r="V299" s="108" t="s">
        <v>66</v>
      </c>
      <c r="W299" s="125" t="str">
        <f>IF(TblDetailBudget[[#This Row],[Level]]=LvlBottomHdr, IF(SUM(TblDetailBudget[[#This Row],[2021 Quant]:[2025 Quant]])&gt;0, SUM(TblDetailBudget[[#This Row],[2021 Quant]:[2025 Quant]]), ""), "")</f>
        <v/>
      </c>
      <c r="X29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9" s="140">
        <f>SUM(TblDetailBudget[[#This Row],[2021 Cost (LCU)]:[2025 Cost (LCU)]])</f>
        <v>0</v>
      </c>
      <c r="AD299" s="134">
        <f>IFERROR(SUM(TblDetailBudget[[#This Row],[2021 Cost (LCU)]])/FX_Rate, "")</f>
        <v>0</v>
      </c>
      <c r="AE299" s="63">
        <f>IFERROR(SUM(TblDetailBudget[[#This Row],[2022 Cost (LCU)]])/FX_Rate, "")</f>
        <v>0</v>
      </c>
      <c r="AF299" s="63">
        <f>IFERROR(SUM(TblDetailBudget[[#This Row],[2023 Cost (LCU)]])/FX_Rate, "")</f>
        <v>0</v>
      </c>
      <c r="AG299" s="63">
        <f>IFERROR(SUM(TblDetailBudget[[#This Row],[2024 Cost (LCU)]])/FX_Rate, "")</f>
        <v>0</v>
      </c>
      <c r="AH299" s="63">
        <f>IFERROR(SUM(TblDetailBudget[[#This Row],[2025 Cost (LCU)]])/FX_Rate, "")</f>
        <v>0</v>
      </c>
      <c r="AI299" s="125">
        <f>SUM(TblDetailBudget[[#This Row],[2021 Cost (USD)]:[2025 Cost (USD)]])</f>
        <v>0</v>
      </c>
      <c r="AJ299" s="180"/>
    </row>
    <row r="300" spans="2:36" ht="12.75" customHeight="1">
      <c r="B300" s="122"/>
      <c r="C3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0" s="62" t="str">
        <f>IF(TblDetailBudget[[#This Row],[Level]]="", "", COUNTIFS($B$8:TblDetailBudget[[#This Row],[Level]], Lvl1Hdr))</f>
        <v/>
      </c>
      <c r="E300" s="62" t="str">
        <f>IF(TblDetailBudget[[#This Row],[Level]]="", "", COUNTIFS($B$8:TblDetailBudget[[#This Row],[Level]], Lvl2Hdr, $D$8:TblDetailBudget[[#This Row],[Lvl 1 Header]], TblDetailBudget[[#This Row],[Lvl 1 Header]]))</f>
        <v/>
      </c>
      <c r="F300" s="62" t="str">
        <f>IF(TblDetailBudget[[#This Row],[Level]]="", "", COUNTIFS($B$8:TblDetailBudget[[#This Row],[Level]], Lvl3Hdr, $D$8:TblDetailBudget[[#This Row],[Lvl 1 Header]], TblDetailBudget[[#This Row],[Lvl 1 Header]], $E$8:TblDetailBudget[[#This Row],[Lvl 2 Header]], TblDetailBudget[[#This Row],[Lvl 2 Header]]))</f>
        <v/>
      </c>
      <c r="G30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0" s="101"/>
      <c r="J300" s="101"/>
      <c r="K300" s="88"/>
      <c r="L300" s="88"/>
      <c r="M300" s="62" t="str">
        <f>IF(TblDetailBudget[[#This Row],[Level]]=LvlBottomHdr, IFERROR(INDEX(TblUnitCost[Unit], MATCH(TblDetailBudget[[#This Row],[Row Title]], TblUnitCost[Resource], 0)), "Invalid Resource"), "")</f>
        <v/>
      </c>
      <c r="N300" s="125" t="str">
        <f>IF(TblDetailBudget[[#This Row],[Level]]=LvlBottomHdr, IFERROR(INDEX(TblUnitCost[LCU], MATCH(TblDetailBudget[[#This Row],[Row Title]], TblUnitCost[Resource], 0)), "Invalid Resource"), "")</f>
        <v/>
      </c>
      <c r="O300" s="128"/>
      <c r="P300" s="108"/>
      <c r="Q300" s="129"/>
      <c r="R300" s="108" t="s">
        <v>66</v>
      </c>
      <c r="S300" s="108" t="s">
        <v>66</v>
      </c>
      <c r="T300" s="108" t="s">
        <v>66</v>
      </c>
      <c r="U300" s="108" t="s">
        <v>66</v>
      </c>
      <c r="V300" s="108" t="s">
        <v>66</v>
      </c>
      <c r="W300" s="125" t="str">
        <f>IF(TblDetailBudget[[#This Row],[Level]]=LvlBottomHdr, IF(SUM(TblDetailBudget[[#This Row],[2021 Quant]:[2025 Quant]])&gt;0, SUM(TblDetailBudget[[#This Row],[2021 Quant]:[2025 Quant]]), ""), "")</f>
        <v/>
      </c>
      <c r="X30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0" s="140">
        <f>SUM(TblDetailBudget[[#This Row],[2021 Cost (LCU)]:[2025 Cost (LCU)]])</f>
        <v>0</v>
      </c>
      <c r="AD300" s="134">
        <f>IFERROR(SUM(TblDetailBudget[[#This Row],[2021 Cost (LCU)]])/FX_Rate, "")</f>
        <v>0</v>
      </c>
      <c r="AE300" s="63">
        <f>IFERROR(SUM(TblDetailBudget[[#This Row],[2022 Cost (LCU)]])/FX_Rate, "")</f>
        <v>0</v>
      </c>
      <c r="AF300" s="63">
        <f>IFERROR(SUM(TblDetailBudget[[#This Row],[2023 Cost (LCU)]])/FX_Rate, "")</f>
        <v>0</v>
      </c>
      <c r="AG300" s="63">
        <f>IFERROR(SUM(TblDetailBudget[[#This Row],[2024 Cost (LCU)]])/FX_Rate, "")</f>
        <v>0</v>
      </c>
      <c r="AH300" s="63">
        <f>IFERROR(SUM(TblDetailBudget[[#This Row],[2025 Cost (LCU)]])/FX_Rate, "")</f>
        <v>0</v>
      </c>
      <c r="AI300" s="125">
        <f>SUM(TblDetailBudget[[#This Row],[2021 Cost (USD)]:[2025 Cost (USD)]])</f>
        <v>0</v>
      </c>
      <c r="AJ300" s="180"/>
    </row>
    <row r="301" spans="2:36" ht="12.75" customHeight="1">
      <c r="B301" s="122"/>
      <c r="C3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1" s="62" t="str">
        <f>IF(TblDetailBudget[[#This Row],[Level]]="", "", COUNTIFS($B$8:TblDetailBudget[[#This Row],[Level]], Lvl1Hdr))</f>
        <v/>
      </c>
      <c r="E301" s="62" t="str">
        <f>IF(TblDetailBudget[[#This Row],[Level]]="", "", COUNTIFS($B$8:TblDetailBudget[[#This Row],[Level]], Lvl2Hdr, $D$8:TblDetailBudget[[#This Row],[Lvl 1 Header]], TblDetailBudget[[#This Row],[Lvl 1 Header]]))</f>
        <v/>
      </c>
      <c r="F301" s="62" t="str">
        <f>IF(TblDetailBudget[[#This Row],[Level]]="", "", COUNTIFS($B$8:TblDetailBudget[[#This Row],[Level]], Lvl3Hdr, $D$8:TblDetailBudget[[#This Row],[Lvl 1 Header]], TblDetailBudget[[#This Row],[Lvl 1 Header]], $E$8:TblDetailBudget[[#This Row],[Lvl 2 Header]], TblDetailBudget[[#This Row],[Lvl 2 Header]]))</f>
        <v/>
      </c>
      <c r="G30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1" s="101"/>
      <c r="J301" s="101"/>
      <c r="K301" s="88"/>
      <c r="L301" s="88"/>
      <c r="M301" s="62" t="str">
        <f>IF(TblDetailBudget[[#This Row],[Level]]=LvlBottomHdr, IFERROR(INDEX(TblUnitCost[Unit], MATCH(TblDetailBudget[[#This Row],[Row Title]], TblUnitCost[Resource], 0)), "Invalid Resource"), "")</f>
        <v/>
      </c>
      <c r="N301" s="125" t="str">
        <f>IF(TblDetailBudget[[#This Row],[Level]]=LvlBottomHdr, IFERROR(INDEX(TblUnitCost[LCU], MATCH(TblDetailBudget[[#This Row],[Row Title]], TblUnitCost[Resource], 0)), "Invalid Resource"), "")</f>
        <v/>
      </c>
      <c r="O301" s="128"/>
      <c r="P301" s="108"/>
      <c r="Q301" s="129"/>
      <c r="R301" s="108" t="s">
        <v>66</v>
      </c>
      <c r="S301" s="108" t="s">
        <v>66</v>
      </c>
      <c r="T301" s="108" t="s">
        <v>66</v>
      </c>
      <c r="U301" s="108" t="s">
        <v>66</v>
      </c>
      <c r="V301" s="108" t="s">
        <v>66</v>
      </c>
      <c r="W301" s="125" t="str">
        <f>IF(TblDetailBudget[[#This Row],[Level]]=LvlBottomHdr, IF(SUM(TblDetailBudget[[#This Row],[2021 Quant]:[2025 Quant]])&gt;0, SUM(TblDetailBudget[[#This Row],[2021 Quant]:[2025 Quant]]), ""), "")</f>
        <v/>
      </c>
      <c r="X30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1" s="140">
        <f>SUM(TblDetailBudget[[#This Row],[2021 Cost (LCU)]:[2025 Cost (LCU)]])</f>
        <v>0</v>
      </c>
      <c r="AD301" s="134">
        <f>IFERROR(SUM(TblDetailBudget[[#This Row],[2021 Cost (LCU)]])/FX_Rate, "")</f>
        <v>0</v>
      </c>
      <c r="AE301" s="63">
        <f>IFERROR(SUM(TblDetailBudget[[#This Row],[2022 Cost (LCU)]])/FX_Rate, "")</f>
        <v>0</v>
      </c>
      <c r="AF301" s="63">
        <f>IFERROR(SUM(TblDetailBudget[[#This Row],[2023 Cost (LCU)]])/FX_Rate, "")</f>
        <v>0</v>
      </c>
      <c r="AG301" s="63">
        <f>IFERROR(SUM(TblDetailBudget[[#This Row],[2024 Cost (LCU)]])/FX_Rate, "")</f>
        <v>0</v>
      </c>
      <c r="AH301" s="63">
        <f>IFERROR(SUM(TblDetailBudget[[#This Row],[2025 Cost (LCU)]])/FX_Rate, "")</f>
        <v>0</v>
      </c>
      <c r="AI301" s="125">
        <f>SUM(TblDetailBudget[[#This Row],[2021 Cost (USD)]:[2025 Cost (USD)]])</f>
        <v>0</v>
      </c>
      <c r="AJ301" s="180"/>
    </row>
    <row r="302" spans="2:36" ht="12.75" customHeight="1">
      <c r="B302" s="122"/>
      <c r="C3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2" s="62" t="str">
        <f>IF(TblDetailBudget[[#This Row],[Level]]="", "", COUNTIFS($B$8:TblDetailBudget[[#This Row],[Level]], Lvl1Hdr))</f>
        <v/>
      </c>
      <c r="E302" s="62" t="str">
        <f>IF(TblDetailBudget[[#This Row],[Level]]="", "", COUNTIFS($B$8:TblDetailBudget[[#This Row],[Level]], Lvl2Hdr, $D$8:TblDetailBudget[[#This Row],[Lvl 1 Header]], TblDetailBudget[[#This Row],[Lvl 1 Header]]))</f>
        <v/>
      </c>
      <c r="F302" s="62" t="str">
        <f>IF(TblDetailBudget[[#This Row],[Level]]="", "", COUNTIFS($B$8:TblDetailBudget[[#This Row],[Level]], Lvl3Hdr, $D$8:TblDetailBudget[[#This Row],[Lvl 1 Header]], TblDetailBudget[[#This Row],[Lvl 1 Header]], $E$8:TblDetailBudget[[#This Row],[Lvl 2 Header]], TblDetailBudget[[#This Row],[Lvl 2 Header]]))</f>
        <v/>
      </c>
      <c r="G30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2" s="101"/>
      <c r="J302" s="101"/>
      <c r="K302" s="88"/>
      <c r="L302" s="88"/>
      <c r="M302" s="62" t="str">
        <f>IF(TblDetailBudget[[#This Row],[Level]]=LvlBottomHdr, IFERROR(INDEX(TblUnitCost[Unit], MATCH(TblDetailBudget[[#This Row],[Row Title]], TblUnitCost[Resource], 0)), "Invalid Resource"), "")</f>
        <v/>
      </c>
      <c r="N302" s="125" t="str">
        <f>IF(TblDetailBudget[[#This Row],[Level]]=LvlBottomHdr, IFERROR(INDEX(TblUnitCost[LCU], MATCH(TblDetailBudget[[#This Row],[Row Title]], TblUnitCost[Resource], 0)), "Invalid Resource"), "")</f>
        <v/>
      </c>
      <c r="O302" s="128"/>
      <c r="P302" s="108"/>
      <c r="Q302" s="129"/>
      <c r="R302" s="108" t="s">
        <v>66</v>
      </c>
      <c r="S302" s="108" t="s">
        <v>66</v>
      </c>
      <c r="T302" s="108" t="s">
        <v>66</v>
      </c>
      <c r="U302" s="108" t="s">
        <v>66</v>
      </c>
      <c r="V302" s="108" t="s">
        <v>66</v>
      </c>
      <c r="W302" s="125" t="str">
        <f>IF(TblDetailBudget[[#This Row],[Level]]=LvlBottomHdr, IF(SUM(TblDetailBudget[[#This Row],[2021 Quant]:[2025 Quant]])&gt;0, SUM(TblDetailBudget[[#This Row],[2021 Quant]:[2025 Quant]]), ""), "")</f>
        <v/>
      </c>
      <c r="X30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2" s="140">
        <f>SUM(TblDetailBudget[[#This Row],[2021 Cost (LCU)]:[2025 Cost (LCU)]])</f>
        <v>0</v>
      </c>
      <c r="AD302" s="134">
        <f>IFERROR(SUM(TblDetailBudget[[#This Row],[2021 Cost (LCU)]])/FX_Rate, "")</f>
        <v>0</v>
      </c>
      <c r="AE302" s="63">
        <f>IFERROR(SUM(TblDetailBudget[[#This Row],[2022 Cost (LCU)]])/FX_Rate, "")</f>
        <v>0</v>
      </c>
      <c r="AF302" s="63">
        <f>IFERROR(SUM(TblDetailBudget[[#This Row],[2023 Cost (LCU)]])/FX_Rate, "")</f>
        <v>0</v>
      </c>
      <c r="AG302" s="63">
        <f>IFERROR(SUM(TblDetailBudget[[#This Row],[2024 Cost (LCU)]])/FX_Rate, "")</f>
        <v>0</v>
      </c>
      <c r="AH302" s="63">
        <f>IFERROR(SUM(TblDetailBudget[[#This Row],[2025 Cost (LCU)]])/FX_Rate, "")</f>
        <v>0</v>
      </c>
      <c r="AI302" s="125">
        <f>SUM(TblDetailBudget[[#This Row],[2021 Cost (USD)]:[2025 Cost (USD)]])</f>
        <v>0</v>
      </c>
      <c r="AJ302" s="180"/>
    </row>
    <row r="303" spans="2:36" ht="12.75" customHeight="1">
      <c r="B303" s="122"/>
      <c r="C3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3" s="62" t="str">
        <f>IF(TblDetailBudget[[#This Row],[Level]]="", "", COUNTIFS($B$8:TblDetailBudget[[#This Row],[Level]], Lvl1Hdr))</f>
        <v/>
      </c>
      <c r="E303" s="62" t="str">
        <f>IF(TblDetailBudget[[#This Row],[Level]]="", "", COUNTIFS($B$8:TblDetailBudget[[#This Row],[Level]], Lvl2Hdr, $D$8:TblDetailBudget[[#This Row],[Lvl 1 Header]], TblDetailBudget[[#This Row],[Lvl 1 Header]]))</f>
        <v/>
      </c>
      <c r="F303" s="62" t="str">
        <f>IF(TblDetailBudget[[#This Row],[Level]]="", "", COUNTIFS($B$8:TblDetailBudget[[#This Row],[Level]], Lvl3Hdr, $D$8:TblDetailBudget[[#This Row],[Lvl 1 Header]], TblDetailBudget[[#This Row],[Lvl 1 Header]], $E$8:TblDetailBudget[[#This Row],[Lvl 2 Header]], TblDetailBudget[[#This Row],[Lvl 2 Header]]))</f>
        <v/>
      </c>
      <c r="G30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3" s="101"/>
      <c r="J303" s="101"/>
      <c r="K303" s="88"/>
      <c r="L303" s="88"/>
      <c r="M303" s="62" t="str">
        <f>IF(TblDetailBudget[[#This Row],[Level]]=LvlBottomHdr, IFERROR(INDEX(TblUnitCost[Unit], MATCH(TblDetailBudget[[#This Row],[Row Title]], TblUnitCost[Resource], 0)), "Invalid Resource"), "")</f>
        <v/>
      </c>
      <c r="N303" s="125" t="str">
        <f>IF(TblDetailBudget[[#This Row],[Level]]=LvlBottomHdr, IFERROR(INDEX(TblUnitCost[LCU], MATCH(TblDetailBudget[[#This Row],[Row Title]], TblUnitCost[Resource], 0)), "Invalid Resource"), "")</f>
        <v/>
      </c>
      <c r="O303" s="128"/>
      <c r="P303" s="108"/>
      <c r="Q303" s="129"/>
      <c r="R303" s="108" t="s">
        <v>66</v>
      </c>
      <c r="S303" s="108" t="s">
        <v>66</v>
      </c>
      <c r="T303" s="108" t="s">
        <v>66</v>
      </c>
      <c r="U303" s="108" t="s">
        <v>66</v>
      </c>
      <c r="V303" s="108" t="s">
        <v>66</v>
      </c>
      <c r="W303" s="125" t="str">
        <f>IF(TblDetailBudget[[#This Row],[Level]]=LvlBottomHdr, IF(SUM(TblDetailBudget[[#This Row],[2021 Quant]:[2025 Quant]])&gt;0, SUM(TblDetailBudget[[#This Row],[2021 Quant]:[2025 Quant]]), ""), "")</f>
        <v/>
      </c>
      <c r="X30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3" s="140">
        <f>SUM(TblDetailBudget[[#This Row],[2021 Cost (LCU)]:[2025 Cost (LCU)]])</f>
        <v>0</v>
      </c>
      <c r="AD303" s="134">
        <f>IFERROR(SUM(TblDetailBudget[[#This Row],[2021 Cost (LCU)]])/FX_Rate, "")</f>
        <v>0</v>
      </c>
      <c r="AE303" s="63">
        <f>IFERROR(SUM(TblDetailBudget[[#This Row],[2022 Cost (LCU)]])/FX_Rate, "")</f>
        <v>0</v>
      </c>
      <c r="AF303" s="63">
        <f>IFERROR(SUM(TblDetailBudget[[#This Row],[2023 Cost (LCU)]])/FX_Rate, "")</f>
        <v>0</v>
      </c>
      <c r="AG303" s="63">
        <f>IFERROR(SUM(TblDetailBudget[[#This Row],[2024 Cost (LCU)]])/FX_Rate, "")</f>
        <v>0</v>
      </c>
      <c r="AH303" s="63">
        <f>IFERROR(SUM(TblDetailBudget[[#This Row],[2025 Cost (LCU)]])/FX_Rate, "")</f>
        <v>0</v>
      </c>
      <c r="AI303" s="125">
        <f>SUM(TblDetailBudget[[#This Row],[2021 Cost (USD)]:[2025 Cost (USD)]])</f>
        <v>0</v>
      </c>
      <c r="AJ303" s="180"/>
    </row>
    <row r="304" spans="2:36" ht="12.75" customHeight="1">
      <c r="B304" s="122"/>
      <c r="C3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4" s="62" t="str">
        <f>IF(TblDetailBudget[[#This Row],[Level]]="", "", COUNTIFS($B$8:TblDetailBudget[[#This Row],[Level]], Lvl1Hdr))</f>
        <v/>
      </c>
      <c r="E304" s="62" t="str">
        <f>IF(TblDetailBudget[[#This Row],[Level]]="", "", COUNTIFS($B$8:TblDetailBudget[[#This Row],[Level]], Lvl2Hdr, $D$8:TblDetailBudget[[#This Row],[Lvl 1 Header]], TblDetailBudget[[#This Row],[Lvl 1 Header]]))</f>
        <v/>
      </c>
      <c r="F304" s="62" t="str">
        <f>IF(TblDetailBudget[[#This Row],[Level]]="", "", COUNTIFS($B$8:TblDetailBudget[[#This Row],[Level]], Lvl3Hdr, $D$8:TblDetailBudget[[#This Row],[Lvl 1 Header]], TblDetailBudget[[#This Row],[Lvl 1 Header]], $E$8:TblDetailBudget[[#This Row],[Lvl 2 Header]], TblDetailBudget[[#This Row],[Lvl 2 Header]]))</f>
        <v/>
      </c>
      <c r="G30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4" s="101"/>
      <c r="J304" s="101"/>
      <c r="K304" s="88"/>
      <c r="L304" s="88"/>
      <c r="M304" s="62" t="str">
        <f>IF(TblDetailBudget[[#This Row],[Level]]=LvlBottomHdr, IFERROR(INDEX(TblUnitCost[Unit], MATCH(TblDetailBudget[[#This Row],[Row Title]], TblUnitCost[Resource], 0)), "Invalid Resource"), "")</f>
        <v/>
      </c>
      <c r="N304" s="125" t="str">
        <f>IF(TblDetailBudget[[#This Row],[Level]]=LvlBottomHdr, IFERROR(INDEX(TblUnitCost[LCU], MATCH(TblDetailBudget[[#This Row],[Row Title]], TblUnitCost[Resource], 0)), "Invalid Resource"), "")</f>
        <v/>
      </c>
      <c r="O304" s="128"/>
      <c r="P304" s="108"/>
      <c r="Q304" s="129"/>
      <c r="R304" s="108" t="s">
        <v>66</v>
      </c>
      <c r="S304" s="108" t="s">
        <v>66</v>
      </c>
      <c r="T304" s="108" t="s">
        <v>66</v>
      </c>
      <c r="U304" s="108" t="s">
        <v>66</v>
      </c>
      <c r="V304" s="108" t="s">
        <v>66</v>
      </c>
      <c r="W304" s="125" t="str">
        <f>IF(TblDetailBudget[[#This Row],[Level]]=LvlBottomHdr, IF(SUM(TblDetailBudget[[#This Row],[2021 Quant]:[2025 Quant]])&gt;0, SUM(TblDetailBudget[[#This Row],[2021 Quant]:[2025 Quant]]), ""), "")</f>
        <v/>
      </c>
      <c r="X30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4" s="140">
        <f>SUM(TblDetailBudget[[#This Row],[2021 Cost (LCU)]:[2025 Cost (LCU)]])</f>
        <v>0</v>
      </c>
      <c r="AD304" s="134">
        <f>IFERROR(SUM(TblDetailBudget[[#This Row],[2021 Cost (LCU)]])/FX_Rate, "")</f>
        <v>0</v>
      </c>
      <c r="AE304" s="63">
        <f>IFERROR(SUM(TblDetailBudget[[#This Row],[2022 Cost (LCU)]])/FX_Rate, "")</f>
        <v>0</v>
      </c>
      <c r="AF304" s="63">
        <f>IFERROR(SUM(TblDetailBudget[[#This Row],[2023 Cost (LCU)]])/FX_Rate, "")</f>
        <v>0</v>
      </c>
      <c r="AG304" s="63">
        <f>IFERROR(SUM(TblDetailBudget[[#This Row],[2024 Cost (LCU)]])/FX_Rate, "")</f>
        <v>0</v>
      </c>
      <c r="AH304" s="63">
        <f>IFERROR(SUM(TblDetailBudget[[#This Row],[2025 Cost (LCU)]])/FX_Rate, "")</f>
        <v>0</v>
      </c>
      <c r="AI304" s="125">
        <f>SUM(TblDetailBudget[[#This Row],[2021 Cost (USD)]:[2025 Cost (USD)]])</f>
        <v>0</v>
      </c>
      <c r="AJ304" s="180"/>
    </row>
    <row r="305" spans="2:36" ht="12.75" customHeight="1">
      <c r="B305" s="122"/>
      <c r="C3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5" s="62" t="str">
        <f>IF(TblDetailBudget[[#This Row],[Level]]="", "", COUNTIFS($B$8:TblDetailBudget[[#This Row],[Level]], Lvl1Hdr))</f>
        <v/>
      </c>
      <c r="E305" s="62" t="str">
        <f>IF(TblDetailBudget[[#This Row],[Level]]="", "", COUNTIFS($B$8:TblDetailBudget[[#This Row],[Level]], Lvl2Hdr, $D$8:TblDetailBudget[[#This Row],[Lvl 1 Header]], TblDetailBudget[[#This Row],[Lvl 1 Header]]))</f>
        <v/>
      </c>
      <c r="F305" s="62" t="str">
        <f>IF(TblDetailBudget[[#This Row],[Level]]="", "", COUNTIFS($B$8:TblDetailBudget[[#This Row],[Level]], Lvl3Hdr, $D$8:TblDetailBudget[[#This Row],[Lvl 1 Header]], TblDetailBudget[[#This Row],[Lvl 1 Header]], $E$8:TblDetailBudget[[#This Row],[Lvl 2 Header]], TblDetailBudget[[#This Row],[Lvl 2 Header]]))</f>
        <v/>
      </c>
      <c r="G30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5" s="101"/>
      <c r="J305" s="101"/>
      <c r="K305" s="88"/>
      <c r="L305" s="88"/>
      <c r="M305" s="62" t="str">
        <f>IF(TblDetailBudget[[#This Row],[Level]]=LvlBottomHdr, IFERROR(INDEX(TblUnitCost[Unit], MATCH(TblDetailBudget[[#This Row],[Row Title]], TblUnitCost[Resource], 0)), "Invalid Resource"), "")</f>
        <v/>
      </c>
      <c r="N305" s="125" t="str">
        <f>IF(TblDetailBudget[[#This Row],[Level]]=LvlBottomHdr, IFERROR(INDEX(TblUnitCost[LCU], MATCH(TblDetailBudget[[#This Row],[Row Title]], TblUnitCost[Resource], 0)), "Invalid Resource"), "")</f>
        <v/>
      </c>
      <c r="O305" s="128"/>
      <c r="P305" s="108"/>
      <c r="Q305" s="129"/>
      <c r="R305" s="108" t="s">
        <v>66</v>
      </c>
      <c r="S305" s="108" t="s">
        <v>66</v>
      </c>
      <c r="T305" s="108" t="s">
        <v>66</v>
      </c>
      <c r="U305" s="108" t="s">
        <v>66</v>
      </c>
      <c r="V305" s="108" t="s">
        <v>66</v>
      </c>
      <c r="W305" s="125" t="str">
        <f>IF(TblDetailBudget[[#This Row],[Level]]=LvlBottomHdr, IF(SUM(TblDetailBudget[[#This Row],[2021 Quant]:[2025 Quant]])&gt;0, SUM(TblDetailBudget[[#This Row],[2021 Quant]:[2025 Quant]]), ""), "")</f>
        <v/>
      </c>
      <c r="X30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5" s="140">
        <f>SUM(TblDetailBudget[[#This Row],[2021 Cost (LCU)]:[2025 Cost (LCU)]])</f>
        <v>0</v>
      </c>
      <c r="AD305" s="134">
        <f>IFERROR(SUM(TblDetailBudget[[#This Row],[2021 Cost (LCU)]])/FX_Rate, "")</f>
        <v>0</v>
      </c>
      <c r="AE305" s="63">
        <f>IFERROR(SUM(TblDetailBudget[[#This Row],[2022 Cost (LCU)]])/FX_Rate, "")</f>
        <v>0</v>
      </c>
      <c r="AF305" s="63">
        <f>IFERROR(SUM(TblDetailBudget[[#This Row],[2023 Cost (LCU)]])/FX_Rate, "")</f>
        <v>0</v>
      </c>
      <c r="AG305" s="63">
        <f>IFERROR(SUM(TblDetailBudget[[#This Row],[2024 Cost (LCU)]])/FX_Rate, "")</f>
        <v>0</v>
      </c>
      <c r="AH305" s="63">
        <f>IFERROR(SUM(TblDetailBudget[[#This Row],[2025 Cost (LCU)]])/FX_Rate, "")</f>
        <v>0</v>
      </c>
      <c r="AI305" s="125">
        <f>SUM(TblDetailBudget[[#This Row],[2021 Cost (USD)]:[2025 Cost (USD)]])</f>
        <v>0</v>
      </c>
      <c r="AJ305" s="180"/>
    </row>
    <row r="306" spans="2:36" ht="12.75" customHeight="1">
      <c r="B306" s="122"/>
      <c r="C3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6" s="62" t="str">
        <f>IF(TblDetailBudget[[#This Row],[Level]]="", "", COUNTIFS($B$8:TblDetailBudget[[#This Row],[Level]], Lvl1Hdr))</f>
        <v/>
      </c>
      <c r="E306" s="62" t="str">
        <f>IF(TblDetailBudget[[#This Row],[Level]]="", "", COUNTIFS($B$8:TblDetailBudget[[#This Row],[Level]], Lvl2Hdr, $D$8:TblDetailBudget[[#This Row],[Lvl 1 Header]], TblDetailBudget[[#This Row],[Lvl 1 Header]]))</f>
        <v/>
      </c>
      <c r="F306" s="62" t="str">
        <f>IF(TblDetailBudget[[#This Row],[Level]]="", "", COUNTIFS($B$8:TblDetailBudget[[#This Row],[Level]], Lvl3Hdr, $D$8:TblDetailBudget[[#This Row],[Lvl 1 Header]], TblDetailBudget[[#This Row],[Lvl 1 Header]], $E$8:TblDetailBudget[[#This Row],[Lvl 2 Header]], TblDetailBudget[[#This Row],[Lvl 2 Header]]))</f>
        <v/>
      </c>
      <c r="G30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6" s="101"/>
      <c r="J306" s="101"/>
      <c r="K306" s="88"/>
      <c r="L306" s="88"/>
      <c r="M306" s="62" t="str">
        <f>IF(TblDetailBudget[[#This Row],[Level]]=LvlBottomHdr, IFERROR(INDEX(TblUnitCost[Unit], MATCH(TblDetailBudget[[#This Row],[Row Title]], TblUnitCost[Resource], 0)), "Invalid Resource"), "")</f>
        <v/>
      </c>
      <c r="N306" s="125" t="str">
        <f>IF(TblDetailBudget[[#This Row],[Level]]=LvlBottomHdr, IFERROR(INDEX(TblUnitCost[LCU], MATCH(TblDetailBudget[[#This Row],[Row Title]], TblUnitCost[Resource], 0)), "Invalid Resource"), "")</f>
        <v/>
      </c>
      <c r="O306" s="128"/>
      <c r="P306" s="108"/>
      <c r="Q306" s="129"/>
      <c r="R306" s="108" t="s">
        <v>66</v>
      </c>
      <c r="S306" s="108" t="s">
        <v>66</v>
      </c>
      <c r="T306" s="108" t="s">
        <v>66</v>
      </c>
      <c r="U306" s="108" t="s">
        <v>66</v>
      </c>
      <c r="V306" s="108" t="s">
        <v>66</v>
      </c>
      <c r="W306" s="125" t="str">
        <f>IF(TblDetailBudget[[#This Row],[Level]]=LvlBottomHdr, IF(SUM(TblDetailBudget[[#This Row],[2021 Quant]:[2025 Quant]])&gt;0, SUM(TblDetailBudget[[#This Row],[2021 Quant]:[2025 Quant]]), ""), "")</f>
        <v/>
      </c>
      <c r="X30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6" s="140">
        <f>SUM(TblDetailBudget[[#This Row],[2021 Cost (LCU)]:[2025 Cost (LCU)]])</f>
        <v>0</v>
      </c>
      <c r="AD306" s="134">
        <f>IFERROR(SUM(TblDetailBudget[[#This Row],[2021 Cost (LCU)]])/FX_Rate, "")</f>
        <v>0</v>
      </c>
      <c r="AE306" s="63">
        <f>IFERROR(SUM(TblDetailBudget[[#This Row],[2022 Cost (LCU)]])/FX_Rate, "")</f>
        <v>0</v>
      </c>
      <c r="AF306" s="63">
        <f>IFERROR(SUM(TblDetailBudget[[#This Row],[2023 Cost (LCU)]])/FX_Rate, "")</f>
        <v>0</v>
      </c>
      <c r="AG306" s="63">
        <f>IFERROR(SUM(TblDetailBudget[[#This Row],[2024 Cost (LCU)]])/FX_Rate, "")</f>
        <v>0</v>
      </c>
      <c r="AH306" s="63">
        <f>IFERROR(SUM(TblDetailBudget[[#This Row],[2025 Cost (LCU)]])/FX_Rate, "")</f>
        <v>0</v>
      </c>
      <c r="AI306" s="125">
        <f>SUM(TblDetailBudget[[#This Row],[2021 Cost (USD)]:[2025 Cost (USD)]])</f>
        <v>0</v>
      </c>
      <c r="AJ306" s="180"/>
    </row>
    <row r="307" spans="2:36" ht="12.75" customHeight="1">
      <c r="B307" s="122"/>
      <c r="C3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7" s="62" t="str">
        <f>IF(TblDetailBudget[[#This Row],[Level]]="", "", COUNTIFS($B$8:TblDetailBudget[[#This Row],[Level]], Lvl1Hdr))</f>
        <v/>
      </c>
      <c r="E307" s="62" t="str">
        <f>IF(TblDetailBudget[[#This Row],[Level]]="", "", COUNTIFS($B$8:TblDetailBudget[[#This Row],[Level]], Lvl2Hdr, $D$8:TblDetailBudget[[#This Row],[Lvl 1 Header]], TblDetailBudget[[#This Row],[Lvl 1 Header]]))</f>
        <v/>
      </c>
      <c r="F307" s="62" t="str">
        <f>IF(TblDetailBudget[[#This Row],[Level]]="", "", COUNTIFS($B$8:TblDetailBudget[[#This Row],[Level]], Lvl3Hdr, $D$8:TblDetailBudget[[#This Row],[Lvl 1 Header]], TblDetailBudget[[#This Row],[Lvl 1 Header]], $E$8:TblDetailBudget[[#This Row],[Lvl 2 Header]], TblDetailBudget[[#This Row],[Lvl 2 Header]]))</f>
        <v/>
      </c>
      <c r="G30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7" s="101"/>
      <c r="J307" s="101"/>
      <c r="K307" s="88"/>
      <c r="L307" s="88"/>
      <c r="M307" s="62" t="str">
        <f>IF(TblDetailBudget[[#This Row],[Level]]=LvlBottomHdr, IFERROR(INDEX(TblUnitCost[Unit], MATCH(TblDetailBudget[[#This Row],[Row Title]], TblUnitCost[Resource], 0)), "Invalid Resource"), "")</f>
        <v/>
      </c>
      <c r="N307" s="125" t="str">
        <f>IF(TblDetailBudget[[#This Row],[Level]]=LvlBottomHdr, IFERROR(INDEX(TblUnitCost[LCU], MATCH(TblDetailBudget[[#This Row],[Row Title]], TblUnitCost[Resource], 0)), "Invalid Resource"), "")</f>
        <v/>
      </c>
      <c r="O307" s="128"/>
      <c r="P307" s="108"/>
      <c r="Q307" s="129"/>
      <c r="R307" s="108" t="s">
        <v>66</v>
      </c>
      <c r="S307" s="108" t="s">
        <v>66</v>
      </c>
      <c r="T307" s="108" t="s">
        <v>66</v>
      </c>
      <c r="U307" s="108" t="s">
        <v>66</v>
      </c>
      <c r="V307" s="108" t="s">
        <v>66</v>
      </c>
      <c r="W307" s="125" t="str">
        <f>IF(TblDetailBudget[[#This Row],[Level]]=LvlBottomHdr, IF(SUM(TblDetailBudget[[#This Row],[2021 Quant]:[2025 Quant]])&gt;0, SUM(TblDetailBudget[[#This Row],[2021 Quant]:[2025 Quant]]), ""), "")</f>
        <v/>
      </c>
      <c r="X30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7" s="140">
        <f>SUM(TblDetailBudget[[#This Row],[2021 Cost (LCU)]:[2025 Cost (LCU)]])</f>
        <v>0</v>
      </c>
      <c r="AD307" s="134">
        <f>IFERROR(SUM(TblDetailBudget[[#This Row],[2021 Cost (LCU)]])/FX_Rate, "")</f>
        <v>0</v>
      </c>
      <c r="AE307" s="63">
        <f>IFERROR(SUM(TblDetailBudget[[#This Row],[2022 Cost (LCU)]])/FX_Rate, "")</f>
        <v>0</v>
      </c>
      <c r="AF307" s="63">
        <f>IFERROR(SUM(TblDetailBudget[[#This Row],[2023 Cost (LCU)]])/FX_Rate, "")</f>
        <v>0</v>
      </c>
      <c r="AG307" s="63">
        <f>IFERROR(SUM(TblDetailBudget[[#This Row],[2024 Cost (LCU)]])/FX_Rate, "")</f>
        <v>0</v>
      </c>
      <c r="AH307" s="63">
        <f>IFERROR(SUM(TblDetailBudget[[#This Row],[2025 Cost (LCU)]])/FX_Rate, "")</f>
        <v>0</v>
      </c>
      <c r="AI307" s="125">
        <f>SUM(TblDetailBudget[[#This Row],[2021 Cost (USD)]:[2025 Cost (USD)]])</f>
        <v>0</v>
      </c>
      <c r="AJ307" s="180"/>
    </row>
    <row r="308" spans="2:36" ht="12.75" customHeight="1">
      <c r="B308" s="122"/>
      <c r="C3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8" s="62" t="str">
        <f>IF(TblDetailBudget[[#This Row],[Level]]="", "", COUNTIFS($B$8:TblDetailBudget[[#This Row],[Level]], Lvl1Hdr))</f>
        <v/>
      </c>
      <c r="E308" s="62" t="str">
        <f>IF(TblDetailBudget[[#This Row],[Level]]="", "", COUNTIFS($B$8:TblDetailBudget[[#This Row],[Level]], Lvl2Hdr, $D$8:TblDetailBudget[[#This Row],[Lvl 1 Header]], TblDetailBudget[[#This Row],[Lvl 1 Header]]))</f>
        <v/>
      </c>
      <c r="F308" s="62" t="str">
        <f>IF(TblDetailBudget[[#This Row],[Level]]="", "", COUNTIFS($B$8:TblDetailBudget[[#This Row],[Level]], Lvl3Hdr, $D$8:TblDetailBudget[[#This Row],[Lvl 1 Header]], TblDetailBudget[[#This Row],[Lvl 1 Header]], $E$8:TblDetailBudget[[#This Row],[Lvl 2 Header]], TblDetailBudget[[#This Row],[Lvl 2 Header]]))</f>
        <v/>
      </c>
      <c r="G30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8" s="101"/>
      <c r="J308" s="101"/>
      <c r="K308" s="88"/>
      <c r="L308" s="88"/>
      <c r="M308" s="62" t="str">
        <f>IF(TblDetailBudget[[#This Row],[Level]]=LvlBottomHdr, IFERROR(INDEX(TblUnitCost[Unit], MATCH(TblDetailBudget[[#This Row],[Row Title]], TblUnitCost[Resource], 0)), "Invalid Resource"), "")</f>
        <v/>
      </c>
      <c r="N308" s="125" t="str">
        <f>IF(TblDetailBudget[[#This Row],[Level]]=LvlBottomHdr, IFERROR(INDEX(TblUnitCost[LCU], MATCH(TblDetailBudget[[#This Row],[Row Title]], TblUnitCost[Resource], 0)), "Invalid Resource"), "")</f>
        <v/>
      </c>
      <c r="O308" s="128"/>
      <c r="P308" s="108"/>
      <c r="Q308" s="129"/>
      <c r="R308" s="108" t="s">
        <v>66</v>
      </c>
      <c r="S308" s="108" t="s">
        <v>66</v>
      </c>
      <c r="T308" s="108" t="s">
        <v>66</v>
      </c>
      <c r="U308" s="108" t="s">
        <v>66</v>
      </c>
      <c r="V308" s="108" t="s">
        <v>66</v>
      </c>
      <c r="W308" s="125" t="str">
        <f>IF(TblDetailBudget[[#This Row],[Level]]=LvlBottomHdr, IF(SUM(TblDetailBudget[[#This Row],[2021 Quant]:[2025 Quant]])&gt;0, SUM(TblDetailBudget[[#This Row],[2021 Quant]:[2025 Quant]]), ""), "")</f>
        <v/>
      </c>
      <c r="X30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8" s="140">
        <f>SUM(TblDetailBudget[[#This Row],[2021 Cost (LCU)]:[2025 Cost (LCU)]])</f>
        <v>0</v>
      </c>
      <c r="AD308" s="134">
        <f>IFERROR(SUM(TblDetailBudget[[#This Row],[2021 Cost (LCU)]])/FX_Rate, "")</f>
        <v>0</v>
      </c>
      <c r="AE308" s="63">
        <f>IFERROR(SUM(TblDetailBudget[[#This Row],[2022 Cost (LCU)]])/FX_Rate, "")</f>
        <v>0</v>
      </c>
      <c r="AF308" s="63">
        <f>IFERROR(SUM(TblDetailBudget[[#This Row],[2023 Cost (LCU)]])/FX_Rate, "")</f>
        <v>0</v>
      </c>
      <c r="AG308" s="63">
        <f>IFERROR(SUM(TblDetailBudget[[#This Row],[2024 Cost (LCU)]])/FX_Rate, "")</f>
        <v>0</v>
      </c>
      <c r="AH308" s="63">
        <f>IFERROR(SUM(TblDetailBudget[[#This Row],[2025 Cost (LCU)]])/FX_Rate, "")</f>
        <v>0</v>
      </c>
      <c r="AI308" s="125">
        <f>SUM(TblDetailBudget[[#This Row],[2021 Cost (USD)]:[2025 Cost (USD)]])</f>
        <v>0</v>
      </c>
      <c r="AJ308" s="180"/>
    </row>
    <row r="309" spans="2:36" ht="12.75" customHeight="1">
      <c r="B309" s="122"/>
      <c r="C3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9" s="62" t="str">
        <f>IF(TblDetailBudget[[#This Row],[Level]]="", "", COUNTIFS($B$8:TblDetailBudget[[#This Row],[Level]], Lvl1Hdr))</f>
        <v/>
      </c>
      <c r="E309" s="62" t="str">
        <f>IF(TblDetailBudget[[#This Row],[Level]]="", "", COUNTIFS($B$8:TblDetailBudget[[#This Row],[Level]], Lvl2Hdr, $D$8:TblDetailBudget[[#This Row],[Lvl 1 Header]], TblDetailBudget[[#This Row],[Lvl 1 Header]]))</f>
        <v/>
      </c>
      <c r="F309" s="62" t="str">
        <f>IF(TblDetailBudget[[#This Row],[Level]]="", "", COUNTIFS($B$8:TblDetailBudget[[#This Row],[Level]], Lvl3Hdr, $D$8:TblDetailBudget[[#This Row],[Lvl 1 Header]], TblDetailBudget[[#This Row],[Lvl 1 Header]], $E$8:TblDetailBudget[[#This Row],[Lvl 2 Header]], TblDetailBudget[[#This Row],[Lvl 2 Header]]))</f>
        <v/>
      </c>
      <c r="G30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9" s="101"/>
      <c r="J309" s="101"/>
      <c r="K309" s="88"/>
      <c r="L309" s="88"/>
      <c r="M309" s="62" t="str">
        <f>IF(TblDetailBudget[[#This Row],[Level]]=LvlBottomHdr, IFERROR(INDEX(TblUnitCost[Unit], MATCH(TblDetailBudget[[#This Row],[Row Title]], TblUnitCost[Resource], 0)), "Invalid Resource"), "")</f>
        <v/>
      </c>
      <c r="N309" s="125" t="str">
        <f>IF(TblDetailBudget[[#This Row],[Level]]=LvlBottomHdr, IFERROR(INDEX(TblUnitCost[LCU], MATCH(TblDetailBudget[[#This Row],[Row Title]], TblUnitCost[Resource], 0)), "Invalid Resource"), "")</f>
        <v/>
      </c>
      <c r="O309" s="128"/>
      <c r="P309" s="108"/>
      <c r="Q309" s="129"/>
      <c r="R309" s="108" t="s">
        <v>66</v>
      </c>
      <c r="S309" s="108" t="s">
        <v>66</v>
      </c>
      <c r="T309" s="108" t="s">
        <v>66</v>
      </c>
      <c r="U309" s="108" t="s">
        <v>66</v>
      </c>
      <c r="V309" s="108" t="s">
        <v>66</v>
      </c>
      <c r="W309" s="125" t="str">
        <f>IF(TblDetailBudget[[#This Row],[Level]]=LvlBottomHdr, IF(SUM(TblDetailBudget[[#This Row],[2021 Quant]:[2025 Quant]])&gt;0, SUM(TblDetailBudget[[#This Row],[2021 Quant]:[2025 Quant]]), ""), "")</f>
        <v/>
      </c>
      <c r="X30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9" s="140">
        <f>SUM(TblDetailBudget[[#This Row],[2021 Cost (LCU)]:[2025 Cost (LCU)]])</f>
        <v>0</v>
      </c>
      <c r="AD309" s="134">
        <f>IFERROR(SUM(TblDetailBudget[[#This Row],[2021 Cost (LCU)]])/FX_Rate, "")</f>
        <v>0</v>
      </c>
      <c r="AE309" s="63">
        <f>IFERROR(SUM(TblDetailBudget[[#This Row],[2022 Cost (LCU)]])/FX_Rate, "")</f>
        <v>0</v>
      </c>
      <c r="AF309" s="63">
        <f>IFERROR(SUM(TblDetailBudget[[#This Row],[2023 Cost (LCU)]])/FX_Rate, "")</f>
        <v>0</v>
      </c>
      <c r="AG309" s="63">
        <f>IFERROR(SUM(TblDetailBudget[[#This Row],[2024 Cost (LCU)]])/FX_Rate, "")</f>
        <v>0</v>
      </c>
      <c r="AH309" s="63">
        <f>IFERROR(SUM(TblDetailBudget[[#This Row],[2025 Cost (LCU)]])/FX_Rate, "")</f>
        <v>0</v>
      </c>
      <c r="AI309" s="125">
        <f>SUM(TblDetailBudget[[#This Row],[2021 Cost (USD)]:[2025 Cost (USD)]])</f>
        <v>0</v>
      </c>
      <c r="AJ309" s="180"/>
    </row>
    <row r="310" spans="2:36" ht="12.75" customHeight="1">
      <c r="B310" s="122"/>
      <c r="C3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0" s="62" t="str">
        <f>IF(TblDetailBudget[[#This Row],[Level]]="", "", COUNTIFS($B$8:TblDetailBudget[[#This Row],[Level]], Lvl1Hdr))</f>
        <v/>
      </c>
      <c r="E310" s="62" t="str">
        <f>IF(TblDetailBudget[[#This Row],[Level]]="", "", COUNTIFS($B$8:TblDetailBudget[[#This Row],[Level]], Lvl2Hdr, $D$8:TblDetailBudget[[#This Row],[Lvl 1 Header]], TblDetailBudget[[#This Row],[Lvl 1 Header]]))</f>
        <v/>
      </c>
      <c r="F310" s="62" t="str">
        <f>IF(TblDetailBudget[[#This Row],[Level]]="", "", COUNTIFS($B$8:TblDetailBudget[[#This Row],[Level]], Lvl3Hdr, $D$8:TblDetailBudget[[#This Row],[Lvl 1 Header]], TblDetailBudget[[#This Row],[Lvl 1 Header]], $E$8:TblDetailBudget[[#This Row],[Lvl 2 Header]], TblDetailBudget[[#This Row],[Lvl 2 Header]]))</f>
        <v/>
      </c>
      <c r="G31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0" s="101"/>
      <c r="J310" s="101"/>
      <c r="K310" s="88"/>
      <c r="L310" s="88"/>
      <c r="M310" s="62" t="str">
        <f>IF(TblDetailBudget[[#This Row],[Level]]=LvlBottomHdr, IFERROR(INDEX(TblUnitCost[Unit], MATCH(TblDetailBudget[[#This Row],[Row Title]], TblUnitCost[Resource], 0)), "Invalid Resource"), "")</f>
        <v/>
      </c>
      <c r="N310" s="125" t="str">
        <f>IF(TblDetailBudget[[#This Row],[Level]]=LvlBottomHdr, IFERROR(INDEX(TblUnitCost[LCU], MATCH(TblDetailBudget[[#This Row],[Row Title]], TblUnitCost[Resource], 0)), "Invalid Resource"), "")</f>
        <v/>
      </c>
      <c r="O310" s="128"/>
      <c r="P310" s="108"/>
      <c r="Q310" s="129"/>
      <c r="R310" s="108" t="s">
        <v>66</v>
      </c>
      <c r="S310" s="108" t="s">
        <v>66</v>
      </c>
      <c r="T310" s="108" t="s">
        <v>66</v>
      </c>
      <c r="U310" s="108" t="s">
        <v>66</v>
      </c>
      <c r="V310" s="108" t="s">
        <v>66</v>
      </c>
      <c r="W310" s="125" t="str">
        <f>IF(TblDetailBudget[[#This Row],[Level]]=LvlBottomHdr, IF(SUM(TblDetailBudget[[#This Row],[2021 Quant]:[2025 Quant]])&gt;0, SUM(TblDetailBudget[[#This Row],[2021 Quant]:[2025 Quant]]), ""), "")</f>
        <v/>
      </c>
      <c r="X31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0" s="140">
        <f>SUM(TblDetailBudget[[#This Row],[2021 Cost (LCU)]:[2025 Cost (LCU)]])</f>
        <v>0</v>
      </c>
      <c r="AD310" s="134">
        <f>IFERROR(SUM(TblDetailBudget[[#This Row],[2021 Cost (LCU)]])/FX_Rate, "")</f>
        <v>0</v>
      </c>
      <c r="AE310" s="63">
        <f>IFERROR(SUM(TblDetailBudget[[#This Row],[2022 Cost (LCU)]])/FX_Rate, "")</f>
        <v>0</v>
      </c>
      <c r="AF310" s="63">
        <f>IFERROR(SUM(TblDetailBudget[[#This Row],[2023 Cost (LCU)]])/FX_Rate, "")</f>
        <v>0</v>
      </c>
      <c r="AG310" s="63">
        <f>IFERROR(SUM(TblDetailBudget[[#This Row],[2024 Cost (LCU)]])/FX_Rate, "")</f>
        <v>0</v>
      </c>
      <c r="AH310" s="63">
        <f>IFERROR(SUM(TblDetailBudget[[#This Row],[2025 Cost (LCU)]])/FX_Rate, "")</f>
        <v>0</v>
      </c>
      <c r="AI310" s="125">
        <f>SUM(TblDetailBudget[[#This Row],[2021 Cost (USD)]:[2025 Cost (USD)]])</f>
        <v>0</v>
      </c>
      <c r="AJ310" s="180"/>
    </row>
    <row r="311" spans="2:36" ht="12.75" customHeight="1">
      <c r="B311" s="122"/>
      <c r="C3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1" s="62" t="str">
        <f>IF(TblDetailBudget[[#This Row],[Level]]="", "", COUNTIFS($B$8:TblDetailBudget[[#This Row],[Level]], Lvl1Hdr))</f>
        <v/>
      </c>
      <c r="E311" s="62" t="str">
        <f>IF(TblDetailBudget[[#This Row],[Level]]="", "", COUNTIFS($B$8:TblDetailBudget[[#This Row],[Level]], Lvl2Hdr, $D$8:TblDetailBudget[[#This Row],[Lvl 1 Header]], TblDetailBudget[[#This Row],[Lvl 1 Header]]))</f>
        <v/>
      </c>
      <c r="F311" s="62" t="str">
        <f>IF(TblDetailBudget[[#This Row],[Level]]="", "", COUNTIFS($B$8:TblDetailBudget[[#This Row],[Level]], Lvl3Hdr, $D$8:TblDetailBudget[[#This Row],[Lvl 1 Header]], TblDetailBudget[[#This Row],[Lvl 1 Header]], $E$8:TblDetailBudget[[#This Row],[Lvl 2 Header]], TblDetailBudget[[#This Row],[Lvl 2 Header]]))</f>
        <v/>
      </c>
      <c r="G31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1" s="101"/>
      <c r="J311" s="101"/>
      <c r="K311" s="88"/>
      <c r="L311" s="88"/>
      <c r="M311" s="62" t="str">
        <f>IF(TblDetailBudget[[#This Row],[Level]]=LvlBottomHdr, IFERROR(INDEX(TblUnitCost[Unit], MATCH(TblDetailBudget[[#This Row],[Row Title]], TblUnitCost[Resource], 0)), "Invalid Resource"), "")</f>
        <v/>
      </c>
      <c r="N311" s="125" t="str">
        <f>IF(TblDetailBudget[[#This Row],[Level]]=LvlBottomHdr, IFERROR(INDEX(TblUnitCost[LCU], MATCH(TblDetailBudget[[#This Row],[Row Title]], TblUnitCost[Resource], 0)), "Invalid Resource"), "")</f>
        <v/>
      </c>
      <c r="O311" s="128"/>
      <c r="P311" s="108"/>
      <c r="Q311" s="129"/>
      <c r="R311" s="108" t="s">
        <v>66</v>
      </c>
      <c r="S311" s="108" t="s">
        <v>66</v>
      </c>
      <c r="T311" s="108" t="s">
        <v>66</v>
      </c>
      <c r="U311" s="108" t="s">
        <v>66</v>
      </c>
      <c r="V311" s="108" t="s">
        <v>66</v>
      </c>
      <c r="W311" s="125" t="str">
        <f>IF(TblDetailBudget[[#This Row],[Level]]=LvlBottomHdr, IF(SUM(TblDetailBudget[[#This Row],[2021 Quant]:[2025 Quant]])&gt;0, SUM(TblDetailBudget[[#This Row],[2021 Quant]:[2025 Quant]]), ""), "")</f>
        <v/>
      </c>
      <c r="X31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1" s="140">
        <f>SUM(TblDetailBudget[[#This Row],[2021 Cost (LCU)]:[2025 Cost (LCU)]])</f>
        <v>0</v>
      </c>
      <c r="AD311" s="134">
        <f>IFERROR(SUM(TblDetailBudget[[#This Row],[2021 Cost (LCU)]])/FX_Rate, "")</f>
        <v>0</v>
      </c>
      <c r="AE311" s="63">
        <f>IFERROR(SUM(TblDetailBudget[[#This Row],[2022 Cost (LCU)]])/FX_Rate, "")</f>
        <v>0</v>
      </c>
      <c r="AF311" s="63">
        <f>IFERROR(SUM(TblDetailBudget[[#This Row],[2023 Cost (LCU)]])/FX_Rate, "")</f>
        <v>0</v>
      </c>
      <c r="AG311" s="63">
        <f>IFERROR(SUM(TblDetailBudget[[#This Row],[2024 Cost (LCU)]])/FX_Rate, "")</f>
        <v>0</v>
      </c>
      <c r="AH311" s="63">
        <f>IFERROR(SUM(TblDetailBudget[[#This Row],[2025 Cost (LCU)]])/FX_Rate, "")</f>
        <v>0</v>
      </c>
      <c r="AI311" s="125">
        <f>SUM(TblDetailBudget[[#This Row],[2021 Cost (USD)]:[2025 Cost (USD)]])</f>
        <v>0</v>
      </c>
      <c r="AJ311" s="180"/>
    </row>
    <row r="312" spans="2:36" ht="12.75" customHeight="1">
      <c r="B312" s="122"/>
      <c r="C3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2" s="62" t="str">
        <f>IF(TblDetailBudget[[#This Row],[Level]]="", "", COUNTIFS($B$8:TblDetailBudget[[#This Row],[Level]], Lvl1Hdr))</f>
        <v/>
      </c>
      <c r="E312" s="62" t="str">
        <f>IF(TblDetailBudget[[#This Row],[Level]]="", "", COUNTIFS($B$8:TblDetailBudget[[#This Row],[Level]], Lvl2Hdr, $D$8:TblDetailBudget[[#This Row],[Lvl 1 Header]], TblDetailBudget[[#This Row],[Lvl 1 Header]]))</f>
        <v/>
      </c>
      <c r="F312" s="62" t="str">
        <f>IF(TblDetailBudget[[#This Row],[Level]]="", "", COUNTIFS($B$8:TblDetailBudget[[#This Row],[Level]], Lvl3Hdr, $D$8:TblDetailBudget[[#This Row],[Lvl 1 Header]], TblDetailBudget[[#This Row],[Lvl 1 Header]], $E$8:TblDetailBudget[[#This Row],[Lvl 2 Header]], TblDetailBudget[[#This Row],[Lvl 2 Header]]))</f>
        <v/>
      </c>
      <c r="G31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2" s="101"/>
      <c r="J312" s="101"/>
      <c r="K312" s="88"/>
      <c r="L312" s="88"/>
      <c r="M312" s="62" t="str">
        <f>IF(TblDetailBudget[[#This Row],[Level]]=LvlBottomHdr, IFERROR(INDEX(TblUnitCost[Unit], MATCH(TblDetailBudget[[#This Row],[Row Title]], TblUnitCost[Resource], 0)), "Invalid Resource"), "")</f>
        <v/>
      </c>
      <c r="N312" s="125" t="str">
        <f>IF(TblDetailBudget[[#This Row],[Level]]=LvlBottomHdr, IFERROR(INDEX(TblUnitCost[LCU], MATCH(TblDetailBudget[[#This Row],[Row Title]], TblUnitCost[Resource], 0)), "Invalid Resource"), "")</f>
        <v/>
      </c>
      <c r="O312" s="128"/>
      <c r="P312" s="108"/>
      <c r="Q312" s="129"/>
      <c r="R312" s="108" t="s">
        <v>66</v>
      </c>
      <c r="S312" s="108" t="s">
        <v>66</v>
      </c>
      <c r="T312" s="108" t="s">
        <v>66</v>
      </c>
      <c r="U312" s="108" t="s">
        <v>66</v>
      </c>
      <c r="V312" s="108" t="s">
        <v>66</v>
      </c>
      <c r="W312" s="125" t="str">
        <f>IF(TblDetailBudget[[#This Row],[Level]]=LvlBottomHdr, IF(SUM(TblDetailBudget[[#This Row],[2021 Quant]:[2025 Quant]])&gt;0, SUM(TblDetailBudget[[#This Row],[2021 Quant]:[2025 Quant]]), ""), "")</f>
        <v/>
      </c>
      <c r="X31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2" s="140">
        <f>SUM(TblDetailBudget[[#This Row],[2021 Cost (LCU)]:[2025 Cost (LCU)]])</f>
        <v>0</v>
      </c>
      <c r="AD312" s="134">
        <f>IFERROR(SUM(TblDetailBudget[[#This Row],[2021 Cost (LCU)]])/FX_Rate, "")</f>
        <v>0</v>
      </c>
      <c r="AE312" s="63">
        <f>IFERROR(SUM(TblDetailBudget[[#This Row],[2022 Cost (LCU)]])/FX_Rate, "")</f>
        <v>0</v>
      </c>
      <c r="AF312" s="63">
        <f>IFERROR(SUM(TblDetailBudget[[#This Row],[2023 Cost (LCU)]])/FX_Rate, "")</f>
        <v>0</v>
      </c>
      <c r="AG312" s="63">
        <f>IFERROR(SUM(TblDetailBudget[[#This Row],[2024 Cost (LCU)]])/FX_Rate, "")</f>
        <v>0</v>
      </c>
      <c r="AH312" s="63">
        <f>IFERROR(SUM(TblDetailBudget[[#This Row],[2025 Cost (LCU)]])/FX_Rate, "")</f>
        <v>0</v>
      </c>
      <c r="AI312" s="125">
        <f>SUM(TblDetailBudget[[#This Row],[2021 Cost (USD)]:[2025 Cost (USD)]])</f>
        <v>0</v>
      </c>
      <c r="AJ312" s="180"/>
    </row>
    <row r="313" spans="2:36" ht="12.75" customHeight="1">
      <c r="B313" s="122"/>
      <c r="C3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3" s="62" t="str">
        <f>IF(TblDetailBudget[[#This Row],[Level]]="", "", COUNTIFS($B$8:TblDetailBudget[[#This Row],[Level]], Lvl1Hdr))</f>
        <v/>
      </c>
      <c r="E313" s="62" t="str">
        <f>IF(TblDetailBudget[[#This Row],[Level]]="", "", COUNTIFS($B$8:TblDetailBudget[[#This Row],[Level]], Lvl2Hdr, $D$8:TblDetailBudget[[#This Row],[Lvl 1 Header]], TblDetailBudget[[#This Row],[Lvl 1 Header]]))</f>
        <v/>
      </c>
      <c r="F313" s="62" t="str">
        <f>IF(TblDetailBudget[[#This Row],[Level]]="", "", COUNTIFS($B$8:TblDetailBudget[[#This Row],[Level]], Lvl3Hdr, $D$8:TblDetailBudget[[#This Row],[Lvl 1 Header]], TblDetailBudget[[#This Row],[Lvl 1 Header]], $E$8:TblDetailBudget[[#This Row],[Lvl 2 Header]], TblDetailBudget[[#This Row],[Lvl 2 Header]]))</f>
        <v/>
      </c>
      <c r="G31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3" s="101"/>
      <c r="J313" s="101"/>
      <c r="K313" s="88"/>
      <c r="L313" s="88"/>
      <c r="M313" s="62" t="str">
        <f>IF(TblDetailBudget[[#This Row],[Level]]=LvlBottomHdr, IFERROR(INDEX(TblUnitCost[Unit], MATCH(TblDetailBudget[[#This Row],[Row Title]], TblUnitCost[Resource], 0)), "Invalid Resource"), "")</f>
        <v/>
      </c>
      <c r="N313" s="125" t="str">
        <f>IF(TblDetailBudget[[#This Row],[Level]]=LvlBottomHdr, IFERROR(INDEX(TblUnitCost[LCU], MATCH(TblDetailBudget[[#This Row],[Row Title]], TblUnitCost[Resource], 0)), "Invalid Resource"), "")</f>
        <v/>
      </c>
      <c r="O313" s="128"/>
      <c r="P313" s="108"/>
      <c r="Q313" s="129"/>
      <c r="R313" s="108" t="s">
        <v>66</v>
      </c>
      <c r="S313" s="108" t="s">
        <v>66</v>
      </c>
      <c r="T313" s="108" t="s">
        <v>66</v>
      </c>
      <c r="U313" s="108" t="s">
        <v>66</v>
      </c>
      <c r="V313" s="108" t="s">
        <v>66</v>
      </c>
      <c r="W313" s="125" t="str">
        <f>IF(TblDetailBudget[[#This Row],[Level]]=LvlBottomHdr, IF(SUM(TblDetailBudget[[#This Row],[2021 Quant]:[2025 Quant]])&gt;0, SUM(TblDetailBudget[[#This Row],[2021 Quant]:[2025 Quant]]), ""), "")</f>
        <v/>
      </c>
      <c r="X31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3" s="140">
        <f>SUM(TblDetailBudget[[#This Row],[2021 Cost (LCU)]:[2025 Cost (LCU)]])</f>
        <v>0</v>
      </c>
      <c r="AD313" s="134">
        <f>IFERROR(SUM(TblDetailBudget[[#This Row],[2021 Cost (LCU)]])/FX_Rate, "")</f>
        <v>0</v>
      </c>
      <c r="AE313" s="63">
        <f>IFERROR(SUM(TblDetailBudget[[#This Row],[2022 Cost (LCU)]])/FX_Rate, "")</f>
        <v>0</v>
      </c>
      <c r="AF313" s="63">
        <f>IFERROR(SUM(TblDetailBudget[[#This Row],[2023 Cost (LCU)]])/FX_Rate, "")</f>
        <v>0</v>
      </c>
      <c r="AG313" s="63">
        <f>IFERROR(SUM(TblDetailBudget[[#This Row],[2024 Cost (LCU)]])/FX_Rate, "")</f>
        <v>0</v>
      </c>
      <c r="AH313" s="63">
        <f>IFERROR(SUM(TblDetailBudget[[#This Row],[2025 Cost (LCU)]])/FX_Rate, "")</f>
        <v>0</v>
      </c>
      <c r="AI313" s="125">
        <f>SUM(TblDetailBudget[[#This Row],[2021 Cost (USD)]:[2025 Cost (USD)]])</f>
        <v>0</v>
      </c>
      <c r="AJ313" s="180"/>
    </row>
    <row r="314" spans="2:36" ht="12.75" customHeight="1">
      <c r="B314" s="122"/>
      <c r="C3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4" s="62" t="str">
        <f>IF(TblDetailBudget[[#This Row],[Level]]="", "", COUNTIFS($B$8:TblDetailBudget[[#This Row],[Level]], Lvl1Hdr))</f>
        <v/>
      </c>
      <c r="E314" s="62" t="str">
        <f>IF(TblDetailBudget[[#This Row],[Level]]="", "", COUNTIFS($B$8:TblDetailBudget[[#This Row],[Level]], Lvl2Hdr, $D$8:TblDetailBudget[[#This Row],[Lvl 1 Header]], TblDetailBudget[[#This Row],[Lvl 1 Header]]))</f>
        <v/>
      </c>
      <c r="F314" s="62" t="str">
        <f>IF(TblDetailBudget[[#This Row],[Level]]="", "", COUNTIFS($B$8:TblDetailBudget[[#This Row],[Level]], Lvl3Hdr, $D$8:TblDetailBudget[[#This Row],[Lvl 1 Header]], TblDetailBudget[[#This Row],[Lvl 1 Header]], $E$8:TblDetailBudget[[#This Row],[Lvl 2 Header]], TblDetailBudget[[#This Row],[Lvl 2 Header]]))</f>
        <v/>
      </c>
      <c r="G31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4" s="101"/>
      <c r="J314" s="101"/>
      <c r="K314" s="88"/>
      <c r="L314" s="88"/>
      <c r="M314" s="62" t="str">
        <f>IF(TblDetailBudget[[#This Row],[Level]]=LvlBottomHdr, IFERROR(INDEX(TblUnitCost[Unit], MATCH(TblDetailBudget[[#This Row],[Row Title]], TblUnitCost[Resource], 0)), "Invalid Resource"), "")</f>
        <v/>
      </c>
      <c r="N314" s="125" t="str">
        <f>IF(TblDetailBudget[[#This Row],[Level]]=LvlBottomHdr, IFERROR(INDEX(TblUnitCost[LCU], MATCH(TblDetailBudget[[#This Row],[Row Title]], TblUnitCost[Resource], 0)), "Invalid Resource"), "")</f>
        <v/>
      </c>
      <c r="O314" s="128"/>
      <c r="P314" s="108"/>
      <c r="Q314" s="129"/>
      <c r="R314" s="108" t="s">
        <v>66</v>
      </c>
      <c r="S314" s="108" t="s">
        <v>66</v>
      </c>
      <c r="T314" s="108" t="s">
        <v>66</v>
      </c>
      <c r="U314" s="108" t="s">
        <v>66</v>
      </c>
      <c r="V314" s="108" t="s">
        <v>66</v>
      </c>
      <c r="W314" s="125" t="str">
        <f>IF(TblDetailBudget[[#This Row],[Level]]=LvlBottomHdr, IF(SUM(TblDetailBudget[[#This Row],[2021 Quant]:[2025 Quant]])&gt;0, SUM(TblDetailBudget[[#This Row],[2021 Quant]:[2025 Quant]]), ""), "")</f>
        <v/>
      </c>
      <c r="X31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4" s="140">
        <f>SUM(TblDetailBudget[[#This Row],[2021 Cost (LCU)]:[2025 Cost (LCU)]])</f>
        <v>0</v>
      </c>
      <c r="AD314" s="134">
        <f>IFERROR(SUM(TblDetailBudget[[#This Row],[2021 Cost (LCU)]])/FX_Rate, "")</f>
        <v>0</v>
      </c>
      <c r="AE314" s="63">
        <f>IFERROR(SUM(TblDetailBudget[[#This Row],[2022 Cost (LCU)]])/FX_Rate, "")</f>
        <v>0</v>
      </c>
      <c r="AF314" s="63">
        <f>IFERROR(SUM(TblDetailBudget[[#This Row],[2023 Cost (LCU)]])/FX_Rate, "")</f>
        <v>0</v>
      </c>
      <c r="AG314" s="63">
        <f>IFERROR(SUM(TblDetailBudget[[#This Row],[2024 Cost (LCU)]])/FX_Rate, "")</f>
        <v>0</v>
      </c>
      <c r="AH314" s="63">
        <f>IFERROR(SUM(TblDetailBudget[[#This Row],[2025 Cost (LCU)]])/FX_Rate, "")</f>
        <v>0</v>
      </c>
      <c r="AI314" s="125">
        <f>SUM(TblDetailBudget[[#This Row],[2021 Cost (USD)]:[2025 Cost (USD)]])</f>
        <v>0</v>
      </c>
      <c r="AJ314" s="180"/>
    </row>
    <row r="315" spans="2:36" ht="12.75" customHeight="1">
      <c r="B315" s="122"/>
      <c r="C3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5" s="62" t="str">
        <f>IF(TblDetailBudget[[#This Row],[Level]]="", "", COUNTIFS($B$8:TblDetailBudget[[#This Row],[Level]], Lvl1Hdr))</f>
        <v/>
      </c>
      <c r="E315" s="62" t="str">
        <f>IF(TblDetailBudget[[#This Row],[Level]]="", "", COUNTIFS($B$8:TblDetailBudget[[#This Row],[Level]], Lvl2Hdr, $D$8:TblDetailBudget[[#This Row],[Lvl 1 Header]], TblDetailBudget[[#This Row],[Lvl 1 Header]]))</f>
        <v/>
      </c>
      <c r="F315" s="62" t="str">
        <f>IF(TblDetailBudget[[#This Row],[Level]]="", "", COUNTIFS($B$8:TblDetailBudget[[#This Row],[Level]], Lvl3Hdr, $D$8:TblDetailBudget[[#This Row],[Lvl 1 Header]], TblDetailBudget[[#This Row],[Lvl 1 Header]], $E$8:TblDetailBudget[[#This Row],[Lvl 2 Header]], TblDetailBudget[[#This Row],[Lvl 2 Header]]))</f>
        <v/>
      </c>
      <c r="G31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5" s="101"/>
      <c r="J315" s="101"/>
      <c r="K315" s="88"/>
      <c r="L315" s="88"/>
      <c r="M315" s="62" t="str">
        <f>IF(TblDetailBudget[[#This Row],[Level]]=LvlBottomHdr, IFERROR(INDEX(TblUnitCost[Unit], MATCH(TblDetailBudget[[#This Row],[Row Title]], TblUnitCost[Resource], 0)), "Invalid Resource"), "")</f>
        <v/>
      </c>
      <c r="N315" s="125" t="str">
        <f>IF(TblDetailBudget[[#This Row],[Level]]=LvlBottomHdr, IFERROR(INDEX(TblUnitCost[LCU], MATCH(TblDetailBudget[[#This Row],[Row Title]], TblUnitCost[Resource], 0)), "Invalid Resource"), "")</f>
        <v/>
      </c>
      <c r="O315" s="128"/>
      <c r="P315" s="108"/>
      <c r="Q315" s="129"/>
      <c r="R315" s="108" t="s">
        <v>66</v>
      </c>
      <c r="S315" s="108" t="s">
        <v>66</v>
      </c>
      <c r="T315" s="108" t="s">
        <v>66</v>
      </c>
      <c r="U315" s="108" t="s">
        <v>66</v>
      </c>
      <c r="V315" s="108" t="s">
        <v>66</v>
      </c>
      <c r="W315" s="125" t="str">
        <f>IF(TblDetailBudget[[#This Row],[Level]]=LvlBottomHdr, IF(SUM(TblDetailBudget[[#This Row],[2021 Quant]:[2025 Quant]])&gt;0, SUM(TblDetailBudget[[#This Row],[2021 Quant]:[2025 Quant]]), ""), "")</f>
        <v/>
      </c>
      <c r="X31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5" s="140">
        <f>SUM(TblDetailBudget[[#This Row],[2021 Cost (LCU)]:[2025 Cost (LCU)]])</f>
        <v>0</v>
      </c>
      <c r="AD315" s="134">
        <f>IFERROR(SUM(TblDetailBudget[[#This Row],[2021 Cost (LCU)]])/FX_Rate, "")</f>
        <v>0</v>
      </c>
      <c r="AE315" s="63">
        <f>IFERROR(SUM(TblDetailBudget[[#This Row],[2022 Cost (LCU)]])/FX_Rate, "")</f>
        <v>0</v>
      </c>
      <c r="AF315" s="63">
        <f>IFERROR(SUM(TblDetailBudget[[#This Row],[2023 Cost (LCU)]])/FX_Rate, "")</f>
        <v>0</v>
      </c>
      <c r="AG315" s="63">
        <f>IFERROR(SUM(TblDetailBudget[[#This Row],[2024 Cost (LCU)]])/FX_Rate, "")</f>
        <v>0</v>
      </c>
      <c r="AH315" s="63">
        <f>IFERROR(SUM(TblDetailBudget[[#This Row],[2025 Cost (LCU)]])/FX_Rate, "")</f>
        <v>0</v>
      </c>
      <c r="AI315" s="125">
        <f>SUM(TblDetailBudget[[#This Row],[2021 Cost (USD)]:[2025 Cost (USD)]])</f>
        <v>0</v>
      </c>
      <c r="AJ315" s="180"/>
    </row>
    <row r="316" spans="2:36" ht="12.75" customHeight="1">
      <c r="B316" s="122"/>
      <c r="C3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6" s="62" t="str">
        <f>IF(TblDetailBudget[[#This Row],[Level]]="", "", COUNTIFS($B$8:TblDetailBudget[[#This Row],[Level]], Lvl1Hdr))</f>
        <v/>
      </c>
      <c r="E316" s="62" t="str">
        <f>IF(TblDetailBudget[[#This Row],[Level]]="", "", COUNTIFS($B$8:TblDetailBudget[[#This Row],[Level]], Lvl2Hdr, $D$8:TblDetailBudget[[#This Row],[Lvl 1 Header]], TblDetailBudget[[#This Row],[Lvl 1 Header]]))</f>
        <v/>
      </c>
      <c r="F316" s="62" t="str">
        <f>IF(TblDetailBudget[[#This Row],[Level]]="", "", COUNTIFS($B$8:TblDetailBudget[[#This Row],[Level]], Lvl3Hdr, $D$8:TblDetailBudget[[#This Row],[Lvl 1 Header]], TblDetailBudget[[#This Row],[Lvl 1 Header]], $E$8:TblDetailBudget[[#This Row],[Lvl 2 Header]], TblDetailBudget[[#This Row],[Lvl 2 Header]]))</f>
        <v/>
      </c>
      <c r="G31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6" s="101"/>
      <c r="J316" s="101"/>
      <c r="K316" s="88"/>
      <c r="L316" s="88"/>
      <c r="M316" s="62" t="str">
        <f>IF(TblDetailBudget[[#This Row],[Level]]=LvlBottomHdr, IFERROR(INDEX(TblUnitCost[Unit], MATCH(TblDetailBudget[[#This Row],[Row Title]], TblUnitCost[Resource], 0)), "Invalid Resource"), "")</f>
        <v/>
      </c>
      <c r="N316" s="125" t="str">
        <f>IF(TblDetailBudget[[#This Row],[Level]]=LvlBottomHdr, IFERROR(INDEX(TblUnitCost[LCU], MATCH(TblDetailBudget[[#This Row],[Row Title]], TblUnitCost[Resource], 0)), "Invalid Resource"), "")</f>
        <v/>
      </c>
      <c r="O316" s="128"/>
      <c r="P316" s="108"/>
      <c r="Q316" s="129"/>
      <c r="R316" s="108" t="s">
        <v>66</v>
      </c>
      <c r="S316" s="108" t="s">
        <v>66</v>
      </c>
      <c r="T316" s="108" t="s">
        <v>66</v>
      </c>
      <c r="U316" s="108" t="s">
        <v>66</v>
      </c>
      <c r="V316" s="108" t="s">
        <v>66</v>
      </c>
      <c r="W316" s="125" t="str">
        <f>IF(TblDetailBudget[[#This Row],[Level]]=LvlBottomHdr, IF(SUM(TblDetailBudget[[#This Row],[2021 Quant]:[2025 Quant]])&gt;0, SUM(TblDetailBudget[[#This Row],[2021 Quant]:[2025 Quant]]), ""), "")</f>
        <v/>
      </c>
      <c r="X31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6" s="140">
        <f>SUM(TblDetailBudget[[#This Row],[2021 Cost (LCU)]:[2025 Cost (LCU)]])</f>
        <v>0</v>
      </c>
      <c r="AD316" s="134">
        <f>IFERROR(SUM(TblDetailBudget[[#This Row],[2021 Cost (LCU)]])/FX_Rate, "")</f>
        <v>0</v>
      </c>
      <c r="AE316" s="63">
        <f>IFERROR(SUM(TblDetailBudget[[#This Row],[2022 Cost (LCU)]])/FX_Rate, "")</f>
        <v>0</v>
      </c>
      <c r="AF316" s="63">
        <f>IFERROR(SUM(TblDetailBudget[[#This Row],[2023 Cost (LCU)]])/FX_Rate, "")</f>
        <v>0</v>
      </c>
      <c r="AG316" s="63">
        <f>IFERROR(SUM(TblDetailBudget[[#This Row],[2024 Cost (LCU)]])/FX_Rate, "")</f>
        <v>0</v>
      </c>
      <c r="AH316" s="63">
        <f>IFERROR(SUM(TblDetailBudget[[#This Row],[2025 Cost (LCU)]])/FX_Rate, "")</f>
        <v>0</v>
      </c>
      <c r="AI316" s="125">
        <f>SUM(TblDetailBudget[[#This Row],[2021 Cost (USD)]:[2025 Cost (USD)]])</f>
        <v>0</v>
      </c>
      <c r="AJ316" s="180"/>
    </row>
    <row r="317" spans="2:36" ht="12.75" customHeight="1">
      <c r="B317" s="122"/>
      <c r="C3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7" s="62" t="str">
        <f>IF(TblDetailBudget[[#This Row],[Level]]="", "", COUNTIFS($B$8:TblDetailBudget[[#This Row],[Level]], Lvl1Hdr))</f>
        <v/>
      </c>
      <c r="E317" s="62" t="str">
        <f>IF(TblDetailBudget[[#This Row],[Level]]="", "", COUNTIFS($B$8:TblDetailBudget[[#This Row],[Level]], Lvl2Hdr, $D$8:TblDetailBudget[[#This Row],[Lvl 1 Header]], TblDetailBudget[[#This Row],[Lvl 1 Header]]))</f>
        <v/>
      </c>
      <c r="F317" s="62" t="str">
        <f>IF(TblDetailBudget[[#This Row],[Level]]="", "", COUNTIFS($B$8:TblDetailBudget[[#This Row],[Level]], Lvl3Hdr, $D$8:TblDetailBudget[[#This Row],[Lvl 1 Header]], TblDetailBudget[[#This Row],[Lvl 1 Header]], $E$8:TblDetailBudget[[#This Row],[Lvl 2 Header]], TblDetailBudget[[#This Row],[Lvl 2 Header]]))</f>
        <v/>
      </c>
      <c r="G31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7" s="101"/>
      <c r="J317" s="101"/>
      <c r="K317" s="88"/>
      <c r="L317" s="88"/>
      <c r="M317" s="62" t="str">
        <f>IF(TblDetailBudget[[#This Row],[Level]]=LvlBottomHdr, IFERROR(INDEX(TblUnitCost[Unit], MATCH(TblDetailBudget[[#This Row],[Row Title]], TblUnitCost[Resource], 0)), "Invalid Resource"), "")</f>
        <v/>
      </c>
      <c r="N317" s="125" t="str">
        <f>IF(TblDetailBudget[[#This Row],[Level]]=LvlBottomHdr, IFERROR(INDEX(TblUnitCost[LCU], MATCH(TblDetailBudget[[#This Row],[Row Title]], TblUnitCost[Resource], 0)), "Invalid Resource"), "")</f>
        <v/>
      </c>
      <c r="O317" s="128"/>
      <c r="P317" s="108"/>
      <c r="Q317" s="129"/>
      <c r="R317" s="108" t="s">
        <v>66</v>
      </c>
      <c r="S317" s="108" t="s">
        <v>66</v>
      </c>
      <c r="T317" s="108" t="s">
        <v>66</v>
      </c>
      <c r="U317" s="108" t="s">
        <v>66</v>
      </c>
      <c r="V317" s="108" t="s">
        <v>66</v>
      </c>
      <c r="W317" s="125" t="str">
        <f>IF(TblDetailBudget[[#This Row],[Level]]=LvlBottomHdr, IF(SUM(TblDetailBudget[[#This Row],[2021 Quant]:[2025 Quant]])&gt;0, SUM(TblDetailBudget[[#This Row],[2021 Quant]:[2025 Quant]]), ""), "")</f>
        <v/>
      </c>
      <c r="X31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7" s="140">
        <f>SUM(TblDetailBudget[[#This Row],[2021 Cost (LCU)]:[2025 Cost (LCU)]])</f>
        <v>0</v>
      </c>
      <c r="AD317" s="134">
        <f>IFERROR(SUM(TblDetailBudget[[#This Row],[2021 Cost (LCU)]])/FX_Rate, "")</f>
        <v>0</v>
      </c>
      <c r="AE317" s="63">
        <f>IFERROR(SUM(TblDetailBudget[[#This Row],[2022 Cost (LCU)]])/FX_Rate, "")</f>
        <v>0</v>
      </c>
      <c r="AF317" s="63">
        <f>IFERROR(SUM(TblDetailBudget[[#This Row],[2023 Cost (LCU)]])/FX_Rate, "")</f>
        <v>0</v>
      </c>
      <c r="AG317" s="63">
        <f>IFERROR(SUM(TblDetailBudget[[#This Row],[2024 Cost (LCU)]])/FX_Rate, "")</f>
        <v>0</v>
      </c>
      <c r="AH317" s="63">
        <f>IFERROR(SUM(TblDetailBudget[[#This Row],[2025 Cost (LCU)]])/FX_Rate, "")</f>
        <v>0</v>
      </c>
      <c r="AI317" s="125">
        <f>SUM(TblDetailBudget[[#This Row],[2021 Cost (USD)]:[2025 Cost (USD)]])</f>
        <v>0</v>
      </c>
      <c r="AJ317" s="180"/>
    </row>
    <row r="318" spans="2:36" ht="12.75" customHeight="1">
      <c r="B318" s="122"/>
      <c r="C3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8" s="62" t="str">
        <f>IF(TblDetailBudget[[#This Row],[Level]]="", "", COUNTIFS($B$8:TblDetailBudget[[#This Row],[Level]], Lvl1Hdr))</f>
        <v/>
      </c>
      <c r="E318" s="62" t="str">
        <f>IF(TblDetailBudget[[#This Row],[Level]]="", "", COUNTIFS($B$8:TblDetailBudget[[#This Row],[Level]], Lvl2Hdr, $D$8:TblDetailBudget[[#This Row],[Lvl 1 Header]], TblDetailBudget[[#This Row],[Lvl 1 Header]]))</f>
        <v/>
      </c>
      <c r="F318" s="62" t="str">
        <f>IF(TblDetailBudget[[#This Row],[Level]]="", "", COUNTIFS($B$8:TblDetailBudget[[#This Row],[Level]], Lvl3Hdr, $D$8:TblDetailBudget[[#This Row],[Lvl 1 Header]], TblDetailBudget[[#This Row],[Lvl 1 Header]], $E$8:TblDetailBudget[[#This Row],[Lvl 2 Header]], TblDetailBudget[[#This Row],[Lvl 2 Header]]))</f>
        <v/>
      </c>
      <c r="G31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8" s="101"/>
      <c r="J318" s="101"/>
      <c r="K318" s="88"/>
      <c r="L318" s="88"/>
      <c r="M318" s="62" t="str">
        <f>IF(TblDetailBudget[[#This Row],[Level]]=LvlBottomHdr, IFERROR(INDEX(TblUnitCost[Unit], MATCH(TblDetailBudget[[#This Row],[Row Title]], TblUnitCost[Resource], 0)), "Invalid Resource"), "")</f>
        <v/>
      </c>
      <c r="N318" s="125" t="str">
        <f>IF(TblDetailBudget[[#This Row],[Level]]=LvlBottomHdr, IFERROR(INDEX(TblUnitCost[LCU], MATCH(TblDetailBudget[[#This Row],[Row Title]], TblUnitCost[Resource], 0)), "Invalid Resource"), "")</f>
        <v/>
      </c>
      <c r="O318" s="128"/>
      <c r="P318" s="108"/>
      <c r="Q318" s="129"/>
      <c r="R318" s="108" t="s">
        <v>66</v>
      </c>
      <c r="S318" s="108" t="s">
        <v>66</v>
      </c>
      <c r="T318" s="108" t="s">
        <v>66</v>
      </c>
      <c r="U318" s="108" t="s">
        <v>66</v>
      </c>
      <c r="V318" s="108" t="s">
        <v>66</v>
      </c>
      <c r="W318" s="125" t="str">
        <f>IF(TblDetailBudget[[#This Row],[Level]]=LvlBottomHdr, IF(SUM(TblDetailBudget[[#This Row],[2021 Quant]:[2025 Quant]])&gt;0, SUM(TblDetailBudget[[#This Row],[2021 Quant]:[2025 Quant]]), ""), "")</f>
        <v/>
      </c>
      <c r="X31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8" s="140">
        <f>SUM(TblDetailBudget[[#This Row],[2021 Cost (LCU)]:[2025 Cost (LCU)]])</f>
        <v>0</v>
      </c>
      <c r="AD318" s="134">
        <f>IFERROR(SUM(TblDetailBudget[[#This Row],[2021 Cost (LCU)]])/FX_Rate, "")</f>
        <v>0</v>
      </c>
      <c r="AE318" s="63">
        <f>IFERROR(SUM(TblDetailBudget[[#This Row],[2022 Cost (LCU)]])/FX_Rate, "")</f>
        <v>0</v>
      </c>
      <c r="AF318" s="63">
        <f>IFERROR(SUM(TblDetailBudget[[#This Row],[2023 Cost (LCU)]])/FX_Rate, "")</f>
        <v>0</v>
      </c>
      <c r="AG318" s="63">
        <f>IFERROR(SUM(TblDetailBudget[[#This Row],[2024 Cost (LCU)]])/FX_Rate, "")</f>
        <v>0</v>
      </c>
      <c r="AH318" s="63">
        <f>IFERROR(SUM(TblDetailBudget[[#This Row],[2025 Cost (LCU)]])/FX_Rate, "")</f>
        <v>0</v>
      </c>
      <c r="AI318" s="125">
        <f>SUM(TblDetailBudget[[#This Row],[2021 Cost (USD)]:[2025 Cost (USD)]])</f>
        <v>0</v>
      </c>
      <c r="AJ318" s="180"/>
    </row>
    <row r="319" spans="2:36" ht="12.75" customHeight="1">
      <c r="B319" s="122"/>
      <c r="C3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9" s="62" t="str">
        <f>IF(TblDetailBudget[[#This Row],[Level]]="", "", COUNTIFS($B$8:TblDetailBudget[[#This Row],[Level]], Lvl1Hdr))</f>
        <v/>
      </c>
      <c r="E319" s="62" t="str">
        <f>IF(TblDetailBudget[[#This Row],[Level]]="", "", COUNTIFS($B$8:TblDetailBudget[[#This Row],[Level]], Lvl2Hdr, $D$8:TblDetailBudget[[#This Row],[Lvl 1 Header]], TblDetailBudget[[#This Row],[Lvl 1 Header]]))</f>
        <v/>
      </c>
      <c r="F319" s="62" t="str">
        <f>IF(TblDetailBudget[[#This Row],[Level]]="", "", COUNTIFS($B$8:TblDetailBudget[[#This Row],[Level]], Lvl3Hdr, $D$8:TblDetailBudget[[#This Row],[Lvl 1 Header]], TblDetailBudget[[#This Row],[Lvl 1 Header]], $E$8:TblDetailBudget[[#This Row],[Lvl 2 Header]], TblDetailBudget[[#This Row],[Lvl 2 Header]]))</f>
        <v/>
      </c>
      <c r="G31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9" s="101"/>
      <c r="J319" s="101"/>
      <c r="K319" s="88"/>
      <c r="L319" s="88"/>
      <c r="M319" s="62" t="str">
        <f>IF(TblDetailBudget[[#This Row],[Level]]=LvlBottomHdr, IFERROR(INDEX(TblUnitCost[Unit], MATCH(TblDetailBudget[[#This Row],[Row Title]], TblUnitCost[Resource], 0)), "Invalid Resource"), "")</f>
        <v/>
      </c>
      <c r="N319" s="125" t="str">
        <f>IF(TblDetailBudget[[#This Row],[Level]]=LvlBottomHdr, IFERROR(INDEX(TblUnitCost[LCU], MATCH(TblDetailBudget[[#This Row],[Row Title]], TblUnitCost[Resource], 0)), "Invalid Resource"), "")</f>
        <v/>
      </c>
      <c r="O319" s="128"/>
      <c r="P319" s="108"/>
      <c r="Q319" s="129"/>
      <c r="R319" s="108" t="s">
        <v>66</v>
      </c>
      <c r="S319" s="108" t="s">
        <v>66</v>
      </c>
      <c r="T319" s="108" t="s">
        <v>66</v>
      </c>
      <c r="U319" s="108" t="s">
        <v>66</v>
      </c>
      <c r="V319" s="108" t="s">
        <v>66</v>
      </c>
      <c r="W319" s="125" t="str">
        <f>IF(TblDetailBudget[[#This Row],[Level]]=LvlBottomHdr, IF(SUM(TblDetailBudget[[#This Row],[2021 Quant]:[2025 Quant]])&gt;0, SUM(TblDetailBudget[[#This Row],[2021 Quant]:[2025 Quant]]), ""), "")</f>
        <v/>
      </c>
      <c r="X3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9" s="140">
        <f>SUM(TblDetailBudget[[#This Row],[2021 Cost (LCU)]:[2025 Cost (LCU)]])</f>
        <v>0</v>
      </c>
      <c r="AD319" s="134">
        <f>IFERROR(SUM(TblDetailBudget[[#This Row],[2021 Cost (LCU)]])/FX_Rate, "")</f>
        <v>0</v>
      </c>
      <c r="AE319" s="63">
        <f>IFERROR(SUM(TblDetailBudget[[#This Row],[2022 Cost (LCU)]])/FX_Rate, "")</f>
        <v>0</v>
      </c>
      <c r="AF319" s="63">
        <f>IFERROR(SUM(TblDetailBudget[[#This Row],[2023 Cost (LCU)]])/FX_Rate, "")</f>
        <v>0</v>
      </c>
      <c r="AG319" s="63">
        <f>IFERROR(SUM(TblDetailBudget[[#This Row],[2024 Cost (LCU)]])/FX_Rate, "")</f>
        <v>0</v>
      </c>
      <c r="AH319" s="63">
        <f>IFERROR(SUM(TblDetailBudget[[#This Row],[2025 Cost (LCU)]])/FX_Rate, "")</f>
        <v>0</v>
      </c>
      <c r="AI319" s="125">
        <f>SUM(TblDetailBudget[[#This Row],[2021 Cost (USD)]:[2025 Cost (USD)]])</f>
        <v>0</v>
      </c>
      <c r="AJ319" s="180"/>
    </row>
    <row r="320" spans="2:36" ht="12.75" customHeight="1">
      <c r="B320" s="122"/>
      <c r="C3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0" s="62" t="str">
        <f>IF(TblDetailBudget[[#This Row],[Level]]="", "", COUNTIFS($B$8:TblDetailBudget[[#This Row],[Level]], Lvl1Hdr))</f>
        <v/>
      </c>
      <c r="E320" s="62" t="str">
        <f>IF(TblDetailBudget[[#This Row],[Level]]="", "", COUNTIFS($B$8:TblDetailBudget[[#This Row],[Level]], Lvl2Hdr, $D$8:TblDetailBudget[[#This Row],[Lvl 1 Header]], TblDetailBudget[[#This Row],[Lvl 1 Header]]))</f>
        <v/>
      </c>
      <c r="F320" s="62" t="str">
        <f>IF(TblDetailBudget[[#This Row],[Level]]="", "", COUNTIFS($B$8:TblDetailBudget[[#This Row],[Level]], Lvl3Hdr, $D$8:TblDetailBudget[[#This Row],[Lvl 1 Header]], TblDetailBudget[[#This Row],[Lvl 1 Header]], $E$8:TblDetailBudget[[#This Row],[Lvl 2 Header]], TblDetailBudget[[#This Row],[Lvl 2 Header]]))</f>
        <v/>
      </c>
      <c r="G32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0" s="101"/>
      <c r="J320" s="101"/>
      <c r="K320" s="88"/>
      <c r="L320" s="88"/>
      <c r="M320" s="62" t="str">
        <f>IF(TblDetailBudget[[#This Row],[Level]]=LvlBottomHdr, IFERROR(INDEX(TblUnitCost[Unit], MATCH(TblDetailBudget[[#This Row],[Row Title]], TblUnitCost[Resource], 0)), "Invalid Resource"), "")</f>
        <v/>
      </c>
      <c r="N320" s="125" t="str">
        <f>IF(TblDetailBudget[[#This Row],[Level]]=LvlBottomHdr, IFERROR(INDEX(TblUnitCost[LCU], MATCH(TblDetailBudget[[#This Row],[Row Title]], TblUnitCost[Resource], 0)), "Invalid Resource"), "")</f>
        <v/>
      </c>
      <c r="O320" s="128"/>
      <c r="P320" s="108"/>
      <c r="Q320" s="129"/>
      <c r="R320" s="108" t="s">
        <v>66</v>
      </c>
      <c r="S320" s="108" t="s">
        <v>66</v>
      </c>
      <c r="T320" s="108" t="s">
        <v>66</v>
      </c>
      <c r="U320" s="108" t="s">
        <v>66</v>
      </c>
      <c r="V320" s="108" t="s">
        <v>66</v>
      </c>
      <c r="W320" s="125" t="str">
        <f>IF(TblDetailBudget[[#This Row],[Level]]=LvlBottomHdr, IF(SUM(TblDetailBudget[[#This Row],[2021 Quant]:[2025 Quant]])&gt;0, SUM(TblDetailBudget[[#This Row],[2021 Quant]:[2025 Quant]]), ""), "")</f>
        <v/>
      </c>
      <c r="X3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0" s="140">
        <f>SUM(TblDetailBudget[[#This Row],[2021 Cost (LCU)]:[2025 Cost (LCU)]])</f>
        <v>0</v>
      </c>
      <c r="AD320" s="134">
        <f>IFERROR(SUM(TblDetailBudget[[#This Row],[2021 Cost (LCU)]])/FX_Rate, "")</f>
        <v>0</v>
      </c>
      <c r="AE320" s="63">
        <f>IFERROR(SUM(TblDetailBudget[[#This Row],[2022 Cost (LCU)]])/FX_Rate, "")</f>
        <v>0</v>
      </c>
      <c r="AF320" s="63">
        <f>IFERROR(SUM(TblDetailBudget[[#This Row],[2023 Cost (LCU)]])/FX_Rate, "")</f>
        <v>0</v>
      </c>
      <c r="AG320" s="63">
        <f>IFERROR(SUM(TblDetailBudget[[#This Row],[2024 Cost (LCU)]])/FX_Rate, "")</f>
        <v>0</v>
      </c>
      <c r="AH320" s="63">
        <f>IFERROR(SUM(TblDetailBudget[[#This Row],[2025 Cost (LCU)]])/FX_Rate, "")</f>
        <v>0</v>
      </c>
      <c r="AI320" s="125">
        <f>SUM(TblDetailBudget[[#This Row],[2021 Cost (USD)]:[2025 Cost (USD)]])</f>
        <v>0</v>
      </c>
      <c r="AJ320" s="180"/>
    </row>
    <row r="321" spans="2:36" ht="12.75" customHeight="1">
      <c r="B321" s="122"/>
      <c r="C3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1" s="62" t="str">
        <f>IF(TblDetailBudget[[#This Row],[Level]]="", "", COUNTIFS($B$8:TblDetailBudget[[#This Row],[Level]], Lvl1Hdr))</f>
        <v/>
      </c>
      <c r="E321" s="62" t="str">
        <f>IF(TblDetailBudget[[#This Row],[Level]]="", "", COUNTIFS($B$8:TblDetailBudget[[#This Row],[Level]], Lvl2Hdr, $D$8:TblDetailBudget[[#This Row],[Lvl 1 Header]], TblDetailBudget[[#This Row],[Lvl 1 Header]]))</f>
        <v/>
      </c>
      <c r="F321" s="62" t="str">
        <f>IF(TblDetailBudget[[#This Row],[Level]]="", "", COUNTIFS($B$8:TblDetailBudget[[#This Row],[Level]], Lvl3Hdr, $D$8:TblDetailBudget[[#This Row],[Lvl 1 Header]], TblDetailBudget[[#This Row],[Lvl 1 Header]], $E$8:TblDetailBudget[[#This Row],[Lvl 2 Header]], TblDetailBudget[[#This Row],[Lvl 2 Header]]))</f>
        <v/>
      </c>
      <c r="G32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1" s="101"/>
      <c r="J321" s="101"/>
      <c r="K321" s="88"/>
      <c r="L321" s="88"/>
      <c r="M321" s="62" t="str">
        <f>IF(TblDetailBudget[[#This Row],[Level]]=LvlBottomHdr, IFERROR(INDEX(TblUnitCost[Unit], MATCH(TblDetailBudget[[#This Row],[Row Title]], TblUnitCost[Resource], 0)), "Invalid Resource"), "")</f>
        <v/>
      </c>
      <c r="N321" s="125" t="str">
        <f>IF(TblDetailBudget[[#This Row],[Level]]=LvlBottomHdr, IFERROR(INDEX(TblUnitCost[LCU], MATCH(TblDetailBudget[[#This Row],[Row Title]], TblUnitCost[Resource], 0)), "Invalid Resource"), "")</f>
        <v/>
      </c>
      <c r="O321" s="128"/>
      <c r="P321" s="108"/>
      <c r="Q321" s="129"/>
      <c r="R321" s="108" t="s">
        <v>66</v>
      </c>
      <c r="S321" s="108" t="s">
        <v>66</v>
      </c>
      <c r="T321" s="108" t="s">
        <v>66</v>
      </c>
      <c r="U321" s="108" t="s">
        <v>66</v>
      </c>
      <c r="V321" s="108" t="s">
        <v>66</v>
      </c>
      <c r="W321" s="125" t="str">
        <f>IF(TblDetailBudget[[#This Row],[Level]]=LvlBottomHdr, IF(SUM(TblDetailBudget[[#This Row],[2021 Quant]:[2025 Quant]])&gt;0, SUM(TblDetailBudget[[#This Row],[2021 Quant]:[2025 Quant]]), ""), "")</f>
        <v/>
      </c>
      <c r="X3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1" s="140">
        <f>SUM(TblDetailBudget[[#This Row],[2021 Cost (LCU)]:[2025 Cost (LCU)]])</f>
        <v>0</v>
      </c>
      <c r="AD321" s="134">
        <f>IFERROR(SUM(TblDetailBudget[[#This Row],[2021 Cost (LCU)]])/FX_Rate, "")</f>
        <v>0</v>
      </c>
      <c r="AE321" s="63">
        <f>IFERROR(SUM(TblDetailBudget[[#This Row],[2022 Cost (LCU)]])/FX_Rate, "")</f>
        <v>0</v>
      </c>
      <c r="AF321" s="63">
        <f>IFERROR(SUM(TblDetailBudget[[#This Row],[2023 Cost (LCU)]])/FX_Rate, "")</f>
        <v>0</v>
      </c>
      <c r="AG321" s="63">
        <f>IFERROR(SUM(TblDetailBudget[[#This Row],[2024 Cost (LCU)]])/FX_Rate, "")</f>
        <v>0</v>
      </c>
      <c r="AH321" s="63">
        <f>IFERROR(SUM(TblDetailBudget[[#This Row],[2025 Cost (LCU)]])/FX_Rate, "")</f>
        <v>0</v>
      </c>
      <c r="AI321" s="125">
        <f>SUM(TblDetailBudget[[#This Row],[2021 Cost (USD)]:[2025 Cost (USD)]])</f>
        <v>0</v>
      </c>
      <c r="AJ321" s="180"/>
    </row>
    <row r="322" spans="2:36" ht="12.75" customHeight="1">
      <c r="B322" s="122"/>
      <c r="C3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2" s="62" t="str">
        <f>IF(TblDetailBudget[[#This Row],[Level]]="", "", COUNTIFS($B$8:TblDetailBudget[[#This Row],[Level]], Lvl1Hdr))</f>
        <v/>
      </c>
      <c r="E322" s="62" t="str">
        <f>IF(TblDetailBudget[[#This Row],[Level]]="", "", COUNTIFS($B$8:TblDetailBudget[[#This Row],[Level]], Lvl2Hdr, $D$8:TblDetailBudget[[#This Row],[Lvl 1 Header]], TblDetailBudget[[#This Row],[Lvl 1 Header]]))</f>
        <v/>
      </c>
      <c r="F322" s="62" t="str">
        <f>IF(TblDetailBudget[[#This Row],[Level]]="", "", COUNTIFS($B$8:TblDetailBudget[[#This Row],[Level]], Lvl3Hdr, $D$8:TblDetailBudget[[#This Row],[Lvl 1 Header]], TblDetailBudget[[#This Row],[Lvl 1 Header]], $E$8:TblDetailBudget[[#This Row],[Lvl 2 Header]], TblDetailBudget[[#This Row],[Lvl 2 Header]]))</f>
        <v/>
      </c>
      <c r="G32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2" s="101"/>
      <c r="J322" s="101"/>
      <c r="K322" s="88"/>
      <c r="L322" s="88"/>
      <c r="M322" s="62" t="str">
        <f>IF(TblDetailBudget[[#This Row],[Level]]=LvlBottomHdr, IFERROR(INDEX(TblUnitCost[Unit], MATCH(TblDetailBudget[[#This Row],[Row Title]], TblUnitCost[Resource], 0)), "Invalid Resource"), "")</f>
        <v/>
      </c>
      <c r="N322" s="125" t="str">
        <f>IF(TblDetailBudget[[#This Row],[Level]]=LvlBottomHdr, IFERROR(INDEX(TblUnitCost[LCU], MATCH(TblDetailBudget[[#This Row],[Row Title]], TblUnitCost[Resource], 0)), "Invalid Resource"), "")</f>
        <v/>
      </c>
      <c r="O322" s="128"/>
      <c r="P322" s="108"/>
      <c r="Q322" s="129"/>
      <c r="R322" s="108" t="s">
        <v>66</v>
      </c>
      <c r="S322" s="108" t="s">
        <v>66</v>
      </c>
      <c r="T322" s="108" t="s">
        <v>66</v>
      </c>
      <c r="U322" s="108" t="s">
        <v>66</v>
      </c>
      <c r="V322" s="108" t="s">
        <v>66</v>
      </c>
      <c r="W322" s="125" t="str">
        <f>IF(TblDetailBudget[[#This Row],[Level]]=LvlBottomHdr, IF(SUM(TblDetailBudget[[#This Row],[2021 Quant]:[2025 Quant]])&gt;0, SUM(TblDetailBudget[[#This Row],[2021 Quant]:[2025 Quant]]), ""), "")</f>
        <v/>
      </c>
      <c r="X32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2" s="140">
        <f>SUM(TblDetailBudget[[#This Row],[2021 Cost (LCU)]:[2025 Cost (LCU)]])</f>
        <v>0</v>
      </c>
      <c r="AD322" s="134">
        <f>IFERROR(SUM(TblDetailBudget[[#This Row],[2021 Cost (LCU)]])/FX_Rate, "")</f>
        <v>0</v>
      </c>
      <c r="AE322" s="63">
        <f>IFERROR(SUM(TblDetailBudget[[#This Row],[2022 Cost (LCU)]])/FX_Rate, "")</f>
        <v>0</v>
      </c>
      <c r="AF322" s="63">
        <f>IFERROR(SUM(TblDetailBudget[[#This Row],[2023 Cost (LCU)]])/FX_Rate, "")</f>
        <v>0</v>
      </c>
      <c r="AG322" s="63">
        <f>IFERROR(SUM(TblDetailBudget[[#This Row],[2024 Cost (LCU)]])/FX_Rate, "")</f>
        <v>0</v>
      </c>
      <c r="AH322" s="63">
        <f>IFERROR(SUM(TblDetailBudget[[#This Row],[2025 Cost (LCU)]])/FX_Rate, "")</f>
        <v>0</v>
      </c>
      <c r="AI322" s="125">
        <f>SUM(TblDetailBudget[[#This Row],[2021 Cost (USD)]:[2025 Cost (USD)]])</f>
        <v>0</v>
      </c>
      <c r="AJ322" s="180"/>
    </row>
    <row r="323" spans="2:36" ht="12.75" customHeight="1">
      <c r="B323" s="122"/>
      <c r="C3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3" s="62" t="str">
        <f>IF(TblDetailBudget[[#This Row],[Level]]="", "", COUNTIFS($B$8:TblDetailBudget[[#This Row],[Level]], Lvl1Hdr))</f>
        <v/>
      </c>
      <c r="E323" s="62" t="str">
        <f>IF(TblDetailBudget[[#This Row],[Level]]="", "", COUNTIFS($B$8:TblDetailBudget[[#This Row],[Level]], Lvl2Hdr, $D$8:TblDetailBudget[[#This Row],[Lvl 1 Header]], TblDetailBudget[[#This Row],[Lvl 1 Header]]))</f>
        <v/>
      </c>
      <c r="F323" s="62" t="str">
        <f>IF(TblDetailBudget[[#This Row],[Level]]="", "", COUNTIFS($B$8:TblDetailBudget[[#This Row],[Level]], Lvl3Hdr, $D$8:TblDetailBudget[[#This Row],[Lvl 1 Header]], TblDetailBudget[[#This Row],[Lvl 1 Header]], $E$8:TblDetailBudget[[#This Row],[Lvl 2 Header]], TblDetailBudget[[#This Row],[Lvl 2 Header]]))</f>
        <v/>
      </c>
      <c r="G32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3" s="101"/>
      <c r="J323" s="101"/>
      <c r="K323" s="88"/>
      <c r="L323" s="88"/>
      <c r="M323" s="62" t="str">
        <f>IF(TblDetailBudget[[#This Row],[Level]]=LvlBottomHdr, IFERROR(INDEX(TblUnitCost[Unit], MATCH(TblDetailBudget[[#This Row],[Row Title]], TblUnitCost[Resource], 0)), "Invalid Resource"), "")</f>
        <v/>
      </c>
      <c r="N323" s="125" t="str">
        <f>IF(TblDetailBudget[[#This Row],[Level]]=LvlBottomHdr, IFERROR(INDEX(TblUnitCost[LCU], MATCH(TblDetailBudget[[#This Row],[Row Title]], TblUnitCost[Resource], 0)), "Invalid Resource"), "")</f>
        <v/>
      </c>
      <c r="O323" s="128"/>
      <c r="P323" s="108"/>
      <c r="Q323" s="129"/>
      <c r="R323" s="108" t="s">
        <v>66</v>
      </c>
      <c r="S323" s="108" t="s">
        <v>66</v>
      </c>
      <c r="T323" s="108" t="s">
        <v>66</v>
      </c>
      <c r="U323" s="108" t="s">
        <v>66</v>
      </c>
      <c r="V323" s="108" t="s">
        <v>66</v>
      </c>
      <c r="W323" s="125" t="str">
        <f>IF(TblDetailBudget[[#This Row],[Level]]=LvlBottomHdr, IF(SUM(TblDetailBudget[[#This Row],[2021 Quant]:[2025 Quant]])&gt;0, SUM(TblDetailBudget[[#This Row],[2021 Quant]:[2025 Quant]]), ""), "")</f>
        <v/>
      </c>
      <c r="X32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3" s="140">
        <f>SUM(TblDetailBudget[[#This Row],[2021 Cost (LCU)]:[2025 Cost (LCU)]])</f>
        <v>0</v>
      </c>
      <c r="AD323" s="134">
        <f>IFERROR(SUM(TblDetailBudget[[#This Row],[2021 Cost (LCU)]])/FX_Rate, "")</f>
        <v>0</v>
      </c>
      <c r="AE323" s="63">
        <f>IFERROR(SUM(TblDetailBudget[[#This Row],[2022 Cost (LCU)]])/FX_Rate, "")</f>
        <v>0</v>
      </c>
      <c r="AF323" s="63">
        <f>IFERROR(SUM(TblDetailBudget[[#This Row],[2023 Cost (LCU)]])/FX_Rate, "")</f>
        <v>0</v>
      </c>
      <c r="AG323" s="63">
        <f>IFERROR(SUM(TblDetailBudget[[#This Row],[2024 Cost (LCU)]])/FX_Rate, "")</f>
        <v>0</v>
      </c>
      <c r="AH323" s="63">
        <f>IFERROR(SUM(TblDetailBudget[[#This Row],[2025 Cost (LCU)]])/FX_Rate, "")</f>
        <v>0</v>
      </c>
      <c r="AI323" s="125">
        <f>SUM(TblDetailBudget[[#This Row],[2021 Cost (USD)]:[2025 Cost (USD)]])</f>
        <v>0</v>
      </c>
      <c r="AJ323" s="180"/>
    </row>
    <row r="324" spans="2:36" ht="12.75" customHeight="1">
      <c r="B324" s="122"/>
      <c r="C3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4" s="62" t="str">
        <f>IF(TblDetailBudget[[#This Row],[Level]]="", "", COUNTIFS($B$8:TblDetailBudget[[#This Row],[Level]], Lvl1Hdr))</f>
        <v/>
      </c>
      <c r="E324" s="62" t="str">
        <f>IF(TblDetailBudget[[#This Row],[Level]]="", "", COUNTIFS($B$8:TblDetailBudget[[#This Row],[Level]], Lvl2Hdr, $D$8:TblDetailBudget[[#This Row],[Lvl 1 Header]], TblDetailBudget[[#This Row],[Lvl 1 Header]]))</f>
        <v/>
      </c>
      <c r="F324" s="62" t="str">
        <f>IF(TblDetailBudget[[#This Row],[Level]]="", "", COUNTIFS($B$8:TblDetailBudget[[#This Row],[Level]], Lvl3Hdr, $D$8:TblDetailBudget[[#This Row],[Lvl 1 Header]], TblDetailBudget[[#This Row],[Lvl 1 Header]], $E$8:TblDetailBudget[[#This Row],[Lvl 2 Header]], TblDetailBudget[[#This Row],[Lvl 2 Header]]))</f>
        <v/>
      </c>
      <c r="G32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4" s="101"/>
      <c r="J324" s="101"/>
      <c r="K324" s="88"/>
      <c r="L324" s="88"/>
      <c r="M324" s="62" t="str">
        <f>IF(TblDetailBudget[[#This Row],[Level]]=LvlBottomHdr, IFERROR(INDEX(TblUnitCost[Unit], MATCH(TblDetailBudget[[#This Row],[Row Title]], TblUnitCost[Resource], 0)), "Invalid Resource"), "")</f>
        <v/>
      </c>
      <c r="N324" s="125" t="str">
        <f>IF(TblDetailBudget[[#This Row],[Level]]=LvlBottomHdr, IFERROR(INDEX(TblUnitCost[LCU], MATCH(TblDetailBudget[[#This Row],[Row Title]], TblUnitCost[Resource], 0)), "Invalid Resource"), "")</f>
        <v/>
      </c>
      <c r="O324" s="128"/>
      <c r="P324" s="108"/>
      <c r="Q324" s="129"/>
      <c r="R324" s="108" t="s">
        <v>66</v>
      </c>
      <c r="S324" s="108" t="s">
        <v>66</v>
      </c>
      <c r="T324" s="108" t="s">
        <v>66</v>
      </c>
      <c r="U324" s="108" t="s">
        <v>66</v>
      </c>
      <c r="V324" s="108" t="s">
        <v>66</v>
      </c>
      <c r="W324" s="125" t="str">
        <f>IF(TblDetailBudget[[#This Row],[Level]]=LvlBottomHdr, IF(SUM(TblDetailBudget[[#This Row],[2021 Quant]:[2025 Quant]])&gt;0, SUM(TblDetailBudget[[#This Row],[2021 Quant]:[2025 Quant]]), ""), "")</f>
        <v/>
      </c>
      <c r="X32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4" s="140">
        <f>SUM(TblDetailBudget[[#This Row],[2021 Cost (LCU)]:[2025 Cost (LCU)]])</f>
        <v>0</v>
      </c>
      <c r="AD324" s="134">
        <f>IFERROR(SUM(TblDetailBudget[[#This Row],[2021 Cost (LCU)]])/FX_Rate, "")</f>
        <v>0</v>
      </c>
      <c r="AE324" s="63">
        <f>IFERROR(SUM(TblDetailBudget[[#This Row],[2022 Cost (LCU)]])/FX_Rate, "")</f>
        <v>0</v>
      </c>
      <c r="AF324" s="63">
        <f>IFERROR(SUM(TblDetailBudget[[#This Row],[2023 Cost (LCU)]])/FX_Rate, "")</f>
        <v>0</v>
      </c>
      <c r="AG324" s="63">
        <f>IFERROR(SUM(TblDetailBudget[[#This Row],[2024 Cost (LCU)]])/FX_Rate, "")</f>
        <v>0</v>
      </c>
      <c r="AH324" s="63">
        <f>IFERROR(SUM(TblDetailBudget[[#This Row],[2025 Cost (LCU)]])/FX_Rate, "")</f>
        <v>0</v>
      </c>
      <c r="AI324" s="125">
        <f>SUM(TblDetailBudget[[#This Row],[2021 Cost (USD)]:[2025 Cost (USD)]])</f>
        <v>0</v>
      </c>
      <c r="AJ324" s="180"/>
    </row>
    <row r="325" spans="2:36" ht="12.75" customHeight="1">
      <c r="B325" s="122"/>
      <c r="C3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5" s="62" t="str">
        <f>IF(TblDetailBudget[[#This Row],[Level]]="", "", COUNTIFS($B$8:TblDetailBudget[[#This Row],[Level]], Lvl1Hdr))</f>
        <v/>
      </c>
      <c r="E325" s="62" t="str">
        <f>IF(TblDetailBudget[[#This Row],[Level]]="", "", COUNTIFS($B$8:TblDetailBudget[[#This Row],[Level]], Lvl2Hdr, $D$8:TblDetailBudget[[#This Row],[Lvl 1 Header]], TblDetailBudget[[#This Row],[Lvl 1 Header]]))</f>
        <v/>
      </c>
      <c r="F325" s="62" t="str">
        <f>IF(TblDetailBudget[[#This Row],[Level]]="", "", COUNTIFS($B$8:TblDetailBudget[[#This Row],[Level]], Lvl3Hdr, $D$8:TblDetailBudget[[#This Row],[Lvl 1 Header]], TblDetailBudget[[#This Row],[Lvl 1 Header]], $E$8:TblDetailBudget[[#This Row],[Lvl 2 Header]], TblDetailBudget[[#This Row],[Lvl 2 Header]]))</f>
        <v/>
      </c>
      <c r="G32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5" s="101"/>
      <c r="J325" s="101"/>
      <c r="K325" s="88"/>
      <c r="L325" s="88"/>
      <c r="M325" s="62" t="str">
        <f>IF(TblDetailBudget[[#This Row],[Level]]=LvlBottomHdr, IFERROR(INDEX(TblUnitCost[Unit], MATCH(TblDetailBudget[[#This Row],[Row Title]], TblUnitCost[Resource], 0)), "Invalid Resource"), "")</f>
        <v/>
      </c>
      <c r="N325" s="125" t="str">
        <f>IF(TblDetailBudget[[#This Row],[Level]]=LvlBottomHdr, IFERROR(INDEX(TblUnitCost[LCU], MATCH(TblDetailBudget[[#This Row],[Row Title]], TblUnitCost[Resource], 0)), "Invalid Resource"), "")</f>
        <v/>
      </c>
      <c r="O325" s="128"/>
      <c r="P325" s="108"/>
      <c r="Q325" s="129"/>
      <c r="R325" s="108" t="s">
        <v>66</v>
      </c>
      <c r="S325" s="108" t="s">
        <v>66</v>
      </c>
      <c r="T325" s="108" t="s">
        <v>66</v>
      </c>
      <c r="U325" s="108" t="s">
        <v>66</v>
      </c>
      <c r="V325" s="108" t="s">
        <v>66</v>
      </c>
      <c r="W325" s="125" t="str">
        <f>IF(TblDetailBudget[[#This Row],[Level]]=LvlBottomHdr, IF(SUM(TblDetailBudget[[#This Row],[2021 Quant]:[2025 Quant]])&gt;0, SUM(TblDetailBudget[[#This Row],[2021 Quant]:[2025 Quant]]), ""), "")</f>
        <v/>
      </c>
      <c r="X32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5" s="140">
        <f>SUM(TblDetailBudget[[#This Row],[2021 Cost (LCU)]:[2025 Cost (LCU)]])</f>
        <v>0</v>
      </c>
      <c r="AD325" s="134">
        <f>IFERROR(SUM(TblDetailBudget[[#This Row],[2021 Cost (LCU)]])/FX_Rate, "")</f>
        <v>0</v>
      </c>
      <c r="AE325" s="63">
        <f>IFERROR(SUM(TblDetailBudget[[#This Row],[2022 Cost (LCU)]])/FX_Rate, "")</f>
        <v>0</v>
      </c>
      <c r="AF325" s="63">
        <f>IFERROR(SUM(TblDetailBudget[[#This Row],[2023 Cost (LCU)]])/FX_Rate, "")</f>
        <v>0</v>
      </c>
      <c r="AG325" s="63">
        <f>IFERROR(SUM(TblDetailBudget[[#This Row],[2024 Cost (LCU)]])/FX_Rate, "")</f>
        <v>0</v>
      </c>
      <c r="AH325" s="63">
        <f>IFERROR(SUM(TblDetailBudget[[#This Row],[2025 Cost (LCU)]])/FX_Rate, "")</f>
        <v>0</v>
      </c>
      <c r="AI325" s="125">
        <f>SUM(TblDetailBudget[[#This Row],[2021 Cost (USD)]:[2025 Cost (USD)]])</f>
        <v>0</v>
      </c>
      <c r="AJ325" s="180"/>
    </row>
    <row r="326" spans="2:36" ht="12.75" customHeight="1">
      <c r="B326" s="122"/>
      <c r="C3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6" s="62" t="str">
        <f>IF(TblDetailBudget[[#This Row],[Level]]="", "", COUNTIFS($B$8:TblDetailBudget[[#This Row],[Level]], Lvl1Hdr))</f>
        <v/>
      </c>
      <c r="E326" s="62" t="str">
        <f>IF(TblDetailBudget[[#This Row],[Level]]="", "", COUNTIFS($B$8:TblDetailBudget[[#This Row],[Level]], Lvl2Hdr, $D$8:TblDetailBudget[[#This Row],[Lvl 1 Header]], TblDetailBudget[[#This Row],[Lvl 1 Header]]))</f>
        <v/>
      </c>
      <c r="F326" s="62" t="str">
        <f>IF(TblDetailBudget[[#This Row],[Level]]="", "", COUNTIFS($B$8:TblDetailBudget[[#This Row],[Level]], Lvl3Hdr, $D$8:TblDetailBudget[[#This Row],[Lvl 1 Header]], TblDetailBudget[[#This Row],[Lvl 1 Header]], $E$8:TblDetailBudget[[#This Row],[Lvl 2 Header]], TblDetailBudget[[#This Row],[Lvl 2 Header]]))</f>
        <v/>
      </c>
      <c r="G32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6" s="101"/>
      <c r="J326" s="101"/>
      <c r="K326" s="88"/>
      <c r="L326" s="88"/>
      <c r="M326" s="62" t="str">
        <f>IF(TblDetailBudget[[#This Row],[Level]]=LvlBottomHdr, IFERROR(INDEX(TblUnitCost[Unit], MATCH(TblDetailBudget[[#This Row],[Row Title]], TblUnitCost[Resource], 0)), "Invalid Resource"), "")</f>
        <v/>
      </c>
      <c r="N326" s="125" t="str">
        <f>IF(TblDetailBudget[[#This Row],[Level]]=LvlBottomHdr, IFERROR(INDEX(TblUnitCost[LCU], MATCH(TblDetailBudget[[#This Row],[Row Title]], TblUnitCost[Resource], 0)), "Invalid Resource"), "")</f>
        <v/>
      </c>
      <c r="O326" s="128"/>
      <c r="P326" s="108"/>
      <c r="Q326" s="129"/>
      <c r="R326" s="108" t="s">
        <v>66</v>
      </c>
      <c r="S326" s="108" t="s">
        <v>66</v>
      </c>
      <c r="T326" s="108" t="s">
        <v>66</v>
      </c>
      <c r="U326" s="108" t="s">
        <v>66</v>
      </c>
      <c r="V326" s="108" t="s">
        <v>66</v>
      </c>
      <c r="W326" s="125" t="str">
        <f>IF(TblDetailBudget[[#This Row],[Level]]=LvlBottomHdr, IF(SUM(TblDetailBudget[[#This Row],[2021 Quant]:[2025 Quant]])&gt;0, SUM(TblDetailBudget[[#This Row],[2021 Quant]:[2025 Quant]]), ""), "")</f>
        <v/>
      </c>
      <c r="X32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6" s="140">
        <f>SUM(TblDetailBudget[[#This Row],[2021 Cost (LCU)]:[2025 Cost (LCU)]])</f>
        <v>0</v>
      </c>
      <c r="AD326" s="134">
        <f>IFERROR(SUM(TblDetailBudget[[#This Row],[2021 Cost (LCU)]])/FX_Rate, "")</f>
        <v>0</v>
      </c>
      <c r="AE326" s="63">
        <f>IFERROR(SUM(TblDetailBudget[[#This Row],[2022 Cost (LCU)]])/FX_Rate, "")</f>
        <v>0</v>
      </c>
      <c r="AF326" s="63">
        <f>IFERROR(SUM(TblDetailBudget[[#This Row],[2023 Cost (LCU)]])/FX_Rate, "")</f>
        <v>0</v>
      </c>
      <c r="AG326" s="63">
        <f>IFERROR(SUM(TblDetailBudget[[#This Row],[2024 Cost (LCU)]])/FX_Rate, "")</f>
        <v>0</v>
      </c>
      <c r="AH326" s="63">
        <f>IFERROR(SUM(TblDetailBudget[[#This Row],[2025 Cost (LCU)]])/FX_Rate, "")</f>
        <v>0</v>
      </c>
      <c r="AI326" s="125">
        <f>SUM(TblDetailBudget[[#This Row],[2021 Cost (USD)]:[2025 Cost (USD)]])</f>
        <v>0</v>
      </c>
      <c r="AJ326" s="180"/>
    </row>
    <row r="327" spans="2:36" ht="12.75" customHeight="1">
      <c r="B327" s="122"/>
      <c r="C3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7" s="62" t="str">
        <f>IF(TblDetailBudget[[#This Row],[Level]]="", "", COUNTIFS($B$8:TblDetailBudget[[#This Row],[Level]], Lvl1Hdr))</f>
        <v/>
      </c>
      <c r="E327" s="62" t="str">
        <f>IF(TblDetailBudget[[#This Row],[Level]]="", "", COUNTIFS($B$8:TblDetailBudget[[#This Row],[Level]], Lvl2Hdr, $D$8:TblDetailBudget[[#This Row],[Lvl 1 Header]], TblDetailBudget[[#This Row],[Lvl 1 Header]]))</f>
        <v/>
      </c>
      <c r="F327" s="62" t="str">
        <f>IF(TblDetailBudget[[#This Row],[Level]]="", "", COUNTIFS($B$8:TblDetailBudget[[#This Row],[Level]], Lvl3Hdr, $D$8:TblDetailBudget[[#This Row],[Lvl 1 Header]], TblDetailBudget[[#This Row],[Lvl 1 Header]], $E$8:TblDetailBudget[[#This Row],[Lvl 2 Header]], TblDetailBudget[[#This Row],[Lvl 2 Header]]))</f>
        <v/>
      </c>
      <c r="G32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7" s="101"/>
      <c r="J327" s="101"/>
      <c r="K327" s="88"/>
      <c r="L327" s="88"/>
      <c r="M327" s="62" t="str">
        <f>IF(TblDetailBudget[[#This Row],[Level]]=LvlBottomHdr, IFERROR(INDEX(TblUnitCost[Unit], MATCH(TblDetailBudget[[#This Row],[Row Title]], TblUnitCost[Resource], 0)), "Invalid Resource"), "")</f>
        <v/>
      </c>
      <c r="N327" s="125" t="str">
        <f>IF(TblDetailBudget[[#This Row],[Level]]=LvlBottomHdr, IFERROR(INDEX(TblUnitCost[LCU], MATCH(TblDetailBudget[[#This Row],[Row Title]], TblUnitCost[Resource], 0)), "Invalid Resource"), "")</f>
        <v/>
      </c>
      <c r="O327" s="128"/>
      <c r="P327" s="108"/>
      <c r="Q327" s="129"/>
      <c r="R327" s="108" t="s">
        <v>66</v>
      </c>
      <c r="S327" s="108" t="s">
        <v>66</v>
      </c>
      <c r="T327" s="108" t="s">
        <v>66</v>
      </c>
      <c r="U327" s="108" t="s">
        <v>66</v>
      </c>
      <c r="V327" s="108" t="s">
        <v>66</v>
      </c>
      <c r="W327" s="125" t="str">
        <f>IF(TblDetailBudget[[#This Row],[Level]]=LvlBottomHdr, IF(SUM(TblDetailBudget[[#This Row],[2021 Quant]:[2025 Quant]])&gt;0, SUM(TblDetailBudget[[#This Row],[2021 Quant]:[2025 Quant]]), ""), "")</f>
        <v/>
      </c>
      <c r="X32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7" s="140">
        <f>SUM(TblDetailBudget[[#This Row],[2021 Cost (LCU)]:[2025 Cost (LCU)]])</f>
        <v>0</v>
      </c>
      <c r="AD327" s="134">
        <f>IFERROR(SUM(TblDetailBudget[[#This Row],[2021 Cost (LCU)]])/FX_Rate, "")</f>
        <v>0</v>
      </c>
      <c r="AE327" s="63">
        <f>IFERROR(SUM(TblDetailBudget[[#This Row],[2022 Cost (LCU)]])/FX_Rate, "")</f>
        <v>0</v>
      </c>
      <c r="AF327" s="63">
        <f>IFERROR(SUM(TblDetailBudget[[#This Row],[2023 Cost (LCU)]])/FX_Rate, "")</f>
        <v>0</v>
      </c>
      <c r="AG327" s="63">
        <f>IFERROR(SUM(TblDetailBudget[[#This Row],[2024 Cost (LCU)]])/FX_Rate, "")</f>
        <v>0</v>
      </c>
      <c r="AH327" s="63">
        <f>IFERROR(SUM(TblDetailBudget[[#This Row],[2025 Cost (LCU)]])/FX_Rate, "")</f>
        <v>0</v>
      </c>
      <c r="AI327" s="125">
        <f>SUM(TblDetailBudget[[#This Row],[2021 Cost (USD)]:[2025 Cost (USD)]])</f>
        <v>0</v>
      </c>
      <c r="AJ327" s="180"/>
    </row>
    <row r="328" spans="2:36" ht="12.75" customHeight="1">
      <c r="B328" s="122"/>
      <c r="C3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8" s="62" t="str">
        <f>IF(TblDetailBudget[[#This Row],[Level]]="", "", COUNTIFS($B$8:TblDetailBudget[[#This Row],[Level]], Lvl1Hdr))</f>
        <v/>
      </c>
      <c r="E328" s="62" t="str">
        <f>IF(TblDetailBudget[[#This Row],[Level]]="", "", COUNTIFS($B$8:TblDetailBudget[[#This Row],[Level]], Lvl2Hdr, $D$8:TblDetailBudget[[#This Row],[Lvl 1 Header]], TblDetailBudget[[#This Row],[Lvl 1 Header]]))</f>
        <v/>
      </c>
      <c r="F328" s="62" t="str">
        <f>IF(TblDetailBudget[[#This Row],[Level]]="", "", COUNTIFS($B$8:TblDetailBudget[[#This Row],[Level]], Lvl3Hdr, $D$8:TblDetailBudget[[#This Row],[Lvl 1 Header]], TblDetailBudget[[#This Row],[Lvl 1 Header]], $E$8:TblDetailBudget[[#This Row],[Lvl 2 Header]], TblDetailBudget[[#This Row],[Lvl 2 Header]]))</f>
        <v/>
      </c>
      <c r="G32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8" s="101"/>
      <c r="J328" s="101"/>
      <c r="K328" s="88"/>
      <c r="L328" s="88"/>
      <c r="M328" s="62" t="str">
        <f>IF(TblDetailBudget[[#This Row],[Level]]=LvlBottomHdr, IFERROR(INDEX(TblUnitCost[Unit], MATCH(TblDetailBudget[[#This Row],[Row Title]], TblUnitCost[Resource], 0)), "Invalid Resource"), "")</f>
        <v/>
      </c>
      <c r="N328" s="125" t="str">
        <f>IF(TblDetailBudget[[#This Row],[Level]]=LvlBottomHdr, IFERROR(INDEX(TblUnitCost[LCU], MATCH(TblDetailBudget[[#This Row],[Row Title]], TblUnitCost[Resource], 0)), "Invalid Resource"), "")</f>
        <v/>
      </c>
      <c r="O328" s="128"/>
      <c r="P328" s="108"/>
      <c r="Q328" s="129"/>
      <c r="R328" s="108" t="s">
        <v>66</v>
      </c>
      <c r="S328" s="108" t="s">
        <v>66</v>
      </c>
      <c r="T328" s="108" t="s">
        <v>66</v>
      </c>
      <c r="U328" s="108" t="s">
        <v>66</v>
      </c>
      <c r="V328" s="108" t="s">
        <v>66</v>
      </c>
      <c r="W328" s="125" t="str">
        <f>IF(TblDetailBudget[[#This Row],[Level]]=LvlBottomHdr, IF(SUM(TblDetailBudget[[#This Row],[2021 Quant]:[2025 Quant]])&gt;0, SUM(TblDetailBudget[[#This Row],[2021 Quant]:[2025 Quant]]), ""), "")</f>
        <v/>
      </c>
      <c r="X3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8" s="140">
        <f>SUM(TblDetailBudget[[#This Row],[2021 Cost (LCU)]:[2025 Cost (LCU)]])</f>
        <v>0</v>
      </c>
      <c r="AD328" s="134">
        <f>IFERROR(SUM(TblDetailBudget[[#This Row],[2021 Cost (LCU)]])/FX_Rate, "")</f>
        <v>0</v>
      </c>
      <c r="AE328" s="63">
        <f>IFERROR(SUM(TblDetailBudget[[#This Row],[2022 Cost (LCU)]])/FX_Rate, "")</f>
        <v>0</v>
      </c>
      <c r="AF328" s="63">
        <f>IFERROR(SUM(TblDetailBudget[[#This Row],[2023 Cost (LCU)]])/FX_Rate, "")</f>
        <v>0</v>
      </c>
      <c r="AG328" s="63">
        <f>IFERROR(SUM(TblDetailBudget[[#This Row],[2024 Cost (LCU)]])/FX_Rate, "")</f>
        <v>0</v>
      </c>
      <c r="AH328" s="63">
        <f>IFERROR(SUM(TblDetailBudget[[#This Row],[2025 Cost (LCU)]])/FX_Rate, "")</f>
        <v>0</v>
      </c>
      <c r="AI328" s="125">
        <f>SUM(TblDetailBudget[[#This Row],[2021 Cost (USD)]:[2025 Cost (USD)]])</f>
        <v>0</v>
      </c>
      <c r="AJ328" s="180"/>
    </row>
    <row r="329" spans="2:36" ht="12.75" customHeight="1">
      <c r="B329" s="123"/>
      <c r="C3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9" s="85" t="str">
        <f>IF(TblDetailBudget[[#This Row],[Level]]="", "", COUNTIFS($B$8:TblDetailBudget[[#This Row],[Level]], Lvl1Hdr))</f>
        <v/>
      </c>
      <c r="E329" s="85" t="str">
        <f>IF(TblDetailBudget[[#This Row],[Level]]="", "", COUNTIFS($B$8:TblDetailBudget[[#This Row],[Level]], Lvl2Hdr, $D$8:TblDetailBudget[[#This Row],[Lvl 1 Header]], TblDetailBudget[[#This Row],[Lvl 1 Header]]))</f>
        <v/>
      </c>
      <c r="F329" s="85" t="str">
        <f>IF(TblDetailBudget[[#This Row],[Level]]="", "", COUNTIFS($B$8:TblDetailBudget[[#This Row],[Level]], Lvl3Hdr, $D$8:TblDetailBudget[[#This Row],[Lvl 1 Header]], TblDetailBudget[[#This Row],[Lvl 1 Header]], $E$8:TblDetailBudget[[#This Row],[Lvl 2 Header]], TblDetailBudget[[#This Row],[Lvl 2 Header]]))</f>
        <v/>
      </c>
      <c r="G3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9" s="102"/>
      <c r="J329" s="102"/>
      <c r="K329" s="88"/>
      <c r="L329" s="88"/>
      <c r="M329" s="85" t="str">
        <f>IF(TblDetailBudget[[#This Row],[Level]]=LvlBottomHdr, IFERROR(INDEX(TblUnitCost[Unit], MATCH(TblDetailBudget[[#This Row],[Row Title]], TblUnitCost[Resource], 0)), "Invalid Resource"), "")</f>
        <v/>
      </c>
      <c r="N329" s="126" t="str">
        <f>IF(TblDetailBudget[[#This Row],[Level]]=LvlBottomHdr, IFERROR(INDEX(TblUnitCost[LCU], MATCH(TblDetailBudget[[#This Row],[Row Title]], TblUnitCost[Resource], 0)), "Invalid Resource"), "")</f>
        <v/>
      </c>
      <c r="O329" s="130"/>
      <c r="P329" s="109"/>
      <c r="Q329" s="131"/>
      <c r="R329" s="109" t="s">
        <v>66</v>
      </c>
      <c r="S329" s="109" t="s">
        <v>66</v>
      </c>
      <c r="T329" s="109" t="s">
        <v>66</v>
      </c>
      <c r="U329" s="109" t="s">
        <v>66</v>
      </c>
      <c r="V329" s="109" t="s">
        <v>66</v>
      </c>
      <c r="W329" s="126" t="str">
        <f>IF(TblDetailBudget[[#This Row],[Level]]=LvlBottomHdr, IF(SUM(TblDetailBudget[[#This Row],[2021 Quant]:[2025 Quant]])&gt;0, SUM(TblDetailBudget[[#This Row],[2021 Quant]:[2025 Quant]]), ""), "")</f>
        <v/>
      </c>
      <c r="X3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9" s="142">
        <f>SUM(TblDetailBudget[[#This Row],[2021 Cost (LCU)]:[2025 Cost (LCU)]])</f>
        <v>0</v>
      </c>
      <c r="AD329" s="135">
        <f>IFERROR(SUM(TblDetailBudget[[#This Row],[2021 Cost (LCU)]])/FX_Rate, "")</f>
        <v>0</v>
      </c>
      <c r="AE329" s="86">
        <f>IFERROR(SUM(TblDetailBudget[[#This Row],[2022 Cost (LCU)]])/FX_Rate, "")</f>
        <v>0</v>
      </c>
      <c r="AF329" s="86">
        <f>IFERROR(SUM(TblDetailBudget[[#This Row],[2023 Cost (LCU)]])/FX_Rate, "")</f>
        <v>0</v>
      </c>
      <c r="AG329" s="86">
        <f>IFERROR(SUM(TblDetailBudget[[#This Row],[2024 Cost (LCU)]])/FX_Rate, "")</f>
        <v>0</v>
      </c>
      <c r="AH329" s="86">
        <f>IFERROR(SUM(TblDetailBudget[[#This Row],[2025 Cost (LCU)]])/FX_Rate, "")</f>
        <v>0</v>
      </c>
      <c r="AI329" s="126">
        <f>SUM(TblDetailBudget[[#This Row],[2021 Cost (USD)]:[2025 Cost (USD)]])</f>
        <v>0</v>
      </c>
      <c r="AJ329" s="181"/>
    </row>
    <row r="330" spans="2:36" ht="12.75" customHeight="1">
      <c r="B330" s="123"/>
      <c r="C3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0" s="85" t="str">
        <f>IF(TblDetailBudget[[#This Row],[Level]]="", "", COUNTIFS($B$8:TblDetailBudget[[#This Row],[Level]], Lvl1Hdr))</f>
        <v/>
      </c>
      <c r="E330" s="85" t="str">
        <f>IF(TblDetailBudget[[#This Row],[Level]]="", "", COUNTIFS($B$8:TblDetailBudget[[#This Row],[Level]], Lvl2Hdr, $D$8:TblDetailBudget[[#This Row],[Lvl 1 Header]], TblDetailBudget[[#This Row],[Lvl 1 Header]]))</f>
        <v/>
      </c>
      <c r="F330" s="85" t="str">
        <f>IF(TblDetailBudget[[#This Row],[Level]]="", "", COUNTIFS($B$8:TblDetailBudget[[#This Row],[Level]], Lvl3Hdr, $D$8:TblDetailBudget[[#This Row],[Lvl 1 Header]], TblDetailBudget[[#This Row],[Lvl 1 Header]], $E$8:TblDetailBudget[[#This Row],[Lvl 2 Header]], TblDetailBudget[[#This Row],[Lvl 2 Header]]))</f>
        <v/>
      </c>
      <c r="G3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0" s="164"/>
      <c r="J330" s="164"/>
      <c r="K330" s="165"/>
      <c r="L330" s="165"/>
      <c r="M330" s="85" t="str">
        <f>IF(TblDetailBudget[[#This Row],[Level]]=LvlBottomHdr, IFERROR(INDEX(TblUnitCost[Unit], MATCH(TblDetailBudget[[#This Row],[Row Title]], TblUnitCost[Resource], 0)), "Invalid Resource"), "")</f>
        <v/>
      </c>
      <c r="N330" s="126" t="str">
        <f>IF(TblDetailBudget[[#This Row],[Level]]=LvlBottomHdr, IFERROR(INDEX(TblUnitCost[LCU], MATCH(TblDetailBudget[[#This Row],[Row Title]], TblUnitCost[Resource], 0)), "Invalid Resource"), "")</f>
        <v/>
      </c>
      <c r="O330" s="130"/>
      <c r="P330" s="109"/>
      <c r="Q330" s="131"/>
      <c r="R330" s="109" t="s">
        <v>66</v>
      </c>
      <c r="S330" s="109" t="s">
        <v>66</v>
      </c>
      <c r="T330" s="109" t="s">
        <v>66</v>
      </c>
      <c r="U330" s="109" t="s">
        <v>66</v>
      </c>
      <c r="V330" s="109" t="s">
        <v>66</v>
      </c>
      <c r="W330" s="126" t="str">
        <f>IF(TblDetailBudget[[#This Row],[Level]]=LvlBottomHdr, IF(SUM(TblDetailBudget[[#This Row],[2021 Quant]:[2025 Quant]])&gt;0, SUM(TblDetailBudget[[#This Row],[2021 Quant]:[2025 Quant]]), ""), "")</f>
        <v/>
      </c>
      <c r="X3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0" s="142">
        <f>SUM(TblDetailBudget[[#This Row],[2021 Cost (LCU)]:[2025 Cost (LCU)]])</f>
        <v>0</v>
      </c>
      <c r="AD330" s="135">
        <f>IFERROR(SUM(TblDetailBudget[[#This Row],[2021 Cost (LCU)]])/FX_Rate, "")</f>
        <v>0</v>
      </c>
      <c r="AE330" s="86">
        <f>IFERROR(SUM(TblDetailBudget[[#This Row],[2022 Cost (LCU)]])/FX_Rate, "")</f>
        <v>0</v>
      </c>
      <c r="AF330" s="86">
        <f>IFERROR(SUM(TblDetailBudget[[#This Row],[2023 Cost (LCU)]])/FX_Rate, "")</f>
        <v>0</v>
      </c>
      <c r="AG330" s="86">
        <f>IFERROR(SUM(TblDetailBudget[[#This Row],[2024 Cost (LCU)]])/FX_Rate, "")</f>
        <v>0</v>
      </c>
      <c r="AH330" s="86">
        <f>IFERROR(SUM(TblDetailBudget[[#This Row],[2025 Cost (LCU)]])/FX_Rate, "")</f>
        <v>0</v>
      </c>
      <c r="AI330" s="126">
        <f>SUM(TblDetailBudget[[#This Row],[2021 Cost (USD)]:[2025 Cost (USD)]])</f>
        <v>0</v>
      </c>
      <c r="AJ330" s="180"/>
    </row>
    <row r="331" spans="2:36" ht="12.75" customHeight="1">
      <c r="B331" s="123"/>
      <c r="C3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1" s="85" t="str">
        <f>IF(TblDetailBudget[[#This Row],[Level]]="", "", COUNTIFS($B$8:TblDetailBudget[[#This Row],[Level]], Lvl1Hdr))</f>
        <v/>
      </c>
      <c r="E331" s="85" t="str">
        <f>IF(TblDetailBudget[[#This Row],[Level]]="", "", COUNTIFS($B$8:TblDetailBudget[[#This Row],[Level]], Lvl2Hdr, $D$8:TblDetailBudget[[#This Row],[Lvl 1 Header]], TblDetailBudget[[#This Row],[Lvl 1 Header]]))</f>
        <v/>
      </c>
      <c r="F331" s="85" t="str">
        <f>IF(TblDetailBudget[[#This Row],[Level]]="", "", COUNTIFS($B$8:TblDetailBudget[[#This Row],[Level]], Lvl3Hdr, $D$8:TblDetailBudget[[#This Row],[Lvl 1 Header]], TblDetailBudget[[#This Row],[Lvl 1 Header]], $E$8:TblDetailBudget[[#This Row],[Lvl 2 Header]], TblDetailBudget[[#This Row],[Lvl 2 Header]]))</f>
        <v/>
      </c>
      <c r="G3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1" s="164"/>
      <c r="J331" s="164"/>
      <c r="K331" s="165"/>
      <c r="L331" s="165"/>
      <c r="M331" s="85" t="str">
        <f>IF(TblDetailBudget[[#This Row],[Level]]=LvlBottomHdr, IFERROR(INDEX(TblUnitCost[Unit], MATCH(TblDetailBudget[[#This Row],[Row Title]], TblUnitCost[Resource], 0)), "Invalid Resource"), "")</f>
        <v/>
      </c>
      <c r="N331" s="126" t="str">
        <f>IF(TblDetailBudget[[#This Row],[Level]]=LvlBottomHdr, IFERROR(INDEX(TblUnitCost[LCU], MATCH(TblDetailBudget[[#This Row],[Row Title]], TblUnitCost[Resource], 0)), "Invalid Resource"), "")</f>
        <v/>
      </c>
      <c r="O331" s="130"/>
      <c r="P331" s="109"/>
      <c r="Q331" s="131"/>
      <c r="R331" s="109" t="s">
        <v>66</v>
      </c>
      <c r="S331" s="109" t="s">
        <v>66</v>
      </c>
      <c r="T331" s="109" t="s">
        <v>66</v>
      </c>
      <c r="U331" s="109" t="s">
        <v>66</v>
      </c>
      <c r="V331" s="109" t="s">
        <v>66</v>
      </c>
      <c r="W331" s="126" t="str">
        <f>IF(TblDetailBudget[[#This Row],[Level]]=LvlBottomHdr, IF(SUM(TblDetailBudget[[#This Row],[2021 Quant]:[2025 Quant]])&gt;0, SUM(TblDetailBudget[[#This Row],[2021 Quant]:[2025 Quant]]), ""), "")</f>
        <v/>
      </c>
      <c r="X3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1" s="142">
        <f>SUM(TblDetailBudget[[#This Row],[2021 Cost (LCU)]:[2025 Cost (LCU)]])</f>
        <v>0</v>
      </c>
      <c r="AD331" s="135">
        <f>IFERROR(SUM(TblDetailBudget[[#This Row],[2021 Cost (LCU)]])/FX_Rate, "")</f>
        <v>0</v>
      </c>
      <c r="AE331" s="86">
        <f>IFERROR(SUM(TblDetailBudget[[#This Row],[2022 Cost (LCU)]])/FX_Rate, "")</f>
        <v>0</v>
      </c>
      <c r="AF331" s="86">
        <f>IFERROR(SUM(TblDetailBudget[[#This Row],[2023 Cost (LCU)]])/FX_Rate, "")</f>
        <v>0</v>
      </c>
      <c r="AG331" s="86">
        <f>IFERROR(SUM(TblDetailBudget[[#This Row],[2024 Cost (LCU)]])/FX_Rate, "")</f>
        <v>0</v>
      </c>
      <c r="AH331" s="86">
        <f>IFERROR(SUM(TblDetailBudget[[#This Row],[2025 Cost (LCU)]])/FX_Rate, "")</f>
        <v>0</v>
      </c>
      <c r="AI331" s="126">
        <f>SUM(TblDetailBudget[[#This Row],[2021 Cost (USD)]:[2025 Cost (USD)]])</f>
        <v>0</v>
      </c>
      <c r="AJ331" s="180"/>
    </row>
    <row r="332" spans="2:36" ht="12.75" customHeight="1">
      <c r="B332" s="123"/>
      <c r="C3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2" s="85" t="str">
        <f>IF(TblDetailBudget[[#This Row],[Level]]="", "", COUNTIFS($B$8:TblDetailBudget[[#This Row],[Level]], Lvl1Hdr))</f>
        <v/>
      </c>
      <c r="E332" s="85" t="str">
        <f>IF(TblDetailBudget[[#This Row],[Level]]="", "", COUNTIFS($B$8:TblDetailBudget[[#This Row],[Level]], Lvl2Hdr, $D$8:TblDetailBudget[[#This Row],[Lvl 1 Header]], TblDetailBudget[[#This Row],[Lvl 1 Header]]))</f>
        <v/>
      </c>
      <c r="F332" s="85" t="str">
        <f>IF(TblDetailBudget[[#This Row],[Level]]="", "", COUNTIFS($B$8:TblDetailBudget[[#This Row],[Level]], Lvl3Hdr, $D$8:TblDetailBudget[[#This Row],[Lvl 1 Header]], TblDetailBudget[[#This Row],[Lvl 1 Header]], $E$8:TblDetailBudget[[#This Row],[Lvl 2 Header]], TblDetailBudget[[#This Row],[Lvl 2 Header]]))</f>
        <v/>
      </c>
      <c r="G3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2" s="164"/>
      <c r="J332" s="164"/>
      <c r="K332" s="165"/>
      <c r="L332" s="165"/>
      <c r="M332" s="85" t="str">
        <f>IF(TblDetailBudget[[#This Row],[Level]]=LvlBottomHdr, IFERROR(INDEX(TblUnitCost[Unit], MATCH(TblDetailBudget[[#This Row],[Row Title]], TblUnitCost[Resource], 0)), "Invalid Resource"), "")</f>
        <v/>
      </c>
      <c r="N332" s="126" t="str">
        <f>IF(TblDetailBudget[[#This Row],[Level]]=LvlBottomHdr, IFERROR(INDEX(TblUnitCost[LCU], MATCH(TblDetailBudget[[#This Row],[Row Title]], TblUnitCost[Resource], 0)), "Invalid Resource"), "")</f>
        <v/>
      </c>
      <c r="O332" s="130"/>
      <c r="P332" s="109"/>
      <c r="Q332" s="131"/>
      <c r="R332" s="109" t="s">
        <v>66</v>
      </c>
      <c r="S332" s="109" t="s">
        <v>66</v>
      </c>
      <c r="T332" s="109" t="s">
        <v>66</v>
      </c>
      <c r="U332" s="109" t="s">
        <v>66</v>
      </c>
      <c r="V332" s="109" t="s">
        <v>66</v>
      </c>
      <c r="W332" s="126" t="str">
        <f>IF(TblDetailBudget[[#This Row],[Level]]=LvlBottomHdr, IF(SUM(TblDetailBudget[[#This Row],[2021 Quant]:[2025 Quant]])&gt;0, SUM(TblDetailBudget[[#This Row],[2021 Quant]:[2025 Quant]]), ""), "")</f>
        <v/>
      </c>
      <c r="X3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2" s="142">
        <f>SUM(TblDetailBudget[[#This Row],[2021 Cost (LCU)]:[2025 Cost (LCU)]])</f>
        <v>0</v>
      </c>
      <c r="AD332" s="135">
        <f>IFERROR(SUM(TblDetailBudget[[#This Row],[2021 Cost (LCU)]])/FX_Rate, "")</f>
        <v>0</v>
      </c>
      <c r="AE332" s="86">
        <f>IFERROR(SUM(TblDetailBudget[[#This Row],[2022 Cost (LCU)]])/FX_Rate, "")</f>
        <v>0</v>
      </c>
      <c r="AF332" s="86">
        <f>IFERROR(SUM(TblDetailBudget[[#This Row],[2023 Cost (LCU)]])/FX_Rate, "")</f>
        <v>0</v>
      </c>
      <c r="AG332" s="86">
        <f>IFERROR(SUM(TblDetailBudget[[#This Row],[2024 Cost (LCU)]])/FX_Rate, "")</f>
        <v>0</v>
      </c>
      <c r="AH332" s="86">
        <f>IFERROR(SUM(TblDetailBudget[[#This Row],[2025 Cost (LCU)]])/FX_Rate, "")</f>
        <v>0</v>
      </c>
      <c r="AI332" s="126">
        <f>SUM(TblDetailBudget[[#This Row],[2021 Cost (USD)]:[2025 Cost (USD)]])</f>
        <v>0</v>
      </c>
      <c r="AJ332" s="180"/>
    </row>
    <row r="333" spans="2:36" ht="12.75" customHeight="1">
      <c r="B333" s="123"/>
      <c r="C3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3" s="85" t="str">
        <f>IF(TblDetailBudget[[#This Row],[Level]]="", "", COUNTIFS($B$8:TblDetailBudget[[#This Row],[Level]], Lvl1Hdr))</f>
        <v/>
      </c>
      <c r="E333" s="85" t="str">
        <f>IF(TblDetailBudget[[#This Row],[Level]]="", "", COUNTIFS($B$8:TblDetailBudget[[#This Row],[Level]], Lvl2Hdr, $D$8:TblDetailBudget[[#This Row],[Lvl 1 Header]], TblDetailBudget[[#This Row],[Lvl 1 Header]]))</f>
        <v/>
      </c>
      <c r="F333" s="85" t="str">
        <f>IF(TblDetailBudget[[#This Row],[Level]]="", "", COUNTIFS($B$8:TblDetailBudget[[#This Row],[Level]], Lvl3Hdr, $D$8:TblDetailBudget[[#This Row],[Lvl 1 Header]], TblDetailBudget[[#This Row],[Lvl 1 Header]], $E$8:TblDetailBudget[[#This Row],[Lvl 2 Header]], TblDetailBudget[[#This Row],[Lvl 2 Header]]))</f>
        <v/>
      </c>
      <c r="G3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3" s="164"/>
      <c r="J333" s="164"/>
      <c r="K333" s="165"/>
      <c r="L333" s="165"/>
      <c r="M333" s="85" t="str">
        <f>IF(TblDetailBudget[[#This Row],[Level]]=LvlBottomHdr, IFERROR(INDEX(TblUnitCost[Unit], MATCH(TblDetailBudget[[#This Row],[Row Title]], TblUnitCost[Resource], 0)), "Invalid Resource"), "")</f>
        <v/>
      </c>
      <c r="N333" s="126" t="str">
        <f>IF(TblDetailBudget[[#This Row],[Level]]=LvlBottomHdr, IFERROR(INDEX(TblUnitCost[LCU], MATCH(TblDetailBudget[[#This Row],[Row Title]], TblUnitCost[Resource], 0)), "Invalid Resource"), "")</f>
        <v/>
      </c>
      <c r="O333" s="130"/>
      <c r="P333" s="109"/>
      <c r="Q333" s="131"/>
      <c r="R333" s="109" t="s">
        <v>66</v>
      </c>
      <c r="S333" s="109" t="s">
        <v>66</v>
      </c>
      <c r="T333" s="109" t="s">
        <v>66</v>
      </c>
      <c r="U333" s="109" t="s">
        <v>66</v>
      </c>
      <c r="V333" s="109" t="s">
        <v>66</v>
      </c>
      <c r="W333" s="126" t="str">
        <f>IF(TblDetailBudget[[#This Row],[Level]]=LvlBottomHdr, IF(SUM(TblDetailBudget[[#This Row],[2021 Quant]:[2025 Quant]])&gt;0, SUM(TblDetailBudget[[#This Row],[2021 Quant]:[2025 Quant]]), ""), "")</f>
        <v/>
      </c>
      <c r="X3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3" s="142">
        <f>SUM(TblDetailBudget[[#This Row],[2021 Cost (LCU)]:[2025 Cost (LCU)]])</f>
        <v>0</v>
      </c>
      <c r="AD333" s="135">
        <f>IFERROR(SUM(TblDetailBudget[[#This Row],[2021 Cost (LCU)]])/FX_Rate, "")</f>
        <v>0</v>
      </c>
      <c r="AE333" s="86">
        <f>IFERROR(SUM(TblDetailBudget[[#This Row],[2022 Cost (LCU)]])/FX_Rate, "")</f>
        <v>0</v>
      </c>
      <c r="AF333" s="86">
        <f>IFERROR(SUM(TblDetailBudget[[#This Row],[2023 Cost (LCU)]])/FX_Rate, "")</f>
        <v>0</v>
      </c>
      <c r="AG333" s="86">
        <f>IFERROR(SUM(TblDetailBudget[[#This Row],[2024 Cost (LCU)]])/FX_Rate, "")</f>
        <v>0</v>
      </c>
      <c r="AH333" s="86">
        <f>IFERROR(SUM(TblDetailBudget[[#This Row],[2025 Cost (LCU)]])/FX_Rate, "")</f>
        <v>0</v>
      </c>
      <c r="AI333" s="126">
        <f>SUM(TblDetailBudget[[#This Row],[2021 Cost (USD)]:[2025 Cost (USD)]])</f>
        <v>0</v>
      </c>
      <c r="AJ333" s="180"/>
    </row>
    <row r="334" spans="2:36" ht="12.75" customHeight="1">
      <c r="B334" s="123"/>
      <c r="C3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4" s="85" t="str">
        <f>IF(TblDetailBudget[[#This Row],[Level]]="", "", COUNTIFS($B$8:TblDetailBudget[[#This Row],[Level]], Lvl1Hdr))</f>
        <v/>
      </c>
      <c r="E334" s="85" t="str">
        <f>IF(TblDetailBudget[[#This Row],[Level]]="", "", COUNTIFS($B$8:TblDetailBudget[[#This Row],[Level]], Lvl2Hdr, $D$8:TblDetailBudget[[#This Row],[Lvl 1 Header]], TblDetailBudget[[#This Row],[Lvl 1 Header]]))</f>
        <v/>
      </c>
      <c r="F334" s="85" t="str">
        <f>IF(TblDetailBudget[[#This Row],[Level]]="", "", COUNTIFS($B$8:TblDetailBudget[[#This Row],[Level]], Lvl3Hdr, $D$8:TblDetailBudget[[#This Row],[Lvl 1 Header]], TblDetailBudget[[#This Row],[Lvl 1 Header]], $E$8:TblDetailBudget[[#This Row],[Lvl 2 Header]], TblDetailBudget[[#This Row],[Lvl 2 Header]]))</f>
        <v/>
      </c>
      <c r="G3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4" s="164"/>
      <c r="J334" s="164"/>
      <c r="K334" s="165"/>
      <c r="L334" s="165"/>
      <c r="M334" s="85" t="str">
        <f>IF(TblDetailBudget[[#This Row],[Level]]=LvlBottomHdr, IFERROR(INDEX(TblUnitCost[Unit], MATCH(TblDetailBudget[[#This Row],[Row Title]], TblUnitCost[Resource], 0)), "Invalid Resource"), "")</f>
        <v/>
      </c>
      <c r="N334" s="126" t="str">
        <f>IF(TblDetailBudget[[#This Row],[Level]]=LvlBottomHdr, IFERROR(INDEX(TblUnitCost[LCU], MATCH(TblDetailBudget[[#This Row],[Row Title]], TblUnitCost[Resource], 0)), "Invalid Resource"), "")</f>
        <v/>
      </c>
      <c r="O334" s="130"/>
      <c r="P334" s="109"/>
      <c r="Q334" s="131"/>
      <c r="R334" s="109" t="s">
        <v>66</v>
      </c>
      <c r="S334" s="109" t="s">
        <v>66</v>
      </c>
      <c r="T334" s="109" t="s">
        <v>66</v>
      </c>
      <c r="U334" s="109" t="s">
        <v>66</v>
      </c>
      <c r="V334" s="109" t="s">
        <v>66</v>
      </c>
      <c r="W334" s="126" t="str">
        <f>IF(TblDetailBudget[[#This Row],[Level]]=LvlBottomHdr, IF(SUM(TblDetailBudget[[#This Row],[2021 Quant]:[2025 Quant]])&gt;0, SUM(TblDetailBudget[[#This Row],[2021 Quant]:[2025 Quant]]), ""), "")</f>
        <v/>
      </c>
      <c r="X3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4" s="142">
        <f>SUM(TblDetailBudget[[#This Row],[2021 Cost (LCU)]:[2025 Cost (LCU)]])</f>
        <v>0</v>
      </c>
      <c r="AD334" s="135">
        <f>IFERROR(SUM(TblDetailBudget[[#This Row],[2021 Cost (LCU)]])/FX_Rate, "")</f>
        <v>0</v>
      </c>
      <c r="AE334" s="86">
        <f>IFERROR(SUM(TblDetailBudget[[#This Row],[2022 Cost (LCU)]])/FX_Rate, "")</f>
        <v>0</v>
      </c>
      <c r="AF334" s="86">
        <f>IFERROR(SUM(TblDetailBudget[[#This Row],[2023 Cost (LCU)]])/FX_Rate, "")</f>
        <v>0</v>
      </c>
      <c r="AG334" s="86">
        <f>IFERROR(SUM(TblDetailBudget[[#This Row],[2024 Cost (LCU)]])/FX_Rate, "")</f>
        <v>0</v>
      </c>
      <c r="AH334" s="86">
        <f>IFERROR(SUM(TblDetailBudget[[#This Row],[2025 Cost (LCU)]])/FX_Rate, "")</f>
        <v>0</v>
      </c>
      <c r="AI334" s="126">
        <f>SUM(TblDetailBudget[[#This Row],[2021 Cost (USD)]:[2025 Cost (USD)]])</f>
        <v>0</v>
      </c>
      <c r="AJ334" s="180"/>
    </row>
    <row r="335" spans="2:36" ht="12.75" customHeight="1">
      <c r="B335" s="123"/>
      <c r="C3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5" s="85" t="str">
        <f>IF(TblDetailBudget[[#This Row],[Level]]="", "", COUNTIFS($B$8:TblDetailBudget[[#This Row],[Level]], Lvl1Hdr))</f>
        <v/>
      </c>
      <c r="E335" s="85" t="str">
        <f>IF(TblDetailBudget[[#This Row],[Level]]="", "", COUNTIFS($B$8:TblDetailBudget[[#This Row],[Level]], Lvl2Hdr, $D$8:TblDetailBudget[[#This Row],[Lvl 1 Header]], TblDetailBudget[[#This Row],[Lvl 1 Header]]))</f>
        <v/>
      </c>
      <c r="F335" s="85" t="str">
        <f>IF(TblDetailBudget[[#This Row],[Level]]="", "", COUNTIFS($B$8:TblDetailBudget[[#This Row],[Level]], Lvl3Hdr, $D$8:TblDetailBudget[[#This Row],[Lvl 1 Header]], TblDetailBudget[[#This Row],[Lvl 1 Header]], $E$8:TblDetailBudget[[#This Row],[Lvl 2 Header]], TblDetailBudget[[#This Row],[Lvl 2 Header]]))</f>
        <v/>
      </c>
      <c r="G3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5" s="164"/>
      <c r="J335" s="164"/>
      <c r="K335" s="165"/>
      <c r="L335" s="165"/>
      <c r="M335" s="85" t="str">
        <f>IF(TblDetailBudget[[#This Row],[Level]]=LvlBottomHdr, IFERROR(INDEX(TblUnitCost[Unit], MATCH(TblDetailBudget[[#This Row],[Row Title]], TblUnitCost[Resource], 0)), "Invalid Resource"), "")</f>
        <v/>
      </c>
      <c r="N335" s="126" t="str">
        <f>IF(TblDetailBudget[[#This Row],[Level]]=LvlBottomHdr, IFERROR(INDEX(TblUnitCost[LCU], MATCH(TblDetailBudget[[#This Row],[Row Title]], TblUnitCost[Resource], 0)), "Invalid Resource"), "")</f>
        <v/>
      </c>
      <c r="O335" s="130"/>
      <c r="P335" s="109"/>
      <c r="Q335" s="131"/>
      <c r="R335" s="109" t="s">
        <v>66</v>
      </c>
      <c r="S335" s="109" t="s">
        <v>66</v>
      </c>
      <c r="T335" s="109" t="s">
        <v>66</v>
      </c>
      <c r="U335" s="109" t="s">
        <v>66</v>
      </c>
      <c r="V335" s="109" t="s">
        <v>66</v>
      </c>
      <c r="W335" s="126" t="str">
        <f>IF(TblDetailBudget[[#This Row],[Level]]=LvlBottomHdr, IF(SUM(TblDetailBudget[[#This Row],[2021 Quant]:[2025 Quant]])&gt;0, SUM(TblDetailBudget[[#This Row],[2021 Quant]:[2025 Quant]]), ""), "")</f>
        <v/>
      </c>
      <c r="X3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5" s="142">
        <f>SUM(TblDetailBudget[[#This Row],[2021 Cost (LCU)]:[2025 Cost (LCU)]])</f>
        <v>0</v>
      </c>
      <c r="AD335" s="135">
        <f>IFERROR(SUM(TblDetailBudget[[#This Row],[2021 Cost (LCU)]])/FX_Rate, "")</f>
        <v>0</v>
      </c>
      <c r="AE335" s="86">
        <f>IFERROR(SUM(TblDetailBudget[[#This Row],[2022 Cost (LCU)]])/FX_Rate, "")</f>
        <v>0</v>
      </c>
      <c r="AF335" s="86">
        <f>IFERROR(SUM(TblDetailBudget[[#This Row],[2023 Cost (LCU)]])/FX_Rate, "")</f>
        <v>0</v>
      </c>
      <c r="AG335" s="86">
        <f>IFERROR(SUM(TblDetailBudget[[#This Row],[2024 Cost (LCU)]])/FX_Rate, "")</f>
        <v>0</v>
      </c>
      <c r="AH335" s="86">
        <f>IFERROR(SUM(TblDetailBudget[[#This Row],[2025 Cost (LCU)]])/FX_Rate, "")</f>
        <v>0</v>
      </c>
      <c r="AI335" s="126">
        <f>SUM(TblDetailBudget[[#This Row],[2021 Cost (USD)]:[2025 Cost (USD)]])</f>
        <v>0</v>
      </c>
      <c r="AJ335" s="180"/>
    </row>
    <row r="336" spans="2:36" ht="12.75" customHeight="1">
      <c r="B336" s="123"/>
      <c r="C3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6" s="85" t="str">
        <f>IF(TblDetailBudget[[#This Row],[Level]]="", "", COUNTIFS($B$8:TblDetailBudget[[#This Row],[Level]], Lvl1Hdr))</f>
        <v/>
      </c>
      <c r="E336" s="85" t="str">
        <f>IF(TblDetailBudget[[#This Row],[Level]]="", "", COUNTIFS($B$8:TblDetailBudget[[#This Row],[Level]], Lvl2Hdr, $D$8:TblDetailBudget[[#This Row],[Lvl 1 Header]], TblDetailBudget[[#This Row],[Lvl 1 Header]]))</f>
        <v/>
      </c>
      <c r="F336" s="85" t="str">
        <f>IF(TblDetailBudget[[#This Row],[Level]]="", "", COUNTIFS($B$8:TblDetailBudget[[#This Row],[Level]], Lvl3Hdr, $D$8:TblDetailBudget[[#This Row],[Lvl 1 Header]], TblDetailBudget[[#This Row],[Lvl 1 Header]], $E$8:TblDetailBudget[[#This Row],[Lvl 2 Header]], TblDetailBudget[[#This Row],[Lvl 2 Header]]))</f>
        <v/>
      </c>
      <c r="G3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6" s="164"/>
      <c r="J336" s="164"/>
      <c r="K336" s="165"/>
      <c r="L336" s="165"/>
      <c r="M336" s="85" t="str">
        <f>IF(TblDetailBudget[[#This Row],[Level]]=LvlBottomHdr, IFERROR(INDEX(TblUnitCost[Unit], MATCH(TblDetailBudget[[#This Row],[Row Title]], TblUnitCost[Resource], 0)), "Invalid Resource"), "")</f>
        <v/>
      </c>
      <c r="N336" s="126" t="str">
        <f>IF(TblDetailBudget[[#This Row],[Level]]=LvlBottomHdr, IFERROR(INDEX(TblUnitCost[LCU], MATCH(TblDetailBudget[[#This Row],[Row Title]], TblUnitCost[Resource], 0)), "Invalid Resource"), "")</f>
        <v/>
      </c>
      <c r="O336" s="130"/>
      <c r="P336" s="109"/>
      <c r="Q336" s="131"/>
      <c r="R336" s="109" t="s">
        <v>66</v>
      </c>
      <c r="S336" s="109" t="s">
        <v>66</v>
      </c>
      <c r="T336" s="109" t="s">
        <v>66</v>
      </c>
      <c r="U336" s="109" t="s">
        <v>66</v>
      </c>
      <c r="V336" s="109" t="s">
        <v>66</v>
      </c>
      <c r="W336" s="126" t="str">
        <f>IF(TblDetailBudget[[#This Row],[Level]]=LvlBottomHdr, IF(SUM(TblDetailBudget[[#This Row],[2021 Quant]:[2025 Quant]])&gt;0, SUM(TblDetailBudget[[#This Row],[2021 Quant]:[2025 Quant]]), ""), "")</f>
        <v/>
      </c>
      <c r="X3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6" s="142">
        <f>SUM(TblDetailBudget[[#This Row],[2021 Cost (LCU)]:[2025 Cost (LCU)]])</f>
        <v>0</v>
      </c>
      <c r="AD336" s="135">
        <f>IFERROR(SUM(TblDetailBudget[[#This Row],[2021 Cost (LCU)]])/FX_Rate, "")</f>
        <v>0</v>
      </c>
      <c r="AE336" s="86">
        <f>IFERROR(SUM(TblDetailBudget[[#This Row],[2022 Cost (LCU)]])/FX_Rate, "")</f>
        <v>0</v>
      </c>
      <c r="AF336" s="86">
        <f>IFERROR(SUM(TblDetailBudget[[#This Row],[2023 Cost (LCU)]])/FX_Rate, "")</f>
        <v>0</v>
      </c>
      <c r="AG336" s="86">
        <f>IFERROR(SUM(TblDetailBudget[[#This Row],[2024 Cost (LCU)]])/FX_Rate, "")</f>
        <v>0</v>
      </c>
      <c r="AH336" s="86">
        <f>IFERROR(SUM(TblDetailBudget[[#This Row],[2025 Cost (LCU)]])/FX_Rate, "")</f>
        <v>0</v>
      </c>
      <c r="AI336" s="126">
        <f>SUM(TblDetailBudget[[#This Row],[2021 Cost (USD)]:[2025 Cost (USD)]])</f>
        <v>0</v>
      </c>
      <c r="AJ336" s="180"/>
    </row>
    <row r="337" spans="2:36" ht="12.75" customHeight="1">
      <c r="B337" s="123"/>
      <c r="C3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7" s="85" t="str">
        <f>IF(TblDetailBudget[[#This Row],[Level]]="", "", COUNTIFS($B$8:TblDetailBudget[[#This Row],[Level]], Lvl1Hdr))</f>
        <v/>
      </c>
      <c r="E337" s="85" t="str">
        <f>IF(TblDetailBudget[[#This Row],[Level]]="", "", COUNTIFS($B$8:TblDetailBudget[[#This Row],[Level]], Lvl2Hdr, $D$8:TblDetailBudget[[#This Row],[Lvl 1 Header]], TblDetailBudget[[#This Row],[Lvl 1 Header]]))</f>
        <v/>
      </c>
      <c r="F337" s="85" t="str">
        <f>IF(TblDetailBudget[[#This Row],[Level]]="", "", COUNTIFS($B$8:TblDetailBudget[[#This Row],[Level]], Lvl3Hdr, $D$8:TblDetailBudget[[#This Row],[Lvl 1 Header]], TblDetailBudget[[#This Row],[Lvl 1 Header]], $E$8:TblDetailBudget[[#This Row],[Lvl 2 Header]], TblDetailBudget[[#This Row],[Lvl 2 Header]]))</f>
        <v/>
      </c>
      <c r="G3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7" s="164"/>
      <c r="J337" s="164"/>
      <c r="K337" s="165"/>
      <c r="L337" s="165"/>
      <c r="M337" s="85" t="str">
        <f>IF(TblDetailBudget[[#This Row],[Level]]=LvlBottomHdr, IFERROR(INDEX(TblUnitCost[Unit], MATCH(TblDetailBudget[[#This Row],[Row Title]], TblUnitCost[Resource], 0)), "Invalid Resource"), "")</f>
        <v/>
      </c>
      <c r="N337" s="126" t="str">
        <f>IF(TblDetailBudget[[#This Row],[Level]]=LvlBottomHdr, IFERROR(INDEX(TblUnitCost[LCU], MATCH(TblDetailBudget[[#This Row],[Row Title]], TblUnitCost[Resource], 0)), "Invalid Resource"), "")</f>
        <v/>
      </c>
      <c r="O337" s="130"/>
      <c r="P337" s="109"/>
      <c r="Q337" s="131"/>
      <c r="R337" s="109" t="s">
        <v>66</v>
      </c>
      <c r="S337" s="109" t="s">
        <v>66</v>
      </c>
      <c r="T337" s="109" t="s">
        <v>66</v>
      </c>
      <c r="U337" s="109" t="s">
        <v>66</v>
      </c>
      <c r="V337" s="109" t="s">
        <v>66</v>
      </c>
      <c r="W337" s="126" t="str">
        <f>IF(TblDetailBudget[[#This Row],[Level]]=LvlBottomHdr, IF(SUM(TblDetailBudget[[#This Row],[2021 Quant]:[2025 Quant]])&gt;0, SUM(TblDetailBudget[[#This Row],[2021 Quant]:[2025 Quant]]), ""), "")</f>
        <v/>
      </c>
      <c r="X3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7" s="142">
        <f>SUM(TblDetailBudget[[#This Row],[2021 Cost (LCU)]:[2025 Cost (LCU)]])</f>
        <v>0</v>
      </c>
      <c r="AD337" s="135">
        <f>IFERROR(SUM(TblDetailBudget[[#This Row],[2021 Cost (LCU)]])/FX_Rate, "")</f>
        <v>0</v>
      </c>
      <c r="AE337" s="86">
        <f>IFERROR(SUM(TblDetailBudget[[#This Row],[2022 Cost (LCU)]])/FX_Rate, "")</f>
        <v>0</v>
      </c>
      <c r="AF337" s="86">
        <f>IFERROR(SUM(TblDetailBudget[[#This Row],[2023 Cost (LCU)]])/FX_Rate, "")</f>
        <v>0</v>
      </c>
      <c r="AG337" s="86">
        <f>IFERROR(SUM(TblDetailBudget[[#This Row],[2024 Cost (LCU)]])/FX_Rate, "")</f>
        <v>0</v>
      </c>
      <c r="AH337" s="86">
        <f>IFERROR(SUM(TblDetailBudget[[#This Row],[2025 Cost (LCU)]])/FX_Rate, "")</f>
        <v>0</v>
      </c>
      <c r="AI337" s="126">
        <f>SUM(TblDetailBudget[[#This Row],[2021 Cost (USD)]:[2025 Cost (USD)]])</f>
        <v>0</v>
      </c>
      <c r="AJ337" s="180"/>
    </row>
    <row r="338" spans="2:36" ht="12.75" customHeight="1">
      <c r="B338" s="123"/>
      <c r="C3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8" s="85" t="str">
        <f>IF(TblDetailBudget[[#This Row],[Level]]="", "", COUNTIFS($B$8:TblDetailBudget[[#This Row],[Level]], Lvl1Hdr))</f>
        <v/>
      </c>
      <c r="E338" s="85" t="str">
        <f>IF(TblDetailBudget[[#This Row],[Level]]="", "", COUNTIFS($B$8:TblDetailBudget[[#This Row],[Level]], Lvl2Hdr, $D$8:TblDetailBudget[[#This Row],[Lvl 1 Header]], TblDetailBudget[[#This Row],[Lvl 1 Header]]))</f>
        <v/>
      </c>
      <c r="F338" s="85" t="str">
        <f>IF(TblDetailBudget[[#This Row],[Level]]="", "", COUNTIFS($B$8:TblDetailBudget[[#This Row],[Level]], Lvl3Hdr, $D$8:TblDetailBudget[[#This Row],[Lvl 1 Header]], TblDetailBudget[[#This Row],[Lvl 1 Header]], $E$8:TblDetailBudget[[#This Row],[Lvl 2 Header]], TblDetailBudget[[#This Row],[Lvl 2 Header]]))</f>
        <v/>
      </c>
      <c r="G3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8" s="164"/>
      <c r="J338" s="164"/>
      <c r="K338" s="165"/>
      <c r="L338" s="165"/>
      <c r="M338" s="85" t="str">
        <f>IF(TblDetailBudget[[#This Row],[Level]]=LvlBottomHdr, IFERROR(INDEX(TblUnitCost[Unit], MATCH(TblDetailBudget[[#This Row],[Row Title]], TblUnitCost[Resource], 0)), "Invalid Resource"), "")</f>
        <v/>
      </c>
      <c r="N338" s="126" t="str">
        <f>IF(TblDetailBudget[[#This Row],[Level]]=LvlBottomHdr, IFERROR(INDEX(TblUnitCost[LCU], MATCH(TblDetailBudget[[#This Row],[Row Title]], TblUnitCost[Resource], 0)), "Invalid Resource"), "")</f>
        <v/>
      </c>
      <c r="O338" s="130"/>
      <c r="P338" s="109"/>
      <c r="Q338" s="131"/>
      <c r="R338" s="109" t="s">
        <v>66</v>
      </c>
      <c r="S338" s="109" t="s">
        <v>66</v>
      </c>
      <c r="T338" s="109" t="s">
        <v>66</v>
      </c>
      <c r="U338" s="109" t="s">
        <v>66</v>
      </c>
      <c r="V338" s="109" t="s">
        <v>66</v>
      </c>
      <c r="W338" s="126" t="str">
        <f>IF(TblDetailBudget[[#This Row],[Level]]=LvlBottomHdr, IF(SUM(TblDetailBudget[[#This Row],[2021 Quant]:[2025 Quant]])&gt;0, SUM(TblDetailBudget[[#This Row],[2021 Quant]:[2025 Quant]]), ""), "")</f>
        <v/>
      </c>
      <c r="X3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8" s="142">
        <f>SUM(TblDetailBudget[[#This Row],[2021 Cost (LCU)]:[2025 Cost (LCU)]])</f>
        <v>0</v>
      </c>
      <c r="AD338" s="135">
        <f>IFERROR(SUM(TblDetailBudget[[#This Row],[2021 Cost (LCU)]])/FX_Rate, "")</f>
        <v>0</v>
      </c>
      <c r="AE338" s="86">
        <f>IFERROR(SUM(TblDetailBudget[[#This Row],[2022 Cost (LCU)]])/FX_Rate, "")</f>
        <v>0</v>
      </c>
      <c r="AF338" s="86">
        <f>IFERROR(SUM(TblDetailBudget[[#This Row],[2023 Cost (LCU)]])/FX_Rate, "")</f>
        <v>0</v>
      </c>
      <c r="AG338" s="86">
        <f>IFERROR(SUM(TblDetailBudget[[#This Row],[2024 Cost (LCU)]])/FX_Rate, "")</f>
        <v>0</v>
      </c>
      <c r="AH338" s="86">
        <f>IFERROR(SUM(TblDetailBudget[[#This Row],[2025 Cost (LCU)]])/FX_Rate, "")</f>
        <v>0</v>
      </c>
      <c r="AI338" s="126">
        <f>SUM(TblDetailBudget[[#This Row],[2021 Cost (USD)]:[2025 Cost (USD)]])</f>
        <v>0</v>
      </c>
      <c r="AJ338" s="180"/>
    </row>
    <row r="339" spans="2:36" ht="12.75" customHeight="1">
      <c r="B339" s="123"/>
      <c r="C3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9" s="85" t="str">
        <f>IF(TblDetailBudget[[#This Row],[Level]]="", "", COUNTIFS($B$8:TblDetailBudget[[#This Row],[Level]], Lvl1Hdr))</f>
        <v/>
      </c>
      <c r="E339" s="85" t="str">
        <f>IF(TblDetailBudget[[#This Row],[Level]]="", "", COUNTIFS($B$8:TblDetailBudget[[#This Row],[Level]], Lvl2Hdr, $D$8:TblDetailBudget[[#This Row],[Lvl 1 Header]], TblDetailBudget[[#This Row],[Lvl 1 Header]]))</f>
        <v/>
      </c>
      <c r="F339" s="85" t="str">
        <f>IF(TblDetailBudget[[#This Row],[Level]]="", "", COUNTIFS($B$8:TblDetailBudget[[#This Row],[Level]], Lvl3Hdr, $D$8:TblDetailBudget[[#This Row],[Lvl 1 Header]], TblDetailBudget[[#This Row],[Lvl 1 Header]], $E$8:TblDetailBudget[[#This Row],[Lvl 2 Header]], TblDetailBudget[[#This Row],[Lvl 2 Header]]))</f>
        <v/>
      </c>
      <c r="G3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9" s="164"/>
      <c r="J339" s="164"/>
      <c r="K339" s="165"/>
      <c r="L339" s="165"/>
      <c r="M339" s="85" t="str">
        <f>IF(TblDetailBudget[[#This Row],[Level]]=LvlBottomHdr, IFERROR(INDEX(TblUnitCost[Unit], MATCH(TblDetailBudget[[#This Row],[Row Title]], TblUnitCost[Resource], 0)), "Invalid Resource"), "")</f>
        <v/>
      </c>
      <c r="N339" s="126" t="str">
        <f>IF(TblDetailBudget[[#This Row],[Level]]=LvlBottomHdr, IFERROR(INDEX(TblUnitCost[LCU], MATCH(TblDetailBudget[[#This Row],[Row Title]], TblUnitCost[Resource], 0)), "Invalid Resource"), "")</f>
        <v/>
      </c>
      <c r="O339" s="130"/>
      <c r="P339" s="109"/>
      <c r="Q339" s="131"/>
      <c r="R339" s="109" t="s">
        <v>66</v>
      </c>
      <c r="S339" s="109" t="s">
        <v>66</v>
      </c>
      <c r="T339" s="109" t="s">
        <v>66</v>
      </c>
      <c r="U339" s="109" t="s">
        <v>66</v>
      </c>
      <c r="V339" s="109" t="s">
        <v>66</v>
      </c>
      <c r="W339" s="126" t="str">
        <f>IF(TblDetailBudget[[#This Row],[Level]]=LvlBottomHdr, IF(SUM(TblDetailBudget[[#This Row],[2021 Quant]:[2025 Quant]])&gt;0, SUM(TblDetailBudget[[#This Row],[2021 Quant]:[2025 Quant]]), ""), "")</f>
        <v/>
      </c>
      <c r="X3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9" s="142">
        <f>SUM(TblDetailBudget[[#This Row],[2021 Cost (LCU)]:[2025 Cost (LCU)]])</f>
        <v>0</v>
      </c>
      <c r="AD339" s="135">
        <f>IFERROR(SUM(TblDetailBudget[[#This Row],[2021 Cost (LCU)]])/FX_Rate, "")</f>
        <v>0</v>
      </c>
      <c r="AE339" s="86">
        <f>IFERROR(SUM(TblDetailBudget[[#This Row],[2022 Cost (LCU)]])/FX_Rate, "")</f>
        <v>0</v>
      </c>
      <c r="AF339" s="86">
        <f>IFERROR(SUM(TblDetailBudget[[#This Row],[2023 Cost (LCU)]])/FX_Rate, "")</f>
        <v>0</v>
      </c>
      <c r="AG339" s="86">
        <f>IFERROR(SUM(TblDetailBudget[[#This Row],[2024 Cost (LCU)]])/FX_Rate, "")</f>
        <v>0</v>
      </c>
      <c r="AH339" s="86">
        <f>IFERROR(SUM(TblDetailBudget[[#This Row],[2025 Cost (LCU)]])/FX_Rate, "")</f>
        <v>0</v>
      </c>
      <c r="AI339" s="126">
        <f>SUM(TblDetailBudget[[#This Row],[2021 Cost (USD)]:[2025 Cost (USD)]])</f>
        <v>0</v>
      </c>
      <c r="AJ339" s="180"/>
    </row>
    <row r="340" spans="2:36" ht="12.75" customHeight="1">
      <c r="B340" s="123"/>
      <c r="C3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0" s="85" t="str">
        <f>IF(TblDetailBudget[[#This Row],[Level]]="", "", COUNTIFS($B$8:TblDetailBudget[[#This Row],[Level]], Lvl1Hdr))</f>
        <v/>
      </c>
      <c r="E340" s="85" t="str">
        <f>IF(TblDetailBudget[[#This Row],[Level]]="", "", COUNTIFS($B$8:TblDetailBudget[[#This Row],[Level]], Lvl2Hdr, $D$8:TblDetailBudget[[#This Row],[Lvl 1 Header]], TblDetailBudget[[#This Row],[Lvl 1 Header]]))</f>
        <v/>
      </c>
      <c r="F340" s="85" t="str">
        <f>IF(TblDetailBudget[[#This Row],[Level]]="", "", COUNTIFS($B$8:TblDetailBudget[[#This Row],[Level]], Lvl3Hdr, $D$8:TblDetailBudget[[#This Row],[Lvl 1 Header]], TblDetailBudget[[#This Row],[Lvl 1 Header]], $E$8:TblDetailBudget[[#This Row],[Lvl 2 Header]], TblDetailBudget[[#This Row],[Lvl 2 Header]]))</f>
        <v/>
      </c>
      <c r="G3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0" s="164"/>
      <c r="J340" s="164"/>
      <c r="K340" s="165"/>
      <c r="L340" s="165"/>
      <c r="M340" s="85" t="str">
        <f>IF(TblDetailBudget[[#This Row],[Level]]=LvlBottomHdr, IFERROR(INDEX(TblUnitCost[Unit], MATCH(TblDetailBudget[[#This Row],[Row Title]], TblUnitCost[Resource], 0)), "Invalid Resource"), "")</f>
        <v/>
      </c>
      <c r="N340" s="126" t="str">
        <f>IF(TblDetailBudget[[#This Row],[Level]]=LvlBottomHdr, IFERROR(INDEX(TblUnitCost[LCU], MATCH(TblDetailBudget[[#This Row],[Row Title]], TblUnitCost[Resource], 0)), "Invalid Resource"), "")</f>
        <v/>
      </c>
      <c r="O340" s="130"/>
      <c r="P340" s="109"/>
      <c r="Q340" s="131"/>
      <c r="R340" s="109" t="s">
        <v>66</v>
      </c>
      <c r="S340" s="109" t="s">
        <v>66</v>
      </c>
      <c r="T340" s="109" t="s">
        <v>66</v>
      </c>
      <c r="U340" s="109" t="s">
        <v>66</v>
      </c>
      <c r="V340" s="109" t="s">
        <v>66</v>
      </c>
      <c r="W340" s="126" t="str">
        <f>IF(TblDetailBudget[[#This Row],[Level]]=LvlBottomHdr, IF(SUM(TblDetailBudget[[#This Row],[2021 Quant]:[2025 Quant]])&gt;0, SUM(TblDetailBudget[[#This Row],[2021 Quant]:[2025 Quant]]), ""), "")</f>
        <v/>
      </c>
      <c r="X3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0" s="142">
        <f>SUM(TblDetailBudget[[#This Row],[2021 Cost (LCU)]:[2025 Cost (LCU)]])</f>
        <v>0</v>
      </c>
      <c r="AD340" s="135">
        <f>IFERROR(SUM(TblDetailBudget[[#This Row],[2021 Cost (LCU)]])/FX_Rate, "")</f>
        <v>0</v>
      </c>
      <c r="AE340" s="86">
        <f>IFERROR(SUM(TblDetailBudget[[#This Row],[2022 Cost (LCU)]])/FX_Rate, "")</f>
        <v>0</v>
      </c>
      <c r="AF340" s="86">
        <f>IFERROR(SUM(TblDetailBudget[[#This Row],[2023 Cost (LCU)]])/FX_Rate, "")</f>
        <v>0</v>
      </c>
      <c r="AG340" s="86">
        <f>IFERROR(SUM(TblDetailBudget[[#This Row],[2024 Cost (LCU)]])/FX_Rate, "")</f>
        <v>0</v>
      </c>
      <c r="AH340" s="86">
        <f>IFERROR(SUM(TblDetailBudget[[#This Row],[2025 Cost (LCU)]])/FX_Rate, "")</f>
        <v>0</v>
      </c>
      <c r="AI340" s="126">
        <f>SUM(TblDetailBudget[[#This Row],[2021 Cost (USD)]:[2025 Cost (USD)]])</f>
        <v>0</v>
      </c>
      <c r="AJ340" s="180"/>
    </row>
    <row r="341" spans="2:36" ht="12.75" customHeight="1">
      <c r="B341" s="123"/>
      <c r="C3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1" s="85" t="str">
        <f>IF(TblDetailBudget[[#This Row],[Level]]="", "", COUNTIFS($B$8:TblDetailBudget[[#This Row],[Level]], Lvl1Hdr))</f>
        <v/>
      </c>
      <c r="E341" s="85" t="str">
        <f>IF(TblDetailBudget[[#This Row],[Level]]="", "", COUNTIFS($B$8:TblDetailBudget[[#This Row],[Level]], Lvl2Hdr, $D$8:TblDetailBudget[[#This Row],[Lvl 1 Header]], TblDetailBudget[[#This Row],[Lvl 1 Header]]))</f>
        <v/>
      </c>
      <c r="F341" s="85" t="str">
        <f>IF(TblDetailBudget[[#This Row],[Level]]="", "", COUNTIFS($B$8:TblDetailBudget[[#This Row],[Level]], Lvl3Hdr, $D$8:TblDetailBudget[[#This Row],[Lvl 1 Header]], TblDetailBudget[[#This Row],[Lvl 1 Header]], $E$8:TblDetailBudget[[#This Row],[Lvl 2 Header]], TblDetailBudget[[#This Row],[Lvl 2 Header]]))</f>
        <v/>
      </c>
      <c r="G3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1" s="164"/>
      <c r="J341" s="164"/>
      <c r="K341" s="165"/>
      <c r="L341" s="165"/>
      <c r="M341" s="85" t="str">
        <f>IF(TblDetailBudget[[#This Row],[Level]]=LvlBottomHdr, IFERROR(INDEX(TblUnitCost[Unit], MATCH(TblDetailBudget[[#This Row],[Row Title]], TblUnitCost[Resource], 0)), "Invalid Resource"), "")</f>
        <v/>
      </c>
      <c r="N341" s="126" t="str">
        <f>IF(TblDetailBudget[[#This Row],[Level]]=LvlBottomHdr, IFERROR(INDEX(TblUnitCost[LCU], MATCH(TblDetailBudget[[#This Row],[Row Title]], TblUnitCost[Resource], 0)), "Invalid Resource"), "")</f>
        <v/>
      </c>
      <c r="O341" s="130"/>
      <c r="P341" s="109"/>
      <c r="Q341" s="131"/>
      <c r="R341" s="109" t="s">
        <v>66</v>
      </c>
      <c r="S341" s="109" t="s">
        <v>66</v>
      </c>
      <c r="T341" s="109" t="s">
        <v>66</v>
      </c>
      <c r="U341" s="109" t="s">
        <v>66</v>
      </c>
      <c r="V341" s="109" t="s">
        <v>66</v>
      </c>
      <c r="W341" s="126" t="str">
        <f>IF(TblDetailBudget[[#This Row],[Level]]=LvlBottomHdr, IF(SUM(TblDetailBudget[[#This Row],[2021 Quant]:[2025 Quant]])&gt;0, SUM(TblDetailBudget[[#This Row],[2021 Quant]:[2025 Quant]]), ""), "")</f>
        <v/>
      </c>
      <c r="X3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1" s="142">
        <f>SUM(TblDetailBudget[[#This Row],[2021 Cost (LCU)]:[2025 Cost (LCU)]])</f>
        <v>0</v>
      </c>
      <c r="AD341" s="135">
        <f>IFERROR(SUM(TblDetailBudget[[#This Row],[2021 Cost (LCU)]])/FX_Rate, "")</f>
        <v>0</v>
      </c>
      <c r="AE341" s="86">
        <f>IFERROR(SUM(TblDetailBudget[[#This Row],[2022 Cost (LCU)]])/FX_Rate, "")</f>
        <v>0</v>
      </c>
      <c r="AF341" s="86">
        <f>IFERROR(SUM(TblDetailBudget[[#This Row],[2023 Cost (LCU)]])/FX_Rate, "")</f>
        <v>0</v>
      </c>
      <c r="AG341" s="86">
        <f>IFERROR(SUM(TblDetailBudget[[#This Row],[2024 Cost (LCU)]])/FX_Rate, "")</f>
        <v>0</v>
      </c>
      <c r="AH341" s="86">
        <f>IFERROR(SUM(TblDetailBudget[[#This Row],[2025 Cost (LCU)]])/FX_Rate, "")</f>
        <v>0</v>
      </c>
      <c r="AI341" s="126">
        <f>SUM(TblDetailBudget[[#This Row],[2021 Cost (USD)]:[2025 Cost (USD)]])</f>
        <v>0</v>
      </c>
      <c r="AJ341" s="180"/>
    </row>
    <row r="342" spans="2:36" ht="12.75" customHeight="1">
      <c r="B342" s="123"/>
      <c r="C3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2" s="85" t="str">
        <f>IF(TblDetailBudget[[#This Row],[Level]]="", "", COUNTIFS($B$8:TblDetailBudget[[#This Row],[Level]], Lvl1Hdr))</f>
        <v/>
      </c>
      <c r="E342" s="85" t="str">
        <f>IF(TblDetailBudget[[#This Row],[Level]]="", "", COUNTIFS($B$8:TblDetailBudget[[#This Row],[Level]], Lvl2Hdr, $D$8:TblDetailBudget[[#This Row],[Lvl 1 Header]], TblDetailBudget[[#This Row],[Lvl 1 Header]]))</f>
        <v/>
      </c>
      <c r="F342" s="85" t="str">
        <f>IF(TblDetailBudget[[#This Row],[Level]]="", "", COUNTIFS($B$8:TblDetailBudget[[#This Row],[Level]], Lvl3Hdr, $D$8:TblDetailBudget[[#This Row],[Lvl 1 Header]], TblDetailBudget[[#This Row],[Lvl 1 Header]], $E$8:TblDetailBudget[[#This Row],[Lvl 2 Header]], TblDetailBudget[[#This Row],[Lvl 2 Header]]))</f>
        <v/>
      </c>
      <c r="G3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2" s="164"/>
      <c r="J342" s="164"/>
      <c r="K342" s="165"/>
      <c r="L342" s="165"/>
      <c r="M342" s="85" t="str">
        <f>IF(TblDetailBudget[[#This Row],[Level]]=LvlBottomHdr, IFERROR(INDEX(TblUnitCost[Unit], MATCH(TblDetailBudget[[#This Row],[Row Title]], TblUnitCost[Resource], 0)), "Invalid Resource"), "")</f>
        <v/>
      </c>
      <c r="N342" s="126" t="str">
        <f>IF(TblDetailBudget[[#This Row],[Level]]=LvlBottomHdr, IFERROR(INDEX(TblUnitCost[LCU], MATCH(TblDetailBudget[[#This Row],[Row Title]], TblUnitCost[Resource], 0)), "Invalid Resource"), "")</f>
        <v/>
      </c>
      <c r="O342" s="130"/>
      <c r="P342" s="109"/>
      <c r="Q342" s="131"/>
      <c r="R342" s="109" t="s">
        <v>66</v>
      </c>
      <c r="S342" s="109" t="s">
        <v>66</v>
      </c>
      <c r="T342" s="109" t="s">
        <v>66</v>
      </c>
      <c r="U342" s="109" t="s">
        <v>66</v>
      </c>
      <c r="V342" s="109" t="s">
        <v>66</v>
      </c>
      <c r="W342" s="126" t="str">
        <f>IF(TblDetailBudget[[#This Row],[Level]]=LvlBottomHdr, IF(SUM(TblDetailBudget[[#This Row],[2021 Quant]:[2025 Quant]])&gt;0, SUM(TblDetailBudget[[#This Row],[2021 Quant]:[2025 Quant]]), ""), "")</f>
        <v/>
      </c>
      <c r="X3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2" s="142">
        <f>SUM(TblDetailBudget[[#This Row],[2021 Cost (LCU)]:[2025 Cost (LCU)]])</f>
        <v>0</v>
      </c>
      <c r="AD342" s="135">
        <f>IFERROR(SUM(TblDetailBudget[[#This Row],[2021 Cost (LCU)]])/FX_Rate, "")</f>
        <v>0</v>
      </c>
      <c r="AE342" s="86">
        <f>IFERROR(SUM(TblDetailBudget[[#This Row],[2022 Cost (LCU)]])/FX_Rate, "")</f>
        <v>0</v>
      </c>
      <c r="AF342" s="86">
        <f>IFERROR(SUM(TblDetailBudget[[#This Row],[2023 Cost (LCU)]])/FX_Rate, "")</f>
        <v>0</v>
      </c>
      <c r="AG342" s="86">
        <f>IFERROR(SUM(TblDetailBudget[[#This Row],[2024 Cost (LCU)]])/FX_Rate, "")</f>
        <v>0</v>
      </c>
      <c r="AH342" s="86">
        <f>IFERROR(SUM(TblDetailBudget[[#This Row],[2025 Cost (LCU)]])/FX_Rate, "")</f>
        <v>0</v>
      </c>
      <c r="AI342" s="126">
        <f>SUM(TblDetailBudget[[#This Row],[2021 Cost (USD)]:[2025 Cost (USD)]])</f>
        <v>0</v>
      </c>
      <c r="AJ342" s="180"/>
    </row>
    <row r="343" spans="2:36" ht="12.75" customHeight="1">
      <c r="B343" s="123"/>
      <c r="C3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3" s="85" t="str">
        <f>IF(TblDetailBudget[[#This Row],[Level]]="", "", COUNTIFS($B$8:TblDetailBudget[[#This Row],[Level]], Lvl1Hdr))</f>
        <v/>
      </c>
      <c r="E343" s="85" t="str">
        <f>IF(TblDetailBudget[[#This Row],[Level]]="", "", COUNTIFS($B$8:TblDetailBudget[[#This Row],[Level]], Lvl2Hdr, $D$8:TblDetailBudget[[#This Row],[Lvl 1 Header]], TblDetailBudget[[#This Row],[Lvl 1 Header]]))</f>
        <v/>
      </c>
      <c r="F343" s="85" t="str">
        <f>IF(TblDetailBudget[[#This Row],[Level]]="", "", COUNTIFS($B$8:TblDetailBudget[[#This Row],[Level]], Lvl3Hdr, $D$8:TblDetailBudget[[#This Row],[Lvl 1 Header]], TblDetailBudget[[#This Row],[Lvl 1 Header]], $E$8:TblDetailBudget[[#This Row],[Lvl 2 Header]], TblDetailBudget[[#This Row],[Lvl 2 Header]]))</f>
        <v/>
      </c>
      <c r="G3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3" s="164"/>
      <c r="J343" s="164"/>
      <c r="K343" s="165"/>
      <c r="L343" s="165"/>
      <c r="M343" s="85" t="str">
        <f>IF(TblDetailBudget[[#This Row],[Level]]=LvlBottomHdr, IFERROR(INDEX(TblUnitCost[Unit], MATCH(TblDetailBudget[[#This Row],[Row Title]], TblUnitCost[Resource], 0)), "Invalid Resource"), "")</f>
        <v/>
      </c>
      <c r="N343" s="126" t="str">
        <f>IF(TblDetailBudget[[#This Row],[Level]]=LvlBottomHdr, IFERROR(INDEX(TblUnitCost[LCU], MATCH(TblDetailBudget[[#This Row],[Row Title]], TblUnitCost[Resource], 0)), "Invalid Resource"), "")</f>
        <v/>
      </c>
      <c r="O343" s="130"/>
      <c r="P343" s="109"/>
      <c r="Q343" s="131"/>
      <c r="R343" s="109" t="s">
        <v>66</v>
      </c>
      <c r="S343" s="109" t="s">
        <v>66</v>
      </c>
      <c r="T343" s="109" t="s">
        <v>66</v>
      </c>
      <c r="U343" s="109" t="s">
        <v>66</v>
      </c>
      <c r="V343" s="109" t="s">
        <v>66</v>
      </c>
      <c r="W343" s="126" t="str">
        <f>IF(TblDetailBudget[[#This Row],[Level]]=LvlBottomHdr, IF(SUM(TblDetailBudget[[#This Row],[2021 Quant]:[2025 Quant]])&gt;0, SUM(TblDetailBudget[[#This Row],[2021 Quant]:[2025 Quant]]), ""), "")</f>
        <v/>
      </c>
      <c r="X3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3" s="142">
        <f>SUM(TblDetailBudget[[#This Row],[2021 Cost (LCU)]:[2025 Cost (LCU)]])</f>
        <v>0</v>
      </c>
      <c r="AD343" s="135">
        <f>IFERROR(SUM(TblDetailBudget[[#This Row],[2021 Cost (LCU)]])/FX_Rate, "")</f>
        <v>0</v>
      </c>
      <c r="AE343" s="86">
        <f>IFERROR(SUM(TblDetailBudget[[#This Row],[2022 Cost (LCU)]])/FX_Rate, "")</f>
        <v>0</v>
      </c>
      <c r="AF343" s="86">
        <f>IFERROR(SUM(TblDetailBudget[[#This Row],[2023 Cost (LCU)]])/FX_Rate, "")</f>
        <v>0</v>
      </c>
      <c r="AG343" s="86">
        <f>IFERROR(SUM(TblDetailBudget[[#This Row],[2024 Cost (LCU)]])/FX_Rate, "")</f>
        <v>0</v>
      </c>
      <c r="AH343" s="86">
        <f>IFERROR(SUM(TblDetailBudget[[#This Row],[2025 Cost (LCU)]])/FX_Rate, "")</f>
        <v>0</v>
      </c>
      <c r="AI343" s="126">
        <f>SUM(TblDetailBudget[[#This Row],[2021 Cost (USD)]:[2025 Cost (USD)]])</f>
        <v>0</v>
      </c>
      <c r="AJ343" s="180"/>
    </row>
    <row r="344" spans="2:36" ht="12.75" customHeight="1">
      <c r="B344" s="123"/>
      <c r="C3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4" s="85" t="str">
        <f>IF(TblDetailBudget[[#This Row],[Level]]="", "", COUNTIFS($B$8:TblDetailBudget[[#This Row],[Level]], Lvl1Hdr))</f>
        <v/>
      </c>
      <c r="E344" s="85" t="str">
        <f>IF(TblDetailBudget[[#This Row],[Level]]="", "", COUNTIFS($B$8:TblDetailBudget[[#This Row],[Level]], Lvl2Hdr, $D$8:TblDetailBudget[[#This Row],[Lvl 1 Header]], TblDetailBudget[[#This Row],[Lvl 1 Header]]))</f>
        <v/>
      </c>
      <c r="F344" s="85" t="str">
        <f>IF(TblDetailBudget[[#This Row],[Level]]="", "", COUNTIFS($B$8:TblDetailBudget[[#This Row],[Level]], Lvl3Hdr, $D$8:TblDetailBudget[[#This Row],[Lvl 1 Header]], TblDetailBudget[[#This Row],[Lvl 1 Header]], $E$8:TblDetailBudget[[#This Row],[Lvl 2 Header]], TblDetailBudget[[#This Row],[Lvl 2 Header]]))</f>
        <v/>
      </c>
      <c r="G3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4" s="164"/>
      <c r="J344" s="164"/>
      <c r="K344" s="165"/>
      <c r="L344" s="165"/>
      <c r="M344" s="85" t="str">
        <f>IF(TblDetailBudget[[#This Row],[Level]]=LvlBottomHdr, IFERROR(INDEX(TblUnitCost[Unit], MATCH(TblDetailBudget[[#This Row],[Row Title]], TblUnitCost[Resource], 0)), "Invalid Resource"), "")</f>
        <v/>
      </c>
      <c r="N344" s="126" t="str">
        <f>IF(TblDetailBudget[[#This Row],[Level]]=LvlBottomHdr, IFERROR(INDEX(TblUnitCost[LCU], MATCH(TblDetailBudget[[#This Row],[Row Title]], TblUnitCost[Resource], 0)), "Invalid Resource"), "")</f>
        <v/>
      </c>
      <c r="O344" s="130"/>
      <c r="P344" s="109"/>
      <c r="Q344" s="131"/>
      <c r="R344" s="109" t="s">
        <v>66</v>
      </c>
      <c r="S344" s="109" t="s">
        <v>66</v>
      </c>
      <c r="T344" s="109" t="s">
        <v>66</v>
      </c>
      <c r="U344" s="109" t="s">
        <v>66</v>
      </c>
      <c r="V344" s="109" t="s">
        <v>66</v>
      </c>
      <c r="W344" s="126" t="str">
        <f>IF(TblDetailBudget[[#This Row],[Level]]=LvlBottomHdr, IF(SUM(TblDetailBudget[[#This Row],[2021 Quant]:[2025 Quant]])&gt;0, SUM(TblDetailBudget[[#This Row],[2021 Quant]:[2025 Quant]]), ""), "")</f>
        <v/>
      </c>
      <c r="X3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4" s="142">
        <f>SUM(TblDetailBudget[[#This Row],[2021 Cost (LCU)]:[2025 Cost (LCU)]])</f>
        <v>0</v>
      </c>
      <c r="AD344" s="135">
        <f>IFERROR(SUM(TblDetailBudget[[#This Row],[2021 Cost (LCU)]])/FX_Rate, "")</f>
        <v>0</v>
      </c>
      <c r="AE344" s="86">
        <f>IFERROR(SUM(TblDetailBudget[[#This Row],[2022 Cost (LCU)]])/FX_Rate, "")</f>
        <v>0</v>
      </c>
      <c r="AF344" s="86">
        <f>IFERROR(SUM(TblDetailBudget[[#This Row],[2023 Cost (LCU)]])/FX_Rate, "")</f>
        <v>0</v>
      </c>
      <c r="AG344" s="86">
        <f>IFERROR(SUM(TblDetailBudget[[#This Row],[2024 Cost (LCU)]])/FX_Rate, "")</f>
        <v>0</v>
      </c>
      <c r="AH344" s="86">
        <f>IFERROR(SUM(TblDetailBudget[[#This Row],[2025 Cost (LCU)]])/FX_Rate, "")</f>
        <v>0</v>
      </c>
      <c r="AI344" s="126">
        <f>SUM(TblDetailBudget[[#This Row],[2021 Cost (USD)]:[2025 Cost (USD)]])</f>
        <v>0</v>
      </c>
      <c r="AJ344" s="180"/>
    </row>
    <row r="345" spans="2:36" ht="12.75" customHeight="1">
      <c r="B345" s="123"/>
      <c r="C3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5" s="85" t="str">
        <f>IF(TblDetailBudget[[#This Row],[Level]]="", "", COUNTIFS($B$8:TblDetailBudget[[#This Row],[Level]], Lvl1Hdr))</f>
        <v/>
      </c>
      <c r="E345" s="85" t="str">
        <f>IF(TblDetailBudget[[#This Row],[Level]]="", "", COUNTIFS($B$8:TblDetailBudget[[#This Row],[Level]], Lvl2Hdr, $D$8:TblDetailBudget[[#This Row],[Lvl 1 Header]], TblDetailBudget[[#This Row],[Lvl 1 Header]]))</f>
        <v/>
      </c>
      <c r="F345" s="85" t="str">
        <f>IF(TblDetailBudget[[#This Row],[Level]]="", "", COUNTIFS($B$8:TblDetailBudget[[#This Row],[Level]], Lvl3Hdr, $D$8:TblDetailBudget[[#This Row],[Lvl 1 Header]], TblDetailBudget[[#This Row],[Lvl 1 Header]], $E$8:TblDetailBudget[[#This Row],[Lvl 2 Header]], TblDetailBudget[[#This Row],[Lvl 2 Header]]))</f>
        <v/>
      </c>
      <c r="G3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5" s="164"/>
      <c r="J345" s="164"/>
      <c r="K345" s="165"/>
      <c r="L345" s="165"/>
      <c r="M345" s="85" t="str">
        <f>IF(TblDetailBudget[[#This Row],[Level]]=LvlBottomHdr, IFERROR(INDEX(TblUnitCost[Unit], MATCH(TblDetailBudget[[#This Row],[Row Title]], TblUnitCost[Resource], 0)), "Invalid Resource"), "")</f>
        <v/>
      </c>
      <c r="N345" s="126" t="str">
        <f>IF(TblDetailBudget[[#This Row],[Level]]=LvlBottomHdr, IFERROR(INDEX(TblUnitCost[LCU], MATCH(TblDetailBudget[[#This Row],[Row Title]], TblUnitCost[Resource], 0)), "Invalid Resource"), "")</f>
        <v/>
      </c>
      <c r="O345" s="130"/>
      <c r="P345" s="109"/>
      <c r="Q345" s="131"/>
      <c r="R345" s="109" t="s">
        <v>66</v>
      </c>
      <c r="S345" s="109" t="s">
        <v>66</v>
      </c>
      <c r="T345" s="109" t="s">
        <v>66</v>
      </c>
      <c r="U345" s="109" t="s">
        <v>66</v>
      </c>
      <c r="V345" s="109" t="s">
        <v>66</v>
      </c>
      <c r="W345" s="126" t="str">
        <f>IF(TblDetailBudget[[#This Row],[Level]]=LvlBottomHdr, IF(SUM(TblDetailBudget[[#This Row],[2021 Quant]:[2025 Quant]])&gt;0, SUM(TblDetailBudget[[#This Row],[2021 Quant]:[2025 Quant]]), ""), "")</f>
        <v/>
      </c>
      <c r="X3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5" s="142">
        <f>SUM(TblDetailBudget[[#This Row],[2021 Cost (LCU)]:[2025 Cost (LCU)]])</f>
        <v>0</v>
      </c>
      <c r="AD345" s="135">
        <f>IFERROR(SUM(TblDetailBudget[[#This Row],[2021 Cost (LCU)]])/FX_Rate, "")</f>
        <v>0</v>
      </c>
      <c r="AE345" s="86">
        <f>IFERROR(SUM(TblDetailBudget[[#This Row],[2022 Cost (LCU)]])/FX_Rate, "")</f>
        <v>0</v>
      </c>
      <c r="AF345" s="86">
        <f>IFERROR(SUM(TblDetailBudget[[#This Row],[2023 Cost (LCU)]])/FX_Rate, "")</f>
        <v>0</v>
      </c>
      <c r="AG345" s="86">
        <f>IFERROR(SUM(TblDetailBudget[[#This Row],[2024 Cost (LCU)]])/FX_Rate, "")</f>
        <v>0</v>
      </c>
      <c r="AH345" s="86">
        <f>IFERROR(SUM(TblDetailBudget[[#This Row],[2025 Cost (LCU)]])/FX_Rate, "")</f>
        <v>0</v>
      </c>
      <c r="AI345" s="126">
        <f>SUM(TblDetailBudget[[#This Row],[2021 Cost (USD)]:[2025 Cost (USD)]])</f>
        <v>0</v>
      </c>
      <c r="AJ345" s="180"/>
    </row>
    <row r="346" spans="2:36" ht="12.75" customHeight="1">
      <c r="B346" s="123"/>
      <c r="C3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6" s="85" t="str">
        <f>IF(TblDetailBudget[[#This Row],[Level]]="", "", COUNTIFS($B$8:TblDetailBudget[[#This Row],[Level]], Lvl1Hdr))</f>
        <v/>
      </c>
      <c r="E346" s="85" t="str">
        <f>IF(TblDetailBudget[[#This Row],[Level]]="", "", COUNTIFS($B$8:TblDetailBudget[[#This Row],[Level]], Lvl2Hdr, $D$8:TblDetailBudget[[#This Row],[Lvl 1 Header]], TblDetailBudget[[#This Row],[Lvl 1 Header]]))</f>
        <v/>
      </c>
      <c r="F346" s="85" t="str">
        <f>IF(TblDetailBudget[[#This Row],[Level]]="", "", COUNTIFS($B$8:TblDetailBudget[[#This Row],[Level]], Lvl3Hdr, $D$8:TblDetailBudget[[#This Row],[Lvl 1 Header]], TblDetailBudget[[#This Row],[Lvl 1 Header]], $E$8:TblDetailBudget[[#This Row],[Lvl 2 Header]], TblDetailBudget[[#This Row],[Lvl 2 Header]]))</f>
        <v/>
      </c>
      <c r="G3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6" s="164"/>
      <c r="J346" s="164"/>
      <c r="K346" s="165"/>
      <c r="L346" s="165"/>
      <c r="M346" s="85" t="str">
        <f>IF(TblDetailBudget[[#This Row],[Level]]=LvlBottomHdr, IFERROR(INDEX(TblUnitCost[Unit], MATCH(TblDetailBudget[[#This Row],[Row Title]], TblUnitCost[Resource], 0)), "Invalid Resource"), "")</f>
        <v/>
      </c>
      <c r="N346" s="126" t="str">
        <f>IF(TblDetailBudget[[#This Row],[Level]]=LvlBottomHdr, IFERROR(INDEX(TblUnitCost[LCU], MATCH(TblDetailBudget[[#This Row],[Row Title]], TblUnitCost[Resource], 0)), "Invalid Resource"), "")</f>
        <v/>
      </c>
      <c r="O346" s="130"/>
      <c r="P346" s="109"/>
      <c r="Q346" s="131"/>
      <c r="R346" s="109" t="s">
        <v>66</v>
      </c>
      <c r="S346" s="109" t="s">
        <v>66</v>
      </c>
      <c r="T346" s="109" t="s">
        <v>66</v>
      </c>
      <c r="U346" s="109" t="s">
        <v>66</v>
      </c>
      <c r="V346" s="109" t="s">
        <v>66</v>
      </c>
      <c r="W346" s="126" t="str">
        <f>IF(TblDetailBudget[[#This Row],[Level]]=LvlBottomHdr, IF(SUM(TblDetailBudget[[#This Row],[2021 Quant]:[2025 Quant]])&gt;0, SUM(TblDetailBudget[[#This Row],[2021 Quant]:[2025 Quant]]), ""), "")</f>
        <v/>
      </c>
      <c r="X3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6" s="142">
        <f>SUM(TblDetailBudget[[#This Row],[2021 Cost (LCU)]:[2025 Cost (LCU)]])</f>
        <v>0</v>
      </c>
      <c r="AD346" s="135">
        <f>IFERROR(SUM(TblDetailBudget[[#This Row],[2021 Cost (LCU)]])/FX_Rate, "")</f>
        <v>0</v>
      </c>
      <c r="AE346" s="86">
        <f>IFERROR(SUM(TblDetailBudget[[#This Row],[2022 Cost (LCU)]])/FX_Rate, "")</f>
        <v>0</v>
      </c>
      <c r="AF346" s="86">
        <f>IFERROR(SUM(TblDetailBudget[[#This Row],[2023 Cost (LCU)]])/FX_Rate, "")</f>
        <v>0</v>
      </c>
      <c r="AG346" s="86">
        <f>IFERROR(SUM(TblDetailBudget[[#This Row],[2024 Cost (LCU)]])/FX_Rate, "")</f>
        <v>0</v>
      </c>
      <c r="AH346" s="86">
        <f>IFERROR(SUM(TblDetailBudget[[#This Row],[2025 Cost (LCU)]])/FX_Rate, "")</f>
        <v>0</v>
      </c>
      <c r="AI346" s="126">
        <f>SUM(TblDetailBudget[[#This Row],[2021 Cost (USD)]:[2025 Cost (USD)]])</f>
        <v>0</v>
      </c>
      <c r="AJ346" s="180"/>
    </row>
    <row r="347" spans="2:36" ht="12.75" customHeight="1">
      <c r="B347" s="123"/>
      <c r="C3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7" s="85" t="str">
        <f>IF(TblDetailBudget[[#This Row],[Level]]="", "", COUNTIFS($B$8:TblDetailBudget[[#This Row],[Level]], Lvl1Hdr))</f>
        <v/>
      </c>
      <c r="E347" s="85" t="str">
        <f>IF(TblDetailBudget[[#This Row],[Level]]="", "", COUNTIFS($B$8:TblDetailBudget[[#This Row],[Level]], Lvl2Hdr, $D$8:TblDetailBudget[[#This Row],[Lvl 1 Header]], TblDetailBudget[[#This Row],[Lvl 1 Header]]))</f>
        <v/>
      </c>
      <c r="F347" s="85" t="str">
        <f>IF(TblDetailBudget[[#This Row],[Level]]="", "", COUNTIFS($B$8:TblDetailBudget[[#This Row],[Level]], Lvl3Hdr, $D$8:TblDetailBudget[[#This Row],[Lvl 1 Header]], TblDetailBudget[[#This Row],[Lvl 1 Header]], $E$8:TblDetailBudget[[#This Row],[Lvl 2 Header]], TblDetailBudget[[#This Row],[Lvl 2 Header]]))</f>
        <v/>
      </c>
      <c r="G3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7" s="164"/>
      <c r="J347" s="164"/>
      <c r="K347" s="165"/>
      <c r="L347" s="165"/>
      <c r="M347" s="85" t="str">
        <f>IF(TblDetailBudget[[#This Row],[Level]]=LvlBottomHdr, IFERROR(INDEX(TblUnitCost[Unit], MATCH(TblDetailBudget[[#This Row],[Row Title]], TblUnitCost[Resource], 0)), "Invalid Resource"), "")</f>
        <v/>
      </c>
      <c r="N347" s="126" t="str">
        <f>IF(TblDetailBudget[[#This Row],[Level]]=LvlBottomHdr, IFERROR(INDEX(TblUnitCost[LCU], MATCH(TblDetailBudget[[#This Row],[Row Title]], TblUnitCost[Resource], 0)), "Invalid Resource"), "")</f>
        <v/>
      </c>
      <c r="O347" s="130"/>
      <c r="P347" s="109"/>
      <c r="Q347" s="131"/>
      <c r="R347" s="109" t="s">
        <v>66</v>
      </c>
      <c r="S347" s="109" t="s">
        <v>66</v>
      </c>
      <c r="T347" s="109" t="s">
        <v>66</v>
      </c>
      <c r="U347" s="109" t="s">
        <v>66</v>
      </c>
      <c r="V347" s="109" t="s">
        <v>66</v>
      </c>
      <c r="W347" s="126" t="str">
        <f>IF(TblDetailBudget[[#This Row],[Level]]=LvlBottomHdr, IF(SUM(TblDetailBudget[[#This Row],[2021 Quant]:[2025 Quant]])&gt;0, SUM(TblDetailBudget[[#This Row],[2021 Quant]:[2025 Quant]]), ""), "")</f>
        <v/>
      </c>
      <c r="X3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7" s="142">
        <f>SUM(TblDetailBudget[[#This Row],[2021 Cost (LCU)]:[2025 Cost (LCU)]])</f>
        <v>0</v>
      </c>
      <c r="AD347" s="135">
        <f>IFERROR(SUM(TblDetailBudget[[#This Row],[2021 Cost (LCU)]])/FX_Rate, "")</f>
        <v>0</v>
      </c>
      <c r="AE347" s="86">
        <f>IFERROR(SUM(TblDetailBudget[[#This Row],[2022 Cost (LCU)]])/FX_Rate, "")</f>
        <v>0</v>
      </c>
      <c r="AF347" s="86">
        <f>IFERROR(SUM(TblDetailBudget[[#This Row],[2023 Cost (LCU)]])/FX_Rate, "")</f>
        <v>0</v>
      </c>
      <c r="AG347" s="86">
        <f>IFERROR(SUM(TblDetailBudget[[#This Row],[2024 Cost (LCU)]])/FX_Rate, "")</f>
        <v>0</v>
      </c>
      <c r="AH347" s="86">
        <f>IFERROR(SUM(TblDetailBudget[[#This Row],[2025 Cost (LCU)]])/FX_Rate, "")</f>
        <v>0</v>
      </c>
      <c r="AI347" s="126">
        <f>SUM(TblDetailBudget[[#This Row],[2021 Cost (USD)]:[2025 Cost (USD)]])</f>
        <v>0</v>
      </c>
      <c r="AJ347" s="180"/>
    </row>
    <row r="348" spans="2:36" ht="12.75" customHeight="1">
      <c r="B348" s="123"/>
      <c r="C3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8" s="85" t="str">
        <f>IF(TblDetailBudget[[#This Row],[Level]]="", "", COUNTIFS($B$8:TblDetailBudget[[#This Row],[Level]], Lvl1Hdr))</f>
        <v/>
      </c>
      <c r="E348" s="85" t="str">
        <f>IF(TblDetailBudget[[#This Row],[Level]]="", "", COUNTIFS($B$8:TblDetailBudget[[#This Row],[Level]], Lvl2Hdr, $D$8:TblDetailBudget[[#This Row],[Lvl 1 Header]], TblDetailBudget[[#This Row],[Lvl 1 Header]]))</f>
        <v/>
      </c>
      <c r="F348" s="85" t="str">
        <f>IF(TblDetailBudget[[#This Row],[Level]]="", "", COUNTIFS($B$8:TblDetailBudget[[#This Row],[Level]], Lvl3Hdr, $D$8:TblDetailBudget[[#This Row],[Lvl 1 Header]], TblDetailBudget[[#This Row],[Lvl 1 Header]], $E$8:TblDetailBudget[[#This Row],[Lvl 2 Header]], TblDetailBudget[[#This Row],[Lvl 2 Header]]))</f>
        <v/>
      </c>
      <c r="G3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8" s="164"/>
      <c r="J348" s="164"/>
      <c r="K348" s="165"/>
      <c r="L348" s="165"/>
      <c r="M348" s="85" t="str">
        <f>IF(TblDetailBudget[[#This Row],[Level]]=LvlBottomHdr, IFERROR(INDEX(TblUnitCost[Unit], MATCH(TblDetailBudget[[#This Row],[Row Title]], TblUnitCost[Resource], 0)), "Invalid Resource"), "")</f>
        <v/>
      </c>
      <c r="N348" s="126" t="str">
        <f>IF(TblDetailBudget[[#This Row],[Level]]=LvlBottomHdr, IFERROR(INDEX(TblUnitCost[LCU], MATCH(TblDetailBudget[[#This Row],[Row Title]], TblUnitCost[Resource], 0)), "Invalid Resource"), "")</f>
        <v/>
      </c>
      <c r="O348" s="130"/>
      <c r="P348" s="109"/>
      <c r="Q348" s="131"/>
      <c r="R348" s="109" t="s">
        <v>66</v>
      </c>
      <c r="S348" s="109" t="s">
        <v>66</v>
      </c>
      <c r="T348" s="109" t="s">
        <v>66</v>
      </c>
      <c r="U348" s="109" t="s">
        <v>66</v>
      </c>
      <c r="V348" s="109" t="s">
        <v>66</v>
      </c>
      <c r="W348" s="126" t="str">
        <f>IF(TblDetailBudget[[#This Row],[Level]]=LvlBottomHdr, IF(SUM(TblDetailBudget[[#This Row],[2021 Quant]:[2025 Quant]])&gt;0, SUM(TblDetailBudget[[#This Row],[2021 Quant]:[2025 Quant]]), ""), "")</f>
        <v/>
      </c>
      <c r="X3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8" s="142">
        <f>SUM(TblDetailBudget[[#This Row],[2021 Cost (LCU)]:[2025 Cost (LCU)]])</f>
        <v>0</v>
      </c>
      <c r="AD348" s="135">
        <f>IFERROR(SUM(TblDetailBudget[[#This Row],[2021 Cost (LCU)]])/FX_Rate, "")</f>
        <v>0</v>
      </c>
      <c r="AE348" s="86">
        <f>IFERROR(SUM(TblDetailBudget[[#This Row],[2022 Cost (LCU)]])/FX_Rate, "")</f>
        <v>0</v>
      </c>
      <c r="AF348" s="86">
        <f>IFERROR(SUM(TblDetailBudget[[#This Row],[2023 Cost (LCU)]])/FX_Rate, "")</f>
        <v>0</v>
      </c>
      <c r="AG348" s="86">
        <f>IFERROR(SUM(TblDetailBudget[[#This Row],[2024 Cost (LCU)]])/FX_Rate, "")</f>
        <v>0</v>
      </c>
      <c r="AH348" s="86">
        <f>IFERROR(SUM(TblDetailBudget[[#This Row],[2025 Cost (LCU)]])/FX_Rate, "")</f>
        <v>0</v>
      </c>
      <c r="AI348" s="126">
        <f>SUM(TblDetailBudget[[#This Row],[2021 Cost (USD)]:[2025 Cost (USD)]])</f>
        <v>0</v>
      </c>
      <c r="AJ348" s="180"/>
    </row>
    <row r="349" spans="2:36" ht="12.75" customHeight="1">
      <c r="B349" s="123"/>
      <c r="C3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9" s="85" t="str">
        <f>IF(TblDetailBudget[[#This Row],[Level]]="", "", COUNTIFS($B$8:TblDetailBudget[[#This Row],[Level]], Lvl1Hdr))</f>
        <v/>
      </c>
      <c r="E349" s="85" t="str">
        <f>IF(TblDetailBudget[[#This Row],[Level]]="", "", COUNTIFS($B$8:TblDetailBudget[[#This Row],[Level]], Lvl2Hdr, $D$8:TblDetailBudget[[#This Row],[Lvl 1 Header]], TblDetailBudget[[#This Row],[Lvl 1 Header]]))</f>
        <v/>
      </c>
      <c r="F349" s="85" t="str">
        <f>IF(TblDetailBudget[[#This Row],[Level]]="", "", COUNTIFS($B$8:TblDetailBudget[[#This Row],[Level]], Lvl3Hdr, $D$8:TblDetailBudget[[#This Row],[Lvl 1 Header]], TblDetailBudget[[#This Row],[Lvl 1 Header]], $E$8:TblDetailBudget[[#This Row],[Lvl 2 Header]], TblDetailBudget[[#This Row],[Lvl 2 Header]]))</f>
        <v/>
      </c>
      <c r="G3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9" s="164"/>
      <c r="J349" s="164"/>
      <c r="K349" s="165"/>
      <c r="L349" s="165"/>
      <c r="M349" s="85" t="str">
        <f>IF(TblDetailBudget[[#This Row],[Level]]=LvlBottomHdr, IFERROR(INDEX(TblUnitCost[Unit], MATCH(TblDetailBudget[[#This Row],[Row Title]], TblUnitCost[Resource], 0)), "Invalid Resource"), "")</f>
        <v/>
      </c>
      <c r="N349" s="126" t="str">
        <f>IF(TblDetailBudget[[#This Row],[Level]]=LvlBottomHdr, IFERROR(INDEX(TblUnitCost[LCU], MATCH(TblDetailBudget[[#This Row],[Row Title]], TblUnitCost[Resource], 0)), "Invalid Resource"), "")</f>
        <v/>
      </c>
      <c r="O349" s="130"/>
      <c r="P349" s="109"/>
      <c r="Q349" s="131"/>
      <c r="R349" s="109" t="s">
        <v>66</v>
      </c>
      <c r="S349" s="109" t="s">
        <v>66</v>
      </c>
      <c r="T349" s="109" t="s">
        <v>66</v>
      </c>
      <c r="U349" s="109" t="s">
        <v>66</v>
      </c>
      <c r="V349" s="109" t="s">
        <v>66</v>
      </c>
      <c r="W349" s="126" t="str">
        <f>IF(TblDetailBudget[[#This Row],[Level]]=LvlBottomHdr, IF(SUM(TblDetailBudget[[#This Row],[2021 Quant]:[2025 Quant]])&gt;0, SUM(TblDetailBudget[[#This Row],[2021 Quant]:[2025 Quant]]), ""), "")</f>
        <v/>
      </c>
      <c r="X3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9" s="142">
        <f>SUM(TblDetailBudget[[#This Row],[2021 Cost (LCU)]:[2025 Cost (LCU)]])</f>
        <v>0</v>
      </c>
      <c r="AD349" s="135">
        <f>IFERROR(SUM(TblDetailBudget[[#This Row],[2021 Cost (LCU)]])/FX_Rate, "")</f>
        <v>0</v>
      </c>
      <c r="AE349" s="86">
        <f>IFERROR(SUM(TblDetailBudget[[#This Row],[2022 Cost (LCU)]])/FX_Rate, "")</f>
        <v>0</v>
      </c>
      <c r="AF349" s="86">
        <f>IFERROR(SUM(TblDetailBudget[[#This Row],[2023 Cost (LCU)]])/FX_Rate, "")</f>
        <v>0</v>
      </c>
      <c r="AG349" s="86">
        <f>IFERROR(SUM(TblDetailBudget[[#This Row],[2024 Cost (LCU)]])/FX_Rate, "")</f>
        <v>0</v>
      </c>
      <c r="AH349" s="86">
        <f>IFERROR(SUM(TblDetailBudget[[#This Row],[2025 Cost (LCU)]])/FX_Rate, "")</f>
        <v>0</v>
      </c>
      <c r="AI349" s="126">
        <f>SUM(TblDetailBudget[[#This Row],[2021 Cost (USD)]:[2025 Cost (USD)]])</f>
        <v>0</v>
      </c>
      <c r="AJ349" s="180"/>
    </row>
    <row r="350" spans="2:36" ht="12.75" customHeight="1">
      <c r="B350" s="123"/>
      <c r="C3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0" s="85" t="str">
        <f>IF(TblDetailBudget[[#This Row],[Level]]="", "", COUNTIFS($B$8:TblDetailBudget[[#This Row],[Level]], Lvl1Hdr))</f>
        <v/>
      </c>
      <c r="E350" s="85" t="str">
        <f>IF(TblDetailBudget[[#This Row],[Level]]="", "", COUNTIFS($B$8:TblDetailBudget[[#This Row],[Level]], Lvl2Hdr, $D$8:TblDetailBudget[[#This Row],[Lvl 1 Header]], TblDetailBudget[[#This Row],[Lvl 1 Header]]))</f>
        <v/>
      </c>
      <c r="F350" s="85" t="str">
        <f>IF(TblDetailBudget[[#This Row],[Level]]="", "", COUNTIFS($B$8:TblDetailBudget[[#This Row],[Level]], Lvl3Hdr, $D$8:TblDetailBudget[[#This Row],[Lvl 1 Header]], TblDetailBudget[[#This Row],[Lvl 1 Header]], $E$8:TblDetailBudget[[#This Row],[Lvl 2 Header]], TblDetailBudget[[#This Row],[Lvl 2 Header]]))</f>
        <v/>
      </c>
      <c r="G3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0" s="164"/>
      <c r="J350" s="164"/>
      <c r="K350" s="165"/>
      <c r="L350" s="165"/>
      <c r="M350" s="85" t="str">
        <f>IF(TblDetailBudget[[#This Row],[Level]]=LvlBottomHdr, IFERROR(INDEX(TblUnitCost[Unit], MATCH(TblDetailBudget[[#This Row],[Row Title]], TblUnitCost[Resource], 0)), "Invalid Resource"), "")</f>
        <v/>
      </c>
      <c r="N350" s="126" t="str">
        <f>IF(TblDetailBudget[[#This Row],[Level]]=LvlBottomHdr, IFERROR(INDEX(TblUnitCost[LCU], MATCH(TblDetailBudget[[#This Row],[Row Title]], TblUnitCost[Resource], 0)), "Invalid Resource"), "")</f>
        <v/>
      </c>
      <c r="O350" s="130"/>
      <c r="P350" s="109"/>
      <c r="Q350" s="131"/>
      <c r="R350" s="109" t="s">
        <v>66</v>
      </c>
      <c r="S350" s="109" t="s">
        <v>66</v>
      </c>
      <c r="T350" s="109" t="s">
        <v>66</v>
      </c>
      <c r="U350" s="109" t="s">
        <v>66</v>
      </c>
      <c r="V350" s="109" t="s">
        <v>66</v>
      </c>
      <c r="W350" s="126" t="str">
        <f>IF(TblDetailBudget[[#This Row],[Level]]=LvlBottomHdr, IF(SUM(TblDetailBudget[[#This Row],[2021 Quant]:[2025 Quant]])&gt;0, SUM(TblDetailBudget[[#This Row],[2021 Quant]:[2025 Quant]]), ""), "")</f>
        <v/>
      </c>
      <c r="X3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0" s="142">
        <f>SUM(TblDetailBudget[[#This Row],[2021 Cost (LCU)]:[2025 Cost (LCU)]])</f>
        <v>0</v>
      </c>
      <c r="AD350" s="135">
        <f>IFERROR(SUM(TblDetailBudget[[#This Row],[2021 Cost (LCU)]])/FX_Rate, "")</f>
        <v>0</v>
      </c>
      <c r="AE350" s="86">
        <f>IFERROR(SUM(TblDetailBudget[[#This Row],[2022 Cost (LCU)]])/FX_Rate, "")</f>
        <v>0</v>
      </c>
      <c r="AF350" s="86">
        <f>IFERROR(SUM(TblDetailBudget[[#This Row],[2023 Cost (LCU)]])/FX_Rate, "")</f>
        <v>0</v>
      </c>
      <c r="AG350" s="86">
        <f>IFERROR(SUM(TblDetailBudget[[#This Row],[2024 Cost (LCU)]])/FX_Rate, "")</f>
        <v>0</v>
      </c>
      <c r="AH350" s="86">
        <f>IFERROR(SUM(TblDetailBudget[[#This Row],[2025 Cost (LCU)]])/FX_Rate, "")</f>
        <v>0</v>
      </c>
      <c r="AI350" s="126">
        <f>SUM(TblDetailBudget[[#This Row],[2021 Cost (USD)]:[2025 Cost (USD)]])</f>
        <v>0</v>
      </c>
      <c r="AJ350" s="180"/>
    </row>
    <row r="351" spans="2:36" ht="12.75" customHeight="1">
      <c r="B351" s="123"/>
      <c r="C3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1" s="85" t="str">
        <f>IF(TblDetailBudget[[#This Row],[Level]]="", "", COUNTIFS($B$8:TblDetailBudget[[#This Row],[Level]], Lvl1Hdr))</f>
        <v/>
      </c>
      <c r="E351" s="85" t="str">
        <f>IF(TblDetailBudget[[#This Row],[Level]]="", "", COUNTIFS($B$8:TblDetailBudget[[#This Row],[Level]], Lvl2Hdr, $D$8:TblDetailBudget[[#This Row],[Lvl 1 Header]], TblDetailBudget[[#This Row],[Lvl 1 Header]]))</f>
        <v/>
      </c>
      <c r="F351" s="85" t="str">
        <f>IF(TblDetailBudget[[#This Row],[Level]]="", "", COUNTIFS($B$8:TblDetailBudget[[#This Row],[Level]], Lvl3Hdr, $D$8:TblDetailBudget[[#This Row],[Lvl 1 Header]], TblDetailBudget[[#This Row],[Lvl 1 Header]], $E$8:TblDetailBudget[[#This Row],[Lvl 2 Header]], TblDetailBudget[[#This Row],[Lvl 2 Header]]))</f>
        <v/>
      </c>
      <c r="G3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1" s="164"/>
      <c r="J351" s="164"/>
      <c r="K351" s="165"/>
      <c r="L351" s="165"/>
      <c r="M351" s="85" t="str">
        <f>IF(TblDetailBudget[[#This Row],[Level]]=LvlBottomHdr, IFERROR(INDEX(TblUnitCost[Unit], MATCH(TblDetailBudget[[#This Row],[Row Title]], TblUnitCost[Resource], 0)), "Invalid Resource"), "")</f>
        <v/>
      </c>
      <c r="N351" s="126" t="str">
        <f>IF(TblDetailBudget[[#This Row],[Level]]=LvlBottomHdr, IFERROR(INDEX(TblUnitCost[LCU], MATCH(TblDetailBudget[[#This Row],[Row Title]], TblUnitCost[Resource], 0)), "Invalid Resource"), "")</f>
        <v/>
      </c>
      <c r="O351" s="130"/>
      <c r="P351" s="109"/>
      <c r="Q351" s="131"/>
      <c r="R351" s="109" t="s">
        <v>66</v>
      </c>
      <c r="S351" s="109" t="s">
        <v>66</v>
      </c>
      <c r="T351" s="109" t="s">
        <v>66</v>
      </c>
      <c r="U351" s="109" t="s">
        <v>66</v>
      </c>
      <c r="V351" s="109" t="s">
        <v>66</v>
      </c>
      <c r="W351" s="126" t="str">
        <f>IF(TblDetailBudget[[#This Row],[Level]]=LvlBottomHdr, IF(SUM(TblDetailBudget[[#This Row],[2021 Quant]:[2025 Quant]])&gt;0, SUM(TblDetailBudget[[#This Row],[2021 Quant]:[2025 Quant]]), ""), "")</f>
        <v/>
      </c>
      <c r="X3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1" s="142">
        <f>SUM(TblDetailBudget[[#This Row],[2021 Cost (LCU)]:[2025 Cost (LCU)]])</f>
        <v>0</v>
      </c>
      <c r="AD351" s="135">
        <f>IFERROR(SUM(TblDetailBudget[[#This Row],[2021 Cost (LCU)]])/FX_Rate, "")</f>
        <v>0</v>
      </c>
      <c r="AE351" s="86">
        <f>IFERROR(SUM(TblDetailBudget[[#This Row],[2022 Cost (LCU)]])/FX_Rate, "")</f>
        <v>0</v>
      </c>
      <c r="AF351" s="86">
        <f>IFERROR(SUM(TblDetailBudget[[#This Row],[2023 Cost (LCU)]])/FX_Rate, "")</f>
        <v>0</v>
      </c>
      <c r="AG351" s="86">
        <f>IFERROR(SUM(TblDetailBudget[[#This Row],[2024 Cost (LCU)]])/FX_Rate, "")</f>
        <v>0</v>
      </c>
      <c r="AH351" s="86">
        <f>IFERROR(SUM(TblDetailBudget[[#This Row],[2025 Cost (LCU)]])/FX_Rate, "")</f>
        <v>0</v>
      </c>
      <c r="AI351" s="126">
        <f>SUM(TblDetailBudget[[#This Row],[2021 Cost (USD)]:[2025 Cost (USD)]])</f>
        <v>0</v>
      </c>
      <c r="AJ351" s="180"/>
    </row>
    <row r="352" spans="2:36" ht="12.75" customHeight="1">
      <c r="B352" s="123"/>
      <c r="C3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2" s="85" t="str">
        <f>IF(TblDetailBudget[[#This Row],[Level]]="", "", COUNTIFS($B$8:TblDetailBudget[[#This Row],[Level]], Lvl1Hdr))</f>
        <v/>
      </c>
      <c r="E352" s="85" t="str">
        <f>IF(TblDetailBudget[[#This Row],[Level]]="", "", COUNTIFS($B$8:TblDetailBudget[[#This Row],[Level]], Lvl2Hdr, $D$8:TblDetailBudget[[#This Row],[Lvl 1 Header]], TblDetailBudget[[#This Row],[Lvl 1 Header]]))</f>
        <v/>
      </c>
      <c r="F352" s="85" t="str">
        <f>IF(TblDetailBudget[[#This Row],[Level]]="", "", COUNTIFS($B$8:TblDetailBudget[[#This Row],[Level]], Lvl3Hdr, $D$8:TblDetailBudget[[#This Row],[Lvl 1 Header]], TblDetailBudget[[#This Row],[Lvl 1 Header]], $E$8:TblDetailBudget[[#This Row],[Lvl 2 Header]], TblDetailBudget[[#This Row],[Lvl 2 Header]]))</f>
        <v/>
      </c>
      <c r="G3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2" s="164"/>
      <c r="J352" s="164"/>
      <c r="K352" s="165"/>
      <c r="L352" s="165"/>
      <c r="M352" s="85" t="str">
        <f>IF(TblDetailBudget[[#This Row],[Level]]=LvlBottomHdr, IFERROR(INDEX(TblUnitCost[Unit], MATCH(TblDetailBudget[[#This Row],[Row Title]], TblUnitCost[Resource], 0)), "Invalid Resource"), "")</f>
        <v/>
      </c>
      <c r="N352" s="126" t="str">
        <f>IF(TblDetailBudget[[#This Row],[Level]]=LvlBottomHdr, IFERROR(INDEX(TblUnitCost[LCU], MATCH(TblDetailBudget[[#This Row],[Row Title]], TblUnitCost[Resource], 0)), "Invalid Resource"), "")</f>
        <v/>
      </c>
      <c r="O352" s="130"/>
      <c r="P352" s="109"/>
      <c r="Q352" s="131"/>
      <c r="R352" s="109" t="s">
        <v>66</v>
      </c>
      <c r="S352" s="109" t="s">
        <v>66</v>
      </c>
      <c r="T352" s="109" t="s">
        <v>66</v>
      </c>
      <c r="U352" s="109" t="s">
        <v>66</v>
      </c>
      <c r="V352" s="109" t="s">
        <v>66</v>
      </c>
      <c r="W352" s="126" t="str">
        <f>IF(TblDetailBudget[[#This Row],[Level]]=LvlBottomHdr, IF(SUM(TblDetailBudget[[#This Row],[2021 Quant]:[2025 Quant]])&gt;0, SUM(TblDetailBudget[[#This Row],[2021 Quant]:[2025 Quant]]), ""), "")</f>
        <v/>
      </c>
      <c r="X3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2" s="142">
        <f>SUM(TblDetailBudget[[#This Row],[2021 Cost (LCU)]:[2025 Cost (LCU)]])</f>
        <v>0</v>
      </c>
      <c r="AD352" s="135">
        <f>IFERROR(SUM(TblDetailBudget[[#This Row],[2021 Cost (LCU)]])/FX_Rate, "")</f>
        <v>0</v>
      </c>
      <c r="AE352" s="86">
        <f>IFERROR(SUM(TblDetailBudget[[#This Row],[2022 Cost (LCU)]])/FX_Rate, "")</f>
        <v>0</v>
      </c>
      <c r="AF352" s="86">
        <f>IFERROR(SUM(TblDetailBudget[[#This Row],[2023 Cost (LCU)]])/FX_Rate, "")</f>
        <v>0</v>
      </c>
      <c r="AG352" s="86">
        <f>IFERROR(SUM(TblDetailBudget[[#This Row],[2024 Cost (LCU)]])/FX_Rate, "")</f>
        <v>0</v>
      </c>
      <c r="AH352" s="86">
        <f>IFERROR(SUM(TblDetailBudget[[#This Row],[2025 Cost (LCU)]])/FX_Rate, "")</f>
        <v>0</v>
      </c>
      <c r="AI352" s="126">
        <f>SUM(TblDetailBudget[[#This Row],[2021 Cost (USD)]:[2025 Cost (USD)]])</f>
        <v>0</v>
      </c>
      <c r="AJ352" s="180"/>
    </row>
    <row r="353" spans="2:36" ht="12.75" customHeight="1">
      <c r="B353" s="123"/>
      <c r="C3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3" s="85" t="str">
        <f>IF(TblDetailBudget[[#This Row],[Level]]="", "", COUNTIFS($B$8:TblDetailBudget[[#This Row],[Level]], Lvl1Hdr))</f>
        <v/>
      </c>
      <c r="E353" s="85" t="str">
        <f>IF(TblDetailBudget[[#This Row],[Level]]="", "", COUNTIFS($B$8:TblDetailBudget[[#This Row],[Level]], Lvl2Hdr, $D$8:TblDetailBudget[[#This Row],[Lvl 1 Header]], TblDetailBudget[[#This Row],[Lvl 1 Header]]))</f>
        <v/>
      </c>
      <c r="F353" s="85" t="str">
        <f>IF(TblDetailBudget[[#This Row],[Level]]="", "", COUNTIFS($B$8:TblDetailBudget[[#This Row],[Level]], Lvl3Hdr, $D$8:TblDetailBudget[[#This Row],[Lvl 1 Header]], TblDetailBudget[[#This Row],[Lvl 1 Header]], $E$8:TblDetailBudget[[#This Row],[Lvl 2 Header]], TblDetailBudget[[#This Row],[Lvl 2 Header]]))</f>
        <v/>
      </c>
      <c r="G3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3" s="164"/>
      <c r="J353" s="164"/>
      <c r="K353" s="165"/>
      <c r="L353" s="165"/>
      <c r="M353" s="85" t="str">
        <f>IF(TblDetailBudget[[#This Row],[Level]]=LvlBottomHdr, IFERROR(INDEX(TblUnitCost[Unit], MATCH(TblDetailBudget[[#This Row],[Row Title]], TblUnitCost[Resource], 0)), "Invalid Resource"), "")</f>
        <v/>
      </c>
      <c r="N353" s="126" t="str">
        <f>IF(TblDetailBudget[[#This Row],[Level]]=LvlBottomHdr, IFERROR(INDEX(TblUnitCost[LCU], MATCH(TblDetailBudget[[#This Row],[Row Title]], TblUnitCost[Resource], 0)), "Invalid Resource"), "")</f>
        <v/>
      </c>
      <c r="O353" s="130"/>
      <c r="P353" s="109"/>
      <c r="Q353" s="131"/>
      <c r="R353" s="109" t="s">
        <v>66</v>
      </c>
      <c r="S353" s="109" t="s">
        <v>66</v>
      </c>
      <c r="T353" s="109" t="s">
        <v>66</v>
      </c>
      <c r="U353" s="109" t="s">
        <v>66</v>
      </c>
      <c r="V353" s="109" t="s">
        <v>66</v>
      </c>
      <c r="W353" s="126" t="str">
        <f>IF(TblDetailBudget[[#This Row],[Level]]=LvlBottomHdr, IF(SUM(TblDetailBudget[[#This Row],[2021 Quant]:[2025 Quant]])&gt;0, SUM(TblDetailBudget[[#This Row],[2021 Quant]:[2025 Quant]]), ""), "")</f>
        <v/>
      </c>
      <c r="X3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3" s="142">
        <f>SUM(TblDetailBudget[[#This Row],[2021 Cost (LCU)]:[2025 Cost (LCU)]])</f>
        <v>0</v>
      </c>
      <c r="AD353" s="135">
        <f>IFERROR(SUM(TblDetailBudget[[#This Row],[2021 Cost (LCU)]])/FX_Rate, "")</f>
        <v>0</v>
      </c>
      <c r="AE353" s="86">
        <f>IFERROR(SUM(TblDetailBudget[[#This Row],[2022 Cost (LCU)]])/FX_Rate, "")</f>
        <v>0</v>
      </c>
      <c r="AF353" s="86">
        <f>IFERROR(SUM(TblDetailBudget[[#This Row],[2023 Cost (LCU)]])/FX_Rate, "")</f>
        <v>0</v>
      </c>
      <c r="AG353" s="86">
        <f>IFERROR(SUM(TblDetailBudget[[#This Row],[2024 Cost (LCU)]])/FX_Rate, "")</f>
        <v>0</v>
      </c>
      <c r="AH353" s="86">
        <f>IFERROR(SUM(TblDetailBudget[[#This Row],[2025 Cost (LCU)]])/FX_Rate, "")</f>
        <v>0</v>
      </c>
      <c r="AI353" s="126">
        <f>SUM(TblDetailBudget[[#This Row],[2021 Cost (USD)]:[2025 Cost (USD)]])</f>
        <v>0</v>
      </c>
      <c r="AJ353" s="180"/>
    </row>
    <row r="354" spans="2:36" ht="12.75" customHeight="1">
      <c r="B354" s="123"/>
      <c r="C3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4" s="85" t="str">
        <f>IF(TblDetailBudget[[#This Row],[Level]]="", "", COUNTIFS($B$8:TblDetailBudget[[#This Row],[Level]], Lvl1Hdr))</f>
        <v/>
      </c>
      <c r="E354" s="85" t="str">
        <f>IF(TblDetailBudget[[#This Row],[Level]]="", "", COUNTIFS($B$8:TblDetailBudget[[#This Row],[Level]], Lvl2Hdr, $D$8:TblDetailBudget[[#This Row],[Lvl 1 Header]], TblDetailBudget[[#This Row],[Lvl 1 Header]]))</f>
        <v/>
      </c>
      <c r="F354" s="85" t="str">
        <f>IF(TblDetailBudget[[#This Row],[Level]]="", "", COUNTIFS($B$8:TblDetailBudget[[#This Row],[Level]], Lvl3Hdr, $D$8:TblDetailBudget[[#This Row],[Lvl 1 Header]], TblDetailBudget[[#This Row],[Lvl 1 Header]], $E$8:TblDetailBudget[[#This Row],[Lvl 2 Header]], TblDetailBudget[[#This Row],[Lvl 2 Header]]))</f>
        <v/>
      </c>
      <c r="G3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4" s="164"/>
      <c r="J354" s="164"/>
      <c r="K354" s="165"/>
      <c r="L354" s="165"/>
      <c r="M354" s="85" t="str">
        <f>IF(TblDetailBudget[[#This Row],[Level]]=LvlBottomHdr, IFERROR(INDEX(TblUnitCost[Unit], MATCH(TblDetailBudget[[#This Row],[Row Title]], TblUnitCost[Resource], 0)), "Invalid Resource"), "")</f>
        <v/>
      </c>
      <c r="N354" s="126" t="str">
        <f>IF(TblDetailBudget[[#This Row],[Level]]=LvlBottomHdr, IFERROR(INDEX(TblUnitCost[LCU], MATCH(TblDetailBudget[[#This Row],[Row Title]], TblUnitCost[Resource], 0)), "Invalid Resource"), "")</f>
        <v/>
      </c>
      <c r="O354" s="130"/>
      <c r="P354" s="109"/>
      <c r="Q354" s="131"/>
      <c r="R354" s="109" t="s">
        <v>66</v>
      </c>
      <c r="S354" s="109" t="s">
        <v>66</v>
      </c>
      <c r="T354" s="109" t="s">
        <v>66</v>
      </c>
      <c r="U354" s="109" t="s">
        <v>66</v>
      </c>
      <c r="V354" s="109" t="s">
        <v>66</v>
      </c>
      <c r="W354" s="126" t="str">
        <f>IF(TblDetailBudget[[#This Row],[Level]]=LvlBottomHdr, IF(SUM(TblDetailBudget[[#This Row],[2021 Quant]:[2025 Quant]])&gt;0, SUM(TblDetailBudget[[#This Row],[2021 Quant]:[2025 Quant]]), ""), "")</f>
        <v/>
      </c>
      <c r="X3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4" s="142">
        <f>SUM(TblDetailBudget[[#This Row],[2021 Cost (LCU)]:[2025 Cost (LCU)]])</f>
        <v>0</v>
      </c>
      <c r="AD354" s="135">
        <f>IFERROR(SUM(TblDetailBudget[[#This Row],[2021 Cost (LCU)]])/FX_Rate, "")</f>
        <v>0</v>
      </c>
      <c r="AE354" s="86">
        <f>IFERROR(SUM(TblDetailBudget[[#This Row],[2022 Cost (LCU)]])/FX_Rate, "")</f>
        <v>0</v>
      </c>
      <c r="AF354" s="86">
        <f>IFERROR(SUM(TblDetailBudget[[#This Row],[2023 Cost (LCU)]])/FX_Rate, "")</f>
        <v>0</v>
      </c>
      <c r="AG354" s="86">
        <f>IFERROR(SUM(TblDetailBudget[[#This Row],[2024 Cost (LCU)]])/FX_Rate, "")</f>
        <v>0</v>
      </c>
      <c r="AH354" s="86">
        <f>IFERROR(SUM(TblDetailBudget[[#This Row],[2025 Cost (LCU)]])/FX_Rate, "")</f>
        <v>0</v>
      </c>
      <c r="AI354" s="126">
        <f>SUM(TblDetailBudget[[#This Row],[2021 Cost (USD)]:[2025 Cost (USD)]])</f>
        <v>0</v>
      </c>
      <c r="AJ354" s="180"/>
    </row>
    <row r="355" spans="2:36" ht="12.75" customHeight="1">
      <c r="B355" s="123"/>
      <c r="C3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5" s="85" t="str">
        <f>IF(TblDetailBudget[[#This Row],[Level]]="", "", COUNTIFS($B$8:TblDetailBudget[[#This Row],[Level]], Lvl1Hdr))</f>
        <v/>
      </c>
      <c r="E355" s="85" t="str">
        <f>IF(TblDetailBudget[[#This Row],[Level]]="", "", COUNTIFS($B$8:TblDetailBudget[[#This Row],[Level]], Lvl2Hdr, $D$8:TblDetailBudget[[#This Row],[Lvl 1 Header]], TblDetailBudget[[#This Row],[Lvl 1 Header]]))</f>
        <v/>
      </c>
      <c r="F355" s="85" t="str">
        <f>IF(TblDetailBudget[[#This Row],[Level]]="", "", COUNTIFS($B$8:TblDetailBudget[[#This Row],[Level]], Lvl3Hdr, $D$8:TblDetailBudget[[#This Row],[Lvl 1 Header]], TblDetailBudget[[#This Row],[Lvl 1 Header]], $E$8:TblDetailBudget[[#This Row],[Lvl 2 Header]], TblDetailBudget[[#This Row],[Lvl 2 Header]]))</f>
        <v/>
      </c>
      <c r="G3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5" s="164"/>
      <c r="J355" s="164"/>
      <c r="K355" s="165"/>
      <c r="L355" s="165"/>
      <c r="M355" s="85" t="str">
        <f>IF(TblDetailBudget[[#This Row],[Level]]=LvlBottomHdr, IFERROR(INDEX(TblUnitCost[Unit], MATCH(TblDetailBudget[[#This Row],[Row Title]], TblUnitCost[Resource], 0)), "Invalid Resource"), "")</f>
        <v/>
      </c>
      <c r="N355" s="126" t="str">
        <f>IF(TblDetailBudget[[#This Row],[Level]]=LvlBottomHdr, IFERROR(INDEX(TblUnitCost[LCU], MATCH(TblDetailBudget[[#This Row],[Row Title]], TblUnitCost[Resource], 0)), "Invalid Resource"), "")</f>
        <v/>
      </c>
      <c r="O355" s="130"/>
      <c r="P355" s="109"/>
      <c r="Q355" s="131"/>
      <c r="R355" s="109" t="s">
        <v>66</v>
      </c>
      <c r="S355" s="109" t="s">
        <v>66</v>
      </c>
      <c r="T355" s="109" t="s">
        <v>66</v>
      </c>
      <c r="U355" s="109" t="s">
        <v>66</v>
      </c>
      <c r="V355" s="109" t="s">
        <v>66</v>
      </c>
      <c r="W355" s="126" t="str">
        <f>IF(TblDetailBudget[[#This Row],[Level]]=LvlBottomHdr, IF(SUM(TblDetailBudget[[#This Row],[2021 Quant]:[2025 Quant]])&gt;0, SUM(TblDetailBudget[[#This Row],[2021 Quant]:[2025 Quant]]), ""), "")</f>
        <v/>
      </c>
      <c r="X3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5" s="142">
        <f>SUM(TblDetailBudget[[#This Row],[2021 Cost (LCU)]:[2025 Cost (LCU)]])</f>
        <v>0</v>
      </c>
      <c r="AD355" s="135">
        <f>IFERROR(SUM(TblDetailBudget[[#This Row],[2021 Cost (LCU)]])/FX_Rate, "")</f>
        <v>0</v>
      </c>
      <c r="AE355" s="86">
        <f>IFERROR(SUM(TblDetailBudget[[#This Row],[2022 Cost (LCU)]])/FX_Rate, "")</f>
        <v>0</v>
      </c>
      <c r="AF355" s="86">
        <f>IFERROR(SUM(TblDetailBudget[[#This Row],[2023 Cost (LCU)]])/FX_Rate, "")</f>
        <v>0</v>
      </c>
      <c r="AG355" s="86">
        <f>IFERROR(SUM(TblDetailBudget[[#This Row],[2024 Cost (LCU)]])/FX_Rate, "")</f>
        <v>0</v>
      </c>
      <c r="AH355" s="86">
        <f>IFERROR(SUM(TblDetailBudget[[#This Row],[2025 Cost (LCU)]])/FX_Rate, "")</f>
        <v>0</v>
      </c>
      <c r="AI355" s="126">
        <f>SUM(TblDetailBudget[[#This Row],[2021 Cost (USD)]:[2025 Cost (USD)]])</f>
        <v>0</v>
      </c>
      <c r="AJ355" s="180"/>
    </row>
    <row r="356" spans="2:36" ht="12.75" customHeight="1">
      <c r="B356" s="123"/>
      <c r="C3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6" s="85" t="str">
        <f>IF(TblDetailBudget[[#This Row],[Level]]="", "", COUNTIFS($B$8:TblDetailBudget[[#This Row],[Level]], Lvl1Hdr))</f>
        <v/>
      </c>
      <c r="E356" s="85" t="str">
        <f>IF(TblDetailBudget[[#This Row],[Level]]="", "", COUNTIFS($B$8:TblDetailBudget[[#This Row],[Level]], Lvl2Hdr, $D$8:TblDetailBudget[[#This Row],[Lvl 1 Header]], TblDetailBudget[[#This Row],[Lvl 1 Header]]))</f>
        <v/>
      </c>
      <c r="F356" s="85" t="str">
        <f>IF(TblDetailBudget[[#This Row],[Level]]="", "", COUNTIFS($B$8:TblDetailBudget[[#This Row],[Level]], Lvl3Hdr, $D$8:TblDetailBudget[[#This Row],[Lvl 1 Header]], TblDetailBudget[[#This Row],[Lvl 1 Header]], $E$8:TblDetailBudget[[#This Row],[Lvl 2 Header]], TblDetailBudget[[#This Row],[Lvl 2 Header]]))</f>
        <v/>
      </c>
      <c r="G3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6" s="164"/>
      <c r="J356" s="164"/>
      <c r="K356" s="165"/>
      <c r="L356" s="165"/>
      <c r="M356" s="85" t="str">
        <f>IF(TblDetailBudget[[#This Row],[Level]]=LvlBottomHdr, IFERROR(INDEX(TblUnitCost[Unit], MATCH(TblDetailBudget[[#This Row],[Row Title]], TblUnitCost[Resource], 0)), "Invalid Resource"), "")</f>
        <v/>
      </c>
      <c r="N356" s="126" t="str">
        <f>IF(TblDetailBudget[[#This Row],[Level]]=LvlBottomHdr, IFERROR(INDEX(TblUnitCost[LCU], MATCH(TblDetailBudget[[#This Row],[Row Title]], TblUnitCost[Resource], 0)), "Invalid Resource"), "")</f>
        <v/>
      </c>
      <c r="O356" s="130"/>
      <c r="P356" s="109"/>
      <c r="Q356" s="131"/>
      <c r="R356" s="109" t="s">
        <v>66</v>
      </c>
      <c r="S356" s="109" t="s">
        <v>66</v>
      </c>
      <c r="T356" s="109" t="s">
        <v>66</v>
      </c>
      <c r="U356" s="109" t="s">
        <v>66</v>
      </c>
      <c r="V356" s="109" t="s">
        <v>66</v>
      </c>
      <c r="W356" s="126" t="str">
        <f>IF(TblDetailBudget[[#This Row],[Level]]=LvlBottomHdr, IF(SUM(TblDetailBudget[[#This Row],[2021 Quant]:[2025 Quant]])&gt;0, SUM(TblDetailBudget[[#This Row],[2021 Quant]:[2025 Quant]]), ""), "")</f>
        <v/>
      </c>
      <c r="X3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6" s="142">
        <f>SUM(TblDetailBudget[[#This Row],[2021 Cost (LCU)]:[2025 Cost (LCU)]])</f>
        <v>0</v>
      </c>
      <c r="AD356" s="135">
        <f>IFERROR(SUM(TblDetailBudget[[#This Row],[2021 Cost (LCU)]])/FX_Rate, "")</f>
        <v>0</v>
      </c>
      <c r="AE356" s="86">
        <f>IFERROR(SUM(TblDetailBudget[[#This Row],[2022 Cost (LCU)]])/FX_Rate, "")</f>
        <v>0</v>
      </c>
      <c r="AF356" s="86">
        <f>IFERROR(SUM(TblDetailBudget[[#This Row],[2023 Cost (LCU)]])/FX_Rate, "")</f>
        <v>0</v>
      </c>
      <c r="AG356" s="86">
        <f>IFERROR(SUM(TblDetailBudget[[#This Row],[2024 Cost (LCU)]])/FX_Rate, "")</f>
        <v>0</v>
      </c>
      <c r="AH356" s="86">
        <f>IFERROR(SUM(TblDetailBudget[[#This Row],[2025 Cost (LCU)]])/FX_Rate, "")</f>
        <v>0</v>
      </c>
      <c r="AI356" s="126">
        <f>SUM(TblDetailBudget[[#This Row],[2021 Cost (USD)]:[2025 Cost (USD)]])</f>
        <v>0</v>
      </c>
      <c r="AJ356" s="180"/>
    </row>
    <row r="357" spans="2:36" ht="12.75" customHeight="1">
      <c r="B357" s="123"/>
      <c r="C3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7" s="85" t="str">
        <f>IF(TblDetailBudget[[#This Row],[Level]]="", "", COUNTIFS($B$8:TblDetailBudget[[#This Row],[Level]], Lvl1Hdr))</f>
        <v/>
      </c>
      <c r="E357" s="85" t="str">
        <f>IF(TblDetailBudget[[#This Row],[Level]]="", "", COUNTIFS($B$8:TblDetailBudget[[#This Row],[Level]], Lvl2Hdr, $D$8:TblDetailBudget[[#This Row],[Lvl 1 Header]], TblDetailBudget[[#This Row],[Lvl 1 Header]]))</f>
        <v/>
      </c>
      <c r="F357" s="85" t="str">
        <f>IF(TblDetailBudget[[#This Row],[Level]]="", "", COUNTIFS($B$8:TblDetailBudget[[#This Row],[Level]], Lvl3Hdr, $D$8:TblDetailBudget[[#This Row],[Lvl 1 Header]], TblDetailBudget[[#This Row],[Lvl 1 Header]], $E$8:TblDetailBudget[[#This Row],[Lvl 2 Header]], TblDetailBudget[[#This Row],[Lvl 2 Header]]))</f>
        <v/>
      </c>
      <c r="G3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7" s="164"/>
      <c r="J357" s="164"/>
      <c r="K357" s="165"/>
      <c r="L357" s="165"/>
      <c r="M357" s="85" t="str">
        <f>IF(TblDetailBudget[[#This Row],[Level]]=LvlBottomHdr, IFERROR(INDEX(TblUnitCost[Unit], MATCH(TblDetailBudget[[#This Row],[Row Title]], TblUnitCost[Resource], 0)), "Invalid Resource"), "")</f>
        <v/>
      </c>
      <c r="N357" s="126" t="str">
        <f>IF(TblDetailBudget[[#This Row],[Level]]=LvlBottomHdr, IFERROR(INDEX(TblUnitCost[LCU], MATCH(TblDetailBudget[[#This Row],[Row Title]], TblUnitCost[Resource], 0)), "Invalid Resource"), "")</f>
        <v/>
      </c>
      <c r="O357" s="130"/>
      <c r="P357" s="109"/>
      <c r="Q357" s="131"/>
      <c r="R357" s="109" t="s">
        <v>66</v>
      </c>
      <c r="S357" s="109" t="s">
        <v>66</v>
      </c>
      <c r="T357" s="109" t="s">
        <v>66</v>
      </c>
      <c r="U357" s="109" t="s">
        <v>66</v>
      </c>
      <c r="V357" s="109" t="s">
        <v>66</v>
      </c>
      <c r="W357" s="126" t="str">
        <f>IF(TblDetailBudget[[#This Row],[Level]]=LvlBottomHdr, IF(SUM(TblDetailBudget[[#This Row],[2021 Quant]:[2025 Quant]])&gt;0, SUM(TblDetailBudget[[#This Row],[2021 Quant]:[2025 Quant]]), ""), "")</f>
        <v/>
      </c>
      <c r="X3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7" s="142">
        <f>SUM(TblDetailBudget[[#This Row],[2021 Cost (LCU)]:[2025 Cost (LCU)]])</f>
        <v>0</v>
      </c>
      <c r="AD357" s="135">
        <f>IFERROR(SUM(TblDetailBudget[[#This Row],[2021 Cost (LCU)]])/FX_Rate, "")</f>
        <v>0</v>
      </c>
      <c r="AE357" s="86">
        <f>IFERROR(SUM(TblDetailBudget[[#This Row],[2022 Cost (LCU)]])/FX_Rate, "")</f>
        <v>0</v>
      </c>
      <c r="AF357" s="86">
        <f>IFERROR(SUM(TblDetailBudget[[#This Row],[2023 Cost (LCU)]])/FX_Rate, "")</f>
        <v>0</v>
      </c>
      <c r="AG357" s="86">
        <f>IFERROR(SUM(TblDetailBudget[[#This Row],[2024 Cost (LCU)]])/FX_Rate, "")</f>
        <v>0</v>
      </c>
      <c r="AH357" s="86">
        <f>IFERROR(SUM(TblDetailBudget[[#This Row],[2025 Cost (LCU)]])/FX_Rate, "")</f>
        <v>0</v>
      </c>
      <c r="AI357" s="126">
        <f>SUM(TblDetailBudget[[#This Row],[2021 Cost (USD)]:[2025 Cost (USD)]])</f>
        <v>0</v>
      </c>
      <c r="AJ357" s="180"/>
    </row>
    <row r="358" spans="2:36" ht="12.75" customHeight="1">
      <c r="B358" s="123"/>
      <c r="C3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8" s="85" t="str">
        <f>IF(TblDetailBudget[[#This Row],[Level]]="", "", COUNTIFS($B$8:TblDetailBudget[[#This Row],[Level]], Lvl1Hdr))</f>
        <v/>
      </c>
      <c r="E358" s="85" t="str">
        <f>IF(TblDetailBudget[[#This Row],[Level]]="", "", COUNTIFS($B$8:TblDetailBudget[[#This Row],[Level]], Lvl2Hdr, $D$8:TblDetailBudget[[#This Row],[Lvl 1 Header]], TblDetailBudget[[#This Row],[Lvl 1 Header]]))</f>
        <v/>
      </c>
      <c r="F358" s="85" t="str">
        <f>IF(TblDetailBudget[[#This Row],[Level]]="", "", COUNTIFS($B$8:TblDetailBudget[[#This Row],[Level]], Lvl3Hdr, $D$8:TblDetailBudget[[#This Row],[Lvl 1 Header]], TblDetailBudget[[#This Row],[Lvl 1 Header]], $E$8:TblDetailBudget[[#This Row],[Lvl 2 Header]], TblDetailBudget[[#This Row],[Lvl 2 Header]]))</f>
        <v/>
      </c>
      <c r="G3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8" s="164"/>
      <c r="J358" s="164"/>
      <c r="K358" s="165"/>
      <c r="L358" s="165"/>
      <c r="M358" s="85" t="str">
        <f>IF(TblDetailBudget[[#This Row],[Level]]=LvlBottomHdr, IFERROR(INDEX(TblUnitCost[Unit], MATCH(TblDetailBudget[[#This Row],[Row Title]], TblUnitCost[Resource], 0)), "Invalid Resource"), "")</f>
        <v/>
      </c>
      <c r="N358" s="126" t="str">
        <f>IF(TblDetailBudget[[#This Row],[Level]]=LvlBottomHdr, IFERROR(INDEX(TblUnitCost[LCU], MATCH(TblDetailBudget[[#This Row],[Row Title]], TblUnitCost[Resource], 0)), "Invalid Resource"), "")</f>
        <v/>
      </c>
      <c r="O358" s="130"/>
      <c r="P358" s="109"/>
      <c r="Q358" s="131"/>
      <c r="R358" s="109" t="s">
        <v>66</v>
      </c>
      <c r="S358" s="109" t="s">
        <v>66</v>
      </c>
      <c r="T358" s="109" t="s">
        <v>66</v>
      </c>
      <c r="U358" s="109" t="s">
        <v>66</v>
      </c>
      <c r="V358" s="109" t="s">
        <v>66</v>
      </c>
      <c r="W358" s="126" t="str">
        <f>IF(TblDetailBudget[[#This Row],[Level]]=LvlBottomHdr, IF(SUM(TblDetailBudget[[#This Row],[2021 Quant]:[2025 Quant]])&gt;0, SUM(TblDetailBudget[[#This Row],[2021 Quant]:[2025 Quant]]), ""), "")</f>
        <v/>
      </c>
      <c r="X3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8" s="142">
        <f>SUM(TblDetailBudget[[#This Row],[2021 Cost (LCU)]:[2025 Cost (LCU)]])</f>
        <v>0</v>
      </c>
      <c r="AD358" s="135">
        <f>IFERROR(SUM(TblDetailBudget[[#This Row],[2021 Cost (LCU)]])/FX_Rate, "")</f>
        <v>0</v>
      </c>
      <c r="AE358" s="86">
        <f>IFERROR(SUM(TblDetailBudget[[#This Row],[2022 Cost (LCU)]])/FX_Rate, "")</f>
        <v>0</v>
      </c>
      <c r="AF358" s="86">
        <f>IFERROR(SUM(TblDetailBudget[[#This Row],[2023 Cost (LCU)]])/FX_Rate, "")</f>
        <v>0</v>
      </c>
      <c r="AG358" s="86">
        <f>IFERROR(SUM(TblDetailBudget[[#This Row],[2024 Cost (LCU)]])/FX_Rate, "")</f>
        <v>0</v>
      </c>
      <c r="AH358" s="86">
        <f>IFERROR(SUM(TblDetailBudget[[#This Row],[2025 Cost (LCU)]])/FX_Rate, "")</f>
        <v>0</v>
      </c>
      <c r="AI358" s="126">
        <f>SUM(TblDetailBudget[[#This Row],[2021 Cost (USD)]:[2025 Cost (USD)]])</f>
        <v>0</v>
      </c>
      <c r="AJ358" s="180"/>
    </row>
    <row r="359" spans="2:36" ht="12.75" customHeight="1">
      <c r="B359" s="123"/>
      <c r="C3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9" s="85" t="str">
        <f>IF(TblDetailBudget[[#This Row],[Level]]="", "", COUNTIFS($B$8:TblDetailBudget[[#This Row],[Level]], Lvl1Hdr))</f>
        <v/>
      </c>
      <c r="E359" s="85" t="str">
        <f>IF(TblDetailBudget[[#This Row],[Level]]="", "", COUNTIFS($B$8:TblDetailBudget[[#This Row],[Level]], Lvl2Hdr, $D$8:TblDetailBudget[[#This Row],[Lvl 1 Header]], TblDetailBudget[[#This Row],[Lvl 1 Header]]))</f>
        <v/>
      </c>
      <c r="F359" s="85" t="str">
        <f>IF(TblDetailBudget[[#This Row],[Level]]="", "", COUNTIFS($B$8:TblDetailBudget[[#This Row],[Level]], Lvl3Hdr, $D$8:TblDetailBudget[[#This Row],[Lvl 1 Header]], TblDetailBudget[[#This Row],[Lvl 1 Header]], $E$8:TblDetailBudget[[#This Row],[Lvl 2 Header]], TblDetailBudget[[#This Row],[Lvl 2 Header]]))</f>
        <v/>
      </c>
      <c r="G3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9" s="164"/>
      <c r="J359" s="164"/>
      <c r="K359" s="165"/>
      <c r="L359" s="165"/>
      <c r="M359" s="85" t="str">
        <f>IF(TblDetailBudget[[#This Row],[Level]]=LvlBottomHdr, IFERROR(INDEX(TblUnitCost[Unit], MATCH(TblDetailBudget[[#This Row],[Row Title]], TblUnitCost[Resource], 0)), "Invalid Resource"), "")</f>
        <v/>
      </c>
      <c r="N359" s="126" t="str">
        <f>IF(TblDetailBudget[[#This Row],[Level]]=LvlBottomHdr, IFERROR(INDEX(TblUnitCost[LCU], MATCH(TblDetailBudget[[#This Row],[Row Title]], TblUnitCost[Resource], 0)), "Invalid Resource"), "")</f>
        <v/>
      </c>
      <c r="O359" s="130"/>
      <c r="P359" s="109"/>
      <c r="Q359" s="131"/>
      <c r="R359" s="109" t="s">
        <v>66</v>
      </c>
      <c r="S359" s="109" t="s">
        <v>66</v>
      </c>
      <c r="T359" s="109" t="s">
        <v>66</v>
      </c>
      <c r="U359" s="109" t="s">
        <v>66</v>
      </c>
      <c r="V359" s="109" t="s">
        <v>66</v>
      </c>
      <c r="W359" s="126" t="str">
        <f>IF(TblDetailBudget[[#This Row],[Level]]=LvlBottomHdr, IF(SUM(TblDetailBudget[[#This Row],[2021 Quant]:[2025 Quant]])&gt;0, SUM(TblDetailBudget[[#This Row],[2021 Quant]:[2025 Quant]]), ""), "")</f>
        <v/>
      </c>
      <c r="X3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9" s="142">
        <f>SUM(TblDetailBudget[[#This Row],[2021 Cost (LCU)]:[2025 Cost (LCU)]])</f>
        <v>0</v>
      </c>
      <c r="AD359" s="135">
        <f>IFERROR(SUM(TblDetailBudget[[#This Row],[2021 Cost (LCU)]])/FX_Rate, "")</f>
        <v>0</v>
      </c>
      <c r="AE359" s="86">
        <f>IFERROR(SUM(TblDetailBudget[[#This Row],[2022 Cost (LCU)]])/FX_Rate, "")</f>
        <v>0</v>
      </c>
      <c r="AF359" s="86">
        <f>IFERROR(SUM(TblDetailBudget[[#This Row],[2023 Cost (LCU)]])/FX_Rate, "")</f>
        <v>0</v>
      </c>
      <c r="AG359" s="86">
        <f>IFERROR(SUM(TblDetailBudget[[#This Row],[2024 Cost (LCU)]])/FX_Rate, "")</f>
        <v>0</v>
      </c>
      <c r="AH359" s="86">
        <f>IFERROR(SUM(TblDetailBudget[[#This Row],[2025 Cost (LCU)]])/FX_Rate, "")</f>
        <v>0</v>
      </c>
      <c r="AI359" s="126">
        <f>SUM(TblDetailBudget[[#This Row],[2021 Cost (USD)]:[2025 Cost (USD)]])</f>
        <v>0</v>
      </c>
      <c r="AJ359" s="180"/>
    </row>
    <row r="360" spans="2:36" ht="12.75" customHeight="1">
      <c r="B360" s="123"/>
      <c r="C3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0" s="85" t="str">
        <f>IF(TblDetailBudget[[#This Row],[Level]]="", "", COUNTIFS($B$8:TblDetailBudget[[#This Row],[Level]], Lvl1Hdr))</f>
        <v/>
      </c>
      <c r="E360" s="85" t="str">
        <f>IF(TblDetailBudget[[#This Row],[Level]]="", "", COUNTIFS($B$8:TblDetailBudget[[#This Row],[Level]], Lvl2Hdr, $D$8:TblDetailBudget[[#This Row],[Lvl 1 Header]], TblDetailBudget[[#This Row],[Lvl 1 Header]]))</f>
        <v/>
      </c>
      <c r="F360" s="85" t="str">
        <f>IF(TblDetailBudget[[#This Row],[Level]]="", "", COUNTIFS($B$8:TblDetailBudget[[#This Row],[Level]], Lvl3Hdr, $D$8:TblDetailBudget[[#This Row],[Lvl 1 Header]], TblDetailBudget[[#This Row],[Lvl 1 Header]], $E$8:TblDetailBudget[[#This Row],[Lvl 2 Header]], TblDetailBudget[[#This Row],[Lvl 2 Header]]))</f>
        <v/>
      </c>
      <c r="G3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0" s="164"/>
      <c r="J360" s="164"/>
      <c r="K360" s="165"/>
      <c r="L360" s="165"/>
      <c r="M360" s="85" t="str">
        <f>IF(TblDetailBudget[[#This Row],[Level]]=LvlBottomHdr, IFERROR(INDEX(TblUnitCost[Unit], MATCH(TblDetailBudget[[#This Row],[Row Title]], TblUnitCost[Resource], 0)), "Invalid Resource"), "")</f>
        <v/>
      </c>
      <c r="N360" s="126" t="str">
        <f>IF(TblDetailBudget[[#This Row],[Level]]=LvlBottomHdr, IFERROR(INDEX(TblUnitCost[LCU], MATCH(TblDetailBudget[[#This Row],[Row Title]], TblUnitCost[Resource], 0)), "Invalid Resource"), "")</f>
        <v/>
      </c>
      <c r="O360" s="130"/>
      <c r="P360" s="109"/>
      <c r="Q360" s="131"/>
      <c r="R360" s="109" t="s">
        <v>66</v>
      </c>
      <c r="S360" s="109" t="s">
        <v>66</v>
      </c>
      <c r="T360" s="109" t="s">
        <v>66</v>
      </c>
      <c r="U360" s="109" t="s">
        <v>66</v>
      </c>
      <c r="V360" s="109" t="s">
        <v>66</v>
      </c>
      <c r="W360" s="126" t="str">
        <f>IF(TblDetailBudget[[#This Row],[Level]]=LvlBottomHdr, IF(SUM(TblDetailBudget[[#This Row],[2021 Quant]:[2025 Quant]])&gt;0, SUM(TblDetailBudget[[#This Row],[2021 Quant]:[2025 Quant]]), ""), "")</f>
        <v/>
      </c>
      <c r="X3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0" s="142">
        <f>SUM(TblDetailBudget[[#This Row],[2021 Cost (LCU)]:[2025 Cost (LCU)]])</f>
        <v>0</v>
      </c>
      <c r="AD360" s="135">
        <f>IFERROR(SUM(TblDetailBudget[[#This Row],[2021 Cost (LCU)]])/FX_Rate, "")</f>
        <v>0</v>
      </c>
      <c r="AE360" s="86">
        <f>IFERROR(SUM(TblDetailBudget[[#This Row],[2022 Cost (LCU)]])/FX_Rate, "")</f>
        <v>0</v>
      </c>
      <c r="AF360" s="86">
        <f>IFERROR(SUM(TblDetailBudget[[#This Row],[2023 Cost (LCU)]])/FX_Rate, "")</f>
        <v>0</v>
      </c>
      <c r="AG360" s="86">
        <f>IFERROR(SUM(TblDetailBudget[[#This Row],[2024 Cost (LCU)]])/FX_Rate, "")</f>
        <v>0</v>
      </c>
      <c r="AH360" s="86">
        <f>IFERROR(SUM(TblDetailBudget[[#This Row],[2025 Cost (LCU)]])/FX_Rate, "")</f>
        <v>0</v>
      </c>
      <c r="AI360" s="126">
        <f>SUM(TblDetailBudget[[#This Row],[2021 Cost (USD)]:[2025 Cost (USD)]])</f>
        <v>0</v>
      </c>
      <c r="AJ360" s="180"/>
    </row>
    <row r="361" spans="2:36" ht="12.75" customHeight="1">
      <c r="B361" s="123"/>
      <c r="C3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1" s="85" t="str">
        <f>IF(TblDetailBudget[[#This Row],[Level]]="", "", COUNTIFS($B$8:TblDetailBudget[[#This Row],[Level]], Lvl1Hdr))</f>
        <v/>
      </c>
      <c r="E361" s="85" t="str">
        <f>IF(TblDetailBudget[[#This Row],[Level]]="", "", COUNTIFS($B$8:TblDetailBudget[[#This Row],[Level]], Lvl2Hdr, $D$8:TblDetailBudget[[#This Row],[Lvl 1 Header]], TblDetailBudget[[#This Row],[Lvl 1 Header]]))</f>
        <v/>
      </c>
      <c r="F361" s="85" t="str">
        <f>IF(TblDetailBudget[[#This Row],[Level]]="", "", COUNTIFS($B$8:TblDetailBudget[[#This Row],[Level]], Lvl3Hdr, $D$8:TblDetailBudget[[#This Row],[Lvl 1 Header]], TblDetailBudget[[#This Row],[Lvl 1 Header]], $E$8:TblDetailBudget[[#This Row],[Lvl 2 Header]], TblDetailBudget[[#This Row],[Lvl 2 Header]]))</f>
        <v/>
      </c>
      <c r="G3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1" s="164"/>
      <c r="J361" s="164"/>
      <c r="K361" s="165"/>
      <c r="L361" s="165"/>
      <c r="M361" s="85" t="str">
        <f>IF(TblDetailBudget[[#This Row],[Level]]=LvlBottomHdr, IFERROR(INDEX(TblUnitCost[Unit], MATCH(TblDetailBudget[[#This Row],[Row Title]], TblUnitCost[Resource], 0)), "Invalid Resource"), "")</f>
        <v/>
      </c>
      <c r="N361" s="126" t="str">
        <f>IF(TblDetailBudget[[#This Row],[Level]]=LvlBottomHdr, IFERROR(INDEX(TblUnitCost[LCU], MATCH(TblDetailBudget[[#This Row],[Row Title]], TblUnitCost[Resource], 0)), "Invalid Resource"), "")</f>
        <v/>
      </c>
      <c r="O361" s="130"/>
      <c r="P361" s="109"/>
      <c r="Q361" s="131"/>
      <c r="R361" s="109" t="s">
        <v>66</v>
      </c>
      <c r="S361" s="109" t="s">
        <v>66</v>
      </c>
      <c r="T361" s="109" t="s">
        <v>66</v>
      </c>
      <c r="U361" s="109" t="s">
        <v>66</v>
      </c>
      <c r="V361" s="109" t="s">
        <v>66</v>
      </c>
      <c r="W361" s="126" t="str">
        <f>IF(TblDetailBudget[[#This Row],[Level]]=LvlBottomHdr, IF(SUM(TblDetailBudget[[#This Row],[2021 Quant]:[2025 Quant]])&gt;0, SUM(TblDetailBudget[[#This Row],[2021 Quant]:[2025 Quant]]), ""), "")</f>
        <v/>
      </c>
      <c r="X3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1" s="142">
        <f>SUM(TblDetailBudget[[#This Row],[2021 Cost (LCU)]:[2025 Cost (LCU)]])</f>
        <v>0</v>
      </c>
      <c r="AD361" s="135">
        <f>IFERROR(SUM(TblDetailBudget[[#This Row],[2021 Cost (LCU)]])/FX_Rate, "")</f>
        <v>0</v>
      </c>
      <c r="AE361" s="86">
        <f>IFERROR(SUM(TblDetailBudget[[#This Row],[2022 Cost (LCU)]])/FX_Rate, "")</f>
        <v>0</v>
      </c>
      <c r="AF361" s="86">
        <f>IFERROR(SUM(TblDetailBudget[[#This Row],[2023 Cost (LCU)]])/FX_Rate, "")</f>
        <v>0</v>
      </c>
      <c r="AG361" s="86">
        <f>IFERROR(SUM(TblDetailBudget[[#This Row],[2024 Cost (LCU)]])/FX_Rate, "")</f>
        <v>0</v>
      </c>
      <c r="AH361" s="86">
        <f>IFERROR(SUM(TblDetailBudget[[#This Row],[2025 Cost (LCU)]])/FX_Rate, "")</f>
        <v>0</v>
      </c>
      <c r="AI361" s="126">
        <f>SUM(TblDetailBudget[[#This Row],[2021 Cost (USD)]:[2025 Cost (USD)]])</f>
        <v>0</v>
      </c>
      <c r="AJ361" s="180"/>
    </row>
    <row r="362" spans="2:36" ht="12.75" customHeight="1">
      <c r="B362" s="123"/>
      <c r="C3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2" s="85" t="str">
        <f>IF(TblDetailBudget[[#This Row],[Level]]="", "", COUNTIFS($B$8:TblDetailBudget[[#This Row],[Level]], Lvl1Hdr))</f>
        <v/>
      </c>
      <c r="E362" s="85" t="str">
        <f>IF(TblDetailBudget[[#This Row],[Level]]="", "", COUNTIFS($B$8:TblDetailBudget[[#This Row],[Level]], Lvl2Hdr, $D$8:TblDetailBudget[[#This Row],[Lvl 1 Header]], TblDetailBudget[[#This Row],[Lvl 1 Header]]))</f>
        <v/>
      </c>
      <c r="F362" s="85" t="str">
        <f>IF(TblDetailBudget[[#This Row],[Level]]="", "", COUNTIFS($B$8:TblDetailBudget[[#This Row],[Level]], Lvl3Hdr, $D$8:TblDetailBudget[[#This Row],[Lvl 1 Header]], TblDetailBudget[[#This Row],[Lvl 1 Header]], $E$8:TblDetailBudget[[#This Row],[Lvl 2 Header]], TblDetailBudget[[#This Row],[Lvl 2 Header]]))</f>
        <v/>
      </c>
      <c r="G3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2" s="164"/>
      <c r="J362" s="164"/>
      <c r="K362" s="165"/>
      <c r="L362" s="165"/>
      <c r="M362" s="85" t="str">
        <f>IF(TblDetailBudget[[#This Row],[Level]]=LvlBottomHdr, IFERROR(INDEX(TblUnitCost[Unit], MATCH(TblDetailBudget[[#This Row],[Row Title]], TblUnitCost[Resource], 0)), "Invalid Resource"), "")</f>
        <v/>
      </c>
      <c r="N362" s="126" t="str">
        <f>IF(TblDetailBudget[[#This Row],[Level]]=LvlBottomHdr, IFERROR(INDEX(TblUnitCost[LCU], MATCH(TblDetailBudget[[#This Row],[Row Title]], TblUnitCost[Resource], 0)), "Invalid Resource"), "")</f>
        <v/>
      </c>
      <c r="O362" s="130"/>
      <c r="P362" s="109"/>
      <c r="Q362" s="131"/>
      <c r="R362" s="109" t="s">
        <v>66</v>
      </c>
      <c r="S362" s="109" t="s">
        <v>66</v>
      </c>
      <c r="T362" s="109" t="s">
        <v>66</v>
      </c>
      <c r="U362" s="109" t="s">
        <v>66</v>
      </c>
      <c r="V362" s="109" t="s">
        <v>66</v>
      </c>
      <c r="W362" s="126" t="str">
        <f>IF(TblDetailBudget[[#This Row],[Level]]=LvlBottomHdr, IF(SUM(TblDetailBudget[[#This Row],[2021 Quant]:[2025 Quant]])&gt;0, SUM(TblDetailBudget[[#This Row],[2021 Quant]:[2025 Quant]]), ""), "")</f>
        <v/>
      </c>
      <c r="X3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2" s="142">
        <f>SUM(TblDetailBudget[[#This Row],[2021 Cost (LCU)]:[2025 Cost (LCU)]])</f>
        <v>0</v>
      </c>
      <c r="AD362" s="135">
        <f>IFERROR(SUM(TblDetailBudget[[#This Row],[2021 Cost (LCU)]])/FX_Rate, "")</f>
        <v>0</v>
      </c>
      <c r="AE362" s="86">
        <f>IFERROR(SUM(TblDetailBudget[[#This Row],[2022 Cost (LCU)]])/FX_Rate, "")</f>
        <v>0</v>
      </c>
      <c r="AF362" s="86">
        <f>IFERROR(SUM(TblDetailBudget[[#This Row],[2023 Cost (LCU)]])/FX_Rate, "")</f>
        <v>0</v>
      </c>
      <c r="AG362" s="86">
        <f>IFERROR(SUM(TblDetailBudget[[#This Row],[2024 Cost (LCU)]])/FX_Rate, "")</f>
        <v>0</v>
      </c>
      <c r="AH362" s="86">
        <f>IFERROR(SUM(TblDetailBudget[[#This Row],[2025 Cost (LCU)]])/FX_Rate, "")</f>
        <v>0</v>
      </c>
      <c r="AI362" s="126">
        <f>SUM(TblDetailBudget[[#This Row],[2021 Cost (USD)]:[2025 Cost (USD)]])</f>
        <v>0</v>
      </c>
      <c r="AJ362" s="180"/>
    </row>
    <row r="363" spans="2:36" ht="12.75" customHeight="1">
      <c r="B363" s="123"/>
      <c r="C3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3" s="85" t="str">
        <f>IF(TblDetailBudget[[#This Row],[Level]]="", "", COUNTIFS($B$8:TblDetailBudget[[#This Row],[Level]], Lvl1Hdr))</f>
        <v/>
      </c>
      <c r="E363" s="85" t="str">
        <f>IF(TblDetailBudget[[#This Row],[Level]]="", "", COUNTIFS($B$8:TblDetailBudget[[#This Row],[Level]], Lvl2Hdr, $D$8:TblDetailBudget[[#This Row],[Lvl 1 Header]], TblDetailBudget[[#This Row],[Lvl 1 Header]]))</f>
        <v/>
      </c>
      <c r="F363" s="85" t="str">
        <f>IF(TblDetailBudget[[#This Row],[Level]]="", "", COUNTIFS($B$8:TblDetailBudget[[#This Row],[Level]], Lvl3Hdr, $D$8:TblDetailBudget[[#This Row],[Lvl 1 Header]], TblDetailBudget[[#This Row],[Lvl 1 Header]], $E$8:TblDetailBudget[[#This Row],[Lvl 2 Header]], TblDetailBudget[[#This Row],[Lvl 2 Header]]))</f>
        <v/>
      </c>
      <c r="G3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3" s="164"/>
      <c r="J363" s="164"/>
      <c r="K363" s="165"/>
      <c r="L363" s="165"/>
      <c r="M363" s="85" t="str">
        <f>IF(TblDetailBudget[[#This Row],[Level]]=LvlBottomHdr, IFERROR(INDEX(TblUnitCost[Unit], MATCH(TblDetailBudget[[#This Row],[Row Title]], TblUnitCost[Resource], 0)), "Invalid Resource"), "")</f>
        <v/>
      </c>
      <c r="N363" s="126" t="str">
        <f>IF(TblDetailBudget[[#This Row],[Level]]=LvlBottomHdr, IFERROR(INDEX(TblUnitCost[LCU], MATCH(TblDetailBudget[[#This Row],[Row Title]], TblUnitCost[Resource], 0)), "Invalid Resource"), "")</f>
        <v/>
      </c>
      <c r="O363" s="130"/>
      <c r="P363" s="109"/>
      <c r="Q363" s="131"/>
      <c r="R363" s="109" t="s">
        <v>66</v>
      </c>
      <c r="S363" s="109" t="s">
        <v>66</v>
      </c>
      <c r="T363" s="109" t="s">
        <v>66</v>
      </c>
      <c r="U363" s="109" t="s">
        <v>66</v>
      </c>
      <c r="V363" s="109" t="s">
        <v>66</v>
      </c>
      <c r="W363" s="126" t="str">
        <f>IF(TblDetailBudget[[#This Row],[Level]]=LvlBottomHdr, IF(SUM(TblDetailBudget[[#This Row],[2021 Quant]:[2025 Quant]])&gt;0, SUM(TblDetailBudget[[#This Row],[2021 Quant]:[2025 Quant]]), ""), "")</f>
        <v/>
      </c>
      <c r="X3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3" s="142">
        <f>SUM(TblDetailBudget[[#This Row],[2021 Cost (LCU)]:[2025 Cost (LCU)]])</f>
        <v>0</v>
      </c>
      <c r="AD363" s="135">
        <f>IFERROR(SUM(TblDetailBudget[[#This Row],[2021 Cost (LCU)]])/FX_Rate, "")</f>
        <v>0</v>
      </c>
      <c r="AE363" s="86">
        <f>IFERROR(SUM(TblDetailBudget[[#This Row],[2022 Cost (LCU)]])/FX_Rate, "")</f>
        <v>0</v>
      </c>
      <c r="AF363" s="86">
        <f>IFERROR(SUM(TblDetailBudget[[#This Row],[2023 Cost (LCU)]])/FX_Rate, "")</f>
        <v>0</v>
      </c>
      <c r="AG363" s="86">
        <f>IFERROR(SUM(TblDetailBudget[[#This Row],[2024 Cost (LCU)]])/FX_Rate, "")</f>
        <v>0</v>
      </c>
      <c r="AH363" s="86">
        <f>IFERROR(SUM(TblDetailBudget[[#This Row],[2025 Cost (LCU)]])/FX_Rate, "")</f>
        <v>0</v>
      </c>
      <c r="AI363" s="126">
        <f>SUM(TblDetailBudget[[#This Row],[2021 Cost (USD)]:[2025 Cost (USD)]])</f>
        <v>0</v>
      </c>
      <c r="AJ363" s="180"/>
    </row>
    <row r="364" spans="2:36" ht="12.75" customHeight="1">
      <c r="B364" s="123"/>
      <c r="C3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4" s="85" t="str">
        <f>IF(TblDetailBudget[[#This Row],[Level]]="", "", COUNTIFS($B$8:TblDetailBudget[[#This Row],[Level]], Lvl1Hdr))</f>
        <v/>
      </c>
      <c r="E364" s="85" t="str">
        <f>IF(TblDetailBudget[[#This Row],[Level]]="", "", COUNTIFS($B$8:TblDetailBudget[[#This Row],[Level]], Lvl2Hdr, $D$8:TblDetailBudget[[#This Row],[Lvl 1 Header]], TblDetailBudget[[#This Row],[Lvl 1 Header]]))</f>
        <v/>
      </c>
      <c r="F364" s="85" t="str">
        <f>IF(TblDetailBudget[[#This Row],[Level]]="", "", COUNTIFS($B$8:TblDetailBudget[[#This Row],[Level]], Lvl3Hdr, $D$8:TblDetailBudget[[#This Row],[Lvl 1 Header]], TblDetailBudget[[#This Row],[Lvl 1 Header]], $E$8:TblDetailBudget[[#This Row],[Lvl 2 Header]], TblDetailBudget[[#This Row],[Lvl 2 Header]]))</f>
        <v/>
      </c>
      <c r="G3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4" s="164"/>
      <c r="J364" s="164"/>
      <c r="K364" s="165"/>
      <c r="L364" s="165"/>
      <c r="M364" s="85" t="str">
        <f>IF(TblDetailBudget[[#This Row],[Level]]=LvlBottomHdr, IFERROR(INDEX(TblUnitCost[Unit], MATCH(TblDetailBudget[[#This Row],[Row Title]], TblUnitCost[Resource], 0)), "Invalid Resource"), "")</f>
        <v/>
      </c>
      <c r="N364" s="126" t="str">
        <f>IF(TblDetailBudget[[#This Row],[Level]]=LvlBottomHdr, IFERROR(INDEX(TblUnitCost[LCU], MATCH(TblDetailBudget[[#This Row],[Row Title]], TblUnitCost[Resource], 0)), "Invalid Resource"), "")</f>
        <v/>
      </c>
      <c r="O364" s="130"/>
      <c r="P364" s="109"/>
      <c r="Q364" s="131"/>
      <c r="R364" s="109" t="s">
        <v>66</v>
      </c>
      <c r="S364" s="109" t="s">
        <v>66</v>
      </c>
      <c r="T364" s="109" t="s">
        <v>66</v>
      </c>
      <c r="U364" s="109" t="s">
        <v>66</v>
      </c>
      <c r="V364" s="109" t="s">
        <v>66</v>
      </c>
      <c r="W364" s="126" t="str">
        <f>IF(TblDetailBudget[[#This Row],[Level]]=LvlBottomHdr, IF(SUM(TblDetailBudget[[#This Row],[2021 Quant]:[2025 Quant]])&gt;0, SUM(TblDetailBudget[[#This Row],[2021 Quant]:[2025 Quant]]), ""), "")</f>
        <v/>
      </c>
      <c r="X3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4" s="142">
        <f>SUM(TblDetailBudget[[#This Row],[2021 Cost (LCU)]:[2025 Cost (LCU)]])</f>
        <v>0</v>
      </c>
      <c r="AD364" s="135">
        <f>IFERROR(SUM(TblDetailBudget[[#This Row],[2021 Cost (LCU)]])/FX_Rate, "")</f>
        <v>0</v>
      </c>
      <c r="AE364" s="86">
        <f>IFERROR(SUM(TblDetailBudget[[#This Row],[2022 Cost (LCU)]])/FX_Rate, "")</f>
        <v>0</v>
      </c>
      <c r="AF364" s="86">
        <f>IFERROR(SUM(TblDetailBudget[[#This Row],[2023 Cost (LCU)]])/FX_Rate, "")</f>
        <v>0</v>
      </c>
      <c r="AG364" s="86">
        <f>IFERROR(SUM(TblDetailBudget[[#This Row],[2024 Cost (LCU)]])/FX_Rate, "")</f>
        <v>0</v>
      </c>
      <c r="AH364" s="86">
        <f>IFERROR(SUM(TblDetailBudget[[#This Row],[2025 Cost (LCU)]])/FX_Rate, "")</f>
        <v>0</v>
      </c>
      <c r="AI364" s="126">
        <f>SUM(TblDetailBudget[[#This Row],[2021 Cost (USD)]:[2025 Cost (USD)]])</f>
        <v>0</v>
      </c>
      <c r="AJ364" s="180"/>
    </row>
    <row r="365" spans="2:36" ht="12.75" customHeight="1">
      <c r="B365" s="123"/>
      <c r="C3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5" s="85" t="str">
        <f>IF(TblDetailBudget[[#This Row],[Level]]="", "", COUNTIFS($B$8:TblDetailBudget[[#This Row],[Level]], Lvl1Hdr))</f>
        <v/>
      </c>
      <c r="E365" s="85" t="str">
        <f>IF(TblDetailBudget[[#This Row],[Level]]="", "", COUNTIFS($B$8:TblDetailBudget[[#This Row],[Level]], Lvl2Hdr, $D$8:TblDetailBudget[[#This Row],[Lvl 1 Header]], TblDetailBudget[[#This Row],[Lvl 1 Header]]))</f>
        <v/>
      </c>
      <c r="F365" s="85" t="str">
        <f>IF(TblDetailBudget[[#This Row],[Level]]="", "", COUNTIFS($B$8:TblDetailBudget[[#This Row],[Level]], Lvl3Hdr, $D$8:TblDetailBudget[[#This Row],[Lvl 1 Header]], TblDetailBudget[[#This Row],[Lvl 1 Header]], $E$8:TblDetailBudget[[#This Row],[Lvl 2 Header]], TblDetailBudget[[#This Row],[Lvl 2 Header]]))</f>
        <v/>
      </c>
      <c r="G3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5" s="164"/>
      <c r="J365" s="164"/>
      <c r="K365" s="165"/>
      <c r="L365" s="165"/>
      <c r="M365" s="85" t="str">
        <f>IF(TblDetailBudget[[#This Row],[Level]]=LvlBottomHdr, IFERROR(INDEX(TblUnitCost[Unit], MATCH(TblDetailBudget[[#This Row],[Row Title]], TblUnitCost[Resource], 0)), "Invalid Resource"), "")</f>
        <v/>
      </c>
      <c r="N365" s="126" t="str">
        <f>IF(TblDetailBudget[[#This Row],[Level]]=LvlBottomHdr, IFERROR(INDEX(TblUnitCost[LCU], MATCH(TblDetailBudget[[#This Row],[Row Title]], TblUnitCost[Resource], 0)), "Invalid Resource"), "")</f>
        <v/>
      </c>
      <c r="O365" s="130"/>
      <c r="P365" s="109"/>
      <c r="Q365" s="131"/>
      <c r="R365" s="109" t="s">
        <v>66</v>
      </c>
      <c r="S365" s="109" t="s">
        <v>66</v>
      </c>
      <c r="T365" s="109" t="s">
        <v>66</v>
      </c>
      <c r="U365" s="109" t="s">
        <v>66</v>
      </c>
      <c r="V365" s="109" t="s">
        <v>66</v>
      </c>
      <c r="W365" s="126" t="str">
        <f>IF(TblDetailBudget[[#This Row],[Level]]=LvlBottomHdr, IF(SUM(TblDetailBudget[[#This Row],[2021 Quant]:[2025 Quant]])&gt;0, SUM(TblDetailBudget[[#This Row],[2021 Quant]:[2025 Quant]]), ""), "")</f>
        <v/>
      </c>
      <c r="X3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5" s="142">
        <f>SUM(TblDetailBudget[[#This Row],[2021 Cost (LCU)]:[2025 Cost (LCU)]])</f>
        <v>0</v>
      </c>
      <c r="AD365" s="135">
        <f>IFERROR(SUM(TblDetailBudget[[#This Row],[2021 Cost (LCU)]])/FX_Rate, "")</f>
        <v>0</v>
      </c>
      <c r="AE365" s="86">
        <f>IFERROR(SUM(TblDetailBudget[[#This Row],[2022 Cost (LCU)]])/FX_Rate, "")</f>
        <v>0</v>
      </c>
      <c r="AF365" s="86">
        <f>IFERROR(SUM(TblDetailBudget[[#This Row],[2023 Cost (LCU)]])/FX_Rate, "")</f>
        <v>0</v>
      </c>
      <c r="AG365" s="86">
        <f>IFERROR(SUM(TblDetailBudget[[#This Row],[2024 Cost (LCU)]])/FX_Rate, "")</f>
        <v>0</v>
      </c>
      <c r="AH365" s="86">
        <f>IFERROR(SUM(TblDetailBudget[[#This Row],[2025 Cost (LCU)]])/FX_Rate, "")</f>
        <v>0</v>
      </c>
      <c r="AI365" s="126">
        <f>SUM(TblDetailBudget[[#This Row],[2021 Cost (USD)]:[2025 Cost (USD)]])</f>
        <v>0</v>
      </c>
      <c r="AJ365" s="180"/>
    </row>
    <row r="366" spans="2:36" ht="12.75" customHeight="1">
      <c r="B366" s="123"/>
      <c r="C3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6" s="85" t="str">
        <f>IF(TblDetailBudget[[#This Row],[Level]]="", "", COUNTIFS($B$8:TblDetailBudget[[#This Row],[Level]], Lvl1Hdr))</f>
        <v/>
      </c>
      <c r="E366" s="85" t="str">
        <f>IF(TblDetailBudget[[#This Row],[Level]]="", "", COUNTIFS($B$8:TblDetailBudget[[#This Row],[Level]], Lvl2Hdr, $D$8:TblDetailBudget[[#This Row],[Lvl 1 Header]], TblDetailBudget[[#This Row],[Lvl 1 Header]]))</f>
        <v/>
      </c>
      <c r="F366" s="85" t="str">
        <f>IF(TblDetailBudget[[#This Row],[Level]]="", "", COUNTIFS($B$8:TblDetailBudget[[#This Row],[Level]], Lvl3Hdr, $D$8:TblDetailBudget[[#This Row],[Lvl 1 Header]], TblDetailBudget[[#This Row],[Lvl 1 Header]], $E$8:TblDetailBudget[[#This Row],[Lvl 2 Header]], TblDetailBudget[[#This Row],[Lvl 2 Header]]))</f>
        <v/>
      </c>
      <c r="G3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6" s="164"/>
      <c r="J366" s="164"/>
      <c r="K366" s="165"/>
      <c r="L366" s="165"/>
      <c r="M366" s="85" t="str">
        <f>IF(TblDetailBudget[[#This Row],[Level]]=LvlBottomHdr, IFERROR(INDEX(TblUnitCost[Unit], MATCH(TblDetailBudget[[#This Row],[Row Title]], TblUnitCost[Resource], 0)), "Invalid Resource"), "")</f>
        <v/>
      </c>
      <c r="N366" s="126" t="str">
        <f>IF(TblDetailBudget[[#This Row],[Level]]=LvlBottomHdr, IFERROR(INDEX(TblUnitCost[LCU], MATCH(TblDetailBudget[[#This Row],[Row Title]], TblUnitCost[Resource], 0)), "Invalid Resource"), "")</f>
        <v/>
      </c>
      <c r="O366" s="130"/>
      <c r="P366" s="109"/>
      <c r="Q366" s="131"/>
      <c r="R366" s="109" t="s">
        <v>66</v>
      </c>
      <c r="S366" s="109" t="s">
        <v>66</v>
      </c>
      <c r="T366" s="109" t="s">
        <v>66</v>
      </c>
      <c r="U366" s="109" t="s">
        <v>66</v>
      </c>
      <c r="V366" s="109" t="s">
        <v>66</v>
      </c>
      <c r="W366" s="126" t="str">
        <f>IF(TblDetailBudget[[#This Row],[Level]]=LvlBottomHdr, IF(SUM(TblDetailBudget[[#This Row],[2021 Quant]:[2025 Quant]])&gt;0, SUM(TblDetailBudget[[#This Row],[2021 Quant]:[2025 Quant]]), ""), "")</f>
        <v/>
      </c>
      <c r="X3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6" s="142">
        <f>SUM(TblDetailBudget[[#This Row],[2021 Cost (LCU)]:[2025 Cost (LCU)]])</f>
        <v>0</v>
      </c>
      <c r="AD366" s="135">
        <f>IFERROR(SUM(TblDetailBudget[[#This Row],[2021 Cost (LCU)]])/FX_Rate, "")</f>
        <v>0</v>
      </c>
      <c r="AE366" s="86">
        <f>IFERROR(SUM(TblDetailBudget[[#This Row],[2022 Cost (LCU)]])/FX_Rate, "")</f>
        <v>0</v>
      </c>
      <c r="AF366" s="86">
        <f>IFERROR(SUM(TblDetailBudget[[#This Row],[2023 Cost (LCU)]])/FX_Rate, "")</f>
        <v>0</v>
      </c>
      <c r="AG366" s="86">
        <f>IFERROR(SUM(TblDetailBudget[[#This Row],[2024 Cost (LCU)]])/FX_Rate, "")</f>
        <v>0</v>
      </c>
      <c r="AH366" s="86">
        <f>IFERROR(SUM(TblDetailBudget[[#This Row],[2025 Cost (LCU)]])/FX_Rate, "")</f>
        <v>0</v>
      </c>
      <c r="AI366" s="126">
        <f>SUM(TblDetailBudget[[#This Row],[2021 Cost (USD)]:[2025 Cost (USD)]])</f>
        <v>0</v>
      </c>
      <c r="AJ366" s="180"/>
    </row>
    <row r="367" spans="2:36" ht="12.75" customHeight="1">
      <c r="B367" s="123"/>
      <c r="C3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7" s="85" t="str">
        <f>IF(TblDetailBudget[[#This Row],[Level]]="", "", COUNTIFS($B$8:TblDetailBudget[[#This Row],[Level]], Lvl1Hdr))</f>
        <v/>
      </c>
      <c r="E367" s="85" t="str">
        <f>IF(TblDetailBudget[[#This Row],[Level]]="", "", COUNTIFS($B$8:TblDetailBudget[[#This Row],[Level]], Lvl2Hdr, $D$8:TblDetailBudget[[#This Row],[Lvl 1 Header]], TblDetailBudget[[#This Row],[Lvl 1 Header]]))</f>
        <v/>
      </c>
      <c r="F367" s="85" t="str">
        <f>IF(TblDetailBudget[[#This Row],[Level]]="", "", COUNTIFS($B$8:TblDetailBudget[[#This Row],[Level]], Lvl3Hdr, $D$8:TblDetailBudget[[#This Row],[Lvl 1 Header]], TblDetailBudget[[#This Row],[Lvl 1 Header]], $E$8:TblDetailBudget[[#This Row],[Lvl 2 Header]], TblDetailBudget[[#This Row],[Lvl 2 Header]]))</f>
        <v/>
      </c>
      <c r="G3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7" s="164"/>
      <c r="J367" s="164"/>
      <c r="K367" s="165"/>
      <c r="L367" s="165"/>
      <c r="M367" s="85" t="str">
        <f>IF(TblDetailBudget[[#This Row],[Level]]=LvlBottomHdr, IFERROR(INDEX(TblUnitCost[Unit], MATCH(TblDetailBudget[[#This Row],[Row Title]], TblUnitCost[Resource], 0)), "Invalid Resource"), "")</f>
        <v/>
      </c>
      <c r="N367" s="126" t="str">
        <f>IF(TblDetailBudget[[#This Row],[Level]]=LvlBottomHdr, IFERROR(INDEX(TblUnitCost[LCU], MATCH(TblDetailBudget[[#This Row],[Row Title]], TblUnitCost[Resource], 0)), "Invalid Resource"), "")</f>
        <v/>
      </c>
      <c r="O367" s="130"/>
      <c r="P367" s="109"/>
      <c r="Q367" s="131"/>
      <c r="R367" s="109" t="s">
        <v>66</v>
      </c>
      <c r="S367" s="109" t="s">
        <v>66</v>
      </c>
      <c r="T367" s="109" t="s">
        <v>66</v>
      </c>
      <c r="U367" s="109" t="s">
        <v>66</v>
      </c>
      <c r="V367" s="109" t="s">
        <v>66</v>
      </c>
      <c r="W367" s="126" t="str">
        <f>IF(TblDetailBudget[[#This Row],[Level]]=LvlBottomHdr, IF(SUM(TblDetailBudget[[#This Row],[2021 Quant]:[2025 Quant]])&gt;0, SUM(TblDetailBudget[[#This Row],[2021 Quant]:[2025 Quant]]), ""), "")</f>
        <v/>
      </c>
      <c r="X3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7" s="142">
        <f>SUM(TblDetailBudget[[#This Row],[2021 Cost (LCU)]:[2025 Cost (LCU)]])</f>
        <v>0</v>
      </c>
      <c r="AD367" s="135">
        <f>IFERROR(SUM(TblDetailBudget[[#This Row],[2021 Cost (LCU)]])/FX_Rate, "")</f>
        <v>0</v>
      </c>
      <c r="AE367" s="86">
        <f>IFERROR(SUM(TblDetailBudget[[#This Row],[2022 Cost (LCU)]])/FX_Rate, "")</f>
        <v>0</v>
      </c>
      <c r="AF367" s="86">
        <f>IFERROR(SUM(TblDetailBudget[[#This Row],[2023 Cost (LCU)]])/FX_Rate, "")</f>
        <v>0</v>
      </c>
      <c r="AG367" s="86">
        <f>IFERROR(SUM(TblDetailBudget[[#This Row],[2024 Cost (LCU)]])/FX_Rate, "")</f>
        <v>0</v>
      </c>
      <c r="AH367" s="86">
        <f>IFERROR(SUM(TblDetailBudget[[#This Row],[2025 Cost (LCU)]])/FX_Rate, "")</f>
        <v>0</v>
      </c>
      <c r="AI367" s="126">
        <f>SUM(TblDetailBudget[[#This Row],[2021 Cost (USD)]:[2025 Cost (USD)]])</f>
        <v>0</v>
      </c>
      <c r="AJ367" s="180"/>
    </row>
    <row r="368" spans="2:36" ht="12.75" customHeight="1">
      <c r="B368" s="123"/>
      <c r="C3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8" s="85" t="str">
        <f>IF(TblDetailBudget[[#This Row],[Level]]="", "", COUNTIFS($B$8:TblDetailBudget[[#This Row],[Level]], Lvl1Hdr))</f>
        <v/>
      </c>
      <c r="E368" s="85" t="str">
        <f>IF(TblDetailBudget[[#This Row],[Level]]="", "", COUNTIFS($B$8:TblDetailBudget[[#This Row],[Level]], Lvl2Hdr, $D$8:TblDetailBudget[[#This Row],[Lvl 1 Header]], TblDetailBudget[[#This Row],[Lvl 1 Header]]))</f>
        <v/>
      </c>
      <c r="F368" s="85" t="str">
        <f>IF(TblDetailBudget[[#This Row],[Level]]="", "", COUNTIFS($B$8:TblDetailBudget[[#This Row],[Level]], Lvl3Hdr, $D$8:TblDetailBudget[[#This Row],[Lvl 1 Header]], TblDetailBudget[[#This Row],[Lvl 1 Header]], $E$8:TblDetailBudget[[#This Row],[Lvl 2 Header]], TblDetailBudget[[#This Row],[Lvl 2 Header]]))</f>
        <v/>
      </c>
      <c r="G3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8" s="164"/>
      <c r="J368" s="164"/>
      <c r="K368" s="165"/>
      <c r="L368" s="165"/>
      <c r="M368" s="85" t="str">
        <f>IF(TblDetailBudget[[#This Row],[Level]]=LvlBottomHdr, IFERROR(INDEX(TblUnitCost[Unit], MATCH(TblDetailBudget[[#This Row],[Row Title]], TblUnitCost[Resource], 0)), "Invalid Resource"), "")</f>
        <v/>
      </c>
      <c r="N368" s="126" t="str">
        <f>IF(TblDetailBudget[[#This Row],[Level]]=LvlBottomHdr, IFERROR(INDEX(TblUnitCost[LCU], MATCH(TblDetailBudget[[#This Row],[Row Title]], TblUnitCost[Resource], 0)), "Invalid Resource"), "")</f>
        <v/>
      </c>
      <c r="O368" s="130"/>
      <c r="P368" s="109"/>
      <c r="Q368" s="131"/>
      <c r="R368" s="109" t="s">
        <v>66</v>
      </c>
      <c r="S368" s="109" t="s">
        <v>66</v>
      </c>
      <c r="T368" s="109" t="s">
        <v>66</v>
      </c>
      <c r="U368" s="109" t="s">
        <v>66</v>
      </c>
      <c r="V368" s="109" t="s">
        <v>66</v>
      </c>
      <c r="W368" s="126" t="str">
        <f>IF(TblDetailBudget[[#This Row],[Level]]=LvlBottomHdr, IF(SUM(TblDetailBudget[[#This Row],[2021 Quant]:[2025 Quant]])&gt;0, SUM(TblDetailBudget[[#This Row],[2021 Quant]:[2025 Quant]]), ""), "")</f>
        <v/>
      </c>
      <c r="X3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8" s="142">
        <f>SUM(TblDetailBudget[[#This Row],[2021 Cost (LCU)]:[2025 Cost (LCU)]])</f>
        <v>0</v>
      </c>
      <c r="AD368" s="135">
        <f>IFERROR(SUM(TblDetailBudget[[#This Row],[2021 Cost (LCU)]])/FX_Rate, "")</f>
        <v>0</v>
      </c>
      <c r="AE368" s="86">
        <f>IFERROR(SUM(TblDetailBudget[[#This Row],[2022 Cost (LCU)]])/FX_Rate, "")</f>
        <v>0</v>
      </c>
      <c r="AF368" s="86">
        <f>IFERROR(SUM(TblDetailBudget[[#This Row],[2023 Cost (LCU)]])/FX_Rate, "")</f>
        <v>0</v>
      </c>
      <c r="AG368" s="86">
        <f>IFERROR(SUM(TblDetailBudget[[#This Row],[2024 Cost (LCU)]])/FX_Rate, "")</f>
        <v>0</v>
      </c>
      <c r="AH368" s="86">
        <f>IFERROR(SUM(TblDetailBudget[[#This Row],[2025 Cost (LCU)]])/FX_Rate, "")</f>
        <v>0</v>
      </c>
      <c r="AI368" s="126">
        <f>SUM(TblDetailBudget[[#This Row],[2021 Cost (USD)]:[2025 Cost (USD)]])</f>
        <v>0</v>
      </c>
      <c r="AJ368" s="180"/>
    </row>
    <row r="369" spans="2:36" ht="12.75" customHeight="1">
      <c r="B369" s="123"/>
      <c r="C3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9" s="85" t="str">
        <f>IF(TblDetailBudget[[#This Row],[Level]]="", "", COUNTIFS($B$8:TblDetailBudget[[#This Row],[Level]], Lvl1Hdr))</f>
        <v/>
      </c>
      <c r="E369" s="85" t="str">
        <f>IF(TblDetailBudget[[#This Row],[Level]]="", "", COUNTIFS($B$8:TblDetailBudget[[#This Row],[Level]], Lvl2Hdr, $D$8:TblDetailBudget[[#This Row],[Lvl 1 Header]], TblDetailBudget[[#This Row],[Lvl 1 Header]]))</f>
        <v/>
      </c>
      <c r="F369" s="85" t="str">
        <f>IF(TblDetailBudget[[#This Row],[Level]]="", "", COUNTIFS($B$8:TblDetailBudget[[#This Row],[Level]], Lvl3Hdr, $D$8:TblDetailBudget[[#This Row],[Lvl 1 Header]], TblDetailBudget[[#This Row],[Lvl 1 Header]], $E$8:TblDetailBudget[[#This Row],[Lvl 2 Header]], TblDetailBudget[[#This Row],[Lvl 2 Header]]))</f>
        <v/>
      </c>
      <c r="G3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9" s="164"/>
      <c r="J369" s="164"/>
      <c r="K369" s="165"/>
      <c r="L369" s="165"/>
      <c r="M369" s="85" t="str">
        <f>IF(TblDetailBudget[[#This Row],[Level]]=LvlBottomHdr, IFERROR(INDEX(TblUnitCost[Unit], MATCH(TblDetailBudget[[#This Row],[Row Title]], TblUnitCost[Resource], 0)), "Invalid Resource"), "")</f>
        <v/>
      </c>
      <c r="N369" s="126" t="str">
        <f>IF(TblDetailBudget[[#This Row],[Level]]=LvlBottomHdr, IFERROR(INDEX(TblUnitCost[LCU], MATCH(TblDetailBudget[[#This Row],[Row Title]], TblUnitCost[Resource], 0)), "Invalid Resource"), "")</f>
        <v/>
      </c>
      <c r="O369" s="130"/>
      <c r="P369" s="109"/>
      <c r="Q369" s="131"/>
      <c r="R369" s="109" t="s">
        <v>66</v>
      </c>
      <c r="S369" s="109" t="s">
        <v>66</v>
      </c>
      <c r="T369" s="109" t="s">
        <v>66</v>
      </c>
      <c r="U369" s="109" t="s">
        <v>66</v>
      </c>
      <c r="V369" s="109" t="s">
        <v>66</v>
      </c>
      <c r="W369" s="126" t="str">
        <f>IF(TblDetailBudget[[#This Row],[Level]]=LvlBottomHdr, IF(SUM(TblDetailBudget[[#This Row],[2021 Quant]:[2025 Quant]])&gt;0, SUM(TblDetailBudget[[#This Row],[2021 Quant]:[2025 Quant]]), ""), "")</f>
        <v/>
      </c>
      <c r="X3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9" s="142">
        <f>SUM(TblDetailBudget[[#This Row],[2021 Cost (LCU)]:[2025 Cost (LCU)]])</f>
        <v>0</v>
      </c>
      <c r="AD369" s="135">
        <f>IFERROR(SUM(TblDetailBudget[[#This Row],[2021 Cost (LCU)]])/FX_Rate, "")</f>
        <v>0</v>
      </c>
      <c r="AE369" s="86">
        <f>IFERROR(SUM(TblDetailBudget[[#This Row],[2022 Cost (LCU)]])/FX_Rate, "")</f>
        <v>0</v>
      </c>
      <c r="AF369" s="86">
        <f>IFERROR(SUM(TblDetailBudget[[#This Row],[2023 Cost (LCU)]])/FX_Rate, "")</f>
        <v>0</v>
      </c>
      <c r="AG369" s="86">
        <f>IFERROR(SUM(TblDetailBudget[[#This Row],[2024 Cost (LCU)]])/FX_Rate, "")</f>
        <v>0</v>
      </c>
      <c r="AH369" s="86">
        <f>IFERROR(SUM(TblDetailBudget[[#This Row],[2025 Cost (LCU)]])/FX_Rate, "")</f>
        <v>0</v>
      </c>
      <c r="AI369" s="126">
        <f>SUM(TblDetailBudget[[#This Row],[2021 Cost (USD)]:[2025 Cost (USD)]])</f>
        <v>0</v>
      </c>
      <c r="AJ369" s="180"/>
    </row>
    <row r="370" spans="2:36" ht="12.75" customHeight="1">
      <c r="B370" s="123"/>
      <c r="C3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0" s="85" t="str">
        <f>IF(TblDetailBudget[[#This Row],[Level]]="", "", COUNTIFS($B$8:TblDetailBudget[[#This Row],[Level]], Lvl1Hdr))</f>
        <v/>
      </c>
      <c r="E370" s="85" t="str">
        <f>IF(TblDetailBudget[[#This Row],[Level]]="", "", COUNTIFS($B$8:TblDetailBudget[[#This Row],[Level]], Lvl2Hdr, $D$8:TblDetailBudget[[#This Row],[Lvl 1 Header]], TblDetailBudget[[#This Row],[Lvl 1 Header]]))</f>
        <v/>
      </c>
      <c r="F370" s="85" t="str">
        <f>IF(TblDetailBudget[[#This Row],[Level]]="", "", COUNTIFS($B$8:TblDetailBudget[[#This Row],[Level]], Lvl3Hdr, $D$8:TblDetailBudget[[#This Row],[Lvl 1 Header]], TblDetailBudget[[#This Row],[Lvl 1 Header]], $E$8:TblDetailBudget[[#This Row],[Lvl 2 Header]], TblDetailBudget[[#This Row],[Lvl 2 Header]]))</f>
        <v/>
      </c>
      <c r="G3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0" s="164"/>
      <c r="J370" s="164"/>
      <c r="K370" s="165"/>
      <c r="L370" s="165"/>
      <c r="M370" s="85" t="str">
        <f>IF(TblDetailBudget[[#This Row],[Level]]=LvlBottomHdr, IFERROR(INDEX(TblUnitCost[Unit], MATCH(TblDetailBudget[[#This Row],[Row Title]], TblUnitCost[Resource], 0)), "Invalid Resource"), "")</f>
        <v/>
      </c>
      <c r="N370" s="126" t="str">
        <f>IF(TblDetailBudget[[#This Row],[Level]]=LvlBottomHdr, IFERROR(INDEX(TblUnitCost[LCU], MATCH(TblDetailBudget[[#This Row],[Row Title]], TblUnitCost[Resource], 0)), "Invalid Resource"), "")</f>
        <v/>
      </c>
      <c r="O370" s="130"/>
      <c r="P370" s="109"/>
      <c r="Q370" s="131"/>
      <c r="R370" s="109" t="s">
        <v>66</v>
      </c>
      <c r="S370" s="109" t="s">
        <v>66</v>
      </c>
      <c r="T370" s="109" t="s">
        <v>66</v>
      </c>
      <c r="U370" s="109" t="s">
        <v>66</v>
      </c>
      <c r="V370" s="109" t="s">
        <v>66</v>
      </c>
      <c r="W370" s="126" t="str">
        <f>IF(TblDetailBudget[[#This Row],[Level]]=LvlBottomHdr, IF(SUM(TblDetailBudget[[#This Row],[2021 Quant]:[2025 Quant]])&gt;0, SUM(TblDetailBudget[[#This Row],[2021 Quant]:[2025 Quant]]), ""), "")</f>
        <v/>
      </c>
      <c r="X3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0" s="142">
        <f>SUM(TblDetailBudget[[#This Row],[2021 Cost (LCU)]:[2025 Cost (LCU)]])</f>
        <v>0</v>
      </c>
      <c r="AD370" s="135">
        <f>IFERROR(SUM(TblDetailBudget[[#This Row],[2021 Cost (LCU)]])/FX_Rate, "")</f>
        <v>0</v>
      </c>
      <c r="AE370" s="86">
        <f>IFERROR(SUM(TblDetailBudget[[#This Row],[2022 Cost (LCU)]])/FX_Rate, "")</f>
        <v>0</v>
      </c>
      <c r="AF370" s="86">
        <f>IFERROR(SUM(TblDetailBudget[[#This Row],[2023 Cost (LCU)]])/FX_Rate, "")</f>
        <v>0</v>
      </c>
      <c r="AG370" s="86">
        <f>IFERROR(SUM(TblDetailBudget[[#This Row],[2024 Cost (LCU)]])/FX_Rate, "")</f>
        <v>0</v>
      </c>
      <c r="AH370" s="86">
        <f>IFERROR(SUM(TblDetailBudget[[#This Row],[2025 Cost (LCU)]])/FX_Rate, "")</f>
        <v>0</v>
      </c>
      <c r="AI370" s="126">
        <f>SUM(TblDetailBudget[[#This Row],[2021 Cost (USD)]:[2025 Cost (USD)]])</f>
        <v>0</v>
      </c>
      <c r="AJ370" s="180"/>
    </row>
    <row r="371" spans="2:36" ht="12.75" customHeight="1">
      <c r="B371" s="123"/>
      <c r="C3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1" s="85" t="str">
        <f>IF(TblDetailBudget[[#This Row],[Level]]="", "", COUNTIFS($B$8:TblDetailBudget[[#This Row],[Level]], Lvl1Hdr))</f>
        <v/>
      </c>
      <c r="E371" s="85" t="str">
        <f>IF(TblDetailBudget[[#This Row],[Level]]="", "", COUNTIFS($B$8:TblDetailBudget[[#This Row],[Level]], Lvl2Hdr, $D$8:TblDetailBudget[[#This Row],[Lvl 1 Header]], TblDetailBudget[[#This Row],[Lvl 1 Header]]))</f>
        <v/>
      </c>
      <c r="F371" s="85" t="str">
        <f>IF(TblDetailBudget[[#This Row],[Level]]="", "", COUNTIFS($B$8:TblDetailBudget[[#This Row],[Level]], Lvl3Hdr, $D$8:TblDetailBudget[[#This Row],[Lvl 1 Header]], TblDetailBudget[[#This Row],[Lvl 1 Header]], $E$8:TblDetailBudget[[#This Row],[Lvl 2 Header]], TblDetailBudget[[#This Row],[Lvl 2 Header]]))</f>
        <v/>
      </c>
      <c r="G3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1" s="164"/>
      <c r="J371" s="164"/>
      <c r="K371" s="165"/>
      <c r="L371" s="165"/>
      <c r="M371" s="85" t="str">
        <f>IF(TblDetailBudget[[#This Row],[Level]]=LvlBottomHdr, IFERROR(INDEX(TblUnitCost[Unit], MATCH(TblDetailBudget[[#This Row],[Row Title]], TblUnitCost[Resource], 0)), "Invalid Resource"), "")</f>
        <v/>
      </c>
      <c r="N371" s="126" t="str">
        <f>IF(TblDetailBudget[[#This Row],[Level]]=LvlBottomHdr, IFERROR(INDEX(TblUnitCost[LCU], MATCH(TblDetailBudget[[#This Row],[Row Title]], TblUnitCost[Resource], 0)), "Invalid Resource"), "")</f>
        <v/>
      </c>
      <c r="O371" s="130"/>
      <c r="P371" s="109"/>
      <c r="Q371" s="131"/>
      <c r="R371" s="109" t="s">
        <v>66</v>
      </c>
      <c r="S371" s="109" t="s">
        <v>66</v>
      </c>
      <c r="T371" s="109" t="s">
        <v>66</v>
      </c>
      <c r="U371" s="109" t="s">
        <v>66</v>
      </c>
      <c r="V371" s="109" t="s">
        <v>66</v>
      </c>
      <c r="W371" s="126" t="str">
        <f>IF(TblDetailBudget[[#This Row],[Level]]=LvlBottomHdr, IF(SUM(TblDetailBudget[[#This Row],[2021 Quant]:[2025 Quant]])&gt;0, SUM(TblDetailBudget[[#This Row],[2021 Quant]:[2025 Quant]]), ""), "")</f>
        <v/>
      </c>
      <c r="X3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1" s="142">
        <f>SUM(TblDetailBudget[[#This Row],[2021 Cost (LCU)]:[2025 Cost (LCU)]])</f>
        <v>0</v>
      </c>
      <c r="AD371" s="135">
        <f>IFERROR(SUM(TblDetailBudget[[#This Row],[2021 Cost (LCU)]])/FX_Rate, "")</f>
        <v>0</v>
      </c>
      <c r="AE371" s="86">
        <f>IFERROR(SUM(TblDetailBudget[[#This Row],[2022 Cost (LCU)]])/FX_Rate, "")</f>
        <v>0</v>
      </c>
      <c r="AF371" s="86">
        <f>IFERROR(SUM(TblDetailBudget[[#This Row],[2023 Cost (LCU)]])/FX_Rate, "")</f>
        <v>0</v>
      </c>
      <c r="AG371" s="86">
        <f>IFERROR(SUM(TblDetailBudget[[#This Row],[2024 Cost (LCU)]])/FX_Rate, "")</f>
        <v>0</v>
      </c>
      <c r="AH371" s="86">
        <f>IFERROR(SUM(TblDetailBudget[[#This Row],[2025 Cost (LCU)]])/FX_Rate, "")</f>
        <v>0</v>
      </c>
      <c r="AI371" s="126">
        <f>SUM(TblDetailBudget[[#This Row],[2021 Cost (USD)]:[2025 Cost (USD)]])</f>
        <v>0</v>
      </c>
      <c r="AJ371" s="180"/>
    </row>
    <row r="372" spans="2:36" ht="12.75" customHeight="1">
      <c r="B372" s="123"/>
      <c r="C3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2" s="85" t="str">
        <f>IF(TblDetailBudget[[#This Row],[Level]]="", "", COUNTIFS($B$8:TblDetailBudget[[#This Row],[Level]], Lvl1Hdr))</f>
        <v/>
      </c>
      <c r="E372" s="85" t="str">
        <f>IF(TblDetailBudget[[#This Row],[Level]]="", "", COUNTIFS($B$8:TblDetailBudget[[#This Row],[Level]], Lvl2Hdr, $D$8:TblDetailBudget[[#This Row],[Lvl 1 Header]], TblDetailBudget[[#This Row],[Lvl 1 Header]]))</f>
        <v/>
      </c>
      <c r="F372" s="85" t="str">
        <f>IF(TblDetailBudget[[#This Row],[Level]]="", "", COUNTIFS($B$8:TblDetailBudget[[#This Row],[Level]], Lvl3Hdr, $D$8:TblDetailBudget[[#This Row],[Lvl 1 Header]], TblDetailBudget[[#This Row],[Lvl 1 Header]], $E$8:TblDetailBudget[[#This Row],[Lvl 2 Header]], TblDetailBudget[[#This Row],[Lvl 2 Header]]))</f>
        <v/>
      </c>
      <c r="G3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2" s="164"/>
      <c r="J372" s="164"/>
      <c r="K372" s="165"/>
      <c r="L372" s="165"/>
      <c r="M372" s="85" t="str">
        <f>IF(TblDetailBudget[[#This Row],[Level]]=LvlBottomHdr, IFERROR(INDEX(TblUnitCost[Unit], MATCH(TblDetailBudget[[#This Row],[Row Title]], TblUnitCost[Resource], 0)), "Invalid Resource"), "")</f>
        <v/>
      </c>
      <c r="N372" s="126" t="str">
        <f>IF(TblDetailBudget[[#This Row],[Level]]=LvlBottomHdr, IFERROR(INDEX(TblUnitCost[LCU], MATCH(TblDetailBudget[[#This Row],[Row Title]], TblUnitCost[Resource], 0)), "Invalid Resource"), "")</f>
        <v/>
      </c>
      <c r="O372" s="130"/>
      <c r="P372" s="109"/>
      <c r="Q372" s="131"/>
      <c r="R372" s="109" t="s">
        <v>66</v>
      </c>
      <c r="S372" s="109" t="s">
        <v>66</v>
      </c>
      <c r="T372" s="109" t="s">
        <v>66</v>
      </c>
      <c r="U372" s="109" t="s">
        <v>66</v>
      </c>
      <c r="V372" s="109" t="s">
        <v>66</v>
      </c>
      <c r="W372" s="126" t="str">
        <f>IF(TblDetailBudget[[#This Row],[Level]]=LvlBottomHdr, IF(SUM(TblDetailBudget[[#This Row],[2021 Quant]:[2025 Quant]])&gt;0, SUM(TblDetailBudget[[#This Row],[2021 Quant]:[2025 Quant]]), ""), "")</f>
        <v/>
      </c>
      <c r="X3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2" s="142">
        <f>SUM(TblDetailBudget[[#This Row],[2021 Cost (LCU)]:[2025 Cost (LCU)]])</f>
        <v>0</v>
      </c>
      <c r="AD372" s="135">
        <f>IFERROR(SUM(TblDetailBudget[[#This Row],[2021 Cost (LCU)]])/FX_Rate, "")</f>
        <v>0</v>
      </c>
      <c r="AE372" s="86">
        <f>IFERROR(SUM(TblDetailBudget[[#This Row],[2022 Cost (LCU)]])/FX_Rate, "")</f>
        <v>0</v>
      </c>
      <c r="AF372" s="86">
        <f>IFERROR(SUM(TblDetailBudget[[#This Row],[2023 Cost (LCU)]])/FX_Rate, "")</f>
        <v>0</v>
      </c>
      <c r="AG372" s="86">
        <f>IFERROR(SUM(TblDetailBudget[[#This Row],[2024 Cost (LCU)]])/FX_Rate, "")</f>
        <v>0</v>
      </c>
      <c r="AH372" s="86">
        <f>IFERROR(SUM(TblDetailBudget[[#This Row],[2025 Cost (LCU)]])/FX_Rate, "")</f>
        <v>0</v>
      </c>
      <c r="AI372" s="126">
        <f>SUM(TblDetailBudget[[#This Row],[2021 Cost (USD)]:[2025 Cost (USD)]])</f>
        <v>0</v>
      </c>
      <c r="AJ372" s="180"/>
    </row>
    <row r="373" spans="2:36" ht="12.75" customHeight="1">
      <c r="B373" s="123"/>
      <c r="C3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3" s="85" t="str">
        <f>IF(TblDetailBudget[[#This Row],[Level]]="", "", COUNTIFS($B$8:TblDetailBudget[[#This Row],[Level]], Lvl1Hdr))</f>
        <v/>
      </c>
      <c r="E373" s="85" t="str">
        <f>IF(TblDetailBudget[[#This Row],[Level]]="", "", COUNTIFS($B$8:TblDetailBudget[[#This Row],[Level]], Lvl2Hdr, $D$8:TblDetailBudget[[#This Row],[Lvl 1 Header]], TblDetailBudget[[#This Row],[Lvl 1 Header]]))</f>
        <v/>
      </c>
      <c r="F373" s="85" t="str">
        <f>IF(TblDetailBudget[[#This Row],[Level]]="", "", COUNTIFS($B$8:TblDetailBudget[[#This Row],[Level]], Lvl3Hdr, $D$8:TblDetailBudget[[#This Row],[Lvl 1 Header]], TblDetailBudget[[#This Row],[Lvl 1 Header]], $E$8:TblDetailBudget[[#This Row],[Lvl 2 Header]], TblDetailBudget[[#This Row],[Lvl 2 Header]]))</f>
        <v/>
      </c>
      <c r="G3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3" s="164"/>
      <c r="J373" s="164"/>
      <c r="K373" s="165"/>
      <c r="L373" s="165"/>
      <c r="M373" s="85" t="str">
        <f>IF(TblDetailBudget[[#This Row],[Level]]=LvlBottomHdr, IFERROR(INDEX(TblUnitCost[Unit], MATCH(TblDetailBudget[[#This Row],[Row Title]], TblUnitCost[Resource], 0)), "Invalid Resource"), "")</f>
        <v/>
      </c>
      <c r="N373" s="126" t="str">
        <f>IF(TblDetailBudget[[#This Row],[Level]]=LvlBottomHdr, IFERROR(INDEX(TblUnitCost[LCU], MATCH(TblDetailBudget[[#This Row],[Row Title]], TblUnitCost[Resource], 0)), "Invalid Resource"), "")</f>
        <v/>
      </c>
      <c r="O373" s="130"/>
      <c r="P373" s="109"/>
      <c r="Q373" s="131"/>
      <c r="R373" s="109" t="s">
        <v>66</v>
      </c>
      <c r="S373" s="109" t="s">
        <v>66</v>
      </c>
      <c r="T373" s="109" t="s">
        <v>66</v>
      </c>
      <c r="U373" s="109" t="s">
        <v>66</v>
      </c>
      <c r="V373" s="109" t="s">
        <v>66</v>
      </c>
      <c r="W373" s="126" t="str">
        <f>IF(TblDetailBudget[[#This Row],[Level]]=LvlBottomHdr, IF(SUM(TblDetailBudget[[#This Row],[2021 Quant]:[2025 Quant]])&gt;0, SUM(TblDetailBudget[[#This Row],[2021 Quant]:[2025 Quant]]), ""), "")</f>
        <v/>
      </c>
      <c r="X3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3" s="142">
        <f>SUM(TblDetailBudget[[#This Row],[2021 Cost (LCU)]:[2025 Cost (LCU)]])</f>
        <v>0</v>
      </c>
      <c r="AD373" s="135">
        <f>IFERROR(SUM(TblDetailBudget[[#This Row],[2021 Cost (LCU)]])/FX_Rate, "")</f>
        <v>0</v>
      </c>
      <c r="AE373" s="86">
        <f>IFERROR(SUM(TblDetailBudget[[#This Row],[2022 Cost (LCU)]])/FX_Rate, "")</f>
        <v>0</v>
      </c>
      <c r="AF373" s="86">
        <f>IFERROR(SUM(TblDetailBudget[[#This Row],[2023 Cost (LCU)]])/FX_Rate, "")</f>
        <v>0</v>
      </c>
      <c r="AG373" s="86">
        <f>IFERROR(SUM(TblDetailBudget[[#This Row],[2024 Cost (LCU)]])/FX_Rate, "")</f>
        <v>0</v>
      </c>
      <c r="AH373" s="86">
        <f>IFERROR(SUM(TblDetailBudget[[#This Row],[2025 Cost (LCU)]])/FX_Rate, "")</f>
        <v>0</v>
      </c>
      <c r="AI373" s="126">
        <f>SUM(TblDetailBudget[[#This Row],[2021 Cost (USD)]:[2025 Cost (USD)]])</f>
        <v>0</v>
      </c>
      <c r="AJ373" s="180"/>
    </row>
    <row r="374" spans="2:36" ht="12.75" customHeight="1">
      <c r="B374" s="123"/>
      <c r="C3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4" s="85" t="str">
        <f>IF(TblDetailBudget[[#This Row],[Level]]="", "", COUNTIFS($B$8:TblDetailBudget[[#This Row],[Level]], Lvl1Hdr))</f>
        <v/>
      </c>
      <c r="E374" s="85" t="str">
        <f>IF(TblDetailBudget[[#This Row],[Level]]="", "", COUNTIFS($B$8:TblDetailBudget[[#This Row],[Level]], Lvl2Hdr, $D$8:TblDetailBudget[[#This Row],[Lvl 1 Header]], TblDetailBudget[[#This Row],[Lvl 1 Header]]))</f>
        <v/>
      </c>
      <c r="F374" s="85" t="str">
        <f>IF(TblDetailBudget[[#This Row],[Level]]="", "", COUNTIFS($B$8:TblDetailBudget[[#This Row],[Level]], Lvl3Hdr, $D$8:TblDetailBudget[[#This Row],[Lvl 1 Header]], TblDetailBudget[[#This Row],[Lvl 1 Header]], $E$8:TblDetailBudget[[#This Row],[Lvl 2 Header]], TblDetailBudget[[#This Row],[Lvl 2 Header]]))</f>
        <v/>
      </c>
      <c r="G3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4" s="164"/>
      <c r="J374" s="164"/>
      <c r="K374" s="165"/>
      <c r="L374" s="165"/>
      <c r="M374" s="85" t="str">
        <f>IF(TblDetailBudget[[#This Row],[Level]]=LvlBottomHdr, IFERROR(INDEX(TblUnitCost[Unit], MATCH(TblDetailBudget[[#This Row],[Row Title]], TblUnitCost[Resource], 0)), "Invalid Resource"), "")</f>
        <v/>
      </c>
      <c r="N374" s="126" t="str">
        <f>IF(TblDetailBudget[[#This Row],[Level]]=LvlBottomHdr, IFERROR(INDEX(TblUnitCost[LCU], MATCH(TblDetailBudget[[#This Row],[Row Title]], TblUnitCost[Resource], 0)), "Invalid Resource"), "")</f>
        <v/>
      </c>
      <c r="O374" s="130"/>
      <c r="P374" s="109"/>
      <c r="Q374" s="131"/>
      <c r="R374" s="109" t="s">
        <v>66</v>
      </c>
      <c r="S374" s="109" t="s">
        <v>66</v>
      </c>
      <c r="T374" s="109" t="s">
        <v>66</v>
      </c>
      <c r="U374" s="109" t="s">
        <v>66</v>
      </c>
      <c r="V374" s="109" t="s">
        <v>66</v>
      </c>
      <c r="W374" s="126" t="str">
        <f>IF(TblDetailBudget[[#This Row],[Level]]=LvlBottomHdr, IF(SUM(TblDetailBudget[[#This Row],[2021 Quant]:[2025 Quant]])&gt;0, SUM(TblDetailBudget[[#This Row],[2021 Quant]:[2025 Quant]]), ""), "")</f>
        <v/>
      </c>
      <c r="X3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4" s="142">
        <f>SUM(TblDetailBudget[[#This Row],[2021 Cost (LCU)]:[2025 Cost (LCU)]])</f>
        <v>0</v>
      </c>
      <c r="AD374" s="135">
        <f>IFERROR(SUM(TblDetailBudget[[#This Row],[2021 Cost (LCU)]])/FX_Rate, "")</f>
        <v>0</v>
      </c>
      <c r="AE374" s="86">
        <f>IFERROR(SUM(TblDetailBudget[[#This Row],[2022 Cost (LCU)]])/FX_Rate, "")</f>
        <v>0</v>
      </c>
      <c r="AF374" s="86">
        <f>IFERROR(SUM(TblDetailBudget[[#This Row],[2023 Cost (LCU)]])/FX_Rate, "")</f>
        <v>0</v>
      </c>
      <c r="AG374" s="86">
        <f>IFERROR(SUM(TblDetailBudget[[#This Row],[2024 Cost (LCU)]])/FX_Rate, "")</f>
        <v>0</v>
      </c>
      <c r="AH374" s="86">
        <f>IFERROR(SUM(TblDetailBudget[[#This Row],[2025 Cost (LCU)]])/FX_Rate, "")</f>
        <v>0</v>
      </c>
      <c r="AI374" s="126">
        <f>SUM(TblDetailBudget[[#This Row],[2021 Cost (USD)]:[2025 Cost (USD)]])</f>
        <v>0</v>
      </c>
      <c r="AJ374" s="180"/>
    </row>
    <row r="375" spans="2:36" ht="12.75" customHeight="1">
      <c r="B375" s="123"/>
      <c r="C3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5" s="85" t="str">
        <f>IF(TblDetailBudget[[#This Row],[Level]]="", "", COUNTIFS($B$8:TblDetailBudget[[#This Row],[Level]], Lvl1Hdr))</f>
        <v/>
      </c>
      <c r="E375" s="85" t="str">
        <f>IF(TblDetailBudget[[#This Row],[Level]]="", "", COUNTIFS($B$8:TblDetailBudget[[#This Row],[Level]], Lvl2Hdr, $D$8:TblDetailBudget[[#This Row],[Lvl 1 Header]], TblDetailBudget[[#This Row],[Lvl 1 Header]]))</f>
        <v/>
      </c>
      <c r="F375" s="85" t="str">
        <f>IF(TblDetailBudget[[#This Row],[Level]]="", "", COUNTIFS($B$8:TblDetailBudget[[#This Row],[Level]], Lvl3Hdr, $D$8:TblDetailBudget[[#This Row],[Lvl 1 Header]], TblDetailBudget[[#This Row],[Lvl 1 Header]], $E$8:TblDetailBudget[[#This Row],[Lvl 2 Header]], TblDetailBudget[[#This Row],[Lvl 2 Header]]))</f>
        <v/>
      </c>
      <c r="G3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5" s="164"/>
      <c r="J375" s="164"/>
      <c r="K375" s="165"/>
      <c r="L375" s="165"/>
      <c r="M375" s="85" t="str">
        <f>IF(TblDetailBudget[[#This Row],[Level]]=LvlBottomHdr, IFERROR(INDEX(TblUnitCost[Unit], MATCH(TblDetailBudget[[#This Row],[Row Title]], TblUnitCost[Resource], 0)), "Invalid Resource"), "")</f>
        <v/>
      </c>
      <c r="N375" s="126" t="str">
        <f>IF(TblDetailBudget[[#This Row],[Level]]=LvlBottomHdr, IFERROR(INDEX(TblUnitCost[LCU], MATCH(TblDetailBudget[[#This Row],[Row Title]], TblUnitCost[Resource], 0)), "Invalid Resource"), "")</f>
        <v/>
      </c>
      <c r="O375" s="130"/>
      <c r="P375" s="109"/>
      <c r="Q375" s="131"/>
      <c r="R375" s="109" t="s">
        <v>66</v>
      </c>
      <c r="S375" s="109" t="s">
        <v>66</v>
      </c>
      <c r="T375" s="109" t="s">
        <v>66</v>
      </c>
      <c r="U375" s="109" t="s">
        <v>66</v>
      </c>
      <c r="V375" s="109" t="s">
        <v>66</v>
      </c>
      <c r="W375" s="126" t="str">
        <f>IF(TblDetailBudget[[#This Row],[Level]]=LvlBottomHdr, IF(SUM(TblDetailBudget[[#This Row],[2021 Quant]:[2025 Quant]])&gt;0, SUM(TblDetailBudget[[#This Row],[2021 Quant]:[2025 Quant]]), ""), "")</f>
        <v/>
      </c>
      <c r="X3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5" s="142">
        <f>SUM(TblDetailBudget[[#This Row],[2021 Cost (LCU)]:[2025 Cost (LCU)]])</f>
        <v>0</v>
      </c>
      <c r="AD375" s="135">
        <f>IFERROR(SUM(TblDetailBudget[[#This Row],[2021 Cost (LCU)]])/FX_Rate, "")</f>
        <v>0</v>
      </c>
      <c r="AE375" s="86">
        <f>IFERROR(SUM(TblDetailBudget[[#This Row],[2022 Cost (LCU)]])/FX_Rate, "")</f>
        <v>0</v>
      </c>
      <c r="AF375" s="86">
        <f>IFERROR(SUM(TblDetailBudget[[#This Row],[2023 Cost (LCU)]])/FX_Rate, "")</f>
        <v>0</v>
      </c>
      <c r="AG375" s="86">
        <f>IFERROR(SUM(TblDetailBudget[[#This Row],[2024 Cost (LCU)]])/FX_Rate, "")</f>
        <v>0</v>
      </c>
      <c r="AH375" s="86">
        <f>IFERROR(SUM(TblDetailBudget[[#This Row],[2025 Cost (LCU)]])/FX_Rate, "")</f>
        <v>0</v>
      </c>
      <c r="AI375" s="126">
        <f>SUM(TblDetailBudget[[#This Row],[2021 Cost (USD)]:[2025 Cost (USD)]])</f>
        <v>0</v>
      </c>
      <c r="AJ375" s="180"/>
    </row>
    <row r="376" spans="2:36" ht="12.75" customHeight="1">
      <c r="B376" s="123"/>
      <c r="C3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6" s="85" t="str">
        <f>IF(TblDetailBudget[[#This Row],[Level]]="", "", COUNTIFS($B$8:TblDetailBudget[[#This Row],[Level]], Lvl1Hdr))</f>
        <v/>
      </c>
      <c r="E376" s="85" t="str">
        <f>IF(TblDetailBudget[[#This Row],[Level]]="", "", COUNTIFS($B$8:TblDetailBudget[[#This Row],[Level]], Lvl2Hdr, $D$8:TblDetailBudget[[#This Row],[Lvl 1 Header]], TblDetailBudget[[#This Row],[Lvl 1 Header]]))</f>
        <v/>
      </c>
      <c r="F376" s="85" t="str">
        <f>IF(TblDetailBudget[[#This Row],[Level]]="", "", COUNTIFS($B$8:TblDetailBudget[[#This Row],[Level]], Lvl3Hdr, $D$8:TblDetailBudget[[#This Row],[Lvl 1 Header]], TblDetailBudget[[#This Row],[Lvl 1 Header]], $E$8:TblDetailBudget[[#This Row],[Lvl 2 Header]], TblDetailBudget[[#This Row],[Lvl 2 Header]]))</f>
        <v/>
      </c>
      <c r="G3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6" s="164"/>
      <c r="J376" s="164"/>
      <c r="K376" s="165"/>
      <c r="L376" s="165"/>
      <c r="M376" s="85" t="str">
        <f>IF(TblDetailBudget[[#This Row],[Level]]=LvlBottomHdr, IFERROR(INDEX(TblUnitCost[Unit], MATCH(TblDetailBudget[[#This Row],[Row Title]], TblUnitCost[Resource], 0)), "Invalid Resource"), "")</f>
        <v/>
      </c>
      <c r="N376" s="126" t="str">
        <f>IF(TblDetailBudget[[#This Row],[Level]]=LvlBottomHdr, IFERROR(INDEX(TblUnitCost[LCU], MATCH(TblDetailBudget[[#This Row],[Row Title]], TblUnitCost[Resource], 0)), "Invalid Resource"), "")</f>
        <v/>
      </c>
      <c r="O376" s="130"/>
      <c r="P376" s="109"/>
      <c r="Q376" s="131"/>
      <c r="R376" s="109" t="s">
        <v>66</v>
      </c>
      <c r="S376" s="109" t="s">
        <v>66</v>
      </c>
      <c r="T376" s="109" t="s">
        <v>66</v>
      </c>
      <c r="U376" s="109" t="s">
        <v>66</v>
      </c>
      <c r="V376" s="109" t="s">
        <v>66</v>
      </c>
      <c r="W376" s="126" t="str">
        <f>IF(TblDetailBudget[[#This Row],[Level]]=LvlBottomHdr, IF(SUM(TblDetailBudget[[#This Row],[2021 Quant]:[2025 Quant]])&gt;0, SUM(TblDetailBudget[[#This Row],[2021 Quant]:[2025 Quant]]), ""), "")</f>
        <v/>
      </c>
      <c r="X3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6" s="142">
        <f>SUM(TblDetailBudget[[#This Row],[2021 Cost (LCU)]:[2025 Cost (LCU)]])</f>
        <v>0</v>
      </c>
      <c r="AD376" s="135">
        <f>IFERROR(SUM(TblDetailBudget[[#This Row],[2021 Cost (LCU)]])/FX_Rate, "")</f>
        <v>0</v>
      </c>
      <c r="AE376" s="86">
        <f>IFERROR(SUM(TblDetailBudget[[#This Row],[2022 Cost (LCU)]])/FX_Rate, "")</f>
        <v>0</v>
      </c>
      <c r="AF376" s="86">
        <f>IFERROR(SUM(TblDetailBudget[[#This Row],[2023 Cost (LCU)]])/FX_Rate, "")</f>
        <v>0</v>
      </c>
      <c r="AG376" s="86">
        <f>IFERROR(SUM(TblDetailBudget[[#This Row],[2024 Cost (LCU)]])/FX_Rate, "")</f>
        <v>0</v>
      </c>
      <c r="AH376" s="86">
        <f>IFERROR(SUM(TblDetailBudget[[#This Row],[2025 Cost (LCU)]])/FX_Rate, "")</f>
        <v>0</v>
      </c>
      <c r="AI376" s="126">
        <f>SUM(TblDetailBudget[[#This Row],[2021 Cost (USD)]:[2025 Cost (USD)]])</f>
        <v>0</v>
      </c>
      <c r="AJ376" s="180"/>
    </row>
    <row r="377" spans="2:36" ht="12.75" customHeight="1">
      <c r="B377" s="123"/>
      <c r="C3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7" s="85" t="str">
        <f>IF(TblDetailBudget[[#This Row],[Level]]="", "", COUNTIFS($B$8:TblDetailBudget[[#This Row],[Level]], Lvl1Hdr))</f>
        <v/>
      </c>
      <c r="E377" s="85" t="str">
        <f>IF(TblDetailBudget[[#This Row],[Level]]="", "", COUNTIFS($B$8:TblDetailBudget[[#This Row],[Level]], Lvl2Hdr, $D$8:TblDetailBudget[[#This Row],[Lvl 1 Header]], TblDetailBudget[[#This Row],[Lvl 1 Header]]))</f>
        <v/>
      </c>
      <c r="F377" s="85" t="str">
        <f>IF(TblDetailBudget[[#This Row],[Level]]="", "", COUNTIFS($B$8:TblDetailBudget[[#This Row],[Level]], Lvl3Hdr, $D$8:TblDetailBudget[[#This Row],[Lvl 1 Header]], TblDetailBudget[[#This Row],[Lvl 1 Header]], $E$8:TblDetailBudget[[#This Row],[Lvl 2 Header]], TblDetailBudget[[#This Row],[Lvl 2 Header]]))</f>
        <v/>
      </c>
      <c r="G3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7" s="164"/>
      <c r="J377" s="164"/>
      <c r="K377" s="165"/>
      <c r="L377" s="165"/>
      <c r="M377" s="85" t="str">
        <f>IF(TblDetailBudget[[#This Row],[Level]]=LvlBottomHdr, IFERROR(INDEX(TblUnitCost[Unit], MATCH(TblDetailBudget[[#This Row],[Row Title]], TblUnitCost[Resource], 0)), "Invalid Resource"), "")</f>
        <v/>
      </c>
      <c r="N377" s="126" t="str">
        <f>IF(TblDetailBudget[[#This Row],[Level]]=LvlBottomHdr, IFERROR(INDEX(TblUnitCost[LCU], MATCH(TblDetailBudget[[#This Row],[Row Title]], TblUnitCost[Resource], 0)), "Invalid Resource"), "")</f>
        <v/>
      </c>
      <c r="O377" s="130"/>
      <c r="P377" s="109"/>
      <c r="Q377" s="131"/>
      <c r="R377" s="109" t="s">
        <v>66</v>
      </c>
      <c r="S377" s="109" t="s">
        <v>66</v>
      </c>
      <c r="T377" s="109" t="s">
        <v>66</v>
      </c>
      <c r="U377" s="109" t="s">
        <v>66</v>
      </c>
      <c r="V377" s="109" t="s">
        <v>66</v>
      </c>
      <c r="W377" s="126" t="str">
        <f>IF(TblDetailBudget[[#This Row],[Level]]=LvlBottomHdr, IF(SUM(TblDetailBudget[[#This Row],[2021 Quant]:[2025 Quant]])&gt;0, SUM(TblDetailBudget[[#This Row],[2021 Quant]:[2025 Quant]]), ""), "")</f>
        <v/>
      </c>
      <c r="X3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7" s="142">
        <f>SUM(TblDetailBudget[[#This Row],[2021 Cost (LCU)]:[2025 Cost (LCU)]])</f>
        <v>0</v>
      </c>
      <c r="AD377" s="135">
        <f>IFERROR(SUM(TblDetailBudget[[#This Row],[2021 Cost (LCU)]])/FX_Rate, "")</f>
        <v>0</v>
      </c>
      <c r="AE377" s="86">
        <f>IFERROR(SUM(TblDetailBudget[[#This Row],[2022 Cost (LCU)]])/FX_Rate, "")</f>
        <v>0</v>
      </c>
      <c r="AF377" s="86">
        <f>IFERROR(SUM(TblDetailBudget[[#This Row],[2023 Cost (LCU)]])/FX_Rate, "")</f>
        <v>0</v>
      </c>
      <c r="AG377" s="86">
        <f>IFERROR(SUM(TblDetailBudget[[#This Row],[2024 Cost (LCU)]])/FX_Rate, "")</f>
        <v>0</v>
      </c>
      <c r="AH377" s="86">
        <f>IFERROR(SUM(TblDetailBudget[[#This Row],[2025 Cost (LCU)]])/FX_Rate, "")</f>
        <v>0</v>
      </c>
      <c r="AI377" s="126">
        <f>SUM(TblDetailBudget[[#This Row],[2021 Cost (USD)]:[2025 Cost (USD)]])</f>
        <v>0</v>
      </c>
      <c r="AJ377" s="180"/>
    </row>
    <row r="378" spans="2:36" ht="12.75" customHeight="1">
      <c r="B378" s="123"/>
      <c r="C3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8" s="85" t="str">
        <f>IF(TblDetailBudget[[#This Row],[Level]]="", "", COUNTIFS($B$8:TblDetailBudget[[#This Row],[Level]], Lvl1Hdr))</f>
        <v/>
      </c>
      <c r="E378" s="85" t="str">
        <f>IF(TblDetailBudget[[#This Row],[Level]]="", "", COUNTIFS($B$8:TblDetailBudget[[#This Row],[Level]], Lvl2Hdr, $D$8:TblDetailBudget[[#This Row],[Lvl 1 Header]], TblDetailBudget[[#This Row],[Lvl 1 Header]]))</f>
        <v/>
      </c>
      <c r="F378" s="85" t="str">
        <f>IF(TblDetailBudget[[#This Row],[Level]]="", "", COUNTIFS($B$8:TblDetailBudget[[#This Row],[Level]], Lvl3Hdr, $D$8:TblDetailBudget[[#This Row],[Lvl 1 Header]], TblDetailBudget[[#This Row],[Lvl 1 Header]], $E$8:TblDetailBudget[[#This Row],[Lvl 2 Header]], TblDetailBudget[[#This Row],[Lvl 2 Header]]))</f>
        <v/>
      </c>
      <c r="G3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8" s="164"/>
      <c r="J378" s="164"/>
      <c r="K378" s="165"/>
      <c r="L378" s="165"/>
      <c r="M378" s="85" t="str">
        <f>IF(TblDetailBudget[[#This Row],[Level]]=LvlBottomHdr, IFERROR(INDEX(TblUnitCost[Unit], MATCH(TblDetailBudget[[#This Row],[Row Title]], TblUnitCost[Resource], 0)), "Invalid Resource"), "")</f>
        <v/>
      </c>
      <c r="N378" s="126" t="str">
        <f>IF(TblDetailBudget[[#This Row],[Level]]=LvlBottomHdr, IFERROR(INDEX(TblUnitCost[LCU], MATCH(TblDetailBudget[[#This Row],[Row Title]], TblUnitCost[Resource], 0)), "Invalid Resource"), "")</f>
        <v/>
      </c>
      <c r="O378" s="130"/>
      <c r="P378" s="109"/>
      <c r="Q378" s="131"/>
      <c r="R378" s="109" t="s">
        <v>66</v>
      </c>
      <c r="S378" s="109" t="s">
        <v>66</v>
      </c>
      <c r="T378" s="109" t="s">
        <v>66</v>
      </c>
      <c r="U378" s="109" t="s">
        <v>66</v>
      </c>
      <c r="V378" s="109" t="s">
        <v>66</v>
      </c>
      <c r="W378" s="126" t="str">
        <f>IF(TblDetailBudget[[#This Row],[Level]]=LvlBottomHdr, IF(SUM(TblDetailBudget[[#This Row],[2021 Quant]:[2025 Quant]])&gt;0, SUM(TblDetailBudget[[#This Row],[2021 Quant]:[2025 Quant]]), ""), "")</f>
        <v/>
      </c>
      <c r="X3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8" s="142">
        <f>SUM(TblDetailBudget[[#This Row],[2021 Cost (LCU)]:[2025 Cost (LCU)]])</f>
        <v>0</v>
      </c>
      <c r="AD378" s="135">
        <f>IFERROR(SUM(TblDetailBudget[[#This Row],[2021 Cost (LCU)]])/FX_Rate, "")</f>
        <v>0</v>
      </c>
      <c r="AE378" s="86">
        <f>IFERROR(SUM(TblDetailBudget[[#This Row],[2022 Cost (LCU)]])/FX_Rate, "")</f>
        <v>0</v>
      </c>
      <c r="AF378" s="86">
        <f>IFERROR(SUM(TblDetailBudget[[#This Row],[2023 Cost (LCU)]])/FX_Rate, "")</f>
        <v>0</v>
      </c>
      <c r="AG378" s="86">
        <f>IFERROR(SUM(TblDetailBudget[[#This Row],[2024 Cost (LCU)]])/FX_Rate, "")</f>
        <v>0</v>
      </c>
      <c r="AH378" s="86">
        <f>IFERROR(SUM(TblDetailBudget[[#This Row],[2025 Cost (LCU)]])/FX_Rate, "")</f>
        <v>0</v>
      </c>
      <c r="AI378" s="126">
        <f>SUM(TblDetailBudget[[#This Row],[2021 Cost (USD)]:[2025 Cost (USD)]])</f>
        <v>0</v>
      </c>
      <c r="AJ378" s="180"/>
    </row>
    <row r="379" spans="2:36" ht="12.75" customHeight="1">
      <c r="B379" s="123"/>
      <c r="C3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9" s="85" t="str">
        <f>IF(TblDetailBudget[[#This Row],[Level]]="", "", COUNTIFS($B$8:TblDetailBudget[[#This Row],[Level]], Lvl1Hdr))</f>
        <v/>
      </c>
      <c r="E379" s="85" t="str">
        <f>IF(TblDetailBudget[[#This Row],[Level]]="", "", COUNTIFS($B$8:TblDetailBudget[[#This Row],[Level]], Lvl2Hdr, $D$8:TblDetailBudget[[#This Row],[Lvl 1 Header]], TblDetailBudget[[#This Row],[Lvl 1 Header]]))</f>
        <v/>
      </c>
      <c r="F379" s="85" t="str">
        <f>IF(TblDetailBudget[[#This Row],[Level]]="", "", COUNTIFS($B$8:TblDetailBudget[[#This Row],[Level]], Lvl3Hdr, $D$8:TblDetailBudget[[#This Row],[Lvl 1 Header]], TblDetailBudget[[#This Row],[Lvl 1 Header]], $E$8:TblDetailBudget[[#This Row],[Lvl 2 Header]], TblDetailBudget[[#This Row],[Lvl 2 Header]]))</f>
        <v/>
      </c>
      <c r="G3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9" s="164"/>
      <c r="J379" s="164"/>
      <c r="K379" s="165"/>
      <c r="L379" s="165"/>
      <c r="M379" s="85" t="str">
        <f>IF(TblDetailBudget[[#This Row],[Level]]=LvlBottomHdr, IFERROR(INDEX(TblUnitCost[Unit], MATCH(TblDetailBudget[[#This Row],[Row Title]], TblUnitCost[Resource], 0)), "Invalid Resource"), "")</f>
        <v/>
      </c>
      <c r="N379" s="126" t="str">
        <f>IF(TblDetailBudget[[#This Row],[Level]]=LvlBottomHdr, IFERROR(INDEX(TblUnitCost[LCU], MATCH(TblDetailBudget[[#This Row],[Row Title]], TblUnitCost[Resource], 0)), "Invalid Resource"), "")</f>
        <v/>
      </c>
      <c r="O379" s="130"/>
      <c r="P379" s="109"/>
      <c r="Q379" s="131"/>
      <c r="R379" s="109" t="s">
        <v>66</v>
      </c>
      <c r="S379" s="109" t="s">
        <v>66</v>
      </c>
      <c r="T379" s="109" t="s">
        <v>66</v>
      </c>
      <c r="U379" s="109" t="s">
        <v>66</v>
      </c>
      <c r="V379" s="109" t="s">
        <v>66</v>
      </c>
      <c r="W379" s="126" t="str">
        <f>IF(TblDetailBudget[[#This Row],[Level]]=LvlBottomHdr, IF(SUM(TblDetailBudget[[#This Row],[2021 Quant]:[2025 Quant]])&gt;0, SUM(TblDetailBudget[[#This Row],[2021 Quant]:[2025 Quant]]), ""), "")</f>
        <v/>
      </c>
      <c r="X3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9" s="142">
        <f>SUM(TblDetailBudget[[#This Row],[2021 Cost (LCU)]:[2025 Cost (LCU)]])</f>
        <v>0</v>
      </c>
      <c r="AD379" s="135">
        <f>IFERROR(SUM(TblDetailBudget[[#This Row],[2021 Cost (LCU)]])/FX_Rate, "")</f>
        <v>0</v>
      </c>
      <c r="AE379" s="86">
        <f>IFERROR(SUM(TblDetailBudget[[#This Row],[2022 Cost (LCU)]])/FX_Rate, "")</f>
        <v>0</v>
      </c>
      <c r="AF379" s="86">
        <f>IFERROR(SUM(TblDetailBudget[[#This Row],[2023 Cost (LCU)]])/FX_Rate, "")</f>
        <v>0</v>
      </c>
      <c r="AG379" s="86">
        <f>IFERROR(SUM(TblDetailBudget[[#This Row],[2024 Cost (LCU)]])/FX_Rate, "")</f>
        <v>0</v>
      </c>
      <c r="AH379" s="86">
        <f>IFERROR(SUM(TblDetailBudget[[#This Row],[2025 Cost (LCU)]])/FX_Rate, "")</f>
        <v>0</v>
      </c>
      <c r="AI379" s="126">
        <f>SUM(TblDetailBudget[[#This Row],[2021 Cost (USD)]:[2025 Cost (USD)]])</f>
        <v>0</v>
      </c>
      <c r="AJ379" s="180"/>
    </row>
    <row r="380" spans="2:36" ht="12.75" customHeight="1">
      <c r="B380" s="123"/>
      <c r="C3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0" s="85" t="str">
        <f>IF(TblDetailBudget[[#This Row],[Level]]="", "", COUNTIFS($B$8:TblDetailBudget[[#This Row],[Level]], Lvl1Hdr))</f>
        <v/>
      </c>
      <c r="E380" s="85" t="str">
        <f>IF(TblDetailBudget[[#This Row],[Level]]="", "", COUNTIFS($B$8:TblDetailBudget[[#This Row],[Level]], Lvl2Hdr, $D$8:TblDetailBudget[[#This Row],[Lvl 1 Header]], TblDetailBudget[[#This Row],[Lvl 1 Header]]))</f>
        <v/>
      </c>
      <c r="F380" s="85" t="str">
        <f>IF(TblDetailBudget[[#This Row],[Level]]="", "", COUNTIFS($B$8:TblDetailBudget[[#This Row],[Level]], Lvl3Hdr, $D$8:TblDetailBudget[[#This Row],[Lvl 1 Header]], TblDetailBudget[[#This Row],[Lvl 1 Header]], $E$8:TblDetailBudget[[#This Row],[Lvl 2 Header]], TblDetailBudget[[#This Row],[Lvl 2 Header]]))</f>
        <v/>
      </c>
      <c r="G3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0" s="164"/>
      <c r="J380" s="164"/>
      <c r="K380" s="165"/>
      <c r="L380" s="165"/>
      <c r="M380" s="85" t="str">
        <f>IF(TblDetailBudget[[#This Row],[Level]]=LvlBottomHdr, IFERROR(INDEX(TblUnitCost[Unit], MATCH(TblDetailBudget[[#This Row],[Row Title]], TblUnitCost[Resource], 0)), "Invalid Resource"), "")</f>
        <v/>
      </c>
      <c r="N380" s="126" t="str">
        <f>IF(TblDetailBudget[[#This Row],[Level]]=LvlBottomHdr, IFERROR(INDEX(TblUnitCost[LCU], MATCH(TblDetailBudget[[#This Row],[Row Title]], TblUnitCost[Resource], 0)), "Invalid Resource"), "")</f>
        <v/>
      </c>
      <c r="O380" s="130"/>
      <c r="P380" s="109"/>
      <c r="Q380" s="131"/>
      <c r="R380" s="109" t="s">
        <v>66</v>
      </c>
      <c r="S380" s="109" t="s">
        <v>66</v>
      </c>
      <c r="T380" s="109" t="s">
        <v>66</v>
      </c>
      <c r="U380" s="109" t="s">
        <v>66</v>
      </c>
      <c r="V380" s="109" t="s">
        <v>66</v>
      </c>
      <c r="W380" s="126" t="str">
        <f>IF(TblDetailBudget[[#This Row],[Level]]=LvlBottomHdr, IF(SUM(TblDetailBudget[[#This Row],[2021 Quant]:[2025 Quant]])&gt;0, SUM(TblDetailBudget[[#This Row],[2021 Quant]:[2025 Quant]]), ""), "")</f>
        <v/>
      </c>
      <c r="X3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0" s="142">
        <f>SUM(TblDetailBudget[[#This Row],[2021 Cost (LCU)]:[2025 Cost (LCU)]])</f>
        <v>0</v>
      </c>
      <c r="AD380" s="135">
        <f>IFERROR(SUM(TblDetailBudget[[#This Row],[2021 Cost (LCU)]])/FX_Rate, "")</f>
        <v>0</v>
      </c>
      <c r="AE380" s="86">
        <f>IFERROR(SUM(TblDetailBudget[[#This Row],[2022 Cost (LCU)]])/FX_Rate, "")</f>
        <v>0</v>
      </c>
      <c r="AF380" s="86">
        <f>IFERROR(SUM(TblDetailBudget[[#This Row],[2023 Cost (LCU)]])/FX_Rate, "")</f>
        <v>0</v>
      </c>
      <c r="AG380" s="86">
        <f>IFERROR(SUM(TblDetailBudget[[#This Row],[2024 Cost (LCU)]])/FX_Rate, "")</f>
        <v>0</v>
      </c>
      <c r="AH380" s="86">
        <f>IFERROR(SUM(TblDetailBudget[[#This Row],[2025 Cost (LCU)]])/FX_Rate, "")</f>
        <v>0</v>
      </c>
      <c r="AI380" s="126">
        <f>SUM(TblDetailBudget[[#This Row],[2021 Cost (USD)]:[2025 Cost (USD)]])</f>
        <v>0</v>
      </c>
      <c r="AJ380" s="180"/>
    </row>
    <row r="381" spans="2:36" ht="12.75" customHeight="1">
      <c r="B381" s="123"/>
      <c r="C3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1" s="85" t="str">
        <f>IF(TblDetailBudget[[#This Row],[Level]]="", "", COUNTIFS($B$8:TblDetailBudget[[#This Row],[Level]], Lvl1Hdr))</f>
        <v/>
      </c>
      <c r="E381" s="85" t="str">
        <f>IF(TblDetailBudget[[#This Row],[Level]]="", "", COUNTIFS($B$8:TblDetailBudget[[#This Row],[Level]], Lvl2Hdr, $D$8:TblDetailBudget[[#This Row],[Lvl 1 Header]], TblDetailBudget[[#This Row],[Lvl 1 Header]]))</f>
        <v/>
      </c>
      <c r="F381" s="85" t="str">
        <f>IF(TblDetailBudget[[#This Row],[Level]]="", "", COUNTIFS($B$8:TblDetailBudget[[#This Row],[Level]], Lvl3Hdr, $D$8:TblDetailBudget[[#This Row],[Lvl 1 Header]], TblDetailBudget[[#This Row],[Lvl 1 Header]], $E$8:TblDetailBudget[[#This Row],[Lvl 2 Header]], TblDetailBudget[[#This Row],[Lvl 2 Header]]))</f>
        <v/>
      </c>
      <c r="G3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1" s="164"/>
      <c r="J381" s="164"/>
      <c r="K381" s="165"/>
      <c r="L381" s="165"/>
      <c r="M381" s="85" t="str">
        <f>IF(TblDetailBudget[[#This Row],[Level]]=LvlBottomHdr, IFERROR(INDEX(TblUnitCost[Unit], MATCH(TblDetailBudget[[#This Row],[Row Title]], TblUnitCost[Resource], 0)), "Invalid Resource"), "")</f>
        <v/>
      </c>
      <c r="N381" s="126" t="str">
        <f>IF(TblDetailBudget[[#This Row],[Level]]=LvlBottomHdr, IFERROR(INDEX(TblUnitCost[LCU], MATCH(TblDetailBudget[[#This Row],[Row Title]], TblUnitCost[Resource], 0)), "Invalid Resource"), "")</f>
        <v/>
      </c>
      <c r="O381" s="130"/>
      <c r="P381" s="109"/>
      <c r="Q381" s="131"/>
      <c r="R381" s="109" t="s">
        <v>66</v>
      </c>
      <c r="S381" s="109" t="s">
        <v>66</v>
      </c>
      <c r="T381" s="109" t="s">
        <v>66</v>
      </c>
      <c r="U381" s="109" t="s">
        <v>66</v>
      </c>
      <c r="V381" s="109" t="s">
        <v>66</v>
      </c>
      <c r="W381" s="126" t="str">
        <f>IF(TblDetailBudget[[#This Row],[Level]]=LvlBottomHdr, IF(SUM(TblDetailBudget[[#This Row],[2021 Quant]:[2025 Quant]])&gt;0, SUM(TblDetailBudget[[#This Row],[2021 Quant]:[2025 Quant]]), ""), "")</f>
        <v/>
      </c>
      <c r="X3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1" s="142">
        <f>SUM(TblDetailBudget[[#This Row],[2021 Cost (LCU)]:[2025 Cost (LCU)]])</f>
        <v>0</v>
      </c>
      <c r="AD381" s="135">
        <f>IFERROR(SUM(TblDetailBudget[[#This Row],[2021 Cost (LCU)]])/FX_Rate, "")</f>
        <v>0</v>
      </c>
      <c r="AE381" s="86">
        <f>IFERROR(SUM(TblDetailBudget[[#This Row],[2022 Cost (LCU)]])/FX_Rate, "")</f>
        <v>0</v>
      </c>
      <c r="AF381" s="86">
        <f>IFERROR(SUM(TblDetailBudget[[#This Row],[2023 Cost (LCU)]])/FX_Rate, "")</f>
        <v>0</v>
      </c>
      <c r="AG381" s="86">
        <f>IFERROR(SUM(TblDetailBudget[[#This Row],[2024 Cost (LCU)]])/FX_Rate, "")</f>
        <v>0</v>
      </c>
      <c r="AH381" s="86">
        <f>IFERROR(SUM(TblDetailBudget[[#This Row],[2025 Cost (LCU)]])/FX_Rate, "")</f>
        <v>0</v>
      </c>
      <c r="AI381" s="126">
        <f>SUM(TblDetailBudget[[#This Row],[2021 Cost (USD)]:[2025 Cost (USD)]])</f>
        <v>0</v>
      </c>
      <c r="AJ381" s="180"/>
    </row>
    <row r="382" spans="2:36" ht="12.75" customHeight="1">
      <c r="B382" s="123"/>
      <c r="C3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2" s="85" t="str">
        <f>IF(TblDetailBudget[[#This Row],[Level]]="", "", COUNTIFS($B$8:TblDetailBudget[[#This Row],[Level]], Lvl1Hdr))</f>
        <v/>
      </c>
      <c r="E382" s="85" t="str">
        <f>IF(TblDetailBudget[[#This Row],[Level]]="", "", COUNTIFS($B$8:TblDetailBudget[[#This Row],[Level]], Lvl2Hdr, $D$8:TblDetailBudget[[#This Row],[Lvl 1 Header]], TblDetailBudget[[#This Row],[Lvl 1 Header]]))</f>
        <v/>
      </c>
      <c r="F382" s="85" t="str">
        <f>IF(TblDetailBudget[[#This Row],[Level]]="", "", COUNTIFS($B$8:TblDetailBudget[[#This Row],[Level]], Lvl3Hdr, $D$8:TblDetailBudget[[#This Row],[Lvl 1 Header]], TblDetailBudget[[#This Row],[Lvl 1 Header]], $E$8:TblDetailBudget[[#This Row],[Lvl 2 Header]], TblDetailBudget[[#This Row],[Lvl 2 Header]]))</f>
        <v/>
      </c>
      <c r="G3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2" s="164"/>
      <c r="J382" s="164"/>
      <c r="K382" s="165"/>
      <c r="L382" s="165"/>
      <c r="M382" s="85" t="str">
        <f>IF(TblDetailBudget[[#This Row],[Level]]=LvlBottomHdr, IFERROR(INDEX(TblUnitCost[Unit], MATCH(TblDetailBudget[[#This Row],[Row Title]], TblUnitCost[Resource], 0)), "Invalid Resource"), "")</f>
        <v/>
      </c>
      <c r="N382" s="126" t="str">
        <f>IF(TblDetailBudget[[#This Row],[Level]]=LvlBottomHdr, IFERROR(INDEX(TblUnitCost[LCU], MATCH(TblDetailBudget[[#This Row],[Row Title]], TblUnitCost[Resource], 0)), "Invalid Resource"), "")</f>
        <v/>
      </c>
      <c r="O382" s="130"/>
      <c r="P382" s="109"/>
      <c r="Q382" s="131"/>
      <c r="R382" s="109" t="s">
        <v>66</v>
      </c>
      <c r="S382" s="109" t="s">
        <v>66</v>
      </c>
      <c r="T382" s="109" t="s">
        <v>66</v>
      </c>
      <c r="U382" s="109" t="s">
        <v>66</v>
      </c>
      <c r="V382" s="109" t="s">
        <v>66</v>
      </c>
      <c r="W382" s="126" t="str">
        <f>IF(TblDetailBudget[[#This Row],[Level]]=LvlBottomHdr, IF(SUM(TblDetailBudget[[#This Row],[2021 Quant]:[2025 Quant]])&gt;0, SUM(TblDetailBudget[[#This Row],[2021 Quant]:[2025 Quant]]), ""), "")</f>
        <v/>
      </c>
      <c r="X3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2" s="142">
        <f>SUM(TblDetailBudget[[#This Row],[2021 Cost (LCU)]:[2025 Cost (LCU)]])</f>
        <v>0</v>
      </c>
      <c r="AD382" s="135">
        <f>IFERROR(SUM(TblDetailBudget[[#This Row],[2021 Cost (LCU)]])/FX_Rate, "")</f>
        <v>0</v>
      </c>
      <c r="AE382" s="86">
        <f>IFERROR(SUM(TblDetailBudget[[#This Row],[2022 Cost (LCU)]])/FX_Rate, "")</f>
        <v>0</v>
      </c>
      <c r="AF382" s="86">
        <f>IFERROR(SUM(TblDetailBudget[[#This Row],[2023 Cost (LCU)]])/FX_Rate, "")</f>
        <v>0</v>
      </c>
      <c r="AG382" s="86">
        <f>IFERROR(SUM(TblDetailBudget[[#This Row],[2024 Cost (LCU)]])/FX_Rate, "")</f>
        <v>0</v>
      </c>
      <c r="AH382" s="86">
        <f>IFERROR(SUM(TblDetailBudget[[#This Row],[2025 Cost (LCU)]])/FX_Rate, "")</f>
        <v>0</v>
      </c>
      <c r="AI382" s="126">
        <f>SUM(TblDetailBudget[[#This Row],[2021 Cost (USD)]:[2025 Cost (USD)]])</f>
        <v>0</v>
      </c>
      <c r="AJ382" s="180"/>
    </row>
    <row r="383" spans="2:36" ht="12.75" customHeight="1">
      <c r="B383" s="123"/>
      <c r="C3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3" s="85" t="str">
        <f>IF(TblDetailBudget[[#This Row],[Level]]="", "", COUNTIFS($B$8:TblDetailBudget[[#This Row],[Level]], Lvl1Hdr))</f>
        <v/>
      </c>
      <c r="E383" s="85" t="str">
        <f>IF(TblDetailBudget[[#This Row],[Level]]="", "", COUNTIFS($B$8:TblDetailBudget[[#This Row],[Level]], Lvl2Hdr, $D$8:TblDetailBudget[[#This Row],[Lvl 1 Header]], TblDetailBudget[[#This Row],[Lvl 1 Header]]))</f>
        <v/>
      </c>
      <c r="F383" s="85" t="str">
        <f>IF(TblDetailBudget[[#This Row],[Level]]="", "", COUNTIFS($B$8:TblDetailBudget[[#This Row],[Level]], Lvl3Hdr, $D$8:TblDetailBudget[[#This Row],[Lvl 1 Header]], TblDetailBudget[[#This Row],[Lvl 1 Header]], $E$8:TblDetailBudget[[#This Row],[Lvl 2 Header]], TblDetailBudget[[#This Row],[Lvl 2 Header]]))</f>
        <v/>
      </c>
      <c r="G3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3" s="164"/>
      <c r="J383" s="164"/>
      <c r="K383" s="165"/>
      <c r="L383" s="165"/>
      <c r="M383" s="85" t="str">
        <f>IF(TblDetailBudget[[#This Row],[Level]]=LvlBottomHdr, IFERROR(INDEX(TblUnitCost[Unit], MATCH(TblDetailBudget[[#This Row],[Row Title]], TblUnitCost[Resource], 0)), "Invalid Resource"), "")</f>
        <v/>
      </c>
      <c r="N383" s="126" t="str">
        <f>IF(TblDetailBudget[[#This Row],[Level]]=LvlBottomHdr, IFERROR(INDEX(TblUnitCost[LCU], MATCH(TblDetailBudget[[#This Row],[Row Title]], TblUnitCost[Resource], 0)), "Invalid Resource"), "")</f>
        <v/>
      </c>
      <c r="O383" s="130"/>
      <c r="P383" s="109"/>
      <c r="Q383" s="131"/>
      <c r="R383" s="109" t="s">
        <v>66</v>
      </c>
      <c r="S383" s="109" t="s">
        <v>66</v>
      </c>
      <c r="T383" s="109" t="s">
        <v>66</v>
      </c>
      <c r="U383" s="109" t="s">
        <v>66</v>
      </c>
      <c r="V383" s="109" t="s">
        <v>66</v>
      </c>
      <c r="W383" s="126" t="str">
        <f>IF(TblDetailBudget[[#This Row],[Level]]=LvlBottomHdr, IF(SUM(TblDetailBudget[[#This Row],[2021 Quant]:[2025 Quant]])&gt;0, SUM(TblDetailBudget[[#This Row],[2021 Quant]:[2025 Quant]]), ""), "")</f>
        <v/>
      </c>
      <c r="X3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3" s="142">
        <f>SUM(TblDetailBudget[[#This Row],[2021 Cost (LCU)]:[2025 Cost (LCU)]])</f>
        <v>0</v>
      </c>
      <c r="AD383" s="135">
        <f>IFERROR(SUM(TblDetailBudget[[#This Row],[2021 Cost (LCU)]])/FX_Rate, "")</f>
        <v>0</v>
      </c>
      <c r="AE383" s="86">
        <f>IFERROR(SUM(TblDetailBudget[[#This Row],[2022 Cost (LCU)]])/FX_Rate, "")</f>
        <v>0</v>
      </c>
      <c r="AF383" s="86">
        <f>IFERROR(SUM(TblDetailBudget[[#This Row],[2023 Cost (LCU)]])/FX_Rate, "")</f>
        <v>0</v>
      </c>
      <c r="AG383" s="86">
        <f>IFERROR(SUM(TblDetailBudget[[#This Row],[2024 Cost (LCU)]])/FX_Rate, "")</f>
        <v>0</v>
      </c>
      <c r="AH383" s="86">
        <f>IFERROR(SUM(TblDetailBudget[[#This Row],[2025 Cost (LCU)]])/FX_Rate, "")</f>
        <v>0</v>
      </c>
      <c r="AI383" s="126">
        <f>SUM(TblDetailBudget[[#This Row],[2021 Cost (USD)]:[2025 Cost (USD)]])</f>
        <v>0</v>
      </c>
      <c r="AJ383" s="180"/>
    </row>
    <row r="384" spans="2:36" ht="12.75" customHeight="1">
      <c r="B384" s="123"/>
      <c r="C3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4" s="85" t="str">
        <f>IF(TblDetailBudget[[#This Row],[Level]]="", "", COUNTIFS($B$8:TblDetailBudget[[#This Row],[Level]], Lvl1Hdr))</f>
        <v/>
      </c>
      <c r="E384" s="85" t="str">
        <f>IF(TblDetailBudget[[#This Row],[Level]]="", "", COUNTIFS($B$8:TblDetailBudget[[#This Row],[Level]], Lvl2Hdr, $D$8:TblDetailBudget[[#This Row],[Lvl 1 Header]], TblDetailBudget[[#This Row],[Lvl 1 Header]]))</f>
        <v/>
      </c>
      <c r="F384" s="85" t="str">
        <f>IF(TblDetailBudget[[#This Row],[Level]]="", "", COUNTIFS($B$8:TblDetailBudget[[#This Row],[Level]], Lvl3Hdr, $D$8:TblDetailBudget[[#This Row],[Lvl 1 Header]], TblDetailBudget[[#This Row],[Lvl 1 Header]], $E$8:TblDetailBudget[[#This Row],[Lvl 2 Header]], TblDetailBudget[[#This Row],[Lvl 2 Header]]))</f>
        <v/>
      </c>
      <c r="G3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4" s="164"/>
      <c r="J384" s="164"/>
      <c r="K384" s="165"/>
      <c r="L384" s="165"/>
      <c r="M384" s="85" t="str">
        <f>IF(TblDetailBudget[[#This Row],[Level]]=LvlBottomHdr, IFERROR(INDEX(TblUnitCost[Unit], MATCH(TblDetailBudget[[#This Row],[Row Title]], TblUnitCost[Resource], 0)), "Invalid Resource"), "")</f>
        <v/>
      </c>
      <c r="N384" s="126" t="str">
        <f>IF(TblDetailBudget[[#This Row],[Level]]=LvlBottomHdr, IFERROR(INDEX(TblUnitCost[LCU], MATCH(TblDetailBudget[[#This Row],[Row Title]], TblUnitCost[Resource], 0)), "Invalid Resource"), "")</f>
        <v/>
      </c>
      <c r="O384" s="130"/>
      <c r="P384" s="109"/>
      <c r="Q384" s="131"/>
      <c r="R384" s="109" t="s">
        <v>66</v>
      </c>
      <c r="S384" s="109" t="s">
        <v>66</v>
      </c>
      <c r="T384" s="109" t="s">
        <v>66</v>
      </c>
      <c r="U384" s="109" t="s">
        <v>66</v>
      </c>
      <c r="V384" s="109" t="s">
        <v>66</v>
      </c>
      <c r="W384" s="126" t="str">
        <f>IF(TblDetailBudget[[#This Row],[Level]]=LvlBottomHdr, IF(SUM(TblDetailBudget[[#This Row],[2021 Quant]:[2025 Quant]])&gt;0, SUM(TblDetailBudget[[#This Row],[2021 Quant]:[2025 Quant]]), ""), "")</f>
        <v/>
      </c>
      <c r="X3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4" s="142">
        <f>SUM(TblDetailBudget[[#This Row],[2021 Cost (LCU)]:[2025 Cost (LCU)]])</f>
        <v>0</v>
      </c>
      <c r="AD384" s="135">
        <f>IFERROR(SUM(TblDetailBudget[[#This Row],[2021 Cost (LCU)]])/FX_Rate, "")</f>
        <v>0</v>
      </c>
      <c r="AE384" s="86">
        <f>IFERROR(SUM(TblDetailBudget[[#This Row],[2022 Cost (LCU)]])/FX_Rate, "")</f>
        <v>0</v>
      </c>
      <c r="AF384" s="86">
        <f>IFERROR(SUM(TblDetailBudget[[#This Row],[2023 Cost (LCU)]])/FX_Rate, "")</f>
        <v>0</v>
      </c>
      <c r="AG384" s="86">
        <f>IFERROR(SUM(TblDetailBudget[[#This Row],[2024 Cost (LCU)]])/FX_Rate, "")</f>
        <v>0</v>
      </c>
      <c r="AH384" s="86">
        <f>IFERROR(SUM(TblDetailBudget[[#This Row],[2025 Cost (LCU)]])/FX_Rate, "")</f>
        <v>0</v>
      </c>
      <c r="AI384" s="126">
        <f>SUM(TblDetailBudget[[#This Row],[2021 Cost (USD)]:[2025 Cost (USD)]])</f>
        <v>0</v>
      </c>
      <c r="AJ384" s="180"/>
    </row>
    <row r="385" spans="2:36" ht="12.75" customHeight="1">
      <c r="B385" s="123"/>
      <c r="C3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5" s="85" t="str">
        <f>IF(TblDetailBudget[[#This Row],[Level]]="", "", COUNTIFS($B$8:TblDetailBudget[[#This Row],[Level]], Lvl1Hdr))</f>
        <v/>
      </c>
      <c r="E385" s="85" t="str">
        <f>IF(TblDetailBudget[[#This Row],[Level]]="", "", COUNTIFS($B$8:TblDetailBudget[[#This Row],[Level]], Lvl2Hdr, $D$8:TblDetailBudget[[#This Row],[Lvl 1 Header]], TblDetailBudget[[#This Row],[Lvl 1 Header]]))</f>
        <v/>
      </c>
      <c r="F385" s="85" t="str">
        <f>IF(TblDetailBudget[[#This Row],[Level]]="", "", COUNTIFS($B$8:TblDetailBudget[[#This Row],[Level]], Lvl3Hdr, $D$8:TblDetailBudget[[#This Row],[Lvl 1 Header]], TblDetailBudget[[#This Row],[Lvl 1 Header]], $E$8:TblDetailBudget[[#This Row],[Lvl 2 Header]], TblDetailBudget[[#This Row],[Lvl 2 Header]]))</f>
        <v/>
      </c>
      <c r="G3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5" s="164"/>
      <c r="J385" s="164"/>
      <c r="K385" s="165"/>
      <c r="L385" s="165"/>
      <c r="M385" s="85" t="str">
        <f>IF(TblDetailBudget[[#This Row],[Level]]=LvlBottomHdr, IFERROR(INDEX(TblUnitCost[Unit], MATCH(TblDetailBudget[[#This Row],[Row Title]], TblUnitCost[Resource], 0)), "Invalid Resource"), "")</f>
        <v/>
      </c>
      <c r="N385" s="126" t="str">
        <f>IF(TblDetailBudget[[#This Row],[Level]]=LvlBottomHdr, IFERROR(INDEX(TblUnitCost[LCU], MATCH(TblDetailBudget[[#This Row],[Row Title]], TblUnitCost[Resource], 0)), "Invalid Resource"), "")</f>
        <v/>
      </c>
      <c r="O385" s="130"/>
      <c r="P385" s="109"/>
      <c r="Q385" s="131"/>
      <c r="R385" s="109" t="s">
        <v>66</v>
      </c>
      <c r="S385" s="109" t="s">
        <v>66</v>
      </c>
      <c r="T385" s="109" t="s">
        <v>66</v>
      </c>
      <c r="U385" s="109" t="s">
        <v>66</v>
      </c>
      <c r="V385" s="109" t="s">
        <v>66</v>
      </c>
      <c r="W385" s="126" t="str">
        <f>IF(TblDetailBudget[[#This Row],[Level]]=LvlBottomHdr, IF(SUM(TblDetailBudget[[#This Row],[2021 Quant]:[2025 Quant]])&gt;0, SUM(TblDetailBudget[[#This Row],[2021 Quant]:[2025 Quant]]), ""), "")</f>
        <v/>
      </c>
      <c r="X3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5" s="142">
        <f>SUM(TblDetailBudget[[#This Row],[2021 Cost (LCU)]:[2025 Cost (LCU)]])</f>
        <v>0</v>
      </c>
      <c r="AD385" s="135">
        <f>IFERROR(SUM(TblDetailBudget[[#This Row],[2021 Cost (LCU)]])/FX_Rate, "")</f>
        <v>0</v>
      </c>
      <c r="AE385" s="86">
        <f>IFERROR(SUM(TblDetailBudget[[#This Row],[2022 Cost (LCU)]])/FX_Rate, "")</f>
        <v>0</v>
      </c>
      <c r="AF385" s="86">
        <f>IFERROR(SUM(TblDetailBudget[[#This Row],[2023 Cost (LCU)]])/FX_Rate, "")</f>
        <v>0</v>
      </c>
      <c r="AG385" s="86">
        <f>IFERROR(SUM(TblDetailBudget[[#This Row],[2024 Cost (LCU)]])/FX_Rate, "")</f>
        <v>0</v>
      </c>
      <c r="AH385" s="86">
        <f>IFERROR(SUM(TblDetailBudget[[#This Row],[2025 Cost (LCU)]])/FX_Rate, "")</f>
        <v>0</v>
      </c>
      <c r="AI385" s="126">
        <f>SUM(TblDetailBudget[[#This Row],[2021 Cost (USD)]:[2025 Cost (USD)]])</f>
        <v>0</v>
      </c>
      <c r="AJ385" s="180"/>
    </row>
    <row r="386" spans="2:36" ht="12.75" customHeight="1">
      <c r="B386" s="123"/>
      <c r="C3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6" s="85" t="str">
        <f>IF(TblDetailBudget[[#This Row],[Level]]="", "", COUNTIFS($B$8:TblDetailBudget[[#This Row],[Level]], Lvl1Hdr))</f>
        <v/>
      </c>
      <c r="E386" s="85" t="str">
        <f>IF(TblDetailBudget[[#This Row],[Level]]="", "", COUNTIFS($B$8:TblDetailBudget[[#This Row],[Level]], Lvl2Hdr, $D$8:TblDetailBudget[[#This Row],[Lvl 1 Header]], TblDetailBudget[[#This Row],[Lvl 1 Header]]))</f>
        <v/>
      </c>
      <c r="F386" s="85" t="str">
        <f>IF(TblDetailBudget[[#This Row],[Level]]="", "", COUNTIFS($B$8:TblDetailBudget[[#This Row],[Level]], Lvl3Hdr, $D$8:TblDetailBudget[[#This Row],[Lvl 1 Header]], TblDetailBudget[[#This Row],[Lvl 1 Header]], $E$8:TblDetailBudget[[#This Row],[Lvl 2 Header]], TblDetailBudget[[#This Row],[Lvl 2 Header]]))</f>
        <v/>
      </c>
      <c r="G3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6" s="164"/>
      <c r="J386" s="164"/>
      <c r="K386" s="165"/>
      <c r="L386" s="165"/>
      <c r="M386" s="85" t="str">
        <f>IF(TblDetailBudget[[#This Row],[Level]]=LvlBottomHdr, IFERROR(INDEX(TblUnitCost[Unit], MATCH(TblDetailBudget[[#This Row],[Row Title]], TblUnitCost[Resource], 0)), "Invalid Resource"), "")</f>
        <v/>
      </c>
      <c r="N386" s="126" t="str">
        <f>IF(TblDetailBudget[[#This Row],[Level]]=LvlBottomHdr, IFERROR(INDEX(TblUnitCost[LCU], MATCH(TblDetailBudget[[#This Row],[Row Title]], TblUnitCost[Resource], 0)), "Invalid Resource"), "")</f>
        <v/>
      </c>
      <c r="O386" s="130"/>
      <c r="P386" s="109"/>
      <c r="Q386" s="131"/>
      <c r="R386" s="109" t="s">
        <v>66</v>
      </c>
      <c r="S386" s="109" t="s">
        <v>66</v>
      </c>
      <c r="T386" s="109" t="s">
        <v>66</v>
      </c>
      <c r="U386" s="109" t="s">
        <v>66</v>
      </c>
      <c r="V386" s="109" t="s">
        <v>66</v>
      </c>
      <c r="W386" s="126" t="str">
        <f>IF(TblDetailBudget[[#This Row],[Level]]=LvlBottomHdr, IF(SUM(TblDetailBudget[[#This Row],[2021 Quant]:[2025 Quant]])&gt;0, SUM(TblDetailBudget[[#This Row],[2021 Quant]:[2025 Quant]]), ""), "")</f>
        <v/>
      </c>
      <c r="X3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6" s="142">
        <f>SUM(TblDetailBudget[[#This Row],[2021 Cost (LCU)]:[2025 Cost (LCU)]])</f>
        <v>0</v>
      </c>
      <c r="AD386" s="135">
        <f>IFERROR(SUM(TblDetailBudget[[#This Row],[2021 Cost (LCU)]])/FX_Rate, "")</f>
        <v>0</v>
      </c>
      <c r="AE386" s="86">
        <f>IFERROR(SUM(TblDetailBudget[[#This Row],[2022 Cost (LCU)]])/FX_Rate, "")</f>
        <v>0</v>
      </c>
      <c r="AF386" s="86">
        <f>IFERROR(SUM(TblDetailBudget[[#This Row],[2023 Cost (LCU)]])/FX_Rate, "")</f>
        <v>0</v>
      </c>
      <c r="AG386" s="86">
        <f>IFERROR(SUM(TblDetailBudget[[#This Row],[2024 Cost (LCU)]])/FX_Rate, "")</f>
        <v>0</v>
      </c>
      <c r="AH386" s="86">
        <f>IFERROR(SUM(TblDetailBudget[[#This Row],[2025 Cost (LCU)]])/FX_Rate, "")</f>
        <v>0</v>
      </c>
      <c r="AI386" s="126">
        <f>SUM(TblDetailBudget[[#This Row],[2021 Cost (USD)]:[2025 Cost (USD)]])</f>
        <v>0</v>
      </c>
      <c r="AJ386" s="180"/>
    </row>
    <row r="387" spans="2:36" ht="12.75" customHeight="1">
      <c r="B387" s="123"/>
      <c r="C3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7" s="85" t="str">
        <f>IF(TblDetailBudget[[#This Row],[Level]]="", "", COUNTIFS($B$8:TblDetailBudget[[#This Row],[Level]], Lvl1Hdr))</f>
        <v/>
      </c>
      <c r="E387" s="85" t="str">
        <f>IF(TblDetailBudget[[#This Row],[Level]]="", "", COUNTIFS($B$8:TblDetailBudget[[#This Row],[Level]], Lvl2Hdr, $D$8:TblDetailBudget[[#This Row],[Lvl 1 Header]], TblDetailBudget[[#This Row],[Lvl 1 Header]]))</f>
        <v/>
      </c>
      <c r="F387" s="85" t="str">
        <f>IF(TblDetailBudget[[#This Row],[Level]]="", "", COUNTIFS($B$8:TblDetailBudget[[#This Row],[Level]], Lvl3Hdr, $D$8:TblDetailBudget[[#This Row],[Lvl 1 Header]], TblDetailBudget[[#This Row],[Lvl 1 Header]], $E$8:TblDetailBudget[[#This Row],[Lvl 2 Header]], TblDetailBudget[[#This Row],[Lvl 2 Header]]))</f>
        <v/>
      </c>
      <c r="G3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7" s="164"/>
      <c r="J387" s="164"/>
      <c r="K387" s="165"/>
      <c r="L387" s="165"/>
      <c r="M387" s="85" t="str">
        <f>IF(TblDetailBudget[[#This Row],[Level]]=LvlBottomHdr, IFERROR(INDEX(TblUnitCost[Unit], MATCH(TblDetailBudget[[#This Row],[Row Title]], TblUnitCost[Resource], 0)), "Invalid Resource"), "")</f>
        <v/>
      </c>
      <c r="N387" s="126" t="str">
        <f>IF(TblDetailBudget[[#This Row],[Level]]=LvlBottomHdr, IFERROR(INDEX(TblUnitCost[LCU], MATCH(TblDetailBudget[[#This Row],[Row Title]], TblUnitCost[Resource], 0)), "Invalid Resource"), "")</f>
        <v/>
      </c>
      <c r="O387" s="130"/>
      <c r="P387" s="109"/>
      <c r="Q387" s="131"/>
      <c r="R387" s="109" t="s">
        <v>66</v>
      </c>
      <c r="S387" s="109" t="s">
        <v>66</v>
      </c>
      <c r="T387" s="109" t="s">
        <v>66</v>
      </c>
      <c r="U387" s="109" t="s">
        <v>66</v>
      </c>
      <c r="V387" s="109" t="s">
        <v>66</v>
      </c>
      <c r="W387" s="126" t="str">
        <f>IF(TblDetailBudget[[#This Row],[Level]]=LvlBottomHdr, IF(SUM(TblDetailBudget[[#This Row],[2021 Quant]:[2025 Quant]])&gt;0, SUM(TblDetailBudget[[#This Row],[2021 Quant]:[2025 Quant]]), ""), "")</f>
        <v/>
      </c>
      <c r="X3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7" s="142">
        <f>SUM(TblDetailBudget[[#This Row],[2021 Cost (LCU)]:[2025 Cost (LCU)]])</f>
        <v>0</v>
      </c>
      <c r="AD387" s="135">
        <f>IFERROR(SUM(TblDetailBudget[[#This Row],[2021 Cost (LCU)]])/FX_Rate, "")</f>
        <v>0</v>
      </c>
      <c r="AE387" s="86">
        <f>IFERROR(SUM(TblDetailBudget[[#This Row],[2022 Cost (LCU)]])/FX_Rate, "")</f>
        <v>0</v>
      </c>
      <c r="AF387" s="86">
        <f>IFERROR(SUM(TblDetailBudget[[#This Row],[2023 Cost (LCU)]])/FX_Rate, "")</f>
        <v>0</v>
      </c>
      <c r="AG387" s="86">
        <f>IFERROR(SUM(TblDetailBudget[[#This Row],[2024 Cost (LCU)]])/FX_Rate, "")</f>
        <v>0</v>
      </c>
      <c r="AH387" s="86">
        <f>IFERROR(SUM(TblDetailBudget[[#This Row],[2025 Cost (LCU)]])/FX_Rate, "")</f>
        <v>0</v>
      </c>
      <c r="AI387" s="126">
        <f>SUM(TblDetailBudget[[#This Row],[2021 Cost (USD)]:[2025 Cost (USD)]])</f>
        <v>0</v>
      </c>
      <c r="AJ387" s="180"/>
    </row>
    <row r="388" spans="2:36" ht="12.75" customHeight="1">
      <c r="B388" s="123"/>
      <c r="C3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8" s="85" t="str">
        <f>IF(TblDetailBudget[[#This Row],[Level]]="", "", COUNTIFS($B$8:TblDetailBudget[[#This Row],[Level]], Lvl1Hdr))</f>
        <v/>
      </c>
      <c r="E388" s="85" t="str">
        <f>IF(TblDetailBudget[[#This Row],[Level]]="", "", COUNTIFS($B$8:TblDetailBudget[[#This Row],[Level]], Lvl2Hdr, $D$8:TblDetailBudget[[#This Row],[Lvl 1 Header]], TblDetailBudget[[#This Row],[Lvl 1 Header]]))</f>
        <v/>
      </c>
      <c r="F388" s="85" t="str">
        <f>IF(TblDetailBudget[[#This Row],[Level]]="", "", COUNTIFS($B$8:TblDetailBudget[[#This Row],[Level]], Lvl3Hdr, $D$8:TblDetailBudget[[#This Row],[Lvl 1 Header]], TblDetailBudget[[#This Row],[Lvl 1 Header]], $E$8:TblDetailBudget[[#This Row],[Lvl 2 Header]], TblDetailBudget[[#This Row],[Lvl 2 Header]]))</f>
        <v/>
      </c>
      <c r="G3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8" s="164"/>
      <c r="J388" s="164"/>
      <c r="K388" s="165"/>
      <c r="L388" s="165"/>
      <c r="M388" s="85" t="str">
        <f>IF(TblDetailBudget[[#This Row],[Level]]=LvlBottomHdr, IFERROR(INDEX(TblUnitCost[Unit], MATCH(TblDetailBudget[[#This Row],[Row Title]], TblUnitCost[Resource], 0)), "Invalid Resource"), "")</f>
        <v/>
      </c>
      <c r="N388" s="126" t="str">
        <f>IF(TblDetailBudget[[#This Row],[Level]]=LvlBottomHdr, IFERROR(INDEX(TblUnitCost[LCU], MATCH(TblDetailBudget[[#This Row],[Row Title]], TblUnitCost[Resource], 0)), "Invalid Resource"), "")</f>
        <v/>
      </c>
      <c r="O388" s="130"/>
      <c r="P388" s="109"/>
      <c r="Q388" s="131"/>
      <c r="R388" s="109" t="s">
        <v>66</v>
      </c>
      <c r="S388" s="109" t="s">
        <v>66</v>
      </c>
      <c r="T388" s="109" t="s">
        <v>66</v>
      </c>
      <c r="U388" s="109" t="s">
        <v>66</v>
      </c>
      <c r="V388" s="109" t="s">
        <v>66</v>
      </c>
      <c r="W388" s="126" t="str">
        <f>IF(TblDetailBudget[[#This Row],[Level]]=LvlBottomHdr, IF(SUM(TblDetailBudget[[#This Row],[2021 Quant]:[2025 Quant]])&gt;0, SUM(TblDetailBudget[[#This Row],[2021 Quant]:[2025 Quant]]), ""), "")</f>
        <v/>
      </c>
      <c r="X3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8" s="142">
        <f>SUM(TblDetailBudget[[#This Row],[2021 Cost (LCU)]:[2025 Cost (LCU)]])</f>
        <v>0</v>
      </c>
      <c r="AD388" s="135">
        <f>IFERROR(SUM(TblDetailBudget[[#This Row],[2021 Cost (LCU)]])/FX_Rate, "")</f>
        <v>0</v>
      </c>
      <c r="AE388" s="86">
        <f>IFERROR(SUM(TblDetailBudget[[#This Row],[2022 Cost (LCU)]])/FX_Rate, "")</f>
        <v>0</v>
      </c>
      <c r="AF388" s="86">
        <f>IFERROR(SUM(TblDetailBudget[[#This Row],[2023 Cost (LCU)]])/FX_Rate, "")</f>
        <v>0</v>
      </c>
      <c r="AG388" s="86">
        <f>IFERROR(SUM(TblDetailBudget[[#This Row],[2024 Cost (LCU)]])/FX_Rate, "")</f>
        <v>0</v>
      </c>
      <c r="AH388" s="86">
        <f>IFERROR(SUM(TblDetailBudget[[#This Row],[2025 Cost (LCU)]])/FX_Rate, "")</f>
        <v>0</v>
      </c>
      <c r="AI388" s="126">
        <f>SUM(TblDetailBudget[[#This Row],[2021 Cost (USD)]:[2025 Cost (USD)]])</f>
        <v>0</v>
      </c>
      <c r="AJ388" s="180"/>
    </row>
    <row r="389" spans="2:36" ht="12.75" customHeight="1">
      <c r="B389" s="123"/>
      <c r="C3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9" s="85" t="str">
        <f>IF(TblDetailBudget[[#This Row],[Level]]="", "", COUNTIFS($B$8:TblDetailBudget[[#This Row],[Level]], Lvl1Hdr))</f>
        <v/>
      </c>
      <c r="E389" s="85" t="str">
        <f>IF(TblDetailBudget[[#This Row],[Level]]="", "", COUNTIFS($B$8:TblDetailBudget[[#This Row],[Level]], Lvl2Hdr, $D$8:TblDetailBudget[[#This Row],[Lvl 1 Header]], TblDetailBudget[[#This Row],[Lvl 1 Header]]))</f>
        <v/>
      </c>
      <c r="F389" s="85" t="str">
        <f>IF(TblDetailBudget[[#This Row],[Level]]="", "", COUNTIFS($B$8:TblDetailBudget[[#This Row],[Level]], Lvl3Hdr, $D$8:TblDetailBudget[[#This Row],[Lvl 1 Header]], TblDetailBudget[[#This Row],[Lvl 1 Header]], $E$8:TblDetailBudget[[#This Row],[Lvl 2 Header]], TblDetailBudget[[#This Row],[Lvl 2 Header]]))</f>
        <v/>
      </c>
      <c r="G3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9" s="164"/>
      <c r="J389" s="164"/>
      <c r="K389" s="165"/>
      <c r="L389" s="165"/>
      <c r="M389" s="85" t="str">
        <f>IF(TblDetailBudget[[#This Row],[Level]]=LvlBottomHdr, IFERROR(INDEX(TblUnitCost[Unit], MATCH(TblDetailBudget[[#This Row],[Row Title]], TblUnitCost[Resource], 0)), "Invalid Resource"), "")</f>
        <v/>
      </c>
      <c r="N389" s="126" t="str">
        <f>IF(TblDetailBudget[[#This Row],[Level]]=LvlBottomHdr, IFERROR(INDEX(TblUnitCost[LCU], MATCH(TblDetailBudget[[#This Row],[Row Title]], TblUnitCost[Resource], 0)), "Invalid Resource"), "")</f>
        <v/>
      </c>
      <c r="O389" s="130"/>
      <c r="P389" s="109"/>
      <c r="Q389" s="131"/>
      <c r="R389" s="109" t="s">
        <v>66</v>
      </c>
      <c r="S389" s="109" t="s">
        <v>66</v>
      </c>
      <c r="T389" s="109" t="s">
        <v>66</v>
      </c>
      <c r="U389" s="109" t="s">
        <v>66</v>
      </c>
      <c r="V389" s="109" t="s">
        <v>66</v>
      </c>
      <c r="W389" s="126" t="str">
        <f>IF(TblDetailBudget[[#This Row],[Level]]=LvlBottomHdr, IF(SUM(TblDetailBudget[[#This Row],[2021 Quant]:[2025 Quant]])&gt;0, SUM(TblDetailBudget[[#This Row],[2021 Quant]:[2025 Quant]]), ""), "")</f>
        <v/>
      </c>
      <c r="X3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9" s="142">
        <f>SUM(TblDetailBudget[[#This Row],[2021 Cost (LCU)]:[2025 Cost (LCU)]])</f>
        <v>0</v>
      </c>
      <c r="AD389" s="135">
        <f>IFERROR(SUM(TblDetailBudget[[#This Row],[2021 Cost (LCU)]])/FX_Rate, "")</f>
        <v>0</v>
      </c>
      <c r="AE389" s="86">
        <f>IFERROR(SUM(TblDetailBudget[[#This Row],[2022 Cost (LCU)]])/FX_Rate, "")</f>
        <v>0</v>
      </c>
      <c r="AF389" s="86">
        <f>IFERROR(SUM(TblDetailBudget[[#This Row],[2023 Cost (LCU)]])/FX_Rate, "")</f>
        <v>0</v>
      </c>
      <c r="AG389" s="86">
        <f>IFERROR(SUM(TblDetailBudget[[#This Row],[2024 Cost (LCU)]])/FX_Rate, "")</f>
        <v>0</v>
      </c>
      <c r="AH389" s="86">
        <f>IFERROR(SUM(TblDetailBudget[[#This Row],[2025 Cost (LCU)]])/FX_Rate, "")</f>
        <v>0</v>
      </c>
      <c r="AI389" s="126">
        <f>SUM(TblDetailBudget[[#This Row],[2021 Cost (USD)]:[2025 Cost (USD)]])</f>
        <v>0</v>
      </c>
      <c r="AJ389" s="180"/>
    </row>
    <row r="390" spans="2:36" ht="12.75" customHeight="1">
      <c r="B390" s="123"/>
      <c r="C3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0" s="85" t="str">
        <f>IF(TblDetailBudget[[#This Row],[Level]]="", "", COUNTIFS($B$8:TblDetailBudget[[#This Row],[Level]], Lvl1Hdr))</f>
        <v/>
      </c>
      <c r="E390" s="85" t="str">
        <f>IF(TblDetailBudget[[#This Row],[Level]]="", "", COUNTIFS($B$8:TblDetailBudget[[#This Row],[Level]], Lvl2Hdr, $D$8:TblDetailBudget[[#This Row],[Lvl 1 Header]], TblDetailBudget[[#This Row],[Lvl 1 Header]]))</f>
        <v/>
      </c>
      <c r="F390" s="85" t="str">
        <f>IF(TblDetailBudget[[#This Row],[Level]]="", "", COUNTIFS($B$8:TblDetailBudget[[#This Row],[Level]], Lvl3Hdr, $D$8:TblDetailBudget[[#This Row],[Lvl 1 Header]], TblDetailBudget[[#This Row],[Lvl 1 Header]], $E$8:TblDetailBudget[[#This Row],[Lvl 2 Header]], TblDetailBudget[[#This Row],[Lvl 2 Header]]))</f>
        <v/>
      </c>
      <c r="G3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0" s="164"/>
      <c r="J390" s="164"/>
      <c r="K390" s="165"/>
      <c r="L390" s="165"/>
      <c r="M390" s="85" t="str">
        <f>IF(TblDetailBudget[[#This Row],[Level]]=LvlBottomHdr, IFERROR(INDEX(TblUnitCost[Unit], MATCH(TblDetailBudget[[#This Row],[Row Title]], TblUnitCost[Resource], 0)), "Invalid Resource"), "")</f>
        <v/>
      </c>
      <c r="N390" s="126" t="str">
        <f>IF(TblDetailBudget[[#This Row],[Level]]=LvlBottomHdr, IFERROR(INDEX(TblUnitCost[LCU], MATCH(TblDetailBudget[[#This Row],[Row Title]], TblUnitCost[Resource], 0)), "Invalid Resource"), "")</f>
        <v/>
      </c>
      <c r="O390" s="130"/>
      <c r="P390" s="109"/>
      <c r="Q390" s="131"/>
      <c r="R390" s="109" t="s">
        <v>66</v>
      </c>
      <c r="S390" s="109" t="s">
        <v>66</v>
      </c>
      <c r="T390" s="109" t="s">
        <v>66</v>
      </c>
      <c r="U390" s="109" t="s">
        <v>66</v>
      </c>
      <c r="V390" s="109" t="s">
        <v>66</v>
      </c>
      <c r="W390" s="126" t="str">
        <f>IF(TblDetailBudget[[#This Row],[Level]]=LvlBottomHdr, IF(SUM(TblDetailBudget[[#This Row],[2021 Quant]:[2025 Quant]])&gt;0, SUM(TblDetailBudget[[#This Row],[2021 Quant]:[2025 Quant]]), ""), "")</f>
        <v/>
      </c>
      <c r="X3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0" s="142">
        <f>SUM(TblDetailBudget[[#This Row],[2021 Cost (LCU)]:[2025 Cost (LCU)]])</f>
        <v>0</v>
      </c>
      <c r="AD390" s="135">
        <f>IFERROR(SUM(TblDetailBudget[[#This Row],[2021 Cost (LCU)]])/FX_Rate, "")</f>
        <v>0</v>
      </c>
      <c r="AE390" s="86">
        <f>IFERROR(SUM(TblDetailBudget[[#This Row],[2022 Cost (LCU)]])/FX_Rate, "")</f>
        <v>0</v>
      </c>
      <c r="AF390" s="86">
        <f>IFERROR(SUM(TblDetailBudget[[#This Row],[2023 Cost (LCU)]])/FX_Rate, "")</f>
        <v>0</v>
      </c>
      <c r="AG390" s="86">
        <f>IFERROR(SUM(TblDetailBudget[[#This Row],[2024 Cost (LCU)]])/FX_Rate, "")</f>
        <v>0</v>
      </c>
      <c r="AH390" s="86">
        <f>IFERROR(SUM(TblDetailBudget[[#This Row],[2025 Cost (LCU)]])/FX_Rate, "")</f>
        <v>0</v>
      </c>
      <c r="AI390" s="126">
        <f>SUM(TblDetailBudget[[#This Row],[2021 Cost (USD)]:[2025 Cost (USD)]])</f>
        <v>0</v>
      </c>
      <c r="AJ390" s="180"/>
    </row>
    <row r="391" spans="2:36" ht="12.75" customHeight="1">
      <c r="B391" s="123"/>
      <c r="C3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1" s="85" t="str">
        <f>IF(TblDetailBudget[[#This Row],[Level]]="", "", COUNTIFS($B$8:TblDetailBudget[[#This Row],[Level]], Lvl1Hdr))</f>
        <v/>
      </c>
      <c r="E391" s="85" t="str">
        <f>IF(TblDetailBudget[[#This Row],[Level]]="", "", COUNTIFS($B$8:TblDetailBudget[[#This Row],[Level]], Lvl2Hdr, $D$8:TblDetailBudget[[#This Row],[Lvl 1 Header]], TblDetailBudget[[#This Row],[Lvl 1 Header]]))</f>
        <v/>
      </c>
      <c r="F391" s="85" t="str">
        <f>IF(TblDetailBudget[[#This Row],[Level]]="", "", COUNTIFS($B$8:TblDetailBudget[[#This Row],[Level]], Lvl3Hdr, $D$8:TblDetailBudget[[#This Row],[Lvl 1 Header]], TblDetailBudget[[#This Row],[Lvl 1 Header]], $E$8:TblDetailBudget[[#This Row],[Lvl 2 Header]], TblDetailBudget[[#This Row],[Lvl 2 Header]]))</f>
        <v/>
      </c>
      <c r="G3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1" s="164"/>
      <c r="J391" s="164"/>
      <c r="K391" s="165"/>
      <c r="L391" s="165"/>
      <c r="M391" s="85" t="str">
        <f>IF(TblDetailBudget[[#This Row],[Level]]=LvlBottomHdr, IFERROR(INDEX(TblUnitCost[Unit], MATCH(TblDetailBudget[[#This Row],[Row Title]], TblUnitCost[Resource], 0)), "Invalid Resource"), "")</f>
        <v/>
      </c>
      <c r="N391" s="126" t="str">
        <f>IF(TblDetailBudget[[#This Row],[Level]]=LvlBottomHdr, IFERROR(INDEX(TblUnitCost[LCU], MATCH(TblDetailBudget[[#This Row],[Row Title]], TblUnitCost[Resource], 0)), "Invalid Resource"), "")</f>
        <v/>
      </c>
      <c r="O391" s="130"/>
      <c r="P391" s="109"/>
      <c r="Q391" s="131"/>
      <c r="R391" s="109" t="s">
        <v>66</v>
      </c>
      <c r="S391" s="109" t="s">
        <v>66</v>
      </c>
      <c r="T391" s="109" t="s">
        <v>66</v>
      </c>
      <c r="U391" s="109" t="s">
        <v>66</v>
      </c>
      <c r="V391" s="109" t="s">
        <v>66</v>
      </c>
      <c r="W391" s="126" t="str">
        <f>IF(TblDetailBudget[[#This Row],[Level]]=LvlBottomHdr, IF(SUM(TblDetailBudget[[#This Row],[2021 Quant]:[2025 Quant]])&gt;0, SUM(TblDetailBudget[[#This Row],[2021 Quant]:[2025 Quant]]), ""), "")</f>
        <v/>
      </c>
      <c r="X3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1" s="142">
        <f>SUM(TblDetailBudget[[#This Row],[2021 Cost (LCU)]:[2025 Cost (LCU)]])</f>
        <v>0</v>
      </c>
      <c r="AD391" s="135">
        <f>IFERROR(SUM(TblDetailBudget[[#This Row],[2021 Cost (LCU)]])/FX_Rate, "")</f>
        <v>0</v>
      </c>
      <c r="AE391" s="86">
        <f>IFERROR(SUM(TblDetailBudget[[#This Row],[2022 Cost (LCU)]])/FX_Rate, "")</f>
        <v>0</v>
      </c>
      <c r="AF391" s="86">
        <f>IFERROR(SUM(TblDetailBudget[[#This Row],[2023 Cost (LCU)]])/FX_Rate, "")</f>
        <v>0</v>
      </c>
      <c r="AG391" s="86">
        <f>IFERROR(SUM(TblDetailBudget[[#This Row],[2024 Cost (LCU)]])/FX_Rate, "")</f>
        <v>0</v>
      </c>
      <c r="AH391" s="86">
        <f>IFERROR(SUM(TblDetailBudget[[#This Row],[2025 Cost (LCU)]])/FX_Rate, "")</f>
        <v>0</v>
      </c>
      <c r="AI391" s="126">
        <f>SUM(TblDetailBudget[[#This Row],[2021 Cost (USD)]:[2025 Cost (USD)]])</f>
        <v>0</v>
      </c>
      <c r="AJ391" s="180"/>
    </row>
    <row r="392" spans="2:36" ht="12.75" customHeight="1">
      <c r="B392" s="123"/>
      <c r="C3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2" s="85" t="str">
        <f>IF(TblDetailBudget[[#This Row],[Level]]="", "", COUNTIFS($B$8:TblDetailBudget[[#This Row],[Level]], Lvl1Hdr))</f>
        <v/>
      </c>
      <c r="E392" s="85" t="str">
        <f>IF(TblDetailBudget[[#This Row],[Level]]="", "", COUNTIFS($B$8:TblDetailBudget[[#This Row],[Level]], Lvl2Hdr, $D$8:TblDetailBudget[[#This Row],[Lvl 1 Header]], TblDetailBudget[[#This Row],[Lvl 1 Header]]))</f>
        <v/>
      </c>
      <c r="F392" s="85" t="str">
        <f>IF(TblDetailBudget[[#This Row],[Level]]="", "", COUNTIFS($B$8:TblDetailBudget[[#This Row],[Level]], Lvl3Hdr, $D$8:TblDetailBudget[[#This Row],[Lvl 1 Header]], TblDetailBudget[[#This Row],[Lvl 1 Header]], $E$8:TblDetailBudget[[#This Row],[Lvl 2 Header]], TblDetailBudget[[#This Row],[Lvl 2 Header]]))</f>
        <v/>
      </c>
      <c r="G3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2" s="164"/>
      <c r="J392" s="164"/>
      <c r="K392" s="165"/>
      <c r="L392" s="165"/>
      <c r="M392" s="85" t="str">
        <f>IF(TblDetailBudget[[#This Row],[Level]]=LvlBottomHdr, IFERROR(INDEX(TblUnitCost[Unit], MATCH(TblDetailBudget[[#This Row],[Row Title]], TblUnitCost[Resource], 0)), "Invalid Resource"), "")</f>
        <v/>
      </c>
      <c r="N392" s="126" t="str">
        <f>IF(TblDetailBudget[[#This Row],[Level]]=LvlBottomHdr, IFERROR(INDEX(TblUnitCost[LCU], MATCH(TblDetailBudget[[#This Row],[Row Title]], TblUnitCost[Resource], 0)), "Invalid Resource"), "")</f>
        <v/>
      </c>
      <c r="O392" s="130"/>
      <c r="P392" s="109"/>
      <c r="Q392" s="131"/>
      <c r="R392" s="109" t="s">
        <v>66</v>
      </c>
      <c r="S392" s="109" t="s">
        <v>66</v>
      </c>
      <c r="T392" s="109" t="s">
        <v>66</v>
      </c>
      <c r="U392" s="109" t="s">
        <v>66</v>
      </c>
      <c r="V392" s="109" t="s">
        <v>66</v>
      </c>
      <c r="W392" s="126" t="str">
        <f>IF(TblDetailBudget[[#This Row],[Level]]=LvlBottomHdr, IF(SUM(TblDetailBudget[[#This Row],[2021 Quant]:[2025 Quant]])&gt;0, SUM(TblDetailBudget[[#This Row],[2021 Quant]:[2025 Quant]]), ""), "")</f>
        <v/>
      </c>
      <c r="X3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2" s="142">
        <f>SUM(TblDetailBudget[[#This Row],[2021 Cost (LCU)]:[2025 Cost (LCU)]])</f>
        <v>0</v>
      </c>
      <c r="AD392" s="135">
        <f>IFERROR(SUM(TblDetailBudget[[#This Row],[2021 Cost (LCU)]])/FX_Rate, "")</f>
        <v>0</v>
      </c>
      <c r="AE392" s="86">
        <f>IFERROR(SUM(TblDetailBudget[[#This Row],[2022 Cost (LCU)]])/FX_Rate, "")</f>
        <v>0</v>
      </c>
      <c r="AF392" s="86">
        <f>IFERROR(SUM(TblDetailBudget[[#This Row],[2023 Cost (LCU)]])/FX_Rate, "")</f>
        <v>0</v>
      </c>
      <c r="AG392" s="86">
        <f>IFERROR(SUM(TblDetailBudget[[#This Row],[2024 Cost (LCU)]])/FX_Rate, "")</f>
        <v>0</v>
      </c>
      <c r="AH392" s="86">
        <f>IFERROR(SUM(TblDetailBudget[[#This Row],[2025 Cost (LCU)]])/FX_Rate, "")</f>
        <v>0</v>
      </c>
      <c r="AI392" s="126">
        <f>SUM(TblDetailBudget[[#This Row],[2021 Cost (USD)]:[2025 Cost (USD)]])</f>
        <v>0</v>
      </c>
      <c r="AJ392" s="180"/>
    </row>
    <row r="393" spans="2:36" ht="12.75" customHeight="1">
      <c r="B393" s="123"/>
      <c r="C3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3" s="85" t="str">
        <f>IF(TblDetailBudget[[#This Row],[Level]]="", "", COUNTIFS($B$8:TblDetailBudget[[#This Row],[Level]], Lvl1Hdr))</f>
        <v/>
      </c>
      <c r="E393" s="85" t="str">
        <f>IF(TblDetailBudget[[#This Row],[Level]]="", "", COUNTIFS($B$8:TblDetailBudget[[#This Row],[Level]], Lvl2Hdr, $D$8:TblDetailBudget[[#This Row],[Lvl 1 Header]], TblDetailBudget[[#This Row],[Lvl 1 Header]]))</f>
        <v/>
      </c>
      <c r="F393" s="85" t="str">
        <f>IF(TblDetailBudget[[#This Row],[Level]]="", "", COUNTIFS($B$8:TblDetailBudget[[#This Row],[Level]], Lvl3Hdr, $D$8:TblDetailBudget[[#This Row],[Lvl 1 Header]], TblDetailBudget[[#This Row],[Lvl 1 Header]], $E$8:TblDetailBudget[[#This Row],[Lvl 2 Header]], TblDetailBudget[[#This Row],[Lvl 2 Header]]))</f>
        <v/>
      </c>
      <c r="G3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3" s="164"/>
      <c r="J393" s="164"/>
      <c r="K393" s="165"/>
      <c r="L393" s="165"/>
      <c r="M393" s="85" t="str">
        <f>IF(TblDetailBudget[[#This Row],[Level]]=LvlBottomHdr, IFERROR(INDEX(TblUnitCost[Unit], MATCH(TblDetailBudget[[#This Row],[Row Title]], TblUnitCost[Resource], 0)), "Invalid Resource"), "")</f>
        <v/>
      </c>
      <c r="N393" s="126" t="str">
        <f>IF(TblDetailBudget[[#This Row],[Level]]=LvlBottomHdr, IFERROR(INDEX(TblUnitCost[LCU], MATCH(TblDetailBudget[[#This Row],[Row Title]], TblUnitCost[Resource], 0)), "Invalid Resource"), "")</f>
        <v/>
      </c>
      <c r="O393" s="130"/>
      <c r="P393" s="109"/>
      <c r="Q393" s="131"/>
      <c r="R393" s="109" t="s">
        <v>66</v>
      </c>
      <c r="S393" s="109" t="s">
        <v>66</v>
      </c>
      <c r="T393" s="109" t="s">
        <v>66</v>
      </c>
      <c r="U393" s="109" t="s">
        <v>66</v>
      </c>
      <c r="V393" s="109" t="s">
        <v>66</v>
      </c>
      <c r="W393" s="126" t="str">
        <f>IF(TblDetailBudget[[#This Row],[Level]]=LvlBottomHdr, IF(SUM(TblDetailBudget[[#This Row],[2021 Quant]:[2025 Quant]])&gt;0, SUM(TblDetailBudget[[#This Row],[2021 Quant]:[2025 Quant]]), ""), "")</f>
        <v/>
      </c>
      <c r="X3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3" s="142">
        <f>SUM(TblDetailBudget[[#This Row],[2021 Cost (LCU)]:[2025 Cost (LCU)]])</f>
        <v>0</v>
      </c>
      <c r="AD393" s="135">
        <f>IFERROR(SUM(TblDetailBudget[[#This Row],[2021 Cost (LCU)]])/FX_Rate, "")</f>
        <v>0</v>
      </c>
      <c r="AE393" s="86">
        <f>IFERROR(SUM(TblDetailBudget[[#This Row],[2022 Cost (LCU)]])/FX_Rate, "")</f>
        <v>0</v>
      </c>
      <c r="AF393" s="86">
        <f>IFERROR(SUM(TblDetailBudget[[#This Row],[2023 Cost (LCU)]])/FX_Rate, "")</f>
        <v>0</v>
      </c>
      <c r="AG393" s="86">
        <f>IFERROR(SUM(TblDetailBudget[[#This Row],[2024 Cost (LCU)]])/FX_Rate, "")</f>
        <v>0</v>
      </c>
      <c r="AH393" s="86">
        <f>IFERROR(SUM(TblDetailBudget[[#This Row],[2025 Cost (LCU)]])/FX_Rate, "")</f>
        <v>0</v>
      </c>
      <c r="AI393" s="126">
        <f>SUM(TblDetailBudget[[#This Row],[2021 Cost (USD)]:[2025 Cost (USD)]])</f>
        <v>0</v>
      </c>
      <c r="AJ393" s="180"/>
    </row>
    <row r="394" spans="2:36" ht="12.75" customHeight="1">
      <c r="B394" s="123"/>
      <c r="C3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4" s="85" t="str">
        <f>IF(TblDetailBudget[[#This Row],[Level]]="", "", COUNTIFS($B$8:TblDetailBudget[[#This Row],[Level]], Lvl1Hdr))</f>
        <v/>
      </c>
      <c r="E394" s="85" t="str">
        <f>IF(TblDetailBudget[[#This Row],[Level]]="", "", COUNTIFS($B$8:TblDetailBudget[[#This Row],[Level]], Lvl2Hdr, $D$8:TblDetailBudget[[#This Row],[Lvl 1 Header]], TblDetailBudget[[#This Row],[Lvl 1 Header]]))</f>
        <v/>
      </c>
      <c r="F394" s="85" t="str">
        <f>IF(TblDetailBudget[[#This Row],[Level]]="", "", COUNTIFS($B$8:TblDetailBudget[[#This Row],[Level]], Lvl3Hdr, $D$8:TblDetailBudget[[#This Row],[Lvl 1 Header]], TblDetailBudget[[#This Row],[Lvl 1 Header]], $E$8:TblDetailBudget[[#This Row],[Lvl 2 Header]], TblDetailBudget[[#This Row],[Lvl 2 Header]]))</f>
        <v/>
      </c>
      <c r="G3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4" s="164"/>
      <c r="J394" s="164"/>
      <c r="K394" s="165"/>
      <c r="L394" s="165"/>
      <c r="M394" s="85" t="str">
        <f>IF(TblDetailBudget[[#This Row],[Level]]=LvlBottomHdr, IFERROR(INDEX(TblUnitCost[Unit], MATCH(TblDetailBudget[[#This Row],[Row Title]], TblUnitCost[Resource], 0)), "Invalid Resource"), "")</f>
        <v/>
      </c>
      <c r="N394" s="126" t="str">
        <f>IF(TblDetailBudget[[#This Row],[Level]]=LvlBottomHdr, IFERROR(INDEX(TblUnitCost[LCU], MATCH(TblDetailBudget[[#This Row],[Row Title]], TblUnitCost[Resource], 0)), "Invalid Resource"), "")</f>
        <v/>
      </c>
      <c r="O394" s="130"/>
      <c r="P394" s="109"/>
      <c r="Q394" s="131"/>
      <c r="R394" s="109" t="s">
        <v>66</v>
      </c>
      <c r="S394" s="109" t="s">
        <v>66</v>
      </c>
      <c r="T394" s="109" t="s">
        <v>66</v>
      </c>
      <c r="U394" s="109" t="s">
        <v>66</v>
      </c>
      <c r="V394" s="109" t="s">
        <v>66</v>
      </c>
      <c r="W394" s="126" t="str">
        <f>IF(TblDetailBudget[[#This Row],[Level]]=LvlBottomHdr, IF(SUM(TblDetailBudget[[#This Row],[2021 Quant]:[2025 Quant]])&gt;0, SUM(TblDetailBudget[[#This Row],[2021 Quant]:[2025 Quant]]), ""), "")</f>
        <v/>
      </c>
      <c r="X3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4" s="142">
        <f>SUM(TblDetailBudget[[#This Row],[2021 Cost (LCU)]:[2025 Cost (LCU)]])</f>
        <v>0</v>
      </c>
      <c r="AD394" s="135">
        <f>IFERROR(SUM(TblDetailBudget[[#This Row],[2021 Cost (LCU)]])/FX_Rate, "")</f>
        <v>0</v>
      </c>
      <c r="AE394" s="86">
        <f>IFERROR(SUM(TblDetailBudget[[#This Row],[2022 Cost (LCU)]])/FX_Rate, "")</f>
        <v>0</v>
      </c>
      <c r="AF394" s="86">
        <f>IFERROR(SUM(TblDetailBudget[[#This Row],[2023 Cost (LCU)]])/FX_Rate, "")</f>
        <v>0</v>
      </c>
      <c r="AG394" s="86">
        <f>IFERROR(SUM(TblDetailBudget[[#This Row],[2024 Cost (LCU)]])/FX_Rate, "")</f>
        <v>0</v>
      </c>
      <c r="AH394" s="86">
        <f>IFERROR(SUM(TblDetailBudget[[#This Row],[2025 Cost (LCU)]])/FX_Rate, "")</f>
        <v>0</v>
      </c>
      <c r="AI394" s="126">
        <f>SUM(TblDetailBudget[[#This Row],[2021 Cost (USD)]:[2025 Cost (USD)]])</f>
        <v>0</v>
      </c>
      <c r="AJ394" s="180"/>
    </row>
    <row r="395" spans="2:36" ht="12.75" customHeight="1">
      <c r="B395" s="123"/>
      <c r="C3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5" s="85" t="str">
        <f>IF(TblDetailBudget[[#This Row],[Level]]="", "", COUNTIFS($B$8:TblDetailBudget[[#This Row],[Level]], Lvl1Hdr))</f>
        <v/>
      </c>
      <c r="E395" s="85" t="str">
        <f>IF(TblDetailBudget[[#This Row],[Level]]="", "", COUNTIFS($B$8:TblDetailBudget[[#This Row],[Level]], Lvl2Hdr, $D$8:TblDetailBudget[[#This Row],[Lvl 1 Header]], TblDetailBudget[[#This Row],[Lvl 1 Header]]))</f>
        <v/>
      </c>
      <c r="F395" s="85" t="str">
        <f>IF(TblDetailBudget[[#This Row],[Level]]="", "", COUNTIFS($B$8:TblDetailBudget[[#This Row],[Level]], Lvl3Hdr, $D$8:TblDetailBudget[[#This Row],[Lvl 1 Header]], TblDetailBudget[[#This Row],[Lvl 1 Header]], $E$8:TblDetailBudget[[#This Row],[Lvl 2 Header]], TblDetailBudget[[#This Row],[Lvl 2 Header]]))</f>
        <v/>
      </c>
      <c r="G3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5" s="164"/>
      <c r="J395" s="164"/>
      <c r="K395" s="165"/>
      <c r="L395" s="165"/>
      <c r="M395" s="85" t="str">
        <f>IF(TblDetailBudget[[#This Row],[Level]]=LvlBottomHdr, IFERROR(INDEX(TblUnitCost[Unit], MATCH(TblDetailBudget[[#This Row],[Row Title]], TblUnitCost[Resource], 0)), "Invalid Resource"), "")</f>
        <v/>
      </c>
      <c r="N395" s="126" t="str">
        <f>IF(TblDetailBudget[[#This Row],[Level]]=LvlBottomHdr, IFERROR(INDEX(TblUnitCost[LCU], MATCH(TblDetailBudget[[#This Row],[Row Title]], TblUnitCost[Resource], 0)), "Invalid Resource"), "")</f>
        <v/>
      </c>
      <c r="O395" s="130"/>
      <c r="P395" s="109"/>
      <c r="Q395" s="131"/>
      <c r="R395" s="109" t="s">
        <v>66</v>
      </c>
      <c r="S395" s="109" t="s">
        <v>66</v>
      </c>
      <c r="T395" s="109" t="s">
        <v>66</v>
      </c>
      <c r="U395" s="109" t="s">
        <v>66</v>
      </c>
      <c r="V395" s="109" t="s">
        <v>66</v>
      </c>
      <c r="W395" s="126" t="str">
        <f>IF(TblDetailBudget[[#This Row],[Level]]=LvlBottomHdr, IF(SUM(TblDetailBudget[[#This Row],[2021 Quant]:[2025 Quant]])&gt;0, SUM(TblDetailBudget[[#This Row],[2021 Quant]:[2025 Quant]]), ""), "")</f>
        <v/>
      </c>
      <c r="X3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5" s="142">
        <f>SUM(TblDetailBudget[[#This Row],[2021 Cost (LCU)]:[2025 Cost (LCU)]])</f>
        <v>0</v>
      </c>
      <c r="AD395" s="135">
        <f>IFERROR(SUM(TblDetailBudget[[#This Row],[2021 Cost (LCU)]])/FX_Rate, "")</f>
        <v>0</v>
      </c>
      <c r="AE395" s="86">
        <f>IFERROR(SUM(TblDetailBudget[[#This Row],[2022 Cost (LCU)]])/FX_Rate, "")</f>
        <v>0</v>
      </c>
      <c r="AF395" s="86">
        <f>IFERROR(SUM(TblDetailBudget[[#This Row],[2023 Cost (LCU)]])/FX_Rate, "")</f>
        <v>0</v>
      </c>
      <c r="AG395" s="86">
        <f>IFERROR(SUM(TblDetailBudget[[#This Row],[2024 Cost (LCU)]])/FX_Rate, "")</f>
        <v>0</v>
      </c>
      <c r="AH395" s="86">
        <f>IFERROR(SUM(TblDetailBudget[[#This Row],[2025 Cost (LCU)]])/FX_Rate, "")</f>
        <v>0</v>
      </c>
      <c r="AI395" s="126">
        <f>SUM(TblDetailBudget[[#This Row],[2021 Cost (USD)]:[2025 Cost (USD)]])</f>
        <v>0</v>
      </c>
      <c r="AJ395" s="180"/>
    </row>
    <row r="396" spans="2:36" ht="12.75" customHeight="1">
      <c r="B396" s="123"/>
      <c r="C3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6" s="85" t="str">
        <f>IF(TblDetailBudget[[#This Row],[Level]]="", "", COUNTIFS($B$8:TblDetailBudget[[#This Row],[Level]], Lvl1Hdr))</f>
        <v/>
      </c>
      <c r="E396" s="85" t="str">
        <f>IF(TblDetailBudget[[#This Row],[Level]]="", "", COUNTIFS($B$8:TblDetailBudget[[#This Row],[Level]], Lvl2Hdr, $D$8:TblDetailBudget[[#This Row],[Lvl 1 Header]], TblDetailBudget[[#This Row],[Lvl 1 Header]]))</f>
        <v/>
      </c>
      <c r="F396" s="85" t="str">
        <f>IF(TblDetailBudget[[#This Row],[Level]]="", "", COUNTIFS($B$8:TblDetailBudget[[#This Row],[Level]], Lvl3Hdr, $D$8:TblDetailBudget[[#This Row],[Lvl 1 Header]], TblDetailBudget[[#This Row],[Lvl 1 Header]], $E$8:TblDetailBudget[[#This Row],[Lvl 2 Header]], TblDetailBudget[[#This Row],[Lvl 2 Header]]))</f>
        <v/>
      </c>
      <c r="G3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6" s="164"/>
      <c r="J396" s="164"/>
      <c r="K396" s="165"/>
      <c r="L396" s="165"/>
      <c r="M396" s="85" t="str">
        <f>IF(TblDetailBudget[[#This Row],[Level]]=LvlBottomHdr, IFERROR(INDEX(TblUnitCost[Unit], MATCH(TblDetailBudget[[#This Row],[Row Title]], TblUnitCost[Resource], 0)), "Invalid Resource"), "")</f>
        <v/>
      </c>
      <c r="N396" s="126" t="str">
        <f>IF(TblDetailBudget[[#This Row],[Level]]=LvlBottomHdr, IFERROR(INDEX(TblUnitCost[LCU], MATCH(TblDetailBudget[[#This Row],[Row Title]], TblUnitCost[Resource], 0)), "Invalid Resource"), "")</f>
        <v/>
      </c>
      <c r="O396" s="130"/>
      <c r="P396" s="109"/>
      <c r="Q396" s="131"/>
      <c r="R396" s="109" t="s">
        <v>66</v>
      </c>
      <c r="S396" s="109" t="s">
        <v>66</v>
      </c>
      <c r="T396" s="109" t="s">
        <v>66</v>
      </c>
      <c r="U396" s="109" t="s">
        <v>66</v>
      </c>
      <c r="V396" s="109" t="s">
        <v>66</v>
      </c>
      <c r="W396" s="126" t="str">
        <f>IF(TblDetailBudget[[#This Row],[Level]]=LvlBottomHdr, IF(SUM(TblDetailBudget[[#This Row],[2021 Quant]:[2025 Quant]])&gt;0, SUM(TblDetailBudget[[#This Row],[2021 Quant]:[2025 Quant]]), ""), "")</f>
        <v/>
      </c>
      <c r="X3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6" s="142">
        <f>SUM(TblDetailBudget[[#This Row],[2021 Cost (LCU)]:[2025 Cost (LCU)]])</f>
        <v>0</v>
      </c>
      <c r="AD396" s="135">
        <f>IFERROR(SUM(TblDetailBudget[[#This Row],[2021 Cost (LCU)]])/FX_Rate, "")</f>
        <v>0</v>
      </c>
      <c r="AE396" s="86">
        <f>IFERROR(SUM(TblDetailBudget[[#This Row],[2022 Cost (LCU)]])/FX_Rate, "")</f>
        <v>0</v>
      </c>
      <c r="AF396" s="86">
        <f>IFERROR(SUM(TblDetailBudget[[#This Row],[2023 Cost (LCU)]])/FX_Rate, "")</f>
        <v>0</v>
      </c>
      <c r="AG396" s="86">
        <f>IFERROR(SUM(TblDetailBudget[[#This Row],[2024 Cost (LCU)]])/FX_Rate, "")</f>
        <v>0</v>
      </c>
      <c r="AH396" s="86">
        <f>IFERROR(SUM(TblDetailBudget[[#This Row],[2025 Cost (LCU)]])/FX_Rate, "")</f>
        <v>0</v>
      </c>
      <c r="AI396" s="126">
        <f>SUM(TblDetailBudget[[#This Row],[2021 Cost (USD)]:[2025 Cost (USD)]])</f>
        <v>0</v>
      </c>
      <c r="AJ396" s="180"/>
    </row>
    <row r="397" spans="2:36" ht="12.75" customHeight="1">
      <c r="B397" s="123"/>
      <c r="C3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7" s="85" t="str">
        <f>IF(TblDetailBudget[[#This Row],[Level]]="", "", COUNTIFS($B$8:TblDetailBudget[[#This Row],[Level]], Lvl1Hdr))</f>
        <v/>
      </c>
      <c r="E397" s="85" t="str">
        <f>IF(TblDetailBudget[[#This Row],[Level]]="", "", COUNTIFS($B$8:TblDetailBudget[[#This Row],[Level]], Lvl2Hdr, $D$8:TblDetailBudget[[#This Row],[Lvl 1 Header]], TblDetailBudget[[#This Row],[Lvl 1 Header]]))</f>
        <v/>
      </c>
      <c r="F397" s="85" t="str">
        <f>IF(TblDetailBudget[[#This Row],[Level]]="", "", COUNTIFS($B$8:TblDetailBudget[[#This Row],[Level]], Lvl3Hdr, $D$8:TblDetailBudget[[#This Row],[Lvl 1 Header]], TblDetailBudget[[#This Row],[Lvl 1 Header]], $E$8:TblDetailBudget[[#This Row],[Lvl 2 Header]], TblDetailBudget[[#This Row],[Lvl 2 Header]]))</f>
        <v/>
      </c>
      <c r="G3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7" s="164"/>
      <c r="J397" s="164"/>
      <c r="K397" s="165"/>
      <c r="L397" s="165"/>
      <c r="M397" s="85" t="str">
        <f>IF(TblDetailBudget[[#This Row],[Level]]=LvlBottomHdr, IFERROR(INDEX(TblUnitCost[Unit], MATCH(TblDetailBudget[[#This Row],[Row Title]], TblUnitCost[Resource], 0)), "Invalid Resource"), "")</f>
        <v/>
      </c>
      <c r="N397" s="126" t="str">
        <f>IF(TblDetailBudget[[#This Row],[Level]]=LvlBottomHdr, IFERROR(INDEX(TblUnitCost[LCU], MATCH(TblDetailBudget[[#This Row],[Row Title]], TblUnitCost[Resource], 0)), "Invalid Resource"), "")</f>
        <v/>
      </c>
      <c r="O397" s="130"/>
      <c r="P397" s="109"/>
      <c r="Q397" s="131"/>
      <c r="R397" s="109" t="s">
        <v>66</v>
      </c>
      <c r="S397" s="109" t="s">
        <v>66</v>
      </c>
      <c r="T397" s="109" t="s">
        <v>66</v>
      </c>
      <c r="U397" s="109" t="s">
        <v>66</v>
      </c>
      <c r="V397" s="109" t="s">
        <v>66</v>
      </c>
      <c r="W397" s="126" t="str">
        <f>IF(TblDetailBudget[[#This Row],[Level]]=LvlBottomHdr, IF(SUM(TblDetailBudget[[#This Row],[2021 Quant]:[2025 Quant]])&gt;0, SUM(TblDetailBudget[[#This Row],[2021 Quant]:[2025 Quant]]), ""), "")</f>
        <v/>
      </c>
      <c r="X3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7" s="142">
        <f>SUM(TblDetailBudget[[#This Row],[2021 Cost (LCU)]:[2025 Cost (LCU)]])</f>
        <v>0</v>
      </c>
      <c r="AD397" s="135">
        <f>IFERROR(SUM(TblDetailBudget[[#This Row],[2021 Cost (LCU)]])/FX_Rate, "")</f>
        <v>0</v>
      </c>
      <c r="AE397" s="86">
        <f>IFERROR(SUM(TblDetailBudget[[#This Row],[2022 Cost (LCU)]])/FX_Rate, "")</f>
        <v>0</v>
      </c>
      <c r="AF397" s="86">
        <f>IFERROR(SUM(TblDetailBudget[[#This Row],[2023 Cost (LCU)]])/FX_Rate, "")</f>
        <v>0</v>
      </c>
      <c r="AG397" s="86">
        <f>IFERROR(SUM(TblDetailBudget[[#This Row],[2024 Cost (LCU)]])/FX_Rate, "")</f>
        <v>0</v>
      </c>
      <c r="AH397" s="86">
        <f>IFERROR(SUM(TblDetailBudget[[#This Row],[2025 Cost (LCU)]])/FX_Rate, "")</f>
        <v>0</v>
      </c>
      <c r="AI397" s="126">
        <f>SUM(TblDetailBudget[[#This Row],[2021 Cost (USD)]:[2025 Cost (USD)]])</f>
        <v>0</v>
      </c>
      <c r="AJ397" s="180"/>
    </row>
    <row r="398" spans="2:36" ht="12.75" customHeight="1">
      <c r="B398" s="123"/>
      <c r="C3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8" s="85" t="str">
        <f>IF(TblDetailBudget[[#This Row],[Level]]="", "", COUNTIFS($B$8:TblDetailBudget[[#This Row],[Level]], Lvl1Hdr))</f>
        <v/>
      </c>
      <c r="E398" s="85" t="str">
        <f>IF(TblDetailBudget[[#This Row],[Level]]="", "", COUNTIFS($B$8:TblDetailBudget[[#This Row],[Level]], Lvl2Hdr, $D$8:TblDetailBudget[[#This Row],[Lvl 1 Header]], TblDetailBudget[[#This Row],[Lvl 1 Header]]))</f>
        <v/>
      </c>
      <c r="F398" s="85" t="str">
        <f>IF(TblDetailBudget[[#This Row],[Level]]="", "", COUNTIFS($B$8:TblDetailBudget[[#This Row],[Level]], Lvl3Hdr, $D$8:TblDetailBudget[[#This Row],[Lvl 1 Header]], TblDetailBudget[[#This Row],[Lvl 1 Header]], $E$8:TblDetailBudget[[#This Row],[Lvl 2 Header]], TblDetailBudget[[#This Row],[Lvl 2 Header]]))</f>
        <v/>
      </c>
      <c r="G3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8" s="164"/>
      <c r="J398" s="164"/>
      <c r="K398" s="165"/>
      <c r="L398" s="165"/>
      <c r="M398" s="85" t="str">
        <f>IF(TblDetailBudget[[#This Row],[Level]]=LvlBottomHdr, IFERROR(INDEX(TblUnitCost[Unit], MATCH(TblDetailBudget[[#This Row],[Row Title]], TblUnitCost[Resource], 0)), "Invalid Resource"), "")</f>
        <v/>
      </c>
      <c r="N398" s="126" t="str">
        <f>IF(TblDetailBudget[[#This Row],[Level]]=LvlBottomHdr, IFERROR(INDEX(TblUnitCost[LCU], MATCH(TblDetailBudget[[#This Row],[Row Title]], TblUnitCost[Resource], 0)), "Invalid Resource"), "")</f>
        <v/>
      </c>
      <c r="O398" s="130"/>
      <c r="P398" s="109"/>
      <c r="Q398" s="131"/>
      <c r="R398" s="109" t="s">
        <v>66</v>
      </c>
      <c r="S398" s="109" t="s">
        <v>66</v>
      </c>
      <c r="T398" s="109" t="s">
        <v>66</v>
      </c>
      <c r="U398" s="109" t="s">
        <v>66</v>
      </c>
      <c r="V398" s="109" t="s">
        <v>66</v>
      </c>
      <c r="W398" s="126" t="str">
        <f>IF(TblDetailBudget[[#This Row],[Level]]=LvlBottomHdr, IF(SUM(TblDetailBudget[[#This Row],[2021 Quant]:[2025 Quant]])&gt;0, SUM(TblDetailBudget[[#This Row],[2021 Quant]:[2025 Quant]]), ""), "")</f>
        <v/>
      </c>
      <c r="X3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8" s="142">
        <f>SUM(TblDetailBudget[[#This Row],[2021 Cost (LCU)]:[2025 Cost (LCU)]])</f>
        <v>0</v>
      </c>
      <c r="AD398" s="135">
        <f>IFERROR(SUM(TblDetailBudget[[#This Row],[2021 Cost (LCU)]])/FX_Rate, "")</f>
        <v>0</v>
      </c>
      <c r="AE398" s="86">
        <f>IFERROR(SUM(TblDetailBudget[[#This Row],[2022 Cost (LCU)]])/FX_Rate, "")</f>
        <v>0</v>
      </c>
      <c r="AF398" s="86">
        <f>IFERROR(SUM(TblDetailBudget[[#This Row],[2023 Cost (LCU)]])/FX_Rate, "")</f>
        <v>0</v>
      </c>
      <c r="AG398" s="86">
        <f>IFERROR(SUM(TblDetailBudget[[#This Row],[2024 Cost (LCU)]])/FX_Rate, "")</f>
        <v>0</v>
      </c>
      <c r="AH398" s="86">
        <f>IFERROR(SUM(TblDetailBudget[[#This Row],[2025 Cost (LCU)]])/FX_Rate, "")</f>
        <v>0</v>
      </c>
      <c r="AI398" s="126">
        <f>SUM(TblDetailBudget[[#This Row],[2021 Cost (USD)]:[2025 Cost (USD)]])</f>
        <v>0</v>
      </c>
      <c r="AJ398" s="180"/>
    </row>
    <row r="399" spans="2:36" ht="12.75" customHeight="1">
      <c r="B399" s="123"/>
      <c r="C3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9" s="85" t="str">
        <f>IF(TblDetailBudget[[#This Row],[Level]]="", "", COUNTIFS($B$8:TblDetailBudget[[#This Row],[Level]], Lvl1Hdr))</f>
        <v/>
      </c>
      <c r="E399" s="85" t="str">
        <f>IF(TblDetailBudget[[#This Row],[Level]]="", "", COUNTIFS($B$8:TblDetailBudget[[#This Row],[Level]], Lvl2Hdr, $D$8:TblDetailBudget[[#This Row],[Lvl 1 Header]], TblDetailBudget[[#This Row],[Lvl 1 Header]]))</f>
        <v/>
      </c>
      <c r="F399" s="85" t="str">
        <f>IF(TblDetailBudget[[#This Row],[Level]]="", "", COUNTIFS($B$8:TblDetailBudget[[#This Row],[Level]], Lvl3Hdr, $D$8:TblDetailBudget[[#This Row],[Lvl 1 Header]], TblDetailBudget[[#This Row],[Lvl 1 Header]], $E$8:TblDetailBudget[[#This Row],[Lvl 2 Header]], TblDetailBudget[[#This Row],[Lvl 2 Header]]))</f>
        <v/>
      </c>
      <c r="G3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9" s="164"/>
      <c r="J399" s="164"/>
      <c r="K399" s="165"/>
      <c r="L399" s="165"/>
      <c r="M399" s="85" t="str">
        <f>IF(TblDetailBudget[[#This Row],[Level]]=LvlBottomHdr, IFERROR(INDEX(TblUnitCost[Unit], MATCH(TblDetailBudget[[#This Row],[Row Title]], TblUnitCost[Resource], 0)), "Invalid Resource"), "")</f>
        <v/>
      </c>
      <c r="N399" s="126" t="str">
        <f>IF(TblDetailBudget[[#This Row],[Level]]=LvlBottomHdr, IFERROR(INDEX(TblUnitCost[LCU], MATCH(TblDetailBudget[[#This Row],[Row Title]], TblUnitCost[Resource], 0)), "Invalid Resource"), "")</f>
        <v/>
      </c>
      <c r="O399" s="130"/>
      <c r="P399" s="109"/>
      <c r="Q399" s="131"/>
      <c r="R399" s="109" t="s">
        <v>66</v>
      </c>
      <c r="S399" s="109" t="s">
        <v>66</v>
      </c>
      <c r="T399" s="109" t="s">
        <v>66</v>
      </c>
      <c r="U399" s="109" t="s">
        <v>66</v>
      </c>
      <c r="V399" s="109" t="s">
        <v>66</v>
      </c>
      <c r="W399" s="126" t="str">
        <f>IF(TblDetailBudget[[#This Row],[Level]]=LvlBottomHdr, IF(SUM(TblDetailBudget[[#This Row],[2021 Quant]:[2025 Quant]])&gt;0, SUM(TblDetailBudget[[#This Row],[2021 Quant]:[2025 Quant]]), ""), "")</f>
        <v/>
      </c>
      <c r="X3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9" s="142">
        <f>SUM(TblDetailBudget[[#This Row],[2021 Cost (LCU)]:[2025 Cost (LCU)]])</f>
        <v>0</v>
      </c>
      <c r="AD399" s="135">
        <f>IFERROR(SUM(TblDetailBudget[[#This Row],[2021 Cost (LCU)]])/FX_Rate, "")</f>
        <v>0</v>
      </c>
      <c r="AE399" s="86">
        <f>IFERROR(SUM(TblDetailBudget[[#This Row],[2022 Cost (LCU)]])/FX_Rate, "")</f>
        <v>0</v>
      </c>
      <c r="AF399" s="86">
        <f>IFERROR(SUM(TblDetailBudget[[#This Row],[2023 Cost (LCU)]])/FX_Rate, "")</f>
        <v>0</v>
      </c>
      <c r="AG399" s="86">
        <f>IFERROR(SUM(TblDetailBudget[[#This Row],[2024 Cost (LCU)]])/FX_Rate, "")</f>
        <v>0</v>
      </c>
      <c r="AH399" s="86">
        <f>IFERROR(SUM(TblDetailBudget[[#This Row],[2025 Cost (LCU)]])/FX_Rate, "")</f>
        <v>0</v>
      </c>
      <c r="AI399" s="126">
        <f>SUM(TblDetailBudget[[#This Row],[2021 Cost (USD)]:[2025 Cost (USD)]])</f>
        <v>0</v>
      </c>
      <c r="AJ399" s="180"/>
    </row>
    <row r="400" spans="2:36" ht="12.75" customHeight="1">
      <c r="B400" s="123"/>
      <c r="C4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0" s="85" t="str">
        <f>IF(TblDetailBudget[[#This Row],[Level]]="", "", COUNTIFS($B$8:TblDetailBudget[[#This Row],[Level]], Lvl1Hdr))</f>
        <v/>
      </c>
      <c r="E400" s="85" t="str">
        <f>IF(TblDetailBudget[[#This Row],[Level]]="", "", COUNTIFS($B$8:TblDetailBudget[[#This Row],[Level]], Lvl2Hdr, $D$8:TblDetailBudget[[#This Row],[Lvl 1 Header]], TblDetailBudget[[#This Row],[Lvl 1 Header]]))</f>
        <v/>
      </c>
      <c r="F400" s="85" t="str">
        <f>IF(TblDetailBudget[[#This Row],[Level]]="", "", COUNTIFS($B$8:TblDetailBudget[[#This Row],[Level]], Lvl3Hdr, $D$8:TblDetailBudget[[#This Row],[Lvl 1 Header]], TblDetailBudget[[#This Row],[Lvl 1 Header]], $E$8:TblDetailBudget[[#This Row],[Lvl 2 Header]], TblDetailBudget[[#This Row],[Lvl 2 Header]]))</f>
        <v/>
      </c>
      <c r="G4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0" s="164"/>
      <c r="J400" s="164"/>
      <c r="K400" s="165"/>
      <c r="L400" s="165"/>
      <c r="M400" s="85" t="str">
        <f>IF(TblDetailBudget[[#This Row],[Level]]=LvlBottomHdr, IFERROR(INDEX(TblUnitCost[Unit], MATCH(TblDetailBudget[[#This Row],[Row Title]], TblUnitCost[Resource], 0)), "Invalid Resource"), "")</f>
        <v/>
      </c>
      <c r="N400" s="126" t="str">
        <f>IF(TblDetailBudget[[#This Row],[Level]]=LvlBottomHdr, IFERROR(INDEX(TblUnitCost[LCU], MATCH(TblDetailBudget[[#This Row],[Row Title]], TblUnitCost[Resource], 0)), "Invalid Resource"), "")</f>
        <v/>
      </c>
      <c r="O400" s="130"/>
      <c r="P400" s="109"/>
      <c r="Q400" s="131"/>
      <c r="R400" s="109" t="s">
        <v>66</v>
      </c>
      <c r="S400" s="109" t="s">
        <v>66</v>
      </c>
      <c r="T400" s="109" t="s">
        <v>66</v>
      </c>
      <c r="U400" s="109" t="s">
        <v>66</v>
      </c>
      <c r="V400" s="109" t="s">
        <v>66</v>
      </c>
      <c r="W400" s="126" t="str">
        <f>IF(TblDetailBudget[[#This Row],[Level]]=LvlBottomHdr, IF(SUM(TblDetailBudget[[#This Row],[2021 Quant]:[2025 Quant]])&gt;0, SUM(TblDetailBudget[[#This Row],[2021 Quant]:[2025 Quant]]), ""), "")</f>
        <v/>
      </c>
      <c r="X4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0" s="142">
        <f>SUM(TblDetailBudget[[#This Row],[2021 Cost (LCU)]:[2025 Cost (LCU)]])</f>
        <v>0</v>
      </c>
      <c r="AD400" s="135">
        <f>IFERROR(SUM(TblDetailBudget[[#This Row],[2021 Cost (LCU)]])/FX_Rate, "")</f>
        <v>0</v>
      </c>
      <c r="AE400" s="86">
        <f>IFERROR(SUM(TblDetailBudget[[#This Row],[2022 Cost (LCU)]])/FX_Rate, "")</f>
        <v>0</v>
      </c>
      <c r="AF400" s="86">
        <f>IFERROR(SUM(TblDetailBudget[[#This Row],[2023 Cost (LCU)]])/FX_Rate, "")</f>
        <v>0</v>
      </c>
      <c r="AG400" s="86">
        <f>IFERROR(SUM(TblDetailBudget[[#This Row],[2024 Cost (LCU)]])/FX_Rate, "")</f>
        <v>0</v>
      </c>
      <c r="AH400" s="86">
        <f>IFERROR(SUM(TblDetailBudget[[#This Row],[2025 Cost (LCU)]])/FX_Rate, "")</f>
        <v>0</v>
      </c>
      <c r="AI400" s="126">
        <f>SUM(TblDetailBudget[[#This Row],[2021 Cost (USD)]:[2025 Cost (USD)]])</f>
        <v>0</v>
      </c>
      <c r="AJ400" s="180"/>
    </row>
    <row r="401" spans="2:36" ht="12.75" customHeight="1">
      <c r="B401" s="123"/>
      <c r="C4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1" s="85" t="str">
        <f>IF(TblDetailBudget[[#This Row],[Level]]="", "", COUNTIFS($B$8:TblDetailBudget[[#This Row],[Level]], Lvl1Hdr))</f>
        <v/>
      </c>
      <c r="E401" s="85" t="str">
        <f>IF(TblDetailBudget[[#This Row],[Level]]="", "", COUNTIFS($B$8:TblDetailBudget[[#This Row],[Level]], Lvl2Hdr, $D$8:TblDetailBudget[[#This Row],[Lvl 1 Header]], TblDetailBudget[[#This Row],[Lvl 1 Header]]))</f>
        <v/>
      </c>
      <c r="F401" s="85" t="str">
        <f>IF(TblDetailBudget[[#This Row],[Level]]="", "", COUNTIFS($B$8:TblDetailBudget[[#This Row],[Level]], Lvl3Hdr, $D$8:TblDetailBudget[[#This Row],[Lvl 1 Header]], TblDetailBudget[[#This Row],[Lvl 1 Header]], $E$8:TblDetailBudget[[#This Row],[Lvl 2 Header]], TblDetailBudget[[#This Row],[Lvl 2 Header]]))</f>
        <v/>
      </c>
      <c r="G4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1" s="164"/>
      <c r="J401" s="164"/>
      <c r="K401" s="165"/>
      <c r="L401" s="165"/>
      <c r="M401" s="85" t="str">
        <f>IF(TblDetailBudget[[#This Row],[Level]]=LvlBottomHdr, IFERROR(INDEX(TblUnitCost[Unit], MATCH(TblDetailBudget[[#This Row],[Row Title]], TblUnitCost[Resource], 0)), "Invalid Resource"), "")</f>
        <v/>
      </c>
      <c r="N401" s="126" t="str">
        <f>IF(TblDetailBudget[[#This Row],[Level]]=LvlBottomHdr, IFERROR(INDEX(TblUnitCost[LCU], MATCH(TblDetailBudget[[#This Row],[Row Title]], TblUnitCost[Resource], 0)), "Invalid Resource"), "")</f>
        <v/>
      </c>
      <c r="O401" s="130"/>
      <c r="P401" s="109"/>
      <c r="Q401" s="131"/>
      <c r="R401" s="109" t="s">
        <v>66</v>
      </c>
      <c r="S401" s="109" t="s">
        <v>66</v>
      </c>
      <c r="T401" s="109" t="s">
        <v>66</v>
      </c>
      <c r="U401" s="109" t="s">
        <v>66</v>
      </c>
      <c r="V401" s="109" t="s">
        <v>66</v>
      </c>
      <c r="W401" s="126" t="str">
        <f>IF(TblDetailBudget[[#This Row],[Level]]=LvlBottomHdr, IF(SUM(TblDetailBudget[[#This Row],[2021 Quant]:[2025 Quant]])&gt;0, SUM(TblDetailBudget[[#This Row],[2021 Quant]:[2025 Quant]]), ""), "")</f>
        <v/>
      </c>
      <c r="X4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1" s="142">
        <f>SUM(TblDetailBudget[[#This Row],[2021 Cost (LCU)]:[2025 Cost (LCU)]])</f>
        <v>0</v>
      </c>
      <c r="AD401" s="135">
        <f>IFERROR(SUM(TblDetailBudget[[#This Row],[2021 Cost (LCU)]])/FX_Rate, "")</f>
        <v>0</v>
      </c>
      <c r="AE401" s="86">
        <f>IFERROR(SUM(TblDetailBudget[[#This Row],[2022 Cost (LCU)]])/FX_Rate, "")</f>
        <v>0</v>
      </c>
      <c r="AF401" s="86">
        <f>IFERROR(SUM(TblDetailBudget[[#This Row],[2023 Cost (LCU)]])/FX_Rate, "")</f>
        <v>0</v>
      </c>
      <c r="AG401" s="86">
        <f>IFERROR(SUM(TblDetailBudget[[#This Row],[2024 Cost (LCU)]])/FX_Rate, "")</f>
        <v>0</v>
      </c>
      <c r="AH401" s="86">
        <f>IFERROR(SUM(TblDetailBudget[[#This Row],[2025 Cost (LCU)]])/FX_Rate, "")</f>
        <v>0</v>
      </c>
      <c r="AI401" s="126">
        <f>SUM(TblDetailBudget[[#This Row],[2021 Cost (USD)]:[2025 Cost (USD)]])</f>
        <v>0</v>
      </c>
      <c r="AJ401" s="180"/>
    </row>
    <row r="402" spans="2:36" ht="12.75" customHeight="1">
      <c r="B402" s="123"/>
      <c r="C4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2" s="85" t="str">
        <f>IF(TblDetailBudget[[#This Row],[Level]]="", "", COUNTIFS($B$8:TblDetailBudget[[#This Row],[Level]], Lvl1Hdr))</f>
        <v/>
      </c>
      <c r="E402" s="85" t="str">
        <f>IF(TblDetailBudget[[#This Row],[Level]]="", "", COUNTIFS($B$8:TblDetailBudget[[#This Row],[Level]], Lvl2Hdr, $D$8:TblDetailBudget[[#This Row],[Lvl 1 Header]], TblDetailBudget[[#This Row],[Lvl 1 Header]]))</f>
        <v/>
      </c>
      <c r="F402" s="85" t="str">
        <f>IF(TblDetailBudget[[#This Row],[Level]]="", "", COUNTIFS($B$8:TblDetailBudget[[#This Row],[Level]], Lvl3Hdr, $D$8:TblDetailBudget[[#This Row],[Lvl 1 Header]], TblDetailBudget[[#This Row],[Lvl 1 Header]], $E$8:TblDetailBudget[[#This Row],[Lvl 2 Header]], TblDetailBudget[[#This Row],[Lvl 2 Header]]))</f>
        <v/>
      </c>
      <c r="G4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2" s="164"/>
      <c r="J402" s="164"/>
      <c r="K402" s="165"/>
      <c r="L402" s="165"/>
      <c r="M402" s="85" t="str">
        <f>IF(TblDetailBudget[[#This Row],[Level]]=LvlBottomHdr, IFERROR(INDEX(TblUnitCost[Unit], MATCH(TblDetailBudget[[#This Row],[Row Title]], TblUnitCost[Resource], 0)), "Invalid Resource"), "")</f>
        <v/>
      </c>
      <c r="N402" s="126" t="str">
        <f>IF(TblDetailBudget[[#This Row],[Level]]=LvlBottomHdr, IFERROR(INDEX(TblUnitCost[LCU], MATCH(TblDetailBudget[[#This Row],[Row Title]], TblUnitCost[Resource], 0)), "Invalid Resource"), "")</f>
        <v/>
      </c>
      <c r="O402" s="130"/>
      <c r="P402" s="109"/>
      <c r="Q402" s="131"/>
      <c r="R402" s="109" t="s">
        <v>66</v>
      </c>
      <c r="S402" s="109" t="s">
        <v>66</v>
      </c>
      <c r="T402" s="109" t="s">
        <v>66</v>
      </c>
      <c r="U402" s="109" t="s">
        <v>66</v>
      </c>
      <c r="V402" s="109" t="s">
        <v>66</v>
      </c>
      <c r="W402" s="126" t="str">
        <f>IF(TblDetailBudget[[#This Row],[Level]]=LvlBottomHdr, IF(SUM(TblDetailBudget[[#This Row],[2021 Quant]:[2025 Quant]])&gt;0, SUM(TblDetailBudget[[#This Row],[2021 Quant]:[2025 Quant]]), ""), "")</f>
        <v/>
      </c>
      <c r="X4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2" s="142">
        <f>SUM(TblDetailBudget[[#This Row],[2021 Cost (LCU)]:[2025 Cost (LCU)]])</f>
        <v>0</v>
      </c>
      <c r="AD402" s="135">
        <f>IFERROR(SUM(TblDetailBudget[[#This Row],[2021 Cost (LCU)]])/FX_Rate, "")</f>
        <v>0</v>
      </c>
      <c r="AE402" s="86">
        <f>IFERROR(SUM(TblDetailBudget[[#This Row],[2022 Cost (LCU)]])/FX_Rate, "")</f>
        <v>0</v>
      </c>
      <c r="AF402" s="86">
        <f>IFERROR(SUM(TblDetailBudget[[#This Row],[2023 Cost (LCU)]])/FX_Rate, "")</f>
        <v>0</v>
      </c>
      <c r="AG402" s="86">
        <f>IFERROR(SUM(TblDetailBudget[[#This Row],[2024 Cost (LCU)]])/FX_Rate, "")</f>
        <v>0</v>
      </c>
      <c r="AH402" s="86">
        <f>IFERROR(SUM(TblDetailBudget[[#This Row],[2025 Cost (LCU)]])/FX_Rate, "")</f>
        <v>0</v>
      </c>
      <c r="AI402" s="126">
        <f>SUM(TblDetailBudget[[#This Row],[2021 Cost (USD)]:[2025 Cost (USD)]])</f>
        <v>0</v>
      </c>
      <c r="AJ402" s="180"/>
    </row>
    <row r="403" spans="2:36" ht="12.75" customHeight="1">
      <c r="B403" s="123"/>
      <c r="C4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3" s="85" t="str">
        <f>IF(TblDetailBudget[[#This Row],[Level]]="", "", COUNTIFS($B$8:TblDetailBudget[[#This Row],[Level]], Lvl1Hdr))</f>
        <v/>
      </c>
      <c r="E403" s="85" t="str">
        <f>IF(TblDetailBudget[[#This Row],[Level]]="", "", COUNTIFS($B$8:TblDetailBudget[[#This Row],[Level]], Lvl2Hdr, $D$8:TblDetailBudget[[#This Row],[Lvl 1 Header]], TblDetailBudget[[#This Row],[Lvl 1 Header]]))</f>
        <v/>
      </c>
      <c r="F403" s="85" t="str">
        <f>IF(TblDetailBudget[[#This Row],[Level]]="", "", COUNTIFS($B$8:TblDetailBudget[[#This Row],[Level]], Lvl3Hdr, $D$8:TblDetailBudget[[#This Row],[Lvl 1 Header]], TblDetailBudget[[#This Row],[Lvl 1 Header]], $E$8:TblDetailBudget[[#This Row],[Lvl 2 Header]], TblDetailBudget[[#This Row],[Lvl 2 Header]]))</f>
        <v/>
      </c>
      <c r="G4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3" s="164"/>
      <c r="J403" s="164"/>
      <c r="K403" s="165"/>
      <c r="L403" s="165"/>
      <c r="M403" s="85" t="str">
        <f>IF(TblDetailBudget[[#This Row],[Level]]=LvlBottomHdr, IFERROR(INDEX(TblUnitCost[Unit], MATCH(TblDetailBudget[[#This Row],[Row Title]], TblUnitCost[Resource], 0)), "Invalid Resource"), "")</f>
        <v/>
      </c>
      <c r="N403" s="126" t="str">
        <f>IF(TblDetailBudget[[#This Row],[Level]]=LvlBottomHdr, IFERROR(INDEX(TblUnitCost[LCU], MATCH(TblDetailBudget[[#This Row],[Row Title]], TblUnitCost[Resource], 0)), "Invalid Resource"), "")</f>
        <v/>
      </c>
      <c r="O403" s="130"/>
      <c r="P403" s="109"/>
      <c r="Q403" s="131"/>
      <c r="R403" s="109" t="s">
        <v>66</v>
      </c>
      <c r="S403" s="109" t="s">
        <v>66</v>
      </c>
      <c r="T403" s="109" t="s">
        <v>66</v>
      </c>
      <c r="U403" s="109" t="s">
        <v>66</v>
      </c>
      <c r="V403" s="109" t="s">
        <v>66</v>
      </c>
      <c r="W403" s="126" t="str">
        <f>IF(TblDetailBudget[[#This Row],[Level]]=LvlBottomHdr, IF(SUM(TblDetailBudget[[#This Row],[2021 Quant]:[2025 Quant]])&gt;0, SUM(TblDetailBudget[[#This Row],[2021 Quant]:[2025 Quant]]), ""), "")</f>
        <v/>
      </c>
      <c r="X4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3" s="142">
        <f>SUM(TblDetailBudget[[#This Row],[2021 Cost (LCU)]:[2025 Cost (LCU)]])</f>
        <v>0</v>
      </c>
      <c r="AD403" s="135">
        <f>IFERROR(SUM(TblDetailBudget[[#This Row],[2021 Cost (LCU)]])/FX_Rate, "")</f>
        <v>0</v>
      </c>
      <c r="AE403" s="86">
        <f>IFERROR(SUM(TblDetailBudget[[#This Row],[2022 Cost (LCU)]])/FX_Rate, "")</f>
        <v>0</v>
      </c>
      <c r="AF403" s="86">
        <f>IFERROR(SUM(TblDetailBudget[[#This Row],[2023 Cost (LCU)]])/FX_Rate, "")</f>
        <v>0</v>
      </c>
      <c r="AG403" s="86">
        <f>IFERROR(SUM(TblDetailBudget[[#This Row],[2024 Cost (LCU)]])/FX_Rate, "")</f>
        <v>0</v>
      </c>
      <c r="AH403" s="86">
        <f>IFERROR(SUM(TblDetailBudget[[#This Row],[2025 Cost (LCU)]])/FX_Rate, "")</f>
        <v>0</v>
      </c>
      <c r="AI403" s="126">
        <f>SUM(TblDetailBudget[[#This Row],[2021 Cost (USD)]:[2025 Cost (USD)]])</f>
        <v>0</v>
      </c>
      <c r="AJ403" s="180"/>
    </row>
    <row r="404" spans="2:36" ht="12.75" customHeight="1">
      <c r="B404" s="123"/>
      <c r="C4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4" s="85" t="str">
        <f>IF(TblDetailBudget[[#This Row],[Level]]="", "", COUNTIFS($B$8:TblDetailBudget[[#This Row],[Level]], Lvl1Hdr))</f>
        <v/>
      </c>
      <c r="E404" s="85" t="str">
        <f>IF(TblDetailBudget[[#This Row],[Level]]="", "", COUNTIFS($B$8:TblDetailBudget[[#This Row],[Level]], Lvl2Hdr, $D$8:TblDetailBudget[[#This Row],[Lvl 1 Header]], TblDetailBudget[[#This Row],[Lvl 1 Header]]))</f>
        <v/>
      </c>
      <c r="F404" s="85" t="str">
        <f>IF(TblDetailBudget[[#This Row],[Level]]="", "", COUNTIFS($B$8:TblDetailBudget[[#This Row],[Level]], Lvl3Hdr, $D$8:TblDetailBudget[[#This Row],[Lvl 1 Header]], TblDetailBudget[[#This Row],[Lvl 1 Header]], $E$8:TblDetailBudget[[#This Row],[Lvl 2 Header]], TblDetailBudget[[#This Row],[Lvl 2 Header]]))</f>
        <v/>
      </c>
      <c r="G4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4" s="164"/>
      <c r="J404" s="164"/>
      <c r="K404" s="165"/>
      <c r="L404" s="165"/>
      <c r="M404" s="85" t="str">
        <f>IF(TblDetailBudget[[#This Row],[Level]]=LvlBottomHdr, IFERROR(INDEX(TblUnitCost[Unit], MATCH(TblDetailBudget[[#This Row],[Row Title]], TblUnitCost[Resource], 0)), "Invalid Resource"), "")</f>
        <v/>
      </c>
      <c r="N404" s="126" t="str">
        <f>IF(TblDetailBudget[[#This Row],[Level]]=LvlBottomHdr, IFERROR(INDEX(TblUnitCost[LCU], MATCH(TblDetailBudget[[#This Row],[Row Title]], TblUnitCost[Resource], 0)), "Invalid Resource"), "")</f>
        <v/>
      </c>
      <c r="O404" s="130"/>
      <c r="P404" s="109"/>
      <c r="Q404" s="131"/>
      <c r="R404" s="109" t="s">
        <v>66</v>
      </c>
      <c r="S404" s="109" t="s">
        <v>66</v>
      </c>
      <c r="T404" s="109" t="s">
        <v>66</v>
      </c>
      <c r="U404" s="109" t="s">
        <v>66</v>
      </c>
      <c r="V404" s="109" t="s">
        <v>66</v>
      </c>
      <c r="W404" s="126" t="str">
        <f>IF(TblDetailBudget[[#This Row],[Level]]=LvlBottomHdr, IF(SUM(TblDetailBudget[[#This Row],[2021 Quant]:[2025 Quant]])&gt;0, SUM(TblDetailBudget[[#This Row],[2021 Quant]:[2025 Quant]]), ""), "")</f>
        <v/>
      </c>
      <c r="X4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4" s="142">
        <f>SUM(TblDetailBudget[[#This Row],[2021 Cost (LCU)]:[2025 Cost (LCU)]])</f>
        <v>0</v>
      </c>
      <c r="AD404" s="135">
        <f>IFERROR(SUM(TblDetailBudget[[#This Row],[2021 Cost (LCU)]])/FX_Rate, "")</f>
        <v>0</v>
      </c>
      <c r="AE404" s="86">
        <f>IFERROR(SUM(TblDetailBudget[[#This Row],[2022 Cost (LCU)]])/FX_Rate, "")</f>
        <v>0</v>
      </c>
      <c r="AF404" s="86">
        <f>IFERROR(SUM(TblDetailBudget[[#This Row],[2023 Cost (LCU)]])/FX_Rate, "")</f>
        <v>0</v>
      </c>
      <c r="AG404" s="86">
        <f>IFERROR(SUM(TblDetailBudget[[#This Row],[2024 Cost (LCU)]])/FX_Rate, "")</f>
        <v>0</v>
      </c>
      <c r="AH404" s="86">
        <f>IFERROR(SUM(TblDetailBudget[[#This Row],[2025 Cost (LCU)]])/FX_Rate, "")</f>
        <v>0</v>
      </c>
      <c r="AI404" s="126">
        <f>SUM(TblDetailBudget[[#This Row],[2021 Cost (USD)]:[2025 Cost (USD)]])</f>
        <v>0</v>
      </c>
      <c r="AJ404" s="180"/>
    </row>
    <row r="405" spans="2:36" ht="12.75" customHeight="1">
      <c r="B405" s="123"/>
      <c r="C4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5" s="85" t="str">
        <f>IF(TblDetailBudget[[#This Row],[Level]]="", "", COUNTIFS($B$8:TblDetailBudget[[#This Row],[Level]], Lvl1Hdr))</f>
        <v/>
      </c>
      <c r="E405" s="85" t="str">
        <f>IF(TblDetailBudget[[#This Row],[Level]]="", "", COUNTIFS($B$8:TblDetailBudget[[#This Row],[Level]], Lvl2Hdr, $D$8:TblDetailBudget[[#This Row],[Lvl 1 Header]], TblDetailBudget[[#This Row],[Lvl 1 Header]]))</f>
        <v/>
      </c>
      <c r="F405" s="85" t="str">
        <f>IF(TblDetailBudget[[#This Row],[Level]]="", "", COUNTIFS($B$8:TblDetailBudget[[#This Row],[Level]], Lvl3Hdr, $D$8:TblDetailBudget[[#This Row],[Lvl 1 Header]], TblDetailBudget[[#This Row],[Lvl 1 Header]], $E$8:TblDetailBudget[[#This Row],[Lvl 2 Header]], TblDetailBudget[[#This Row],[Lvl 2 Header]]))</f>
        <v/>
      </c>
      <c r="G4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5" s="164"/>
      <c r="J405" s="164"/>
      <c r="K405" s="165"/>
      <c r="L405" s="165"/>
      <c r="M405" s="85" t="str">
        <f>IF(TblDetailBudget[[#This Row],[Level]]=LvlBottomHdr, IFERROR(INDEX(TblUnitCost[Unit], MATCH(TblDetailBudget[[#This Row],[Row Title]], TblUnitCost[Resource], 0)), "Invalid Resource"), "")</f>
        <v/>
      </c>
      <c r="N405" s="126" t="str">
        <f>IF(TblDetailBudget[[#This Row],[Level]]=LvlBottomHdr, IFERROR(INDEX(TblUnitCost[LCU], MATCH(TblDetailBudget[[#This Row],[Row Title]], TblUnitCost[Resource], 0)), "Invalid Resource"), "")</f>
        <v/>
      </c>
      <c r="O405" s="130"/>
      <c r="P405" s="109"/>
      <c r="Q405" s="131"/>
      <c r="R405" s="109" t="s">
        <v>66</v>
      </c>
      <c r="S405" s="109" t="s">
        <v>66</v>
      </c>
      <c r="T405" s="109" t="s">
        <v>66</v>
      </c>
      <c r="U405" s="109" t="s">
        <v>66</v>
      </c>
      <c r="V405" s="109" t="s">
        <v>66</v>
      </c>
      <c r="W405" s="126" t="str">
        <f>IF(TblDetailBudget[[#This Row],[Level]]=LvlBottomHdr, IF(SUM(TblDetailBudget[[#This Row],[2021 Quant]:[2025 Quant]])&gt;0, SUM(TblDetailBudget[[#This Row],[2021 Quant]:[2025 Quant]]), ""), "")</f>
        <v/>
      </c>
      <c r="X4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5" s="142">
        <f>SUM(TblDetailBudget[[#This Row],[2021 Cost (LCU)]:[2025 Cost (LCU)]])</f>
        <v>0</v>
      </c>
      <c r="AD405" s="135">
        <f>IFERROR(SUM(TblDetailBudget[[#This Row],[2021 Cost (LCU)]])/FX_Rate, "")</f>
        <v>0</v>
      </c>
      <c r="AE405" s="86">
        <f>IFERROR(SUM(TblDetailBudget[[#This Row],[2022 Cost (LCU)]])/FX_Rate, "")</f>
        <v>0</v>
      </c>
      <c r="AF405" s="86">
        <f>IFERROR(SUM(TblDetailBudget[[#This Row],[2023 Cost (LCU)]])/FX_Rate, "")</f>
        <v>0</v>
      </c>
      <c r="AG405" s="86">
        <f>IFERROR(SUM(TblDetailBudget[[#This Row],[2024 Cost (LCU)]])/FX_Rate, "")</f>
        <v>0</v>
      </c>
      <c r="AH405" s="86">
        <f>IFERROR(SUM(TblDetailBudget[[#This Row],[2025 Cost (LCU)]])/FX_Rate, "")</f>
        <v>0</v>
      </c>
      <c r="AI405" s="126">
        <f>SUM(TblDetailBudget[[#This Row],[2021 Cost (USD)]:[2025 Cost (USD)]])</f>
        <v>0</v>
      </c>
      <c r="AJ405" s="180"/>
    </row>
    <row r="406" spans="2:36" ht="12.75" customHeight="1">
      <c r="B406" s="123"/>
      <c r="C4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6" s="85" t="str">
        <f>IF(TblDetailBudget[[#This Row],[Level]]="", "", COUNTIFS($B$8:TblDetailBudget[[#This Row],[Level]], Lvl1Hdr))</f>
        <v/>
      </c>
      <c r="E406" s="85" t="str">
        <f>IF(TblDetailBudget[[#This Row],[Level]]="", "", COUNTIFS($B$8:TblDetailBudget[[#This Row],[Level]], Lvl2Hdr, $D$8:TblDetailBudget[[#This Row],[Lvl 1 Header]], TblDetailBudget[[#This Row],[Lvl 1 Header]]))</f>
        <v/>
      </c>
      <c r="F406" s="85" t="str">
        <f>IF(TblDetailBudget[[#This Row],[Level]]="", "", COUNTIFS($B$8:TblDetailBudget[[#This Row],[Level]], Lvl3Hdr, $D$8:TblDetailBudget[[#This Row],[Lvl 1 Header]], TblDetailBudget[[#This Row],[Lvl 1 Header]], $E$8:TblDetailBudget[[#This Row],[Lvl 2 Header]], TblDetailBudget[[#This Row],[Lvl 2 Header]]))</f>
        <v/>
      </c>
      <c r="G4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6" s="164"/>
      <c r="J406" s="164"/>
      <c r="K406" s="165"/>
      <c r="L406" s="165"/>
      <c r="M406" s="85" t="str">
        <f>IF(TblDetailBudget[[#This Row],[Level]]=LvlBottomHdr, IFERROR(INDEX(TblUnitCost[Unit], MATCH(TblDetailBudget[[#This Row],[Row Title]], TblUnitCost[Resource], 0)), "Invalid Resource"), "")</f>
        <v/>
      </c>
      <c r="N406" s="126" t="str">
        <f>IF(TblDetailBudget[[#This Row],[Level]]=LvlBottomHdr, IFERROR(INDEX(TblUnitCost[LCU], MATCH(TblDetailBudget[[#This Row],[Row Title]], TblUnitCost[Resource], 0)), "Invalid Resource"), "")</f>
        <v/>
      </c>
      <c r="O406" s="130"/>
      <c r="P406" s="109"/>
      <c r="Q406" s="131"/>
      <c r="R406" s="109" t="s">
        <v>66</v>
      </c>
      <c r="S406" s="109" t="s">
        <v>66</v>
      </c>
      <c r="T406" s="109" t="s">
        <v>66</v>
      </c>
      <c r="U406" s="109" t="s">
        <v>66</v>
      </c>
      <c r="V406" s="109" t="s">
        <v>66</v>
      </c>
      <c r="W406" s="126" t="str">
        <f>IF(TblDetailBudget[[#This Row],[Level]]=LvlBottomHdr, IF(SUM(TblDetailBudget[[#This Row],[2021 Quant]:[2025 Quant]])&gt;0, SUM(TblDetailBudget[[#This Row],[2021 Quant]:[2025 Quant]]), ""), "")</f>
        <v/>
      </c>
      <c r="X4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6" s="142">
        <f>SUM(TblDetailBudget[[#This Row],[2021 Cost (LCU)]:[2025 Cost (LCU)]])</f>
        <v>0</v>
      </c>
      <c r="AD406" s="135">
        <f>IFERROR(SUM(TblDetailBudget[[#This Row],[2021 Cost (LCU)]])/FX_Rate, "")</f>
        <v>0</v>
      </c>
      <c r="AE406" s="86">
        <f>IFERROR(SUM(TblDetailBudget[[#This Row],[2022 Cost (LCU)]])/FX_Rate, "")</f>
        <v>0</v>
      </c>
      <c r="AF406" s="86">
        <f>IFERROR(SUM(TblDetailBudget[[#This Row],[2023 Cost (LCU)]])/FX_Rate, "")</f>
        <v>0</v>
      </c>
      <c r="AG406" s="86">
        <f>IFERROR(SUM(TblDetailBudget[[#This Row],[2024 Cost (LCU)]])/FX_Rate, "")</f>
        <v>0</v>
      </c>
      <c r="AH406" s="86">
        <f>IFERROR(SUM(TblDetailBudget[[#This Row],[2025 Cost (LCU)]])/FX_Rate, "")</f>
        <v>0</v>
      </c>
      <c r="AI406" s="126">
        <f>SUM(TblDetailBudget[[#This Row],[2021 Cost (USD)]:[2025 Cost (USD)]])</f>
        <v>0</v>
      </c>
      <c r="AJ406" s="180"/>
    </row>
    <row r="407" spans="2:36" ht="12.75" customHeight="1">
      <c r="B407" s="123"/>
      <c r="C4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7" s="85" t="str">
        <f>IF(TblDetailBudget[[#This Row],[Level]]="", "", COUNTIFS($B$8:TblDetailBudget[[#This Row],[Level]], Lvl1Hdr))</f>
        <v/>
      </c>
      <c r="E407" s="85" t="str">
        <f>IF(TblDetailBudget[[#This Row],[Level]]="", "", COUNTIFS($B$8:TblDetailBudget[[#This Row],[Level]], Lvl2Hdr, $D$8:TblDetailBudget[[#This Row],[Lvl 1 Header]], TblDetailBudget[[#This Row],[Lvl 1 Header]]))</f>
        <v/>
      </c>
      <c r="F407" s="85" t="str">
        <f>IF(TblDetailBudget[[#This Row],[Level]]="", "", COUNTIFS($B$8:TblDetailBudget[[#This Row],[Level]], Lvl3Hdr, $D$8:TblDetailBudget[[#This Row],[Lvl 1 Header]], TblDetailBudget[[#This Row],[Lvl 1 Header]], $E$8:TblDetailBudget[[#This Row],[Lvl 2 Header]], TblDetailBudget[[#This Row],[Lvl 2 Header]]))</f>
        <v/>
      </c>
      <c r="G4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7" s="164"/>
      <c r="J407" s="164"/>
      <c r="K407" s="165"/>
      <c r="L407" s="165"/>
      <c r="M407" s="85" t="str">
        <f>IF(TblDetailBudget[[#This Row],[Level]]=LvlBottomHdr, IFERROR(INDEX(TblUnitCost[Unit], MATCH(TblDetailBudget[[#This Row],[Row Title]], TblUnitCost[Resource], 0)), "Invalid Resource"), "")</f>
        <v/>
      </c>
      <c r="N407" s="126" t="str">
        <f>IF(TblDetailBudget[[#This Row],[Level]]=LvlBottomHdr, IFERROR(INDEX(TblUnitCost[LCU], MATCH(TblDetailBudget[[#This Row],[Row Title]], TblUnitCost[Resource], 0)), "Invalid Resource"), "")</f>
        <v/>
      </c>
      <c r="O407" s="130"/>
      <c r="P407" s="109"/>
      <c r="Q407" s="131"/>
      <c r="R407" s="109" t="s">
        <v>66</v>
      </c>
      <c r="S407" s="109" t="s">
        <v>66</v>
      </c>
      <c r="T407" s="109" t="s">
        <v>66</v>
      </c>
      <c r="U407" s="109" t="s">
        <v>66</v>
      </c>
      <c r="V407" s="109" t="s">
        <v>66</v>
      </c>
      <c r="W407" s="126" t="str">
        <f>IF(TblDetailBudget[[#This Row],[Level]]=LvlBottomHdr, IF(SUM(TblDetailBudget[[#This Row],[2021 Quant]:[2025 Quant]])&gt;0, SUM(TblDetailBudget[[#This Row],[2021 Quant]:[2025 Quant]]), ""), "")</f>
        <v/>
      </c>
      <c r="X4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7" s="142">
        <f>SUM(TblDetailBudget[[#This Row],[2021 Cost (LCU)]:[2025 Cost (LCU)]])</f>
        <v>0</v>
      </c>
      <c r="AD407" s="135">
        <f>IFERROR(SUM(TblDetailBudget[[#This Row],[2021 Cost (LCU)]])/FX_Rate, "")</f>
        <v>0</v>
      </c>
      <c r="AE407" s="86">
        <f>IFERROR(SUM(TblDetailBudget[[#This Row],[2022 Cost (LCU)]])/FX_Rate, "")</f>
        <v>0</v>
      </c>
      <c r="AF407" s="86">
        <f>IFERROR(SUM(TblDetailBudget[[#This Row],[2023 Cost (LCU)]])/FX_Rate, "")</f>
        <v>0</v>
      </c>
      <c r="AG407" s="86">
        <f>IFERROR(SUM(TblDetailBudget[[#This Row],[2024 Cost (LCU)]])/FX_Rate, "")</f>
        <v>0</v>
      </c>
      <c r="AH407" s="86">
        <f>IFERROR(SUM(TblDetailBudget[[#This Row],[2025 Cost (LCU)]])/FX_Rate, "")</f>
        <v>0</v>
      </c>
      <c r="AI407" s="126">
        <f>SUM(TblDetailBudget[[#This Row],[2021 Cost (USD)]:[2025 Cost (USD)]])</f>
        <v>0</v>
      </c>
      <c r="AJ407" s="180"/>
    </row>
    <row r="408" spans="2:36" ht="12.75" customHeight="1">
      <c r="B408" s="123"/>
      <c r="C4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8" s="85" t="str">
        <f>IF(TblDetailBudget[[#This Row],[Level]]="", "", COUNTIFS($B$8:TblDetailBudget[[#This Row],[Level]], Lvl1Hdr))</f>
        <v/>
      </c>
      <c r="E408" s="85" t="str">
        <f>IF(TblDetailBudget[[#This Row],[Level]]="", "", COUNTIFS($B$8:TblDetailBudget[[#This Row],[Level]], Lvl2Hdr, $D$8:TblDetailBudget[[#This Row],[Lvl 1 Header]], TblDetailBudget[[#This Row],[Lvl 1 Header]]))</f>
        <v/>
      </c>
      <c r="F408" s="85" t="str">
        <f>IF(TblDetailBudget[[#This Row],[Level]]="", "", COUNTIFS($B$8:TblDetailBudget[[#This Row],[Level]], Lvl3Hdr, $D$8:TblDetailBudget[[#This Row],[Lvl 1 Header]], TblDetailBudget[[#This Row],[Lvl 1 Header]], $E$8:TblDetailBudget[[#This Row],[Lvl 2 Header]], TblDetailBudget[[#This Row],[Lvl 2 Header]]))</f>
        <v/>
      </c>
      <c r="G4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8" s="164"/>
      <c r="J408" s="164"/>
      <c r="K408" s="165"/>
      <c r="L408" s="165"/>
      <c r="M408" s="85" t="str">
        <f>IF(TblDetailBudget[[#This Row],[Level]]=LvlBottomHdr, IFERROR(INDEX(TblUnitCost[Unit], MATCH(TblDetailBudget[[#This Row],[Row Title]], TblUnitCost[Resource], 0)), "Invalid Resource"), "")</f>
        <v/>
      </c>
      <c r="N408" s="126" t="str">
        <f>IF(TblDetailBudget[[#This Row],[Level]]=LvlBottomHdr, IFERROR(INDEX(TblUnitCost[LCU], MATCH(TblDetailBudget[[#This Row],[Row Title]], TblUnitCost[Resource], 0)), "Invalid Resource"), "")</f>
        <v/>
      </c>
      <c r="O408" s="130"/>
      <c r="P408" s="109"/>
      <c r="Q408" s="131"/>
      <c r="R408" s="109" t="s">
        <v>66</v>
      </c>
      <c r="S408" s="109" t="s">
        <v>66</v>
      </c>
      <c r="T408" s="109" t="s">
        <v>66</v>
      </c>
      <c r="U408" s="109" t="s">
        <v>66</v>
      </c>
      <c r="V408" s="109" t="s">
        <v>66</v>
      </c>
      <c r="W408" s="126" t="str">
        <f>IF(TblDetailBudget[[#This Row],[Level]]=LvlBottomHdr, IF(SUM(TblDetailBudget[[#This Row],[2021 Quant]:[2025 Quant]])&gt;0, SUM(TblDetailBudget[[#This Row],[2021 Quant]:[2025 Quant]]), ""), "")</f>
        <v/>
      </c>
      <c r="X4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8" s="142">
        <f>SUM(TblDetailBudget[[#This Row],[2021 Cost (LCU)]:[2025 Cost (LCU)]])</f>
        <v>0</v>
      </c>
      <c r="AD408" s="135">
        <f>IFERROR(SUM(TblDetailBudget[[#This Row],[2021 Cost (LCU)]])/FX_Rate, "")</f>
        <v>0</v>
      </c>
      <c r="AE408" s="86">
        <f>IFERROR(SUM(TblDetailBudget[[#This Row],[2022 Cost (LCU)]])/FX_Rate, "")</f>
        <v>0</v>
      </c>
      <c r="AF408" s="86">
        <f>IFERROR(SUM(TblDetailBudget[[#This Row],[2023 Cost (LCU)]])/FX_Rate, "")</f>
        <v>0</v>
      </c>
      <c r="AG408" s="86">
        <f>IFERROR(SUM(TblDetailBudget[[#This Row],[2024 Cost (LCU)]])/FX_Rate, "")</f>
        <v>0</v>
      </c>
      <c r="AH408" s="86">
        <f>IFERROR(SUM(TblDetailBudget[[#This Row],[2025 Cost (LCU)]])/FX_Rate, "")</f>
        <v>0</v>
      </c>
      <c r="AI408" s="126">
        <f>SUM(TblDetailBudget[[#This Row],[2021 Cost (USD)]:[2025 Cost (USD)]])</f>
        <v>0</v>
      </c>
      <c r="AJ408" s="180"/>
    </row>
    <row r="409" spans="2:36" ht="12.75" customHeight="1">
      <c r="B409" s="123"/>
      <c r="C4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9" s="85" t="str">
        <f>IF(TblDetailBudget[[#This Row],[Level]]="", "", COUNTIFS($B$8:TblDetailBudget[[#This Row],[Level]], Lvl1Hdr))</f>
        <v/>
      </c>
      <c r="E409" s="85" t="str">
        <f>IF(TblDetailBudget[[#This Row],[Level]]="", "", COUNTIFS($B$8:TblDetailBudget[[#This Row],[Level]], Lvl2Hdr, $D$8:TblDetailBudget[[#This Row],[Lvl 1 Header]], TblDetailBudget[[#This Row],[Lvl 1 Header]]))</f>
        <v/>
      </c>
      <c r="F409" s="85" t="str">
        <f>IF(TblDetailBudget[[#This Row],[Level]]="", "", COUNTIFS($B$8:TblDetailBudget[[#This Row],[Level]], Lvl3Hdr, $D$8:TblDetailBudget[[#This Row],[Lvl 1 Header]], TblDetailBudget[[#This Row],[Lvl 1 Header]], $E$8:TblDetailBudget[[#This Row],[Lvl 2 Header]], TblDetailBudget[[#This Row],[Lvl 2 Header]]))</f>
        <v/>
      </c>
      <c r="G4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9" s="164"/>
      <c r="J409" s="164"/>
      <c r="K409" s="165"/>
      <c r="L409" s="165"/>
      <c r="M409" s="85" t="str">
        <f>IF(TblDetailBudget[[#This Row],[Level]]=LvlBottomHdr, IFERROR(INDEX(TblUnitCost[Unit], MATCH(TblDetailBudget[[#This Row],[Row Title]], TblUnitCost[Resource], 0)), "Invalid Resource"), "")</f>
        <v/>
      </c>
      <c r="N409" s="126" t="str">
        <f>IF(TblDetailBudget[[#This Row],[Level]]=LvlBottomHdr, IFERROR(INDEX(TblUnitCost[LCU], MATCH(TblDetailBudget[[#This Row],[Row Title]], TblUnitCost[Resource], 0)), "Invalid Resource"), "")</f>
        <v/>
      </c>
      <c r="O409" s="130"/>
      <c r="P409" s="109"/>
      <c r="Q409" s="131"/>
      <c r="R409" s="109" t="s">
        <v>66</v>
      </c>
      <c r="S409" s="109" t="s">
        <v>66</v>
      </c>
      <c r="T409" s="109" t="s">
        <v>66</v>
      </c>
      <c r="U409" s="109" t="s">
        <v>66</v>
      </c>
      <c r="V409" s="109" t="s">
        <v>66</v>
      </c>
      <c r="W409" s="126" t="str">
        <f>IF(TblDetailBudget[[#This Row],[Level]]=LvlBottomHdr, IF(SUM(TblDetailBudget[[#This Row],[2021 Quant]:[2025 Quant]])&gt;0, SUM(TblDetailBudget[[#This Row],[2021 Quant]:[2025 Quant]]), ""), "")</f>
        <v/>
      </c>
      <c r="X4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9" s="142">
        <f>SUM(TblDetailBudget[[#This Row],[2021 Cost (LCU)]:[2025 Cost (LCU)]])</f>
        <v>0</v>
      </c>
      <c r="AD409" s="135">
        <f>IFERROR(SUM(TblDetailBudget[[#This Row],[2021 Cost (LCU)]])/FX_Rate, "")</f>
        <v>0</v>
      </c>
      <c r="AE409" s="86">
        <f>IFERROR(SUM(TblDetailBudget[[#This Row],[2022 Cost (LCU)]])/FX_Rate, "")</f>
        <v>0</v>
      </c>
      <c r="AF409" s="86">
        <f>IFERROR(SUM(TblDetailBudget[[#This Row],[2023 Cost (LCU)]])/FX_Rate, "")</f>
        <v>0</v>
      </c>
      <c r="AG409" s="86">
        <f>IFERROR(SUM(TblDetailBudget[[#This Row],[2024 Cost (LCU)]])/FX_Rate, "")</f>
        <v>0</v>
      </c>
      <c r="AH409" s="86">
        <f>IFERROR(SUM(TblDetailBudget[[#This Row],[2025 Cost (LCU)]])/FX_Rate, "")</f>
        <v>0</v>
      </c>
      <c r="AI409" s="126">
        <f>SUM(TblDetailBudget[[#This Row],[2021 Cost (USD)]:[2025 Cost (USD)]])</f>
        <v>0</v>
      </c>
      <c r="AJ409" s="180"/>
    </row>
    <row r="410" spans="2:36" ht="12.75" customHeight="1">
      <c r="B410" s="123"/>
      <c r="C4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0" s="85" t="str">
        <f>IF(TblDetailBudget[[#This Row],[Level]]="", "", COUNTIFS($B$8:TblDetailBudget[[#This Row],[Level]], Lvl1Hdr))</f>
        <v/>
      </c>
      <c r="E410" s="85" t="str">
        <f>IF(TblDetailBudget[[#This Row],[Level]]="", "", COUNTIFS($B$8:TblDetailBudget[[#This Row],[Level]], Lvl2Hdr, $D$8:TblDetailBudget[[#This Row],[Lvl 1 Header]], TblDetailBudget[[#This Row],[Lvl 1 Header]]))</f>
        <v/>
      </c>
      <c r="F410" s="85" t="str">
        <f>IF(TblDetailBudget[[#This Row],[Level]]="", "", COUNTIFS($B$8:TblDetailBudget[[#This Row],[Level]], Lvl3Hdr, $D$8:TblDetailBudget[[#This Row],[Lvl 1 Header]], TblDetailBudget[[#This Row],[Lvl 1 Header]], $E$8:TblDetailBudget[[#This Row],[Lvl 2 Header]], TblDetailBudget[[#This Row],[Lvl 2 Header]]))</f>
        <v/>
      </c>
      <c r="G4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0" s="164"/>
      <c r="J410" s="164"/>
      <c r="K410" s="165"/>
      <c r="L410" s="165"/>
      <c r="M410" s="85" t="str">
        <f>IF(TblDetailBudget[[#This Row],[Level]]=LvlBottomHdr, IFERROR(INDEX(TblUnitCost[Unit], MATCH(TblDetailBudget[[#This Row],[Row Title]], TblUnitCost[Resource], 0)), "Invalid Resource"), "")</f>
        <v/>
      </c>
      <c r="N410" s="126" t="str">
        <f>IF(TblDetailBudget[[#This Row],[Level]]=LvlBottomHdr, IFERROR(INDEX(TblUnitCost[LCU], MATCH(TblDetailBudget[[#This Row],[Row Title]], TblUnitCost[Resource], 0)), "Invalid Resource"), "")</f>
        <v/>
      </c>
      <c r="O410" s="130"/>
      <c r="P410" s="109"/>
      <c r="Q410" s="131"/>
      <c r="R410" s="109" t="s">
        <v>66</v>
      </c>
      <c r="S410" s="109" t="s">
        <v>66</v>
      </c>
      <c r="T410" s="109" t="s">
        <v>66</v>
      </c>
      <c r="U410" s="109" t="s">
        <v>66</v>
      </c>
      <c r="V410" s="109" t="s">
        <v>66</v>
      </c>
      <c r="W410" s="126" t="str">
        <f>IF(TblDetailBudget[[#This Row],[Level]]=LvlBottomHdr, IF(SUM(TblDetailBudget[[#This Row],[2021 Quant]:[2025 Quant]])&gt;0, SUM(TblDetailBudget[[#This Row],[2021 Quant]:[2025 Quant]]), ""), "")</f>
        <v/>
      </c>
      <c r="X4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0" s="142">
        <f>SUM(TblDetailBudget[[#This Row],[2021 Cost (LCU)]:[2025 Cost (LCU)]])</f>
        <v>0</v>
      </c>
      <c r="AD410" s="135">
        <f>IFERROR(SUM(TblDetailBudget[[#This Row],[2021 Cost (LCU)]])/FX_Rate, "")</f>
        <v>0</v>
      </c>
      <c r="AE410" s="86">
        <f>IFERROR(SUM(TblDetailBudget[[#This Row],[2022 Cost (LCU)]])/FX_Rate, "")</f>
        <v>0</v>
      </c>
      <c r="AF410" s="86">
        <f>IFERROR(SUM(TblDetailBudget[[#This Row],[2023 Cost (LCU)]])/FX_Rate, "")</f>
        <v>0</v>
      </c>
      <c r="AG410" s="86">
        <f>IFERROR(SUM(TblDetailBudget[[#This Row],[2024 Cost (LCU)]])/FX_Rate, "")</f>
        <v>0</v>
      </c>
      <c r="AH410" s="86">
        <f>IFERROR(SUM(TblDetailBudget[[#This Row],[2025 Cost (LCU)]])/FX_Rate, "")</f>
        <v>0</v>
      </c>
      <c r="AI410" s="126">
        <f>SUM(TblDetailBudget[[#This Row],[2021 Cost (USD)]:[2025 Cost (USD)]])</f>
        <v>0</v>
      </c>
      <c r="AJ410" s="180"/>
    </row>
    <row r="411" spans="2:36" ht="12.75" customHeight="1">
      <c r="B411" s="123"/>
      <c r="C4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1" s="85" t="str">
        <f>IF(TblDetailBudget[[#This Row],[Level]]="", "", COUNTIFS($B$8:TblDetailBudget[[#This Row],[Level]], Lvl1Hdr))</f>
        <v/>
      </c>
      <c r="E411" s="85" t="str">
        <f>IF(TblDetailBudget[[#This Row],[Level]]="", "", COUNTIFS($B$8:TblDetailBudget[[#This Row],[Level]], Lvl2Hdr, $D$8:TblDetailBudget[[#This Row],[Lvl 1 Header]], TblDetailBudget[[#This Row],[Lvl 1 Header]]))</f>
        <v/>
      </c>
      <c r="F411" s="85" t="str">
        <f>IF(TblDetailBudget[[#This Row],[Level]]="", "", COUNTIFS($B$8:TblDetailBudget[[#This Row],[Level]], Lvl3Hdr, $D$8:TblDetailBudget[[#This Row],[Lvl 1 Header]], TblDetailBudget[[#This Row],[Lvl 1 Header]], $E$8:TblDetailBudget[[#This Row],[Lvl 2 Header]], TblDetailBudget[[#This Row],[Lvl 2 Header]]))</f>
        <v/>
      </c>
      <c r="G4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1" s="164"/>
      <c r="J411" s="164"/>
      <c r="K411" s="165"/>
      <c r="L411" s="165"/>
      <c r="M411" s="85" t="str">
        <f>IF(TblDetailBudget[[#This Row],[Level]]=LvlBottomHdr, IFERROR(INDEX(TblUnitCost[Unit], MATCH(TblDetailBudget[[#This Row],[Row Title]], TblUnitCost[Resource], 0)), "Invalid Resource"), "")</f>
        <v/>
      </c>
      <c r="N411" s="126" t="str">
        <f>IF(TblDetailBudget[[#This Row],[Level]]=LvlBottomHdr, IFERROR(INDEX(TblUnitCost[LCU], MATCH(TblDetailBudget[[#This Row],[Row Title]], TblUnitCost[Resource], 0)), "Invalid Resource"), "")</f>
        <v/>
      </c>
      <c r="O411" s="130"/>
      <c r="P411" s="109"/>
      <c r="Q411" s="131"/>
      <c r="R411" s="109" t="s">
        <v>66</v>
      </c>
      <c r="S411" s="109" t="s">
        <v>66</v>
      </c>
      <c r="T411" s="109" t="s">
        <v>66</v>
      </c>
      <c r="U411" s="109" t="s">
        <v>66</v>
      </c>
      <c r="V411" s="109" t="s">
        <v>66</v>
      </c>
      <c r="W411" s="126" t="str">
        <f>IF(TblDetailBudget[[#This Row],[Level]]=LvlBottomHdr, IF(SUM(TblDetailBudget[[#This Row],[2021 Quant]:[2025 Quant]])&gt;0, SUM(TblDetailBudget[[#This Row],[2021 Quant]:[2025 Quant]]), ""), "")</f>
        <v/>
      </c>
      <c r="X4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1" s="142">
        <f>SUM(TblDetailBudget[[#This Row],[2021 Cost (LCU)]:[2025 Cost (LCU)]])</f>
        <v>0</v>
      </c>
      <c r="AD411" s="135">
        <f>IFERROR(SUM(TblDetailBudget[[#This Row],[2021 Cost (LCU)]])/FX_Rate, "")</f>
        <v>0</v>
      </c>
      <c r="AE411" s="86">
        <f>IFERROR(SUM(TblDetailBudget[[#This Row],[2022 Cost (LCU)]])/FX_Rate, "")</f>
        <v>0</v>
      </c>
      <c r="AF411" s="86">
        <f>IFERROR(SUM(TblDetailBudget[[#This Row],[2023 Cost (LCU)]])/FX_Rate, "")</f>
        <v>0</v>
      </c>
      <c r="AG411" s="86">
        <f>IFERROR(SUM(TblDetailBudget[[#This Row],[2024 Cost (LCU)]])/FX_Rate, "")</f>
        <v>0</v>
      </c>
      <c r="AH411" s="86">
        <f>IFERROR(SUM(TblDetailBudget[[#This Row],[2025 Cost (LCU)]])/FX_Rate, "")</f>
        <v>0</v>
      </c>
      <c r="AI411" s="126">
        <f>SUM(TblDetailBudget[[#This Row],[2021 Cost (USD)]:[2025 Cost (USD)]])</f>
        <v>0</v>
      </c>
      <c r="AJ411" s="180"/>
    </row>
    <row r="412" spans="2:36" ht="12.75" customHeight="1">
      <c r="B412" s="123"/>
      <c r="C4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2" s="85" t="str">
        <f>IF(TblDetailBudget[[#This Row],[Level]]="", "", COUNTIFS($B$8:TblDetailBudget[[#This Row],[Level]], Lvl1Hdr))</f>
        <v/>
      </c>
      <c r="E412" s="85" t="str">
        <f>IF(TblDetailBudget[[#This Row],[Level]]="", "", COUNTIFS($B$8:TblDetailBudget[[#This Row],[Level]], Lvl2Hdr, $D$8:TblDetailBudget[[#This Row],[Lvl 1 Header]], TblDetailBudget[[#This Row],[Lvl 1 Header]]))</f>
        <v/>
      </c>
      <c r="F412" s="85" t="str">
        <f>IF(TblDetailBudget[[#This Row],[Level]]="", "", COUNTIFS($B$8:TblDetailBudget[[#This Row],[Level]], Lvl3Hdr, $D$8:TblDetailBudget[[#This Row],[Lvl 1 Header]], TblDetailBudget[[#This Row],[Lvl 1 Header]], $E$8:TblDetailBudget[[#This Row],[Lvl 2 Header]], TblDetailBudget[[#This Row],[Lvl 2 Header]]))</f>
        <v/>
      </c>
      <c r="G4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2" s="164"/>
      <c r="J412" s="164"/>
      <c r="K412" s="165"/>
      <c r="L412" s="165"/>
      <c r="M412" s="85" t="str">
        <f>IF(TblDetailBudget[[#This Row],[Level]]=LvlBottomHdr, IFERROR(INDEX(TblUnitCost[Unit], MATCH(TblDetailBudget[[#This Row],[Row Title]], TblUnitCost[Resource], 0)), "Invalid Resource"), "")</f>
        <v/>
      </c>
      <c r="N412" s="126" t="str">
        <f>IF(TblDetailBudget[[#This Row],[Level]]=LvlBottomHdr, IFERROR(INDEX(TblUnitCost[LCU], MATCH(TblDetailBudget[[#This Row],[Row Title]], TblUnitCost[Resource], 0)), "Invalid Resource"), "")</f>
        <v/>
      </c>
      <c r="O412" s="130"/>
      <c r="P412" s="109"/>
      <c r="Q412" s="131"/>
      <c r="R412" s="109" t="s">
        <v>66</v>
      </c>
      <c r="S412" s="109" t="s">
        <v>66</v>
      </c>
      <c r="T412" s="109" t="s">
        <v>66</v>
      </c>
      <c r="U412" s="109" t="s">
        <v>66</v>
      </c>
      <c r="V412" s="109" t="s">
        <v>66</v>
      </c>
      <c r="W412" s="126" t="str">
        <f>IF(TblDetailBudget[[#This Row],[Level]]=LvlBottomHdr, IF(SUM(TblDetailBudget[[#This Row],[2021 Quant]:[2025 Quant]])&gt;0, SUM(TblDetailBudget[[#This Row],[2021 Quant]:[2025 Quant]]), ""), "")</f>
        <v/>
      </c>
      <c r="X4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2" s="142">
        <f>SUM(TblDetailBudget[[#This Row],[2021 Cost (LCU)]:[2025 Cost (LCU)]])</f>
        <v>0</v>
      </c>
      <c r="AD412" s="135">
        <f>IFERROR(SUM(TblDetailBudget[[#This Row],[2021 Cost (LCU)]])/FX_Rate, "")</f>
        <v>0</v>
      </c>
      <c r="AE412" s="86">
        <f>IFERROR(SUM(TblDetailBudget[[#This Row],[2022 Cost (LCU)]])/FX_Rate, "")</f>
        <v>0</v>
      </c>
      <c r="AF412" s="86">
        <f>IFERROR(SUM(TblDetailBudget[[#This Row],[2023 Cost (LCU)]])/FX_Rate, "")</f>
        <v>0</v>
      </c>
      <c r="AG412" s="86">
        <f>IFERROR(SUM(TblDetailBudget[[#This Row],[2024 Cost (LCU)]])/FX_Rate, "")</f>
        <v>0</v>
      </c>
      <c r="AH412" s="86">
        <f>IFERROR(SUM(TblDetailBudget[[#This Row],[2025 Cost (LCU)]])/FX_Rate, "")</f>
        <v>0</v>
      </c>
      <c r="AI412" s="126">
        <f>SUM(TblDetailBudget[[#This Row],[2021 Cost (USD)]:[2025 Cost (USD)]])</f>
        <v>0</v>
      </c>
      <c r="AJ412" s="180"/>
    </row>
    <row r="413" spans="2:36" ht="12.75" customHeight="1">
      <c r="B413" s="123"/>
      <c r="C4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3" s="85" t="str">
        <f>IF(TblDetailBudget[[#This Row],[Level]]="", "", COUNTIFS($B$8:TblDetailBudget[[#This Row],[Level]], Lvl1Hdr))</f>
        <v/>
      </c>
      <c r="E413" s="85" t="str">
        <f>IF(TblDetailBudget[[#This Row],[Level]]="", "", COUNTIFS($B$8:TblDetailBudget[[#This Row],[Level]], Lvl2Hdr, $D$8:TblDetailBudget[[#This Row],[Lvl 1 Header]], TblDetailBudget[[#This Row],[Lvl 1 Header]]))</f>
        <v/>
      </c>
      <c r="F413" s="85" t="str">
        <f>IF(TblDetailBudget[[#This Row],[Level]]="", "", COUNTIFS($B$8:TblDetailBudget[[#This Row],[Level]], Lvl3Hdr, $D$8:TblDetailBudget[[#This Row],[Lvl 1 Header]], TblDetailBudget[[#This Row],[Lvl 1 Header]], $E$8:TblDetailBudget[[#This Row],[Lvl 2 Header]], TblDetailBudget[[#This Row],[Lvl 2 Header]]))</f>
        <v/>
      </c>
      <c r="G4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3" s="164"/>
      <c r="J413" s="164"/>
      <c r="K413" s="165"/>
      <c r="L413" s="165"/>
      <c r="M413" s="85" t="str">
        <f>IF(TblDetailBudget[[#This Row],[Level]]=LvlBottomHdr, IFERROR(INDEX(TblUnitCost[Unit], MATCH(TblDetailBudget[[#This Row],[Row Title]], TblUnitCost[Resource], 0)), "Invalid Resource"), "")</f>
        <v/>
      </c>
      <c r="N413" s="126" t="str">
        <f>IF(TblDetailBudget[[#This Row],[Level]]=LvlBottomHdr, IFERROR(INDEX(TblUnitCost[LCU], MATCH(TblDetailBudget[[#This Row],[Row Title]], TblUnitCost[Resource], 0)), "Invalid Resource"), "")</f>
        <v/>
      </c>
      <c r="O413" s="130"/>
      <c r="P413" s="109"/>
      <c r="Q413" s="131"/>
      <c r="R413" s="109" t="s">
        <v>66</v>
      </c>
      <c r="S413" s="109" t="s">
        <v>66</v>
      </c>
      <c r="T413" s="109" t="s">
        <v>66</v>
      </c>
      <c r="U413" s="109" t="s">
        <v>66</v>
      </c>
      <c r="V413" s="109" t="s">
        <v>66</v>
      </c>
      <c r="W413" s="126" t="str">
        <f>IF(TblDetailBudget[[#This Row],[Level]]=LvlBottomHdr, IF(SUM(TblDetailBudget[[#This Row],[2021 Quant]:[2025 Quant]])&gt;0, SUM(TblDetailBudget[[#This Row],[2021 Quant]:[2025 Quant]]), ""), "")</f>
        <v/>
      </c>
      <c r="X4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3" s="142">
        <f>SUM(TblDetailBudget[[#This Row],[2021 Cost (LCU)]:[2025 Cost (LCU)]])</f>
        <v>0</v>
      </c>
      <c r="AD413" s="135">
        <f>IFERROR(SUM(TblDetailBudget[[#This Row],[2021 Cost (LCU)]])/FX_Rate, "")</f>
        <v>0</v>
      </c>
      <c r="AE413" s="86">
        <f>IFERROR(SUM(TblDetailBudget[[#This Row],[2022 Cost (LCU)]])/FX_Rate, "")</f>
        <v>0</v>
      </c>
      <c r="AF413" s="86">
        <f>IFERROR(SUM(TblDetailBudget[[#This Row],[2023 Cost (LCU)]])/FX_Rate, "")</f>
        <v>0</v>
      </c>
      <c r="AG413" s="86">
        <f>IFERROR(SUM(TblDetailBudget[[#This Row],[2024 Cost (LCU)]])/FX_Rate, "")</f>
        <v>0</v>
      </c>
      <c r="AH413" s="86">
        <f>IFERROR(SUM(TblDetailBudget[[#This Row],[2025 Cost (LCU)]])/FX_Rate, "")</f>
        <v>0</v>
      </c>
      <c r="AI413" s="126">
        <f>SUM(TblDetailBudget[[#This Row],[2021 Cost (USD)]:[2025 Cost (USD)]])</f>
        <v>0</v>
      </c>
      <c r="AJ413" s="180"/>
    </row>
    <row r="414" spans="2:36" ht="12.75" customHeight="1">
      <c r="B414" s="123"/>
      <c r="C41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4" s="85" t="str">
        <f>IF(TblDetailBudget[[#This Row],[Level]]="", "", COUNTIFS($B$8:TblDetailBudget[[#This Row],[Level]], Lvl1Hdr))</f>
        <v/>
      </c>
      <c r="E414" s="85" t="str">
        <f>IF(TblDetailBudget[[#This Row],[Level]]="", "", COUNTIFS($B$8:TblDetailBudget[[#This Row],[Level]], Lvl2Hdr, $D$8:TblDetailBudget[[#This Row],[Lvl 1 Header]], TblDetailBudget[[#This Row],[Lvl 1 Header]]))</f>
        <v/>
      </c>
      <c r="F414" s="85" t="str">
        <f>IF(TblDetailBudget[[#This Row],[Level]]="", "", COUNTIFS($B$8:TblDetailBudget[[#This Row],[Level]], Lvl3Hdr, $D$8:TblDetailBudget[[#This Row],[Lvl 1 Header]], TblDetailBudget[[#This Row],[Lvl 1 Header]], $E$8:TblDetailBudget[[#This Row],[Lvl 2 Header]], TblDetailBudget[[#This Row],[Lvl 2 Header]]))</f>
        <v/>
      </c>
      <c r="G41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4" s="164"/>
      <c r="J414" s="164"/>
      <c r="K414" s="165"/>
      <c r="L414" s="165"/>
      <c r="M414" s="85" t="str">
        <f>IF(TblDetailBudget[[#This Row],[Level]]=LvlBottomHdr, IFERROR(INDEX(TblUnitCost[Unit], MATCH(TblDetailBudget[[#This Row],[Row Title]], TblUnitCost[Resource], 0)), "Invalid Resource"), "")</f>
        <v/>
      </c>
      <c r="N414" s="126" t="str">
        <f>IF(TblDetailBudget[[#This Row],[Level]]=LvlBottomHdr, IFERROR(INDEX(TblUnitCost[LCU], MATCH(TblDetailBudget[[#This Row],[Row Title]], TblUnitCost[Resource], 0)), "Invalid Resource"), "")</f>
        <v/>
      </c>
      <c r="O414" s="130"/>
      <c r="P414" s="109"/>
      <c r="Q414" s="131"/>
      <c r="R414" s="109" t="s">
        <v>66</v>
      </c>
      <c r="S414" s="109" t="s">
        <v>66</v>
      </c>
      <c r="T414" s="109" t="s">
        <v>66</v>
      </c>
      <c r="U414" s="109" t="s">
        <v>66</v>
      </c>
      <c r="V414" s="109" t="s">
        <v>66</v>
      </c>
      <c r="W414" s="126" t="str">
        <f>IF(TblDetailBudget[[#This Row],[Level]]=LvlBottomHdr, IF(SUM(TblDetailBudget[[#This Row],[2021 Quant]:[2025 Quant]])&gt;0, SUM(TblDetailBudget[[#This Row],[2021 Quant]:[2025 Quant]]), ""), "")</f>
        <v/>
      </c>
      <c r="X41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4" s="142">
        <f>SUM(TblDetailBudget[[#This Row],[2021 Cost (LCU)]:[2025 Cost (LCU)]])</f>
        <v>0</v>
      </c>
      <c r="AD414" s="135">
        <f>IFERROR(SUM(TblDetailBudget[[#This Row],[2021 Cost (LCU)]])/FX_Rate, "")</f>
        <v>0</v>
      </c>
      <c r="AE414" s="86">
        <f>IFERROR(SUM(TblDetailBudget[[#This Row],[2022 Cost (LCU)]])/FX_Rate, "")</f>
        <v>0</v>
      </c>
      <c r="AF414" s="86">
        <f>IFERROR(SUM(TblDetailBudget[[#This Row],[2023 Cost (LCU)]])/FX_Rate, "")</f>
        <v>0</v>
      </c>
      <c r="AG414" s="86">
        <f>IFERROR(SUM(TblDetailBudget[[#This Row],[2024 Cost (LCU)]])/FX_Rate, "")</f>
        <v>0</v>
      </c>
      <c r="AH414" s="86">
        <f>IFERROR(SUM(TblDetailBudget[[#This Row],[2025 Cost (LCU)]])/FX_Rate, "")</f>
        <v>0</v>
      </c>
      <c r="AI414" s="126">
        <f>SUM(TblDetailBudget[[#This Row],[2021 Cost (USD)]:[2025 Cost (USD)]])</f>
        <v>0</v>
      </c>
      <c r="AJ414" s="180"/>
    </row>
    <row r="415" spans="2:36" ht="12.75" customHeight="1">
      <c r="B415" s="123"/>
      <c r="C41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5" s="85" t="str">
        <f>IF(TblDetailBudget[[#This Row],[Level]]="", "", COUNTIFS($B$8:TblDetailBudget[[#This Row],[Level]], Lvl1Hdr))</f>
        <v/>
      </c>
      <c r="E415" s="85" t="str">
        <f>IF(TblDetailBudget[[#This Row],[Level]]="", "", COUNTIFS($B$8:TblDetailBudget[[#This Row],[Level]], Lvl2Hdr, $D$8:TblDetailBudget[[#This Row],[Lvl 1 Header]], TblDetailBudget[[#This Row],[Lvl 1 Header]]))</f>
        <v/>
      </c>
      <c r="F415" s="85" t="str">
        <f>IF(TblDetailBudget[[#This Row],[Level]]="", "", COUNTIFS($B$8:TblDetailBudget[[#This Row],[Level]], Lvl3Hdr, $D$8:TblDetailBudget[[#This Row],[Lvl 1 Header]], TblDetailBudget[[#This Row],[Lvl 1 Header]], $E$8:TblDetailBudget[[#This Row],[Lvl 2 Header]], TblDetailBudget[[#This Row],[Lvl 2 Header]]))</f>
        <v/>
      </c>
      <c r="G41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5" s="164"/>
      <c r="J415" s="164"/>
      <c r="K415" s="165"/>
      <c r="L415" s="165"/>
      <c r="M415" s="85" t="str">
        <f>IF(TblDetailBudget[[#This Row],[Level]]=LvlBottomHdr, IFERROR(INDEX(TblUnitCost[Unit], MATCH(TblDetailBudget[[#This Row],[Row Title]], TblUnitCost[Resource], 0)), "Invalid Resource"), "")</f>
        <v/>
      </c>
      <c r="N415" s="126" t="str">
        <f>IF(TblDetailBudget[[#This Row],[Level]]=LvlBottomHdr, IFERROR(INDEX(TblUnitCost[LCU], MATCH(TblDetailBudget[[#This Row],[Row Title]], TblUnitCost[Resource], 0)), "Invalid Resource"), "")</f>
        <v/>
      </c>
      <c r="O415" s="130"/>
      <c r="P415" s="109"/>
      <c r="Q415" s="131"/>
      <c r="R415" s="109" t="s">
        <v>66</v>
      </c>
      <c r="S415" s="109" t="s">
        <v>66</v>
      </c>
      <c r="T415" s="109" t="s">
        <v>66</v>
      </c>
      <c r="U415" s="109" t="s">
        <v>66</v>
      </c>
      <c r="V415" s="109" t="s">
        <v>66</v>
      </c>
      <c r="W415" s="126" t="str">
        <f>IF(TblDetailBudget[[#This Row],[Level]]=LvlBottomHdr, IF(SUM(TblDetailBudget[[#This Row],[2021 Quant]:[2025 Quant]])&gt;0, SUM(TblDetailBudget[[#This Row],[2021 Quant]:[2025 Quant]]), ""), "")</f>
        <v/>
      </c>
      <c r="X41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5" s="142">
        <f>SUM(TblDetailBudget[[#This Row],[2021 Cost (LCU)]:[2025 Cost (LCU)]])</f>
        <v>0</v>
      </c>
      <c r="AD415" s="135">
        <f>IFERROR(SUM(TblDetailBudget[[#This Row],[2021 Cost (LCU)]])/FX_Rate, "")</f>
        <v>0</v>
      </c>
      <c r="AE415" s="86">
        <f>IFERROR(SUM(TblDetailBudget[[#This Row],[2022 Cost (LCU)]])/FX_Rate, "")</f>
        <v>0</v>
      </c>
      <c r="AF415" s="86">
        <f>IFERROR(SUM(TblDetailBudget[[#This Row],[2023 Cost (LCU)]])/FX_Rate, "")</f>
        <v>0</v>
      </c>
      <c r="AG415" s="86">
        <f>IFERROR(SUM(TblDetailBudget[[#This Row],[2024 Cost (LCU)]])/FX_Rate, "")</f>
        <v>0</v>
      </c>
      <c r="AH415" s="86">
        <f>IFERROR(SUM(TblDetailBudget[[#This Row],[2025 Cost (LCU)]])/FX_Rate, "")</f>
        <v>0</v>
      </c>
      <c r="AI415" s="126">
        <f>SUM(TblDetailBudget[[#This Row],[2021 Cost (USD)]:[2025 Cost (USD)]])</f>
        <v>0</v>
      </c>
      <c r="AJ415" s="180"/>
    </row>
    <row r="416" spans="2:36" ht="12.75" customHeight="1">
      <c r="B416" s="123"/>
      <c r="C41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6" s="85" t="str">
        <f>IF(TblDetailBudget[[#This Row],[Level]]="", "", COUNTIFS($B$8:TblDetailBudget[[#This Row],[Level]], Lvl1Hdr))</f>
        <v/>
      </c>
      <c r="E416" s="85" t="str">
        <f>IF(TblDetailBudget[[#This Row],[Level]]="", "", COUNTIFS($B$8:TblDetailBudget[[#This Row],[Level]], Lvl2Hdr, $D$8:TblDetailBudget[[#This Row],[Lvl 1 Header]], TblDetailBudget[[#This Row],[Lvl 1 Header]]))</f>
        <v/>
      </c>
      <c r="F416" s="85" t="str">
        <f>IF(TblDetailBudget[[#This Row],[Level]]="", "", COUNTIFS($B$8:TblDetailBudget[[#This Row],[Level]], Lvl3Hdr, $D$8:TblDetailBudget[[#This Row],[Lvl 1 Header]], TblDetailBudget[[#This Row],[Lvl 1 Header]], $E$8:TblDetailBudget[[#This Row],[Lvl 2 Header]], TblDetailBudget[[#This Row],[Lvl 2 Header]]))</f>
        <v/>
      </c>
      <c r="G41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6" s="164"/>
      <c r="J416" s="164"/>
      <c r="K416" s="165"/>
      <c r="L416" s="165"/>
      <c r="M416" s="85" t="str">
        <f>IF(TblDetailBudget[[#This Row],[Level]]=LvlBottomHdr, IFERROR(INDEX(TblUnitCost[Unit], MATCH(TblDetailBudget[[#This Row],[Row Title]], TblUnitCost[Resource], 0)), "Invalid Resource"), "")</f>
        <v/>
      </c>
      <c r="N416" s="126" t="str">
        <f>IF(TblDetailBudget[[#This Row],[Level]]=LvlBottomHdr, IFERROR(INDEX(TblUnitCost[LCU], MATCH(TblDetailBudget[[#This Row],[Row Title]], TblUnitCost[Resource], 0)), "Invalid Resource"), "")</f>
        <v/>
      </c>
      <c r="O416" s="130"/>
      <c r="P416" s="109"/>
      <c r="Q416" s="131"/>
      <c r="R416" s="109" t="s">
        <v>66</v>
      </c>
      <c r="S416" s="109" t="s">
        <v>66</v>
      </c>
      <c r="T416" s="109" t="s">
        <v>66</v>
      </c>
      <c r="U416" s="109" t="s">
        <v>66</v>
      </c>
      <c r="V416" s="109" t="s">
        <v>66</v>
      </c>
      <c r="W416" s="126" t="str">
        <f>IF(TblDetailBudget[[#This Row],[Level]]=LvlBottomHdr, IF(SUM(TblDetailBudget[[#This Row],[2021 Quant]:[2025 Quant]])&gt;0, SUM(TblDetailBudget[[#This Row],[2021 Quant]:[2025 Quant]]), ""), "")</f>
        <v/>
      </c>
      <c r="X41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6" s="142">
        <f>SUM(TblDetailBudget[[#This Row],[2021 Cost (LCU)]:[2025 Cost (LCU)]])</f>
        <v>0</v>
      </c>
      <c r="AD416" s="135">
        <f>IFERROR(SUM(TblDetailBudget[[#This Row],[2021 Cost (LCU)]])/FX_Rate, "")</f>
        <v>0</v>
      </c>
      <c r="AE416" s="86">
        <f>IFERROR(SUM(TblDetailBudget[[#This Row],[2022 Cost (LCU)]])/FX_Rate, "")</f>
        <v>0</v>
      </c>
      <c r="AF416" s="86">
        <f>IFERROR(SUM(TblDetailBudget[[#This Row],[2023 Cost (LCU)]])/FX_Rate, "")</f>
        <v>0</v>
      </c>
      <c r="AG416" s="86">
        <f>IFERROR(SUM(TblDetailBudget[[#This Row],[2024 Cost (LCU)]])/FX_Rate, "")</f>
        <v>0</v>
      </c>
      <c r="AH416" s="86">
        <f>IFERROR(SUM(TblDetailBudget[[#This Row],[2025 Cost (LCU)]])/FX_Rate, "")</f>
        <v>0</v>
      </c>
      <c r="AI416" s="126">
        <f>SUM(TblDetailBudget[[#This Row],[2021 Cost (USD)]:[2025 Cost (USD)]])</f>
        <v>0</v>
      </c>
      <c r="AJ416" s="180"/>
    </row>
    <row r="417" spans="2:36" ht="12.75" customHeight="1">
      <c r="B417" s="123"/>
      <c r="C41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7" s="85" t="str">
        <f>IF(TblDetailBudget[[#This Row],[Level]]="", "", COUNTIFS($B$8:TblDetailBudget[[#This Row],[Level]], Lvl1Hdr))</f>
        <v/>
      </c>
      <c r="E417" s="85" t="str">
        <f>IF(TblDetailBudget[[#This Row],[Level]]="", "", COUNTIFS($B$8:TblDetailBudget[[#This Row],[Level]], Lvl2Hdr, $D$8:TblDetailBudget[[#This Row],[Lvl 1 Header]], TblDetailBudget[[#This Row],[Lvl 1 Header]]))</f>
        <v/>
      </c>
      <c r="F417" s="85" t="str">
        <f>IF(TblDetailBudget[[#This Row],[Level]]="", "", COUNTIFS($B$8:TblDetailBudget[[#This Row],[Level]], Lvl3Hdr, $D$8:TblDetailBudget[[#This Row],[Lvl 1 Header]], TblDetailBudget[[#This Row],[Lvl 1 Header]], $E$8:TblDetailBudget[[#This Row],[Lvl 2 Header]], TblDetailBudget[[#This Row],[Lvl 2 Header]]))</f>
        <v/>
      </c>
      <c r="G41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7" s="164"/>
      <c r="J417" s="164"/>
      <c r="K417" s="165"/>
      <c r="L417" s="165"/>
      <c r="M417" s="85" t="str">
        <f>IF(TblDetailBudget[[#This Row],[Level]]=LvlBottomHdr, IFERROR(INDEX(TblUnitCost[Unit], MATCH(TblDetailBudget[[#This Row],[Row Title]], TblUnitCost[Resource], 0)), "Invalid Resource"), "")</f>
        <v/>
      </c>
      <c r="N417" s="126" t="str">
        <f>IF(TblDetailBudget[[#This Row],[Level]]=LvlBottomHdr, IFERROR(INDEX(TblUnitCost[LCU], MATCH(TblDetailBudget[[#This Row],[Row Title]], TblUnitCost[Resource], 0)), "Invalid Resource"), "")</f>
        <v/>
      </c>
      <c r="O417" s="130"/>
      <c r="P417" s="109"/>
      <c r="Q417" s="131"/>
      <c r="R417" s="109" t="s">
        <v>66</v>
      </c>
      <c r="S417" s="109" t="s">
        <v>66</v>
      </c>
      <c r="T417" s="109" t="s">
        <v>66</v>
      </c>
      <c r="U417" s="109" t="s">
        <v>66</v>
      </c>
      <c r="V417" s="109" t="s">
        <v>66</v>
      </c>
      <c r="W417" s="126" t="str">
        <f>IF(TblDetailBudget[[#This Row],[Level]]=LvlBottomHdr, IF(SUM(TblDetailBudget[[#This Row],[2021 Quant]:[2025 Quant]])&gt;0, SUM(TblDetailBudget[[#This Row],[2021 Quant]:[2025 Quant]]), ""), "")</f>
        <v/>
      </c>
      <c r="X41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7" s="142">
        <f>SUM(TblDetailBudget[[#This Row],[2021 Cost (LCU)]:[2025 Cost (LCU)]])</f>
        <v>0</v>
      </c>
      <c r="AD417" s="135">
        <f>IFERROR(SUM(TblDetailBudget[[#This Row],[2021 Cost (LCU)]])/FX_Rate, "")</f>
        <v>0</v>
      </c>
      <c r="AE417" s="86">
        <f>IFERROR(SUM(TblDetailBudget[[#This Row],[2022 Cost (LCU)]])/FX_Rate, "")</f>
        <v>0</v>
      </c>
      <c r="AF417" s="86">
        <f>IFERROR(SUM(TblDetailBudget[[#This Row],[2023 Cost (LCU)]])/FX_Rate, "")</f>
        <v>0</v>
      </c>
      <c r="AG417" s="86">
        <f>IFERROR(SUM(TblDetailBudget[[#This Row],[2024 Cost (LCU)]])/FX_Rate, "")</f>
        <v>0</v>
      </c>
      <c r="AH417" s="86">
        <f>IFERROR(SUM(TblDetailBudget[[#This Row],[2025 Cost (LCU)]])/FX_Rate, "")</f>
        <v>0</v>
      </c>
      <c r="AI417" s="126">
        <f>SUM(TblDetailBudget[[#This Row],[2021 Cost (USD)]:[2025 Cost (USD)]])</f>
        <v>0</v>
      </c>
      <c r="AJ417" s="180"/>
    </row>
    <row r="418" spans="2:36" ht="12.75" customHeight="1">
      <c r="B418" s="123"/>
      <c r="C41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8" s="85" t="str">
        <f>IF(TblDetailBudget[[#This Row],[Level]]="", "", COUNTIFS($B$8:TblDetailBudget[[#This Row],[Level]], Lvl1Hdr))</f>
        <v/>
      </c>
      <c r="E418" s="85" t="str">
        <f>IF(TblDetailBudget[[#This Row],[Level]]="", "", COUNTIFS($B$8:TblDetailBudget[[#This Row],[Level]], Lvl2Hdr, $D$8:TblDetailBudget[[#This Row],[Lvl 1 Header]], TblDetailBudget[[#This Row],[Lvl 1 Header]]))</f>
        <v/>
      </c>
      <c r="F418" s="85" t="str">
        <f>IF(TblDetailBudget[[#This Row],[Level]]="", "", COUNTIFS($B$8:TblDetailBudget[[#This Row],[Level]], Lvl3Hdr, $D$8:TblDetailBudget[[#This Row],[Lvl 1 Header]], TblDetailBudget[[#This Row],[Lvl 1 Header]], $E$8:TblDetailBudget[[#This Row],[Lvl 2 Header]], TblDetailBudget[[#This Row],[Lvl 2 Header]]))</f>
        <v/>
      </c>
      <c r="G41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8" s="164"/>
      <c r="J418" s="164"/>
      <c r="K418" s="165"/>
      <c r="L418" s="165"/>
      <c r="M418" s="85" t="str">
        <f>IF(TblDetailBudget[[#This Row],[Level]]=LvlBottomHdr, IFERROR(INDEX(TblUnitCost[Unit], MATCH(TblDetailBudget[[#This Row],[Row Title]], TblUnitCost[Resource], 0)), "Invalid Resource"), "")</f>
        <v/>
      </c>
      <c r="N418" s="126" t="str">
        <f>IF(TblDetailBudget[[#This Row],[Level]]=LvlBottomHdr, IFERROR(INDEX(TblUnitCost[LCU], MATCH(TblDetailBudget[[#This Row],[Row Title]], TblUnitCost[Resource], 0)), "Invalid Resource"), "")</f>
        <v/>
      </c>
      <c r="O418" s="130"/>
      <c r="P418" s="109"/>
      <c r="Q418" s="131"/>
      <c r="R418" s="109" t="s">
        <v>66</v>
      </c>
      <c r="S418" s="109" t="s">
        <v>66</v>
      </c>
      <c r="T418" s="109" t="s">
        <v>66</v>
      </c>
      <c r="U418" s="109" t="s">
        <v>66</v>
      </c>
      <c r="V418" s="109" t="s">
        <v>66</v>
      </c>
      <c r="W418" s="126" t="str">
        <f>IF(TblDetailBudget[[#This Row],[Level]]=LvlBottomHdr, IF(SUM(TblDetailBudget[[#This Row],[2021 Quant]:[2025 Quant]])&gt;0, SUM(TblDetailBudget[[#This Row],[2021 Quant]:[2025 Quant]]), ""), "")</f>
        <v/>
      </c>
      <c r="X41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8" s="142">
        <f>SUM(TblDetailBudget[[#This Row],[2021 Cost (LCU)]:[2025 Cost (LCU)]])</f>
        <v>0</v>
      </c>
      <c r="AD418" s="135">
        <f>IFERROR(SUM(TblDetailBudget[[#This Row],[2021 Cost (LCU)]])/FX_Rate, "")</f>
        <v>0</v>
      </c>
      <c r="AE418" s="86">
        <f>IFERROR(SUM(TblDetailBudget[[#This Row],[2022 Cost (LCU)]])/FX_Rate, "")</f>
        <v>0</v>
      </c>
      <c r="AF418" s="86">
        <f>IFERROR(SUM(TblDetailBudget[[#This Row],[2023 Cost (LCU)]])/FX_Rate, "")</f>
        <v>0</v>
      </c>
      <c r="AG418" s="86">
        <f>IFERROR(SUM(TblDetailBudget[[#This Row],[2024 Cost (LCU)]])/FX_Rate, "")</f>
        <v>0</v>
      </c>
      <c r="AH418" s="86">
        <f>IFERROR(SUM(TblDetailBudget[[#This Row],[2025 Cost (LCU)]])/FX_Rate, "")</f>
        <v>0</v>
      </c>
      <c r="AI418" s="126">
        <f>SUM(TblDetailBudget[[#This Row],[2021 Cost (USD)]:[2025 Cost (USD)]])</f>
        <v>0</v>
      </c>
      <c r="AJ418" s="180"/>
    </row>
    <row r="419" spans="2:36" ht="12.75" customHeight="1">
      <c r="B419" s="123"/>
      <c r="C41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9" s="85" t="str">
        <f>IF(TblDetailBudget[[#This Row],[Level]]="", "", COUNTIFS($B$8:TblDetailBudget[[#This Row],[Level]], Lvl1Hdr))</f>
        <v/>
      </c>
      <c r="E419" s="85" t="str">
        <f>IF(TblDetailBudget[[#This Row],[Level]]="", "", COUNTIFS($B$8:TblDetailBudget[[#This Row],[Level]], Lvl2Hdr, $D$8:TblDetailBudget[[#This Row],[Lvl 1 Header]], TblDetailBudget[[#This Row],[Lvl 1 Header]]))</f>
        <v/>
      </c>
      <c r="F419" s="85" t="str">
        <f>IF(TblDetailBudget[[#This Row],[Level]]="", "", COUNTIFS($B$8:TblDetailBudget[[#This Row],[Level]], Lvl3Hdr, $D$8:TblDetailBudget[[#This Row],[Lvl 1 Header]], TblDetailBudget[[#This Row],[Lvl 1 Header]], $E$8:TblDetailBudget[[#This Row],[Lvl 2 Header]], TblDetailBudget[[#This Row],[Lvl 2 Header]]))</f>
        <v/>
      </c>
      <c r="G41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9" s="164"/>
      <c r="J419" s="164"/>
      <c r="K419" s="165"/>
      <c r="L419" s="165"/>
      <c r="M419" s="85" t="str">
        <f>IF(TblDetailBudget[[#This Row],[Level]]=LvlBottomHdr, IFERROR(INDEX(TblUnitCost[Unit], MATCH(TblDetailBudget[[#This Row],[Row Title]], TblUnitCost[Resource], 0)), "Invalid Resource"), "")</f>
        <v/>
      </c>
      <c r="N419" s="126" t="str">
        <f>IF(TblDetailBudget[[#This Row],[Level]]=LvlBottomHdr, IFERROR(INDEX(TblUnitCost[LCU], MATCH(TblDetailBudget[[#This Row],[Row Title]], TblUnitCost[Resource], 0)), "Invalid Resource"), "")</f>
        <v/>
      </c>
      <c r="O419" s="130"/>
      <c r="P419" s="109"/>
      <c r="Q419" s="131"/>
      <c r="R419" s="109" t="s">
        <v>66</v>
      </c>
      <c r="S419" s="109" t="s">
        <v>66</v>
      </c>
      <c r="T419" s="109" t="s">
        <v>66</v>
      </c>
      <c r="U419" s="109" t="s">
        <v>66</v>
      </c>
      <c r="V419" s="109" t="s">
        <v>66</v>
      </c>
      <c r="W419" s="126" t="str">
        <f>IF(TblDetailBudget[[#This Row],[Level]]=LvlBottomHdr, IF(SUM(TblDetailBudget[[#This Row],[2021 Quant]:[2025 Quant]])&gt;0, SUM(TblDetailBudget[[#This Row],[2021 Quant]:[2025 Quant]]), ""), "")</f>
        <v/>
      </c>
      <c r="X41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9" s="142">
        <f>SUM(TblDetailBudget[[#This Row],[2021 Cost (LCU)]:[2025 Cost (LCU)]])</f>
        <v>0</v>
      </c>
      <c r="AD419" s="135">
        <f>IFERROR(SUM(TblDetailBudget[[#This Row],[2021 Cost (LCU)]])/FX_Rate, "")</f>
        <v>0</v>
      </c>
      <c r="AE419" s="86">
        <f>IFERROR(SUM(TblDetailBudget[[#This Row],[2022 Cost (LCU)]])/FX_Rate, "")</f>
        <v>0</v>
      </c>
      <c r="AF419" s="86">
        <f>IFERROR(SUM(TblDetailBudget[[#This Row],[2023 Cost (LCU)]])/FX_Rate, "")</f>
        <v>0</v>
      </c>
      <c r="AG419" s="86">
        <f>IFERROR(SUM(TblDetailBudget[[#This Row],[2024 Cost (LCU)]])/FX_Rate, "")</f>
        <v>0</v>
      </c>
      <c r="AH419" s="86">
        <f>IFERROR(SUM(TblDetailBudget[[#This Row],[2025 Cost (LCU)]])/FX_Rate, "")</f>
        <v>0</v>
      </c>
      <c r="AI419" s="126">
        <f>SUM(TblDetailBudget[[#This Row],[2021 Cost (USD)]:[2025 Cost (USD)]])</f>
        <v>0</v>
      </c>
      <c r="AJ419" s="180"/>
    </row>
    <row r="420" spans="2:36" ht="12.75" customHeight="1">
      <c r="B420" s="123"/>
      <c r="C42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0" s="85" t="str">
        <f>IF(TblDetailBudget[[#This Row],[Level]]="", "", COUNTIFS($B$8:TblDetailBudget[[#This Row],[Level]], Lvl1Hdr))</f>
        <v/>
      </c>
      <c r="E420" s="85" t="str">
        <f>IF(TblDetailBudget[[#This Row],[Level]]="", "", COUNTIFS($B$8:TblDetailBudget[[#This Row],[Level]], Lvl2Hdr, $D$8:TblDetailBudget[[#This Row],[Lvl 1 Header]], TblDetailBudget[[#This Row],[Lvl 1 Header]]))</f>
        <v/>
      </c>
      <c r="F420" s="85" t="str">
        <f>IF(TblDetailBudget[[#This Row],[Level]]="", "", COUNTIFS($B$8:TblDetailBudget[[#This Row],[Level]], Lvl3Hdr, $D$8:TblDetailBudget[[#This Row],[Lvl 1 Header]], TblDetailBudget[[#This Row],[Lvl 1 Header]], $E$8:TblDetailBudget[[#This Row],[Lvl 2 Header]], TblDetailBudget[[#This Row],[Lvl 2 Header]]))</f>
        <v/>
      </c>
      <c r="G42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0" s="164"/>
      <c r="J420" s="164"/>
      <c r="K420" s="165"/>
      <c r="L420" s="165"/>
      <c r="M420" s="85" t="str">
        <f>IF(TblDetailBudget[[#This Row],[Level]]=LvlBottomHdr, IFERROR(INDEX(TblUnitCost[Unit], MATCH(TblDetailBudget[[#This Row],[Row Title]], TblUnitCost[Resource], 0)), "Invalid Resource"), "")</f>
        <v/>
      </c>
      <c r="N420" s="126" t="str">
        <f>IF(TblDetailBudget[[#This Row],[Level]]=LvlBottomHdr, IFERROR(INDEX(TblUnitCost[LCU], MATCH(TblDetailBudget[[#This Row],[Row Title]], TblUnitCost[Resource], 0)), "Invalid Resource"), "")</f>
        <v/>
      </c>
      <c r="O420" s="130"/>
      <c r="P420" s="109"/>
      <c r="Q420" s="131"/>
      <c r="R420" s="109" t="s">
        <v>66</v>
      </c>
      <c r="S420" s="109" t="s">
        <v>66</v>
      </c>
      <c r="T420" s="109" t="s">
        <v>66</v>
      </c>
      <c r="U420" s="109" t="s">
        <v>66</v>
      </c>
      <c r="V420" s="109" t="s">
        <v>66</v>
      </c>
      <c r="W420" s="126" t="str">
        <f>IF(TblDetailBudget[[#This Row],[Level]]=LvlBottomHdr, IF(SUM(TblDetailBudget[[#This Row],[2021 Quant]:[2025 Quant]])&gt;0, SUM(TblDetailBudget[[#This Row],[2021 Quant]:[2025 Quant]]), ""), "")</f>
        <v/>
      </c>
      <c r="X42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0" s="142">
        <f>SUM(TblDetailBudget[[#This Row],[2021 Cost (LCU)]:[2025 Cost (LCU)]])</f>
        <v>0</v>
      </c>
      <c r="AD420" s="135">
        <f>IFERROR(SUM(TblDetailBudget[[#This Row],[2021 Cost (LCU)]])/FX_Rate, "")</f>
        <v>0</v>
      </c>
      <c r="AE420" s="86">
        <f>IFERROR(SUM(TblDetailBudget[[#This Row],[2022 Cost (LCU)]])/FX_Rate, "")</f>
        <v>0</v>
      </c>
      <c r="AF420" s="86">
        <f>IFERROR(SUM(TblDetailBudget[[#This Row],[2023 Cost (LCU)]])/FX_Rate, "")</f>
        <v>0</v>
      </c>
      <c r="AG420" s="86">
        <f>IFERROR(SUM(TblDetailBudget[[#This Row],[2024 Cost (LCU)]])/FX_Rate, "")</f>
        <v>0</v>
      </c>
      <c r="AH420" s="86">
        <f>IFERROR(SUM(TblDetailBudget[[#This Row],[2025 Cost (LCU)]])/FX_Rate, "")</f>
        <v>0</v>
      </c>
      <c r="AI420" s="126">
        <f>SUM(TblDetailBudget[[#This Row],[2021 Cost (USD)]:[2025 Cost (USD)]])</f>
        <v>0</v>
      </c>
      <c r="AJ420" s="180"/>
    </row>
    <row r="421" spans="2:36" ht="12.75" customHeight="1">
      <c r="B421" s="123"/>
      <c r="C42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1" s="85" t="str">
        <f>IF(TblDetailBudget[[#This Row],[Level]]="", "", COUNTIFS($B$8:TblDetailBudget[[#This Row],[Level]], Lvl1Hdr))</f>
        <v/>
      </c>
      <c r="E421" s="85" t="str">
        <f>IF(TblDetailBudget[[#This Row],[Level]]="", "", COUNTIFS($B$8:TblDetailBudget[[#This Row],[Level]], Lvl2Hdr, $D$8:TblDetailBudget[[#This Row],[Lvl 1 Header]], TblDetailBudget[[#This Row],[Lvl 1 Header]]))</f>
        <v/>
      </c>
      <c r="F421" s="85" t="str">
        <f>IF(TblDetailBudget[[#This Row],[Level]]="", "", COUNTIFS($B$8:TblDetailBudget[[#This Row],[Level]], Lvl3Hdr, $D$8:TblDetailBudget[[#This Row],[Lvl 1 Header]], TblDetailBudget[[#This Row],[Lvl 1 Header]], $E$8:TblDetailBudget[[#This Row],[Lvl 2 Header]], TblDetailBudget[[#This Row],[Lvl 2 Header]]))</f>
        <v/>
      </c>
      <c r="G42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1" s="164"/>
      <c r="J421" s="164"/>
      <c r="K421" s="165"/>
      <c r="L421" s="165"/>
      <c r="M421" s="85" t="str">
        <f>IF(TblDetailBudget[[#This Row],[Level]]=LvlBottomHdr, IFERROR(INDEX(TblUnitCost[Unit], MATCH(TblDetailBudget[[#This Row],[Row Title]], TblUnitCost[Resource], 0)), "Invalid Resource"), "")</f>
        <v/>
      </c>
      <c r="N421" s="126" t="str">
        <f>IF(TblDetailBudget[[#This Row],[Level]]=LvlBottomHdr, IFERROR(INDEX(TblUnitCost[LCU], MATCH(TblDetailBudget[[#This Row],[Row Title]], TblUnitCost[Resource], 0)), "Invalid Resource"), "")</f>
        <v/>
      </c>
      <c r="O421" s="130"/>
      <c r="P421" s="109"/>
      <c r="Q421" s="131"/>
      <c r="R421" s="109" t="s">
        <v>66</v>
      </c>
      <c r="S421" s="109" t="s">
        <v>66</v>
      </c>
      <c r="T421" s="109" t="s">
        <v>66</v>
      </c>
      <c r="U421" s="109" t="s">
        <v>66</v>
      </c>
      <c r="V421" s="109" t="s">
        <v>66</v>
      </c>
      <c r="W421" s="126" t="str">
        <f>IF(TblDetailBudget[[#This Row],[Level]]=LvlBottomHdr, IF(SUM(TblDetailBudget[[#This Row],[2021 Quant]:[2025 Quant]])&gt;0, SUM(TblDetailBudget[[#This Row],[2021 Quant]:[2025 Quant]]), ""), "")</f>
        <v/>
      </c>
      <c r="X42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1" s="142">
        <f>SUM(TblDetailBudget[[#This Row],[2021 Cost (LCU)]:[2025 Cost (LCU)]])</f>
        <v>0</v>
      </c>
      <c r="AD421" s="135">
        <f>IFERROR(SUM(TblDetailBudget[[#This Row],[2021 Cost (LCU)]])/FX_Rate, "")</f>
        <v>0</v>
      </c>
      <c r="AE421" s="86">
        <f>IFERROR(SUM(TblDetailBudget[[#This Row],[2022 Cost (LCU)]])/FX_Rate, "")</f>
        <v>0</v>
      </c>
      <c r="AF421" s="86">
        <f>IFERROR(SUM(TblDetailBudget[[#This Row],[2023 Cost (LCU)]])/FX_Rate, "")</f>
        <v>0</v>
      </c>
      <c r="AG421" s="86">
        <f>IFERROR(SUM(TblDetailBudget[[#This Row],[2024 Cost (LCU)]])/FX_Rate, "")</f>
        <v>0</v>
      </c>
      <c r="AH421" s="86">
        <f>IFERROR(SUM(TblDetailBudget[[#This Row],[2025 Cost (LCU)]])/FX_Rate, "")</f>
        <v>0</v>
      </c>
      <c r="AI421" s="126">
        <f>SUM(TblDetailBudget[[#This Row],[2021 Cost (USD)]:[2025 Cost (USD)]])</f>
        <v>0</v>
      </c>
      <c r="AJ421" s="180"/>
    </row>
    <row r="422" spans="2:36" ht="12.75" customHeight="1">
      <c r="B422" s="123"/>
      <c r="C42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2" s="85" t="str">
        <f>IF(TblDetailBudget[[#This Row],[Level]]="", "", COUNTIFS($B$8:TblDetailBudget[[#This Row],[Level]], Lvl1Hdr))</f>
        <v/>
      </c>
      <c r="E422" s="85" t="str">
        <f>IF(TblDetailBudget[[#This Row],[Level]]="", "", COUNTIFS($B$8:TblDetailBudget[[#This Row],[Level]], Lvl2Hdr, $D$8:TblDetailBudget[[#This Row],[Lvl 1 Header]], TblDetailBudget[[#This Row],[Lvl 1 Header]]))</f>
        <v/>
      </c>
      <c r="F422" s="85" t="str">
        <f>IF(TblDetailBudget[[#This Row],[Level]]="", "", COUNTIFS($B$8:TblDetailBudget[[#This Row],[Level]], Lvl3Hdr, $D$8:TblDetailBudget[[#This Row],[Lvl 1 Header]], TblDetailBudget[[#This Row],[Lvl 1 Header]], $E$8:TblDetailBudget[[#This Row],[Lvl 2 Header]], TblDetailBudget[[#This Row],[Lvl 2 Header]]))</f>
        <v/>
      </c>
      <c r="G42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2" s="164"/>
      <c r="J422" s="164"/>
      <c r="K422" s="165"/>
      <c r="L422" s="165"/>
      <c r="M422" s="85" t="str">
        <f>IF(TblDetailBudget[[#This Row],[Level]]=LvlBottomHdr, IFERROR(INDEX(TblUnitCost[Unit], MATCH(TblDetailBudget[[#This Row],[Row Title]], TblUnitCost[Resource], 0)), "Invalid Resource"), "")</f>
        <v/>
      </c>
      <c r="N422" s="126" t="str">
        <f>IF(TblDetailBudget[[#This Row],[Level]]=LvlBottomHdr, IFERROR(INDEX(TblUnitCost[LCU], MATCH(TblDetailBudget[[#This Row],[Row Title]], TblUnitCost[Resource], 0)), "Invalid Resource"), "")</f>
        <v/>
      </c>
      <c r="O422" s="130"/>
      <c r="P422" s="109"/>
      <c r="Q422" s="131"/>
      <c r="R422" s="109" t="s">
        <v>66</v>
      </c>
      <c r="S422" s="109" t="s">
        <v>66</v>
      </c>
      <c r="T422" s="109" t="s">
        <v>66</v>
      </c>
      <c r="U422" s="109" t="s">
        <v>66</v>
      </c>
      <c r="V422" s="109" t="s">
        <v>66</v>
      </c>
      <c r="W422" s="126" t="str">
        <f>IF(TblDetailBudget[[#This Row],[Level]]=LvlBottomHdr, IF(SUM(TblDetailBudget[[#This Row],[2021 Quant]:[2025 Quant]])&gt;0, SUM(TblDetailBudget[[#This Row],[2021 Quant]:[2025 Quant]]), ""), "")</f>
        <v/>
      </c>
      <c r="X42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2" s="142">
        <f>SUM(TblDetailBudget[[#This Row],[2021 Cost (LCU)]:[2025 Cost (LCU)]])</f>
        <v>0</v>
      </c>
      <c r="AD422" s="135">
        <f>IFERROR(SUM(TblDetailBudget[[#This Row],[2021 Cost (LCU)]])/FX_Rate, "")</f>
        <v>0</v>
      </c>
      <c r="AE422" s="86">
        <f>IFERROR(SUM(TblDetailBudget[[#This Row],[2022 Cost (LCU)]])/FX_Rate, "")</f>
        <v>0</v>
      </c>
      <c r="AF422" s="86">
        <f>IFERROR(SUM(TblDetailBudget[[#This Row],[2023 Cost (LCU)]])/FX_Rate, "")</f>
        <v>0</v>
      </c>
      <c r="AG422" s="86">
        <f>IFERROR(SUM(TblDetailBudget[[#This Row],[2024 Cost (LCU)]])/FX_Rate, "")</f>
        <v>0</v>
      </c>
      <c r="AH422" s="86">
        <f>IFERROR(SUM(TblDetailBudget[[#This Row],[2025 Cost (LCU)]])/FX_Rate, "")</f>
        <v>0</v>
      </c>
      <c r="AI422" s="126">
        <f>SUM(TblDetailBudget[[#This Row],[2021 Cost (USD)]:[2025 Cost (USD)]])</f>
        <v>0</v>
      </c>
      <c r="AJ422" s="180"/>
    </row>
    <row r="423" spans="2:36" ht="12.75" customHeight="1">
      <c r="B423" s="123"/>
      <c r="C42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3" s="85" t="str">
        <f>IF(TblDetailBudget[[#This Row],[Level]]="", "", COUNTIFS($B$8:TblDetailBudget[[#This Row],[Level]], Lvl1Hdr))</f>
        <v/>
      </c>
      <c r="E423" s="85" t="str">
        <f>IF(TblDetailBudget[[#This Row],[Level]]="", "", COUNTIFS($B$8:TblDetailBudget[[#This Row],[Level]], Lvl2Hdr, $D$8:TblDetailBudget[[#This Row],[Lvl 1 Header]], TblDetailBudget[[#This Row],[Lvl 1 Header]]))</f>
        <v/>
      </c>
      <c r="F423" s="85" t="str">
        <f>IF(TblDetailBudget[[#This Row],[Level]]="", "", COUNTIFS($B$8:TblDetailBudget[[#This Row],[Level]], Lvl3Hdr, $D$8:TblDetailBudget[[#This Row],[Lvl 1 Header]], TblDetailBudget[[#This Row],[Lvl 1 Header]], $E$8:TblDetailBudget[[#This Row],[Lvl 2 Header]], TblDetailBudget[[#This Row],[Lvl 2 Header]]))</f>
        <v/>
      </c>
      <c r="G42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3" s="164"/>
      <c r="J423" s="164"/>
      <c r="K423" s="165"/>
      <c r="L423" s="165"/>
      <c r="M423" s="85" t="str">
        <f>IF(TblDetailBudget[[#This Row],[Level]]=LvlBottomHdr, IFERROR(INDEX(TblUnitCost[Unit], MATCH(TblDetailBudget[[#This Row],[Row Title]], TblUnitCost[Resource], 0)), "Invalid Resource"), "")</f>
        <v/>
      </c>
      <c r="N423" s="126" t="str">
        <f>IF(TblDetailBudget[[#This Row],[Level]]=LvlBottomHdr, IFERROR(INDEX(TblUnitCost[LCU], MATCH(TblDetailBudget[[#This Row],[Row Title]], TblUnitCost[Resource], 0)), "Invalid Resource"), "")</f>
        <v/>
      </c>
      <c r="O423" s="130"/>
      <c r="P423" s="109"/>
      <c r="Q423" s="131"/>
      <c r="R423" s="109" t="s">
        <v>66</v>
      </c>
      <c r="S423" s="109" t="s">
        <v>66</v>
      </c>
      <c r="T423" s="109" t="s">
        <v>66</v>
      </c>
      <c r="U423" s="109" t="s">
        <v>66</v>
      </c>
      <c r="V423" s="109" t="s">
        <v>66</v>
      </c>
      <c r="W423" s="126" t="str">
        <f>IF(TblDetailBudget[[#This Row],[Level]]=LvlBottomHdr, IF(SUM(TblDetailBudget[[#This Row],[2021 Quant]:[2025 Quant]])&gt;0, SUM(TblDetailBudget[[#This Row],[2021 Quant]:[2025 Quant]]), ""), "")</f>
        <v/>
      </c>
      <c r="X42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3" s="142">
        <f>SUM(TblDetailBudget[[#This Row],[2021 Cost (LCU)]:[2025 Cost (LCU)]])</f>
        <v>0</v>
      </c>
      <c r="AD423" s="135">
        <f>IFERROR(SUM(TblDetailBudget[[#This Row],[2021 Cost (LCU)]])/FX_Rate, "")</f>
        <v>0</v>
      </c>
      <c r="AE423" s="86">
        <f>IFERROR(SUM(TblDetailBudget[[#This Row],[2022 Cost (LCU)]])/FX_Rate, "")</f>
        <v>0</v>
      </c>
      <c r="AF423" s="86">
        <f>IFERROR(SUM(TblDetailBudget[[#This Row],[2023 Cost (LCU)]])/FX_Rate, "")</f>
        <v>0</v>
      </c>
      <c r="AG423" s="86">
        <f>IFERROR(SUM(TblDetailBudget[[#This Row],[2024 Cost (LCU)]])/FX_Rate, "")</f>
        <v>0</v>
      </c>
      <c r="AH423" s="86">
        <f>IFERROR(SUM(TblDetailBudget[[#This Row],[2025 Cost (LCU)]])/FX_Rate, "")</f>
        <v>0</v>
      </c>
      <c r="AI423" s="126">
        <f>SUM(TblDetailBudget[[#This Row],[2021 Cost (USD)]:[2025 Cost (USD)]])</f>
        <v>0</v>
      </c>
      <c r="AJ423" s="180"/>
    </row>
    <row r="424" spans="2:36" ht="12.75" customHeight="1">
      <c r="B424" s="123"/>
      <c r="C42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4" s="85" t="str">
        <f>IF(TblDetailBudget[[#This Row],[Level]]="", "", COUNTIFS($B$8:TblDetailBudget[[#This Row],[Level]], Lvl1Hdr))</f>
        <v/>
      </c>
      <c r="E424" s="85" t="str">
        <f>IF(TblDetailBudget[[#This Row],[Level]]="", "", COUNTIFS($B$8:TblDetailBudget[[#This Row],[Level]], Lvl2Hdr, $D$8:TblDetailBudget[[#This Row],[Lvl 1 Header]], TblDetailBudget[[#This Row],[Lvl 1 Header]]))</f>
        <v/>
      </c>
      <c r="F424" s="85" t="str">
        <f>IF(TblDetailBudget[[#This Row],[Level]]="", "", COUNTIFS($B$8:TblDetailBudget[[#This Row],[Level]], Lvl3Hdr, $D$8:TblDetailBudget[[#This Row],[Lvl 1 Header]], TblDetailBudget[[#This Row],[Lvl 1 Header]], $E$8:TblDetailBudget[[#This Row],[Lvl 2 Header]], TblDetailBudget[[#This Row],[Lvl 2 Header]]))</f>
        <v/>
      </c>
      <c r="G42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4" s="164"/>
      <c r="J424" s="164"/>
      <c r="K424" s="165"/>
      <c r="L424" s="165"/>
      <c r="M424" s="85" t="str">
        <f>IF(TblDetailBudget[[#This Row],[Level]]=LvlBottomHdr, IFERROR(INDEX(TblUnitCost[Unit], MATCH(TblDetailBudget[[#This Row],[Row Title]], TblUnitCost[Resource], 0)), "Invalid Resource"), "")</f>
        <v/>
      </c>
      <c r="N424" s="126" t="str">
        <f>IF(TblDetailBudget[[#This Row],[Level]]=LvlBottomHdr, IFERROR(INDEX(TblUnitCost[LCU], MATCH(TblDetailBudget[[#This Row],[Row Title]], TblUnitCost[Resource], 0)), "Invalid Resource"), "")</f>
        <v/>
      </c>
      <c r="O424" s="130"/>
      <c r="P424" s="109"/>
      <c r="Q424" s="131"/>
      <c r="R424" s="109" t="s">
        <v>66</v>
      </c>
      <c r="S424" s="109" t="s">
        <v>66</v>
      </c>
      <c r="T424" s="109" t="s">
        <v>66</v>
      </c>
      <c r="U424" s="109" t="s">
        <v>66</v>
      </c>
      <c r="V424" s="109" t="s">
        <v>66</v>
      </c>
      <c r="W424" s="126" t="str">
        <f>IF(TblDetailBudget[[#This Row],[Level]]=LvlBottomHdr, IF(SUM(TblDetailBudget[[#This Row],[2021 Quant]:[2025 Quant]])&gt;0, SUM(TblDetailBudget[[#This Row],[2021 Quant]:[2025 Quant]]), ""), "")</f>
        <v/>
      </c>
      <c r="X42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4" s="142">
        <f>SUM(TblDetailBudget[[#This Row],[2021 Cost (LCU)]:[2025 Cost (LCU)]])</f>
        <v>0</v>
      </c>
      <c r="AD424" s="135">
        <f>IFERROR(SUM(TblDetailBudget[[#This Row],[2021 Cost (LCU)]])/FX_Rate, "")</f>
        <v>0</v>
      </c>
      <c r="AE424" s="86">
        <f>IFERROR(SUM(TblDetailBudget[[#This Row],[2022 Cost (LCU)]])/FX_Rate, "")</f>
        <v>0</v>
      </c>
      <c r="AF424" s="86">
        <f>IFERROR(SUM(TblDetailBudget[[#This Row],[2023 Cost (LCU)]])/FX_Rate, "")</f>
        <v>0</v>
      </c>
      <c r="AG424" s="86">
        <f>IFERROR(SUM(TblDetailBudget[[#This Row],[2024 Cost (LCU)]])/FX_Rate, "")</f>
        <v>0</v>
      </c>
      <c r="AH424" s="86">
        <f>IFERROR(SUM(TblDetailBudget[[#This Row],[2025 Cost (LCU)]])/FX_Rate, "")</f>
        <v>0</v>
      </c>
      <c r="AI424" s="126">
        <f>SUM(TblDetailBudget[[#This Row],[2021 Cost (USD)]:[2025 Cost (USD)]])</f>
        <v>0</v>
      </c>
      <c r="AJ424" s="180"/>
    </row>
    <row r="425" spans="2:36" ht="12.75" customHeight="1">
      <c r="B425" s="123"/>
      <c r="C42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5" s="85" t="str">
        <f>IF(TblDetailBudget[[#This Row],[Level]]="", "", COUNTIFS($B$8:TblDetailBudget[[#This Row],[Level]], Lvl1Hdr))</f>
        <v/>
      </c>
      <c r="E425" s="85" t="str">
        <f>IF(TblDetailBudget[[#This Row],[Level]]="", "", COUNTIFS($B$8:TblDetailBudget[[#This Row],[Level]], Lvl2Hdr, $D$8:TblDetailBudget[[#This Row],[Lvl 1 Header]], TblDetailBudget[[#This Row],[Lvl 1 Header]]))</f>
        <v/>
      </c>
      <c r="F425" s="85" t="str">
        <f>IF(TblDetailBudget[[#This Row],[Level]]="", "", COUNTIFS($B$8:TblDetailBudget[[#This Row],[Level]], Lvl3Hdr, $D$8:TblDetailBudget[[#This Row],[Lvl 1 Header]], TblDetailBudget[[#This Row],[Lvl 1 Header]], $E$8:TblDetailBudget[[#This Row],[Lvl 2 Header]], TblDetailBudget[[#This Row],[Lvl 2 Header]]))</f>
        <v/>
      </c>
      <c r="G42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5" s="164"/>
      <c r="J425" s="164"/>
      <c r="K425" s="165"/>
      <c r="L425" s="165"/>
      <c r="M425" s="85" t="str">
        <f>IF(TblDetailBudget[[#This Row],[Level]]=LvlBottomHdr, IFERROR(INDEX(TblUnitCost[Unit], MATCH(TblDetailBudget[[#This Row],[Row Title]], TblUnitCost[Resource], 0)), "Invalid Resource"), "")</f>
        <v/>
      </c>
      <c r="N425" s="126" t="str">
        <f>IF(TblDetailBudget[[#This Row],[Level]]=LvlBottomHdr, IFERROR(INDEX(TblUnitCost[LCU], MATCH(TblDetailBudget[[#This Row],[Row Title]], TblUnitCost[Resource], 0)), "Invalid Resource"), "")</f>
        <v/>
      </c>
      <c r="O425" s="130"/>
      <c r="P425" s="109"/>
      <c r="Q425" s="131"/>
      <c r="R425" s="109" t="s">
        <v>66</v>
      </c>
      <c r="S425" s="109" t="s">
        <v>66</v>
      </c>
      <c r="T425" s="109" t="s">
        <v>66</v>
      </c>
      <c r="U425" s="109" t="s">
        <v>66</v>
      </c>
      <c r="V425" s="109" t="s">
        <v>66</v>
      </c>
      <c r="W425" s="126" t="str">
        <f>IF(TblDetailBudget[[#This Row],[Level]]=LvlBottomHdr, IF(SUM(TblDetailBudget[[#This Row],[2021 Quant]:[2025 Quant]])&gt;0, SUM(TblDetailBudget[[#This Row],[2021 Quant]:[2025 Quant]]), ""), "")</f>
        <v/>
      </c>
      <c r="X42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5" s="142">
        <f>SUM(TblDetailBudget[[#This Row],[2021 Cost (LCU)]:[2025 Cost (LCU)]])</f>
        <v>0</v>
      </c>
      <c r="AD425" s="135">
        <f>IFERROR(SUM(TblDetailBudget[[#This Row],[2021 Cost (LCU)]])/FX_Rate, "")</f>
        <v>0</v>
      </c>
      <c r="AE425" s="86">
        <f>IFERROR(SUM(TblDetailBudget[[#This Row],[2022 Cost (LCU)]])/FX_Rate, "")</f>
        <v>0</v>
      </c>
      <c r="AF425" s="86">
        <f>IFERROR(SUM(TblDetailBudget[[#This Row],[2023 Cost (LCU)]])/FX_Rate, "")</f>
        <v>0</v>
      </c>
      <c r="AG425" s="86">
        <f>IFERROR(SUM(TblDetailBudget[[#This Row],[2024 Cost (LCU)]])/FX_Rate, "")</f>
        <v>0</v>
      </c>
      <c r="AH425" s="86">
        <f>IFERROR(SUM(TblDetailBudget[[#This Row],[2025 Cost (LCU)]])/FX_Rate, "")</f>
        <v>0</v>
      </c>
      <c r="AI425" s="126">
        <f>SUM(TblDetailBudget[[#This Row],[2021 Cost (USD)]:[2025 Cost (USD)]])</f>
        <v>0</v>
      </c>
      <c r="AJ425" s="180"/>
    </row>
    <row r="426" spans="2:36" ht="12.75" customHeight="1">
      <c r="B426" s="123"/>
      <c r="C42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6" s="85" t="str">
        <f>IF(TblDetailBudget[[#This Row],[Level]]="", "", COUNTIFS($B$8:TblDetailBudget[[#This Row],[Level]], Lvl1Hdr))</f>
        <v/>
      </c>
      <c r="E426" s="85" t="str">
        <f>IF(TblDetailBudget[[#This Row],[Level]]="", "", COUNTIFS($B$8:TblDetailBudget[[#This Row],[Level]], Lvl2Hdr, $D$8:TblDetailBudget[[#This Row],[Lvl 1 Header]], TblDetailBudget[[#This Row],[Lvl 1 Header]]))</f>
        <v/>
      </c>
      <c r="F426" s="85" t="str">
        <f>IF(TblDetailBudget[[#This Row],[Level]]="", "", COUNTIFS($B$8:TblDetailBudget[[#This Row],[Level]], Lvl3Hdr, $D$8:TblDetailBudget[[#This Row],[Lvl 1 Header]], TblDetailBudget[[#This Row],[Lvl 1 Header]], $E$8:TblDetailBudget[[#This Row],[Lvl 2 Header]], TblDetailBudget[[#This Row],[Lvl 2 Header]]))</f>
        <v/>
      </c>
      <c r="G42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6" s="164"/>
      <c r="J426" s="164"/>
      <c r="K426" s="165"/>
      <c r="L426" s="165"/>
      <c r="M426" s="85" t="str">
        <f>IF(TblDetailBudget[[#This Row],[Level]]=LvlBottomHdr, IFERROR(INDEX(TblUnitCost[Unit], MATCH(TblDetailBudget[[#This Row],[Row Title]], TblUnitCost[Resource], 0)), "Invalid Resource"), "")</f>
        <v/>
      </c>
      <c r="N426" s="126" t="str">
        <f>IF(TblDetailBudget[[#This Row],[Level]]=LvlBottomHdr, IFERROR(INDEX(TblUnitCost[LCU], MATCH(TblDetailBudget[[#This Row],[Row Title]], TblUnitCost[Resource], 0)), "Invalid Resource"), "")</f>
        <v/>
      </c>
      <c r="O426" s="130"/>
      <c r="P426" s="109"/>
      <c r="Q426" s="131"/>
      <c r="R426" s="109" t="s">
        <v>66</v>
      </c>
      <c r="S426" s="109" t="s">
        <v>66</v>
      </c>
      <c r="T426" s="109" t="s">
        <v>66</v>
      </c>
      <c r="U426" s="109" t="s">
        <v>66</v>
      </c>
      <c r="V426" s="109" t="s">
        <v>66</v>
      </c>
      <c r="W426" s="126" t="str">
        <f>IF(TblDetailBudget[[#This Row],[Level]]=LvlBottomHdr, IF(SUM(TblDetailBudget[[#This Row],[2021 Quant]:[2025 Quant]])&gt;0, SUM(TblDetailBudget[[#This Row],[2021 Quant]:[2025 Quant]]), ""), "")</f>
        <v/>
      </c>
      <c r="X42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6" s="142">
        <f>SUM(TblDetailBudget[[#This Row],[2021 Cost (LCU)]:[2025 Cost (LCU)]])</f>
        <v>0</v>
      </c>
      <c r="AD426" s="135">
        <f>IFERROR(SUM(TblDetailBudget[[#This Row],[2021 Cost (LCU)]])/FX_Rate, "")</f>
        <v>0</v>
      </c>
      <c r="AE426" s="86">
        <f>IFERROR(SUM(TblDetailBudget[[#This Row],[2022 Cost (LCU)]])/FX_Rate, "")</f>
        <v>0</v>
      </c>
      <c r="AF426" s="86">
        <f>IFERROR(SUM(TblDetailBudget[[#This Row],[2023 Cost (LCU)]])/FX_Rate, "")</f>
        <v>0</v>
      </c>
      <c r="AG426" s="86">
        <f>IFERROR(SUM(TblDetailBudget[[#This Row],[2024 Cost (LCU)]])/FX_Rate, "")</f>
        <v>0</v>
      </c>
      <c r="AH426" s="86">
        <f>IFERROR(SUM(TblDetailBudget[[#This Row],[2025 Cost (LCU)]])/FX_Rate, "")</f>
        <v>0</v>
      </c>
      <c r="AI426" s="126">
        <f>SUM(TblDetailBudget[[#This Row],[2021 Cost (USD)]:[2025 Cost (USD)]])</f>
        <v>0</v>
      </c>
      <c r="AJ426" s="180"/>
    </row>
    <row r="427" spans="2:36" ht="12.75" customHeight="1">
      <c r="B427" s="123"/>
      <c r="C42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7" s="85" t="str">
        <f>IF(TblDetailBudget[[#This Row],[Level]]="", "", COUNTIFS($B$8:TblDetailBudget[[#This Row],[Level]], Lvl1Hdr))</f>
        <v/>
      </c>
      <c r="E427" s="85" t="str">
        <f>IF(TblDetailBudget[[#This Row],[Level]]="", "", COUNTIFS($B$8:TblDetailBudget[[#This Row],[Level]], Lvl2Hdr, $D$8:TblDetailBudget[[#This Row],[Lvl 1 Header]], TblDetailBudget[[#This Row],[Lvl 1 Header]]))</f>
        <v/>
      </c>
      <c r="F427" s="85" t="str">
        <f>IF(TblDetailBudget[[#This Row],[Level]]="", "", COUNTIFS($B$8:TblDetailBudget[[#This Row],[Level]], Lvl3Hdr, $D$8:TblDetailBudget[[#This Row],[Lvl 1 Header]], TblDetailBudget[[#This Row],[Lvl 1 Header]], $E$8:TblDetailBudget[[#This Row],[Lvl 2 Header]], TblDetailBudget[[#This Row],[Lvl 2 Header]]))</f>
        <v/>
      </c>
      <c r="G42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7" s="164"/>
      <c r="J427" s="164"/>
      <c r="K427" s="165"/>
      <c r="L427" s="165"/>
      <c r="M427" s="85" t="str">
        <f>IF(TblDetailBudget[[#This Row],[Level]]=LvlBottomHdr, IFERROR(INDEX(TblUnitCost[Unit], MATCH(TblDetailBudget[[#This Row],[Row Title]], TblUnitCost[Resource], 0)), "Invalid Resource"), "")</f>
        <v/>
      </c>
      <c r="N427" s="126" t="str">
        <f>IF(TblDetailBudget[[#This Row],[Level]]=LvlBottomHdr, IFERROR(INDEX(TblUnitCost[LCU], MATCH(TblDetailBudget[[#This Row],[Row Title]], TblUnitCost[Resource], 0)), "Invalid Resource"), "")</f>
        <v/>
      </c>
      <c r="O427" s="130"/>
      <c r="P427" s="109"/>
      <c r="Q427" s="131"/>
      <c r="R427" s="109" t="s">
        <v>66</v>
      </c>
      <c r="S427" s="109" t="s">
        <v>66</v>
      </c>
      <c r="T427" s="109" t="s">
        <v>66</v>
      </c>
      <c r="U427" s="109" t="s">
        <v>66</v>
      </c>
      <c r="V427" s="109" t="s">
        <v>66</v>
      </c>
      <c r="W427" s="126" t="str">
        <f>IF(TblDetailBudget[[#This Row],[Level]]=LvlBottomHdr, IF(SUM(TblDetailBudget[[#This Row],[2021 Quant]:[2025 Quant]])&gt;0, SUM(TblDetailBudget[[#This Row],[2021 Quant]:[2025 Quant]]), ""), "")</f>
        <v/>
      </c>
      <c r="X42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7" s="142">
        <f>SUM(TblDetailBudget[[#This Row],[2021 Cost (LCU)]:[2025 Cost (LCU)]])</f>
        <v>0</v>
      </c>
      <c r="AD427" s="135">
        <f>IFERROR(SUM(TblDetailBudget[[#This Row],[2021 Cost (LCU)]])/FX_Rate, "")</f>
        <v>0</v>
      </c>
      <c r="AE427" s="86">
        <f>IFERROR(SUM(TblDetailBudget[[#This Row],[2022 Cost (LCU)]])/FX_Rate, "")</f>
        <v>0</v>
      </c>
      <c r="AF427" s="86">
        <f>IFERROR(SUM(TblDetailBudget[[#This Row],[2023 Cost (LCU)]])/FX_Rate, "")</f>
        <v>0</v>
      </c>
      <c r="AG427" s="86">
        <f>IFERROR(SUM(TblDetailBudget[[#This Row],[2024 Cost (LCU)]])/FX_Rate, "")</f>
        <v>0</v>
      </c>
      <c r="AH427" s="86">
        <f>IFERROR(SUM(TblDetailBudget[[#This Row],[2025 Cost (LCU)]])/FX_Rate, "")</f>
        <v>0</v>
      </c>
      <c r="AI427" s="126">
        <f>SUM(TblDetailBudget[[#This Row],[2021 Cost (USD)]:[2025 Cost (USD)]])</f>
        <v>0</v>
      </c>
      <c r="AJ427" s="180"/>
    </row>
    <row r="428" spans="2:36" ht="12.75" customHeight="1">
      <c r="B428" s="123"/>
      <c r="C42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8" s="85" t="str">
        <f>IF(TblDetailBudget[[#This Row],[Level]]="", "", COUNTIFS($B$8:TblDetailBudget[[#This Row],[Level]], Lvl1Hdr))</f>
        <v/>
      </c>
      <c r="E428" s="85" t="str">
        <f>IF(TblDetailBudget[[#This Row],[Level]]="", "", COUNTIFS($B$8:TblDetailBudget[[#This Row],[Level]], Lvl2Hdr, $D$8:TblDetailBudget[[#This Row],[Lvl 1 Header]], TblDetailBudget[[#This Row],[Lvl 1 Header]]))</f>
        <v/>
      </c>
      <c r="F428" s="85" t="str">
        <f>IF(TblDetailBudget[[#This Row],[Level]]="", "", COUNTIFS($B$8:TblDetailBudget[[#This Row],[Level]], Lvl3Hdr, $D$8:TblDetailBudget[[#This Row],[Lvl 1 Header]], TblDetailBudget[[#This Row],[Lvl 1 Header]], $E$8:TblDetailBudget[[#This Row],[Lvl 2 Header]], TblDetailBudget[[#This Row],[Lvl 2 Header]]))</f>
        <v/>
      </c>
      <c r="G42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8" s="164"/>
      <c r="J428" s="164"/>
      <c r="K428" s="165"/>
      <c r="L428" s="165"/>
      <c r="M428" s="85" t="str">
        <f>IF(TblDetailBudget[[#This Row],[Level]]=LvlBottomHdr, IFERROR(INDEX(TblUnitCost[Unit], MATCH(TblDetailBudget[[#This Row],[Row Title]], TblUnitCost[Resource], 0)), "Invalid Resource"), "")</f>
        <v/>
      </c>
      <c r="N428" s="126" t="str">
        <f>IF(TblDetailBudget[[#This Row],[Level]]=LvlBottomHdr, IFERROR(INDEX(TblUnitCost[LCU], MATCH(TblDetailBudget[[#This Row],[Row Title]], TblUnitCost[Resource], 0)), "Invalid Resource"), "")</f>
        <v/>
      </c>
      <c r="O428" s="130"/>
      <c r="P428" s="109"/>
      <c r="Q428" s="131"/>
      <c r="R428" s="109" t="s">
        <v>66</v>
      </c>
      <c r="S428" s="109" t="s">
        <v>66</v>
      </c>
      <c r="T428" s="109" t="s">
        <v>66</v>
      </c>
      <c r="U428" s="109" t="s">
        <v>66</v>
      </c>
      <c r="V428" s="109" t="s">
        <v>66</v>
      </c>
      <c r="W428" s="126" t="str">
        <f>IF(TblDetailBudget[[#This Row],[Level]]=LvlBottomHdr, IF(SUM(TblDetailBudget[[#This Row],[2021 Quant]:[2025 Quant]])&gt;0, SUM(TblDetailBudget[[#This Row],[2021 Quant]:[2025 Quant]]), ""), "")</f>
        <v/>
      </c>
      <c r="X42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8" s="142">
        <f>SUM(TblDetailBudget[[#This Row],[2021 Cost (LCU)]:[2025 Cost (LCU)]])</f>
        <v>0</v>
      </c>
      <c r="AD428" s="135">
        <f>IFERROR(SUM(TblDetailBudget[[#This Row],[2021 Cost (LCU)]])/FX_Rate, "")</f>
        <v>0</v>
      </c>
      <c r="AE428" s="86">
        <f>IFERROR(SUM(TblDetailBudget[[#This Row],[2022 Cost (LCU)]])/FX_Rate, "")</f>
        <v>0</v>
      </c>
      <c r="AF428" s="86">
        <f>IFERROR(SUM(TblDetailBudget[[#This Row],[2023 Cost (LCU)]])/FX_Rate, "")</f>
        <v>0</v>
      </c>
      <c r="AG428" s="86">
        <f>IFERROR(SUM(TblDetailBudget[[#This Row],[2024 Cost (LCU)]])/FX_Rate, "")</f>
        <v>0</v>
      </c>
      <c r="AH428" s="86">
        <f>IFERROR(SUM(TblDetailBudget[[#This Row],[2025 Cost (LCU)]])/FX_Rate, "")</f>
        <v>0</v>
      </c>
      <c r="AI428" s="126">
        <f>SUM(TblDetailBudget[[#This Row],[2021 Cost (USD)]:[2025 Cost (USD)]])</f>
        <v>0</v>
      </c>
      <c r="AJ428" s="180"/>
    </row>
    <row r="429" spans="2:36" ht="12.75" customHeight="1">
      <c r="B429" s="123"/>
      <c r="C4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9" s="85" t="str">
        <f>IF(TblDetailBudget[[#This Row],[Level]]="", "", COUNTIFS($B$8:TblDetailBudget[[#This Row],[Level]], Lvl1Hdr))</f>
        <v/>
      </c>
      <c r="E429" s="85" t="str">
        <f>IF(TblDetailBudget[[#This Row],[Level]]="", "", COUNTIFS($B$8:TblDetailBudget[[#This Row],[Level]], Lvl2Hdr, $D$8:TblDetailBudget[[#This Row],[Lvl 1 Header]], TblDetailBudget[[#This Row],[Lvl 1 Header]]))</f>
        <v/>
      </c>
      <c r="F429" s="85" t="str">
        <f>IF(TblDetailBudget[[#This Row],[Level]]="", "", COUNTIFS($B$8:TblDetailBudget[[#This Row],[Level]], Lvl3Hdr, $D$8:TblDetailBudget[[#This Row],[Lvl 1 Header]], TblDetailBudget[[#This Row],[Lvl 1 Header]], $E$8:TblDetailBudget[[#This Row],[Lvl 2 Header]], TblDetailBudget[[#This Row],[Lvl 2 Header]]))</f>
        <v/>
      </c>
      <c r="G4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9" s="164"/>
      <c r="J429" s="164"/>
      <c r="K429" s="165"/>
      <c r="L429" s="165"/>
      <c r="M429" s="85" t="str">
        <f>IF(TblDetailBudget[[#This Row],[Level]]=LvlBottomHdr, IFERROR(INDEX(TblUnitCost[Unit], MATCH(TblDetailBudget[[#This Row],[Row Title]], TblUnitCost[Resource], 0)), "Invalid Resource"), "")</f>
        <v/>
      </c>
      <c r="N429" s="126" t="str">
        <f>IF(TblDetailBudget[[#This Row],[Level]]=LvlBottomHdr, IFERROR(INDEX(TblUnitCost[LCU], MATCH(TblDetailBudget[[#This Row],[Row Title]], TblUnitCost[Resource], 0)), "Invalid Resource"), "")</f>
        <v/>
      </c>
      <c r="O429" s="130"/>
      <c r="P429" s="109"/>
      <c r="Q429" s="131"/>
      <c r="R429" s="109" t="s">
        <v>66</v>
      </c>
      <c r="S429" s="109" t="s">
        <v>66</v>
      </c>
      <c r="T429" s="109" t="s">
        <v>66</v>
      </c>
      <c r="U429" s="109" t="s">
        <v>66</v>
      </c>
      <c r="V429" s="109" t="s">
        <v>66</v>
      </c>
      <c r="W429" s="126" t="str">
        <f>IF(TblDetailBudget[[#This Row],[Level]]=LvlBottomHdr, IF(SUM(TblDetailBudget[[#This Row],[2021 Quant]:[2025 Quant]])&gt;0, SUM(TblDetailBudget[[#This Row],[2021 Quant]:[2025 Quant]]), ""), "")</f>
        <v/>
      </c>
      <c r="X4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9" s="142">
        <f>SUM(TblDetailBudget[[#This Row],[2021 Cost (LCU)]:[2025 Cost (LCU)]])</f>
        <v>0</v>
      </c>
      <c r="AD429" s="135">
        <f>IFERROR(SUM(TblDetailBudget[[#This Row],[2021 Cost (LCU)]])/FX_Rate, "")</f>
        <v>0</v>
      </c>
      <c r="AE429" s="86">
        <f>IFERROR(SUM(TblDetailBudget[[#This Row],[2022 Cost (LCU)]])/FX_Rate, "")</f>
        <v>0</v>
      </c>
      <c r="AF429" s="86">
        <f>IFERROR(SUM(TblDetailBudget[[#This Row],[2023 Cost (LCU)]])/FX_Rate, "")</f>
        <v>0</v>
      </c>
      <c r="AG429" s="86">
        <f>IFERROR(SUM(TblDetailBudget[[#This Row],[2024 Cost (LCU)]])/FX_Rate, "")</f>
        <v>0</v>
      </c>
      <c r="AH429" s="86">
        <f>IFERROR(SUM(TblDetailBudget[[#This Row],[2025 Cost (LCU)]])/FX_Rate, "")</f>
        <v>0</v>
      </c>
      <c r="AI429" s="126">
        <f>SUM(TblDetailBudget[[#This Row],[2021 Cost (USD)]:[2025 Cost (USD)]])</f>
        <v>0</v>
      </c>
      <c r="AJ429" s="180"/>
    </row>
    <row r="430" spans="2:36" ht="12.75" customHeight="1">
      <c r="B430" s="123"/>
      <c r="C4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0" s="85" t="str">
        <f>IF(TblDetailBudget[[#This Row],[Level]]="", "", COUNTIFS($B$8:TblDetailBudget[[#This Row],[Level]], Lvl1Hdr))</f>
        <v/>
      </c>
      <c r="E430" s="85" t="str">
        <f>IF(TblDetailBudget[[#This Row],[Level]]="", "", COUNTIFS($B$8:TblDetailBudget[[#This Row],[Level]], Lvl2Hdr, $D$8:TblDetailBudget[[#This Row],[Lvl 1 Header]], TblDetailBudget[[#This Row],[Lvl 1 Header]]))</f>
        <v/>
      </c>
      <c r="F430" s="85" t="str">
        <f>IF(TblDetailBudget[[#This Row],[Level]]="", "", COUNTIFS($B$8:TblDetailBudget[[#This Row],[Level]], Lvl3Hdr, $D$8:TblDetailBudget[[#This Row],[Lvl 1 Header]], TblDetailBudget[[#This Row],[Lvl 1 Header]], $E$8:TblDetailBudget[[#This Row],[Lvl 2 Header]], TblDetailBudget[[#This Row],[Lvl 2 Header]]))</f>
        <v/>
      </c>
      <c r="G4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0" s="164"/>
      <c r="J430" s="164"/>
      <c r="K430" s="165"/>
      <c r="L430" s="165"/>
      <c r="M430" s="85" t="str">
        <f>IF(TblDetailBudget[[#This Row],[Level]]=LvlBottomHdr, IFERROR(INDEX(TblUnitCost[Unit], MATCH(TblDetailBudget[[#This Row],[Row Title]], TblUnitCost[Resource], 0)), "Invalid Resource"), "")</f>
        <v/>
      </c>
      <c r="N430" s="126" t="str">
        <f>IF(TblDetailBudget[[#This Row],[Level]]=LvlBottomHdr, IFERROR(INDEX(TblUnitCost[LCU], MATCH(TblDetailBudget[[#This Row],[Row Title]], TblUnitCost[Resource], 0)), "Invalid Resource"), "")</f>
        <v/>
      </c>
      <c r="O430" s="130"/>
      <c r="P430" s="109"/>
      <c r="Q430" s="131"/>
      <c r="R430" s="109" t="s">
        <v>66</v>
      </c>
      <c r="S430" s="109" t="s">
        <v>66</v>
      </c>
      <c r="T430" s="109" t="s">
        <v>66</v>
      </c>
      <c r="U430" s="109" t="s">
        <v>66</v>
      </c>
      <c r="V430" s="109" t="s">
        <v>66</v>
      </c>
      <c r="W430" s="126" t="str">
        <f>IF(TblDetailBudget[[#This Row],[Level]]=LvlBottomHdr, IF(SUM(TblDetailBudget[[#This Row],[2021 Quant]:[2025 Quant]])&gt;0, SUM(TblDetailBudget[[#This Row],[2021 Quant]:[2025 Quant]]), ""), "")</f>
        <v/>
      </c>
      <c r="X4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0" s="142">
        <f>SUM(TblDetailBudget[[#This Row],[2021 Cost (LCU)]:[2025 Cost (LCU)]])</f>
        <v>0</v>
      </c>
      <c r="AD430" s="135">
        <f>IFERROR(SUM(TblDetailBudget[[#This Row],[2021 Cost (LCU)]])/FX_Rate, "")</f>
        <v>0</v>
      </c>
      <c r="AE430" s="86">
        <f>IFERROR(SUM(TblDetailBudget[[#This Row],[2022 Cost (LCU)]])/FX_Rate, "")</f>
        <v>0</v>
      </c>
      <c r="AF430" s="86">
        <f>IFERROR(SUM(TblDetailBudget[[#This Row],[2023 Cost (LCU)]])/FX_Rate, "")</f>
        <v>0</v>
      </c>
      <c r="AG430" s="86">
        <f>IFERROR(SUM(TblDetailBudget[[#This Row],[2024 Cost (LCU)]])/FX_Rate, "")</f>
        <v>0</v>
      </c>
      <c r="AH430" s="86">
        <f>IFERROR(SUM(TblDetailBudget[[#This Row],[2025 Cost (LCU)]])/FX_Rate, "")</f>
        <v>0</v>
      </c>
      <c r="AI430" s="126">
        <f>SUM(TblDetailBudget[[#This Row],[2021 Cost (USD)]:[2025 Cost (USD)]])</f>
        <v>0</v>
      </c>
      <c r="AJ430" s="180"/>
    </row>
    <row r="431" spans="2:36" ht="12.75" customHeight="1">
      <c r="B431" s="123"/>
      <c r="C4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1" s="85" t="str">
        <f>IF(TblDetailBudget[[#This Row],[Level]]="", "", COUNTIFS($B$8:TblDetailBudget[[#This Row],[Level]], Lvl1Hdr))</f>
        <v/>
      </c>
      <c r="E431" s="85" t="str">
        <f>IF(TblDetailBudget[[#This Row],[Level]]="", "", COUNTIFS($B$8:TblDetailBudget[[#This Row],[Level]], Lvl2Hdr, $D$8:TblDetailBudget[[#This Row],[Lvl 1 Header]], TblDetailBudget[[#This Row],[Lvl 1 Header]]))</f>
        <v/>
      </c>
      <c r="F431" s="85" t="str">
        <f>IF(TblDetailBudget[[#This Row],[Level]]="", "", COUNTIFS($B$8:TblDetailBudget[[#This Row],[Level]], Lvl3Hdr, $D$8:TblDetailBudget[[#This Row],[Lvl 1 Header]], TblDetailBudget[[#This Row],[Lvl 1 Header]], $E$8:TblDetailBudget[[#This Row],[Lvl 2 Header]], TblDetailBudget[[#This Row],[Lvl 2 Header]]))</f>
        <v/>
      </c>
      <c r="G4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1" s="164"/>
      <c r="J431" s="164"/>
      <c r="K431" s="165"/>
      <c r="L431" s="165"/>
      <c r="M431" s="85" t="str">
        <f>IF(TblDetailBudget[[#This Row],[Level]]=LvlBottomHdr, IFERROR(INDEX(TblUnitCost[Unit], MATCH(TblDetailBudget[[#This Row],[Row Title]], TblUnitCost[Resource], 0)), "Invalid Resource"), "")</f>
        <v/>
      </c>
      <c r="N431" s="126" t="str">
        <f>IF(TblDetailBudget[[#This Row],[Level]]=LvlBottomHdr, IFERROR(INDEX(TblUnitCost[LCU], MATCH(TblDetailBudget[[#This Row],[Row Title]], TblUnitCost[Resource], 0)), "Invalid Resource"), "")</f>
        <v/>
      </c>
      <c r="O431" s="130"/>
      <c r="P431" s="109"/>
      <c r="Q431" s="131"/>
      <c r="R431" s="109" t="s">
        <v>66</v>
      </c>
      <c r="S431" s="109" t="s">
        <v>66</v>
      </c>
      <c r="T431" s="109" t="s">
        <v>66</v>
      </c>
      <c r="U431" s="109" t="s">
        <v>66</v>
      </c>
      <c r="V431" s="109" t="s">
        <v>66</v>
      </c>
      <c r="W431" s="126" t="str">
        <f>IF(TblDetailBudget[[#This Row],[Level]]=LvlBottomHdr, IF(SUM(TblDetailBudget[[#This Row],[2021 Quant]:[2025 Quant]])&gt;0, SUM(TblDetailBudget[[#This Row],[2021 Quant]:[2025 Quant]]), ""), "")</f>
        <v/>
      </c>
      <c r="X4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1" s="142">
        <f>SUM(TblDetailBudget[[#This Row],[2021 Cost (LCU)]:[2025 Cost (LCU)]])</f>
        <v>0</v>
      </c>
      <c r="AD431" s="135">
        <f>IFERROR(SUM(TblDetailBudget[[#This Row],[2021 Cost (LCU)]])/FX_Rate, "")</f>
        <v>0</v>
      </c>
      <c r="AE431" s="86">
        <f>IFERROR(SUM(TblDetailBudget[[#This Row],[2022 Cost (LCU)]])/FX_Rate, "")</f>
        <v>0</v>
      </c>
      <c r="AF431" s="86">
        <f>IFERROR(SUM(TblDetailBudget[[#This Row],[2023 Cost (LCU)]])/FX_Rate, "")</f>
        <v>0</v>
      </c>
      <c r="AG431" s="86">
        <f>IFERROR(SUM(TblDetailBudget[[#This Row],[2024 Cost (LCU)]])/FX_Rate, "")</f>
        <v>0</v>
      </c>
      <c r="AH431" s="86">
        <f>IFERROR(SUM(TblDetailBudget[[#This Row],[2025 Cost (LCU)]])/FX_Rate, "")</f>
        <v>0</v>
      </c>
      <c r="AI431" s="126">
        <f>SUM(TblDetailBudget[[#This Row],[2021 Cost (USD)]:[2025 Cost (USD)]])</f>
        <v>0</v>
      </c>
      <c r="AJ431" s="180"/>
    </row>
    <row r="432" spans="2:36" ht="12.75" customHeight="1">
      <c r="B432" s="123"/>
      <c r="C4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2" s="85" t="str">
        <f>IF(TblDetailBudget[[#This Row],[Level]]="", "", COUNTIFS($B$8:TblDetailBudget[[#This Row],[Level]], Lvl1Hdr))</f>
        <v/>
      </c>
      <c r="E432" s="85" t="str">
        <f>IF(TblDetailBudget[[#This Row],[Level]]="", "", COUNTIFS($B$8:TblDetailBudget[[#This Row],[Level]], Lvl2Hdr, $D$8:TblDetailBudget[[#This Row],[Lvl 1 Header]], TblDetailBudget[[#This Row],[Lvl 1 Header]]))</f>
        <v/>
      </c>
      <c r="F432" s="85" t="str">
        <f>IF(TblDetailBudget[[#This Row],[Level]]="", "", COUNTIFS($B$8:TblDetailBudget[[#This Row],[Level]], Lvl3Hdr, $D$8:TblDetailBudget[[#This Row],[Lvl 1 Header]], TblDetailBudget[[#This Row],[Lvl 1 Header]], $E$8:TblDetailBudget[[#This Row],[Lvl 2 Header]], TblDetailBudget[[#This Row],[Lvl 2 Header]]))</f>
        <v/>
      </c>
      <c r="G4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2" s="164"/>
      <c r="J432" s="164"/>
      <c r="K432" s="165"/>
      <c r="L432" s="165"/>
      <c r="M432" s="85" t="str">
        <f>IF(TblDetailBudget[[#This Row],[Level]]=LvlBottomHdr, IFERROR(INDEX(TblUnitCost[Unit], MATCH(TblDetailBudget[[#This Row],[Row Title]], TblUnitCost[Resource], 0)), "Invalid Resource"), "")</f>
        <v/>
      </c>
      <c r="N432" s="126" t="str">
        <f>IF(TblDetailBudget[[#This Row],[Level]]=LvlBottomHdr, IFERROR(INDEX(TblUnitCost[LCU], MATCH(TblDetailBudget[[#This Row],[Row Title]], TblUnitCost[Resource], 0)), "Invalid Resource"), "")</f>
        <v/>
      </c>
      <c r="O432" s="130"/>
      <c r="P432" s="109"/>
      <c r="Q432" s="131"/>
      <c r="R432" s="109" t="s">
        <v>66</v>
      </c>
      <c r="S432" s="109" t="s">
        <v>66</v>
      </c>
      <c r="T432" s="109" t="s">
        <v>66</v>
      </c>
      <c r="U432" s="109" t="s">
        <v>66</v>
      </c>
      <c r="V432" s="109" t="s">
        <v>66</v>
      </c>
      <c r="W432" s="126" t="str">
        <f>IF(TblDetailBudget[[#This Row],[Level]]=LvlBottomHdr, IF(SUM(TblDetailBudget[[#This Row],[2021 Quant]:[2025 Quant]])&gt;0, SUM(TblDetailBudget[[#This Row],[2021 Quant]:[2025 Quant]]), ""), "")</f>
        <v/>
      </c>
      <c r="X4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2" s="142">
        <f>SUM(TblDetailBudget[[#This Row],[2021 Cost (LCU)]:[2025 Cost (LCU)]])</f>
        <v>0</v>
      </c>
      <c r="AD432" s="135">
        <f>IFERROR(SUM(TblDetailBudget[[#This Row],[2021 Cost (LCU)]])/FX_Rate, "")</f>
        <v>0</v>
      </c>
      <c r="AE432" s="86">
        <f>IFERROR(SUM(TblDetailBudget[[#This Row],[2022 Cost (LCU)]])/FX_Rate, "")</f>
        <v>0</v>
      </c>
      <c r="AF432" s="86">
        <f>IFERROR(SUM(TblDetailBudget[[#This Row],[2023 Cost (LCU)]])/FX_Rate, "")</f>
        <v>0</v>
      </c>
      <c r="AG432" s="86">
        <f>IFERROR(SUM(TblDetailBudget[[#This Row],[2024 Cost (LCU)]])/FX_Rate, "")</f>
        <v>0</v>
      </c>
      <c r="AH432" s="86">
        <f>IFERROR(SUM(TblDetailBudget[[#This Row],[2025 Cost (LCU)]])/FX_Rate, "")</f>
        <v>0</v>
      </c>
      <c r="AI432" s="126">
        <f>SUM(TblDetailBudget[[#This Row],[2021 Cost (USD)]:[2025 Cost (USD)]])</f>
        <v>0</v>
      </c>
      <c r="AJ432" s="180"/>
    </row>
    <row r="433" spans="2:36" ht="12.75" customHeight="1">
      <c r="B433" s="123"/>
      <c r="C4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3" s="85" t="str">
        <f>IF(TblDetailBudget[[#This Row],[Level]]="", "", COUNTIFS($B$8:TblDetailBudget[[#This Row],[Level]], Lvl1Hdr))</f>
        <v/>
      </c>
      <c r="E433" s="85" t="str">
        <f>IF(TblDetailBudget[[#This Row],[Level]]="", "", COUNTIFS($B$8:TblDetailBudget[[#This Row],[Level]], Lvl2Hdr, $D$8:TblDetailBudget[[#This Row],[Lvl 1 Header]], TblDetailBudget[[#This Row],[Lvl 1 Header]]))</f>
        <v/>
      </c>
      <c r="F433" s="85" t="str">
        <f>IF(TblDetailBudget[[#This Row],[Level]]="", "", COUNTIFS($B$8:TblDetailBudget[[#This Row],[Level]], Lvl3Hdr, $D$8:TblDetailBudget[[#This Row],[Lvl 1 Header]], TblDetailBudget[[#This Row],[Lvl 1 Header]], $E$8:TblDetailBudget[[#This Row],[Lvl 2 Header]], TblDetailBudget[[#This Row],[Lvl 2 Header]]))</f>
        <v/>
      </c>
      <c r="G4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3" s="164"/>
      <c r="J433" s="164"/>
      <c r="K433" s="165"/>
      <c r="L433" s="165"/>
      <c r="M433" s="85" t="str">
        <f>IF(TblDetailBudget[[#This Row],[Level]]=LvlBottomHdr, IFERROR(INDEX(TblUnitCost[Unit], MATCH(TblDetailBudget[[#This Row],[Row Title]], TblUnitCost[Resource], 0)), "Invalid Resource"), "")</f>
        <v/>
      </c>
      <c r="N433" s="126" t="str">
        <f>IF(TblDetailBudget[[#This Row],[Level]]=LvlBottomHdr, IFERROR(INDEX(TblUnitCost[LCU], MATCH(TblDetailBudget[[#This Row],[Row Title]], TblUnitCost[Resource], 0)), "Invalid Resource"), "")</f>
        <v/>
      </c>
      <c r="O433" s="130"/>
      <c r="P433" s="109"/>
      <c r="Q433" s="131"/>
      <c r="R433" s="109" t="s">
        <v>66</v>
      </c>
      <c r="S433" s="109" t="s">
        <v>66</v>
      </c>
      <c r="T433" s="109" t="s">
        <v>66</v>
      </c>
      <c r="U433" s="109" t="s">
        <v>66</v>
      </c>
      <c r="V433" s="109" t="s">
        <v>66</v>
      </c>
      <c r="W433" s="126" t="str">
        <f>IF(TblDetailBudget[[#This Row],[Level]]=LvlBottomHdr, IF(SUM(TblDetailBudget[[#This Row],[2021 Quant]:[2025 Quant]])&gt;0, SUM(TblDetailBudget[[#This Row],[2021 Quant]:[2025 Quant]]), ""), "")</f>
        <v/>
      </c>
      <c r="X4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3" s="142">
        <f>SUM(TblDetailBudget[[#This Row],[2021 Cost (LCU)]:[2025 Cost (LCU)]])</f>
        <v>0</v>
      </c>
      <c r="AD433" s="135">
        <f>IFERROR(SUM(TblDetailBudget[[#This Row],[2021 Cost (LCU)]])/FX_Rate, "")</f>
        <v>0</v>
      </c>
      <c r="AE433" s="86">
        <f>IFERROR(SUM(TblDetailBudget[[#This Row],[2022 Cost (LCU)]])/FX_Rate, "")</f>
        <v>0</v>
      </c>
      <c r="AF433" s="86">
        <f>IFERROR(SUM(TblDetailBudget[[#This Row],[2023 Cost (LCU)]])/FX_Rate, "")</f>
        <v>0</v>
      </c>
      <c r="AG433" s="86">
        <f>IFERROR(SUM(TblDetailBudget[[#This Row],[2024 Cost (LCU)]])/FX_Rate, "")</f>
        <v>0</v>
      </c>
      <c r="AH433" s="86">
        <f>IFERROR(SUM(TblDetailBudget[[#This Row],[2025 Cost (LCU)]])/FX_Rate, "")</f>
        <v>0</v>
      </c>
      <c r="AI433" s="126">
        <f>SUM(TblDetailBudget[[#This Row],[2021 Cost (USD)]:[2025 Cost (USD)]])</f>
        <v>0</v>
      </c>
      <c r="AJ433" s="180"/>
    </row>
    <row r="434" spans="2:36" ht="12.75" customHeight="1">
      <c r="B434" s="123"/>
      <c r="C4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4" s="85" t="str">
        <f>IF(TblDetailBudget[[#This Row],[Level]]="", "", COUNTIFS($B$8:TblDetailBudget[[#This Row],[Level]], Lvl1Hdr))</f>
        <v/>
      </c>
      <c r="E434" s="85" t="str">
        <f>IF(TblDetailBudget[[#This Row],[Level]]="", "", COUNTIFS($B$8:TblDetailBudget[[#This Row],[Level]], Lvl2Hdr, $D$8:TblDetailBudget[[#This Row],[Lvl 1 Header]], TblDetailBudget[[#This Row],[Lvl 1 Header]]))</f>
        <v/>
      </c>
      <c r="F434" s="85" t="str">
        <f>IF(TblDetailBudget[[#This Row],[Level]]="", "", COUNTIFS($B$8:TblDetailBudget[[#This Row],[Level]], Lvl3Hdr, $D$8:TblDetailBudget[[#This Row],[Lvl 1 Header]], TblDetailBudget[[#This Row],[Lvl 1 Header]], $E$8:TblDetailBudget[[#This Row],[Lvl 2 Header]], TblDetailBudget[[#This Row],[Lvl 2 Header]]))</f>
        <v/>
      </c>
      <c r="G4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4" s="164"/>
      <c r="J434" s="164"/>
      <c r="K434" s="165"/>
      <c r="L434" s="165"/>
      <c r="M434" s="85" t="str">
        <f>IF(TblDetailBudget[[#This Row],[Level]]=LvlBottomHdr, IFERROR(INDEX(TblUnitCost[Unit], MATCH(TblDetailBudget[[#This Row],[Row Title]], TblUnitCost[Resource], 0)), "Invalid Resource"), "")</f>
        <v/>
      </c>
      <c r="N434" s="126" t="str">
        <f>IF(TblDetailBudget[[#This Row],[Level]]=LvlBottomHdr, IFERROR(INDEX(TblUnitCost[LCU], MATCH(TblDetailBudget[[#This Row],[Row Title]], TblUnitCost[Resource], 0)), "Invalid Resource"), "")</f>
        <v/>
      </c>
      <c r="O434" s="130"/>
      <c r="P434" s="109"/>
      <c r="Q434" s="131"/>
      <c r="R434" s="109" t="s">
        <v>66</v>
      </c>
      <c r="S434" s="109" t="s">
        <v>66</v>
      </c>
      <c r="T434" s="109" t="s">
        <v>66</v>
      </c>
      <c r="U434" s="109" t="s">
        <v>66</v>
      </c>
      <c r="V434" s="109" t="s">
        <v>66</v>
      </c>
      <c r="W434" s="126" t="str">
        <f>IF(TblDetailBudget[[#This Row],[Level]]=LvlBottomHdr, IF(SUM(TblDetailBudget[[#This Row],[2021 Quant]:[2025 Quant]])&gt;0, SUM(TblDetailBudget[[#This Row],[2021 Quant]:[2025 Quant]]), ""), "")</f>
        <v/>
      </c>
      <c r="X4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4" s="142">
        <f>SUM(TblDetailBudget[[#This Row],[2021 Cost (LCU)]:[2025 Cost (LCU)]])</f>
        <v>0</v>
      </c>
      <c r="AD434" s="135">
        <f>IFERROR(SUM(TblDetailBudget[[#This Row],[2021 Cost (LCU)]])/FX_Rate, "")</f>
        <v>0</v>
      </c>
      <c r="AE434" s="86">
        <f>IFERROR(SUM(TblDetailBudget[[#This Row],[2022 Cost (LCU)]])/FX_Rate, "")</f>
        <v>0</v>
      </c>
      <c r="AF434" s="86">
        <f>IFERROR(SUM(TblDetailBudget[[#This Row],[2023 Cost (LCU)]])/FX_Rate, "")</f>
        <v>0</v>
      </c>
      <c r="AG434" s="86">
        <f>IFERROR(SUM(TblDetailBudget[[#This Row],[2024 Cost (LCU)]])/FX_Rate, "")</f>
        <v>0</v>
      </c>
      <c r="AH434" s="86">
        <f>IFERROR(SUM(TblDetailBudget[[#This Row],[2025 Cost (LCU)]])/FX_Rate, "")</f>
        <v>0</v>
      </c>
      <c r="AI434" s="126">
        <f>SUM(TblDetailBudget[[#This Row],[2021 Cost (USD)]:[2025 Cost (USD)]])</f>
        <v>0</v>
      </c>
      <c r="AJ434" s="180"/>
    </row>
    <row r="435" spans="2:36" ht="12.75" customHeight="1">
      <c r="B435" s="123"/>
      <c r="C4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5" s="85" t="str">
        <f>IF(TblDetailBudget[[#This Row],[Level]]="", "", COUNTIFS($B$8:TblDetailBudget[[#This Row],[Level]], Lvl1Hdr))</f>
        <v/>
      </c>
      <c r="E435" s="85" t="str">
        <f>IF(TblDetailBudget[[#This Row],[Level]]="", "", COUNTIFS($B$8:TblDetailBudget[[#This Row],[Level]], Lvl2Hdr, $D$8:TblDetailBudget[[#This Row],[Lvl 1 Header]], TblDetailBudget[[#This Row],[Lvl 1 Header]]))</f>
        <v/>
      </c>
      <c r="F435" s="85" t="str">
        <f>IF(TblDetailBudget[[#This Row],[Level]]="", "", COUNTIFS($B$8:TblDetailBudget[[#This Row],[Level]], Lvl3Hdr, $D$8:TblDetailBudget[[#This Row],[Lvl 1 Header]], TblDetailBudget[[#This Row],[Lvl 1 Header]], $E$8:TblDetailBudget[[#This Row],[Lvl 2 Header]], TblDetailBudget[[#This Row],[Lvl 2 Header]]))</f>
        <v/>
      </c>
      <c r="G4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5" s="164"/>
      <c r="J435" s="164"/>
      <c r="K435" s="165"/>
      <c r="L435" s="165"/>
      <c r="M435" s="85" t="str">
        <f>IF(TblDetailBudget[[#This Row],[Level]]=LvlBottomHdr, IFERROR(INDEX(TblUnitCost[Unit], MATCH(TblDetailBudget[[#This Row],[Row Title]], TblUnitCost[Resource], 0)), "Invalid Resource"), "")</f>
        <v/>
      </c>
      <c r="N435" s="126" t="str">
        <f>IF(TblDetailBudget[[#This Row],[Level]]=LvlBottomHdr, IFERROR(INDEX(TblUnitCost[LCU], MATCH(TblDetailBudget[[#This Row],[Row Title]], TblUnitCost[Resource], 0)), "Invalid Resource"), "")</f>
        <v/>
      </c>
      <c r="O435" s="130"/>
      <c r="P435" s="109"/>
      <c r="Q435" s="131"/>
      <c r="R435" s="109" t="s">
        <v>66</v>
      </c>
      <c r="S435" s="109" t="s">
        <v>66</v>
      </c>
      <c r="T435" s="109" t="s">
        <v>66</v>
      </c>
      <c r="U435" s="109" t="s">
        <v>66</v>
      </c>
      <c r="V435" s="109" t="s">
        <v>66</v>
      </c>
      <c r="W435" s="126" t="str">
        <f>IF(TblDetailBudget[[#This Row],[Level]]=LvlBottomHdr, IF(SUM(TblDetailBudget[[#This Row],[2021 Quant]:[2025 Quant]])&gt;0, SUM(TblDetailBudget[[#This Row],[2021 Quant]:[2025 Quant]]), ""), "")</f>
        <v/>
      </c>
      <c r="X4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5" s="142">
        <f>SUM(TblDetailBudget[[#This Row],[2021 Cost (LCU)]:[2025 Cost (LCU)]])</f>
        <v>0</v>
      </c>
      <c r="AD435" s="135">
        <f>IFERROR(SUM(TblDetailBudget[[#This Row],[2021 Cost (LCU)]])/FX_Rate, "")</f>
        <v>0</v>
      </c>
      <c r="AE435" s="86">
        <f>IFERROR(SUM(TblDetailBudget[[#This Row],[2022 Cost (LCU)]])/FX_Rate, "")</f>
        <v>0</v>
      </c>
      <c r="AF435" s="86">
        <f>IFERROR(SUM(TblDetailBudget[[#This Row],[2023 Cost (LCU)]])/FX_Rate, "")</f>
        <v>0</v>
      </c>
      <c r="AG435" s="86">
        <f>IFERROR(SUM(TblDetailBudget[[#This Row],[2024 Cost (LCU)]])/FX_Rate, "")</f>
        <v>0</v>
      </c>
      <c r="AH435" s="86">
        <f>IFERROR(SUM(TblDetailBudget[[#This Row],[2025 Cost (LCU)]])/FX_Rate, "")</f>
        <v>0</v>
      </c>
      <c r="AI435" s="126">
        <f>SUM(TblDetailBudget[[#This Row],[2021 Cost (USD)]:[2025 Cost (USD)]])</f>
        <v>0</v>
      </c>
      <c r="AJ435" s="180"/>
    </row>
    <row r="436" spans="2:36" ht="12.75" customHeight="1">
      <c r="B436" s="123"/>
      <c r="C4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6" s="85" t="str">
        <f>IF(TblDetailBudget[[#This Row],[Level]]="", "", COUNTIFS($B$8:TblDetailBudget[[#This Row],[Level]], Lvl1Hdr))</f>
        <v/>
      </c>
      <c r="E436" s="85" t="str">
        <f>IF(TblDetailBudget[[#This Row],[Level]]="", "", COUNTIFS($B$8:TblDetailBudget[[#This Row],[Level]], Lvl2Hdr, $D$8:TblDetailBudget[[#This Row],[Lvl 1 Header]], TblDetailBudget[[#This Row],[Lvl 1 Header]]))</f>
        <v/>
      </c>
      <c r="F436" s="85" t="str">
        <f>IF(TblDetailBudget[[#This Row],[Level]]="", "", COUNTIFS($B$8:TblDetailBudget[[#This Row],[Level]], Lvl3Hdr, $D$8:TblDetailBudget[[#This Row],[Lvl 1 Header]], TblDetailBudget[[#This Row],[Lvl 1 Header]], $E$8:TblDetailBudget[[#This Row],[Lvl 2 Header]], TblDetailBudget[[#This Row],[Lvl 2 Header]]))</f>
        <v/>
      </c>
      <c r="G4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6" s="164"/>
      <c r="J436" s="164"/>
      <c r="K436" s="165"/>
      <c r="L436" s="165"/>
      <c r="M436" s="85" t="str">
        <f>IF(TblDetailBudget[[#This Row],[Level]]=LvlBottomHdr, IFERROR(INDEX(TblUnitCost[Unit], MATCH(TblDetailBudget[[#This Row],[Row Title]], TblUnitCost[Resource], 0)), "Invalid Resource"), "")</f>
        <v/>
      </c>
      <c r="N436" s="126" t="str">
        <f>IF(TblDetailBudget[[#This Row],[Level]]=LvlBottomHdr, IFERROR(INDEX(TblUnitCost[LCU], MATCH(TblDetailBudget[[#This Row],[Row Title]], TblUnitCost[Resource], 0)), "Invalid Resource"), "")</f>
        <v/>
      </c>
      <c r="O436" s="130"/>
      <c r="P436" s="109"/>
      <c r="Q436" s="131"/>
      <c r="R436" s="109" t="s">
        <v>66</v>
      </c>
      <c r="S436" s="109" t="s">
        <v>66</v>
      </c>
      <c r="T436" s="109" t="s">
        <v>66</v>
      </c>
      <c r="U436" s="109" t="s">
        <v>66</v>
      </c>
      <c r="V436" s="109" t="s">
        <v>66</v>
      </c>
      <c r="W436" s="126" t="str">
        <f>IF(TblDetailBudget[[#This Row],[Level]]=LvlBottomHdr, IF(SUM(TblDetailBudget[[#This Row],[2021 Quant]:[2025 Quant]])&gt;0, SUM(TblDetailBudget[[#This Row],[2021 Quant]:[2025 Quant]]), ""), "")</f>
        <v/>
      </c>
      <c r="X4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6" s="142">
        <f>SUM(TblDetailBudget[[#This Row],[2021 Cost (LCU)]:[2025 Cost (LCU)]])</f>
        <v>0</v>
      </c>
      <c r="AD436" s="135">
        <f>IFERROR(SUM(TblDetailBudget[[#This Row],[2021 Cost (LCU)]])/FX_Rate, "")</f>
        <v>0</v>
      </c>
      <c r="AE436" s="86">
        <f>IFERROR(SUM(TblDetailBudget[[#This Row],[2022 Cost (LCU)]])/FX_Rate, "")</f>
        <v>0</v>
      </c>
      <c r="AF436" s="86">
        <f>IFERROR(SUM(TblDetailBudget[[#This Row],[2023 Cost (LCU)]])/FX_Rate, "")</f>
        <v>0</v>
      </c>
      <c r="AG436" s="86">
        <f>IFERROR(SUM(TblDetailBudget[[#This Row],[2024 Cost (LCU)]])/FX_Rate, "")</f>
        <v>0</v>
      </c>
      <c r="AH436" s="86">
        <f>IFERROR(SUM(TblDetailBudget[[#This Row],[2025 Cost (LCU)]])/FX_Rate, "")</f>
        <v>0</v>
      </c>
      <c r="AI436" s="126">
        <f>SUM(TblDetailBudget[[#This Row],[2021 Cost (USD)]:[2025 Cost (USD)]])</f>
        <v>0</v>
      </c>
      <c r="AJ436" s="180"/>
    </row>
    <row r="437" spans="2:36" ht="12.75" customHeight="1">
      <c r="B437" s="123"/>
      <c r="C4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7" s="85" t="str">
        <f>IF(TblDetailBudget[[#This Row],[Level]]="", "", COUNTIFS($B$8:TblDetailBudget[[#This Row],[Level]], Lvl1Hdr))</f>
        <v/>
      </c>
      <c r="E437" s="85" t="str">
        <f>IF(TblDetailBudget[[#This Row],[Level]]="", "", COUNTIFS($B$8:TblDetailBudget[[#This Row],[Level]], Lvl2Hdr, $D$8:TblDetailBudget[[#This Row],[Lvl 1 Header]], TblDetailBudget[[#This Row],[Lvl 1 Header]]))</f>
        <v/>
      </c>
      <c r="F437" s="85" t="str">
        <f>IF(TblDetailBudget[[#This Row],[Level]]="", "", COUNTIFS($B$8:TblDetailBudget[[#This Row],[Level]], Lvl3Hdr, $D$8:TblDetailBudget[[#This Row],[Lvl 1 Header]], TblDetailBudget[[#This Row],[Lvl 1 Header]], $E$8:TblDetailBudget[[#This Row],[Lvl 2 Header]], TblDetailBudget[[#This Row],[Lvl 2 Header]]))</f>
        <v/>
      </c>
      <c r="G4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7" s="164"/>
      <c r="J437" s="164"/>
      <c r="K437" s="165"/>
      <c r="L437" s="165"/>
      <c r="M437" s="85" t="str">
        <f>IF(TblDetailBudget[[#This Row],[Level]]=LvlBottomHdr, IFERROR(INDEX(TblUnitCost[Unit], MATCH(TblDetailBudget[[#This Row],[Row Title]], TblUnitCost[Resource], 0)), "Invalid Resource"), "")</f>
        <v/>
      </c>
      <c r="N437" s="126" t="str">
        <f>IF(TblDetailBudget[[#This Row],[Level]]=LvlBottomHdr, IFERROR(INDEX(TblUnitCost[LCU], MATCH(TblDetailBudget[[#This Row],[Row Title]], TblUnitCost[Resource], 0)), "Invalid Resource"), "")</f>
        <v/>
      </c>
      <c r="O437" s="130"/>
      <c r="P437" s="109"/>
      <c r="Q437" s="131"/>
      <c r="R437" s="109" t="s">
        <v>66</v>
      </c>
      <c r="S437" s="109" t="s">
        <v>66</v>
      </c>
      <c r="T437" s="109" t="s">
        <v>66</v>
      </c>
      <c r="U437" s="109" t="s">
        <v>66</v>
      </c>
      <c r="V437" s="109" t="s">
        <v>66</v>
      </c>
      <c r="W437" s="126" t="str">
        <f>IF(TblDetailBudget[[#This Row],[Level]]=LvlBottomHdr, IF(SUM(TblDetailBudget[[#This Row],[2021 Quant]:[2025 Quant]])&gt;0, SUM(TblDetailBudget[[#This Row],[2021 Quant]:[2025 Quant]]), ""), "")</f>
        <v/>
      </c>
      <c r="X4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7" s="142">
        <f>SUM(TblDetailBudget[[#This Row],[2021 Cost (LCU)]:[2025 Cost (LCU)]])</f>
        <v>0</v>
      </c>
      <c r="AD437" s="135">
        <f>IFERROR(SUM(TblDetailBudget[[#This Row],[2021 Cost (LCU)]])/FX_Rate, "")</f>
        <v>0</v>
      </c>
      <c r="AE437" s="86">
        <f>IFERROR(SUM(TblDetailBudget[[#This Row],[2022 Cost (LCU)]])/FX_Rate, "")</f>
        <v>0</v>
      </c>
      <c r="AF437" s="86">
        <f>IFERROR(SUM(TblDetailBudget[[#This Row],[2023 Cost (LCU)]])/FX_Rate, "")</f>
        <v>0</v>
      </c>
      <c r="AG437" s="86">
        <f>IFERROR(SUM(TblDetailBudget[[#This Row],[2024 Cost (LCU)]])/FX_Rate, "")</f>
        <v>0</v>
      </c>
      <c r="AH437" s="86">
        <f>IFERROR(SUM(TblDetailBudget[[#This Row],[2025 Cost (LCU)]])/FX_Rate, "")</f>
        <v>0</v>
      </c>
      <c r="AI437" s="126">
        <f>SUM(TblDetailBudget[[#This Row],[2021 Cost (USD)]:[2025 Cost (USD)]])</f>
        <v>0</v>
      </c>
      <c r="AJ437" s="180"/>
    </row>
    <row r="438" spans="2:36" ht="12.75" customHeight="1">
      <c r="B438" s="123"/>
      <c r="C4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8" s="85" t="str">
        <f>IF(TblDetailBudget[[#This Row],[Level]]="", "", COUNTIFS($B$8:TblDetailBudget[[#This Row],[Level]], Lvl1Hdr))</f>
        <v/>
      </c>
      <c r="E438" s="85" t="str">
        <f>IF(TblDetailBudget[[#This Row],[Level]]="", "", COUNTIFS($B$8:TblDetailBudget[[#This Row],[Level]], Lvl2Hdr, $D$8:TblDetailBudget[[#This Row],[Lvl 1 Header]], TblDetailBudget[[#This Row],[Lvl 1 Header]]))</f>
        <v/>
      </c>
      <c r="F438" s="85" t="str">
        <f>IF(TblDetailBudget[[#This Row],[Level]]="", "", COUNTIFS($B$8:TblDetailBudget[[#This Row],[Level]], Lvl3Hdr, $D$8:TblDetailBudget[[#This Row],[Lvl 1 Header]], TblDetailBudget[[#This Row],[Lvl 1 Header]], $E$8:TblDetailBudget[[#This Row],[Lvl 2 Header]], TblDetailBudget[[#This Row],[Lvl 2 Header]]))</f>
        <v/>
      </c>
      <c r="G4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8" s="164"/>
      <c r="J438" s="164"/>
      <c r="K438" s="165"/>
      <c r="L438" s="165"/>
      <c r="M438" s="85" t="str">
        <f>IF(TblDetailBudget[[#This Row],[Level]]=LvlBottomHdr, IFERROR(INDEX(TblUnitCost[Unit], MATCH(TblDetailBudget[[#This Row],[Row Title]], TblUnitCost[Resource], 0)), "Invalid Resource"), "")</f>
        <v/>
      </c>
      <c r="N438" s="126" t="str">
        <f>IF(TblDetailBudget[[#This Row],[Level]]=LvlBottomHdr, IFERROR(INDEX(TblUnitCost[LCU], MATCH(TblDetailBudget[[#This Row],[Row Title]], TblUnitCost[Resource], 0)), "Invalid Resource"), "")</f>
        <v/>
      </c>
      <c r="O438" s="130"/>
      <c r="P438" s="109"/>
      <c r="Q438" s="131"/>
      <c r="R438" s="109" t="s">
        <v>66</v>
      </c>
      <c r="S438" s="109" t="s">
        <v>66</v>
      </c>
      <c r="T438" s="109" t="s">
        <v>66</v>
      </c>
      <c r="U438" s="109" t="s">
        <v>66</v>
      </c>
      <c r="V438" s="109" t="s">
        <v>66</v>
      </c>
      <c r="W438" s="126" t="str">
        <f>IF(TblDetailBudget[[#This Row],[Level]]=LvlBottomHdr, IF(SUM(TblDetailBudget[[#This Row],[2021 Quant]:[2025 Quant]])&gt;0, SUM(TblDetailBudget[[#This Row],[2021 Quant]:[2025 Quant]]), ""), "")</f>
        <v/>
      </c>
      <c r="X4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8" s="142">
        <f>SUM(TblDetailBudget[[#This Row],[2021 Cost (LCU)]:[2025 Cost (LCU)]])</f>
        <v>0</v>
      </c>
      <c r="AD438" s="135">
        <f>IFERROR(SUM(TblDetailBudget[[#This Row],[2021 Cost (LCU)]])/FX_Rate, "")</f>
        <v>0</v>
      </c>
      <c r="AE438" s="86">
        <f>IFERROR(SUM(TblDetailBudget[[#This Row],[2022 Cost (LCU)]])/FX_Rate, "")</f>
        <v>0</v>
      </c>
      <c r="AF438" s="86">
        <f>IFERROR(SUM(TblDetailBudget[[#This Row],[2023 Cost (LCU)]])/FX_Rate, "")</f>
        <v>0</v>
      </c>
      <c r="AG438" s="86">
        <f>IFERROR(SUM(TblDetailBudget[[#This Row],[2024 Cost (LCU)]])/FX_Rate, "")</f>
        <v>0</v>
      </c>
      <c r="AH438" s="86">
        <f>IFERROR(SUM(TblDetailBudget[[#This Row],[2025 Cost (LCU)]])/FX_Rate, "")</f>
        <v>0</v>
      </c>
      <c r="AI438" s="126">
        <f>SUM(TblDetailBudget[[#This Row],[2021 Cost (USD)]:[2025 Cost (USD)]])</f>
        <v>0</v>
      </c>
      <c r="AJ438" s="180"/>
    </row>
    <row r="439" spans="2:36" ht="12.75" customHeight="1">
      <c r="B439" s="123"/>
      <c r="C4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9" s="85" t="str">
        <f>IF(TblDetailBudget[[#This Row],[Level]]="", "", COUNTIFS($B$8:TblDetailBudget[[#This Row],[Level]], Lvl1Hdr))</f>
        <v/>
      </c>
      <c r="E439" s="85" t="str">
        <f>IF(TblDetailBudget[[#This Row],[Level]]="", "", COUNTIFS($B$8:TblDetailBudget[[#This Row],[Level]], Lvl2Hdr, $D$8:TblDetailBudget[[#This Row],[Lvl 1 Header]], TblDetailBudget[[#This Row],[Lvl 1 Header]]))</f>
        <v/>
      </c>
      <c r="F439" s="85" t="str">
        <f>IF(TblDetailBudget[[#This Row],[Level]]="", "", COUNTIFS($B$8:TblDetailBudget[[#This Row],[Level]], Lvl3Hdr, $D$8:TblDetailBudget[[#This Row],[Lvl 1 Header]], TblDetailBudget[[#This Row],[Lvl 1 Header]], $E$8:TblDetailBudget[[#This Row],[Lvl 2 Header]], TblDetailBudget[[#This Row],[Lvl 2 Header]]))</f>
        <v/>
      </c>
      <c r="G4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9" s="164"/>
      <c r="J439" s="164"/>
      <c r="K439" s="165"/>
      <c r="L439" s="165"/>
      <c r="M439" s="85" t="str">
        <f>IF(TblDetailBudget[[#This Row],[Level]]=LvlBottomHdr, IFERROR(INDEX(TblUnitCost[Unit], MATCH(TblDetailBudget[[#This Row],[Row Title]], TblUnitCost[Resource], 0)), "Invalid Resource"), "")</f>
        <v/>
      </c>
      <c r="N439" s="126" t="str">
        <f>IF(TblDetailBudget[[#This Row],[Level]]=LvlBottomHdr, IFERROR(INDEX(TblUnitCost[LCU], MATCH(TblDetailBudget[[#This Row],[Row Title]], TblUnitCost[Resource], 0)), "Invalid Resource"), "")</f>
        <v/>
      </c>
      <c r="O439" s="130"/>
      <c r="P439" s="109"/>
      <c r="Q439" s="131"/>
      <c r="R439" s="109" t="s">
        <v>66</v>
      </c>
      <c r="S439" s="109" t="s">
        <v>66</v>
      </c>
      <c r="T439" s="109" t="s">
        <v>66</v>
      </c>
      <c r="U439" s="109" t="s">
        <v>66</v>
      </c>
      <c r="V439" s="109" t="s">
        <v>66</v>
      </c>
      <c r="W439" s="126" t="str">
        <f>IF(TblDetailBudget[[#This Row],[Level]]=LvlBottomHdr, IF(SUM(TblDetailBudget[[#This Row],[2021 Quant]:[2025 Quant]])&gt;0, SUM(TblDetailBudget[[#This Row],[2021 Quant]:[2025 Quant]]), ""), "")</f>
        <v/>
      </c>
      <c r="X4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9" s="142">
        <f>SUM(TblDetailBudget[[#This Row],[2021 Cost (LCU)]:[2025 Cost (LCU)]])</f>
        <v>0</v>
      </c>
      <c r="AD439" s="135">
        <f>IFERROR(SUM(TblDetailBudget[[#This Row],[2021 Cost (LCU)]])/FX_Rate, "")</f>
        <v>0</v>
      </c>
      <c r="AE439" s="86">
        <f>IFERROR(SUM(TblDetailBudget[[#This Row],[2022 Cost (LCU)]])/FX_Rate, "")</f>
        <v>0</v>
      </c>
      <c r="AF439" s="86">
        <f>IFERROR(SUM(TblDetailBudget[[#This Row],[2023 Cost (LCU)]])/FX_Rate, "")</f>
        <v>0</v>
      </c>
      <c r="AG439" s="86">
        <f>IFERROR(SUM(TblDetailBudget[[#This Row],[2024 Cost (LCU)]])/FX_Rate, "")</f>
        <v>0</v>
      </c>
      <c r="AH439" s="86">
        <f>IFERROR(SUM(TblDetailBudget[[#This Row],[2025 Cost (LCU)]])/FX_Rate, "")</f>
        <v>0</v>
      </c>
      <c r="AI439" s="126">
        <f>SUM(TblDetailBudget[[#This Row],[2021 Cost (USD)]:[2025 Cost (USD)]])</f>
        <v>0</v>
      </c>
      <c r="AJ439" s="180"/>
    </row>
    <row r="440" spans="2:36" ht="12.75" customHeight="1">
      <c r="B440" s="123"/>
      <c r="C4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0" s="85" t="str">
        <f>IF(TblDetailBudget[[#This Row],[Level]]="", "", COUNTIFS($B$8:TblDetailBudget[[#This Row],[Level]], Lvl1Hdr))</f>
        <v/>
      </c>
      <c r="E440" s="85" t="str">
        <f>IF(TblDetailBudget[[#This Row],[Level]]="", "", COUNTIFS($B$8:TblDetailBudget[[#This Row],[Level]], Lvl2Hdr, $D$8:TblDetailBudget[[#This Row],[Lvl 1 Header]], TblDetailBudget[[#This Row],[Lvl 1 Header]]))</f>
        <v/>
      </c>
      <c r="F440" s="85" t="str">
        <f>IF(TblDetailBudget[[#This Row],[Level]]="", "", COUNTIFS($B$8:TblDetailBudget[[#This Row],[Level]], Lvl3Hdr, $D$8:TblDetailBudget[[#This Row],[Lvl 1 Header]], TblDetailBudget[[#This Row],[Lvl 1 Header]], $E$8:TblDetailBudget[[#This Row],[Lvl 2 Header]], TblDetailBudget[[#This Row],[Lvl 2 Header]]))</f>
        <v/>
      </c>
      <c r="G4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0" s="164"/>
      <c r="J440" s="164"/>
      <c r="K440" s="165"/>
      <c r="L440" s="165"/>
      <c r="M440" s="85" t="str">
        <f>IF(TblDetailBudget[[#This Row],[Level]]=LvlBottomHdr, IFERROR(INDEX(TblUnitCost[Unit], MATCH(TblDetailBudget[[#This Row],[Row Title]], TblUnitCost[Resource], 0)), "Invalid Resource"), "")</f>
        <v/>
      </c>
      <c r="N440" s="126" t="str">
        <f>IF(TblDetailBudget[[#This Row],[Level]]=LvlBottomHdr, IFERROR(INDEX(TblUnitCost[LCU], MATCH(TblDetailBudget[[#This Row],[Row Title]], TblUnitCost[Resource], 0)), "Invalid Resource"), "")</f>
        <v/>
      </c>
      <c r="O440" s="130"/>
      <c r="P440" s="109"/>
      <c r="Q440" s="131"/>
      <c r="R440" s="109" t="s">
        <v>66</v>
      </c>
      <c r="S440" s="109" t="s">
        <v>66</v>
      </c>
      <c r="T440" s="109" t="s">
        <v>66</v>
      </c>
      <c r="U440" s="109" t="s">
        <v>66</v>
      </c>
      <c r="V440" s="109" t="s">
        <v>66</v>
      </c>
      <c r="W440" s="126" t="str">
        <f>IF(TblDetailBudget[[#This Row],[Level]]=LvlBottomHdr, IF(SUM(TblDetailBudget[[#This Row],[2021 Quant]:[2025 Quant]])&gt;0, SUM(TblDetailBudget[[#This Row],[2021 Quant]:[2025 Quant]]), ""), "")</f>
        <v/>
      </c>
      <c r="X4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0" s="142">
        <f>SUM(TblDetailBudget[[#This Row],[2021 Cost (LCU)]:[2025 Cost (LCU)]])</f>
        <v>0</v>
      </c>
      <c r="AD440" s="135">
        <f>IFERROR(SUM(TblDetailBudget[[#This Row],[2021 Cost (LCU)]])/FX_Rate, "")</f>
        <v>0</v>
      </c>
      <c r="AE440" s="86">
        <f>IFERROR(SUM(TblDetailBudget[[#This Row],[2022 Cost (LCU)]])/FX_Rate, "")</f>
        <v>0</v>
      </c>
      <c r="AF440" s="86">
        <f>IFERROR(SUM(TblDetailBudget[[#This Row],[2023 Cost (LCU)]])/FX_Rate, "")</f>
        <v>0</v>
      </c>
      <c r="AG440" s="86">
        <f>IFERROR(SUM(TblDetailBudget[[#This Row],[2024 Cost (LCU)]])/FX_Rate, "")</f>
        <v>0</v>
      </c>
      <c r="AH440" s="86">
        <f>IFERROR(SUM(TblDetailBudget[[#This Row],[2025 Cost (LCU)]])/FX_Rate, "")</f>
        <v>0</v>
      </c>
      <c r="AI440" s="126">
        <f>SUM(TblDetailBudget[[#This Row],[2021 Cost (USD)]:[2025 Cost (USD)]])</f>
        <v>0</v>
      </c>
      <c r="AJ440" s="180"/>
    </row>
    <row r="441" spans="2:36" ht="12.75" customHeight="1">
      <c r="B441" s="123"/>
      <c r="C4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1" s="85" t="str">
        <f>IF(TblDetailBudget[[#This Row],[Level]]="", "", COUNTIFS($B$8:TblDetailBudget[[#This Row],[Level]], Lvl1Hdr))</f>
        <v/>
      </c>
      <c r="E441" s="85" t="str">
        <f>IF(TblDetailBudget[[#This Row],[Level]]="", "", COUNTIFS($B$8:TblDetailBudget[[#This Row],[Level]], Lvl2Hdr, $D$8:TblDetailBudget[[#This Row],[Lvl 1 Header]], TblDetailBudget[[#This Row],[Lvl 1 Header]]))</f>
        <v/>
      </c>
      <c r="F441" s="85" t="str">
        <f>IF(TblDetailBudget[[#This Row],[Level]]="", "", COUNTIFS($B$8:TblDetailBudget[[#This Row],[Level]], Lvl3Hdr, $D$8:TblDetailBudget[[#This Row],[Lvl 1 Header]], TblDetailBudget[[#This Row],[Lvl 1 Header]], $E$8:TblDetailBudget[[#This Row],[Lvl 2 Header]], TblDetailBudget[[#This Row],[Lvl 2 Header]]))</f>
        <v/>
      </c>
      <c r="G4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1" s="164"/>
      <c r="J441" s="164"/>
      <c r="K441" s="165"/>
      <c r="L441" s="165"/>
      <c r="M441" s="85" t="str">
        <f>IF(TblDetailBudget[[#This Row],[Level]]=LvlBottomHdr, IFERROR(INDEX(TblUnitCost[Unit], MATCH(TblDetailBudget[[#This Row],[Row Title]], TblUnitCost[Resource], 0)), "Invalid Resource"), "")</f>
        <v/>
      </c>
      <c r="N441" s="126" t="str">
        <f>IF(TblDetailBudget[[#This Row],[Level]]=LvlBottomHdr, IFERROR(INDEX(TblUnitCost[LCU], MATCH(TblDetailBudget[[#This Row],[Row Title]], TblUnitCost[Resource], 0)), "Invalid Resource"), "")</f>
        <v/>
      </c>
      <c r="O441" s="130"/>
      <c r="P441" s="109"/>
      <c r="Q441" s="131"/>
      <c r="R441" s="109" t="s">
        <v>66</v>
      </c>
      <c r="S441" s="109" t="s">
        <v>66</v>
      </c>
      <c r="T441" s="109" t="s">
        <v>66</v>
      </c>
      <c r="U441" s="109" t="s">
        <v>66</v>
      </c>
      <c r="V441" s="109" t="s">
        <v>66</v>
      </c>
      <c r="W441" s="126" t="str">
        <f>IF(TblDetailBudget[[#This Row],[Level]]=LvlBottomHdr, IF(SUM(TblDetailBudget[[#This Row],[2021 Quant]:[2025 Quant]])&gt;0, SUM(TblDetailBudget[[#This Row],[2021 Quant]:[2025 Quant]]), ""), "")</f>
        <v/>
      </c>
      <c r="X4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1" s="142">
        <f>SUM(TblDetailBudget[[#This Row],[2021 Cost (LCU)]:[2025 Cost (LCU)]])</f>
        <v>0</v>
      </c>
      <c r="AD441" s="135">
        <f>IFERROR(SUM(TblDetailBudget[[#This Row],[2021 Cost (LCU)]])/FX_Rate, "")</f>
        <v>0</v>
      </c>
      <c r="AE441" s="86">
        <f>IFERROR(SUM(TblDetailBudget[[#This Row],[2022 Cost (LCU)]])/FX_Rate, "")</f>
        <v>0</v>
      </c>
      <c r="AF441" s="86">
        <f>IFERROR(SUM(TblDetailBudget[[#This Row],[2023 Cost (LCU)]])/FX_Rate, "")</f>
        <v>0</v>
      </c>
      <c r="AG441" s="86">
        <f>IFERROR(SUM(TblDetailBudget[[#This Row],[2024 Cost (LCU)]])/FX_Rate, "")</f>
        <v>0</v>
      </c>
      <c r="AH441" s="86">
        <f>IFERROR(SUM(TblDetailBudget[[#This Row],[2025 Cost (LCU)]])/FX_Rate, "")</f>
        <v>0</v>
      </c>
      <c r="AI441" s="126">
        <f>SUM(TblDetailBudget[[#This Row],[2021 Cost (USD)]:[2025 Cost (USD)]])</f>
        <v>0</v>
      </c>
      <c r="AJ441" s="180"/>
    </row>
    <row r="442" spans="2:36" ht="12.75" customHeight="1">
      <c r="B442" s="123"/>
      <c r="C4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2" s="85" t="str">
        <f>IF(TblDetailBudget[[#This Row],[Level]]="", "", COUNTIFS($B$8:TblDetailBudget[[#This Row],[Level]], Lvl1Hdr))</f>
        <v/>
      </c>
      <c r="E442" s="85" t="str">
        <f>IF(TblDetailBudget[[#This Row],[Level]]="", "", COUNTIFS($B$8:TblDetailBudget[[#This Row],[Level]], Lvl2Hdr, $D$8:TblDetailBudget[[#This Row],[Lvl 1 Header]], TblDetailBudget[[#This Row],[Lvl 1 Header]]))</f>
        <v/>
      </c>
      <c r="F442" s="85" t="str">
        <f>IF(TblDetailBudget[[#This Row],[Level]]="", "", COUNTIFS($B$8:TblDetailBudget[[#This Row],[Level]], Lvl3Hdr, $D$8:TblDetailBudget[[#This Row],[Lvl 1 Header]], TblDetailBudget[[#This Row],[Lvl 1 Header]], $E$8:TblDetailBudget[[#This Row],[Lvl 2 Header]], TblDetailBudget[[#This Row],[Lvl 2 Header]]))</f>
        <v/>
      </c>
      <c r="G4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2" s="164"/>
      <c r="J442" s="164"/>
      <c r="K442" s="165"/>
      <c r="L442" s="165"/>
      <c r="M442" s="85" t="str">
        <f>IF(TblDetailBudget[[#This Row],[Level]]=LvlBottomHdr, IFERROR(INDEX(TblUnitCost[Unit], MATCH(TblDetailBudget[[#This Row],[Row Title]], TblUnitCost[Resource], 0)), "Invalid Resource"), "")</f>
        <v/>
      </c>
      <c r="N442" s="126" t="str">
        <f>IF(TblDetailBudget[[#This Row],[Level]]=LvlBottomHdr, IFERROR(INDEX(TblUnitCost[LCU], MATCH(TblDetailBudget[[#This Row],[Row Title]], TblUnitCost[Resource], 0)), "Invalid Resource"), "")</f>
        <v/>
      </c>
      <c r="O442" s="130"/>
      <c r="P442" s="109"/>
      <c r="Q442" s="131"/>
      <c r="R442" s="109" t="s">
        <v>66</v>
      </c>
      <c r="S442" s="109" t="s">
        <v>66</v>
      </c>
      <c r="T442" s="109" t="s">
        <v>66</v>
      </c>
      <c r="U442" s="109" t="s">
        <v>66</v>
      </c>
      <c r="V442" s="109" t="s">
        <v>66</v>
      </c>
      <c r="W442" s="126" t="str">
        <f>IF(TblDetailBudget[[#This Row],[Level]]=LvlBottomHdr, IF(SUM(TblDetailBudget[[#This Row],[2021 Quant]:[2025 Quant]])&gt;0, SUM(TblDetailBudget[[#This Row],[2021 Quant]:[2025 Quant]]), ""), "")</f>
        <v/>
      </c>
      <c r="X4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2" s="142">
        <f>SUM(TblDetailBudget[[#This Row],[2021 Cost (LCU)]:[2025 Cost (LCU)]])</f>
        <v>0</v>
      </c>
      <c r="AD442" s="135">
        <f>IFERROR(SUM(TblDetailBudget[[#This Row],[2021 Cost (LCU)]])/FX_Rate, "")</f>
        <v>0</v>
      </c>
      <c r="AE442" s="86">
        <f>IFERROR(SUM(TblDetailBudget[[#This Row],[2022 Cost (LCU)]])/FX_Rate, "")</f>
        <v>0</v>
      </c>
      <c r="AF442" s="86">
        <f>IFERROR(SUM(TblDetailBudget[[#This Row],[2023 Cost (LCU)]])/FX_Rate, "")</f>
        <v>0</v>
      </c>
      <c r="AG442" s="86">
        <f>IFERROR(SUM(TblDetailBudget[[#This Row],[2024 Cost (LCU)]])/FX_Rate, "")</f>
        <v>0</v>
      </c>
      <c r="AH442" s="86">
        <f>IFERROR(SUM(TblDetailBudget[[#This Row],[2025 Cost (LCU)]])/FX_Rate, "")</f>
        <v>0</v>
      </c>
      <c r="AI442" s="126">
        <f>SUM(TblDetailBudget[[#This Row],[2021 Cost (USD)]:[2025 Cost (USD)]])</f>
        <v>0</v>
      </c>
      <c r="AJ442" s="180"/>
    </row>
    <row r="443" spans="2:36" ht="12.75" customHeight="1">
      <c r="B443" s="123"/>
      <c r="C4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3" s="85" t="str">
        <f>IF(TblDetailBudget[[#This Row],[Level]]="", "", COUNTIFS($B$8:TblDetailBudget[[#This Row],[Level]], Lvl1Hdr))</f>
        <v/>
      </c>
      <c r="E443" s="85" t="str">
        <f>IF(TblDetailBudget[[#This Row],[Level]]="", "", COUNTIFS($B$8:TblDetailBudget[[#This Row],[Level]], Lvl2Hdr, $D$8:TblDetailBudget[[#This Row],[Lvl 1 Header]], TblDetailBudget[[#This Row],[Lvl 1 Header]]))</f>
        <v/>
      </c>
      <c r="F443" s="85" t="str">
        <f>IF(TblDetailBudget[[#This Row],[Level]]="", "", COUNTIFS($B$8:TblDetailBudget[[#This Row],[Level]], Lvl3Hdr, $D$8:TblDetailBudget[[#This Row],[Lvl 1 Header]], TblDetailBudget[[#This Row],[Lvl 1 Header]], $E$8:TblDetailBudget[[#This Row],[Lvl 2 Header]], TblDetailBudget[[#This Row],[Lvl 2 Header]]))</f>
        <v/>
      </c>
      <c r="G4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3" s="164"/>
      <c r="J443" s="164"/>
      <c r="K443" s="165"/>
      <c r="L443" s="165"/>
      <c r="M443" s="85" t="str">
        <f>IF(TblDetailBudget[[#This Row],[Level]]=LvlBottomHdr, IFERROR(INDEX(TblUnitCost[Unit], MATCH(TblDetailBudget[[#This Row],[Row Title]], TblUnitCost[Resource], 0)), "Invalid Resource"), "")</f>
        <v/>
      </c>
      <c r="N443" s="126" t="str">
        <f>IF(TblDetailBudget[[#This Row],[Level]]=LvlBottomHdr, IFERROR(INDEX(TblUnitCost[LCU], MATCH(TblDetailBudget[[#This Row],[Row Title]], TblUnitCost[Resource], 0)), "Invalid Resource"), "")</f>
        <v/>
      </c>
      <c r="O443" s="130"/>
      <c r="P443" s="109"/>
      <c r="Q443" s="131"/>
      <c r="R443" s="109" t="s">
        <v>66</v>
      </c>
      <c r="S443" s="109" t="s">
        <v>66</v>
      </c>
      <c r="T443" s="109" t="s">
        <v>66</v>
      </c>
      <c r="U443" s="109" t="s">
        <v>66</v>
      </c>
      <c r="V443" s="109" t="s">
        <v>66</v>
      </c>
      <c r="W443" s="126" t="str">
        <f>IF(TblDetailBudget[[#This Row],[Level]]=LvlBottomHdr, IF(SUM(TblDetailBudget[[#This Row],[2021 Quant]:[2025 Quant]])&gt;0, SUM(TblDetailBudget[[#This Row],[2021 Quant]:[2025 Quant]]), ""), "")</f>
        <v/>
      </c>
      <c r="X4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3" s="142">
        <f>SUM(TblDetailBudget[[#This Row],[2021 Cost (LCU)]:[2025 Cost (LCU)]])</f>
        <v>0</v>
      </c>
      <c r="AD443" s="135">
        <f>IFERROR(SUM(TblDetailBudget[[#This Row],[2021 Cost (LCU)]])/FX_Rate, "")</f>
        <v>0</v>
      </c>
      <c r="AE443" s="86">
        <f>IFERROR(SUM(TblDetailBudget[[#This Row],[2022 Cost (LCU)]])/FX_Rate, "")</f>
        <v>0</v>
      </c>
      <c r="AF443" s="86">
        <f>IFERROR(SUM(TblDetailBudget[[#This Row],[2023 Cost (LCU)]])/FX_Rate, "")</f>
        <v>0</v>
      </c>
      <c r="AG443" s="86">
        <f>IFERROR(SUM(TblDetailBudget[[#This Row],[2024 Cost (LCU)]])/FX_Rate, "")</f>
        <v>0</v>
      </c>
      <c r="AH443" s="86">
        <f>IFERROR(SUM(TblDetailBudget[[#This Row],[2025 Cost (LCU)]])/FX_Rate, "")</f>
        <v>0</v>
      </c>
      <c r="AI443" s="126">
        <f>SUM(TblDetailBudget[[#This Row],[2021 Cost (USD)]:[2025 Cost (USD)]])</f>
        <v>0</v>
      </c>
      <c r="AJ443" s="180"/>
    </row>
    <row r="444" spans="2:36" ht="12.75" customHeight="1">
      <c r="B444" s="123"/>
      <c r="C4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4" s="85" t="str">
        <f>IF(TblDetailBudget[[#This Row],[Level]]="", "", COUNTIFS($B$8:TblDetailBudget[[#This Row],[Level]], Lvl1Hdr))</f>
        <v/>
      </c>
      <c r="E444" s="85" t="str">
        <f>IF(TblDetailBudget[[#This Row],[Level]]="", "", COUNTIFS($B$8:TblDetailBudget[[#This Row],[Level]], Lvl2Hdr, $D$8:TblDetailBudget[[#This Row],[Lvl 1 Header]], TblDetailBudget[[#This Row],[Lvl 1 Header]]))</f>
        <v/>
      </c>
      <c r="F444" s="85" t="str">
        <f>IF(TblDetailBudget[[#This Row],[Level]]="", "", COUNTIFS($B$8:TblDetailBudget[[#This Row],[Level]], Lvl3Hdr, $D$8:TblDetailBudget[[#This Row],[Lvl 1 Header]], TblDetailBudget[[#This Row],[Lvl 1 Header]], $E$8:TblDetailBudget[[#This Row],[Lvl 2 Header]], TblDetailBudget[[#This Row],[Lvl 2 Header]]))</f>
        <v/>
      </c>
      <c r="G4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4" s="164"/>
      <c r="J444" s="164"/>
      <c r="K444" s="165"/>
      <c r="L444" s="165"/>
      <c r="M444" s="85" t="str">
        <f>IF(TblDetailBudget[[#This Row],[Level]]=LvlBottomHdr, IFERROR(INDEX(TblUnitCost[Unit], MATCH(TblDetailBudget[[#This Row],[Row Title]], TblUnitCost[Resource], 0)), "Invalid Resource"), "")</f>
        <v/>
      </c>
      <c r="N444" s="126" t="str">
        <f>IF(TblDetailBudget[[#This Row],[Level]]=LvlBottomHdr, IFERROR(INDEX(TblUnitCost[LCU], MATCH(TblDetailBudget[[#This Row],[Row Title]], TblUnitCost[Resource], 0)), "Invalid Resource"), "")</f>
        <v/>
      </c>
      <c r="O444" s="130"/>
      <c r="P444" s="109"/>
      <c r="Q444" s="131"/>
      <c r="R444" s="109" t="s">
        <v>66</v>
      </c>
      <c r="S444" s="109" t="s">
        <v>66</v>
      </c>
      <c r="T444" s="109" t="s">
        <v>66</v>
      </c>
      <c r="U444" s="109" t="s">
        <v>66</v>
      </c>
      <c r="V444" s="109" t="s">
        <v>66</v>
      </c>
      <c r="W444" s="126" t="str">
        <f>IF(TblDetailBudget[[#This Row],[Level]]=LvlBottomHdr, IF(SUM(TblDetailBudget[[#This Row],[2021 Quant]:[2025 Quant]])&gt;0, SUM(TblDetailBudget[[#This Row],[2021 Quant]:[2025 Quant]]), ""), "")</f>
        <v/>
      </c>
      <c r="X4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4" s="142">
        <f>SUM(TblDetailBudget[[#This Row],[2021 Cost (LCU)]:[2025 Cost (LCU)]])</f>
        <v>0</v>
      </c>
      <c r="AD444" s="135">
        <f>IFERROR(SUM(TblDetailBudget[[#This Row],[2021 Cost (LCU)]])/FX_Rate, "")</f>
        <v>0</v>
      </c>
      <c r="AE444" s="86">
        <f>IFERROR(SUM(TblDetailBudget[[#This Row],[2022 Cost (LCU)]])/FX_Rate, "")</f>
        <v>0</v>
      </c>
      <c r="AF444" s="86">
        <f>IFERROR(SUM(TblDetailBudget[[#This Row],[2023 Cost (LCU)]])/FX_Rate, "")</f>
        <v>0</v>
      </c>
      <c r="AG444" s="86">
        <f>IFERROR(SUM(TblDetailBudget[[#This Row],[2024 Cost (LCU)]])/FX_Rate, "")</f>
        <v>0</v>
      </c>
      <c r="AH444" s="86">
        <f>IFERROR(SUM(TblDetailBudget[[#This Row],[2025 Cost (LCU)]])/FX_Rate, "")</f>
        <v>0</v>
      </c>
      <c r="AI444" s="126">
        <f>SUM(TblDetailBudget[[#This Row],[2021 Cost (USD)]:[2025 Cost (USD)]])</f>
        <v>0</v>
      </c>
      <c r="AJ444" s="180"/>
    </row>
    <row r="445" spans="2:36" ht="12.75" customHeight="1">
      <c r="B445" s="123"/>
      <c r="C4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5" s="85" t="str">
        <f>IF(TblDetailBudget[[#This Row],[Level]]="", "", COUNTIFS($B$8:TblDetailBudget[[#This Row],[Level]], Lvl1Hdr))</f>
        <v/>
      </c>
      <c r="E445" s="85" t="str">
        <f>IF(TblDetailBudget[[#This Row],[Level]]="", "", COUNTIFS($B$8:TblDetailBudget[[#This Row],[Level]], Lvl2Hdr, $D$8:TblDetailBudget[[#This Row],[Lvl 1 Header]], TblDetailBudget[[#This Row],[Lvl 1 Header]]))</f>
        <v/>
      </c>
      <c r="F445" s="85" t="str">
        <f>IF(TblDetailBudget[[#This Row],[Level]]="", "", COUNTIFS($B$8:TblDetailBudget[[#This Row],[Level]], Lvl3Hdr, $D$8:TblDetailBudget[[#This Row],[Lvl 1 Header]], TblDetailBudget[[#This Row],[Lvl 1 Header]], $E$8:TblDetailBudget[[#This Row],[Lvl 2 Header]], TblDetailBudget[[#This Row],[Lvl 2 Header]]))</f>
        <v/>
      </c>
      <c r="G4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5" s="164"/>
      <c r="J445" s="164"/>
      <c r="K445" s="165"/>
      <c r="L445" s="165"/>
      <c r="M445" s="85" t="str">
        <f>IF(TblDetailBudget[[#This Row],[Level]]=LvlBottomHdr, IFERROR(INDEX(TblUnitCost[Unit], MATCH(TblDetailBudget[[#This Row],[Row Title]], TblUnitCost[Resource], 0)), "Invalid Resource"), "")</f>
        <v/>
      </c>
      <c r="N445" s="126" t="str">
        <f>IF(TblDetailBudget[[#This Row],[Level]]=LvlBottomHdr, IFERROR(INDEX(TblUnitCost[LCU], MATCH(TblDetailBudget[[#This Row],[Row Title]], TblUnitCost[Resource], 0)), "Invalid Resource"), "")</f>
        <v/>
      </c>
      <c r="O445" s="130"/>
      <c r="P445" s="109"/>
      <c r="Q445" s="131"/>
      <c r="R445" s="109" t="s">
        <v>66</v>
      </c>
      <c r="S445" s="109" t="s">
        <v>66</v>
      </c>
      <c r="T445" s="109" t="s">
        <v>66</v>
      </c>
      <c r="U445" s="109" t="s">
        <v>66</v>
      </c>
      <c r="V445" s="109" t="s">
        <v>66</v>
      </c>
      <c r="W445" s="126" t="str">
        <f>IF(TblDetailBudget[[#This Row],[Level]]=LvlBottomHdr, IF(SUM(TblDetailBudget[[#This Row],[2021 Quant]:[2025 Quant]])&gt;0, SUM(TblDetailBudget[[#This Row],[2021 Quant]:[2025 Quant]]), ""), "")</f>
        <v/>
      </c>
      <c r="X4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5" s="142">
        <f>SUM(TblDetailBudget[[#This Row],[2021 Cost (LCU)]:[2025 Cost (LCU)]])</f>
        <v>0</v>
      </c>
      <c r="AD445" s="135">
        <f>IFERROR(SUM(TblDetailBudget[[#This Row],[2021 Cost (LCU)]])/FX_Rate, "")</f>
        <v>0</v>
      </c>
      <c r="AE445" s="86">
        <f>IFERROR(SUM(TblDetailBudget[[#This Row],[2022 Cost (LCU)]])/FX_Rate, "")</f>
        <v>0</v>
      </c>
      <c r="AF445" s="86">
        <f>IFERROR(SUM(TblDetailBudget[[#This Row],[2023 Cost (LCU)]])/FX_Rate, "")</f>
        <v>0</v>
      </c>
      <c r="AG445" s="86">
        <f>IFERROR(SUM(TblDetailBudget[[#This Row],[2024 Cost (LCU)]])/FX_Rate, "")</f>
        <v>0</v>
      </c>
      <c r="AH445" s="86">
        <f>IFERROR(SUM(TblDetailBudget[[#This Row],[2025 Cost (LCU)]])/FX_Rate, "")</f>
        <v>0</v>
      </c>
      <c r="AI445" s="126">
        <f>SUM(TblDetailBudget[[#This Row],[2021 Cost (USD)]:[2025 Cost (USD)]])</f>
        <v>0</v>
      </c>
      <c r="AJ445" s="180"/>
    </row>
    <row r="446" spans="2:36" ht="12.75" customHeight="1">
      <c r="B446" s="123"/>
      <c r="C4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6" s="85" t="str">
        <f>IF(TblDetailBudget[[#This Row],[Level]]="", "", COUNTIFS($B$8:TblDetailBudget[[#This Row],[Level]], Lvl1Hdr))</f>
        <v/>
      </c>
      <c r="E446" s="85" t="str">
        <f>IF(TblDetailBudget[[#This Row],[Level]]="", "", COUNTIFS($B$8:TblDetailBudget[[#This Row],[Level]], Lvl2Hdr, $D$8:TblDetailBudget[[#This Row],[Lvl 1 Header]], TblDetailBudget[[#This Row],[Lvl 1 Header]]))</f>
        <v/>
      </c>
      <c r="F446" s="85" t="str">
        <f>IF(TblDetailBudget[[#This Row],[Level]]="", "", COUNTIFS($B$8:TblDetailBudget[[#This Row],[Level]], Lvl3Hdr, $D$8:TblDetailBudget[[#This Row],[Lvl 1 Header]], TblDetailBudget[[#This Row],[Lvl 1 Header]], $E$8:TblDetailBudget[[#This Row],[Lvl 2 Header]], TblDetailBudget[[#This Row],[Lvl 2 Header]]))</f>
        <v/>
      </c>
      <c r="G4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6" s="164"/>
      <c r="J446" s="164"/>
      <c r="K446" s="165"/>
      <c r="L446" s="165"/>
      <c r="M446" s="85" t="str">
        <f>IF(TblDetailBudget[[#This Row],[Level]]=LvlBottomHdr, IFERROR(INDEX(TblUnitCost[Unit], MATCH(TblDetailBudget[[#This Row],[Row Title]], TblUnitCost[Resource], 0)), "Invalid Resource"), "")</f>
        <v/>
      </c>
      <c r="N446" s="126" t="str">
        <f>IF(TblDetailBudget[[#This Row],[Level]]=LvlBottomHdr, IFERROR(INDEX(TblUnitCost[LCU], MATCH(TblDetailBudget[[#This Row],[Row Title]], TblUnitCost[Resource], 0)), "Invalid Resource"), "")</f>
        <v/>
      </c>
      <c r="O446" s="130"/>
      <c r="P446" s="109"/>
      <c r="Q446" s="131"/>
      <c r="R446" s="109" t="s">
        <v>66</v>
      </c>
      <c r="S446" s="109" t="s">
        <v>66</v>
      </c>
      <c r="T446" s="109" t="s">
        <v>66</v>
      </c>
      <c r="U446" s="109" t="s">
        <v>66</v>
      </c>
      <c r="V446" s="109" t="s">
        <v>66</v>
      </c>
      <c r="W446" s="126" t="str">
        <f>IF(TblDetailBudget[[#This Row],[Level]]=LvlBottomHdr, IF(SUM(TblDetailBudget[[#This Row],[2021 Quant]:[2025 Quant]])&gt;0, SUM(TblDetailBudget[[#This Row],[2021 Quant]:[2025 Quant]]), ""), "")</f>
        <v/>
      </c>
      <c r="X4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6" s="142">
        <f>SUM(TblDetailBudget[[#This Row],[2021 Cost (LCU)]:[2025 Cost (LCU)]])</f>
        <v>0</v>
      </c>
      <c r="AD446" s="135">
        <f>IFERROR(SUM(TblDetailBudget[[#This Row],[2021 Cost (LCU)]])/FX_Rate, "")</f>
        <v>0</v>
      </c>
      <c r="AE446" s="86">
        <f>IFERROR(SUM(TblDetailBudget[[#This Row],[2022 Cost (LCU)]])/FX_Rate, "")</f>
        <v>0</v>
      </c>
      <c r="AF446" s="86">
        <f>IFERROR(SUM(TblDetailBudget[[#This Row],[2023 Cost (LCU)]])/FX_Rate, "")</f>
        <v>0</v>
      </c>
      <c r="AG446" s="86">
        <f>IFERROR(SUM(TblDetailBudget[[#This Row],[2024 Cost (LCU)]])/FX_Rate, "")</f>
        <v>0</v>
      </c>
      <c r="AH446" s="86">
        <f>IFERROR(SUM(TblDetailBudget[[#This Row],[2025 Cost (LCU)]])/FX_Rate, "")</f>
        <v>0</v>
      </c>
      <c r="AI446" s="126">
        <f>SUM(TblDetailBudget[[#This Row],[2021 Cost (USD)]:[2025 Cost (USD)]])</f>
        <v>0</v>
      </c>
      <c r="AJ446" s="180"/>
    </row>
    <row r="447" spans="2:36" ht="12.75" customHeight="1">
      <c r="B447" s="123"/>
      <c r="C4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7" s="85" t="str">
        <f>IF(TblDetailBudget[[#This Row],[Level]]="", "", COUNTIFS($B$8:TblDetailBudget[[#This Row],[Level]], Lvl1Hdr))</f>
        <v/>
      </c>
      <c r="E447" s="85" t="str">
        <f>IF(TblDetailBudget[[#This Row],[Level]]="", "", COUNTIFS($B$8:TblDetailBudget[[#This Row],[Level]], Lvl2Hdr, $D$8:TblDetailBudget[[#This Row],[Lvl 1 Header]], TblDetailBudget[[#This Row],[Lvl 1 Header]]))</f>
        <v/>
      </c>
      <c r="F447" s="85" t="str">
        <f>IF(TblDetailBudget[[#This Row],[Level]]="", "", COUNTIFS($B$8:TblDetailBudget[[#This Row],[Level]], Lvl3Hdr, $D$8:TblDetailBudget[[#This Row],[Lvl 1 Header]], TblDetailBudget[[#This Row],[Lvl 1 Header]], $E$8:TblDetailBudget[[#This Row],[Lvl 2 Header]], TblDetailBudget[[#This Row],[Lvl 2 Header]]))</f>
        <v/>
      </c>
      <c r="G4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7" s="164"/>
      <c r="J447" s="164"/>
      <c r="K447" s="165"/>
      <c r="L447" s="165"/>
      <c r="M447" s="85" t="str">
        <f>IF(TblDetailBudget[[#This Row],[Level]]=LvlBottomHdr, IFERROR(INDEX(TblUnitCost[Unit], MATCH(TblDetailBudget[[#This Row],[Row Title]], TblUnitCost[Resource], 0)), "Invalid Resource"), "")</f>
        <v/>
      </c>
      <c r="N447" s="126" t="str">
        <f>IF(TblDetailBudget[[#This Row],[Level]]=LvlBottomHdr, IFERROR(INDEX(TblUnitCost[LCU], MATCH(TblDetailBudget[[#This Row],[Row Title]], TblUnitCost[Resource], 0)), "Invalid Resource"), "")</f>
        <v/>
      </c>
      <c r="O447" s="130"/>
      <c r="P447" s="109"/>
      <c r="Q447" s="131"/>
      <c r="R447" s="109" t="s">
        <v>66</v>
      </c>
      <c r="S447" s="109" t="s">
        <v>66</v>
      </c>
      <c r="T447" s="109" t="s">
        <v>66</v>
      </c>
      <c r="U447" s="109" t="s">
        <v>66</v>
      </c>
      <c r="V447" s="109" t="s">
        <v>66</v>
      </c>
      <c r="W447" s="126" t="str">
        <f>IF(TblDetailBudget[[#This Row],[Level]]=LvlBottomHdr, IF(SUM(TblDetailBudget[[#This Row],[2021 Quant]:[2025 Quant]])&gt;0, SUM(TblDetailBudget[[#This Row],[2021 Quant]:[2025 Quant]]), ""), "")</f>
        <v/>
      </c>
      <c r="X4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7" s="142">
        <f>SUM(TblDetailBudget[[#This Row],[2021 Cost (LCU)]:[2025 Cost (LCU)]])</f>
        <v>0</v>
      </c>
      <c r="AD447" s="135">
        <f>IFERROR(SUM(TblDetailBudget[[#This Row],[2021 Cost (LCU)]])/FX_Rate, "")</f>
        <v>0</v>
      </c>
      <c r="AE447" s="86">
        <f>IFERROR(SUM(TblDetailBudget[[#This Row],[2022 Cost (LCU)]])/FX_Rate, "")</f>
        <v>0</v>
      </c>
      <c r="AF447" s="86">
        <f>IFERROR(SUM(TblDetailBudget[[#This Row],[2023 Cost (LCU)]])/FX_Rate, "")</f>
        <v>0</v>
      </c>
      <c r="AG447" s="86">
        <f>IFERROR(SUM(TblDetailBudget[[#This Row],[2024 Cost (LCU)]])/FX_Rate, "")</f>
        <v>0</v>
      </c>
      <c r="AH447" s="86">
        <f>IFERROR(SUM(TblDetailBudget[[#This Row],[2025 Cost (LCU)]])/FX_Rate, "")</f>
        <v>0</v>
      </c>
      <c r="AI447" s="126">
        <f>SUM(TblDetailBudget[[#This Row],[2021 Cost (USD)]:[2025 Cost (USD)]])</f>
        <v>0</v>
      </c>
      <c r="AJ447" s="180"/>
    </row>
    <row r="448" spans="2:36" ht="12.75" customHeight="1">
      <c r="B448" s="123"/>
      <c r="C4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8" s="85" t="str">
        <f>IF(TblDetailBudget[[#This Row],[Level]]="", "", COUNTIFS($B$8:TblDetailBudget[[#This Row],[Level]], Lvl1Hdr))</f>
        <v/>
      </c>
      <c r="E448" s="85" t="str">
        <f>IF(TblDetailBudget[[#This Row],[Level]]="", "", COUNTIFS($B$8:TblDetailBudget[[#This Row],[Level]], Lvl2Hdr, $D$8:TblDetailBudget[[#This Row],[Lvl 1 Header]], TblDetailBudget[[#This Row],[Lvl 1 Header]]))</f>
        <v/>
      </c>
      <c r="F448" s="85" t="str">
        <f>IF(TblDetailBudget[[#This Row],[Level]]="", "", COUNTIFS($B$8:TblDetailBudget[[#This Row],[Level]], Lvl3Hdr, $D$8:TblDetailBudget[[#This Row],[Lvl 1 Header]], TblDetailBudget[[#This Row],[Lvl 1 Header]], $E$8:TblDetailBudget[[#This Row],[Lvl 2 Header]], TblDetailBudget[[#This Row],[Lvl 2 Header]]))</f>
        <v/>
      </c>
      <c r="G4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8" s="164"/>
      <c r="J448" s="164"/>
      <c r="K448" s="165"/>
      <c r="L448" s="165"/>
      <c r="M448" s="85" t="str">
        <f>IF(TblDetailBudget[[#This Row],[Level]]=LvlBottomHdr, IFERROR(INDEX(TblUnitCost[Unit], MATCH(TblDetailBudget[[#This Row],[Row Title]], TblUnitCost[Resource], 0)), "Invalid Resource"), "")</f>
        <v/>
      </c>
      <c r="N448" s="126" t="str">
        <f>IF(TblDetailBudget[[#This Row],[Level]]=LvlBottomHdr, IFERROR(INDEX(TblUnitCost[LCU], MATCH(TblDetailBudget[[#This Row],[Row Title]], TblUnitCost[Resource], 0)), "Invalid Resource"), "")</f>
        <v/>
      </c>
      <c r="O448" s="130"/>
      <c r="P448" s="109"/>
      <c r="Q448" s="131"/>
      <c r="R448" s="109" t="s">
        <v>66</v>
      </c>
      <c r="S448" s="109" t="s">
        <v>66</v>
      </c>
      <c r="T448" s="109" t="s">
        <v>66</v>
      </c>
      <c r="U448" s="109" t="s">
        <v>66</v>
      </c>
      <c r="V448" s="109" t="s">
        <v>66</v>
      </c>
      <c r="W448" s="126" t="str">
        <f>IF(TblDetailBudget[[#This Row],[Level]]=LvlBottomHdr, IF(SUM(TblDetailBudget[[#This Row],[2021 Quant]:[2025 Quant]])&gt;0, SUM(TblDetailBudget[[#This Row],[2021 Quant]:[2025 Quant]]), ""), "")</f>
        <v/>
      </c>
      <c r="X4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8" s="142">
        <f>SUM(TblDetailBudget[[#This Row],[2021 Cost (LCU)]:[2025 Cost (LCU)]])</f>
        <v>0</v>
      </c>
      <c r="AD448" s="135">
        <f>IFERROR(SUM(TblDetailBudget[[#This Row],[2021 Cost (LCU)]])/FX_Rate, "")</f>
        <v>0</v>
      </c>
      <c r="AE448" s="86">
        <f>IFERROR(SUM(TblDetailBudget[[#This Row],[2022 Cost (LCU)]])/FX_Rate, "")</f>
        <v>0</v>
      </c>
      <c r="AF448" s="86">
        <f>IFERROR(SUM(TblDetailBudget[[#This Row],[2023 Cost (LCU)]])/FX_Rate, "")</f>
        <v>0</v>
      </c>
      <c r="AG448" s="86">
        <f>IFERROR(SUM(TblDetailBudget[[#This Row],[2024 Cost (LCU)]])/FX_Rate, "")</f>
        <v>0</v>
      </c>
      <c r="AH448" s="86">
        <f>IFERROR(SUM(TblDetailBudget[[#This Row],[2025 Cost (LCU)]])/FX_Rate, "")</f>
        <v>0</v>
      </c>
      <c r="AI448" s="126">
        <f>SUM(TblDetailBudget[[#This Row],[2021 Cost (USD)]:[2025 Cost (USD)]])</f>
        <v>0</v>
      </c>
      <c r="AJ448" s="180"/>
    </row>
    <row r="449" spans="2:36" ht="12.75" customHeight="1">
      <c r="B449" s="123"/>
      <c r="C4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9" s="85" t="str">
        <f>IF(TblDetailBudget[[#This Row],[Level]]="", "", COUNTIFS($B$8:TblDetailBudget[[#This Row],[Level]], Lvl1Hdr))</f>
        <v/>
      </c>
      <c r="E449" s="85" t="str">
        <f>IF(TblDetailBudget[[#This Row],[Level]]="", "", COUNTIFS($B$8:TblDetailBudget[[#This Row],[Level]], Lvl2Hdr, $D$8:TblDetailBudget[[#This Row],[Lvl 1 Header]], TblDetailBudget[[#This Row],[Lvl 1 Header]]))</f>
        <v/>
      </c>
      <c r="F449" s="85" t="str">
        <f>IF(TblDetailBudget[[#This Row],[Level]]="", "", COUNTIFS($B$8:TblDetailBudget[[#This Row],[Level]], Lvl3Hdr, $D$8:TblDetailBudget[[#This Row],[Lvl 1 Header]], TblDetailBudget[[#This Row],[Lvl 1 Header]], $E$8:TblDetailBudget[[#This Row],[Lvl 2 Header]], TblDetailBudget[[#This Row],[Lvl 2 Header]]))</f>
        <v/>
      </c>
      <c r="G4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9" s="164"/>
      <c r="J449" s="164"/>
      <c r="K449" s="165"/>
      <c r="L449" s="165"/>
      <c r="M449" s="85" t="str">
        <f>IF(TblDetailBudget[[#This Row],[Level]]=LvlBottomHdr, IFERROR(INDEX(TblUnitCost[Unit], MATCH(TblDetailBudget[[#This Row],[Row Title]], TblUnitCost[Resource], 0)), "Invalid Resource"), "")</f>
        <v/>
      </c>
      <c r="N449" s="126" t="str">
        <f>IF(TblDetailBudget[[#This Row],[Level]]=LvlBottomHdr, IFERROR(INDEX(TblUnitCost[LCU], MATCH(TblDetailBudget[[#This Row],[Row Title]], TblUnitCost[Resource], 0)), "Invalid Resource"), "")</f>
        <v/>
      </c>
      <c r="O449" s="130"/>
      <c r="P449" s="109"/>
      <c r="Q449" s="131"/>
      <c r="R449" s="109" t="s">
        <v>66</v>
      </c>
      <c r="S449" s="109" t="s">
        <v>66</v>
      </c>
      <c r="T449" s="109" t="s">
        <v>66</v>
      </c>
      <c r="U449" s="109" t="s">
        <v>66</v>
      </c>
      <c r="V449" s="109" t="s">
        <v>66</v>
      </c>
      <c r="W449" s="126" t="str">
        <f>IF(TblDetailBudget[[#This Row],[Level]]=LvlBottomHdr, IF(SUM(TblDetailBudget[[#This Row],[2021 Quant]:[2025 Quant]])&gt;0, SUM(TblDetailBudget[[#This Row],[2021 Quant]:[2025 Quant]]), ""), "")</f>
        <v/>
      </c>
      <c r="X4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9" s="142">
        <f>SUM(TblDetailBudget[[#This Row],[2021 Cost (LCU)]:[2025 Cost (LCU)]])</f>
        <v>0</v>
      </c>
      <c r="AD449" s="135">
        <f>IFERROR(SUM(TblDetailBudget[[#This Row],[2021 Cost (LCU)]])/FX_Rate, "")</f>
        <v>0</v>
      </c>
      <c r="AE449" s="86">
        <f>IFERROR(SUM(TblDetailBudget[[#This Row],[2022 Cost (LCU)]])/FX_Rate, "")</f>
        <v>0</v>
      </c>
      <c r="AF449" s="86">
        <f>IFERROR(SUM(TblDetailBudget[[#This Row],[2023 Cost (LCU)]])/FX_Rate, "")</f>
        <v>0</v>
      </c>
      <c r="AG449" s="86">
        <f>IFERROR(SUM(TblDetailBudget[[#This Row],[2024 Cost (LCU)]])/FX_Rate, "")</f>
        <v>0</v>
      </c>
      <c r="AH449" s="86">
        <f>IFERROR(SUM(TblDetailBudget[[#This Row],[2025 Cost (LCU)]])/FX_Rate, "")</f>
        <v>0</v>
      </c>
      <c r="AI449" s="126">
        <f>SUM(TblDetailBudget[[#This Row],[2021 Cost (USD)]:[2025 Cost (USD)]])</f>
        <v>0</v>
      </c>
      <c r="AJ449" s="180"/>
    </row>
    <row r="450" spans="2:36" ht="12.75" customHeight="1">
      <c r="B450" s="123"/>
      <c r="C4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0" s="85" t="str">
        <f>IF(TblDetailBudget[[#This Row],[Level]]="", "", COUNTIFS($B$8:TblDetailBudget[[#This Row],[Level]], Lvl1Hdr))</f>
        <v/>
      </c>
      <c r="E450" s="85" t="str">
        <f>IF(TblDetailBudget[[#This Row],[Level]]="", "", COUNTIFS($B$8:TblDetailBudget[[#This Row],[Level]], Lvl2Hdr, $D$8:TblDetailBudget[[#This Row],[Lvl 1 Header]], TblDetailBudget[[#This Row],[Lvl 1 Header]]))</f>
        <v/>
      </c>
      <c r="F450" s="85" t="str">
        <f>IF(TblDetailBudget[[#This Row],[Level]]="", "", COUNTIFS($B$8:TblDetailBudget[[#This Row],[Level]], Lvl3Hdr, $D$8:TblDetailBudget[[#This Row],[Lvl 1 Header]], TblDetailBudget[[#This Row],[Lvl 1 Header]], $E$8:TblDetailBudget[[#This Row],[Lvl 2 Header]], TblDetailBudget[[#This Row],[Lvl 2 Header]]))</f>
        <v/>
      </c>
      <c r="G4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0" s="164"/>
      <c r="J450" s="164"/>
      <c r="K450" s="165"/>
      <c r="L450" s="165"/>
      <c r="M450" s="85" t="str">
        <f>IF(TblDetailBudget[[#This Row],[Level]]=LvlBottomHdr, IFERROR(INDEX(TblUnitCost[Unit], MATCH(TblDetailBudget[[#This Row],[Row Title]], TblUnitCost[Resource], 0)), "Invalid Resource"), "")</f>
        <v/>
      </c>
      <c r="N450" s="126" t="str">
        <f>IF(TblDetailBudget[[#This Row],[Level]]=LvlBottomHdr, IFERROR(INDEX(TblUnitCost[LCU], MATCH(TblDetailBudget[[#This Row],[Row Title]], TblUnitCost[Resource], 0)), "Invalid Resource"), "")</f>
        <v/>
      </c>
      <c r="O450" s="130"/>
      <c r="P450" s="109"/>
      <c r="Q450" s="131"/>
      <c r="R450" s="109" t="s">
        <v>66</v>
      </c>
      <c r="S450" s="109" t="s">
        <v>66</v>
      </c>
      <c r="T450" s="109" t="s">
        <v>66</v>
      </c>
      <c r="U450" s="109" t="s">
        <v>66</v>
      </c>
      <c r="V450" s="109" t="s">
        <v>66</v>
      </c>
      <c r="W450" s="126" t="str">
        <f>IF(TblDetailBudget[[#This Row],[Level]]=LvlBottomHdr, IF(SUM(TblDetailBudget[[#This Row],[2021 Quant]:[2025 Quant]])&gt;0, SUM(TblDetailBudget[[#This Row],[2021 Quant]:[2025 Quant]]), ""), "")</f>
        <v/>
      </c>
      <c r="X4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0" s="142">
        <f>SUM(TblDetailBudget[[#This Row],[2021 Cost (LCU)]:[2025 Cost (LCU)]])</f>
        <v>0</v>
      </c>
      <c r="AD450" s="135">
        <f>IFERROR(SUM(TblDetailBudget[[#This Row],[2021 Cost (LCU)]])/FX_Rate, "")</f>
        <v>0</v>
      </c>
      <c r="AE450" s="86">
        <f>IFERROR(SUM(TblDetailBudget[[#This Row],[2022 Cost (LCU)]])/FX_Rate, "")</f>
        <v>0</v>
      </c>
      <c r="AF450" s="86">
        <f>IFERROR(SUM(TblDetailBudget[[#This Row],[2023 Cost (LCU)]])/FX_Rate, "")</f>
        <v>0</v>
      </c>
      <c r="AG450" s="86">
        <f>IFERROR(SUM(TblDetailBudget[[#This Row],[2024 Cost (LCU)]])/FX_Rate, "")</f>
        <v>0</v>
      </c>
      <c r="AH450" s="86">
        <f>IFERROR(SUM(TblDetailBudget[[#This Row],[2025 Cost (LCU)]])/FX_Rate, "")</f>
        <v>0</v>
      </c>
      <c r="AI450" s="126">
        <f>SUM(TblDetailBudget[[#This Row],[2021 Cost (USD)]:[2025 Cost (USD)]])</f>
        <v>0</v>
      </c>
      <c r="AJ450" s="180"/>
    </row>
    <row r="451" spans="2:36" ht="12.75" customHeight="1">
      <c r="B451" s="123"/>
      <c r="C4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1" s="85" t="str">
        <f>IF(TblDetailBudget[[#This Row],[Level]]="", "", COUNTIFS($B$8:TblDetailBudget[[#This Row],[Level]], Lvl1Hdr))</f>
        <v/>
      </c>
      <c r="E451" s="85" t="str">
        <f>IF(TblDetailBudget[[#This Row],[Level]]="", "", COUNTIFS($B$8:TblDetailBudget[[#This Row],[Level]], Lvl2Hdr, $D$8:TblDetailBudget[[#This Row],[Lvl 1 Header]], TblDetailBudget[[#This Row],[Lvl 1 Header]]))</f>
        <v/>
      </c>
      <c r="F451" s="85" t="str">
        <f>IF(TblDetailBudget[[#This Row],[Level]]="", "", COUNTIFS($B$8:TblDetailBudget[[#This Row],[Level]], Lvl3Hdr, $D$8:TblDetailBudget[[#This Row],[Lvl 1 Header]], TblDetailBudget[[#This Row],[Lvl 1 Header]], $E$8:TblDetailBudget[[#This Row],[Lvl 2 Header]], TblDetailBudget[[#This Row],[Lvl 2 Header]]))</f>
        <v/>
      </c>
      <c r="G4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1" s="164"/>
      <c r="J451" s="164"/>
      <c r="K451" s="165"/>
      <c r="L451" s="165"/>
      <c r="M451" s="85" t="str">
        <f>IF(TblDetailBudget[[#This Row],[Level]]=LvlBottomHdr, IFERROR(INDEX(TblUnitCost[Unit], MATCH(TblDetailBudget[[#This Row],[Row Title]], TblUnitCost[Resource], 0)), "Invalid Resource"), "")</f>
        <v/>
      </c>
      <c r="N451" s="126" t="str">
        <f>IF(TblDetailBudget[[#This Row],[Level]]=LvlBottomHdr, IFERROR(INDEX(TblUnitCost[LCU], MATCH(TblDetailBudget[[#This Row],[Row Title]], TblUnitCost[Resource], 0)), "Invalid Resource"), "")</f>
        <v/>
      </c>
      <c r="O451" s="130"/>
      <c r="P451" s="109"/>
      <c r="Q451" s="131"/>
      <c r="R451" s="109" t="s">
        <v>66</v>
      </c>
      <c r="S451" s="109" t="s">
        <v>66</v>
      </c>
      <c r="T451" s="109" t="s">
        <v>66</v>
      </c>
      <c r="U451" s="109" t="s">
        <v>66</v>
      </c>
      <c r="V451" s="109" t="s">
        <v>66</v>
      </c>
      <c r="W451" s="126" t="str">
        <f>IF(TblDetailBudget[[#This Row],[Level]]=LvlBottomHdr, IF(SUM(TblDetailBudget[[#This Row],[2021 Quant]:[2025 Quant]])&gt;0, SUM(TblDetailBudget[[#This Row],[2021 Quant]:[2025 Quant]]), ""), "")</f>
        <v/>
      </c>
      <c r="X4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1" s="142">
        <f>SUM(TblDetailBudget[[#This Row],[2021 Cost (LCU)]:[2025 Cost (LCU)]])</f>
        <v>0</v>
      </c>
      <c r="AD451" s="135">
        <f>IFERROR(SUM(TblDetailBudget[[#This Row],[2021 Cost (LCU)]])/FX_Rate, "")</f>
        <v>0</v>
      </c>
      <c r="AE451" s="86">
        <f>IFERROR(SUM(TblDetailBudget[[#This Row],[2022 Cost (LCU)]])/FX_Rate, "")</f>
        <v>0</v>
      </c>
      <c r="AF451" s="86">
        <f>IFERROR(SUM(TblDetailBudget[[#This Row],[2023 Cost (LCU)]])/FX_Rate, "")</f>
        <v>0</v>
      </c>
      <c r="AG451" s="86">
        <f>IFERROR(SUM(TblDetailBudget[[#This Row],[2024 Cost (LCU)]])/FX_Rate, "")</f>
        <v>0</v>
      </c>
      <c r="AH451" s="86">
        <f>IFERROR(SUM(TblDetailBudget[[#This Row],[2025 Cost (LCU)]])/FX_Rate, "")</f>
        <v>0</v>
      </c>
      <c r="AI451" s="126">
        <f>SUM(TblDetailBudget[[#This Row],[2021 Cost (USD)]:[2025 Cost (USD)]])</f>
        <v>0</v>
      </c>
      <c r="AJ451" s="180"/>
    </row>
    <row r="452" spans="2:36" ht="12.75" customHeight="1">
      <c r="B452" s="123"/>
      <c r="C4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2" s="85" t="str">
        <f>IF(TblDetailBudget[[#This Row],[Level]]="", "", COUNTIFS($B$8:TblDetailBudget[[#This Row],[Level]], Lvl1Hdr))</f>
        <v/>
      </c>
      <c r="E452" s="85" t="str">
        <f>IF(TblDetailBudget[[#This Row],[Level]]="", "", COUNTIFS($B$8:TblDetailBudget[[#This Row],[Level]], Lvl2Hdr, $D$8:TblDetailBudget[[#This Row],[Lvl 1 Header]], TblDetailBudget[[#This Row],[Lvl 1 Header]]))</f>
        <v/>
      </c>
      <c r="F452" s="85" t="str">
        <f>IF(TblDetailBudget[[#This Row],[Level]]="", "", COUNTIFS($B$8:TblDetailBudget[[#This Row],[Level]], Lvl3Hdr, $D$8:TblDetailBudget[[#This Row],[Lvl 1 Header]], TblDetailBudget[[#This Row],[Lvl 1 Header]], $E$8:TblDetailBudget[[#This Row],[Lvl 2 Header]], TblDetailBudget[[#This Row],[Lvl 2 Header]]))</f>
        <v/>
      </c>
      <c r="G4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2" s="164"/>
      <c r="J452" s="164"/>
      <c r="K452" s="165"/>
      <c r="L452" s="165"/>
      <c r="M452" s="85" t="str">
        <f>IF(TblDetailBudget[[#This Row],[Level]]=LvlBottomHdr, IFERROR(INDEX(TblUnitCost[Unit], MATCH(TblDetailBudget[[#This Row],[Row Title]], TblUnitCost[Resource], 0)), "Invalid Resource"), "")</f>
        <v/>
      </c>
      <c r="N452" s="126" t="str">
        <f>IF(TblDetailBudget[[#This Row],[Level]]=LvlBottomHdr, IFERROR(INDEX(TblUnitCost[LCU], MATCH(TblDetailBudget[[#This Row],[Row Title]], TblUnitCost[Resource], 0)), "Invalid Resource"), "")</f>
        <v/>
      </c>
      <c r="O452" s="130"/>
      <c r="P452" s="109"/>
      <c r="Q452" s="131"/>
      <c r="R452" s="109" t="s">
        <v>66</v>
      </c>
      <c r="S452" s="109" t="s">
        <v>66</v>
      </c>
      <c r="T452" s="109" t="s">
        <v>66</v>
      </c>
      <c r="U452" s="109" t="s">
        <v>66</v>
      </c>
      <c r="V452" s="109" t="s">
        <v>66</v>
      </c>
      <c r="W452" s="126" t="str">
        <f>IF(TblDetailBudget[[#This Row],[Level]]=LvlBottomHdr, IF(SUM(TblDetailBudget[[#This Row],[2021 Quant]:[2025 Quant]])&gt;0, SUM(TblDetailBudget[[#This Row],[2021 Quant]:[2025 Quant]]), ""), "")</f>
        <v/>
      </c>
      <c r="X4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2" s="142">
        <f>SUM(TblDetailBudget[[#This Row],[2021 Cost (LCU)]:[2025 Cost (LCU)]])</f>
        <v>0</v>
      </c>
      <c r="AD452" s="135">
        <f>IFERROR(SUM(TblDetailBudget[[#This Row],[2021 Cost (LCU)]])/FX_Rate, "")</f>
        <v>0</v>
      </c>
      <c r="AE452" s="86">
        <f>IFERROR(SUM(TblDetailBudget[[#This Row],[2022 Cost (LCU)]])/FX_Rate, "")</f>
        <v>0</v>
      </c>
      <c r="AF452" s="86">
        <f>IFERROR(SUM(TblDetailBudget[[#This Row],[2023 Cost (LCU)]])/FX_Rate, "")</f>
        <v>0</v>
      </c>
      <c r="AG452" s="86">
        <f>IFERROR(SUM(TblDetailBudget[[#This Row],[2024 Cost (LCU)]])/FX_Rate, "")</f>
        <v>0</v>
      </c>
      <c r="AH452" s="86">
        <f>IFERROR(SUM(TblDetailBudget[[#This Row],[2025 Cost (LCU)]])/FX_Rate, "")</f>
        <v>0</v>
      </c>
      <c r="AI452" s="126">
        <f>SUM(TblDetailBudget[[#This Row],[2021 Cost (USD)]:[2025 Cost (USD)]])</f>
        <v>0</v>
      </c>
      <c r="AJ452" s="180"/>
    </row>
    <row r="453" spans="2:36" ht="12.75" customHeight="1">
      <c r="B453" s="123"/>
      <c r="C4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3" s="85" t="str">
        <f>IF(TblDetailBudget[[#This Row],[Level]]="", "", COUNTIFS($B$8:TblDetailBudget[[#This Row],[Level]], Lvl1Hdr))</f>
        <v/>
      </c>
      <c r="E453" s="85" t="str">
        <f>IF(TblDetailBudget[[#This Row],[Level]]="", "", COUNTIFS($B$8:TblDetailBudget[[#This Row],[Level]], Lvl2Hdr, $D$8:TblDetailBudget[[#This Row],[Lvl 1 Header]], TblDetailBudget[[#This Row],[Lvl 1 Header]]))</f>
        <v/>
      </c>
      <c r="F453" s="85" t="str">
        <f>IF(TblDetailBudget[[#This Row],[Level]]="", "", COUNTIFS($B$8:TblDetailBudget[[#This Row],[Level]], Lvl3Hdr, $D$8:TblDetailBudget[[#This Row],[Lvl 1 Header]], TblDetailBudget[[#This Row],[Lvl 1 Header]], $E$8:TblDetailBudget[[#This Row],[Lvl 2 Header]], TblDetailBudget[[#This Row],[Lvl 2 Header]]))</f>
        <v/>
      </c>
      <c r="G4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3" s="164"/>
      <c r="J453" s="164"/>
      <c r="K453" s="165"/>
      <c r="L453" s="165"/>
      <c r="M453" s="85" t="str">
        <f>IF(TblDetailBudget[[#This Row],[Level]]=LvlBottomHdr, IFERROR(INDEX(TblUnitCost[Unit], MATCH(TblDetailBudget[[#This Row],[Row Title]], TblUnitCost[Resource], 0)), "Invalid Resource"), "")</f>
        <v/>
      </c>
      <c r="N453" s="126" t="str">
        <f>IF(TblDetailBudget[[#This Row],[Level]]=LvlBottomHdr, IFERROR(INDEX(TblUnitCost[LCU], MATCH(TblDetailBudget[[#This Row],[Row Title]], TblUnitCost[Resource], 0)), "Invalid Resource"), "")</f>
        <v/>
      </c>
      <c r="O453" s="130"/>
      <c r="P453" s="109"/>
      <c r="Q453" s="131"/>
      <c r="R453" s="109" t="s">
        <v>66</v>
      </c>
      <c r="S453" s="109" t="s">
        <v>66</v>
      </c>
      <c r="T453" s="109" t="s">
        <v>66</v>
      </c>
      <c r="U453" s="109" t="s">
        <v>66</v>
      </c>
      <c r="V453" s="109" t="s">
        <v>66</v>
      </c>
      <c r="W453" s="126" t="str">
        <f>IF(TblDetailBudget[[#This Row],[Level]]=LvlBottomHdr, IF(SUM(TblDetailBudget[[#This Row],[2021 Quant]:[2025 Quant]])&gt;0, SUM(TblDetailBudget[[#This Row],[2021 Quant]:[2025 Quant]]), ""), "")</f>
        <v/>
      </c>
      <c r="X4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3" s="142">
        <f>SUM(TblDetailBudget[[#This Row],[2021 Cost (LCU)]:[2025 Cost (LCU)]])</f>
        <v>0</v>
      </c>
      <c r="AD453" s="135">
        <f>IFERROR(SUM(TblDetailBudget[[#This Row],[2021 Cost (LCU)]])/FX_Rate, "")</f>
        <v>0</v>
      </c>
      <c r="AE453" s="86">
        <f>IFERROR(SUM(TblDetailBudget[[#This Row],[2022 Cost (LCU)]])/FX_Rate, "")</f>
        <v>0</v>
      </c>
      <c r="AF453" s="86">
        <f>IFERROR(SUM(TblDetailBudget[[#This Row],[2023 Cost (LCU)]])/FX_Rate, "")</f>
        <v>0</v>
      </c>
      <c r="AG453" s="86">
        <f>IFERROR(SUM(TblDetailBudget[[#This Row],[2024 Cost (LCU)]])/FX_Rate, "")</f>
        <v>0</v>
      </c>
      <c r="AH453" s="86">
        <f>IFERROR(SUM(TblDetailBudget[[#This Row],[2025 Cost (LCU)]])/FX_Rate, "")</f>
        <v>0</v>
      </c>
      <c r="AI453" s="126">
        <f>SUM(TblDetailBudget[[#This Row],[2021 Cost (USD)]:[2025 Cost (USD)]])</f>
        <v>0</v>
      </c>
      <c r="AJ453" s="180"/>
    </row>
    <row r="454" spans="2:36" ht="12.75" customHeight="1">
      <c r="B454" s="123"/>
      <c r="C4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4" s="85" t="str">
        <f>IF(TblDetailBudget[[#This Row],[Level]]="", "", COUNTIFS($B$8:TblDetailBudget[[#This Row],[Level]], Lvl1Hdr))</f>
        <v/>
      </c>
      <c r="E454" s="85" t="str">
        <f>IF(TblDetailBudget[[#This Row],[Level]]="", "", COUNTIFS($B$8:TblDetailBudget[[#This Row],[Level]], Lvl2Hdr, $D$8:TblDetailBudget[[#This Row],[Lvl 1 Header]], TblDetailBudget[[#This Row],[Lvl 1 Header]]))</f>
        <v/>
      </c>
      <c r="F454" s="85" t="str">
        <f>IF(TblDetailBudget[[#This Row],[Level]]="", "", COUNTIFS($B$8:TblDetailBudget[[#This Row],[Level]], Lvl3Hdr, $D$8:TblDetailBudget[[#This Row],[Lvl 1 Header]], TblDetailBudget[[#This Row],[Lvl 1 Header]], $E$8:TblDetailBudget[[#This Row],[Lvl 2 Header]], TblDetailBudget[[#This Row],[Lvl 2 Header]]))</f>
        <v/>
      </c>
      <c r="G4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4" s="164"/>
      <c r="J454" s="164"/>
      <c r="K454" s="165"/>
      <c r="L454" s="165"/>
      <c r="M454" s="85" t="str">
        <f>IF(TblDetailBudget[[#This Row],[Level]]=LvlBottomHdr, IFERROR(INDEX(TblUnitCost[Unit], MATCH(TblDetailBudget[[#This Row],[Row Title]], TblUnitCost[Resource], 0)), "Invalid Resource"), "")</f>
        <v/>
      </c>
      <c r="N454" s="126" t="str">
        <f>IF(TblDetailBudget[[#This Row],[Level]]=LvlBottomHdr, IFERROR(INDEX(TblUnitCost[LCU], MATCH(TblDetailBudget[[#This Row],[Row Title]], TblUnitCost[Resource], 0)), "Invalid Resource"), "")</f>
        <v/>
      </c>
      <c r="O454" s="130"/>
      <c r="P454" s="109"/>
      <c r="Q454" s="131"/>
      <c r="R454" s="109" t="s">
        <v>66</v>
      </c>
      <c r="S454" s="109" t="s">
        <v>66</v>
      </c>
      <c r="T454" s="109" t="s">
        <v>66</v>
      </c>
      <c r="U454" s="109" t="s">
        <v>66</v>
      </c>
      <c r="V454" s="109" t="s">
        <v>66</v>
      </c>
      <c r="W454" s="126" t="str">
        <f>IF(TblDetailBudget[[#This Row],[Level]]=LvlBottomHdr, IF(SUM(TblDetailBudget[[#This Row],[2021 Quant]:[2025 Quant]])&gt;0, SUM(TblDetailBudget[[#This Row],[2021 Quant]:[2025 Quant]]), ""), "")</f>
        <v/>
      </c>
      <c r="X4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4" s="142">
        <f>SUM(TblDetailBudget[[#This Row],[2021 Cost (LCU)]:[2025 Cost (LCU)]])</f>
        <v>0</v>
      </c>
      <c r="AD454" s="135">
        <f>IFERROR(SUM(TblDetailBudget[[#This Row],[2021 Cost (LCU)]])/FX_Rate, "")</f>
        <v>0</v>
      </c>
      <c r="AE454" s="86">
        <f>IFERROR(SUM(TblDetailBudget[[#This Row],[2022 Cost (LCU)]])/FX_Rate, "")</f>
        <v>0</v>
      </c>
      <c r="AF454" s="86">
        <f>IFERROR(SUM(TblDetailBudget[[#This Row],[2023 Cost (LCU)]])/FX_Rate, "")</f>
        <v>0</v>
      </c>
      <c r="AG454" s="86">
        <f>IFERROR(SUM(TblDetailBudget[[#This Row],[2024 Cost (LCU)]])/FX_Rate, "")</f>
        <v>0</v>
      </c>
      <c r="AH454" s="86">
        <f>IFERROR(SUM(TblDetailBudget[[#This Row],[2025 Cost (LCU)]])/FX_Rate, "")</f>
        <v>0</v>
      </c>
      <c r="AI454" s="126">
        <f>SUM(TblDetailBudget[[#This Row],[2021 Cost (USD)]:[2025 Cost (USD)]])</f>
        <v>0</v>
      </c>
      <c r="AJ454" s="180"/>
    </row>
    <row r="455" spans="2:36" ht="12.75" customHeight="1">
      <c r="B455" s="123"/>
      <c r="C4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5" s="85" t="str">
        <f>IF(TblDetailBudget[[#This Row],[Level]]="", "", COUNTIFS($B$8:TblDetailBudget[[#This Row],[Level]], Lvl1Hdr))</f>
        <v/>
      </c>
      <c r="E455" s="85" t="str">
        <f>IF(TblDetailBudget[[#This Row],[Level]]="", "", COUNTIFS($B$8:TblDetailBudget[[#This Row],[Level]], Lvl2Hdr, $D$8:TblDetailBudget[[#This Row],[Lvl 1 Header]], TblDetailBudget[[#This Row],[Lvl 1 Header]]))</f>
        <v/>
      </c>
      <c r="F455" s="85" t="str">
        <f>IF(TblDetailBudget[[#This Row],[Level]]="", "", COUNTIFS($B$8:TblDetailBudget[[#This Row],[Level]], Lvl3Hdr, $D$8:TblDetailBudget[[#This Row],[Lvl 1 Header]], TblDetailBudget[[#This Row],[Lvl 1 Header]], $E$8:TblDetailBudget[[#This Row],[Lvl 2 Header]], TblDetailBudget[[#This Row],[Lvl 2 Header]]))</f>
        <v/>
      </c>
      <c r="G4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5" s="164"/>
      <c r="J455" s="164"/>
      <c r="K455" s="165"/>
      <c r="L455" s="165"/>
      <c r="M455" s="85" t="str">
        <f>IF(TblDetailBudget[[#This Row],[Level]]=LvlBottomHdr, IFERROR(INDEX(TblUnitCost[Unit], MATCH(TblDetailBudget[[#This Row],[Row Title]], TblUnitCost[Resource], 0)), "Invalid Resource"), "")</f>
        <v/>
      </c>
      <c r="N455" s="126" t="str">
        <f>IF(TblDetailBudget[[#This Row],[Level]]=LvlBottomHdr, IFERROR(INDEX(TblUnitCost[LCU], MATCH(TblDetailBudget[[#This Row],[Row Title]], TblUnitCost[Resource], 0)), "Invalid Resource"), "")</f>
        <v/>
      </c>
      <c r="O455" s="130"/>
      <c r="P455" s="109"/>
      <c r="Q455" s="131"/>
      <c r="R455" s="109" t="s">
        <v>66</v>
      </c>
      <c r="S455" s="109" t="s">
        <v>66</v>
      </c>
      <c r="T455" s="109" t="s">
        <v>66</v>
      </c>
      <c r="U455" s="109" t="s">
        <v>66</v>
      </c>
      <c r="V455" s="109" t="s">
        <v>66</v>
      </c>
      <c r="W455" s="126" t="str">
        <f>IF(TblDetailBudget[[#This Row],[Level]]=LvlBottomHdr, IF(SUM(TblDetailBudget[[#This Row],[2021 Quant]:[2025 Quant]])&gt;0, SUM(TblDetailBudget[[#This Row],[2021 Quant]:[2025 Quant]]), ""), "")</f>
        <v/>
      </c>
      <c r="X4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5" s="142">
        <f>SUM(TblDetailBudget[[#This Row],[2021 Cost (LCU)]:[2025 Cost (LCU)]])</f>
        <v>0</v>
      </c>
      <c r="AD455" s="135">
        <f>IFERROR(SUM(TblDetailBudget[[#This Row],[2021 Cost (LCU)]])/FX_Rate, "")</f>
        <v>0</v>
      </c>
      <c r="AE455" s="86">
        <f>IFERROR(SUM(TblDetailBudget[[#This Row],[2022 Cost (LCU)]])/FX_Rate, "")</f>
        <v>0</v>
      </c>
      <c r="AF455" s="86">
        <f>IFERROR(SUM(TblDetailBudget[[#This Row],[2023 Cost (LCU)]])/FX_Rate, "")</f>
        <v>0</v>
      </c>
      <c r="AG455" s="86">
        <f>IFERROR(SUM(TblDetailBudget[[#This Row],[2024 Cost (LCU)]])/FX_Rate, "")</f>
        <v>0</v>
      </c>
      <c r="AH455" s="86">
        <f>IFERROR(SUM(TblDetailBudget[[#This Row],[2025 Cost (LCU)]])/FX_Rate, "")</f>
        <v>0</v>
      </c>
      <c r="AI455" s="126">
        <f>SUM(TblDetailBudget[[#This Row],[2021 Cost (USD)]:[2025 Cost (USD)]])</f>
        <v>0</v>
      </c>
      <c r="AJ455" s="180"/>
    </row>
    <row r="456" spans="2:36" ht="12.75" customHeight="1">
      <c r="B456" s="123"/>
      <c r="C4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6" s="85" t="str">
        <f>IF(TblDetailBudget[[#This Row],[Level]]="", "", COUNTIFS($B$8:TblDetailBudget[[#This Row],[Level]], Lvl1Hdr))</f>
        <v/>
      </c>
      <c r="E456" s="85" t="str">
        <f>IF(TblDetailBudget[[#This Row],[Level]]="", "", COUNTIFS($B$8:TblDetailBudget[[#This Row],[Level]], Lvl2Hdr, $D$8:TblDetailBudget[[#This Row],[Lvl 1 Header]], TblDetailBudget[[#This Row],[Lvl 1 Header]]))</f>
        <v/>
      </c>
      <c r="F456" s="85" t="str">
        <f>IF(TblDetailBudget[[#This Row],[Level]]="", "", COUNTIFS($B$8:TblDetailBudget[[#This Row],[Level]], Lvl3Hdr, $D$8:TblDetailBudget[[#This Row],[Lvl 1 Header]], TblDetailBudget[[#This Row],[Lvl 1 Header]], $E$8:TblDetailBudget[[#This Row],[Lvl 2 Header]], TblDetailBudget[[#This Row],[Lvl 2 Header]]))</f>
        <v/>
      </c>
      <c r="G4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6" s="164"/>
      <c r="J456" s="164"/>
      <c r="K456" s="165"/>
      <c r="L456" s="165"/>
      <c r="M456" s="85" t="str">
        <f>IF(TblDetailBudget[[#This Row],[Level]]=LvlBottomHdr, IFERROR(INDEX(TblUnitCost[Unit], MATCH(TblDetailBudget[[#This Row],[Row Title]], TblUnitCost[Resource], 0)), "Invalid Resource"), "")</f>
        <v/>
      </c>
      <c r="N456" s="126" t="str">
        <f>IF(TblDetailBudget[[#This Row],[Level]]=LvlBottomHdr, IFERROR(INDEX(TblUnitCost[LCU], MATCH(TblDetailBudget[[#This Row],[Row Title]], TblUnitCost[Resource], 0)), "Invalid Resource"), "")</f>
        <v/>
      </c>
      <c r="O456" s="130"/>
      <c r="P456" s="109"/>
      <c r="Q456" s="131"/>
      <c r="R456" s="109" t="s">
        <v>66</v>
      </c>
      <c r="S456" s="109" t="s">
        <v>66</v>
      </c>
      <c r="T456" s="109" t="s">
        <v>66</v>
      </c>
      <c r="U456" s="109" t="s">
        <v>66</v>
      </c>
      <c r="V456" s="109" t="s">
        <v>66</v>
      </c>
      <c r="W456" s="126" t="str">
        <f>IF(TblDetailBudget[[#This Row],[Level]]=LvlBottomHdr, IF(SUM(TblDetailBudget[[#This Row],[2021 Quant]:[2025 Quant]])&gt;0, SUM(TblDetailBudget[[#This Row],[2021 Quant]:[2025 Quant]]), ""), "")</f>
        <v/>
      </c>
      <c r="X4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6" s="142">
        <f>SUM(TblDetailBudget[[#This Row],[2021 Cost (LCU)]:[2025 Cost (LCU)]])</f>
        <v>0</v>
      </c>
      <c r="AD456" s="135">
        <f>IFERROR(SUM(TblDetailBudget[[#This Row],[2021 Cost (LCU)]])/FX_Rate, "")</f>
        <v>0</v>
      </c>
      <c r="AE456" s="86">
        <f>IFERROR(SUM(TblDetailBudget[[#This Row],[2022 Cost (LCU)]])/FX_Rate, "")</f>
        <v>0</v>
      </c>
      <c r="AF456" s="86">
        <f>IFERROR(SUM(TblDetailBudget[[#This Row],[2023 Cost (LCU)]])/FX_Rate, "")</f>
        <v>0</v>
      </c>
      <c r="AG456" s="86">
        <f>IFERROR(SUM(TblDetailBudget[[#This Row],[2024 Cost (LCU)]])/FX_Rate, "")</f>
        <v>0</v>
      </c>
      <c r="AH456" s="86">
        <f>IFERROR(SUM(TblDetailBudget[[#This Row],[2025 Cost (LCU)]])/FX_Rate, "")</f>
        <v>0</v>
      </c>
      <c r="AI456" s="126">
        <f>SUM(TblDetailBudget[[#This Row],[2021 Cost (USD)]:[2025 Cost (USD)]])</f>
        <v>0</v>
      </c>
      <c r="AJ456" s="180"/>
    </row>
    <row r="457" spans="2:36" ht="12.75" customHeight="1">
      <c r="B457" s="123"/>
      <c r="C4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7" s="85" t="str">
        <f>IF(TblDetailBudget[[#This Row],[Level]]="", "", COUNTIFS($B$8:TblDetailBudget[[#This Row],[Level]], Lvl1Hdr))</f>
        <v/>
      </c>
      <c r="E457" s="85" t="str">
        <f>IF(TblDetailBudget[[#This Row],[Level]]="", "", COUNTIFS($B$8:TblDetailBudget[[#This Row],[Level]], Lvl2Hdr, $D$8:TblDetailBudget[[#This Row],[Lvl 1 Header]], TblDetailBudget[[#This Row],[Lvl 1 Header]]))</f>
        <v/>
      </c>
      <c r="F457" s="85" t="str">
        <f>IF(TblDetailBudget[[#This Row],[Level]]="", "", COUNTIFS($B$8:TblDetailBudget[[#This Row],[Level]], Lvl3Hdr, $D$8:TblDetailBudget[[#This Row],[Lvl 1 Header]], TblDetailBudget[[#This Row],[Lvl 1 Header]], $E$8:TblDetailBudget[[#This Row],[Lvl 2 Header]], TblDetailBudget[[#This Row],[Lvl 2 Header]]))</f>
        <v/>
      </c>
      <c r="G4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7" s="164"/>
      <c r="J457" s="164"/>
      <c r="K457" s="165"/>
      <c r="L457" s="165"/>
      <c r="M457" s="85" t="str">
        <f>IF(TblDetailBudget[[#This Row],[Level]]=LvlBottomHdr, IFERROR(INDEX(TblUnitCost[Unit], MATCH(TblDetailBudget[[#This Row],[Row Title]], TblUnitCost[Resource], 0)), "Invalid Resource"), "")</f>
        <v/>
      </c>
      <c r="N457" s="126" t="str">
        <f>IF(TblDetailBudget[[#This Row],[Level]]=LvlBottomHdr, IFERROR(INDEX(TblUnitCost[LCU], MATCH(TblDetailBudget[[#This Row],[Row Title]], TblUnitCost[Resource], 0)), "Invalid Resource"), "")</f>
        <v/>
      </c>
      <c r="O457" s="130"/>
      <c r="P457" s="109"/>
      <c r="Q457" s="131"/>
      <c r="R457" s="109" t="s">
        <v>66</v>
      </c>
      <c r="S457" s="109" t="s">
        <v>66</v>
      </c>
      <c r="T457" s="109" t="s">
        <v>66</v>
      </c>
      <c r="U457" s="109" t="s">
        <v>66</v>
      </c>
      <c r="V457" s="109" t="s">
        <v>66</v>
      </c>
      <c r="W457" s="126" t="str">
        <f>IF(TblDetailBudget[[#This Row],[Level]]=LvlBottomHdr, IF(SUM(TblDetailBudget[[#This Row],[2021 Quant]:[2025 Quant]])&gt;0, SUM(TblDetailBudget[[#This Row],[2021 Quant]:[2025 Quant]]), ""), "")</f>
        <v/>
      </c>
      <c r="X4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7" s="142">
        <f>SUM(TblDetailBudget[[#This Row],[2021 Cost (LCU)]:[2025 Cost (LCU)]])</f>
        <v>0</v>
      </c>
      <c r="AD457" s="135">
        <f>IFERROR(SUM(TblDetailBudget[[#This Row],[2021 Cost (LCU)]])/FX_Rate, "")</f>
        <v>0</v>
      </c>
      <c r="AE457" s="86">
        <f>IFERROR(SUM(TblDetailBudget[[#This Row],[2022 Cost (LCU)]])/FX_Rate, "")</f>
        <v>0</v>
      </c>
      <c r="AF457" s="86">
        <f>IFERROR(SUM(TblDetailBudget[[#This Row],[2023 Cost (LCU)]])/FX_Rate, "")</f>
        <v>0</v>
      </c>
      <c r="AG457" s="86">
        <f>IFERROR(SUM(TblDetailBudget[[#This Row],[2024 Cost (LCU)]])/FX_Rate, "")</f>
        <v>0</v>
      </c>
      <c r="AH457" s="86">
        <f>IFERROR(SUM(TblDetailBudget[[#This Row],[2025 Cost (LCU)]])/FX_Rate, "")</f>
        <v>0</v>
      </c>
      <c r="AI457" s="126">
        <f>SUM(TblDetailBudget[[#This Row],[2021 Cost (USD)]:[2025 Cost (USD)]])</f>
        <v>0</v>
      </c>
      <c r="AJ457" s="180"/>
    </row>
    <row r="458" spans="2:36" ht="12.75" customHeight="1">
      <c r="B458" s="123"/>
      <c r="C4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8" s="85" t="str">
        <f>IF(TblDetailBudget[[#This Row],[Level]]="", "", COUNTIFS($B$8:TblDetailBudget[[#This Row],[Level]], Lvl1Hdr))</f>
        <v/>
      </c>
      <c r="E458" s="85" t="str">
        <f>IF(TblDetailBudget[[#This Row],[Level]]="", "", COUNTIFS($B$8:TblDetailBudget[[#This Row],[Level]], Lvl2Hdr, $D$8:TblDetailBudget[[#This Row],[Lvl 1 Header]], TblDetailBudget[[#This Row],[Lvl 1 Header]]))</f>
        <v/>
      </c>
      <c r="F458" s="85" t="str">
        <f>IF(TblDetailBudget[[#This Row],[Level]]="", "", COUNTIFS($B$8:TblDetailBudget[[#This Row],[Level]], Lvl3Hdr, $D$8:TblDetailBudget[[#This Row],[Lvl 1 Header]], TblDetailBudget[[#This Row],[Lvl 1 Header]], $E$8:TblDetailBudget[[#This Row],[Lvl 2 Header]], TblDetailBudget[[#This Row],[Lvl 2 Header]]))</f>
        <v/>
      </c>
      <c r="G4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8" s="164"/>
      <c r="J458" s="164"/>
      <c r="K458" s="165"/>
      <c r="L458" s="165"/>
      <c r="M458" s="85" t="str">
        <f>IF(TblDetailBudget[[#This Row],[Level]]=LvlBottomHdr, IFERROR(INDEX(TblUnitCost[Unit], MATCH(TblDetailBudget[[#This Row],[Row Title]], TblUnitCost[Resource], 0)), "Invalid Resource"), "")</f>
        <v/>
      </c>
      <c r="N458" s="126" t="str">
        <f>IF(TblDetailBudget[[#This Row],[Level]]=LvlBottomHdr, IFERROR(INDEX(TblUnitCost[LCU], MATCH(TblDetailBudget[[#This Row],[Row Title]], TblUnitCost[Resource], 0)), "Invalid Resource"), "")</f>
        <v/>
      </c>
      <c r="O458" s="130"/>
      <c r="P458" s="109"/>
      <c r="Q458" s="131"/>
      <c r="R458" s="109" t="s">
        <v>66</v>
      </c>
      <c r="S458" s="109" t="s">
        <v>66</v>
      </c>
      <c r="T458" s="109" t="s">
        <v>66</v>
      </c>
      <c r="U458" s="109" t="s">
        <v>66</v>
      </c>
      <c r="V458" s="109" t="s">
        <v>66</v>
      </c>
      <c r="W458" s="126" t="str">
        <f>IF(TblDetailBudget[[#This Row],[Level]]=LvlBottomHdr, IF(SUM(TblDetailBudget[[#This Row],[2021 Quant]:[2025 Quant]])&gt;0, SUM(TblDetailBudget[[#This Row],[2021 Quant]:[2025 Quant]]), ""), "")</f>
        <v/>
      </c>
      <c r="X4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8" s="142">
        <f>SUM(TblDetailBudget[[#This Row],[2021 Cost (LCU)]:[2025 Cost (LCU)]])</f>
        <v>0</v>
      </c>
      <c r="AD458" s="135">
        <f>IFERROR(SUM(TblDetailBudget[[#This Row],[2021 Cost (LCU)]])/FX_Rate, "")</f>
        <v>0</v>
      </c>
      <c r="AE458" s="86">
        <f>IFERROR(SUM(TblDetailBudget[[#This Row],[2022 Cost (LCU)]])/FX_Rate, "")</f>
        <v>0</v>
      </c>
      <c r="AF458" s="86">
        <f>IFERROR(SUM(TblDetailBudget[[#This Row],[2023 Cost (LCU)]])/FX_Rate, "")</f>
        <v>0</v>
      </c>
      <c r="AG458" s="86">
        <f>IFERROR(SUM(TblDetailBudget[[#This Row],[2024 Cost (LCU)]])/FX_Rate, "")</f>
        <v>0</v>
      </c>
      <c r="AH458" s="86">
        <f>IFERROR(SUM(TblDetailBudget[[#This Row],[2025 Cost (LCU)]])/FX_Rate, "")</f>
        <v>0</v>
      </c>
      <c r="AI458" s="126">
        <f>SUM(TblDetailBudget[[#This Row],[2021 Cost (USD)]:[2025 Cost (USD)]])</f>
        <v>0</v>
      </c>
      <c r="AJ458" s="180"/>
    </row>
    <row r="459" spans="2:36" ht="12.75" customHeight="1">
      <c r="B459" s="123"/>
      <c r="C4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9" s="85" t="str">
        <f>IF(TblDetailBudget[[#This Row],[Level]]="", "", COUNTIFS($B$8:TblDetailBudget[[#This Row],[Level]], Lvl1Hdr))</f>
        <v/>
      </c>
      <c r="E459" s="85" t="str">
        <f>IF(TblDetailBudget[[#This Row],[Level]]="", "", COUNTIFS($B$8:TblDetailBudget[[#This Row],[Level]], Lvl2Hdr, $D$8:TblDetailBudget[[#This Row],[Lvl 1 Header]], TblDetailBudget[[#This Row],[Lvl 1 Header]]))</f>
        <v/>
      </c>
      <c r="F459" s="85" t="str">
        <f>IF(TblDetailBudget[[#This Row],[Level]]="", "", COUNTIFS($B$8:TblDetailBudget[[#This Row],[Level]], Lvl3Hdr, $D$8:TblDetailBudget[[#This Row],[Lvl 1 Header]], TblDetailBudget[[#This Row],[Lvl 1 Header]], $E$8:TblDetailBudget[[#This Row],[Lvl 2 Header]], TblDetailBudget[[#This Row],[Lvl 2 Header]]))</f>
        <v/>
      </c>
      <c r="G4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9" s="164"/>
      <c r="J459" s="164"/>
      <c r="K459" s="165"/>
      <c r="L459" s="165"/>
      <c r="M459" s="85" t="str">
        <f>IF(TblDetailBudget[[#This Row],[Level]]=LvlBottomHdr, IFERROR(INDEX(TblUnitCost[Unit], MATCH(TblDetailBudget[[#This Row],[Row Title]], TblUnitCost[Resource], 0)), "Invalid Resource"), "")</f>
        <v/>
      </c>
      <c r="N459" s="126" t="str">
        <f>IF(TblDetailBudget[[#This Row],[Level]]=LvlBottomHdr, IFERROR(INDEX(TblUnitCost[LCU], MATCH(TblDetailBudget[[#This Row],[Row Title]], TblUnitCost[Resource], 0)), "Invalid Resource"), "")</f>
        <v/>
      </c>
      <c r="O459" s="130"/>
      <c r="P459" s="109"/>
      <c r="Q459" s="131"/>
      <c r="R459" s="109" t="s">
        <v>66</v>
      </c>
      <c r="S459" s="109" t="s">
        <v>66</v>
      </c>
      <c r="T459" s="109" t="s">
        <v>66</v>
      </c>
      <c r="U459" s="109" t="s">
        <v>66</v>
      </c>
      <c r="V459" s="109" t="s">
        <v>66</v>
      </c>
      <c r="W459" s="126" t="str">
        <f>IF(TblDetailBudget[[#This Row],[Level]]=LvlBottomHdr, IF(SUM(TblDetailBudget[[#This Row],[2021 Quant]:[2025 Quant]])&gt;0, SUM(TblDetailBudget[[#This Row],[2021 Quant]:[2025 Quant]]), ""), "")</f>
        <v/>
      </c>
      <c r="X4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9" s="142">
        <f>SUM(TblDetailBudget[[#This Row],[2021 Cost (LCU)]:[2025 Cost (LCU)]])</f>
        <v>0</v>
      </c>
      <c r="AD459" s="135">
        <f>IFERROR(SUM(TblDetailBudget[[#This Row],[2021 Cost (LCU)]])/FX_Rate, "")</f>
        <v>0</v>
      </c>
      <c r="AE459" s="86">
        <f>IFERROR(SUM(TblDetailBudget[[#This Row],[2022 Cost (LCU)]])/FX_Rate, "")</f>
        <v>0</v>
      </c>
      <c r="AF459" s="86">
        <f>IFERROR(SUM(TblDetailBudget[[#This Row],[2023 Cost (LCU)]])/FX_Rate, "")</f>
        <v>0</v>
      </c>
      <c r="AG459" s="86">
        <f>IFERROR(SUM(TblDetailBudget[[#This Row],[2024 Cost (LCU)]])/FX_Rate, "")</f>
        <v>0</v>
      </c>
      <c r="AH459" s="86">
        <f>IFERROR(SUM(TblDetailBudget[[#This Row],[2025 Cost (LCU)]])/FX_Rate, "")</f>
        <v>0</v>
      </c>
      <c r="AI459" s="126">
        <f>SUM(TblDetailBudget[[#This Row],[2021 Cost (USD)]:[2025 Cost (USD)]])</f>
        <v>0</v>
      </c>
      <c r="AJ459" s="180"/>
    </row>
    <row r="460" spans="2:36" ht="12.75" customHeight="1">
      <c r="B460" s="123"/>
      <c r="C4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0" s="85" t="str">
        <f>IF(TblDetailBudget[[#This Row],[Level]]="", "", COUNTIFS($B$8:TblDetailBudget[[#This Row],[Level]], Lvl1Hdr))</f>
        <v/>
      </c>
      <c r="E460" s="85" t="str">
        <f>IF(TblDetailBudget[[#This Row],[Level]]="", "", COUNTIFS($B$8:TblDetailBudget[[#This Row],[Level]], Lvl2Hdr, $D$8:TblDetailBudget[[#This Row],[Lvl 1 Header]], TblDetailBudget[[#This Row],[Lvl 1 Header]]))</f>
        <v/>
      </c>
      <c r="F460" s="85" t="str">
        <f>IF(TblDetailBudget[[#This Row],[Level]]="", "", COUNTIFS($B$8:TblDetailBudget[[#This Row],[Level]], Lvl3Hdr, $D$8:TblDetailBudget[[#This Row],[Lvl 1 Header]], TblDetailBudget[[#This Row],[Lvl 1 Header]], $E$8:TblDetailBudget[[#This Row],[Lvl 2 Header]], TblDetailBudget[[#This Row],[Lvl 2 Header]]))</f>
        <v/>
      </c>
      <c r="G4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0" s="164"/>
      <c r="J460" s="164"/>
      <c r="K460" s="165"/>
      <c r="L460" s="165"/>
      <c r="M460" s="85" t="str">
        <f>IF(TblDetailBudget[[#This Row],[Level]]=LvlBottomHdr, IFERROR(INDEX(TblUnitCost[Unit], MATCH(TblDetailBudget[[#This Row],[Row Title]], TblUnitCost[Resource], 0)), "Invalid Resource"), "")</f>
        <v/>
      </c>
      <c r="N460" s="126" t="str">
        <f>IF(TblDetailBudget[[#This Row],[Level]]=LvlBottomHdr, IFERROR(INDEX(TblUnitCost[LCU], MATCH(TblDetailBudget[[#This Row],[Row Title]], TblUnitCost[Resource], 0)), "Invalid Resource"), "")</f>
        <v/>
      </c>
      <c r="O460" s="130"/>
      <c r="P460" s="109"/>
      <c r="Q460" s="131"/>
      <c r="R460" s="109" t="s">
        <v>66</v>
      </c>
      <c r="S460" s="109" t="s">
        <v>66</v>
      </c>
      <c r="T460" s="109" t="s">
        <v>66</v>
      </c>
      <c r="U460" s="109" t="s">
        <v>66</v>
      </c>
      <c r="V460" s="109" t="s">
        <v>66</v>
      </c>
      <c r="W460" s="126" t="str">
        <f>IF(TblDetailBudget[[#This Row],[Level]]=LvlBottomHdr, IF(SUM(TblDetailBudget[[#This Row],[2021 Quant]:[2025 Quant]])&gt;0, SUM(TblDetailBudget[[#This Row],[2021 Quant]:[2025 Quant]]), ""), "")</f>
        <v/>
      </c>
      <c r="X4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0" s="142">
        <f>SUM(TblDetailBudget[[#This Row],[2021 Cost (LCU)]:[2025 Cost (LCU)]])</f>
        <v>0</v>
      </c>
      <c r="AD460" s="135">
        <f>IFERROR(SUM(TblDetailBudget[[#This Row],[2021 Cost (LCU)]])/FX_Rate, "")</f>
        <v>0</v>
      </c>
      <c r="AE460" s="86">
        <f>IFERROR(SUM(TblDetailBudget[[#This Row],[2022 Cost (LCU)]])/FX_Rate, "")</f>
        <v>0</v>
      </c>
      <c r="AF460" s="86">
        <f>IFERROR(SUM(TblDetailBudget[[#This Row],[2023 Cost (LCU)]])/FX_Rate, "")</f>
        <v>0</v>
      </c>
      <c r="AG460" s="86">
        <f>IFERROR(SUM(TblDetailBudget[[#This Row],[2024 Cost (LCU)]])/FX_Rate, "")</f>
        <v>0</v>
      </c>
      <c r="AH460" s="86">
        <f>IFERROR(SUM(TblDetailBudget[[#This Row],[2025 Cost (LCU)]])/FX_Rate, "")</f>
        <v>0</v>
      </c>
      <c r="AI460" s="126">
        <f>SUM(TblDetailBudget[[#This Row],[2021 Cost (USD)]:[2025 Cost (USD)]])</f>
        <v>0</v>
      </c>
      <c r="AJ460" s="180"/>
    </row>
    <row r="461" spans="2:36" ht="12.75" customHeight="1">
      <c r="B461" s="123"/>
      <c r="C4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1" s="85" t="str">
        <f>IF(TblDetailBudget[[#This Row],[Level]]="", "", COUNTIFS($B$8:TblDetailBudget[[#This Row],[Level]], Lvl1Hdr))</f>
        <v/>
      </c>
      <c r="E461" s="85" t="str">
        <f>IF(TblDetailBudget[[#This Row],[Level]]="", "", COUNTIFS($B$8:TblDetailBudget[[#This Row],[Level]], Lvl2Hdr, $D$8:TblDetailBudget[[#This Row],[Lvl 1 Header]], TblDetailBudget[[#This Row],[Lvl 1 Header]]))</f>
        <v/>
      </c>
      <c r="F461" s="85" t="str">
        <f>IF(TblDetailBudget[[#This Row],[Level]]="", "", COUNTIFS($B$8:TblDetailBudget[[#This Row],[Level]], Lvl3Hdr, $D$8:TblDetailBudget[[#This Row],[Lvl 1 Header]], TblDetailBudget[[#This Row],[Lvl 1 Header]], $E$8:TblDetailBudget[[#This Row],[Lvl 2 Header]], TblDetailBudget[[#This Row],[Lvl 2 Header]]))</f>
        <v/>
      </c>
      <c r="G4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1" s="164"/>
      <c r="J461" s="164"/>
      <c r="K461" s="165"/>
      <c r="L461" s="165"/>
      <c r="M461" s="85" t="str">
        <f>IF(TblDetailBudget[[#This Row],[Level]]=LvlBottomHdr, IFERROR(INDEX(TblUnitCost[Unit], MATCH(TblDetailBudget[[#This Row],[Row Title]], TblUnitCost[Resource], 0)), "Invalid Resource"), "")</f>
        <v/>
      </c>
      <c r="N461" s="126" t="str">
        <f>IF(TblDetailBudget[[#This Row],[Level]]=LvlBottomHdr, IFERROR(INDEX(TblUnitCost[LCU], MATCH(TblDetailBudget[[#This Row],[Row Title]], TblUnitCost[Resource], 0)), "Invalid Resource"), "")</f>
        <v/>
      </c>
      <c r="O461" s="130"/>
      <c r="P461" s="109"/>
      <c r="Q461" s="131"/>
      <c r="R461" s="109" t="s">
        <v>66</v>
      </c>
      <c r="S461" s="109" t="s">
        <v>66</v>
      </c>
      <c r="T461" s="109" t="s">
        <v>66</v>
      </c>
      <c r="U461" s="109" t="s">
        <v>66</v>
      </c>
      <c r="V461" s="109" t="s">
        <v>66</v>
      </c>
      <c r="W461" s="126" t="str">
        <f>IF(TblDetailBudget[[#This Row],[Level]]=LvlBottomHdr, IF(SUM(TblDetailBudget[[#This Row],[2021 Quant]:[2025 Quant]])&gt;0, SUM(TblDetailBudget[[#This Row],[2021 Quant]:[2025 Quant]]), ""), "")</f>
        <v/>
      </c>
      <c r="X4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1" s="142">
        <f>SUM(TblDetailBudget[[#This Row],[2021 Cost (LCU)]:[2025 Cost (LCU)]])</f>
        <v>0</v>
      </c>
      <c r="AD461" s="135">
        <f>IFERROR(SUM(TblDetailBudget[[#This Row],[2021 Cost (LCU)]])/FX_Rate, "")</f>
        <v>0</v>
      </c>
      <c r="AE461" s="86">
        <f>IFERROR(SUM(TblDetailBudget[[#This Row],[2022 Cost (LCU)]])/FX_Rate, "")</f>
        <v>0</v>
      </c>
      <c r="AF461" s="86">
        <f>IFERROR(SUM(TblDetailBudget[[#This Row],[2023 Cost (LCU)]])/FX_Rate, "")</f>
        <v>0</v>
      </c>
      <c r="AG461" s="86">
        <f>IFERROR(SUM(TblDetailBudget[[#This Row],[2024 Cost (LCU)]])/FX_Rate, "")</f>
        <v>0</v>
      </c>
      <c r="AH461" s="86">
        <f>IFERROR(SUM(TblDetailBudget[[#This Row],[2025 Cost (LCU)]])/FX_Rate, "")</f>
        <v>0</v>
      </c>
      <c r="AI461" s="126">
        <f>SUM(TblDetailBudget[[#This Row],[2021 Cost (USD)]:[2025 Cost (USD)]])</f>
        <v>0</v>
      </c>
      <c r="AJ461" s="180"/>
    </row>
    <row r="462" spans="2:36" ht="12.75" customHeight="1">
      <c r="B462" s="123"/>
      <c r="C4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2" s="85" t="str">
        <f>IF(TblDetailBudget[[#This Row],[Level]]="", "", COUNTIFS($B$8:TblDetailBudget[[#This Row],[Level]], Lvl1Hdr))</f>
        <v/>
      </c>
      <c r="E462" s="85" t="str">
        <f>IF(TblDetailBudget[[#This Row],[Level]]="", "", COUNTIFS($B$8:TblDetailBudget[[#This Row],[Level]], Lvl2Hdr, $D$8:TblDetailBudget[[#This Row],[Lvl 1 Header]], TblDetailBudget[[#This Row],[Lvl 1 Header]]))</f>
        <v/>
      </c>
      <c r="F462" s="85" t="str">
        <f>IF(TblDetailBudget[[#This Row],[Level]]="", "", COUNTIFS($B$8:TblDetailBudget[[#This Row],[Level]], Lvl3Hdr, $D$8:TblDetailBudget[[#This Row],[Lvl 1 Header]], TblDetailBudget[[#This Row],[Lvl 1 Header]], $E$8:TblDetailBudget[[#This Row],[Lvl 2 Header]], TblDetailBudget[[#This Row],[Lvl 2 Header]]))</f>
        <v/>
      </c>
      <c r="G4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2" s="164"/>
      <c r="J462" s="164"/>
      <c r="K462" s="165"/>
      <c r="L462" s="165"/>
      <c r="M462" s="85" t="str">
        <f>IF(TblDetailBudget[[#This Row],[Level]]=LvlBottomHdr, IFERROR(INDEX(TblUnitCost[Unit], MATCH(TblDetailBudget[[#This Row],[Row Title]], TblUnitCost[Resource], 0)), "Invalid Resource"), "")</f>
        <v/>
      </c>
      <c r="N462" s="126" t="str">
        <f>IF(TblDetailBudget[[#This Row],[Level]]=LvlBottomHdr, IFERROR(INDEX(TblUnitCost[LCU], MATCH(TblDetailBudget[[#This Row],[Row Title]], TblUnitCost[Resource], 0)), "Invalid Resource"), "")</f>
        <v/>
      </c>
      <c r="O462" s="130"/>
      <c r="P462" s="109"/>
      <c r="Q462" s="131"/>
      <c r="R462" s="109" t="s">
        <v>66</v>
      </c>
      <c r="S462" s="109" t="s">
        <v>66</v>
      </c>
      <c r="T462" s="109" t="s">
        <v>66</v>
      </c>
      <c r="U462" s="109" t="s">
        <v>66</v>
      </c>
      <c r="V462" s="109" t="s">
        <v>66</v>
      </c>
      <c r="W462" s="126" t="str">
        <f>IF(TblDetailBudget[[#This Row],[Level]]=LvlBottomHdr, IF(SUM(TblDetailBudget[[#This Row],[2021 Quant]:[2025 Quant]])&gt;0, SUM(TblDetailBudget[[#This Row],[2021 Quant]:[2025 Quant]]), ""), "")</f>
        <v/>
      </c>
      <c r="X4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2" s="142">
        <f>SUM(TblDetailBudget[[#This Row],[2021 Cost (LCU)]:[2025 Cost (LCU)]])</f>
        <v>0</v>
      </c>
      <c r="AD462" s="135">
        <f>IFERROR(SUM(TblDetailBudget[[#This Row],[2021 Cost (LCU)]])/FX_Rate, "")</f>
        <v>0</v>
      </c>
      <c r="AE462" s="86">
        <f>IFERROR(SUM(TblDetailBudget[[#This Row],[2022 Cost (LCU)]])/FX_Rate, "")</f>
        <v>0</v>
      </c>
      <c r="AF462" s="86">
        <f>IFERROR(SUM(TblDetailBudget[[#This Row],[2023 Cost (LCU)]])/FX_Rate, "")</f>
        <v>0</v>
      </c>
      <c r="AG462" s="86">
        <f>IFERROR(SUM(TblDetailBudget[[#This Row],[2024 Cost (LCU)]])/FX_Rate, "")</f>
        <v>0</v>
      </c>
      <c r="AH462" s="86">
        <f>IFERROR(SUM(TblDetailBudget[[#This Row],[2025 Cost (LCU)]])/FX_Rate, "")</f>
        <v>0</v>
      </c>
      <c r="AI462" s="126">
        <f>SUM(TblDetailBudget[[#This Row],[2021 Cost (USD)]:[2025 Cost (USD)]])</f>
        <v>0</v>
      </c>
      <c r="AJ462" s="180"/>
    </row>
    <row r="463" spans="2:36" ht="12.75" customHeight="1">
      <c r="B463" s="123"/>
      <c r="C4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3" s="85" t="str">
        <f>IF(TblDetailBudget[[#This Row],[Level]]="", "", COUNTIFS($B$8:TblDetailBudget[[#This Row],[Level]], Lvl1Hdr))</f>
        <v/>
      </c>
      <c r="E463" s="85" t="str">
        <f>IF(TblDetailBudget[[#This Row],[Level]]="", "", COUNTIFS($B$8:TblDetailBudget[[#This Row],[Level]], Lvl2Hdr, $D$8:TblDetailBudget[[#This Row],[Lvl 1 Header]], TblDetailBudget[[#This Row],[Lvl 1 Header]]))</f>
        <v/>
      </c>
      <c r="F463" s="85" t="str">
        <f>IF(TblDetailBudget[[#This Row],[Level]]="", "", COUNTIFS($B$8:TblDetailBudget[[#This Row],[Level]], Lvl3Hdr, $D$8:TblDetailBudget[[#This Row],[Lvl 1 Header]], TblDetailBudget[[#This Row],[Lvl 1 Header]], $E$8:TblDetailBudget[[#This Row],[Lvl 2 Header]], TblDetailBudget[[#This Row],[Lvl 2 Header]]))</f>
        <v/>
      </c>
      <c r="G4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3" s="164"/>
      <c r="J463" s="164"/>
      <c r="K463" s="165"/>
      <c r="L463" s="165"/>
      <c r="M463" s="85" t="str">
        <f>IF(TblDetailBudget[[#This Row],[Level]]=LvlBottomHdr, IFERROR(INDEX(TblUnitCost[Unit], MATCH(TblDetailBudget[[#This Row],[Row Title]], TblUnitCost[Resource], 0)), "Invalid Resource"), "")</f>
        <v/>
      </c>
      <c r="N463" s="126" t="str">
        <f>IF(TblDetailBudget[[#This Row],[Level]]=LvlBottomHdr, IFERROR(INDEX(TblUnitCost[LCU], MATCH(TblDetailBudget[[#This Row],[Row Title]], TblUnitCost[Resource], 0)), "Invalid Resource"), "")</f>
        <v/>
      </c>
      <c r="O463" s="130"/>
      <c r="P463" s="109"/>
      <c r="Q463" s="131"/>
      <c r="R463" s="109" t="s">
        <v>66</v>
      </c>
      <c r="S463" s="109" t="s">
        <v>66</v>
      </c>
      <c r="T463" s="109" t="s">
        <v>66</v>
      </c>
      <c r="U463" s="109" t="s">
        <v>66</v>
      </c>
      <c r="V463" s="109" t="s">
        <v>66</v>
      </c>
      <c r="W463" s="126" t="str">
        <f>IF(TblDetailBudget[[#This Row],[Level]]=LvlBottomHdr, IF(SUM(TblDetailBudget[[#This Row],[2021 Quant]:[2025 Quant]])&gt;0, SUM(TblDetailBudget[[#This Row],[2021 Quant]:[2025 Quant]]), ""), "")</f>
        <v/>
      </c>
      <c r="X4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3" s="142">
        <f>SUM(TblDetailBudget[[#This Row],[2021 Cost (LCU)]:[2025 Cost (LCU)]])</f>
        <v>0</v>
      </c>
      <c r="AD463" s="135">
        <f>IFERROR(SUM(TblDetailBudget[[#This Row],[2021 Cost (LCU)]])/FX_Rate, "")</f>
        <v>0</v>
      </c>
      <c r="AE463" s="86">
        <f>IFERROR(SUM(TblDetailBudget[[#This Row],[2022 Cost (LCU)]])/FX_Rate, "")</f>
        <v>0</v>
      </c>
      <c r="AF463" s="86">
        <f>IFERROR(SUM(TblDetailBudget[[#This Row],[2023 Cost (LCU)]])/FX_Rate, "")</f>
        <v>0</v>
      </c>
      <c r="AG463" s="86">
        <f>IFERROR(SUM(TblDetailBudget[[#This Row],[2024 Cost (LCU)]])/FX_Rate, "")</f>
        <v>0</v>
      </c>
      <c r="AH463" s="86">
        <f>IFERROR(SUM(TblDetailBudget[[#This Row],[2025 Cost (LCU)]])/FX_Rate, "")</f>
        <v>0</v>
      </c>
      <c r="AI463" s="126">
        <f>SUM(TblDetailBudget[[#This Row],[2021 Cost (USD)]:[2025 Cost (USD)]])</f>
        <v>0</v>
      </c>
      <c r="AJ463" s="180"/>
    </row>
    <row r="464" spans="2:36" ht="12.75" customHeight="1">
      <c r="B464" s="123"/>
      <c r="C4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4" s="85" t="str">
        <f>IF(TblDetailBudget[[#This Row],[Level]]="", "", COUNTIFS($B$8:TblDetailBudget[[#This Row],[Level]], Lvl1Hdr))</f>
        <v/>
      </c>
      <c r="E464" s="85" t="str">
        <f>IF(TblDetailBudget[[#This Row],[Level]]="", "", COUNTIFS($B$8:TblDetailBudget[[#This Row],[Level]], Lvl2Hdr, $D$8:TblDetailBudget[[#This Row],[Lvl 1 Header]], TblDetailBudget[[#This Row],[Lvl 1 Header]]))</f>
        <v/>
      </c>
      <c r="F464" s="85" t="str">
        <f>IF(TblDetailBudget[[#This Row],[Level]]="", "", COUNTIFS($B$8:TblDetailBudget[[#This Row],[Level]], Lvl3Hdr, $D$8:TblDetailBudget[[#This Row],[Lvl 1 Header]], TblDetailBudget[[#This Row],[Lvl 1 Header]], $E$8:TblDetailBudget[[#This Row],[Lvl 2 Header]], TblDetailBudget[[#This Row],[Lvl 2 Header]]))</f>
        <v/>
      </c>
      <c r="G4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4" s="164"/>
      <c r="J464" s="164"/>
      <c r="K464" s="165"/>
      <c r="L464" s="165"/>
      <c r="M464" s="85" t="str">
        <f>IF(TblDetailBudget[[#This Row],[Level]]=LvlBottomHdr, IFERROR(INDEX(TblUnitCost[Unit], MATCH(TblDetailBudget[[#This Row],[Row Title]], TblUnitCost[Resource], 0)), "Invalid Resource"), "")</f>
        <v/>
      </c>
      <c r="N464" s="126" t="str">
        <f>IF(TblDetailBudget[[#This Row],[Level]]=LvlBottomHdr, IFERROR(INDEX(TblUnitCost[LCU], MATCH(TblDetailBudget[[#This Row],[Row Title]], TblUnitCost[Resource], 0)), "Invalid Resource"), "")</f>
        <v/>
      </c>
      <c r="O464" s="130"/>
      <c r="P464" s="109"/>
      <c r="Q464" s="131"/>
      <c r="R464" s="109" t="s">
        <v>66</v>
      </c>
      <c r="S464" s="109" t="s">
        <v>66</v>
      </c>
      <c r="T464" s="109" t="s">
        <v>66</v>
      </c>
      <c r="U464" s="109" t="s">
        <v>66</v>
      </c>
      <c r="V464" s="109" t="s">
        <v>66</v>
      </c>
      <c r="W464" s="126" t="str">
        <f>IF(TblDetailBudget[[#This Row],[Level]]=LvlBottomHdr, IF(SUM(TblDetailBudget[[#This Row],[2021 Quant]:[2025 Quant]])&gt;0, SUM(TblDetailBudget[[#This Row],[2021 Quant]:[2025 Quant]]), ""), "")</f>
        <v/>
      </c>
      <c r="X4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4" s="142">
        <f>SUM(TblDetailBudget[[#This Row],[2021 Cost (LCU)]:[2025 Cost (LCU)]])</f>
        <v>0</v>
      </c>
      <c r="AD464" s="135">
        <f>IFERROR(SUM(TblDetailBudget[[#This Row],[2021 Cost (LCU)]])/FX_Rate, "")</f>
        <v>0</v>
      </c>
      <c r="AE464" s="86">
        <f>IFERROR(SUM(TblDetailBudget[[#This Row],[2022 Cost (LCU)]])/FX_Rate, "")</f>
        <v>0</v>
      </c>
      <c r="AF464" s="86">
        <f>IFERROR(SUM(TblDetailBudget[[#This Row],[2023 Cost (LCU)]])/FX_Rate, "")</f>
        <v>0</v>
      </c>
      <c r="AG464" s="86">
        <f>IFERROR(SUM(TblDetailBudget[[#This Row],[2024 Cost (LCU)]])/FX_Rate, "")</f>
        <v>0</v>
      </c>
      <c r="AH464" s="86">
        <f>IFERROR(SUM(TblDetailBudget[[#This Row],[2025 Cost (LCU)]])/FX_Rate, "")</f>
        <v>0</v>
      </c>
      <c r="AI464" s="126">
        <f>SUM(TblDetailBudget[[#This Row],[2021 Cost (USD)]:[2025 Cost (USD)]])</f>
        <v>0</v>
      </c>
      <c r="AJ464" s="180"/>
    </row>
    <row r="465" spans="2:36" ht="12.75" customHeight="1">
      <c r="B465" s="123"/>
      <c r="C4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5" s="85" t="str">
        <f>IF(TblDetailBudget[[#This Row],[Level]]="", "", COUNTIFS($B$8:TblDetailBudget[[#This Row],[Level]], Lvl1Hdr))</f>
        <v/>
      </c>
      <c r="E465" s="85" t="str">
        <f>IF(TblDetailBudget[[#This Row],[Level]]="", "", COUNTIFS($B$8:TblDetailBudget[[#This Row],[Level]], Lvl2Hdr, $D$8:TblDetailBudget[[#This Row],[Lvl 1 Header]], TblDetailBudget[[#This Row],[Lvl 1 Header]]))</f>
        <v/>
      </c>
      <c r="F465" s="85" t="str">
        <f>IF(TblDetailBudget[[#This Row],[Level]]="", "", COUNTIFS($B$8:TblDetailBudget[[#This Row],[Level]], Lvl3Hdr, $D$8:TblDetailBudget[[#This Row],[Lvl 1 Header]], TblDetailBudget[[#This Row],[Lvl 1 Header]], $E$8:TblDetailBudget[[#This Row],[Lvl 2 Header]], TblDetailBudget[[#This Row],[Lvl 2 Header]]))</f>
        <v/>
      </c>
      <c r="G4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5" s="164"/>
      <c r="J465" s="164"/>
      <c r="K465" s="165"/>
      <c r="L465" s="165"/>
      <c r="M465" s="85" t="str">
        <f>IF(TblDetailBudget[[#This Row],[Level]]=LvlBottomHdr, IFERROR(INDEX(TblUnitCost[Unit], MATCH(TblDetailBudget[[#This Row],[Row Title]], TblUnitCost[Resource], 0)), "Invalid Resource"), "")</f>
        <v/>
      </c>
      <c r="N465" s="126" t="str">
        <f>IF(TblDetailBudget[[#This Row],[Level]]=LvlBottomHdr, IFERROR(INDEX(TblUnitCost[LCU], MATCH(TblDetailBudget[[#This Row],[Row Title]], TblUnitCost[Resource], 0)), "Invalid Resource"), "")</f>
        <v/>
      </c>
      <c r="O465" s="130"/>
      <c r="P465" s="109"/>
      <c r="Q465" s="131"/>
      <c r="R465" s="109" t="s">
        <v>66</v>
      </c>
      <c r="S465" s="109" t="s">
        <v>66</v>
      </c>
      <c r="T465" s="109" t="s">
        <v>66</v>
      </c>
      <c r="U465" s="109" t="s">
        <v>66</v>
      </c>
      <c r="V465" s="109" t="s">
        <v>66</v>
      </c>
      <c r="W465" s="126" t="str">
        <f>IF(TblDetailBudget[[#This Row],[Level]]=LvlBottomHdr, IF(SUM(TblDetailBudget[[#This Row],[2021 Quant]:[2025 Quant]])&gt;0, SUM(TblDetailBudget[[#This Row],[2021 Quant]:[2025 Quant]]), ""), "")</f>
        <v/>
      </c>
      <c r="X4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5" s="142">
        <f>SUM(TblDetailBudget[[#This Row],[2021 Cost (LCU)]:[2025 Cost (LCU)]])</f>
        <v>0</v>
      </c>
      <c r="AD465" s="135">
        <f>IFERROR(SUM(TblDetailBudget[[#This Row],[2021 Cost (LCU)]])/FX_Rate, "")</f>
        <v>0</v>
      </c>
      <c r="AE465" s="86">
        <f>IFERROR(SUM(TblDetailBudget[[#This Row],[2022 Cost (LCU)]])/FX_Rate, "")</f>
        <v>0</v>
      </c>
      <c r="AF465" s="86">
        <f>IFERROR(SUM(TblDetailBudget[[#This Row],[2023 Cost (LCU)]])/FX_Rate, "")</f>
        <v>0</v>
      </c>
      <c r="AG465" s="86">
        <f>IFERROR(SUM(TblDetailBudget[[#This Row],[2024 Cost (LCU)]])/FX_Rate, "")</f>
        <v>0</v>
      </c>
      <c r="AH465" s="86">
        <f>IFERROR(SUM(TblDetailBudget[[#This Row],[2025 Cost (LCU)]])/FX_Rate, "")</f>
        <v>0</v>
      </c>
      <c r="AI465" s="126">
        <f>SUM(TblDetailBudget[[#This Row],[2021 Cost (USD)]:[2025 Cost (USD)]])</f>
        <v>0</v>
      </c>
      <c r="AJ465" s="180"/>
    </row>
    <row r="466" spans="2:36" ht="12.75" customHeight="1">
      <c r="B466" s="123"/>
      <c r="C4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6" s="85" t="str">
        <f>IF(TblDetailBudget[[#This Row],[Level]]="", "", COUNTIFS($B$8:TblDetailBudget[[#This Row],[Level]], Lvl1Hdr))</f>
        <v/>
      </c>
      <c r="E466" s="85" t="str">
        <f>IF(TblDetailBudget[[#This Row],[Level]]="", "", COUNTIFS($B$8:TblDetailBudget[[#This Row],[Level]], Lvl2Hdr, $D$8:TblDetailBudget[[#This Row],[Lvl 1 Header]], TblDetailBudget[[#This Row],[Lvl 1 Header]]))</f>
        <v/>
      </c>
      <c r="F466" s="85" t="str">
        <f>IF(TblDetailBudget[[#This Row],[Level]]="", "", COUNTIFS($B$8:TblDetailBudget[[#This Row],[Level]], Lvl3Hdr, $D$8:TblDetailBudget[[#This Row],[Lvl 1 Header]], TblDetailBudget[[#This Row],[Lvl 1 Header]], $E$8:TblDetailBudget[[#This Row],[Lvl 2 Header]], TblDetailBudget[[#This Row],[Lvl 2 Header]]))</f>
        <v/>
      </c>
      <c r="G4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6" s="164"/>
      <c r="J466" s="164"/>
      <c r="K466" s="165"/>
      <c r="L466" s="165"/>
      <c r="M466" s="85" t="str">
        <f>IF(TblDetailBudget[[#This Row],[Level]]=LvlBottomHdr, IFERROR(INDEX(TblUnitCost[Unit], MATCH(TblDetailBudget[[#This Row],[Row Title]], TblUnitCost[Resource], 0)), "Invalid Resource"), "")</f>
        <v/>
      </c>
      <c r="N466" s="126" t="str">
        <f>IF(TblDetailBudget[[#This Row],[Level]]=LvlBottomHdr, IFERROR(INDEX(TblUnitCost[LCU], MATCH(TblDetailBudget[[#This Row],[Row Title]], TblUnitCost[Resource], 0)), "Invalid Resource"), "")</f>
        <v/>
      </c>
      <c r="O466" s="130"/>
      <c r="P466" s="109"/>
      <c r="Q466" s="131"/>
      <c r="R466" s="109" t="s">
        <v>66</v>
      </c>
      <c r="S466" s="109" t="s">
        <v>66</v>
      </c>
      <c r="T466" s="109" t="s">
        <v>66</v>
      </c>
      <c r="U466" s="109" t="s">
        <v>66</v>
      </c>
      <c r="V466" s="109" t="s">
        <v>66</v>
      </c>
      <c r="W466" s="126" t="str">
        <f>IF(TblDetailBudget[[#This Row],[Level]]=LvlBottomHdr, IF(SUM(TblDetailBudget[[#This Row],[2021 Quant]:[2025 Quant]])&gt;0, SUM(TblDetailBudget[[#This Row],[2021 Quant]:[2025 Quant]]), ""), "")</f>
        <v/>
      </c>
      <c r="X4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6" s="142">
        <f>SUM(TblDetailBudget[[#This Row],[2021 Cost (LCU)]:[2025 Cost (LCU)]])</f>
        <v>0</v>
      </c>
      <c r="AD466" s="135">
        <f>IFERROR(SUM(TblDetailBudget[[#This Row],[2021 Cost (LCU)]])/FX_Rate, "")</f>
        <v>0</v>
      </c>
      <c r="AE466" s="86">
        <f>IFERROR(SUM(TblDetailBudget[[#This Row],[2022 Cost (LCU)]])/FX_Rate, "")</f>
        <v>0</v>
      </c>
      <c r="AF466" s="86">
        <f>IFERROR(SUM(TblDetailBudget[[#This Row],[2023 Cost (LCU)]])/FX_Rate, "")</f>
        <v>0</v>
      </c>
      <c r="AG466" s="86">
        <f>IFERROR(SUM(TblDetailBudget[[#This Row],[2024 Cost (LCU)]])/FX_Rate, "")</f>
        <v>0</v>
      </c>
      <c r="AH466" s="86">
        <f>IFERROR(SUM(TblDetailBudget[[#This Row],[2025 Cost (LCU)]])/FX_Rate, "")</f>
        <v>0</v>
      </c>
      <c r="AI466" s="126">
        <f>SUM(TblDetailBudget[[#This Row],[2021 Cost (USD)]:[2025 Cost (USD)]])</f>
        <v>0</v>
      </c>
      <c r="AJ466" s="180"/>
    </row>
    <row r="467" spans="2:36" ht="12.75" customHeight="1">
      <c r="B467" s="123"/>
      <c r="C4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7" s="85" t="str">
        <f>IF(TblDetailBudget[[#This Row],[Level]]="", "", COUNTIFS($B$8:TblDetailBudget[[#This Row],[Level]], Lvl1Hdr))</f>
        <v/>
      </c>
      <c r="E467" s="85" t="str">
        <f>IF(TblDetailBudget[[#This Row],[Level]]="", "", COUNTIFS($B$8:TblDetailBudget[[#This Row],[Level]], Lvl2Hdr, $D$8:TblDetailBudget[[#This Row],[Lvl 1 Header]], TblDetailBudget[[#This Row],[Lvl 1 Header]]))</f>
        <v/>
      </c>
      <c r="F467" s="85" t="str">
        <f>IF(TblDetailBudget[[#This Row],[Level]]="", "", COUNTIFS($B$8:TblDetailBudget[[#This Row],[Level]], Lvl3Hdr, $D$8:TblDetailBudget[[#This Row],[Lvl 1 Header]], TblDetailBudget[[#This Row],[Lvl 1 Header]], $E$8:TblDetailBudget[[#This Row],[Lvl 2 Header]], TblDetailBudget[[#This Row],[Lvl 2 Header]]))</f>
        <v/>
      </c>
      <c r="G4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7" s="164"/>
      <c r="J467" s="164"/>
      <c r="K467" s="165"/>
      <c r="L467" s="165"/>
      <c r="M467" s="85" t="str">
        <f>IF(TblDetailBudget[[#This Row],[Level]]=LvlBottomHdr, IFERROR(INDEX(TblUnitCost[Unit], MATCH(TblDetailBudget[[#This Row],[Row Title]], TblUnitCost[Resource], 0)), "Invalid Resource"), "")</f>
        <v/>
      </c>
      <c r="N467" s="126" t="str">
        <f>IF(TblDetailBudget[[#This Row],[Level]]=LvlBottomHdr, IFERROR(INDEX(TblUnitCost[LCU], MATCH(TblDetailBudget[[#This Row],[Row Title]], TblUnitCost[Resource], 0)), "Invalid Resource"), "")</f>
        <v/>
      </c>
      <c r="O467" s="130"/>
      <c r="P467" s="109"/>
      <c r="Q467" s="131"/>
      <c r="R467" s="109" t="s">
        <v>66</v>
      </c>
      <c r="S467" s="109" t="s">
        <v>66</v>
      </c>
      <c r="T467" s="109" t="s">
        <v>66</v>
      </c>
      <c r="U467" s="109" t="s">
        <v>66</v>
      </c>
      <c r="V467" s="109" t="s">
        <v>66</v>
      </c>
      <c r="W467" s="126" t="str">
        <f>IF(TblDetailBudget[[#This Row],[Level]]=LvlBottomHdr, IF(SUM(TblDetailBudget[[#This Row],[2021 Quant]:[2025 Quant]])&gt;0, SUM(TblDetailBudget[[#This Row],[2021 Quant]:[2025 Quant]]), ""), "")</f>
        <v/>
      </c>
      <c r="X4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7" s="142">
        <f>SUM(TblDetailBudget[[#This Row],[2021 Cost (LCU)]:[2025 Cost (LCU)]])</f>
        <v>0</v>
      </c>
      <c r="AD467" s="135">
        <f>IFERROR(SUM(TblDetailBudget[[#This Row],[2021 Cost (LCU)]])/FX_Rate, "")</f>
        <v>0</v>
      </c>
      <c r="AE467" s="86">
        <f>IFERROR(SUM(TblDetailBudget[[#This Row],[2022 Cost (LCU)]])/FX_Rate, "")</f>
        <v>0</v>
      </c>
      <c r="AF467" s="86">
        <f>IFERROR(SUM(TblDetailBudget[[#This Row],[2023 Cost (LCU)]])/FX_Rate, "")</f>
        <v>0</v>
      </c>
      <c r="AG467" s="86">
        <f>IFERROR(SUM(TblDetailBudget[[#This Row],[2024 Cost (LCU)]])/FX_Rate, "")</f>
        <v>0</v>
      </c>
      <c r="AH467" s="86">
        <f>IFERROR(SUM(TblDetailBudget[[#This Row],[2025 Cost (LCU)]])/FX_Rate, "")</f>
        <v>0</v>
      </c>
      <c r="AI467" s="126">
        <f>SUM(TblDetailBudget[[#This Row],[2021 Cost (USD)]:[2025 Cost (USD)]])</f>
        <v>0</v>
      </c>
      <c r="AJ467" s="180"/>
    </row>
    <row r="468" spans="2:36" ht="12.75" customHeight="1">
      <c r="B468" s="123"/>
      <c r="C4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8" s="85" t="str">
        <f>IF(TblDetailBudget[[#This Row],[Level]]="", "", COUNTIFS($B$8:TblDetailBudget[[#This Row],[Level]], Lvl1Hdr))</f>
        <v/>
      </c>
      <c r="E468" s="85" t="str">
        <f>IF(TblDetailBudget[[#This Row],[Level]]="", "", COUNTIFS($B$8:TblDetailBudget[[#This Row],[Level]], Lvl2Hdr, $D$8:TblDetailBudget[[#This Row],[Lvl 1 Header]], TblDetailBudget[[#This Row],[Lvl 1 Header]]))</f>
        <v/>
      </c>
      <c r="F468" s="85" t="str">
        <f>IF(TblDetailBudget[[#This Row],[Level]]="", "", COUNTIFS($B$8:TblDetailBudget[[#This Row],[Level]], Lvl3Hdr, $D$8:TblDetailBudget[[#This Row],[Lvl 1 Header]], TblDetailBudget[[#This Row],[Lvl 1 Header]], $E$8:TblDetailBudget[[#This Row],[Lvl 2 Header]], TblDetailBudget[[#This Row],[Lvl 2 Header]]))</f>
        <v/>
      </c>
      <c r="G4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8" s="164"/>
      <c r="J468" s="164"/>
      <c r="K468" s="165"/>
      <c r="L468" s="165"/>
      <c r="M468" s="85" t="str">
        <f>IF(TblDetailBudget[[#This Row],[Level]]=LvlBottomHdr, IFERROR(INDEX(TblUnitCost[Unit], MATCH(TblDetailBudget[[#This Row],[Row Title]], TblUnitCost[Resource], 0)), "Invalid Resource"), "")</f>
        <v/>
      </c>
      <c r="N468" s="126" t="str">
        <f>IF(TblDetailBudget[[#This Row],[Level]]=LvlBottomHdr, IFERROR(INDEX(TblUnitCost[LCU], MATCH(TblDetailBudget[[#This Row],[Row Title]], TblUnitCost[Resource], 0)), "Invalid Resource"), "")</f>
        <v/>
      </c>
      <c r="O468" s="130"/>
      <c r="P468" s="109"/>
      <c r="Q468" s="131"/>
      <c r="R468" s="109" t="s">
        <v>66</v>
      </c>
      <c r="S468" s="109" t="s">
        <v>66</v>
      </c>
      <c r="T468" s="109" t="s">
        <v>66</v>
      </c>
      <c r="U468" s="109" t="s">
        <v>66</v>
      </c>
      <c r="V468" s="109" t="s">
        <v>66</v>
      </c>
      <c r="W468" s="126" t="str">
        <f>IF(TblDetailBudget[[#This Row],[Level]]=LvlBottomHdr, IF(SUM(TblDetailBudget[[#This Row],[2021 Quant]:[2025 Quant]])&gt;0, SUM(TblDetailBudget[[#This Row],[2021 Quant]:[2025 Quant]]), ""), "")</f>
        <v/>
      </c>
      <c r="X4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8" s="142">
        <f>SUM(TblDetailBudget[[#This Row],[2021 Cost (LCU)]:[2025 Cost (LCU)]])</f>
        <v>0</v>
      </c>
      <c r="AD468" s="135">
        <f>IFERROR(SUM(TblDetailBudget[[#This Row],[2021 Cost (LCU)]])/FX_Rate, "")</f>
        <v>0</v>
      </c>
      <c r="AE468" s="86">
        <f>IFERROR(SUM(TblDetailBudget[[#This Row],[2022 Cost (LCU)]])/FX_Rate, "")</f>
        <v>0</v>
      </c>
      <c r="AF468" s="86">
        <f>IFERROR(SUM(TblDetailBudget[[#This Row],[2023 Cost (LCU)]])/FX_Rate, "")</f>
        <v>0</v>
      </c>
      <c r="AG468" s="86">
        <f>IFERROR(SUM(TblDetailBudget[[#This Row],[2024 Cost (LCU)]])/FX_Rate, "")</f>
        <v>0</v>
      </c>
      <c r="AH468" s="86">
        <f>IFERROR(SUM(TblDetailBudget[[#This Row],[2025 Cost (LCU)]])/FX_Rate, "")</f>
        <v>0</v>
      </c>
      <c r="AI468" s="126">
        <f>SUM(TblDetailBudget[[#This Row],[2021 Cost (USD)]:[2025 Cost (USD)]])</f>
        <v>0</v>
      </c>
      <c r="AJ468" s="180"/>
    </row>
    <row r="469" spans="2:36" ht="12.75" customHeight="1">
      <c r="B469" s="123"/>
      <c r="C4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9" s="85" t="str">
        <f>IF(TblDetailBudget[[#This Row],[Level]]="", "", COUNTIFS($B$8:TblDetailBudget[[#This Row],[Level]], Lvl1Hdr))</f>
        <v/>
      </c>
      <c r="E469" s="85" t="str">
        <f>IF(TblDetailBudget[[#This Row],[Level]]="", "", COUNTIFS($B$8:TblDetailBudget[[#This Row],[Level]], Lvl2Hdr, $D$8:TblDetailBudget[[#This Row],[Lvl 1 Header]], TblDetailBudget[[#This Row],[Lvl 1 Header]]))</f>
        <v/>
      </c>
      <c r="F469" s="85" t="str">
        <f>IF(TblDetailBudget[[#This Row],[Level]]="", "", COUNTIFS($B$8:TblDetailBudget[[#This Row],[Level]], Lvl3Hdr, $D$8:TblDetailBudget[[#This Row],[Lvl 1 Header]], TblDetailBudget[[#This Row],[Lvl 1 Header]], $E$8:TblDetailBudget[[#This Row],[Lvl 2 Header]], TblDetailBudget[[#This Row],[Lvl 2 Header]]))</f>
        <v/>
      </c>
      <c r="G4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9" s="164"/>
      <c r="J469" s="164"/>
      <c r="K469" s="165"/>
      <c r="L469" s="165"/>
      <c r="M469" s="85" t="str">
        <f>IF(TblDetailBudget[[#This Row],[Level]]=LvlBottomHdr, IFERROR(INDEX(TblUnitCost[Unit], MATCH(TblDetailBudget[[#This Row],[Row Title]], TblUnitCost[Resource], 0)), "Invalid Resource"), "")</f>
        <v/>
      </c>
      <c r="N469" s="126" t="str">
        <f>IF(TblDetailBudget[[#This Row],[Level]]=LvlBottomHdr, IFERROR(INDEX(TblUnitCost[LCU], MATCH(TblDetailBudget[[#This Row],[Row Title]], TblUnitCost[Resource], 0)), "Invalid Resource"), "")</f>
        <v/>
      </c>
      <c r="O469" s="130"/>
      <c r="P469" s="109"/>
      <c r="Q469" s="131"/>
      <c r="R469" s="109" t="s">
        <v>66</v>
      </c>
      <c r="S469" s="109" t="s">
        <v>66</v>
      </c>
      <c r="T469" s="109" t="s">
        <v>66</v>
      </c>
      <c r="U469" s="109" t="s">
        <v>66</v>
      </c>
      <c r="V469" s="109" t="s">
        <v>66</v>
      </c>
      <c r="W469" s="126" t="str">
        <f>IF(TblDetailBudget[[#This Row],[Level]]=LvlBottomHdr, IF(SUM(TblDetailBudget[[#This Row],[2021 Quant]:[2025 Quant]])&gt;0, SUM(TblDetailBudget[[#This Row],[2021 Quant]:[2025 Quant]]), ""), "")</f>
        <v/>
      </c>
      <c r="X4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9" s="142">
        <f>SUM(TblDetailBudget[[#This Row],[2021 Cost (LCU)]:[2025 Cost (LCU)]])</f>
        <v>0</v>
      </c>
      <c r="AD469" s="135">
        <f>IFERROR(SUM(TblDetailBudget[[#This Row],[2021 Cost (LCU)]])/FX_Rate, "")</f>
        <v>0</v>
      </c>
      <c r="AE469" s="86">
        <f>IFERROR(SUM(TblDetailBudget[[#This Row],[2022 Cost (LCU)]])/FX_Rate, "")</f>
        <v>0</v>
      </c>
      <c r="AF469" s="86">
        <f>IFERROR(SUM(TblDetailBudget[[#This Row],[2023 Cost (LCU)]])/FX_Rate, "")</f>
        <v>0</v>
      </c>
      <c r="AG469" s="86">
        <f>IFERROR(SUM(TblDetailBudget[[#This Row],[2024 Cost (LCU)]])/FX_Rate, "")</f>
        <v>0</v>
      </c>
      <c r="AH469" s="86">
        <f>IFERROR(SUM(TblDetailBudget[[#This Row],[2025 Cost (LCU)]])/FX_Rate, "")</f>
        <v>0</v>
      </c>
      <c r="AI469" s="126">
        <f>SUM(TblDetailBudget[[#This Row],[2021 Cost (USD)]:[2025 Cost (USD)]])</f>
        <v>0</v>
      </c>
      <c r="AJ469" s="180"/>
    </row>
    <row r="470" spans="2:36" ht="12.75" customHeight="1">
      <c r="B470" s="123"/>
      <c r="C4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0" s="85" t="str">
        <f>IF(TblDetailBudget[[#This Row],[Level]]="", "", COUNTIFS($B$8:TblDetailBudget[[#This Row],[Level]], Lvl1Hdr))</f>
        <v/>
      </c>
      <c r="E470" s="85" t="str">
        <f>IF(TblDetailBudget[[#This Row],[Level]]="", "", COUNTIFS($B$8:TblDetailBudget[[#This Row],[Level]], Lvl2Hdr, $D$8:TblDetailBudget[[#This Row],[Lvl 1 Header]], TblDetailBudget[[#This Row],[Lvl 1 Header]]))</f>
        <v/>
      </c>
      <c r="F470" s="85" t="str">
        <f>IF(TblDetailBudget[[#This Row],[Level]]="", "", COUNTIFS($B$8:TblDetailBudget[[#This Row],[Level]], Lvl3Hdr, $D$8:TblDetailBudget[[#This Row],[Lvl 1 Header]], TblDetailBudget[[#This Row],[Lvl 1 Header]], $E$8:TblDetailBudget[[#This Row],[Lvl 2 Header]], TblDetailBudget[[#This Row],[Lvl 2 Header]]))</f>
        <v/>
      </c>
      <c r="G4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0" s="164"/>
      <c r="J470" s="164"/>
      <c r="K470" s="165"/>
      <c r="L470" s="165"/>
      <c r="M470" s="85" t="str">
        <f>IF(TblDetailBudget[[#This Row],[Level]]=LvlBottomHdr, IFERROR(INDEX(TblUnitCost[Unit], MATCH(TblDetailBudget[[#This Row],[Row Title]], TblUnitCost[Resource], 0)), "Invalid Resource"), "")</f>
        <v/>
      </c>
      <c r="N470" s="126" t="str">
        <f>IF(TblDetailBudget[[#This Row],[Level]]=LvlBottomHdr, IFERROR(INDEX(TblUnitCost[LCU], MATCH(TblDetailBudget[[#This Row],[Row Title]], TblUnitCost[Resource], 0)), "Invalid Resource"), "")</f>
        <v/>
      </c>
      <c r="O470" s="130"/>
      <c r="P470" s="109"/>
      <c r="Q470" s="131"/>
      <c r="R470" s="109" t="s">
        <v>66</v>
      </c>
      <c r="S470" s="109" t="s">
        <v>66</v>
      </c>
      <c r="T470" s="109" t="s">
        <v>66</v>
      </c>
      <c r="U470" s="109" t="s">
        <v>66</v>
      </c>
      <c r="V470" s="109" t="s">
        <v>66</v>
      </c>
      <c r="W470" s="126" t="str">
        <f>IF(TblDetailBudget[[#This Row],[Level]]=LvlBottomHdr, IF(SUM(TblDetailBudget[[#This Row],[2021 Quant]:[2025 Quant]])&gt;0, SUM(TblDetailBudget[[#This Row],[2021 Quant]:[2025 Quant]]), ""), "")</f>
        <v/>
      </c>
      <c r="X4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0" s="142">
        <f>SUM(TblDetailBudget[[#This Row],[2021 Cost (LCU)]:[2025 Cost (LCU)]])</f>
        <v>0</v>
      </c>
      <c r="AD470" s="135">
        <f>IFERROR(SUM(TblDetailBudget[[#This Row],[2021 Cost (LCU)]])/FX_Rate, "")</f>
        <v>0</v>
      </c>
      <c r="AE470" s="86">
        <f>IFERROR(SUM(TblDetailBudget[[#This Row],[2022 Cost (LCU)]])/FX_Rate, "")</f>
        <v>0</v>
      </c>
      <c r="AF470" s="86">
        <f>IFERROR(SUM(TblDetailBudget[[#This Row],[2023 Cost (LCU)]])/FX_Rate, "")</f>
        <v>0</v>
      </c>
      <c r="AG470" s="86">
        <f>IFERROR(SUM(TblDetailBudget[[#This Row],[2024 Cost (LCU)]])/FX_Rate, "")</f>
        <v>0</v>
      </c>
      <c r="AH470" s="86">
        <f>IFERROR(SUM(TblDetailBudget[[#This Row],[2025 Cost (LCU)]])/FX_Rate, "")</f>
        <v>0</v>
      </c>
      <c r="AI470" s="126">
        <f>SUM(TblDetailBudget[[#This Row],[2021 Cost (USD)]:[2025 Cost (USD)]])</f>
        <v>0</v>
      </c>
      <c r="AJ470" s="180"/>
    </row>
    <row r="471" spans="2:36" ht="12.75" customHeight="1">
      <c r="B471" s="123"/>
      <c r="C4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1" s="85" t="str">
        <f>IF(TblDetailBudget[[#This Row],[Level]]="", "", COUNTIFS($B$8:TblDetailBudget[[#This Row],[Level]], Lvl1Hdr))</f>
        <v/>
      </c>
      <c r="E471" s="85" t="str">
        <f>IF(TblDetailBudget[[#This Row],[Level]]="", "", COUNTIFS($B$8:TblDetailBudget[[#This Row],[Level]], Lvl2Hdr, $D$8:TblDetailBudget[[#This Row],[Lvl 1 Header]], TblDetailBudget[[#This Row],[Lvl 1 Header]]))</f>
        <v/>
      </c>
      <c r="F471" s="85" t="str">
        <f>IF(TblDetailBudget[[#This Row],[Level]]="", "", COUNTIFS($B$8:TblDetailBudget[[#This Row],[Level]], Lvl3Hdr, $D$8:TblDetailBudget[[#This Row],[Lvl 1 Header]], TblDetailBudget[[#This Row],[Lvl 1 Header]], $E$8:TblDetailBudget[[#This Row],[Lvl 2 Header]], TblDetailBudget[[#This Row],[Lvl 2 Header]]))</f>
        <v/>
      </c>
      <c r="G4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1" s="164"/>
      <c r="J471" s="164"/>
      <c r="K471" s="165"/>
      <c r="L471" s="165"/>
      <c r="M471" s="85" t="str">
        <f>IF(TblDetailBudget[[#This Row],[Level]]=LvlBottomHdr, IFERROR(INDEX(TblUnitCost[Unit], MATCH(TblDetailBudget[[#This Row],[Row Title]], TblUnitCost[Resource], 0)), "Invalid Resource"), "")</f>
        <v/>
      </c>
      <c r="N471" s="126" t="str">
        <f>IF(TblDetailBudget[[#This Row],[Level]]=LvlBottomHdr, IFERROR(INDEX(TblUnitCost[LCU], MATCH(TblDetailBudget[[#This Row],[Row Title]], TblUnitCost[Resource], 0)), "Invalid Resource"), "")</f>
        <v/>
      </c>
      <c r="O471" s="130"/>
      <c r="P471" s="109"/>
      <c r="Q471" s="131"/>
      <c r="R471" s="109" t="s">
        <v>66</v>
      </c>
      <c r="S471" s="109" t="s">
        <v>66</v>
      </c>
      <c r="T471" s="109" t="s">
        <v>66</v>
      </c>
      <c r="U471" s="109" t="s">
        <v>66</v>
      </c>
      <c r="V471" s="109" t="s">
        <v>66</v>
      </c>
      <c r="W471" s="126" t="str">
        <f>IF(TblDetailBudget[[#This Row],[Level]]=LvlBottomHdr, IF(SUM(TblDetailBudget[[#This Row],[2021 Quant]:[2025 Quant]])&gt;0, SUM(TblDetailBudget[[#This Row],[2021 Quant]:[2025 Quant]]), ""), "")</f>
        <v/>
      </c>
      <c r="X4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1" s="142">
        <f>SUM(TblDetailBudget[[#This Row],[2021 Cost (LCU)]:[2025 Cost (LCU)]])</f>
        <v>0</v>
      </c>
      <c r="AD471" s="135">
        <f>IFERROR(SUM(TblDetailBudget[[#This Row],[2021 Cost (LCU)]])/FX_Rate, "")</f>
        <v>0</v>
      </c>
      <c r="AE471" s="86">
        <f>IFERROR(SUM(TblDetailBudget[[#This Row],[2022 Cost (LCU)]])/FX_Rate, "")</f>
        <v>0</v>
      </c>
      <c r="AF471" s="86">
        <f>IFERROR(SUM(TblDetailBudget[[#This Row],[2023 Cost (LCU)]])/FX_Rate, "")</f>
        <v>0</v>
      </c>
      <c r="AG471" s="86">
        <f>IFERROR(SUM(TblDetailBudget[[#This Row],[2024 Cost (LCU)]])/FX_Rate, "")</f>
        <v>0</v>
      </c>
      <c r="AH471" s="86">
        <f>IFERROR(SUM(TblDetailBudget[[#This Row],[2025 Cost (LCU)]])/FX_Rate, "")</f>
        <v>0</v>
      </c>
      <c r="AI471" s="126">
        <f>SUM(TblDetailBudget[[#This Row],[2021 Cost (USD)]:[2025 Cost (USD)]])</f>
        <v>0</v>
      </c>
      <c r="AJ471" s="180"/>
    </row>
    <row r="472" spans="2:36" ht="12.75" customHeight="1">
      <c r="B472" s="123"/>
      <c r="C4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2" s="85" t="str">
        <f>IF(TblDetailBudget[[#This Row],[Level]]="", "", COUNTIFS($B$8:TblDetailBudget[[#This Row],[Level]], Lvl1Hdr))</f>
        <v/>
      </c>
      <c r="E472" s="85" t="str">
        <f>IF(TblDetailBudget[[#This Row],[Level]]="", "", COUNTIFS($B$8:TblDetailBudget[[#This Row],[Level]], Lvl2Hdr, $D$8:TblDetailBudget[[#This Row],[Lvl 1 Header]], TblDetailBudget[[#This Row],[Lvl 1 Header]]))</f>
        <v/>
      </c>
      <c r="F472" s="85" t="str">
        <f>IF(TblDetailBudget[[#This Row],[Level]]="", "", COUNTIFS($B$8:TblDetailBudget[[#This Row],[Level]], Lvl3Hdr, $D$8:TblDetailBudget[[#This Row],[Lvl 1 Header]], TblDetailBudget[[#This Row],[Lvl 1 Header]], $E$8:TblDetailBudget[[#This Row],[Lvl 2 Header]], TblDetailBudget[[#This Row],[Lvl 2 Header]]))</f>
        <v/>
      </c>
      <c r="G4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2" s="164"/>
      <c r="J472" s="164"/>
      <c r="K472" s="165"/>
      <c r="L472" s="165"/>
      <c r="M472" s="85" t="str">
        <f>IF(TblDetailBudget[[#This Row],[Level]]=LvlBottomHdr, IFERROR(INDEX(TblUnitCost[Unit], MATCH(TblDetailBudget[[#This Row],[Row Title]], TblUnitCost[Resource], 0)), "Invalid Resource"), "")</f>
        <v/>
      </c>
      <c r="N472" s="126" t="str">
        <f>IF(TblDetailBudget[[#This Row],[Level]]=LvlBottomHdr, IFERROR(INDEX(TblUnitCost[LCU], MATCH(TblDetailBudget[[#This Row],[Row Title]], TblUnitCost[Resource], 0)), "Invalid Resource"), "")</f>
        <v/>
      </c>
      <c r="O472" s="130"/>
      <c r="P472" s="109"/>
      <c r="Q472" s="131"/>
      <c r="R472" s="109" t="s">
        <v>66</v>
      </c>
      <c r="S472" s="109" t="s">
        <v>66</v>
      </c>
      <c r="T472" s="109" t="s">
        <v>66</v>
      </c>
      <c r="U472" s="109" t="s">
        <v>66</v>
      </c>
      <c r="V472" s="109" t="s">
        <v>66</v>
      </c>
      <c r="W472" s="126" t="str">
        <f>IF(TblDetailBudget[[#This Row],[Level]]=LvlBottomHdr, IF(SUM(TblDetailBudget[[#This Row],[2021 Quant]:[2025 Quant]])&gt;0, SUM(TblDetailBudget[[#This Row],[2021 Quant]:[2025 Quant]]), ""), "")</f>
        <v/>
      </c>
      <c r="X4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2" s="142">
        <f>SUM(TblDetailBudget[[#This Row],[2021 Cost (LCU)]:[2025 Cost (LCU)]])</f>
        <v>0</v>
      </c>
      <c r="AD472" s="135">
        <f>IFERROR(SUM(TblDetailBudget[[#This Row],[2021 Cost (LCU)]])/FX_Rate, "")</f>
        <v>0</v>
      </c>
      <c r="AE472" s="86">
        <f>IFERROR(SUM(TblDetailBudget[[#This Row],[2022 Cost (LCU)]])/FX_Rate, "")</f>
        <v>0</v>
      </c>
      <c r="AF472" s="86">
        <f>IFERROR(SUM(TblDetailBudget[[#This Row],[2023 Cost (LCU)]])/FX_Rate, "")</f>
        <v>0</v>
      </c>
      <c r="AG472" s="86">
        <f>IFERROR(SUM(TblDetailBudget[[#This Row],[2024 Cost (LCU)]])/FX_Rate, "")</f>
        <v>0</v>
      </c>
      <c r="AH472" s="86">
        <f>IFERROR(SUM(TblDetailBudget[[#This Row],[2025 Cost (LCU)]])/FX_Rate, "")</f>
        <v>0</v>
      </c>
      <c r="AI472" s="126">
        <f>SUM(TblDetailBudget[[#This Row],[2021 Cost (USD)]:[2025 Cost (USD)]])</f>
        <v>0</v>
      </c>
      <c r="AJ472" s="180"/>
    </row>
    <row r="473" spans="2:36" ht="12.75" customHeight="1">
      <c r="B473" s="123"/>
      <c r="C4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3" s="85" t="str">
        <f>IF(TblDetailBudget[[#This Row],[Level]]="", "", COUNTIFS($B$8:TblDetailBudget[[#This Row],[Level]], Lvl1Hdr))</f>
        <v/>
      </c>
      <c r="E473" s="85" t="str">
        <f>IF(TblDetailBudget[[#This Row],[Level]]="", "", COUNTIFS($B$8:TblDetailBudget[[#This Row],[Level]], Lvl2Hdr, $D$8:TblDetailBudget[[#This Row],[Lvl 1 Header]], TblDetailBudget[[#This Row],[Lvl 1 Header]]))</f>
        <v/>
      </c>
      <c r="F473" s="85" t="str">
        <f>IF(TblDetailBudget[[#This Row],[Level]]="", "", COUNTIFS($B$8:TblDetailBudget[[#This Row],[Level]], Lvl3Hdr, $D$8:TblDetailBudget[[#This Row],[Lvl 1 Header]], TblDetailBudget[[#This Row],[Lvl 1 Header]], $E$8:TblDetailBudget[[#This Row],[Lvl 2 Header]], TblDetailBudget[[#This Row],[Lvl 2 Header]]))</f>
        <v/>
      </c>
      <c r="G4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3" s="164"/>
      <c r="J473" s="164"/>
      <c r="K473" s="165"/>
      <c r="L473" s="165"/>
      <c r="M473" s="85" t="str">
        <f>IF(TblDetailBudget[[#This Row],[Level]]=LvlBottomHdr, IFERROR(INDEX(TblUnitCost[Unit], MATCH(TblDetailBudget[[#This Row],[Row Title]], TblUnitCost[Resource], 0)), "Invalid Resource"), "")</f>
        <v/>
      </c>
      <c r="N473" s="126" t="str">
        <f>IF(TblDetailBudget[[#This Row],[Level]]=LvlBottomHdr, IFERROR(INDEX(TblUnitCost[LCU], MATCH(TblDetailBudget[[#This Row],[Row Title]], TblUnitCost[Resource], 0)), "Invalid Resource"), "")</f>
        <v/>
      </c>
      <c r="O473" s="130"/>
      <c r="P473" s="109"/>
      <c r="Q473" s="131"/>
      <c r="R473" s="109" t="s">
        <v>66</v>
      </c>
      <c r="S473" s="109" t="s">
        <v>66</v>
      </c>
      <c r="T473" s="109" t="s">
        <v>66</v>
      </c>
      <c r="U473" s="109" t="s">
        <v>66</v>
      </c>
      <c r="V473" s="109" t="s">
        <v>66</v>
      </c>
      <c r="W473" s="126" t="str">
        <f>IF(TblDetailBudget[[#This Row],[Level]]=LvlBottomHdr, IF(SUM(TblDetailBudget[[#This Row],[2021 Quant]:[2025 Quant]])&gt;0, SUM(TblDetailBudget[[#This Row],[2021 Quant]:[2025 Quant]]), ""), "")</f>
        <v/>
      </c>
      <c r="X4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3" s="142">
        <f>SUM(TblDetailBudget[[#This Row],[2021 Cost (LCU)]:[2025 Cost (LCU)]])</f>
        <v>0</v>
      </c>
      <c r="AD473" s="135">
        <f>IFERROR(SUM(TblDetailBudget[[#This Row],[2021 Cost (LCU)]])/FX_Rate, "")</f>
        <v>0</v>
      </c>
      <c r="AE473" s="86">
        <f>IFERROR(SUM(TblDetailBudget[[#This Row],[2022 Cost (LCU)]])/FX_Rate, "")</f>
        <v>0</v>
      </c>
      <c r="AF473" s="86">
        <f>IFERROR(SUM(TblDetailBudget[[#This Row],[2023 Cost (LCU)]])/FX_Rate, "")</f>
        <v>0</v>
      </c>
      <c r="AG473" s="86">
        <f>IFERROR(SUM(TblDetailBudget[[#This Row],[2024 Cost (LCU)]])/FX_Rate, "")</f>
        <v>0</v>
      </c>
      <c r="AH473" s="86">
        <f>IFERROR(SUM(TblDetailBudget[[#This Row],[2025 Cost (LCU)]])/FX_Rate, "")</f>
        <v>0</v>
      </c>
      <c r="AI473" s="126">
        <f>SUM(TblDetailBudget[[#This Row],[2021 Cost (USD)]:[2025 Cost (USD)]])</f>
        <v>0</v>
      </c>
      <c r="AJ473" s="180"/>
    </row>
    <row r="474" spans="2:36" ht="12.75" customHeight="1">
      <c r="B474" s="123"/>
      <c r="C4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4" s="85" t="str">
        <f>IF(TblDetailBudget[[#This Row],[Level]]="", "", COUNTIFS($B$8:TblDetailBudget[[#This Row],[Level]], Lvl1Hdr))</f>
        <v/>
      </c>
      <c r="E474" s="85" t="str">
        <f>IF(TblDetailBudget[[#This Row],[Level]]="", "", COUNTIFS($B$8:TblDetailBudget[[#This Row],[Level]], Lvl2Hdr, $D$8:TblDetailBudget[[#This Row],[Lvl 1 Header]], TblDetailBudget[[#This Row],[Lvl 1 Header]]))</f>
        <v/>
      </c>
      <c r="F474" s="85" t="str">
        <f>IF(TblDetailBudget[[#This Row],[Level]]="", "", COUNTIFS($B$8:TblDetailBudget[[#This Row],[Level]], Lvl3Hdr, $D$8:TblDetailBudget[[#This Row],[Lvl 1 Header]], TblDetailBudget[[#This Row],[Lvl 1 Header]], $E$8:TblDetailBudget[[#This Row],[Lvl 2 Header]], TblDetailBudget[[#This Row],[Lvl 2 Header]]))</f>
        <v/>
      </c>
      <c r="G4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4" s="164"/>
      <c r="J474" s="164"/>
      <c r="K474" s="165"/>
      <c r="L474" s="165"/>
      <c r="M474" s="85" t="str">
        <f>IF(TblDetailBudget[[#This Row],[Level]]=LvlBottomHdr, IFERROR(INDEX(TblUnitCost[Unit], MATCH(TblDetailBudget[[#This Row],[Row Title]], TblUnitCost[Resource], 0)), "Invalid Resource"), "")</f>
        <v/>
      </c>
      <c r="N474" s="126" t="str">
        <f>IF(TblDetailBudget[[#This Row],[Level]]=LvlBottomHdr, IFERROR(INDEX(TblUnitCost[LCU], MATCH(TblDetailBudget[[#This Row],[Row Title]], TblUnitCost[Resource], 0)), "Invalid Resource"), "")</f>
        <v/>
      </c>
      <c r="O474" s="130"/>
      <c r="P474" s="109"/>
      <c r="Q474" s="131"/>
      <c r="R474" s="109" t="s">
        <v>66</v>
      </c>
      <c r="S474" s="109" t="s">
        <v>66</v>
      </c>
      <c r="T474" s="109" t="s">
        <v>66</v>
      </c>
      <c r="U474" s="109" t="s">
        <v>66</v>
      </c>
      <c r="V474" s="109" t="s">
        <v>66</v>
      </c>
      <c r="W474" s="126" t="str">
        <f>IF(TblDetailBudget[[#This Row],[Level]]=LvlBottomHdr, IF(SUM(TblDetailBudget[[#This Row],[2021 Quant]:[2025 Quant]])&gt;0, SUM(TblDetailBudget[[#This Row],[2021 Quant]:[2025 Quant]]), ""), "")</f>
        <v/>
      </c>
      <c r="X4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4" s="142">
        <f>SUM(TblDetailBudget[[#This Row],[2021 Cost (LCU)]:[2025 Cost (LCU)]])</f>
        <v>0</v>
      </c>
      <c r="AD474" s="135">
        <f>IFERROR(SUM(TblDetailBudget[[#This Row],[2021 Cost (LCU)]])/FX_Rate, "")</f>
        <v>0</v>
      </c>
      <c r="AE474" s="86">
        <f>IFERROR(SUM(TblDetailBudget[[#This Row],[2022 Cost (LCU)]])/FX_Rate, "")</f>
        <v>0</v>
      </c>
      <c r="AF474" s="86">
        <f>IFERROR(SUM(TblDetailBudget[[#This Row],[2023 Cost (LCU)]])/FX_Rate, "")</f>
        <v>0</v>
      </c>
      <c r="AG474" s="86">
        <f>IFERROR(SUM(TblDetailBudget[[#This Row],[2024 Cost (LCU)]])/FX_Rate, "")</f>
        <v>0</v>
      </c>
      <c r="AH474" s="86">
        <f>IFERROR(SUM(TblDetailBudget[[#This Row],[2025 Cost (LCU)]])/FX_Rate, "")</f>
        <v>0</v>
      </c>
      <c r="AI474" s="126">
        <f>SUM(TblDetailBudget[[#This Row],[2021 Cost (USD)]:[2025 Cost (USD)]])</f>
        <v>0</v>
      </c>
      <c r="AJ474" s="180"/>
    </row>
    <row r="475" spans="2:36" ht="12.75" customHeight="1">
      <c r="B475" s="123"/>
      <c r="C4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5" s="85" t="str">
        <f>IF(TblDetailBudget[[#This Row],[Level]]="", "", COUNTIFS($B$8:TblDetailBudget[[#This Row],[Level]], Lvl1Hdr))</f>
        <v/>
      </c>
      <c r="E475" s="85" t="str">
        <f>IF(TblDetailBudget[[#This Row],[Level]]="", "", COUNTIFS($B$8:TblDetailBudget[[#This Row],[Level]], Lvl2Hdr, $D$8:TblDetailBudget[[#This Row],[Lvl 1 Header]], TblDetailBudget[[#This Row],[Lvl 1 Header]]))</f>
        <v/>
      </c>
      <c r="F475" s="85" t="str">
        <f>IF(TblDetailBudget[[#This Row],[Level]]="", "", COUNTIFS($B$8:TblDetailBudget[[#This Row],[Level]], Lvl3Hdr, $D$8:TblDetailBudget[[#This Row],[Lvl 1 Header]], TblDetailBudget[[#This Row],[Lvl 1 Header]], $E$8:TblDetailBudget[[#This Row],[Lvl 2 Header]], TblDetailBudget[[#This Row],[Lvl 2 Header]]))</f>
        <v/>
      </c>
      <c r="G4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5" s="164"/>
      <c r="J475" s="164"/>
      <c r="K475" s="165"/>
      <c r="L475" s="165"/>
      <c r="M475" s="85" t="str">
        <f>IF(TblDetailBudget[[#This Row],[Level]]=LvlBottomHdr, IFERROR(INDEX(TblUnitCost[Unit], MATCH(TblDetailBudget[[#This Row],[Row Title]], TblUnitCost[Resource], 0)), "Invalid Resource"), "")</f>
        <v/>
      </c>
      <c r="N475" s="126" t="str">
        <f>IF(TblDetailBudget[[#This Row],[Level]]=LvlBottomHdr, IFERROR(INDEX(TblUnitCost[LCU], MATCH(TblDetailBudget[[#This Row],[Row Title]], TblUnitCost[Resource], 0)), "Invalid Resource"), "")</f>
        <v/>
      </c>
      <c r="O475" s="130"/>
      <c r="P475" s="109"/>
      <c r="Q475" s="131"/>
      <c r="R475" s="109" t="s">
        <v>66</v>
      </c>
      <c r="S475" s="109" t="s">
        <v>66</v>
      </c>
      <c r="T475" s="109" t="s">
        <v>66</v>
      </c>
      <c r="U475" s="109" t="s">
        <v>66</v>
      </c>
      <c r="V475" s="109" t="s">
        <v>66</v>
      </c>
      <c r="W475" s="126" t="str">
        <f>IF(TblDetailBudget[[#This Row],[Level]]=LvlBottomHdr, IF(SUM(TblDetailBudget[[#This Row],[2021 Quant]:[2025 Quant]])&gt;0, SUM(TblDetailBudget[[#This Row],[2021 Quant]:[2025 Quant]]), ""), "")</f>
        <v/>
      </c>
      <c r="X4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5" s="142">
        <f>SUM(TblDetailBudget[[#This Row],[2021 Cost (LCU)]:[2025 Cost (LCU)]])</f>
        <v>0</v>
      </c>
      <c r="AD475" s="135">
        <f>IFERROR(SUM(TblDetailBudget[[#This Row],[2021 Cost (LCU)]])/FX_Rate, "")</f>
        <v>0</v>
      </c>
      <c r="AE475" s="86">
        <f>IFERROR(SUM(TblDetailBudget[[#This Row],[2022 Cost (LCU)]])/FX_Rate, "")</f>
        <v>0</v>
      </c>
      <c r="AF475" s="86">
        <f>IFERROR(SUM(TblDetailBudget[[#This Row],[2023 Cost (LCU)]])/FX_Rate, "")</f>
        <v>0</v>
      </c>
      <c r="AG475" s="86">
        <f>IFERROR(SUM(TblDetailBudget[[#This Row],[2024 Cost (LCU)]])/FX_Rate, "")</f>
        <v>0</v>
      </c>
      <c r="AH475" s="86">
        <f>IFERROR(SUM(TblDetailBudget[[#This Row],[2025 Cost (LCU)]])/FX_Rate, "")</f>
        <v>0</v>
      </c>
      <c r="AI475" s="126">
        <f>SUM(TblDetailBudget[[#This Row],[2021 Cost (USD)]:[2025 Cost (USD)]])</f>
        <v>0</v>
      </c>
      <c r="AJ475" s="180"/>
    </row>
    <row r="476" spans="2:36" ht="12.75" customHeight="1">
      <c r="B476" s="123"/>
      <c r="C4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6" s="85" t="str">
        <f>IF(TblDetailBudget[[#This Row],[Level]]="", "", COUNTIFS($B$8:TblDetailBudget[[#This Row],[Level]], Lvl1Hdr))</f>
        <v/>
      </c>
      <c r="E476" s="85" t="str">
        <f>IF(TblDetailBudget[[#This Row],[Level]]="", "", COUNTIFS($B$8:TblDetailBudget[[#This Row],[Level]], Lvl2Hdr, $D$8:TblDetailBudget[[#This Row],[Lvl 1 Header]], TblDetailBudget[[#This Row],[Lvl 1 Header]]))</f>
        <v/>
      </c>
      <c r="F476" s="85" t="str">
        <f>IF(TblDetailBudget[[#This Row],[Level]]="", "", COUNTIFS($B$8:TblDetailBudget[[#This Row],[Level]], Lvl3Hdr, $D$8:TblDetailBudget[[#This Row],[Lvl 1 Header]], TblDetailBudget[[#This Row],[Lvl 1 Header]], $E$8:TblDetailBudget[[#This Row],[Lvl 2 Header]], TblDetailBudget[[#This Row],[Lvl 2 Header]]))</f>
        <v/>
      </c>
      <c r="G4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6" s="164"/>
      <c r="J476" s="164"/>
      <c r="K476" s="165"/>
      <c r="L476" s="165"/>
      <c r="M476" s="85" t="str">
        <f>IF(TblDetailBudget[[#This Row],[Level]]=LvlBottomHdr, IFERROR(INDEX(TblUnitCost[Unit], MATCH(TblDetailBudget[[#This Row],[Row Title]], TblUnitCost[Resource], 0)), "Invalid Resource"), "")</f>
        <v/>
      </c>
      <c r="N476" s="126" t="str">
        <f>IF(TblDetailBudget[[#This Row],[Level]]=LvlBottomHdr, IFERROR(INDEX(TblUnitCost[LCU], MATCH(TblDetailBudget[[#This Row],[Row Title]], TblUnitCost[Resource], 0)), "Invalid Resource"), "")</f>
        <v/>
      </c>
      <c r="O476" s="130"/>
      <c r="P476" s="109"/>
      <c r="Q476" s="131"/>
      <c r="R476" s="109" t="s">
        <v>66</v>
      </c>
      <c r="S476" s="109" t="s">
        <v>66</v>
      </c>
      <c r="T476" s="109" t="s">
        <v>66</v>
      </c>
      <c r="U476" s="109" t="s">
        <v>66</v>
      </c>
      <c r="V476" s="109" t="s">
        <v>66</v>
      </c>
      <c r="W476" s="126" t="str">
        <f>IF(TblDetailBudget[[#This Row],[Level]]=LvlBottomHdr, IF(SUM(TblDetailBudget[[#This Row],[2021 Quant]:[2025 Quant]])&gt;0, SUM(TblDetailBudget[[#This Row],[2021 Quant]:[2025 Quant]]), ""), "")</f>
        <v/>
      </c>
      <c r="X4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6" s="142">
        <f>SUM(TblDetailBudget[[#This Row],[2021 Cost (LCU)]:[2025 Cost (LCU)]])</f>
        <v>0</v>
      </c>
      <c r="AD476" s="135">
        <f>IFERROR(SUM(TblDetailBudget[[#This Row],[2021 Cost (LCU)]])/FX_Rate, "")</f>
        <v>0</v>
      </c>
      <c r="AE476" s="86">
        <f>IFERROR(SUM(TblDetailBudget[[#This Row],[2022 Cost (LCU)]])/FX_Rate, "")</f>
        <v>0</v>
      </c>
      <c r="AF476" s="86">
        <f>IFERROR(SUM(TblDetailBudget[[#This Row],[2023 Cost (LCU)]])/FX_Rate, "")</f>
        <v>0</v>
      </c>
      <c r="AG476" s="86">
        <f>IFERROR(SUM(TblDetailBudget[[#This Row],[2024 Cost (LCU)]])/FX_Rate, "")</f>
        <v>0</v>
      </c>
      <c r="AH476" s="86">
        <f>IFERROR(SUM(TblDetailBudget[[#This Row],[2025 Cost (LCU)]])/FX_Rate, "")</f>
        <v>0</v>
      </c>
      <c r="AI476" s="126">
        <f>SUM(TblDetailBudget[[#This Row],[2021 Cost (USD)]:[2025 Cost (USD)]])</f>
        <v>0</v>
      </c>
      <c r="AJ476" s="180"/>
    </row>
    <row r="477" spans="2:36" ht="12.75" customHeight="1">
      <c r="B477" s="123"/>
      <c r="C4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7" s="85" t="str">
        <f>IF(TblDetailBudget[[#This Row],[Level]]="", "", COUNTIFS($B$8:TblDetailBudget[[#This Row],[Level]], Lvl1Hdr))</f>
        <v/>
      </c>
      <c r="E477" s="85" t="str">
        <f>IF(TblDetailBudget[[#This Row],[Level]]="", "", COUNTIFS($B$8:TblDetailBudget[[#This Row],[Level]], Lvl2Hdr, $D$8:TblDetailBudget[[#This Row],[Lvl 1 Header]], TblDetailBudget[[#This Row],[Lvl 1 Header]]))</f>
        <v/>
      </c>
      <c r="F477" s="85" t="str">
        <f>IF(TblDetailBudget[[#This Row],[Level]]="", "", COUNTIFS($B$8:TblDetailBudget[[#This Row],[Level]], Lvl3Hdr, $D$8:TblDetailBudget[[#This Row],[Lvl 1 Header]], TblDetailBudget[[#This Row],[Lvl 1 Header]], $E$8:TblDetailBudget[[#This Row],[Lvl 2 Header]], TblDetailBudget[[#This Row],[Lvl 2 Header]]))</f>
        <v/>
      </c>
      <c r="G4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7" s="164"/>
      <c r="J477" s="164"/>
      <c r="K477" s="165"/>
      <c r="L477" s="165"/>
      <c r="M477" s="85" t="str">
        <f>IF(TblDetailBudget[[#This Row],[Level]]=LvlBottomHdr, IFERROR(INDEX(TblUnitCost[Unit], MATCH(TblDetailBudget[[#This Row],[Row Title]], TblUnitCost[Resource], 0)), "Invalid Resource"), "")</f>
        <v/>
      </c>
      <c r="N477" s="126" t="str">
        <f>IF(TblDetailBudget[[#This Row],[Level]]=LvlBottomHdr, IFERROR(INDEX(TblUnitCost[LCU], MATCH(TblDetailBudget[[#This Row],[Row Title]], TblUnitCost[Resource], 0)), "Invalid Resource"), "")</f>
        <v/>
      </c>
      <c r="O477" s="130"/>
      <c r="P477" s="109"/>
      <c r="Q477" s="131"/>
      <c r="R477" s="109" t="s">
        <v>66</v>
      </c>
      <c r="S477" s="109" t="s">
        <v>66</v>
      </c>
      <c r="T477" s="109" t="s">
        <v>66</v>
      </c>
      <c r="U477" s="109" t="s">
        <v>66</v>
      </c>
      <c r="V477" s="109" t="s">
        <v>66</v>
      </c>
      <c r="W477" s="126" t="str">
        <f>IF(TblDetailBudget[[#This Row],[Level]]=LvlBottomHdr, IF(SUM(TblDetailBudget[[#This Row],[2021 Quant]:[2025 Quant]])&gt;0, SUM(TblDetailBudget[[#This Row],[2021 Quant]:[2025 Quant]]), ""), "")</f>
        <v/>
      </c>
      <c r="X4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7" s="142">
        <f>SUM(TblDetailBudget[[#This Row],[2021 Cost (LCU)]:[2025 Cost (LCU)]])</f>
        <v>0</v>
      </c>
      <c r="AD477" s="135">
        <f>IFERROR(SUM(TblDetailBudget[[#This Row],[2021 Cost (LCU)]])/FX_Rate, "")</f>
        <v>0</v>
      </c>
      <c r="AE477" s="86">
        <f>IFERROR(SUM(TblDetailBudget[[#This Row],[2022 Cost (LCU)]])/FX_Rate, "")</f>
        <v>0</v>
      </c>
      <c r="AF477" s="86">
        <f>IFERROR(SUM(TblDetailBudget[[#This Row],[2023 Cost (LCU)]])/FX_Rate, "")</f>
        <v>0</v>
      </c>
      <c r="AG477" s="86">
        <f>IFERROR(SUM(TblDetailBudget[[#This Row],[2024 Cost (LCU)]])/FX_Rate, "")</f>
        <v>0</v>
      </c>
      <c r="AH477" s="86">
        <f>IFERROR(SUM(TblDetailBudget[[#This Row],[2025 Cost (LCU)]])/FX_Rate, "")</f>
        <v>0</v>
      </c>
      <c r="AI477" s="126">
        <f>SUM(TblDetailBudget[[#This Row],[2021 Cost (USD)]:[2025 Cost (USD)]])</f>
        <v>0</v>
      </c>
      <c r="AJ477" s="180"/>
    </row>
    <row r="478" spans="2:36" ht="12.75" customHeight="1">
      <c r="B478" s="123"/>
      <c r="C4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8" s="85" t="str">
        <f>IF(TblDetailBudget[[#This Row],[Level]]="", "", COUNTIFS($B$8:TblDetailBudget[[#This Row],[Level]], Lvl1Hdr))</f>
        <v/>
      </c>
      <c r="E478" s="85" t="str">
        <f>IF(TblDetailBudget[[#This Row],[Level]]="", "", COUNTIFS($B$8:TblDetailBudget[[#This Row],[Level]], Lvl2Hdr, $D$8:TblDetailBudget[[#This Row],[Lvl 1 Header]], TblDetailBudget[[#This Row],[Lvl 1 Header]]))</f>
        <v/>
      </c>
      <c r="F478" s="85" t="str">
        <f>IF(TblDetailBudget[[#This Row],[Level]]="", "", COUNTIFS($B$8:TblDetailBudget[[#This Row],[Level]], Lvl3Hdr, $D$8:TblDetailBudget[[#This Row],[Lvl 1 Header]], TblDetailBudget[[#This Row],[Lvl 1 Header]], $E$8:TblDetailBudget[[#This Row],[Lvl 2 Header]], TblDetailBudget[[#This Row],[Lvl 2 Header]]))</f>
        <v/>
      </c>
      <c r="G4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8" s="164"/>
      <c r="J478" s="164"/>
      <c r="K478" s="165"/>
      <c r="L478" s="165"/>
      <c r="M478" s="85" t="str">
        <f>IF(TblDetailBudget[[#This Row],[Level]]=LvlBottomHdr, IFERROR(INDEX(TblUnitCost[Unit], MATCH(TblDetailBudget[[#This Row],[Row Title]], TblUnitCost[Resource], 0)), "Invalid Resource"), "")</f>
        <v/>
      </c>
      <c r="N478" s="126" t="str">
        <f>IF(TblDetailBudget[[#This Row],[Level]]=LvlBottomHdr, IFERROR(INDEX(TblUnitCost[LCU], MATCH(TblDetailBudget[[#This Row],[Row Title]], TblUnitCost[Resource], 0)), "Invalid Resource"), "")</f>
        <v/>
      </c>
      <c r="O478" s="130"/>
      <c r="P478" s="109"/>
      <c r="Q478" s="131"/>
      <c r="R478" s="109" t="s">
        <v>66</v>
      </c>
      <c r="S478" s="109" t="s">
        <v>66</v>
      </c>
      <c r="T478" s="109" t="s">
        <v>66</v>
      </c>
      <c r="U478" s="109" t="s">
        <v>66</v>
      </c>
      <c r="V478" s="109" t="s">
        <v>66</v>
      </c>
      <c r="W478" s="126" t="str">
        <f>IF(TblDetailBudget[[#This Row],[Level]]=LvlBottomHdr, IF(SUM(TblDetailBudget[[#This Row],[2021 Quant]:[2025 Quant]])&gt;0, SUM(TblDetailBudget[[#This Row],[2021 Quant]:[2025 Quant]]), ""), "")</f>
        <v/>
      </c>
      <c r="X4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8" s="142">
        <f>SUM(TblDetailBudget[[#This Row],[2021 Cost (LCU)]:[2025 Cost (LCU)]])</f>
        <v>0</v>
      </c>
      <c r="AD478" s="135">
        <f>IFERROR(SUM(TblDetailBudget[[#This Row],[2021 Cost (LCU)]])/FX_Rate, "")</f>
        <v>0</v>
      </c>
      <c r="AE478" s="86">
        <f>IFERROR(SUM(TblDetailBudget[[#This Row],[2022 Cost (LCU)]])/FX_Rate, "")</f>
        <v>0</v>
      </c>
      <c r="AF478" s="86">
        <f>IFERROR(SUM(TblDetailBudget[[#This Row],[2023 Cost (LCU)]])/FX_Rate, "")</f>
        <v>0</v>
      </c>
      <c r="AG478" s="86">
        <f>IFERROR(SUM(TblDetailBudget[[#This Row],[2024 Cost (LCU)]])/FX_Rate, "")</f>
        <v>0</v>
      </c>
      <c r="AH478" s="86">
        <f>IFERROR(SUM(TblDetailBudget[[#This Row],[2025 Cost (LCU)]])/FX_Rate, "")</f>
        <v>0</v>
      </c>
      <c r="AI478" s="126">
        <f>SUM(TblDetailBudget[[#This Row],[2021 Cost (USD)]:[2025 Cost (USD)]])</f>
        <v>0</v>
      </c>
      <c r="AJ478" s="180"/>
    </row>
    <row r="479" spans="2:36" ht="12.75" customHeight="1">
      <c r="B479" s="123"/>
      <c r="C4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9" s="85" t="str">
        <f>IF(TblDetailBudget[[#This Row],[Level]]="", "", COUNTIFS($B$8:TblDetailBudget[[#This Row],[Level]], Lvl1Hdr))</f>
        <v/>
      </c>
      <c r="E479" s="85" t="str">
        <f>IF(TblDetailBudget[[#This Row],[Level]]="", "", COUNTIFS($B$8:TblDetailBudget[[#This Row],[Level]], Lvl2Hdr, $D$8:TblDetailBudget[[#This Row],[Lvl 1 Header]], TblDetailBudget[[#This Row],[Lvl 1 Header]]))</f>
        <v/>
      </c>
      <c r="F479" s="85" t="str">
        <f>IF(TblDetailBudget[[#This Row],[Level]]="", "", COUNTIFS($B$8:TblDetailBudget[[#This Row],[Level]], Lvl3Hdr, $D$8:TblDetailBudget[[#This Row],[Lvl 1 Header]], TblDetailBudget[[#This Row],[Lvl 1 Header]], $E$8:TblDetailBudget[[#This Row],[Lvl 2 Header]], TblDetailBudget[[#This Row],[Lvl 2 Header]]))</f>
        <v/>
      </c>
      <c r="G4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9" s="164"/>
      <c r="J479" s="164"/>
      <c r="K479" s="165"/>
      <c r="L479" s="165"/>
      <c r="M479" s="85" t="str">
        <f>IF(TblDetailBudget[[#This Row],[Level]]=LvlBottomHdr, IFERROR(INDEX(TblUnitCost[Unit], MATCH(TblDetailBudget[[#This Row],[Row Title]], TblUnitCost[Resource], 0)), "Invalid Resource"), "")</f>
        <v/>
      </c>
      <c r="N479" s="126" t="str">
        <f>IF(TblDetailBudget[[#This Row],[Level]]=LvlBottomHdr, IFERROR(INDEX(TblUnitCost[LCU], MATCH(TblDetailBudget[[#This Row],[Row Title]], TblUnitCost[Resource], 0)), "Invalid Resource"), "")</f>
        <v/>
      </c>
      <c r="O479" s="130"/>
      <c r="P479" s="109"/>
      <c r="Q479" s="131"/>
      <c r="R479" s="109" t="s">
        <v>66</v>
      </c>
      <c r="S479" s="109" t="s">
        <v>66</v>
      </c>
      <c r="T479" s="109" t="s">
        <v>66</v>
      </c>
      <c r="U479" s="109" t="s">
        <v>66</v>
      </c>
      <c r="V479" s="109" t="s">
        <v>66</v>
      </c>
      <c r="W479" s="126" t="str">
        <f>IF(TblDetailBudget[[#This Row],[Level]]=LvlBottomHdr, IF(SUM(TblDetailBudget[[#This Row],[2021 Quant]:[2025 Quant]])&gt;0, SUM(TblDetailBudget[[#This Row],[2021 Quant]:[2025 Quant]]), ""), "")</f>
        <v/>
      </c>
      <c r="X4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9" s="142">
        <f>SUM(TblDetailBudget[[#This Row],[2021 Cost (LCU)]:[2025 Cost (LCU)]])</f>
        <v>0</v>
      </c>
      <c r="AD479" s="135">
        <f>IFERROR(SUM(TblDetailBudget[[#This Row],[2021 Cost (LCU)]])/FX_Rate, "")</f>
        <v>0</v>
      </c>
      <c r="AE479" s="86">
        <f>IFERROR(SUM(TblDetailBudget[[#This Row],[2022 Cost (LCU)]])/FX_Rate, "")</f>
        <v>0</v>
      </c>
      <c r="AF479" s="86">
        <f>IFERROR(SUM(TblDetailBudget[[#This Row],[2023 Cost (LCU)]])/FX_Rate, "")</f>
        <v>0</v>
      </c>
      <c r="AG479" s="86">
        <f>IFERROR(SUM(TblDetailBudget[[#This Row],[2024 Cost (LCU)]])/FX_Rate, "")</f>
        <v>0</v>
      </c>
      <c r="AH479" s="86">
        <f>IFERROR(SUM(TblDetailBudget[[#This Row],[2025 Cost (LCU)]])/FX_Rate, "")</f>
        <v>0</v>
      </c>
      <c r="AI479" s="126">
        <f>SUM(TblDetailBudget[[#This Row],[2021 Cost (USD)]:[2025 Cost (USD)]])</f>
        <v>0</v>
      </c>
      <c r="AJ479" s="180"/>
    </row>
    <row r="480" spans="2:36" ht="12.75" customHeight="1">
      <c r="B480" s="123"/>
      <c r="C4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0" s="85" t="str">
        <f>IF(TblDetailBudget[[#This Row],[Level]]="", "", COUNTIFS($B$8:TblDetailBudget[[#This Row],[Level]], Lvl1Hdr))</f>
        <v/>
      </c>
      <c r="E480" s="85" t="str">
        <f>IF(TblDetailBudget[[#This Row],[Level]]="", "", COUNTIFS($B$8:TblDetailBudget[[#This Row],[Level]], Lvl2Hdr, $D$8:TblDetailBudget[[#This Row],[Lvl 1 Header]], TblDetailBudget[[#This Row],[Lvl 1 Header]]))</f>
        <v/>
      </c>
      <c r="F480" s="85" t="str">
        <f>IF(TblDetailBudget[[#This Row],[Level]]="", "", COUNTIFS($B$8:TblDetailBudget[[#This Row],[Level]], Lvl3Hdr, $D$8:TblDetailBudget[[#This Row],[Lvl 1 Header]], TblDetailBudget[[#This Row],[Lvl 1 Header]], $E$8:TblDetailBudget[[#This Row],[Lvl 2 Header]], TblDetailBudget[[#This Row],[Lvl 2 Header]]))</f>
        <v/>
      </c>
      <c r="G4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0" s="164"/>
      <c r="J480" s="164"/>
      <c r="K480" s="165"/>
      <c r="L480" s="165"/>
      <c r="M480" s="85" t="str">
        <f>IF(TblDetailBudget[[#This Row],[Level]]=LvlBottomHdr, IFERROR(INDEX(TblUnitCost[Unit], MATCH(TblDetailBudget[[#This Row],[Row Title]], TblUnitCost[Resource], 0)), "Invalid Resource"), "")</f>
        <v/>
      </c>
      <c r="N480" s="126" t="str">
        <f>IF(TblDetailBudget[[#This Row],[Level]]=LvlBottomHdr, IFERROR(INDEX(TblUnitCost[LCU], MATCH(TblDetailBudget[[#This Row],[Row Title]], TblUnitCost[Resource], 0)), "Invalid Resource"), "")</f>
        <v/>
      </c>
      <c r="O480" s="130"/>
      <c r="P480" s="109"/>
      <c r="Q480" s="131"/>
      <c r="R480" s="109" t="s">
        <v>66</v>
      </c>
      <c r="S480" s="109" t="s">
        <v>66</v>
      </c>
      <c r="T480" s="109" t="s">
        <v>66</v>
      </c>
      <c r="U480" s="109" t="s">
        <v>66</v>
      </c>
      <c r="V480" s="109" t="s">
        <v>66</v>
      </c>
      <c r="W480" s="126" t="str">
        <f>IF(TblDetailBudget[[#This Row],[Level]]=LvlBottomHdr, IF(SUM(TblDetailBudget[[#This Row],[2021 Quant]:[2025 Quant]])&gt;0, SUM(TblDetailBudget[[#This Row],[2021 Quant]:[2025 Quant]]), ""), "")</f>
        <v/>
      </c>
      <c r="X4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0" s="142">
        <f>SUM(TblDetailBudget[[#This Row],[2021 Cost (LCU)]:[2025 Cost (LCU)]])</f>
        <v>0</v>
      </c>
      <c r="AD480" s="135">
        <f>IFERROR(SUM(TblDetailBudget[[#This Row],[2021 Cost (LCU)]])/FX_Rate, "")</f>
        <v>0</v>
      </c>
      <c r="AE480" s="86">
        <f>IFERROR(SUM(TblDetailBudget[[#This Row],[2022 Cost (LCU)]])/FX_Rate, "")</f>
        <v>0</v>
      </c>
      <c r="AF480" s="86">
        <f>IFERROR(SUM(TblDetailBudget[[#This Row],[2023 Cost (LCU)]])/FX_Rate, "")</f>
        <v>0</v>
      </c>
      <c r="AG480" s="86">
        <f>IFERROR(SUM(TblDetailBudget[[#This Row],[2024 Cost (LCU)]])/FX_Rate, "")</f>
        <v>0</v>
      </c>
      <c r="AH480" s="86">
        <f>IFERROR(SUM(TblDetailBudget[[#This Row],[2025 Cost (LCU)]])/FX_Rate, "")</f>
        <v>0</v>
      </c>
      <c r="AI480" s="126">
        <f>SUM(TblDetailBudget[[#This Row],[2021 Cost (USD)]:[2025 Cost (USD)]])</f>
        <v>0</v>
      </c>
      <c r="AJ480" s="180"/>
    </row>
    <row r="481" spans="2:36" ht="12.75" customHeight="1">
      <c r="B481" s="123"/>
      <c r="C4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1" s="85" t="str">
        <f>IF(TblDetailBudget[[#This Row],[Level]]="", "", COUNTIFS($B$8:TblDetailBudget[[#This Row],[Level]], Lvl1Hdr))</f>
        <v/>
      </c>
      <c r="E481" s="85" t="str">
        <f>IF(TblDetailBudget[[#This Row],[Level]]="", "", COUNTIFS($B$8:TblDetailBudget[[#This Row],[Level]], Lvl2Hdr, $D$8:TblDetailBudget[[#This Row],[Lvl 1 Header]], TblDetailBudget[[#This Row],[Lvl 1 Header]]))</f>
        <v/>
      </c>
      <c r="F481" s="85" t="str">
        <f>IF(TblDetailBudget[[#This Row],[Level]]="", "", COUNTIFS($B$8:TblDetailBudget[[#This Row],[Level]], Lvl3Hdr, $D$8:TblDetailBudget[[#This Row],[Lvl 1 Header]], TblDetailBudget[[#This Row],[Lvl 1 Header]], $E$8:TblDetailBudget[[#This Row],[Lvl 2 Header]], TblDetailBudget[[#This Row],[Lvl 2 Header]]))</f>
        <v/>
      </c>
      <c r="G4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1" s="164"/>
      <c r="J481" s="164"/>
      <c r="K481" s="165"/>
      <c r="L481" s="165"/>
      <c r="M481" s="85" t="str">
        <f>IF(TblDetailBudget[[#This Row],[Level]]=LvlBottomHdr, IFERROR(INDEX(TblUnitCost[Unit], MATCH(TblDetailBudget[[#This Row],[Row Title]], TblUnitCost[Resource], 0)), "Invalid Resource"), "")</f>
        <v/>
      </c>
      <c r="N481" s="126" t="str">
        <f>IF(TblDetailBudget[[#This Row],[Level]]=LvlBottomHdr, IFERROR(INDEX(TblUnitCost[LCU], MATCH(TblDetailBudget[[#This Row],[Row Title]], TblUnitCost[Resource], 0)), "Invalid Resource"), "")</f>
        <v/>
      </c>
      <c r="O481" s="130"/>
      <c r="P481" s="109"/>
      <c r="Q481" s="131"/>
      <c r="R481" s="109" t="s">
        <v>66</v>
      </c>
      <c r="S481" s="109" t="s">
        <v>66</v>
      </c>
      <c r="T481" s="109" t="s">
        <v>66</v>
      </c>
      <c r="U481" s="109" t="s">
        <v>66</v>
      </c>
      <c r="V481" s="109" t="s">
        <v>66</v>
      </c>
      <c r="W481" s="126" t="str">
        <f>IF(TblDetailBudget[[#This Row],[Level]]=LvlBottomHdr, IF(SUM(TblDetailBudget[[#This Row],[2021 Quant]:[2025 Quant]])&gt;0, SUM(TblDetailBudget[[#This Row],[2021 Quant]:[2025 Quant]]), ""), "")</f>
        <v/>
      </c>
      <c r="X4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1" s="142">
        <f>SUM(TblDetailBudget[[#This Row],[2021 Cost (LCU)]:[2025 Cost (LCU)]])</f>
        <v>0</v>
      </c>
      <c r="AD481" s="135">
        <f>IFERROR(SUM(TblDetailBudget[[#This Row],[2021 Cost (LCU)]])/FX_Rate, "")</f>
        <v>0</v>
      </c>
      <c r="AE481" s="86">
        <f>IFERROR(SUM(TblDetailBudget[[#This Row],[2022 Cost (LCU)]])/FX_Rate, "")</f>
        <v>0</v>
      </c>
      <c r="AF481" s="86">
        <f>IFERROR(SUM(TblDetailBudget[[#This Row],[2023 Cost (LCU)]])/FX_Rate, "")</f>
        <v>0</v>
      </c>
      <c r="AG481" s="86">
        <f>IFERROR(SUM(TblDetailBudget[[#This Row],[2024 Cost (LCU)]])/FX_Rate, "")</f>
        <v>0</v>
      </c>
      <c r="AH481" s="86">
        <f>IFERROR(SUM(TblDetailBudget[[#This Row],[2025 Cost (LCU)]])/FX_Rate, "")</f>
        <v>0</v>
      </c>
      <c r="AI481" s="126">
        <f>SUM(TblDetailBudget[[#This Row],[2021 Cost (USD)]:[2025 Cost (USD)]])</f>
        <v>0</v>
      </c>
      <c r="AJ481" s="180"/>
    </row>
    <row r="482" spans="2:36" ht="12.75" customHeight="1">
      <c r="B482" s="123"/>
      <c r="C4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2" s="85" t="str">
        <f>IF(TblDetailBudget[[#This Row],[Level]]="", "", COUNTIFS($B$8:TblDetailBudget[[#This Row],[Level]], Lvl1Hdr))</f>
        <v/>
      </c>
      <c r="E482" s="85" t="str">
        <f>IF(TblDetailBudget[[#This Row],[Level]]="", "", COUNTIFS($B$8:TblDetailBudget[[#This Row],[Level]], Lvl2Hdr, $D$8:TblDetailBudget[[#This Row],[Lvl 1 Header]], TblDetailBudget[[#This Row],[Lvl 1 Header]]))</f>
        <v/>
      </c>
      <c r="F482" s="85" t="str">
        <f>IF(TblDetailBudget[[#This Row],[Level]]="", "", COUNTIFS($B$8:TblDetailBudget[[#This Row],[Level]], Lvl3Hdr, $D$8:TblDetailBudget[[#This Row],[Lvl 1 Header]], TblDetailBudget[[#This Row],[Lvl 1 Header]], $E$8:TblDetailBudget[[#This Row],[Lvl 2 Header]], TblDetailBudget[[#This Row],[Lvl 2 Header]]))</f>
        <v/>
      </c>
      <c r="G4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2" s="164"/>
      <c r="J482" s="164"/>
      <c r="K482" s="165"/>
      <c r="L482" s="165"/>
      <c r="M482" s="85" t="str">
        <f>IF(TblDetailBudget[[#This Row],[Level]]=LvlBottomHdr, IFERROR(INDEX(TblUnitCost[Unit], MATCH(TblDetailBudget[[#This Row],[Row Title]], TblUnitCost[Resource], 0)), "Invalid Resource"), "")</f>
        <v/>
      </c>
      <c r="N482" s="126" t="str">
        <f>IF(TblDetailBudget[[#This Row],[Level]]=LvlBottomHdr, IFERROR(INDEX(TblUnitCost[LCU], MATCH(TblDetailBudget[[#This Row],[Row Title]], TblUnitCost[Resource], 0)), "Invalid Resource"), "")</f>
        <v/>
      </c>
      <c r="O482" s="130"/>
      <c r="P482" s="109"/>
      <c r="Q482" s="131"/>
      <c r="R482" s="109" t="s">
        <v>66</v>
      </c>
      <c r="S482" s="109" t="s">
        <v>66</v>
      </c>
      <c r="T482" s="109" t="s">
        <v>66</v>
      </c>
      <c r="U482" s="109" t="s">
        <v>66</v>
      </c>
      <c r="V482" s="109" t="s">
        <v>66</v>
      </c>
      <c r="W482" s="126" t="str">
        <f>IF(TblDetailBudget[[#This Row],[Level]]=LvlBottomHdr, IF(SUM(TblDetailBudget[[#This Row],[2021 Quant]:[2025 Quant]])&gt;0, SUM(TblDetailBudget[[#This Row],[2021 Quant]:[2025 Quant]]), ""), "")</f>
        <v/>
      </c>
      <c r="X4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2" s="142">
        <f>SUM(TblDetailBudget[[#This Row],[2021 Cost (LCU)]:[2025 Cost (LCU)]])</f>
        <v>0</v>
      </c>
      <c r="AD482" s="135">
        <f>IFERROR(SUM(TblDetailBudget[[#This Row],[2021 Cost (LCU)]])/FX_Rate, "")</f>
        <v>0</v>
      </c>
      <c r="AE482" s="86">
        <f>IFERROR(SUM(TblDetailBudget[[#This Row],[2022 Cost (LCU)]])/FX_Rate, "")</f>
        <v>0</v>
      </c>
      <c r="AF482" s="86">
        <f>IFERROR(SUM(TblDetailBudget[[#This Row],[2023 Cost (LCU)]])/FX_Rate, "")</f>
        <v>0</v>
      </c>
      <c r="AG482" s="86">
        <f>IFERROR(SUM(TblDetailBudget[[#This Row],[2024 Cost (LCU)]])/FX_Rate, "")</f>
        <v>0</v>
      </c>
      <c r="AH482" s="86">
        <f>IFERROR(SUM(TblDetailBudget[[#This Row],[2025 Cost (LCU)]])/FX_Rate, "")</f>
        <v>0</v>
      </c>
      <c r="AI482" s="126">
        <f>SUM(TblDetailBudget[[#This Row],[2021 Cost (USD)]:[2025 Cost (USD)]])</f>
        <v>0</v>
      </c>
      <c r="AJ482" s="180"/>
    </row>
    <row r="483" spans="2:36" ht="12.75" customHeight="1">
      <c r="B483" s="123"/>
      <c r="C4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3" s="85" t="str">
        <f>IF(TblDetailBudget[[#This Row],[Level]]="", "", COUNTIFS($B$8:TblDetailBudget[[#This Row],[Level]], Lvl1Hdr))</f>
        <v/>
      </c>
      <c r="E483" s="85" t="str">
        <f>IF(TblDetailBudget[[#This Row],[Level]]="", "", COUNTIFS($B$8:TblDetailBudget[[#This Row],[Level]], Lvl2Hdr, $D$8:TblDetailBudget[[#This Row],[Lvl 1 Header]], TblDetailBudget[[#This Row],[Lvl 1 Header]]))</f>
        <v/>
      </c>
      <c r="F483" s="85" t="str">
        <f>IF(TblDetailBudget[[#This Row],[Level]]="", "", COUNTIFS($B$8:TblDetailBudget[[#This Row],[Level]], Lvl3Hdr, $D$8:TblDetailBudget[[#This Row],[Lvl 1 Header]], TblDetailBudget[[#This Row],[Lvl 1 Header]], $E$8:TblDetailBudget[[#This Row],[Lvl 2 Header]], TblDetailBudget[[#This Row],[Lvl 2 Header]]))</f>
        <v/>
      </c>
      <c r="G4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3" s="164"/>
      <c r="J483" s="164"/>
      <c r="K483" s="165"/>
      <c r="L483" s="165"/>
      <c r="M483" s="85" t="str">
        <f>IF(TblDetailBudget[[#This Row],[Level]]=LvlBottomHdr, IFERROR(INDEX(TblUnitCost[Unit], MATCH(TblDetailBudget[[#This Row],[Row Title]], TblUnitCost[Resource], 0)), "Invalid Resource"), "")</f>
        <v/>
      </c>
      <c r="N483" s="126" t="str">
        <f>IF(TblDetailBudget[[#This Row],[Level]]=LvlBottomHdr, IFERROR(INDEX(TblUnitCost[LCU], MATCH(TblDetailBudget[[#This Row],[Row Title]], TblUnitCost[Resource], 0)), "Invalid Resource"), "")</f>
        <v/>
      </c>
      <c r="O483" s="130"/>
      <c r="P483" s="109"/>
      <c r="Q483" s="131"/>
      <c r="R483" s="109" t="s">
        <v>66</v>
      </c>
      <c r="S483" s="109" t="s">
        <v>66</v>
      </c>
      <c r="T483" s="109" t="s">
        <v>66</v>
      </c>
      <c r="U483" s="109" t="s">
        <v>66</v>
      </c>
      <c r="V483" s="109" t="s">
        <v>66</v>
      </c>
      <c r="W483" s="126" t="str">
        <f>IF(TblDetailBudget[[#This Row],[Level]]=LvlBottomHdr, IF(SUM(TblDetailBudget[[#This Row],[2021 Quant]:[2025 Quant]])&gt;0, SUM(TblDetailBudget[[#This Row],[2021 Quant]:[2025 Quant]]), ""), "")</f>
        <v/>
      </c>
      <c r="X4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3" s="142">
        <f>SUM(TblDetailBudget[[#This Row],[2021 Cost (LCU)]:[2025 Cost (LCU)]])</f>
        <v>0</v>
      </c>
      <c r="AD483" s="135">
        <f>IFERROR(SUM(TblDetailBudget[[#This Row],[2021 Cost (LCU)]])/FX_Rate, "")</f>
        <v>0</v>
      </c>
      <c r="AE483" s="86">
        <f>IFERROR(SUM(TblDetailBudget[[#This Row],[2022 Cost (LCU)]])/FX_Rate, "")</f>
        <v>0</v>
      </c>
      <c r="AF483" s="86">
        <f>IFERROR(SUM(TblDetailBudget[[#This Row],[2023 Cost (LCU)]])/FX_Rate, "")</f>
        <v>0</v>
      </c>
      <c r="AG483" s="86">
        <f>IFERROR(SUM(TblDetailBudget[[#This Row],[2024 Cost (LCU)]])/FX_Rate, "")</f>
        <v>0</v>
      </c>
      <c r="AH483" s="86">
        <f>IFERROR(SUM(TblDetailBudget[[#This Row],[2025 Cost (LCU)]])/FX_Rate, "")</f>
        <v>0</v>
      </c>
      <c r="AI483" s="126">
        <f>SUM(TblDetailBudget[[#This Row],[2021 Cost (USD)]:[2025 Cost (USD)]])</f>
        <v>0</v>
      </c>
      <c r="AJ483" s="180"/>
    </row>
    <row r="484" spans="2:36" ht="12.75" customHeight="1">
      <c r="B484" s="123"/>
      <c r="C4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4" s="85" t="str">
        <f>IF(TblDetailBudget[[#This Row],[Level]]="", "", COUNTIFS($B$8:TblDetailBudget[[#This Row],[Level]], Lvl1Hdr))</f>
        <v/>
      </c>
      <c r="E484" s="85" t="str">
        <f>IF(TblDetailBudget[[#This Row],[Level]]="", "", COUNTIFS($B$8:TblDetailBudget[[#This Row],[Level]], Lvl2Hdr, $D$8:TblDetailBudget[[#This Row],[Lvl 1 Header]], TblDetailBudget[[#This Row],[Lvl 1 Header]]))</f>
        <v/>
      </c>
      <c r="F484" s="85" t="str">
        <f>IF(TblDetailBudget[[#This Row],[Level]]="", "", COUNTIFS($B$8:TblDetailBudget[[#This Row],[Level]], Lvl3Hdr, $D$8:TblDetailBudget[[#This Row],[Lvl 1 Header]], TblDetailBudget[[#This Row],[Lvl 1 Header]], $E$8:TblDetailBudget[[#This Row],[Lvl 2 Header]], TblDetailBudget[[#This Row],[Lvl 2 Header]]))</f>
        <v/>
      </c>
      <c r="G4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4" s="164"/>
      <c r="J484" s="164"/>
      <c r="K484" s="165"/>
      <c r="L484" s="165"/>
      <c r="M484" s="85" t="str">
        <f>IF(TblDetailBudget[[#This Row],[Level]]=LvlBottomHdr, IFERROR(INDEX(TblUnitCost[Unit], MATCH(TblDetailBudget[[#This Row],[Row Title]], TblUnitCost[Resource], 0)), "Invalid Resource"), "")</f>
        <v/>
      </c>
      <c r="N484" s="126" t="str">
        <f>IF(TblDetailBudget[[#This Row],[Level]]=LvlBottomHdr, IFERROR(INDEX(TblUnitCost[LCU], MATCH(TblDetailBudget[[#This Row],[Row Title]], TblUnitCost[Resource], 0)), "Invalid Resource"), "")</f>
        <v/>
      </c>
      <c r="O484" s="130"/>
      <c r="P484" s="109"/>
      <c r="Q484" s="131"/>
      <c r="R484" s="109" t="s">
        <v>66</v>
      </c>
      <c r="S484" s="109" t="s">
        <v>66</v>
      </c>
      <c r="T484" s="109" t="s">
        <v>66</v>
      </c>
      <c r="U484" s="109" t="s">
        <v>66</v>
      </c>
      <c r="V484" s="109" t="s">
        <v>66</v>
      </c>
      <c r="W484" s="126" t="str">
        <f>IF(TblDetailBudget[[#This Row],[Level]]=LvlBottomHdr, IF(SUM(TblDetailBudget[[#This Row],[2021 Quant]:[2025 Quant]])&gt;0, SUM(TblDetailBudget[[#This Row],[2021 Quant]:[2025 Quant]]), ""), "")</f>
        <v/>
      </c>
      <c r="X4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4" s="142">
        <f>SUM(TblDetailBudget[[#This Row],[2021 Cost (LCU)]:[2025 Cost (LCU)]])</f>
        <v>0</v>
      </c>
      <c r="AD484" s="135">
        <f>IFERROR(SUM(TblDetailBudget[[#This Row],[2021 Cost (LCU)]])/FX_Rate, "")</f>
        <v>0</v>
      </c>
      <c r="AE484" s="86">
        <f>IFERROR(SUM(TblDetailBudget[[#This Row],[2022 Cost (LCU)]])/FX_Rate, "")</f>
        <v>0</v>
      </c>
      <c r="AF484" s="86">
        <f>IFERROR(SUM(TblDetailBudget[[#This Row],[2023 Cost (LCU)]])/FX_Rate, "")</f>
        <v>0</v>
      </c>
      <c r="AG484" s="86">
        <f>IFERROR(SUM(TblDetailBudget[[#This Row],[2024 Cost (LCU)]])/FX_Rate, "")</f>
        <v>0</v>
      </c>
      <c r="AH484" s="86">
        <f>IFERROR(SUM(TblDetailBudget[[#This Row],[2025 Cost (LCU)]])/FX_Rate, "")</f>
        <v>0</v>
      </c>
      <c r="AI484" s="126">
        <f>SUM(TblDetailBudget[[#This Row],[2021 Cost (USD)]:[2025 Cost (USD)]])</f>
        <v>0</v>
      </c>
      <c r="AJ484" s="180"/>
    </row>
    <row r="485" spans="2:36" ht="12.75" customHeight="1">
      <c r="B485" s="123"/>
      <c r="C4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5" s="85" t="str">
        <f>IF(TblDetailBudget[[#This Row],[Level]]="", "", COUNTIFS($B$8:TblDetailBudget[[#This Row],[Level]], Lvl1Hdr))</f>
        <v/>
      </c>
      <c r="E485" s="85" t="str">
        <f>IF(TblDetailBudget[[#This Row],[Level]]="", "", COUNTIFS($B$8:TblDetailBudget[[#This Row],[Level]], Lvl2Hdr, $D$8:TblDetailBudget[[#This Row],[Lvl 1 Header]], TblDetailBudget[[#This Row],[Lvl 1 Header]]))</f>
        <v/>
      </c>
      <c r="F485" s="85" t="str">
        <f>IF(TblDetailBudget[[#This Row],[Level]]="", "", COUNTIFS($B$8:TblDetailBudget[[#This Row],[Level]], Lvl3Hdr, $D$8:TblDetailBudget[[#This Row],[Lvl 1 Header]], TblDetailBudget[[#This Row],[Lvl 1 Header]], $E$8:TblDetailBudget[[#This Row],[Lvl 2 Header]], TblDetailBudget[[#This Row],[Lvl 2 Header]]))</f>
        <v/>
      </c>
      <c r="G4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5" s="164"/>
      <c r="J485" s="164"/>
      <c r="K485" s="165"/>
      <c r="L485" s="165"/>
      <c r="M485" s="85" t="str">
        <f>IF(TblDetailBudget[[#This Row],[Level]]=LvlBottomHdr, IFERROR(INDEX(TblUnitCost[Unit], MATCH(TblDetailBudget[[#This Row],[Row Title]], TblUnitCost[Resource], 0)), "Invalid Resource"), "")</f>
        <v/>
      </c>
      <c r="N485" s="126" t="str">
        <f>IF(TblDetailBudget[[#This Row],[Level]]=LvlBottomHdr, IFERROR(INDEX(TblUnitCost[LCU], MATCH(TblDetailBudget[[#This Row],[Row Title]], TblUnitCost[Resource], 0)), "Invalid Resource"), "")</f>
        <v/>
      </c>
      <c r="O485" s="130"/>
      <c r="P485" s="109"/>
      <c r="Q485" s="131"/>
      <c r="R485" s="109" t="s">
        <v>66</v>
      </c>
      <c r="S485" s="109" t="s">
        <v>66</v>
      </c>
      <c r="T485" s="109" t="s">
        <v>66</v>
      </c>
      <c r="U485" s="109" t="s">
        <v>66</v>
      </c>
      <c r="V485" s="109" t="s">
        <v>66</v>
      </c>
      <c r="W485" s="126" t="str">
        <f>IF(TblDetailBudget[[#This Row],[Level]]=LvlBottomHdr, IF(SUM(TblDetailBudget[[#This Row],[2021 Quant]:[2025 Quant]])&gt;0, SUM(TblDetailBudget[[#This Row],[2021 Quant]:[2025 Quant]]), ""), "")</f>
        <v/>
      </c>
      <c r="X4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5" s="142">
        <f>SUM(TblDetailBudget[[#This Row],[2021 Cost (LCU)]:[2025 Cost (LCU)]])</f>
        <v>0</v>
      </c>
      <c r="AD485" s="135">
        <f>IFERROR(SUM(TblDetailBudget[[#This Row],[2021 Cost (LCU)]])/FX_Rate, "")</f>
        <v>0</v>
      </c>
      <c r="AE485" s="86">
        <f>IFERROR(SUM(TblDetailBudget[[#This Row],[2022 Cost (LCU)]])/FX_Rate, "")</f>
        <v>0</v>
      </c>
      <c r="AF485" s="86">
        <f>IFERROR(SUM(TblDetailBudget[[#This Row],[2023 Cost (LCU)]])/FX_Rate, "")</f>
        <v>0</v>
      </c>
      <c r="AG485" s="86">
        <f>IFERROR(SUM(TblDetailBudget[[#This Row],[2024 Cost (LCU)]])/FX_Rate, "")</f>
        <v>0</v>
      </c>
      <c r="AH485" s="86">
        <f>IFERROR(SUM(TblDetailBudget[[#This Row],[2025 Cost (LCU)]])/FX_Rate, "")</f>
        <v>0</v>
      </c>
      <c r="AI485" s="126">
        <f>SUM(TblDetailBudget[[#This Row],[2021 Cost (USD)]:[2025 Cost (USD)]])</f>
        <v>0</v>
      </c>
      <c r="AJ485" s="180"/>
    </row>
    <row r="486" spans="2:36" ht="12.75" customHeight="1">
      <c r="B486" s="123"/>
      <c r="C4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6" s="85" t="str">
        <f>IF(TblDetailBudget[[#This Row],[Level]]="", "", COUNTIFS($B$8:TblDetailBudget[[#This Row],[Level]], Lvl1Hdr))</f>
        <v/>
      </c>
      <c r="E486" s="85" t="str">
        <f>IF(TblDetailBudget[[#This Row],[Level]]="", "", COUNTIFS($B$8:TblDetailBudget[[#This Row],[Level]], Lvl2Hdr, $D$8:TblDetailBudget[[#This Row],[Lvl 1 Header]], TblDetailBudget[[#This Row],[Lvl 1 Header]]))</f>
        <v/>
      </c>
      <c r="F486" s="85" t="str">
        <f>IF(TblDetailBudget[[#This Row],[Level]]="", "", COUNTIFS($B$8:TblDetailBudget[[#This Row],[Level]], Lvl3Hdr, $D$8:TblDetailBudget[[#This Row],[Lvl 1 Header]], TblDetailBudget[[#This Row],[Lvl 1 Header]], $E$8:TblDetailBudget[[#This Row],[Lvl 2 Header]], TblDetailBudget[[#This Row],[Lvl 2 Header]]))</f>
        <v/>
      </c>
      <c r="G4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6" s="164"/>
      <c r="J486" s="164"/>
      <c r="K486" s="165"/>
      <c r="L486" s="165"/>
      <c r="M486" s="85" t="str">
        <f>IF(TblDetailBudget[[#This Row],[Level]]=LvlBottomHdr, IFERROR(INDEX(TblUnitCost[Unit], MATCH(TblDetailBudget[[#This Row],[Row Title]], TblUnitCost[Resource], 0)), "Invalid Resource"), "")</f>
        <v/>
      </c>
      <c r="N486" s="126" t="str">
        <f>IF(TblDetailBudget[[#This Row],[Level]]=LvlBottomHdr, IFERROR(INDEX(TblUnitCost[LCU], MATCH(TblDetailBudget[[#This Row],[Row Title]], TblUnitCost[Resource], 0)), "Invalid Resource"), "")</f>
        <v/>
      </c>
      <c r="O486" s="130"/>
      <c r="P486" s="109"/>
      <c r="Q486" s="131"/>
      <c r="R486" s="109" t="s">
        <v>66</v>
      </c>
      <c r="S486" s="109" t="s">
        <v>66</v>
      </c>
      <c r="T486" s="109" t="s">
        <v>66</v>
      </c>
      <c r="U486" s="109" t="s">
        <v>66</v>
      </c>
      <c r="V486" s="109" t="s">
        <v>66</v>
      </c>
      <c r="W486" s="126" t="str">
        <f>IF(TblDetailBudget[[#This Row],[Level]]=LvlBottomHdr, IF(SUM(TblDetailBudget[[#This Row],[2021 Quant]:[2025 Quant]])&gt;0, SUM(TblDetailBudget[[#This Row],[2021 Quant]:[2025 Quant]]), ""), "")</f>
        <v/>
      </c>
      <c r="X4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6" s="142">
        <f>SUM(TblDetailBudget[[#This Row],[2021 Cost (LCU)]:[2025 Cost (LCU)]])</f>
        <v>0</v>
      </c>
      <c r="AD486" s="135">
        <f>IFERROR(SUM(TblDetailBudget[[#This Row],[2021 Cost (LCU)]])/FX_Rate, "")</f>
        <v>0</v>
      </c>
      <c r="AE486" s="86">
        <f>IFERROR(SUM(TblDetailBudget[[#This Row],[2022 Cost (LCU)]])/FX_Rate, "")</f>
        <v>0</v>
      </c>
      <c r="AF486" s="86">
        <f>IFERROR(SUM(TblDetailBudget[[#This Row],[2023 Cost (LCU)]])/FX_Rate, "")</f>
        <v>0</v>
      </c>
      <c r="AG486" s="86">
        <f>IFERROR(SUM(TblDetailBudget[[#This Row],[2024 Cost (LCU)]])/FX_Rate, "")</f>
        <v>0</v>
      </c>
      <c r="AH486" s="86">
        <f>IFERROR(SUM(TblDetailBudget[[#This Row],[2025 Cost (LCU)]])/FX_Rate, "")</f>
        <v>0</v>
      </c>
      <c r="AI486" s="126">
        <f>SUM(TblDetailBudget[[#This Row],[2021 Cost (USD)]:[2025 Cost (USD)]])</f>
        <v>0</v>
      </c>
      <c r="AJ486" s="180"/>
    </row>
    <row r="487" spans="2:36" ht="12.75" customHeight="1">
      <c r="B487" s="123"/>
      <c r="C4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7" s="85" t="str">
        <f>IF(TblDetailBudget[[#This Row],[Level]]="", "", COUNTIFS($B$8:TblDetailBudget[[#This Row],[Level]], Lvl1Hdr))</f>
        <v/>
      </c>
      <c r="E487" s="85" t="str">
        <f>IF(TblDetailBudget[[#This Row],[Level]]="", "", COUNTIFS($B$8:TblDetailBudget[[#This Row],[Level]], Lvl2Hdr, $D$8:TblDetailBudget[[#This Row],[Lvl 1 Header]], TblDetailBudget[[#This Row],[Lvl 1 Header]]))</f>
        <v/>
      </c>
      <c r="F487" s="85" t="str">
        <f>IF(TblDetailBudget[[#This Row],[Level]]="", "", COUNTIFS($B$8:TblDetailBudget[[#This Row],[Level]], Lvl3Hdr, $D$8:TblDetailBudget[[#This Row],[Lvl 1 Header]], TblDetailBudget[[#This Row],[Lvl 1 Header]], $E$8:TblDetailBudget[[#This Row],[Lvl 2 Header]], TblDetailBudget[[#This Row],[Lvl 2 Header]]))</f>
        <v/>
      </c>
      <c r="G4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7" s="164"/>
      <c r="J487" s="164"/>
      <c r="K487" s="165"/>
      <c r="L487" s="165"/>
      <c r="M487" s="85" t="str">
        <f>IF(TblDetailBudget[[#This Row],[Level]]=LvlBottomHdr, IFERROR(INDEX(TblUnitCost[Unit], MATCH(TblDetailBudget[[#This Row],[Row Title]], TblUnitCost[Resource], 0)), "Invalid Resource"), "")</f>
        <v/>
      </c>
      <c r="N487" s="126" t="str">
        <f>IF(TblDetailBudget[[#This Row],[Level]]=LvlBottomHdr, IFERROR(INDEX(TblUnitCost[LCU], MATCH(TblDetailBudget[[#This Row],[Row Title]], TblUnitCost[Resource], 0)), "Invalid Resource"), "")</f>
        <v/>
      </c>
      <c r="O487" s="130"/>
      <c r="P487" s="109"/>
      <c r="Q487" s="131"/>
      <c r="R487" s="109" t="s">
        <v>66</v>
      </c>
      <c r="S487" s="109" t="s">
        <v>66</v>
      </c>
      <c r="T487" s="109" t="s">
        <v>66</v>
      </c>
      <c r="U487" s="109" t="s">
        <v>66</v>
      </c>
      <c r="V487" s="109" t="s">
        <v>66</v>
      </c>
      <c r="W487" s="126" t="str">
        <f>IF(TblDetailBudget[[#This Row],[Level]]=LvlBottomHdr, IF(SUM(TblDetailBudget[[#This Row],[2021 Quant]:[2025 Quant]])&gt;0, SUM(TblDetailBudget[[#This Row],[2021 Quant]:[2025 Quant]]), ""), "")</f>
        <v/>
      </c>
      <c r="X4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7" s="142">
        <f>SUM(TblDetailBudget[[#This Row],[2021 Cost (LCU)]:[2025 Cost (LCU)]])</f>
        <v>0</v>
      </c>
      <c r="AD487" s="135">
        <f>IFERROR(SUM(TblDetailBudget[[#This Row],[2021 Cost (LCU)]])/FX_Rate, "")</f>
        <v>0</v>
      </c>
      <c r="AE487" s="86">
        <f>IFERROR(SUM(TblDetailBudget[[#This Row],[2022 Cost (LCU)]])/FX_Rate, "")</f>
        <v>0</v>
      </c>
      <c r="AF487" s="86">
        <f>IFERROR(SUM(TblDetailBudget[[#This Row],[2023 Cost (LCU)]])/FX_Rate, "")</f>
        <v>0</v>
      </c>
      <c r="AG487" s="86">
        <f>IFERROR(SUM(TblDetailBudget[[#This Row],[2024 Cost (LCU)]])/FX_Rate, "")</f>
        <v>0</v>
      </c>
      <c r="AH487" s="86">
        <f>IFERROR(SUM(TblDetailBudget[[#This Row],[2025 Cost (LCU)]])/FX_Rate, "")</f>
        <v>0</v>
      </c>
      <c r="AI487" s="126">
        <f>SUM(TblDetailBudget[[#This Row],[2021 Cost (USD)]:[2025 Cost (USD)]])</f>
        <v>0</v>
      </c>
      <c r="AJ487" s="180"/>
    </row>
    <row r="488" spans="2:36" ht="12.75" customHeight="1">
      <c r="B488" s="123"/>
      <c r="C4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8" s="85" t="str">
        <f>IF(TblDetailBudget[[#This Row],[Level]]="", "", COUNTIFS($B$8:TblDetailBudget[[#This Row],[Level]], Lvl1Hdr))</f>
        <v/>
      </c>
      <c r="E488" s="85" t="str">
        <f>IF(TblDetailBudget[[#This Row],[Level]]="", "", COUNTIFS($B$8:TblDetailBudget[[#This Row],[Level]], Lvl2Hdr, $D$8:TblDetailBudget[[#This Row],[Lvl 1 Header]], TblDetailBudget[[#This Row],[Lvl 1 Header]]))</f>
        <v/>
      </c>
      <c r="F488" s="85" t="str">
        <f>IF(TblDetailBudget[[#This Row],[Level]]="", "", COUNTIFS($B$8:TblDetailBudget[[#This Row],[Level]], Lvl3Hdr, $D$8:TblDetailBudget[[#This Row],[Lvl 1 Header]], TblDetailBudget[[#This Row],[Lvl 1 Header]], $E$8:TblDetailBudget[[#This Row],[Lvl 2 Header]], TblDetailBudget[[#This Row],[Lvl 2 Header]]))</f>
        <v/>
      </c>
      <c r="G4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8" s="164"/>
      <c r="J488" s="164"/>
      <c r="K488" s="165"/>
      <c r="L488" s="165"/>
      <c r="M488" s="85" t="str">
        <f>IF(TblDetailBudget[[#This Row],[Level]]=LvlBottomHdr, IFERROR(INDEX(TblUnitCost[Unit], MATCH(TblDetailBudget[[#This Row],[Row Title]], TblUnitCost[Resource], 0)), "Invalid Resource"), "")</f>
        <v/>
      </c>
      <c r="N488" s="126" t="str">
        <f>IF(TblDetailBudget[[#This Row],[Level]]=LvlBottomHdr, IFERROR(INDEX(TblUnitCost[LCU], MATCH(TblDetailBudget[[#This Row],[Row Title]], TblUnitCost[Resource], 0)), "Invalid Resource"), "")</f>
        <v/>
      </c>
      <c r="O488" s="130"/>
      <c r="P488" s="109"/>
      <c r="Q488" s="131"/>
      <c r="R488" s="109" t="s">
        <v>66</v>
      </c>
      <c r="S488" s="109" t="s">
        <v>66</v>
      </c>
      <c r="T488" s="109" t="s">
        <v>66</v>
      </c>
      <c r="U488" s="109" t="s">
        <v>66</v>
      </c>
      <c r="V488" s="109" t="s">
        <v>66</v>
      </c>
      <c r="W488" s="126" t="str">
        <f>IF(TblDetailBudget[[#This Row],[Level]]=LvlBottomHdr, IF(SUM(TblDetailBudget[[#This Row],[2021 Quant]:[2025 Quant]])&gt;0, SUM(TblDetailBudget[[#This Row],[2021 Quant]:[2025 Quant]]), ""), "")</f>
        <v/>
      </c>
      <c r="X4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8" s="142">
        <f>SUM(TblDetailBudget[[#This Row],[2021 Cost (LCU)]:[2025 Cost (LCU)]])</f>
        <v>0</v>
      </c>
      <c r="AD488" s="135">
        <f>IFERROR(SUM(TblDetailBudget[[#This Row],[2021 Cost (LCU)]])/FX_Rate, "")</f>
        <v>0</v>
      </c>
      <c r="AE488" s="86">
        <f>IFERROR(SUM(TblDetailBudget[[#This Row],[2022 Cost (LCU)]])/FX_Rate, "")</f>
        <v>0</v>
      </c>
      <c r="AF488" s="86">
        <f>IFERROR(SUM(TblDetailBudget[[#This Row],[2023 Cost (LCU)]])/FX_Rate, "")</f>
        <v>0</v>
      </c>
      <c r="AG488" s="86">
        <f>IFERROR(SUM(TblDetailBudget[[#This Row],[2024 Cost (LCU)]])/FX_Rate, "")</f>
        <v>0</v>
      </c>
      <c r="AH488" s="86">
        <f>IFERROR(SUM(TblDetailBudget[[#This Row],[2025 Cost (LCU)]])/FX_Rate, "")</f>
        <v>0</v>
      </c>
      <c r="AI488" s="126">
        <f>SUM(TblDetailBudget[[#This Row],[2021 Cost (USD)]:[2025 Cost (USD)]])</f>
        <v>0</v>
      </c>
      <c r="AJ488" s="180"/>
    </row>
    <row r="489" spans="2:36" ht="12.75" customHeight="1">
      <c r="B489" s="123"/>
      <c r="C4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9" s="85" t="str">
        <f>IF(TblDetailBudget[[#This Row],[Level]]="", "", COUNTIFS($B$8:TblDetailBudget[[#This Row],[Level]], Lvl1Hdr))</f>
        <v/>
      </c>
      <c r="E489" s="85" t="str">
        <f>IF(TblDetailBudget[[#This Row],[Level]]="", "", COUNTIFS($B$8:TblDetailBudget[[#This Row],[Level]], Lvl2Hdr, $D$8:TblDetailBudget[[#This Row],[Lvl 1 Header]], TblDetailBudget[[#This Row],[Lvl 1 Header]]))</f>
        <v/>
      </c>
      <c r="F489" s="85" t="str">
        <f>IF(TblDetailBudget[[#This Row],[Level]]="", "", COUNTIFS($B$8:TblDetailBudget[[#This Row],[Level]], Lvl3Hdr, $D$8:TblDetailBudget[[#This Row],[Lvl 1 Header]], TblDetailBudget[[#This Row],[Lvl 1 Header]], $E$8:TblDetailBudget[[#This Row],[Lvl 2 Header]], TblDetailBudget[[#This Row],[Lvl 2 Header]]))</f>
        <v/>
      </c>
      <c r="G4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9" s="164"/>
      <c r="J489" s="164"/>
      <c r="K489" s="165"/>
      <c r="L489" s="165"/>
      <c r="M489" s="85" t="str">
        <f>IF(TblDetailBudget[[#This Row],[Level]]=LvlBottomHdr, IFERROR(INDEX(TblUnitCost[Unit], MATCH(TblDetailBudget[[#This Row],[Row Title]], TblUnitCost[Resource], 0)), "Invalid Resource"), "")</f>
        <v/>
      </c>
      <c r="N489" s="126" t="str">
        <f>IF(TblDetailBudget[[#This Row],[Level]]=LvlBottomHdr, IFERROR(INDEX(TblUnitCost[LCU], MATCH(TblDetailBudget[[#This Row],[Row Title]], TblUnitCost[Resource], 0)), "Invalid Resource"), "")</f>
        <v/>
      </c>
      <c r="O489" s="130"/>
      <c r="P489" s="109"/>
      <c r="Q489" s="131"/>
      <c r="R489" s="109" t="s">
        <v>66</v>
      </c>
      <c r="S489" s="109" t="s">
        <v>66</v>
      </c>
      <c r="T489" s="109" t="s">
        <v>66</v>
      </c>
      <c r="U489" s="109" t="s">
        <v>66</v>
      </c>
      <c r="V489" s="109" t="s">
        <v>66</v>
      </c>
      <c r="W489" s="126" t="str">
        <f>IF(TblDetailBudget[[#This Row],[Level]]=LvlBottomHdr, IF(SUM(TblDetailBudget[[#This Row],[2021 Quant]:[2025 Quant]])&gt;0, SUM(TblDetailBudget[[#This Row],[2021 Quant]:[2025 Quant]]), ""), "")</f>
        <v/>
      </c>
      <c r="X4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9" s="142">
        <f>SUM(TblDetailBudget[[#This Row],[2021 Cost (LCU)]:[2025 Cost (LCU)]])</f>
        <v>0</v>
      </c>
      <c r="AD489" s="135">
        <f>IFERROR(SUM(TblDetailBudget[[#This Row],[2021 Cost (LCU)]])/FX_Rate, "")</f>
        <v>0</v>
      </c>
      <c r="AE489" s="86">
        <f>IFERROR(SUM(TblDetailBudget[[#This Row],[2022 Cost (LCU)]])/FX_Rate, "")</f>
        <v>0</v>
      </c>
      <c r="AF489" s="86">
        <f>IFERROR(SUM(TblDetailBudget[[#This Row],[2023 Cost (LCU)]])/FX_Rate, "")</f>
        <v>0</v>
      </c>
      <c r="AG489" s="86">
        <f>IFERROR(SUM(TblDetailBudget[[#This Row],[2024 Cost (LCU)]])/FX_Rate, "")</f>
        <v>0</v>
      </c>
      <c r="AH489" s="86">
        <f>IFERROR(SUM(TblDetailBudget[[#This Row],[2025 Cost (LCU)]])/FX_Rate, "")</f>
        <v>0</v>
      </c>
      <c r="AI489" s="126">
        <f>SUM(TblDetailBudget[[#This Row],[2021 Cost (USD)]:[2025 Cost (USD)]])</f>
        <v>0</v>
      </c>
      <c r="AJ489" s="180"/>
    </row>
    <row r="490" spans="2:36" ht="12.75" customHeight="1">
      <c r="B490" s="123"/>
      <c r="C4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0" s="85" t="str">
        <f>IF(TblDetailBudget[[#This Row],[Level]]="", "", COUNTIFS($B$8:TblDetailBudget[[#This Row],[Level]], Lvl1Hdr))</f>
        <v/>
      </c>
      <c r="E490" s="85" t="str">
        <f>IF(TblDetailBudget[[#This Row],[Level]]="", "", COUNTIFS($B$8:TblDetailBudget[[#This Row],[Level]], Lvl2Hdr, $D$8:TblDetailBudget[[#This Row],[Lvl 1 Header]], TblDetailBudget[[#This Row],[Lvl 1 Header]]))</f>
        <v/>
      </c>
      <c r="F490" s="85" t="str">
        <f>IF(TblDetailBudget[[#This Row],[Level]]="", "", COUNTIFS($B$8:TblDetailBudget[[#This Row],[Level]], Lvl3Hdr, $D$8:TblDetailBudget[[#This Row],[Lvl 1 Header]], TblDetailBudget[[#This Row],[Lvl 1 Header]], $E$8:TblDetailBudget[[#This Row],[Lvl 2 Header]], TblDetailBudget[[#This Row],[Lvl 2 Header]]))</f>
        <v/>
      </c>
      <c r="G4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0" s="164"/>
      <c r="J490" s="164"/>
      <c r="K490" s="165"/>
      <c r="L490" s="165"/>
      <c r="M490" s="85" t="str">
        <f>IF(TblDetailBudget[[#This Row],[Level]]=LvlBottomHdr, IFERROR(INDEX(TblUnitCost[Unit], MATCH(TblDetailBudget[[#This Row],[Row Title]], TblUnitCost[Resource], 0)), "Invalid Resource"), "")</f>
        <v/>
      </c>
      <c r="N490" s="126" t="str">
        <f>IF(TblDetailBudget[[#This Row],[Level]]=LvlBottomHdr, IFERROR(INDEX(TblUnitCost[LCU], MATCH(TblDetailBudget[[#This Row],[Row Title]], TblUnitCost[Resource], 0)), "Invalid Resource"), "")</f>
        <v/>
      </c>
      <c r="O490" s="130"/>
      <c r="P490" s="109"/>
      <c r="Q490" s="131"/>
      <c r="R490" s="109" t="s">
        <v>66</v>
      </c>
      <c r="S490" s="109" t="s">
        <v>66</v>
      </c>
      <c r="T490" s="109" t="s">
        <v>66</v>
      </c>
      <c r="U490" s="109" t="s">
        <v>66</v>
      </c>
      <c r="V490" s="109" t="s">
        <v>66</v>
      </c>
      <c r="W490" s="126" t="str">
        <f>IF(TblDetailBudget[[#This Row],[Level]]=LvlBottomHdr, IF(SUM(TblDetailBudget[[#This Row],[2021 Quant]:[2025 Quant]])&gt;0, SUM(TblDetailBudget[[#This Row],[2021 Quant]:[2025 Quant]]), ""), "")</f>
        <v/>
      </c>
      <c r="X4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0" s="142">
        <f>SUM(TblDetailBudget[[#This Row],[2021 Cost (LCU)]:[2025 Cost (LCU)]])</f>
        <v>0</v>
      </c>
      <c r="AD490" s="135">
        <f>IFERROR(SUM(TblDetailBudget[[#This Row],[2021 Cost (LCU)]])/FX_Rate, "")</f>
        <v>0</v>
      </c>
      <c r="AE490" s="86">
        <f>IFERROR(SUM(TblDetailBudget[[#This Row],[2022 Cost (LCU)]])/FX_Rate, "")</f>
        <v>0</v>
      </c>
      <c r="AF490" s="86">
        <f>IFERROR(SUM(TblDetailBudget[[#This Row],[2023 Cost (LCU)]])/FX_Rate, "")</f>
        <v>0</v>
      </c>
      <c r="AG490" s="86">
        <f>IFERROR(SUM(TblDetailBudget[[#This Row],[2024 Cost (LCU)]])/FX_Rate, "")</f>
        <v>0</v>
      </c>
      <c r="AH490" s="86">
        <f>IFERROR(SUM(TblDetailBudget[[#This Row],[2025 Cost (LCU)]])/FX_Rate, "")</f>
        <v>0</v>
      </c>
      <c r="AI490" s="126">
        <f>SUM(TblDetailBudget[[#This Row],[2021 Cost (USD)]:[2025 Cost (USD)]])</f>
        <v>0</v>
      </c>
      <c r="AJ490" s="180"/>
    </row>
    <row r="491" spans="2:36" ht="12.75" customHeight="1">
      <c r="B491" s="123"/>
      <c r="C4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1" s="85" t="str">
        <f>IF(TblDetailBudget[[#This Row],[Level]]="", "", COUNTIFS($B$8:TblDetailBudget[[#This Row],[Level]], Lvl1Hdr))</f>
        <v/>
      </c>
      <c r="E491" s="85" t="str">
        <f>IF(TblDetailBudget[[#This Row],[Level]]="", "", COUNTIFS($B$8:TblDetailBudget[[#This Row],[Level]], Lvl2Hdr, $D$8:TblDetailBudget[[#This Row],[Lvl 1 Header]], TblDetailBudget[[#This Row],[Lvl 1 Header]]))</f>
        <v/>
      </c>
      <c r="F491" s="85" t="str">
        <f>IF(TblDetailBudget[[#This Row],[Level]]="", "", COUNTIFS($B$8:TblDetailBudget[[#This Row],[Level]], Lvl3Hdr, $D$8:TblDetailBudget[[#This Row],[Lvl 1 Header]], TblDetailBudget[[#This Row],[Lvl 1 Header]], $E$8:TblDetailBudget[[#This Row],[Lvl 2 Header]], TblDetailBudget[[#This Row],[Lvl 2 Header]]))</f>
        <v/>
      </c>
      <c r="G4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1" s="164"/>
      <c r="J491" s="164"/>
      <c r="K491" s="165"/>
      <c r="L491" s="165"/>
      <c r="M491" s="85" t="str">
        <f>IF(TblDetailBudget[[#This Row],[Level]]=LvlBottomHdr, IFERROR(INDEX(TblUnitCost[Unit], MATCH(TblDetailBudget[[#This Row],[Row Title]], TblUnitCost[Resource], 0)), "Invalid Resource"), "")</f>
        <v/>
      </c>
      <c r="N491" s="126" t="str">
        <f>IF(TblDetailBudget[[#This Row],[Level]]=LvlBottomHdr, IFERROR(INDEX(TblUnitCost[LCU], MATCH(TblDetailBudget[[#This Row],[Row Title]], TblUnitCost[Resource], 0)), "Invalid Resource"), "")</f>
        <v/>
      </c>
      <c r="O491" s="130"/>
      <c r="P491" s="109"/>
      <c r="Q491" s="131"/>
      <c r="R491" s="109" t="s">
        <v>66</v>
      </c>
      <c r="S491" s="109" t="s">
        <v>66</v>
      </c>
      <c r="T491" s="109" t="s">
        <v>66</v>
      </c>
      <c r="U491" s="109" t="s">
        <v>66</v>
      </c>
      <c r="V491" s="109" t="s">
        <v>66</v>
      </c>
      <c r="W491" s="126" t="str">
        <f>IF(TblDetailBudget[[#This Row],[Level]]=LvlBottomHdr, IF(SUM(TblDetailBudget[[#This Row],[2021 Quant]:[2025 Quant]])&gt;0, SUM(TblDetailBudget[[#This Row],[2021 Quant]:[2025 Quant]]), ""), "")</f>
        <v/>
      </c>
      <c r="X4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1" s="142">
        <f>SUM(TblDetailBudget[[#This Row],[2021 Cost (LCU)]:[2025 Cost (LCU)]])</f>
        <v>0</v>
      </c>
      <c r="AD491" s="135">
        <f>IFERROR(SUM(TblDetailBudget[[#This Row],[2021 Cost (LCU)]])/FX_Rate, "")</f>
        <v>0</v>
      </c>
      <c r="AE491" s="86">
        <f>IFERROR(SUM(TblDetailBudget[[#This Row],[2022 Cost (LCU)]])/FX_Rate, "")</f>
        <v>0</v>
      </c>
      <c r="AF491" s="86">
        <f>IFERROR(SUM(TblDetailBudget[[#This Row],[2023 Cost (LCU)]])/FX_Rate, "")</f>
        <v>0</v>
      </c>
      <c r="AG491" s="86">
        <f>IFERROR(SUM(TblDetailBudget[[#This Row],[2024 Cost (LCU)]])/FX_Rate, "")</f>
        <v>0</v>
      </c>
      <c r="AH491" s="86">
        <f>IFERROR(SUM(TblDetailBudget[[#This Row],[2025 Cost (LCU)]])/FX_Rate, "")</f>
        <v>0</v>
      </c>
      <c r="AI491" s="126">
        <f>SUM(TblDetailBudget[[#This Row],[2021 Cost (USD)]:[2025 Cost (USD)]])</f>
        <v>0</v>
      </c>
      <c r="AJ491" s="180"/>
    </row>
    <row r="492" spans="2:36" ht="12.75" customHeight="1">
      <c r="B492" s="123"/>
      <c r="C4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2" s="85" t="str">
        <f>IF(TblDetailBudget[[#This Row],[Level]]="", "", COUNTIFS($B$8:TblDetailBudget[[#This Row],[Level]], Lvl1Hdr))</f>
        <v/>
      </c>
      <c r="E492" s="85" t="str">
        <f>IF(TblDetailBudget[[#This Row],[Level]]="", "", COUNTIFS($B$8:TblDetailBudget[[#This Row],[Level]], Lvl2Hdr, $D$8:TblDetailBudget[[#This Row],[Lvl 1 Header]], TblDetailBudget[[#This Row],[Lvl 1 Header]]))</f>
        <v/>
      </c>
      <c r="F492" s="85" t="str">
        <f>IF(TblDetailBudget[[#This Row],[Level]]="", "", COUNTIFS($B$8:TblDetailBudget[[#This Row],[Level]], Lvl3Hdr, $D$8:TblDetailBudget[[#This Row],[Lvl 1 Header]], TblDetailBudget[[#This Row],[Lvl 1 Header]], $E$8:TblDetailBudget[[#This Row],[Lvl 2 Header]], TblDetailBudget[[#This Row],[Lvl 2 Header]]))</f>
        <v/>
      </c>
      <c r="G4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2" s="164"/>
      <c r="J492" s="164"/>
      <c r="K492" s="165"/>
      <c r="L492" s="165"/>
      <c r="M492" s="85" t="str">
        <f>IF(TblDetailBudget[[#This Row],[Level]]=LvlBottomHdr, IFERROR(INDEX(TblUnitCost[Unit], MATCH(TblDetailBudget[[#This Row],[Row Title]], TblUnitCost[Resource], 0)), "Invalid Resource"), "")</f>
        <v/>
      </c>
      <c r="N492" s="126" t="str">
        <f>IF(TblDetailBudget[[#This Row],[Level]]=LvlBottomHdr, IFERROR(INDEX(TblUnitCost[LCU], MATCH(TblDetailBudget[[#This Row],[Row Title]], TblUnitCost[Resource], 0)), "Invalid Resource"), "")</f>
        <v/>
      </c>
      <c r="O492" s="130"/>
      <c r="P492" s="109"/>
      <c r="Q492" s="131"/>
      <c r="R492" s="109" t="s">
        <v>66</v>
      </c>
      <c r="S492" s="109" t="s">
        <v>66</v>
      </c>
      <c r="T492" s="109" t="s">
        <v>66</v>
      </c>
      <c r="U492" s="109" t="s">
        <v>66</v>
      </c>
      <c r="V492" s="109" t="s">
        <v>66</v>
      </c>
      <c r="W492" s="126" t="str">
        <f>IF(TblDetailBudget[[#This Row],[Level]]=LvlBottomHdr, IF(SUM(TblDetailBudget[[#This Row],[2021 Quant]:[2025 Quant]])&gt;0, SUM(TblDetailBudget[[#This Row],[2021 Quant]:[2025 Quant]]), ""), "")</f>
        <v/>
      </c>
      <c r="X4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2" s="142">
        <f>SUM(TblDetailBudget[[#This Row],[2021 Cost (LCU)]:[2025 Cost (LCU)]])</f>
        <v>0</v>
      </c>
      <c r="AD492" s="135">
        <f>IFERROR(SUM(TblDetailBudget[[#This Row],[2021 Cost (LCU)]])/FX_Rate, "")</f>
        <v>0</v>
      </c>
      <c r="AE492" s="86">
        <f>IFERROR(SUM(TblDetailBudget[[#This Row],[2022 Cost (LCU)]])/FX_Rate, "")</f>
        <v>0</v>
      </c>
      <c r="AF492" s="86">
        <f>IFERROR(SUM(TblDetailBudget[[#This Row],[2023 Cost (LCU)]])/FX_Rate, "")</f>
        <v>0</v>
      </c>
      <c r="AG492" s="86">
        <f>IFERROR(SUM(TblDetailBudget[[#This Row],[2024 Cost (LCU)]])/FX_Rate, "")</f>
        <v>0</v>
      </c>
      <c r="AH492" s="86">
        <f>IFERROR(SUM(TblDetailBudget[[#This Row],[2025 Cost (LCU)]])/FX_Rate, "")</f>
        <v>0</v>
      </c>
      <c r="AI492" s="126">
        <f>SUM(TblDetailBudget[[#This Row],[2021 Cost (USD)]:[2025 Cost (USD)]])</f>
        <v>0</v>
      </c>
      <c r="AJ492" s="180"/>
    </row>
    <row r="493" spans="2:36" ht="12.75" customHeight="1">
      <c r="B493" s="123"/>
      <c r="C4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3" s="85" t="str">
        <f>IF(TblDetailBudget[[#This Row],[Level]]="", "", COUNTIFS($B$8:TblDetailBudget[[#This Row],[Level]], Lvl1Hdr))</f>
        <v/>
      </c>
      <c r="E493" s="85" t="str">
        <f>IF(TblDetailBudget[[#This Row],[Level]]="", "", COUNTIFS($B$8:TblDetailBudget[[#This Row],[Level]], Lvl2Hdr, $D$8:TblDetailBudget[[#This Row],[Lvl 1 Header]], TblDetailBudget[[#This Row],[Lvl 1 Header]]))</f>
        <v/>
      </c>
      <c r="F493" s="85" t="str">
        <f>IF(TblDetailBudget[[#This Row],[Level]]="", "", COUNTIFS($B$8:TblDetailBudget[[#This Row],[Level]], Lvl3Hdr, $D$8:TblDetailBudget[[#This Row],[Lvl 1 Header]], TblDetailBudget[[#This Row],[Lvl 1 Header]], $E$8:TblDetailBudget[[#This Row],[Lvl 2 Header]], TblDetailBudget[[#This Row],[Lvl 2 Header]]))</f>
        <v/>
      </c>
      <c r="G4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3" s="164"/>
      <c r="J493" s="164"/>
      <c r="K493" s="165"/>
      <c r="L493" s="165"/>
      <c r="M493" s="85" t="str">
        <f>IF(TblDetailBudget[[#This Row],[Level]]=LvlBottomHdr, IFERROR(INDEX(TblUnitCost[Unit], MATCH(TblDetailBudget[[#This Row],[Row Title]], TblUnitCost[Resource], 0)), "Invalid Resource"), "")</f>
        <v/>
      </c>
      <c r="N493" s="126" t="str">
        <f>IF(TblDetailBudget[[#This Row],[Level]]=LvlBottomHdr, IFERROR(INDEX(TblUnitCost[LCU], MATCH(TblDetailBudget[[#This Row],[Row Title]], TblUnitCost[Resource], 0)), "Invalid Resource"), "")</f>
        <v/>
      </c>
      <c r="O493" s="130"/>
      <c r="P493" s="109"/>
      <c r="Q493" s="131"/>
      <c r="R493" s="109" t="s">
        <v>66</v>
      </c>
      <c r="S493" s="109" t="s">
        <v>66</v>
      </c>
      <c r="T493" s="109" t="s">
        <v>66</v>
      </c>
      <c r="U493" s="109" t="s">
        <v>66</v>
      </c>
      <c r="V493" s="109" t="s">
        <v>66</v>
      </c>
      <c r="W493" s="126" t="str">
        <f>IF(TblDetailBudget[[#This Row],[Level]]=LvlBottomHdr, IF(SUM(TblDetailBudget[[#This Row],[2021 Quant]:[2025 Quant]])&gt;0, SUM(TblDetailBudget[[#This Row],[2021 Quant]:[2025 Quant]]), ""), "")</f>
        <v/>
      </c>
      <c r="X4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3" s="142">
        <f>SUM(TblDetailBudget[[#This Row],[2021 Cost (LCU)]:[2025 Cost (LCU)]])</f>
        <v>0</v>
      </c>
      <c r="AD493" s="135">
        <f>IFERROR(SUM(TblDetailBudget[[#This Row],[2021 Cost (LCU)]])/FX_Rate, "")</f>
        <v>0</v>
      </c>
      <c r="AE493" s="86">
        <f>IFERROR(SUM(TblDetailBudget[[#This Row],[2022 Cost (LCU)]])/FX_Rate, "")</f>
        <v>0</v>
      </c>
      <c r="AF493" s="86">
        <f>IFERROR(SUM(TblDetailBudget[[#This Row],[2023 Cost (LCU)]])/FX_Rate, "")</f>
        <v>0</v>
      </c>
      <c r="AG493" s="86">
        <f>IFERROR(SUM(TblDetailBudget[[#This Row],[2024 Cost (LCU)]])/FX_Rate, "")</f>
        <v>0</v>
      </c>
      <c r="AH493" s="86">
        <f>IFERROR(SUM(TblDetailBudget[[#This Row],[2025 Cost (LCU)]])/FX_Rate, "")</f>
        <v>0</v>
      </c>
      <c r="AI493" s="126">
        <f>SUM(TblDetailBudget[[#This Row],[2021 Cost (USD)]:[2025 Cost (USD)]])</f>
        <v>0</v>
      </c>
      <c r="AJ493" s="180"/>
    </row>
    <row r="494" spans="2:36" ht="12.75" customHeight="1">
      <c r="B494" s="123"/>
      <c r="C4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4" s="85" t="str">
        <f>IF(TblDetailBudget[[#This Row],[Level]]="", "", COUNTIFS($B$8:TblDetailBudget[[#This Row],[Level]], Lvl1Hdr))</f>
        <v/>
      </c>
      <c r="E494" s="85" t="str">
        <f>IF(TblDetailBudget[[#This Row],[Level]]="", "", COUNTIFS($B$8:TblDetailBudget[[#This Row],[Level]], Lvl2Hdr, $D$8:TblDetailBudget[[#This Row],[Lvl 1 Header]], TblDetailBudget[[#This Row],[Lvl 1 Header]]))</f>
        <v/>
      </c>
      <c r="F494" s="85" t="str">
        <f>IF(TblDetailBudget[[#This Row],[Level]]="", "", COUNTIFS($B$8:TblDetailBudget[[#This Row],[Level]], Lvl3Hdr, $D$8:TblDetailBudget[[#This Row],[Lvl 1 Header]], TblDetailBudget[[#This Row],[Lvl 1 Header]], $E$8:TblDetailBudget[[#This Row],[Lvl 2 Header]], TblDetailBudget[[#This Row],[Lvl 2 Header]]))</f>
        <v/>
      </c>
      <c r="G4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4" s="164"/>
      <c r="J494" s="164"/>
      <c r="K494" s="165"/>
      <c r="L494" s="165"/>
      <c r="M494" s="85" t="str">
        <f>IF(TblDetailBudget[[#This Row],[Level]]=LvlBottomHdr, IFERROR(INDEX(TblUnitCost[Unit], MATCH(TblDetailBudget[[#This Row],[Row Title]], TblUnitCost[Resource], 0)), "Invalid Resource"), "")</f>
        <v/>
      </c>
      <c r="N494" s="126" t="str">
        <f>IF(TblDetailBudget[[#This Row],[Level]]=LvlBottomHdr, IFERROR(INDEX(TblUnitCost[LCU], MATCH(TblDetailBudget[[#This Row],[Row Title]], TblUnitCost[Resource], 0)), "Invalid Resource"), "")</f>
        <v/>
      </c>
      <c r="O494" s="130"/>
      <c r="P494" s="109"/>
      <c r="Q494" s="131"/>
      <c r="R494" s="109" t="s">
        <v>66</v>
      </c>
      <c r="S494" s="109" t="s">
        <v>66</v>
      </c>
      <c r="T494" s="109" t="s">
        <v>66</v>
      </c>
      <c r="U494" s="109" t="s">
        <v>66</v>
      </c>
      <c r="V494" s="109" t="s">
        <v>66</v>
      </c>
      <c r="W494" s="126" t="str">
        <f>IF(TblDetailBudget[[#This Row],[Level]]=LvlBottomHdr, IF(SUM(TblDetailBudget[[#This Row],[2021 Quant]:[2025 Quant]])&gt;0, SUM(TblDetailBudget[[#This Row],[2021 Quant]:[2025 Quant]]), ""), "")</f>
        <v/>
      </c>
      <c r="X4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4" s="142">
        <f>SUM(TblDetailBudget[[#This Row],[2021 Cost (LCU)]:[2025 Cost (LCU)]])</f>
        <v>0</v>
      </c>
      <c r="AD494" s="135">
        <f>IFERROR(SUM(TblDetailBudget[[#This Row],[2021 Cost (LCU)]])/FX_Rate, "")</f>
        <v>0</v>
      </c>
      <c r="AE494" s="86">
        <f>IFERROR(SUM(TblDetailBudget[[#This Row],[2022 Cost (LCU)]])/FX_Rate, "")</f>
        <v>0</v>
      </c>
      <c r="AF494" s="86">
        <f>IFERROR(SUM(TblDetailBudget[[#This Row],[2023 Cost (LCU)]])/FX_Rate, "")</f>
        <v>0</v>
      </c>
      <c r="AG494" s="86">
        <f>IFERROR(SUM(TblDetailBudget[[#This Row],[2024 Cost (LCU)]])/FX_Rate, "")</f>
        <v>0</v>
      </c>
      <c r="AH494" s="86">
        <f>IFERROR(SUM(TblDetailBudget[[#This Row],[2025 Cost (LCU)]])/FX_Rate, "")</f>
        <v>0</v>
      </c>
      <c r="AI494" s="126">
        <f>SUM(TblDetailBudget[[#This Row],[2021 Cost (USD)]:[2025 Cost (USD)]])</f>
        <v>0</v>
      </c>
      <c r="AJ494" s="180"/>
    </row>
    <row r="495" spans="2:36" ht="12.75" customHeight="1">
      <c r="B495" s="123"/>
      <c r="C4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5" s="85" t="str">
        <f>IF(TblDetailBudget[[#This Row],[Level]]="", "", COUNTIFS($B$8:TblDetailBudget[[#This Row],[Level]], Lvl1Hdr))</f>
        <v/>
      </c>
      <c r="E495" s="85" t="str">
        <f>IF(TblDetailBudget[[#This Row],[Level]]="", "", COUNTIFS($B$8:TblDetailBudget[[#This Row],[Level]], Lvl2Hdr, $D$8:TblDetailBudget[[#This Row],[Lvl 1 Header]], TblDetailBudget[[#This Row],[Lvl 1 Header]]))</f>
        <v/>
      </c>
      <c r="F495" s="85" t="str">
        <f>IF(TblDetailBudget[[#This Row],[Level]]="", "", COUNTIFS($B$8:TblDetailBudget[[#This Row],[Level]], Lvl3Hdr, $D$8:TblDetailBudget[[#This Row],[Lvl 1 Header]], TblDetailBudget[[#This Row],[Lvl 1 Header]], $E$8:TblDetailBudget[[#This Row],[Lvl 2 Header]], TblDetailBudget[[#This Row],[Lvl 2 Header]]))</f>
        <v/>
      </c>
      <c r="G4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5" s="164"/>
      <c r="J495" s="164"/>
      <c r="K495" s="165"/>
      <c r="L495" s="165"/>
      <c r="M495" s="85" t="str">
        <f>IF(TblDetailBudget[[#This Row],[Level]]=LvlBottomHdr, IFERROR(INDEX(TblUnitCost[Unit], MATCH(TblDetailBudget[[#This Row],[Row Title]], TblUnitCost[Resource], 0)), "Invalid Resource"), "")</f>
        <v/>
      </c>
      <c r="N495" s="126" t="str">
        <f>IF(TblDetailBudget[[#This Row],[Level]]=LvlBottomHdr, IFERROR(INDEX(TblUnitCost[LCU], MATCH(TblDetailBudget[[#This Row],[Row Title]], TblUnitCost[Resource], 0)), "Invalid Resource"), "")</f>
        <v/>
      </c>
      <c r="O495" s="130"/>
      <c r="P495" s="109"/>
      <c r="Q495" s="131"/>
      <c r="R495" s="109" t="s">
        <v>66</v>
      </c>
      <c r="S495" s="109" t="s">
        <v>66</v>
      </c>
      <c r="T495" s="109" t="s">
        <v>66</v>
      </c>
      <c r="U495" s="109" t="s">
        <v>66</v>
      </c>
      <c r="V495" s="109" t="s">
        <v>66</v>
      </c>
      <c r="W495" s="126" t="str">
        <f>IF(TblDetailBudget[[#This Row],[Level]]=LvlBottomHdr, IF(SUM(TblDetailBudget[[#This Row],[2021 Quant]:[2025 Quant]])&gt;0, SUM(TblDetailBudget[[#This Row],[2021 Quant]:[2025 Quant]]), ""), "")</f>
        <v/>
      </c>
      <c r="X4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5" s="142">
        <f>SUM(TblDetailBudget[[#This Row],[2021 Cost (LCU)]:[2025 Cost (LCU)]])</f>
        <v>0</v>
      </c>
      <c r="AD495" s="135">
        <f>IFERROR(SUM(TblDetailBudget[[#This Row],[2021 Cost (LCU)]])/FX_Rate, "")</f>
        <v>0</v>
      </c>
      <c r="AE495" s="86">
        <f>IFERROR(SUM(TblDetailBudget[[#This Row],[2022 Cost (LCU)]])/FX_Rate, "")</f>
        <v>0</v>
      </c>
      <c r="AF495" s="86">
        <f>IFERROR(SUM(TblDetailBudget[[#This Row],[2023 Cost (LCU)]])/FX_Rate, "")</f>
        <v>0</v>
      </c>
      <c r="AG495" s="86">
        <f>IFERROR(SUM(TblDetailBudget[[#This Row],[2024 Cost (LCU)]])/FX_Rate, "")</f>
        <v>0</v>
      </c>
      <c r="AH495" s="86">
        <f>IFERROR(SUM(TblDetailBudget[[#This Row],[2025 Cost (LCU)]])/FX_Rate, "")</f>
        <v>0</v>
      </c>
      <c r="AI495" s="126">
        <f>SUM(TblDetailBudget[[#This Row],[2021 Cost (USD)]:[2025 Cost (USD)]])</f>
        <v>0</v>
      </c>
      <c r="AJ495" s="180"/>
    </row>
    <row r="496" spans="2:36" ht="12.75" customHeight="1">
      <c r="B496" s="123"/>
      <c r="C4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6" s="85" t="str">
        <f>IF(TblDetailBudget[[#This Row],[Level]]="", "", COUNTIFS($B$8:TblDetailBudget[[#This Row],[Level]], Lvl1Hdr))</f>
        <v/>
      </c>
      <c r="E496" s="85" t="str">
        <f>IF(TblDetailBudget[[#This Row],[Level]]="", "", COUNTIFS($B$8:TblDetailBudget[[#This Row],[Level]], Lvl2Hdr, $D$8:TblDetailBudget[[#This Row],[Lvl 1 Header]], TblDetailBudget[[#This Row],[Lvl 1 Header]]))</f>
        <v/>
      </c>
      <c r="F496" s="85" t="str">
        <f>IF(TblDetailBudget[[#This Row],[Level]]="", "", COUNTIFS($B$8:TblDetailBudget[[#This Row],[Level]], Lvl3Hdr, $D$8:TblDetailBudget[[#This Row],[Lvl 1 Header]], TblDetailBudget[[#This Row],[Lvl 1 Header]], $E$8:TblDetailBudget[[#This Row],[Lvl 2 Header]], TblDetailBudget[[#This Row],[Lvl 2 Header]]))</f>
        <v/>
      </c>
      <c r="G4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6" s="164"/>
      <c r="J496" s="164"/>
      <c r="K496" s="165"/>
      <c r="L496" s="165"/>
      <c r="M496" s="85" t="str">
        <f>IF(TblDetailBudget[[#This Row],[Level]]=LvlBottomHdr, IFERROR(INDEX(TblUnitCost[Unit], MATCH(TblDetailBudget[[#This Row],[Row Title]], TblUnitCost[Resource], 0)), "Invalid Resource"), "")</f>
        <v/>
      </c>
      <c r="N496" s="126" t="str">
        <f>IF(TblDetailBudget[[#This Row],[Level]]=LvlBottomHdr, IFERROR(INDEX(TblUnitCost[LCU], MATCH(TblDetailBudget[[#This Row],[Row Title]], TblUnitCost[Resource], 0)), "Invalid Resource"), "")</f>
        <v/>
      </c>
      <c r="O496" s="130"/>
      <c r="P496" s="109"/>
      <c r="Q496" s="131"/>
      <c r="R496" s="109" t="s">
        <v>66</v>
      </c>
      <c r="S496" s="109" t="s">
        <v>66</v>
      </c>
      <c r="T496" s="109" t="s">
        <v>66</v>
      </c>
      <c r="U496" s="109" t="s">
        <v>66</v>
      </c>
      <c r="V496" s="109" t="s">
        <v>66</v>
      </c>
      <c r="W496" s="126" t="str">
        <f>IF(TblDetailBudget[[#This Row],[Level]]=LvlBottomHdr, IF(SUM(TblDetailBudget[[#This Row],[2021 Quant]:[2025 Quant]])&gt;0, SUM(TblDetailBudget[[#This Row],[2021 Quant]:[2025 Quant]]), ""), "")</f>
        <v/>
      </c>
      <c r="X4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6" s="142">
        <f>SUM(TblDetailBudget[[#This Row],[2021 Cost (LCU)]:[2025 Cost (LCU)]])</f>
        <v>0</v>
      </c>
      <c r="AD496" s="135">
        <f>IFERROR(SUM(TblDetailBudget[[#This Row],[2021 Cost (LCU)]])/FX_Rate, "")</f>
        <v>0</v>
      </c>
      <c r="AE496" s="86">
        <f>IFERROR(SUM(TblDetailBudget[[#This Row],[2022 Cost (LCU)]])/FX_Rate, "")</f>
        <v>0</v>
      </c>
      <c r="AF496" s="86">
        <f>IFERROR(SUM(TblDetailBudget[[#This Row],[2023 Cost (LCU)]])/FX_Rate, "")</f>
        <v>0</v>
      </c>
      <c r="AG496" s="86">
        <f>IFERROR(SUM(TblDetailBudget[[#This Row],[2024 Cost (LCU)]])/FX_Rate, "")</f>
        <v>0</v>
      </c>
      <c r="AH496" s="86">
        <f>IFERROR(SUM(TblDetailBudget[[#This Row],[2025 Cost (LCU)]])/FX_Rate, "")</f>
        <v>0</v>
      </c>
      <c r="AI496" s="126">
        <f>SUM(TblDetailBudget[[#This Row],[2021 Cost (USD)]:[2025 Cost (USD)]])</f>
        <v>0</v>
      </c>
      <c r="AJ496" s="180"/>
    </row>
    <row r="497" spans="2:36" ht="12.75" customHeight="1">
      <c r="B497" s="123"/>
      <c r="C4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7" s="85" t="str">
        <f>IF(TblDetailBudget[[#This Row],[Level]]="", "", COUNTIFS($B$8:TblDetailBudget[[#This Row],[Level]], Lvl1Hdr))</f>
        <v/>
      </c>
      <c r="E497" s="85" t="str">
        <f>IF(TblDetailBudget[[#This Row],[Level]]="", "", COUNTIFS($B$8:TblDetailBudget[[#This Row],[Level]], Lvl2Hdr, $D$8:TblDetailBudget[[#This Row],[Lvl 1 Header]], TblDetailBudget[[#This Row],[Lvl 1 Header]]))</f>
        <v/>
      </c>
      <c r="F497" s="85" t="str">
        <f>IF(TblDetailBudget[[#This Row],[Level]]="", "", COUNTIFS($B$8:TblDetailBudget[[#This Row],[Level]], Lvl3Hdr, $D$8:TblDetailBudget[[#This Row],[Lvl 1 Header]], TblDetailBudget[[#This Row],[Lvl 1 Header]], $E$8:TblDetailBudget[[#This Row],[Lvl 2 Header]], TblDetailBudget[[#This Row],[Lvl 2 Header]]))</f>
        <v/>
      </c>
      <c r="G4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7" s="164"/>
      <c r="J497" s="164"/>
      <c r="K497" s="165"/>
      <c r="L497" s="165"/>
      <c r="M497" s="85" t="str">
        <f>IF(TblDetailBudget[[#This Row],[Level]]=LvlBottomHdr, IFERROR(INDEX(TblUnitCost[Unit], MATCH(TblDetailBudget[[#This Row],[Row Title]], TblUnitCost[Resource], 0)), "Invalid Resource"), "")</f>
        <v/>
      </c>
      <c r="N497" s="126" t="str">
        <f>IF(TblDetailBudget[[#This Row],[Level]]=LvlBottomHdr, IFERROR(INDEX(TblUnitCost[LCU], MATCH(TblDetailBudget[[#This Row],[Row Title]], TblUnitCost[Resource], 0)), "Invalid Resource"), "")</f>
        <v/>
      </c>
      <c r="O497" s="130"/>
      <c r="P497" s="109"/>
      <c r="Q497" s="131"/>
      <c r="R497" s="109" t="s">
        <v>66</v>
      </c>
      <c r="S497" s="109" t="s">
        <v>66</v>
      </c>
      <c r="T497" s="109" t="s">
        <v>66</v>
      </c>
      <c r="U497" s="109" t="s">
        <v>66</v>
      </c>
      <c r="V497" s="109" t="s">
        <v>66</v>
      </c>
      <c r="W497" s="126" t="str">
        <f>IF(TblDetailBudget[[#This Row],[Level]]=LvlBottomHdr, IF(SUM(TblDetailBudget[[#This Row],[2021 Quant]:[2025 Quant]])&gt;0, SUM(TblDetailBudget[[#This Row],[2021 Quant]:[2025 Quant]]), ""), "")</f>
        <v/>
      </c>
      <c r="X4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7" s="142">
        <f>SUM(TblDetailBudget[[#This Row],[2021 Cost (LCU)]:[2025 Cost (LCU)]])</f>
        <v>0</v>
      </c>
      <c r="AD497" s="135">
        <f>IFERROR(SUM(TblDetailBudget[[#This Row],[2021 Cost (LCU)]])/FX_Rate, "")</f>
        <v>0</v>
      </c>
      <c r="AE497" s="86">
        <f>IFERROR(SUM(TblDetailBudget[[#This Row],[2022 Cost (LCU)]])/FX_Rate, "")</f>
        <v>0</v>
      </c>
      <c r="AF497" s="86">
        <f>IFERROR(SUM(TblDetailBudget[[#This Row],[2023 Cost (LCU)]])/FX_Rate, "")</f>
        <v>0</v>
      </c>
      <c r="AG497" s="86">
        <f>IFERROR(SUM(TblDetailBudget[[#This Row],[2024 Cost (LCU)]])/FX_Rate, "")</f>
        <v>0</v>
      </c>
      <c r="AH497" s="86">
        <f>IFERROR(SUM(TblDetailBudget[[#This Row],[2025 Cost (LCU)]])/FX_Rate, "")</f>
        <v>0</v>
      </c>
      <c r="AI497" s="126">
        <f>SUM(TblDetailBudget[[#This Row],[2021 Cost (USD)]:[2025 Cost (USD)]])</f>
        <v>0</v>
      </c>
      <c r="AJ497" s="180"/>
    </row>
    <row r="498" spans="2:36" ht="12.75" customHeight="1">
      <c r="B498" s="123"/>
      <c r="C4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8" s="85" t="str">
        <f>IF(TblDetailBudget[[#This Row],[Level]]="", "", COUNTIFS($B$8:TblDetailBudget[[#This Row],[Level]], Lvl1Hdr))</f>
        <v/>
      </c>
      <c r="E498" s="85" t="str">
        <f>IF(TblDetailBudget[[#This Row],[Level]]="", "", COUNTIFS($B$8:TblDetailBudget[[#This Row],[Level]], Lvl2Hdr, $D$8:TblDetailBudget[[#This Row],[Lvl 1 Header]], TblDetailBudget[[#This Row],[Lvl 1 Header]]))</f>
        <v/>
      </c>
      <c r="F498" s="85" t="str">
        <f>IF(TblDetailBudget[[#This Row],[Level]]="", "", COUNTIFS($B$8:TblDetailBudget[[#This Row],[Level]], Lvl3Hdr, $D$8:TblDetailBudget[[#This Row],[Lvl 1 Header]], TblDetailBudget[[#This Row],[Lvl 1 Header]], $E$8:TblDetailBudget[[#This Row],[Lvl 2 Header]], TblDetailBudget[[#This Row],[Lvl 2 Header]]))</f>
        <v/>
      </c>
      <c r="G4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8" s="164"/>
      <c r="J498" s="164"/>
      <c r="K498" s="165"/>
      <c r="L498" s="165"/>
      <c r="M498" s="85" t="str">
        <f>IF(TblDetailBudget[[#This Row],[Level]]=LvlBottomHdr, IFERROR(INDEX(TblUnitCost[Unit], MATCH(TblDetailBudget[[#This Row],[Row Title]], TblUnitCost[Resource], 0)), "Invalid Resource"), "")</f>
        <v/>
      </c>
      <c r="N498" s="126" t="str">
        <f>IF(TblDetailBudget[[#This Row],[Level]]=LvlBottomHdr, IFERROR(INDEX(TblUnitCost[LCU], MATCH(TblDetailBudget[[#This Row],[Row Title]], TblUnitCost[Resource], 0)), "Invalid Resource"), "")</f>
        <v/>
      </c>
      <c r="O498" s="130"/>
      <c r="P498" s="109"/>
      <c r="Q498" s="131"/>
      <c r="R498" s="109" t="s">
        <v>66</v>
      </c>
      <c r="S498" s="109" t="s">
        <v>66</v>
      </c>
      <c r="T498" s="109" t="s">
        <v>66</v>
      </c>
      <c r="U498" s="109" t="s">
        <v>66</v>
      </c>
      <c r="V498" s="109" t="s">
        <v>66</v>
      </c>
      <c r="W498" s="126" t="str">
        <f>IF(TblDetailBudget[[#This Row],[Level]]=LvlBottomHdr, IF(SUM(TblDetailBudget[[#This Row],[2021 Quant]:[2025 Quant]])&gt;0, SUM(TblDetailBudget[[#This Row],[2021 Quant]:[2025 Quant]]), ""), "")</f>
        <v/>
      </c>
      <c r="X4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8" s="142">
        <f>SUM(TblDetailBudget[[#This Row],[2021 Cost (LCU)]:[2025 Cost (LCU)]])</f>
        <v>0</v>
      </c>
      <c r="AD498" s="135">
        <f>IFERROR(SUM(TblDetailBudget[[#This Row],[2021 Cost (LCU)]])/FX_Rate, "")</f>
        <v>0</v>
      </c>
      <c r="AE498" s="86">
        <f>IFERROR(SUM(TblDetailBudget[[#This Row],[2022 Cost (LCU)]])/FX_Rate, "")</f>
        <v>0</v>
      </c>
      <c r="AF498" s="86">
        <f>IFERROR(SUM(TblDetailBudget[[#This Row],[2023 Cost (LCU)]])/FX_Rate, "")</f>
        <v>0</v>
      </c>
      <c r="AG498" s="86">
        <f>IFERROR(SUM(TblDetailBudget[[#This Row],[2024 Cost (LCU)]])/FX_Rate, "")</f>
        <v>0</v>
      </c>
      <c r="AH498" s="86">
        <f>IFERROR(SUM(TblDetailBudget[[#This Row],[2025 Cost (LCU)]])/FX_Rate, "")</f>
        <v>0</v>
      </c>
      <c r="AI498" s="126">
        <f>SUM(TblDetailBudget[[#This Row],[2021 Cost (USD)]:[2025 Cost (USD)]])</f>
        <v>0</v>
      </c>
      <c r="AJ498" s="180"/>
    </row>
    <row r="499" spans="2:36" ht="12.75" customHeight="1">
      <c r="B499" s="123"/>
      <c r="C4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9" s="85" t="str">
        <f>IF(TblDetailBudget[[#This Row],[Level]]="", "", COUNTIFS($B$8:TblDetailBudget[[#This Row],[Level]], Lvl1Hdr))</f>
        <v/>
      </c>
      <c r="E499" s="85" t="str">
        <f>IF(TblDetailBudget[[#This Row],[Level]]="", "", COUNTIFS($B$8:TblDetailBudget[[#This Row],[Level]], Lvl2Hdr, $D$8:TblDetailBudget[[#This Row],[Lvl 1 Header]], TblDetailBudget[[#This Row],[Lvl 1 Header]]))</f>
        <v/>
      </c>
      <c r="F499" s="85" t="str">
        <f>IF(TblDetailBudget[[#This Row],[Level]]="", "", COUNTIFS($B$8:TblDetailBudget[[#This Row],[Level]], Lvl3Hdr, $D$8:TblDetailBudget[[#This Row],[Lvl 1 Header]], TblDetailBudget[[#This Row],[Lvl 1 Header]], $E$8:TblDetailBudget[[#This Row],[Lvl 2 Header]], TblDetailBudget[[#This Row],[Lvl 2 Header]]))</f>
        <v/>
      </c>
      <c r="G4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9" s="164"/>
      <c r="J499" s="164"/>
      <c r="K499" s="165"/>
      <c r="L499" s="165"/>
      <c r="M499" s="85" t="str">
        <f>IF(TblDetailBudget[[#This Row],[Level]]=LvlBottomHdr, IFERROR(INDEX(TblUnitCost[Unit], MATCH(TblDetailBudget[[#This Row],[Row Title]], TblUnitCost[Resource], 0)), "Invalid Resource"), "")</f>
        <v/>
      </c>
      <c r="N499" s="126" t="str">
        <f>IF(TblDetailBudget[[#This Row],[Level]]=LvlBottomHdr, IFERROR(INDEX(TblUnitCost[LCU], MATCH(TblDetailBudget[[#This Row],[Row Title]], TblUnitCost[Resource], 0)), "Invalid Resource"), "")</f>
        <v/>
      </c>
      <c r="O499" s="130"/>
      <c r="P499" s="109"/>
      <c r="Q499" s="131"/>
      <c r="R499" s="109" t="s">
        <v>66</v>
      </c>
      <c r="S499" s="109" t="s">
        <v>66</v>
      </c>
      <c r="T499" s="109" t="s">
        <v>66</v>
      </c>
      <c r="U499" s="109" t="s">
        <v>66</v>
      </c>
      <c r="V499" s="109" t="s">
        <v>66</v>
      </c>
      <c r="W499" s="126" t="str">
        <f>IF(TblDetailBudget[[#This Row],[Level]]=LvlBottomHdr, IF(SUM(TblDetailBudget[[#This Row],[2021 Quant]:[2025 Quant]])&gt;0, SUM(TblDetailBudget[[#This Row],[2021 Quant]:[2025 Quant]]), ""), "")</f>
        <v/>
      </c>
      <c r="X4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9" s="142">
        <f>SUM(TblDetailBudget[[#This Row],[2021 Cost (LCU)]:[2025 Cost (LCU)]])</f>
        <v>0</v>
      </c>
      <c r="AD499" s="135">
        <f>IFERROR(SUM(TblDetailBudget[[#This Row],[2021 Cost (LCU)]])/FX_Rate, "")</f>
        <v>0</v>
      </c>
      <c r="AE499" s="86">
        <f>IFERROR(SUM(TblDetailBudget[[#This Row],[2022 Cost (LCU)]])/FX_Rate, "")</f>
        <v>0</v>
      </c>
      <c r="AF499" s="86">
        <f>IFERROR(SUM(TblDetailBudget[[#This Row],[2023 Cost (LCU)]])/FX_Rate, "")</f>
        <v>0</v>
      </c>
      <c r="AG499" s="86">
        <f>IFERROR(SUM(TblDetailBudget[[#This Row],[2024 Cost (LCU)]])/FX_Rate, "")</f>
        <v>0</v>
      </c>
      <c r="AH499" s="86">
        <f>IFERROR(SUM(TblDetailBudget[[#This Row],[2025 Cost (LCU)]])/FX_Rate, "")</f>
        <v>0</v>
      </c>
      <c r="AI499" s="126">
        <f>SUM(TblDetailBudget[[#This Row],[2021 Cost (USD)]:[2025 Cost (USD)]])</f>
        <v>0</v>
      </c>
      <c r="AJ499" s="180"/>
    </row>
    <row r="500" spans="2:36" ht="12.75" customHeight="1">
      <c r="B500" s="123"/>
      <c r="C5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0" s="85" t="str">
        <f>IF(TblDetailBudget[[#This Row],[Level]]="", "", COUNTIFS($B$8:TblDetailBudget[[#This Row],[Level]], Lvl1Hdr))</f>
        <v/>
      </c>
      <c r="E500" s="85" t="str">
        <f>IF(TblDetailBudget[[#This Row],[Level]]="", "", COUNTIFS($B$8:TblDetailBudget[[#This Row],[Level]], Lvl2Hdr, $D$8:TblDetailBudget[[#This Row],[Lvl 1 Header]], TblDetailBudget[[#This Row],[Lvl 1 Header]]))</f>
        <v/>
      </c>
      <c r="F500" s="85" t="str">
        <f>IF(TblDetailBudget[[#This Row],[Level]]="", "", COUNTIFS($B$8:TblDetailBudget[[#This Row],[Level]], Lvl3Hdr, $D$8:TblDetailBudget[[#This Row],[Lvl 1 Header]], TblDetailBudget[[#This Row],[Lvl 1 Header]], $E$8:TblDetailBudget[[#This Row],[Lvl 2 Header]], TblDetailBudget[[#This Row],[Lvl 2 Header]]))</f>
        <v/>
      </c>
      <c r="G5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0" s="164"/>
      <c r="J500" s="164"/>
      <c r="K500" s="165"/>
      <c r="L500" s="165"/>
      <c r="M500" s="85" t="str">
        <f>IF(TblDetailBudget[[#This Row],[Level]]=LvlBottomHdr, IFERROR(INDEX(TblUnitCost[Unit], MATCH(TblDetailBudget[[#This Row],[Row Title]], TblUnitCost[Resource], 0)), "Invalid Resource"), "")</f>
        <v/>
      </c>
      <c r="N500" s="126" t="str">
        <f>IF(TblDetailBudget[[#This Row],[Level]]=LvlBottomHdr, IFERROR(INDEX(TblUnitCost[LCU], MATCH(TblDetailBudget[[#This Row],[Row Title]], TblUnitCost[Resource], 0)), "Invalid Resource"), "")</f>
        <v/>
      </c>
      <c r="O500" s="130"/>
      <c r="P500" s="109"/>
      <c r="Q500" s="131"/>
      <c r="R500" s="109" t="s">
        <v>66</v>
      </c>
      <c r="S500" s="109" t="s">
        <v>66</v>
      </c>
      <c r="T500" s="109" t="s">
        <v>66</v>
      </c>
      <c r="U500" s="109" t="s">
        <v>66</v>
      </c>
      <c r="V500" s="109" t="s">
        <v>66</v>
      </c>
      <c r="W500" s="126" t="str">
        <f>IF(TblDetailBudget[[#This Row],[Level]]=LvlBottomHdr, IF(SUM(TblDetailBudget[[#This Row],[2021 Quant]:[2025 Quant]])&gt;0, SUM(TblDetailBudget[[#This Row],[2021 Quant]:[2025 Quant]]), ""), "")</f>
        <v/>
      </c>
      <c r="X5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0" s="142">
        <f>SUM(TblDetailBudget[[#This Row],[2021 Cost (LCU)]:[2025 Cost (LCU)]])</f>
        <v>0</v>
      </c>
      <c r="AD500" s="135">
        <f>IFERROR(SUM(TblDetailBudget[[#This Row],[2021 Cost (LCU)]])/FX_Rate, "")</f>
        <v>0</v>
      </c>
      <c r="AE500" s="86">
        <f>IFERROR(SUM(TblDetailBudget[[#This Row],[2022 Cost (LCU)]])/FX_Rate, "")</f>
        <v>0</v>
      </c>
      <c r="AF500" s="86">
        <f>IFERROR(SUM(TblDetailBudget[[#This Row],[2023 Cost (LCU)]])/FX_Rate, "")</f>
        <v>0</v>
      </c>
      <c r="AG500" s="86">
        <f>IFERROR(SUM(TblDetailBudget[[#This Row],[2024 Cost (LCU)]])/FX_Rate, "")</f>
        <v>0</v>
      </c>
      <c r="AH500" s="86">
        <f>IFERROR(SUM(TblDetailBudget[[#This Row],[2025 Cost (LCU)]])/FX_Rate, "")</f>
        <v>0</v>
      </c>
      <c r="AI500" s="126">
        <f>SUM(TblDetailBudget[[#This Row],[2021 Cost (USD)]:[2025 Cost (USD)]])</f>
        <v>0</v>
      </c>
      <c r="AJ500" s="180"/>
    </row>
    <row r="501" spans="2:36" ht="12.75" customHeight="1">
      <c r="B501" s="123"/>
      <c r="C5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1" s="85" t="str">
        <f>IF(TblDetailBudget[[#This Row],[Level]]="", "", COUNTIFS($B$8:TblDetailBudget[[#This Row],[Level]], Lvl1Hdr))</f>
        <v/>
      </c>
      <c r="E501" s="85" t="str">
        <f>IF(TblDetailBudget[[#This Row],[Level]]="", "", COUNTIFS($B$8:TblDetailBudget[[#This Row],[Level]], Lvl2Hdr, $D$8:TblDetailBudget[[#This Row],[Lvl 1 Header]], TblDetailBudget[[#This Row],[Lvl 1 Header]]))</f>
        <v/>
      </c>
      <c r="F501" s="85" t="str">
        <f>IF(TblDetailBudget[[#This Row],[Level]]="", "", COUNTIFS($B$8:TblDetailBudget[[#This Row],[Level]], Lvl3Hdr, $D$8:TblDetailBudget[[#This Row],[Lvl 1 Header]], TblDetailBudget[[#This Row],[Lvl 1 Header]], $E$8:TblDetailBudget[[#This Row],[Lvl 2 Header]], TblDetailBudget[[#This Row],[Lvl 2 Header]]))</f>
        <v/>
      </c>
      <c r="G5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1" s="164"/>
      <c r="J501" s="164"/>
      <c r="K501" s="165"/>
      <c r="L501" s="165"/>
      <c r="M501" s="85" t="str">
        <f>IF(TblDetailBudget[[#This Row],[Level]]=LvlBottomHdr, IFERROR(INDEX(TblUnitCost[Unit], MATCH(TblDetailBudget[[#This Row],[Row Title]], TblUnitCost[Resource], 0)), "Invalid Resource"), "")</f>
        <v/>
      </c>
      <c r="N501" s="126" t="str">
        <f>IF(TblDetailBudget[[#This Row],[Level]]=LvlBottomHdr, IFERROR(INDEX(TblUnitCost[LCU], MATCH(TblDetailBudget[[#This Row],[Row Title]], TblUnitCost[Resource], 0)), "Invalid Resource"), "")</f>
        <v/>
      </c>
      <c r="O501" s="130"/>
      <c r="P501" s="109"/>
      <c r="Q501" s="131"/>
      <c r="R501" s="109" t="s">
        <v>66</v>
      </c>
      <c r="S501" s="109" t="s">
        <v>66</v>
      </c>
      <c r="T501" s="109" t="s">
        <v>66</v>
      </c>
      <c r="U501" s="109" t="s">
        <v>66</v>
      </c>
      <c r="V501" s="109" t="s">
        <v>66</v>
      </c>
      <c r="W501" s="126" t="str">
        <f>IF(TblDetailBudget[[#This Row],[Level]]=LvlBottomHdr, IF(SUM(TblDetailBudget[[#This Row],[2021 Quant]:[2025 Quant]])&gt;0, SUM(TblDetailBudget[[#This Row],[2021 Quant]:[2025 Quant]]), ""), "")</f>
        <v/>
      </c>
      <c r="X5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1" s="142">
        <f>SUM(TblDetailBudget[[#This Row],[2021 Cost (LCU)]:[2025 Cost (LCU)]])</f>
        <v>0</v>
      </c>
      <c r="AD501" s="135">
        <f>IFERROR(SUM(TblDetailBudget[[#This Row],[2021 Cost (LCU)]])/FX_Rate, "")</f>
        <v>0</v>
      </c>
      <c r="AE501" s="86">
        <f>IFERROR(SUM(TblDetailBudget[[#This Row],[2022 Cost (LCU)]])/FX_Rate, "")</f>
        <v>0</v>
      </c>
      <c r="AF501" s="86">
        <f>IFERROR(SUM(TblDetailBudget[[#This Row],[2023 Cost (LCU)]])/FX_Rate, "")</f>
        <v>0</v>
      </c>
      <c r="AG501" s="86">
        <f>IFERROR(SUM(TblDetailBudget[[#This Row],[2024 Cost (LCU)]])/FX_Rate, "")</f>
        <v>0</v>
      </c>
      <c r="AH501" s="86">
        <f>IFERROR(SUM(TblDetailBudget[[#This Row],[2025 Cost (LCU)]])/FX_Rate, "")</f>
        <v>0</v>
      </c>
      <c r="AI501" s="126">
        <f>SUM(TblDetailBudget[[#This Row],[2021 Cost (USD)]:[2025 Cost (USD)]])</f>
        <v>0</v>
      </c>
      <c r="AJ501" s="180"/>
    </row>
    <row r="502" spans="2:36" ht="12.75" customHeight="1">
      <c r="B502" s="123"/>
      <c r="C5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2" s="85" t="str">
        <f>IF(TblDetailBudget[[#This Row],[Level]]="", "", COUNTIFS($B$8:TblDetailBudget[[#This Row],[Level]], Lvl1Hdr))</f>
        <v/>
      </c>
      <c r="E502" s="85" t="str">
        <f>IF(TblDetailBudget[[#This Row],[Level]]="", "", COUNTIFS($B$8:TblDetailBudget[[#This Row],[Level]], Lvl2Hdr, $D$8:TblDetailBudget[[#This Row],[Lvl 1 Header]], TblDetailBudget[[#This Row],[Lvl 1 Header]]))</f>
        <v/>
      </c>
      <c r="F502" s="85" t="str">
        <f>IF(TblDetailBudget[[#This Row],[Level]]="", "", COUNTIFS($B$8:TblDetailBudget[[#This Row],[Level]], Lvl3Hdr, $D$8:TblDetailBudget[[#This Row],[Lvl 1 Header]], TblDetailBudget[[#This Row],[Lvl 1 Header]], $E$8:TblDetailBudget[[#This Row],[Lvl 2 Header]], TblDetailBudget[[#This Row],[Lvl 2 Header]]))</f>
        <v/>
      </c>
      <c r="G5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2" s="164"/>
      <c r="J502" s="164"/>
      <c r="K502" s="165"/>
      <c r="L502" s="165"/>
      <c r="M502" s="85" t="str">
        <f>IF(TblDetailBudget[[#This Row],[Level]]=LvlBottomHdr, IFERROR(INDEX(TblUnitCost[Unit], MATCH(TblDetailBudget[[#This Row],[Row Title]], TblUnitCost[Resource], 0)), "Invalid Resource"), "")</f>
        <v/>
      </c>
      <c r="N502" s="126" t="str">
        <f>IF(TblDetailBudget[[#This Row],[Level]]=LvlBottomHdr, IFERROR(INDEX(TblUnitCost[LCU], MATCH(TblDetailBudget[[#This Row],[Row Title]], TblUnitCost[Resource], 0)), "Invalid Resource"), "")</f>
        <v/>
      </c>
      <c r="O502" s="130"/>
      <c r="P502" s="109"/>
      <c r="Q502" s="131"/>
      <c r="R502" s="109" t="s">
        <v>66</v>
      </c>
      <c r="S502" s="109" t="s">
        <v>66</v>
      </c>
      <c r="T502" s="109" t="s">
        <v>66</v>
      </c>
      <c r="U502" s="109" t="s">
        <v>66</v>
      </c>
      <c r="V502" s="109" t="s">
        <v>66</v>
      </c>
      <c r="W502" s="126" t="str">
        <f>IF(TblDetailBudget[[#This Row],[Level]]=LvlBottomHdr, IF(SUM(TblDetailBudget[[#This Row],[2021 Quant]:[2025 Quant]])&gt;0, SUM(TblDetailBudget[[#This Row],[2021 Quant]:[2025 Quant]]), ""), "")</f>
        <v/>
      </c>
      <c r="X5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2" s="142">
        <f>SUM(TblDetailBudget[[#This Row],[2021 Cost (LCU)]:[2025 Cost (LCU)]])</f>
        <v>0</v>
      </c>
      <c r="AD502" s="135">
        <f>IFERROR(SUM(TblDetailBudget[[#This Row],[2021 Cost (LCU)]])/FX_Rate, "")</f>
        <v>0</v>
      </c>
      <c r="AE502" s="86">
        <f>IFERROR(SUM(TblDetailBudget[[#This Row],[2022 Cost (LCU)]])/FX_Rate, "")</f>
        <v>0</v>
      </c>
      <c r="AF502" s="86">
        <f>IFERROR(SUM(TblDetailBudget[[#This Row],[2023 Cost (LCU)]])/FX_Rate, "")</f>
        <v>0</v>
      </c>
      <c r="AG502" s="86">
        <f>IFERROR(SUM(TblDetailBudget[[#This Row],[2024 Cost (LCU)]])/FX_Rate, "")</f>
        <v>0</v>
      </c>
      <c r="AH502" s="86">
        <f>IFERROR(SUM(TblDetailBudget[[#This Row],[2025 Cost (LCU)]])/FX_Rate, "")</f>
        <v>0</v>
      </c>
      <c r="AI502" s="126">
        <f>SUM(TblDetailBudget[[#This Row],[2021 Cost (USD)]:[2025 Cost (USD)]])</f>
        <v>0</v>
      </c>
      <c r="AJ502" s="180"/>
    </row>
    <row r="503" spans="2:36" ht="12.75" customHeight="1">
      <c r="B503" s="123"/>
      <c r="C5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3" s="85" t="str">
        <f>IF(TblDetailBudget[[#This Row],[Level]]="", "", COUNTIFS($B$8:TblDetailBudget[[#This Row],[Level]], Lvl1Hdr))</f>
        <v/>
      </c>
      <c r="E503" s="85" t="str">
        <f>IF(TblDetailBudget[[#This Row],[Level]]="", "", COUNTIFS($B$8:TblDetailBudget[[#This Row],[Level]], Lvl2Hdr, $D$8:TblDetailBudget[[#This Row],[Lvl 1 Header]], TblDetailBudget[[#This Row],[Lvl 1 Header]]))</f>
        <v/>
      </c>
      <c r="F503" s="85" t="str">
        <f>IF(TblDetailBudget[[#This Row],[Level]]="", "", COUNTIFS($B$8:TblDetailBudget[[#This Row],[Level]], Lvl3Hdr, $D$8:TblDetailBudget[[#This Row],[Lvl 1 Header]], TblDetailBudget[[#This Row],[Lvl 1 Header]], $E$8:TblDetailBudget[[#This Row],[Lvl 2 Header]], TblDetailBudget[[#This Row],[Lvl 2 Header]]))</f>
        <v/>
      </c>
      <c r="G5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3" s="164"/>
      <c r="J503" s="164"/>
      <c r="K503" s="165"/>
      <c r="L503" s="165"/>
      <c r="M503" s="85" t="str">
        <f>IF(TblDetailBudget[[#This Row],[Level]]=LvlBottomHdr, IFERROR(INDEX(TblUnitCost[Unit], MATCH(TblDetailBudget[[#This Row],[Row Title]], TblUnitCost[Resource], 0)), "Invalid Resource"), "")</f>
        <v/>
      </c>
      <c r="N503" s="126" t="str">
        <f>IF(TblDetailBudget[[#This Row],[Level]]=LvlBottomHdr, IFERROR(INDEX(TblUnitCost[LCU], MATCH(TblDetailBudget[[#This Row],[Row Title]], TblUnitCost[Resource], 0)), "Invalid Resource"), "")</f>
        <v/>
      </c>
      <c r="O503" s="130"/>
      <c r="P503" s="109"/>
      <c r="Q503" s="131"/>
      <c r="R503" s="109" t="s">
        <v>66</v>
      </c>
      <c r="S503" s="109" t="s">
        <v>66</v>
      </c>
      <c r="T503" s="109" t="s">
        <v>66</v>
      </c>
      <c r="U503" s="109" t="s">
        <v>66</v>
      </c>
      <c r="V503" s="109" t="s">
        <v>66</v>
      </c>
      <c r="W503" s="126" t="str">
        <f>IF(TblDetailBudget[[#This Row],[Level]]=LvlBottomHdr, IF(SUM(TblDetailBudget[[#This Row],[2021 Quant]:[2025 Quant]])&gt;0, SUM(TblDetailBudget[[#This Row],[2021 Quant]:[2025 Quant]]), ""), "")</f>
        <v/>
      </c>
      <c r="X5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3" s="142">
        <f>SUM(TblDetailBudget[[#This Row],[2021 Cost (LCU)]:[2025 Cost (LCU)]])</f>
        <v>0</v>
      </c>
      <c r="AD503" s="135">
        <f>IFERROR(SUM(TblDetailBudget[[#This Row],[2021 Cost (LCU)]])/FX_Rate, "")</f>
        <v>0</v>
      </c>
      <c r="AE503" s="86">
        <f>IFERROR(SUM(TblDetailBudget[[#This Row],[2022 Cost (LCU)]])/FX_Rate, "")</f>
        <v>0</v>
      </c>
      <c r="AF503" s="86">
        <f>IFERROR(SUM(TblDetailBudget[[#This Row],[2023 Cost (LCU)]])/FX_Rate, "")</f>
        <v>0</v>
      </c>
      <c r="AG503" s="86">
        <f>IFERROR(SUM(TblDetailBudget[[#This Row],[2024 Cost (LCU)]])/FX_Rate, "")</f>
        <v>0</v>
      </c>
      <c r="AH503" s="86">
        <f>IFERROR(SUM(TblDetailBudget[[#This Row],[2025 Cost (LCU)]])/FX_Rate, "")</f>
        <v>0</v>
      </c>
      <c r="AI503" s="126">
        <f>SUM(TblDetailBudget[[#This Row],[2021 Cost (USD)]:[2025 Cost (USD)]])</f>
        <v>0</v>
      </c>
      <c r="AJ503" s="180"/>
    </row>
    <row r="504" spans="2:36" ht="12.75" customHeight="1">
      <c r="B504" s="123"/>
      <c r="C5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4" s="85" t="str">
        <f>IF(TblDetailBudget[[#This Row],[Level]]="", "", COUNTIFS($B$8:TblDetailBudget[[#This Row],[Level]], Lvl1Hdr))</f>
        <v/>
      </c>
      <c r="E504" s="85" t="str">
        <f>IF(TblDetailBudget[[#This Row],[Level]]="", "", COUNTIFS($B$8:TblDetailBudget[[#This Row],[Level]], Lvl2Hdr, $D$8:TblDetailBudget[[#This Row],[Lvl 1 Header]], TblDetailBudget[[#This Row],[Lvl 1 Header]]))</f>
        <v/>
      </c>
      <c r="F504" s="85" t="str">
        <f>IF(TblDetailBudget[[#This Row],[Level]]="", "", COUNTIFS($B$8:TblDetailBudget[[#This Row],[Level]], Lvl3Hdr, $D$8:TblDetailBudget[[#This Row],[Lvl 1 Header]], TblDetailBudget[[#This Row],[Lvl 1 Header]], $E$8:TblDetailBudget[[#This Row],[Lvl 2 Header]], TblDetailBudget[[#This Row],[Lvl 2 Header]]))</f>
        <v/>
      </c>
      <c r="G5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4" s="164"/>
      <c r="J504" s="164"/>
      <c r="K504" s="165"/>
      <c r="L504" s="165"/>
      <c r="M504" s="85" t="str">
        <f>IF(TblDetailBudget[[#This Row],[Level]]=LvlBottomHdr, IFERROR(INDEX(TblUnitCost[Unit], MATCH(TblDetailBudget[[#This Row],[Row Title]], TblUnitCost[Resource], 0)), "Invalid Resource"), "")</f>
        <v/>
      </c>
      <c r="N504" s="126" t="str">
        <f>IF(TblDetailBudget[[#This Row],[Level]]=LvlBottomHdr, IFERROR(INDEX(TblUnitCost[LCU], MATCH(TblDetailBudget[[#This Row],[Row Title]], TblUnitCost[Resource], 0)), "Invalid Resource"), "")</f>
        <v/>
      </c>
      <c r="O504" s="130"/>
      <c r="P504" s="109"/>
      <c r="Q504" s="131"/>
      <c r="R504" s="109" t="s">
        <v>66</v>
      </c>
      <c r="S504" s="109" t="s">
        <v>66</v>
      </c>
      <c r="T504" s="109" t="s">
        <v>66</v>
      </c>
      <c r="U504" s="109" t="s">
        <v>66</v>
      </c>
      <c r="V504" s="109" t="s">
        <v>66</v>
      </c>
      <c r="W504" s="126" t="str">
        <f>IF(TblDetailBudget[[#This Row],[Level]]=LvlBottomHdr, IF(SUM(TblDetailBudget[[#This Row],[2021 Quant]:[2025 Quant]])&gt;0, SUM(TblDetailBudget[[#This Row],[2021 Quant]:[2025 Quant]]), ""), "")</f>
        <v/>
      </c>
      <c r="X5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4" s="142">
        <f>SUM(TblDetailBudget[[#This Row],[2021 Cost (LCU)]:[2025 Cost (LCU)]])</f>
        <v>0</v>
      </c>
      <c r="AD504" s="135">
        <f>IFERROR(SUM(TblDetailBudget[[#This Row],[2021 Cost (LCU)]])/FX_Rate, "")</f>
        <v>0</v>
      </c>
      <c r="AE504" s="86">
        <f>IFERROR(SUM(TblDetailBudget[[#This Row],[2022 Cost (LCU)]])/FX_Rate, "")</f>
        <v>0</v>
      </c>
      <c r="AF504" s="86">
        <f>IFERROR(SUM(TblDetailBudget[[#This Row],[2023 Cost (LCU)]])/FX_Rate, "")</f>
        <v>0</v>
      </c>
      <c r="AG504" s="86">
        <f>IFERROR(SUM(TblDetailBudget[[#This Row],[2024 Cost (LCU)]])/FX_Rate, "")</f>
        <v>0</v>
      </c>
      <c r="AH504" s="86">
        <f>IFERROR(SUM(TblDetailBudget[[#This Row],[2025 Cost (LCU)]])/FX_Rate, "")</f>
        <v>0</v>
      </c>
      <c r="AI504" s="126">
        <f>SUM(TblDetailBudget[[#This Row],[2021 Cost (USD)]:[2025 Cost (USD)]])</f>
        <v>0</v>
      </c>
      <c r="AJ504" s="180"/>
    </row>
    <row r="505" spans="2:36" ht="12.75" customHeight="1">
      <c r="B505" s="123"/>
      <c r="C5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5" s="85" t="str">
        <f>IF(TblDetailBudget[[#This Row],[Level]]="", "", COUNTIFS($B$8:TblDetailBudget[[#This Row],[Level]], Lvl1Hdr))</f>
        <v/>
      </c>
      <c r="E505" s="85" t="str">
        <f>IF(TblDetailBudget[[#This Row],[Level]]="", "", COUNTIFS($B$8:TblDetailBudget[[#This Row],[Level]], Lvl2Hdr, $D$8:TblDetailBudget[[#This Row],[Lvl 1 Header]], TblDetailBudget[[#This Row],[Lvl 1 Header]]))</f>
        <v/>
      </c>
      <c r="F505" s="85" t="str">
        <f>IF(TblDetailBudget[[#This Row],[Level]]="", "", COUNTIFS($B$8:TblDetailBudget[[#This Row],[Level]], Lvl3Hdr, $D$8:TblDetailBudget[[#This Row],[Lvl 1 Header]], TblDetailBudget[[#This Row],[Lvl 1 Header]], $E$8:TblDetailBudget[[#This Row],[Lvl 2 Header]], TblDetailBudget[[#This Row],[Lvl 2 Header]]))</f>
        <v/>
      </c>
      <c r="G5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5" s="164"/>
      <c r="J505" s="164"/>
      <c r="K505" s="165"/>
      <c r="L505" s="165"/>
      <c r="M505" s="85" t="str">
        <f>IF(TblDetailBudget[[#This Row],[Level]]=LvlBottomHdr, IFERROR(INDEX(TblUnitCost[Unit], MATCH(TblDetailBudget[[#This Row],[Row Title]], TblUnitCost[Resource], 0)), "Invalid Resource"), "")</f>
        <v/>
      </c>
      <c r="N505" s="126" t="str">
        <f>IF(TblDetailBudget[[#This Row],[Level]]=LvlBottomHdr, IFERROR(INDEX(TblUnitCost[LCU], MATCH(TblDetailBudget[[#This Row],[Row Title]], TblUnitCost[Resource], 0)), "Invalid Resource"), "")</f>
        <v/>
      </c>
      <c r="O505" s="130"/>
      <c r="P505" s="109"/>
      <c r="Q505" s="131"/>
      <c r="R505" s="109" t="s">
        <v>66</v>
      </c>
      <c r="S505" s="109" t="s">
        <v>66</v>
      </c>
      <c r="T505" s="109" t="s">
        <v>66</v>
      </c>
      <c r="U505" s="109" t="s">
        <v>66</v>
      </c>
      <c r="V505" s="109" t="s">
        <v>66</v>
      </c>
      <c r="W505" s="126" t="str">
        <f>IF(TblDetailBudget[[#This Row],[Level]]=LvlBottomHdr, IF(SUM(TblDetailBudget[[#This Row],[2021 Quant]:[2025 Quant]])&gt;0, SUM(TblDetailBudget[[#This Row],[2021 Quant]:[2025 Quant]]), ""), "")</f>
        <v/>
      </c>
      <c r="X5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5" s="142">
        <f>SUM(TblDetailBudget[[#This Row],[2021 Cost (LCU)]:[2025 Cost (LCU)]])</f>
        <v>0</v>
      </c>
      <c r="AD505" s="135">
        <f>IFERROR(SUM(TblDetailBudget[[#This Row],[2021 Cost (LCU)]])/FX_Rate, "")</f>
        <v>0</v>
      </c>
      <c r="AE505" s="86">
        <f>IFERROR(SUM(TblDetailBudget[[#This Row],[2022 Cost (LCU)]])/FX_Rate, "")</f>
        <v>0</v>
      </c>
      <c r="AF505" s="86">
        <f>IFERROR(SUM(TblDetailBudget[[#This Row],[2023 Cost (LCU)]])/FX_Rate, "")</f>
        <v>0</v>
      </c>
      <c r="AG505" s="86">
        <f>IFERROR(SUM(TblDetailBudget[[#This Row],[2024 Cost (LCU)]])/FX_Rate, "")</f>
        <v>0</v>
      </c>
      <c r="AH505" s="86">
        <f>IFERROR(SUM(TblDetailBudget[[#This Row],[2025 Cost (LCU)]])/FX_Rate, "")</f>
        <v>0</v>
      </c>
      <c r="AI505" s="126">
        <f>SUM(TblDetailBudget[[#This Row],[2021 Cost (USD)]:[2025 Cost (USD)]])</f>
        <v>0</v>
      </c>
      <c r="AJ505" s="180"/>
    </row>
    <row r="506" spans="2:36" ht="12.75" customHeight="1">
      <c r="B506" s="123"/>
      <c r="C5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6" s="85" t="str">
        <f>IF(TblDetailBudget[[#This Row],[Level]]="", "", COUNTIFS($B$8:TblDetailBudget[[#This Row],[Level]], Lvl1Hdr))</f>
        <v/>
      </c>
      <c r="E506" s="85" t="str">
        <f>IF(TblDetailBudget[[#This Row],[Level]]="", "", COUNTIFS($B$8:TblDetailBudget[[#This Row],[Level]], Lvl2Hdr, $D$8:TblDetailBudget[[#This Row],[Lvl 1 Header]], TblDetailBudget[[#This Row],[Lvl 1 Header]]))</f>
        <v/>
      </c>
      <c r="F506" s="85" t="str">
        <f>IF(TblDetailBudget[[#This Row],[Level]]="", "", COUNTIFS($B$8:TblDetailBudget[[#This Row],[Level]], Lvl3Hdr, $D$8:TblDetailBudget[[#This Row],[Lvl 1 Header]], TblDetailBudget[[#This Row],[Lvl 1 Header]], $E$8:TblDetailBudget[[#This Row],[Lvl 2 Header]], TblDetailBudget[[#This Row],[Lvl 2 Header]]))</f>
        <v/>
      </c>
      <c r="G5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6" s="164"/>
      <c r="J506" s="164"/>
      <c r="K506" s="165"/>
      <c r="L506" s="165"/>
      <c r="M506" s="85" t="str">
        <f>IF(TblDetailBudget[[#This Row],[Level]]=LvlBottomHdr, IFERROR(INDEX(TblUnitCost[Unit], MATCH(TblDetailBudget[[#This Row],[Row Title]], TblUnitCost[Resource], 0)), "Invalid Resource"), "")</f>
        <v/>
      </c>
      <c r="N506" s="126" t="str">
        <f>IF(TblDetailBudget[[#This Row],[Level]]=LvlBottomHdr, IFERROR(INDEX(TblUnitCost[LCU], MATCH(TblDetailBudget[[#This Row],[Row Title]], TblUnitCost[Resource], 0)), "Invalid Resource"), "")</f>
        <v/>
      </c>
      <c r="O506" s="130"/>
      <c r="P506" s="109"/>
      <c r="Q506" s="131"/>
      <c r="R506" s="109" t="s">
        <v>66</v>
      </c>
      <c r="S506" s="109" t="s">
        <v>66</v>
      </c>
      <c r="T506" s="109" t="s">
        <v>66</v>
      </c>
      <c r="U506" s="109" t="s">
        <v>66</v>
      </c>
      <c r="V506" s="109" t="s">
        <v>66</v>
      </c>
      <c r="W506" s="126" t="str">
        <f>IF(TblDetailBudget[[#This Row],[Level]]=LvlBottomHdr, IF(SUM(TblDetailBudget[[#This Row],[2021 Quant]:[2025 Quant]])&gt;0, SUM(TblDetailBudget[[#This Row],[2021 Quant]:[2025 Quant]]), ""), "")</f>
        <v/>
      </c>
      <c r="X5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6" s="142">
        <f>SUM(TblDetailBudget[[#This Row],[2021 Cost (LCU)]:[2025 Cost (LCU)]])</f>
        <v>0</v>
      </c>
      <c r="AD506" s="135">
        <f>IFERROR(SUM(TblDetailBudget[[#This Row],[2021 Cost (LCU)]])/FX_Rate, "")</f>
        <v>0</v>
      </c>
      <c r="AE506" s="86">
        <f>IFERROR(SUM(TblDetailBudget[[#This Row],[2022 Cost (LCU)]])/FX_Rate, "")</f>
        <v>0</v>
      </c>
      <c r="AF506" s="86">
        <f>IFERROR(SUM(TblDetailBudget[[#This Row],[2023 Cost (LCU)]])/FX_Rate, "")</f>
        <v>0</v>
      </c>
      <c r="AG506" s="86">
        <f>IFERROR(SUM(TblDetailBudget[[#This Row],[2024 Cost (LCU)]])/FX_Rate, "")</f>
        <v>0</v>
      </c>
      <c r="AH506" s="86">
        <f>IFERROR(SUM(TblDetailBudget[[#This Row],[2025 Cost (LCU)]])/FX_Rate, "")</f>
        <v>0</v>
      </c>
      <c r="AI506" s="126">
        <f>SUM(TblDetailBudget[[#This Row],[2021 Cost (USD)]:[2025 Cost (USD)]])</f>
        <v>0</v>
      </c>
      <c r="AJ506" s="180"/>
    </row>
    <row r="507" spans="2:36" ht="12.75" customHeight="1">
      <c r="B507" s="123"/>
      <c r="C5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7" s="85" t="str">
        <f>IF(TblDetailBudget[[#This Row],[Level]]="", "", COUNTIFS($B$8:TblDetailBudget[[#This Row],[Level]], Lvl1Hdr))</f>
        <v/>
      </c>
      <c r="E507" s="85" t="str">
        <f>IF(TblDetailBudget[[#This Row],[Level]]="", "", COUNTIFS($B$8:TblDetailBudget[[#This Row],[Level]], Lvl2Hdr, $D$8:TblDetailBudget[[#This Row],[Lvl 1 Header]], TblDetailBudget[[#This Row],[Lvl 1 Header]]))</f>
        <v/>
      </c>
      <c r="F507" s="85" t="str">
        <f>IF(TblDetailBudget[[#This Row],[Level]]="", "", COUNTIFS($B$8:TblDetailBudget[[#This Row],[Level]], Lvl3Hdr, $D$8:TblDetailBudget[[#This Row],[Lvl 1 Header]], TblDetailBudget[[#This Row],[Lvl 1 Header]], $E$8:TblDetailBudget[[#This Row],[Lvl 2 Header]], TblDetailBudget[[#This Row],[Lvl 2 Header]]))</f>
        <v/>
      </c>
      <c r="G5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7" s="164"/>
      <c r="J507" s="164"/>
      <c r="K507" s="165"/>
      <c r="L507" s="165"/>
      <c r="M507" s="85" t="str">
        <f>IF(TblDetailBudget[[#This Row],[Level]]=LvlBottomHdr, IFERROR(INDEX(TblUnitCost[Unit], MATCH(TblDetailBudget[[#This Row],[Row Title]], TblUnitCost[Resource], 0)), "Invalid Resource"), "")</f>
        <v/>
      </c>
      <c r="N507" s="126" t="str">
        <f>IF(TblDetailBudget[[#This Row],[Level]]=LvlBottomHdr, IFERROR(INDEX(TblUnitCost[LCU], MATCH(TblDetailBudget[[#This Row],[Row Title]], TblUnitCost[Resource], 0)), "Invalid Resource"), "")</f>
        <v/>
      </c>
      <c r="O507" s="130"/>
      <c r="P507" s="109"/>
      <c r="Q507" s="131"/>
      <c r="R507" s="109" t="s">
        <v>66</v>
      </c>
      <c r="S507" s="109" t="s">
        <v>66</v>
      </c>
      <c r="T507" s="109" t="s">
        <v>66</v>
      </c>
      <c r="U507" s="109" t="s">
        <v>66</v>
      </c>
      <c r="V507" s="109" t="s">
        <v>66</v>
      </c>
      <c r="W507" s="126" t="str">
        <f>IF(TblDetailBudget[[#This Row],[Level]]=LvlBottomHdr, IF(SUM(TblDetailBudget[[#This Row],[2021 Quant]:[2025 Quant]])&gt;0, SUM(TblDetailBudget[[#This Row],[2021 Quant]:[2025 Quant]]), ""), "")</f>
        <v/>
      </c>
      <c r="X5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7" s="142">
        <f>SUM(TblDetailBudget[[#This Row],[2021 Cost (LCU)]:[2025 Cost (LCU)]])</f>
        <v>0</v>
      </c>
      <c r="AD507" s="135">
        <f>IFERROR(SUM(TblDetailBudget[[#This Row],[2021 Cost (LCU)]])/FX_Rate, "")</f>
        <v>0</v>
      </c>
      <c r="AE507" s="86">
        <f>IFERROR(SUM(TblDetailBudget[[#This Row],[2022 Cost (LCU)]])/FX_Rate, "")</f>
        <v>0</v>
      </c>
      <c r="AF507" s="86">
        <f>IFERROR(SUM(TblDetailBudget[[#This Row],[2023 Cost (LCU)]])/FX_Rate, "")</f>
        <v>0</v>
      </c>
      <c r="AG507" s="86">
        <f>IFERROR(SUM(TblDetailBudget[[#This Row],[2024 Cost (LCU)]])/FX_Rate, "")</f>
        <v>0</v>
      </c>
      <c r="AH507" s="86">
        <f>IFERROR(SUM(TblDetailBudget[[#This Row],[2025 Cost (LCU)]])/FX_Rate, "")</f>
        <v>0</v>
      </c>
      <c r="AI507" s="126">
        <f>SUM(TblDetailBudget[[#This Row],[2021 Cost (USD)]:[2025 Cost (USD)]])</f>
        <v>0</v>
      </c>
      <c r="AJ507" s="180"/>
    </row>
    <row r="508" spans="2:36" ht="12.75" customHeight="1">
      <c r="B508" s="123"/>
      <c r="C5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8" s="85" t="str">
        <f>IF(TblDetailBudget[[#This Row],[Level]]="", "", COUNTIFS($B$8:TblDetailBudget[[#This Row],[Level]], Lvl1Hdr))</f>
        <v/>
      </c>
      <c r="E508" s="85" t="str">
        <f>IF(TblDetailBudget[[#This Row],[Level]]="", "", COUNTIFS($B$8:TblDetailBudget[[#This Row],[Level]], Lvl2Hdr, $D$8:TblDetailBudget[[#This Row],[Lvl 1 Header]], TblDetailBudget[[#This Row],[Lvl 1 Header]]))</f>
        <v/>
      </c>
      <c r="F508" s="85" t="str">
        <f>IF(TblDetailBudget[[#This Row],[Level]]="", "", COUNTIFS($B$8:TblDetailBudget[[#This Row],[Level]], Lvl3Hdr, $D$8:TblDetailBudget[[#This Row],[Lvl 1 Header]], TblDetailBudget[[#This Row],[Lvl 1 Header]], $E$8:TblDetailBudget[[#This Row],[Lvl 2 Header]], TblDetailBudget[[#This Row],[Lvl 2 Header]]))</f>
        <v/>
      </c>
      <c r="G5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8" s="164"/>
      <c r="J508" s="164"/>
      <c r="K508" s="165"/>
      <c r="L508" s="165"/>
      <c r="M508" s="85" t="str">
        <f>IF(TblDetailBudget[[#This Row],[Level]]=LvlBottomHdr, IFERROR(INDEX(TblUnitCost[Unit], MATCH(TblDetailBudget[[#This Row],[Row Title]], TblUnitCost[Resource], 0)), "Invalid Resource"), "")</f>
        <v/>
      </c>
      <c r="N508" s="126" t="str">
        <f>IF(TblDetailBudget[[#This Row],[Level]]=LvlBottomHdr, IFERROR(INDEX(TblUnitCost[LCU], MATCH(TblDetailBudget[[#This Row],[Row Title]], TblUnitCost[Resource], 0)), "Invalid Resource"), "")</f>
        <v/>
      </c>
      <c r="O508" s="130"/>
      <c r="P508" s="109"/>
      <c r="Q508" s="131"/>
      <c r="R508" s="109" t="s">
        <v>66</v>
      </c>
      <c r="S508" s="109" t="s">
        <v>66</v>
      </c>
      <c r="T508" s="109" t="s">
        <v>66</v>
      </c>
      <c r="U508" s="109" t="s">
        <v>66</v>
      </c>
      <c r="V508" s="109" t="s">
        <v>66</v>
      </c>
      <c r="W508" s="126" t="str">
        <f>IF(TblDetailBudget[[#This Row],[Level]]=LvlBottomHdr, IF(SUM(TblDetailBudget[[#This Row],[2021 Quant]:[2025 Quant]])&gt;0, SUM(TblDetailBudget[[#This Row],[2021 Quant]:[2025 Quant]]), ""), "")</f>
        <v/>
      </c>
      <c r="X5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8" s="142">
        <f>SUM(TblDetailBudget[[#This Row],[2021 Cost (LCU)]:[2025 Cost (LCU)]])</f>
        <v>0</v>
      </c>
      <c r="AD508" s="135">
        <f>IFERROR(SUM(TblDetailBudget[[#This Row],[2021 Cost (LCU)]])/FX_Rate, "")</f>
        <v>0</v>
      </c>
      <c r="AE508" s="86">
        <f>IFERROR(SUM(TblDetailBudget[[#This Row],[2022 Cost (LCU)]])/FX_Rate, "")</f>
        <v>0</v>
      </c>
      <c r="AF508" s="86">
        <f>IFERROR(SUM(TblDetailBudget[[#This Row],[2023 Cost (LCU)]])/FX_Rate, "")</f>
        <v>0</v>
      </c>
      <c r="AG508" s="86">
        <f>IFERROR(SUM(TblDetailBudget[[#This Row],[2024 Cost (LCU)]])/FX_Rate, "")</f>
        <v>0</v>
      </c>
      <c r="AH508" s="86">
        <f>IFERROR(SUM(TblDetailBudget[[#This Row],[2025 Cost (LCU)]])/FX_Rate, "")</f>
        <v>0</v>
      </c>
      <c r="AI508" s="126">
        <f>SUM(TblDetailBudget[[#This Row],[2021 Cost (USD)]:[2025 Cost (USD)]])</f>
        <v>0</v>
      </c>
      <c r="AJ508" s="180"/>
    </row>
    <row r="509" spans="2:36" ht="12.75" customHeight="1">
      <c r="B509" s="123"/>
      <c r="C5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9" s="85" t="str">
        <f>IF(TblDetailBudget[[#This Row],[Level]]="", "", COUNTIFS($B$8:TblDetailBudget[[#This Row],[Level]], Lvl1Hdr))</f>
        <v/>
      </c>
      <c r="E509" s="85" t="str">
        <f>IF(TblDetailBudget[[#This Row],[Level]]="", "", COUNTIFS($B$8:TblDetailBudget[[#This Row],[Level]], Lvl2Hdr, $D$8:TblDetailBudget[[#This Row],[Lvl 1 Header]], TblDetailBudget[[#This Row],[Lvl 1 Header]]))</f>
        <v/>
      </c>
      <c r="F509" s="85" t="str">
        <f>IF(TblDetailBudget[[#This Row],[Level]]="", "", COUNTIFS($B$8:TblDetailBudget[[#This Row],[Level]], Lvl3Hdr, $D$8:TblDetailBudget[[#This Row],[Lvl 1 Header]], TblDetailBudget[[#This Row],[Lvl 1 Header]], $E$8:TblDetailBudget[[#This Row],[Lvl 2 Header]], TblDetailBudget[[#This Row],[Lvl 2 Header]]))</f>
        <v/>
      </c>
      <c r="G5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9" s="164"/>
      <c r="J509" s="164"/>
      <c r="K509" s="165"/>
      <c r="L509" s="165"/>
      <c r="M509" s="85" t="str">
        <f>IF(TblDetailBudget[[#This Row],[Level]]=LvlBottomHdr, IFERROR(INDEX(TblUnitCost[Unit], MATCH(TblDetailBudget[[#This Row],[Row Title]], TblUnitCost[Resource], 0)), "Invalid Resource"), "")</f>
        <v/>
      </c>
      <c r="N509" s="126" t="str">
        <f>IF(TblDetailBudget[[#This Row],[Level]]=LvlBottomHdr, IFERROR(INDEX(TblUnitCost[LCU], MATCH(TblDetailBudget[[#This Row],[Row Title]], TblUnitCost[Resource], 0)), "Invalid Resource"), "")</f>
        <v/>
      </c>
      <c r="O509" s="130"/>
      <c r="P509" s="109"/>
      <c r="Q509" s="131"/>
      <c r="R509" s="109" t="s">
        <v>66</v>
      </c>
      <c r="S509" s="109" t="s">
        <v>66</v>
      </c>
      <c r="T509" s="109" t="s">
        <v>66</v>
      </c>
      <c r="U509" s="109" t="s">
        <v>66</v>
      </c>
      <c r="V509" s="109" t="s">
        <v>66</v>
      </c>
      <c r="W509" s="126" t="str">
        <f>IF(TblDetailBudget[[#This Row],[Level]]=LvlBottomHdr, IF(SUM(TblDetailBudget[[#This Row],[2021 Quant]:[2025 Quant]])&gt;0, SUM(TblDetailBudget[[#This Row],[2021 Quant]:[2025 Quant]]), ""), "")</f>
        <v/>
      </c>
      <c r="X5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9" s="142">
        <f>SUM(TblDetailBudget[[#This Row],[2021 Cost (LCU)]:[2025 Cost (LCU)]])</f>
        <v>0</v>
      </c>
      <c r="AD509" s="135">
        <f>IFERROR(SUM(TblDetailBudget[[#This Row],[2021 Cost (LCU)]])/FX_Rate, "")</f>
        <v>0</v>
      </c>
      <c r="AE509" s="86">
        <f>IFERROR(SUM(TblDetailBudget[[#This Row],[2022 Cost (LCU)]])/FX_Rate, "")</f>
        <v>0</v>
      </c>
      <c r="AF509" s="86">
        <f>IFERROR(SUM(TblDetailBudget[[#This Row],[2023 Cost (LCU)]])/FX_Rate, "")</f>
        <v>0</v>
      </c>
      <c r="AG509" s="86">
        <f>IFERROR(SUM(TblDetailBudget[[#This Row],[2024 Cost (LCU)]])/FX_Rate, "")</f>
        <v>0</v>
      </c>
      <c r="AH509" s="86">
        <f>IFERROR(SUM(TblDetailBudget[[#This Row],[2025 Cost (LCU)]])/FX_Rate, "")</f>
        <v>0</v>
      </c>
      <c r="AI509" s="126">
        <f>SUM(TblDetailBudget[[#This Row],[2021 Cost (USD)]:[2025 Cost (USD)]])</f>
        <v>0</v>
      </c>
      <c r="AJ509" s="180"/>
    </row>
    <row r="510" spans="2:36" ht="12.75" customHeight="1">
      <c r="B510" s="123"/>
      <c r="C5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0" s="85" t="str">
        <f>IF(TblDetailBudget[[#This Row],[Level]]="", "", COUNTIFS($B$8:TblDetailBudget[[#This Row],[Level]], Lvl1Hdr))</f>
        <v/>
      </c>
      <c r="E510" s="85" t="str">
        <f>IF(TblDetailBudget[[#This Row],[Level]]="", "", COUNTIFS($B$8:TblDetailBudget[[#This Row],[Level]], Lvl2Hdr, $D$8:TblDetailBudget[[#This Row],[Lvl 1 Header]], TblDetailBudget[[#This Row],[Lvl 1 Header]]))</f>
        <v/>
      </c>
      <c r="F510" s="85" t="str">
        <f>IF(TblDetailBudget[[#This Row],[Level]]="", "", COUNTIFS($B$8:TblDetailBudget[[#This Row],[Level]], Lvl3Hdr, $D$8:TblDetailBudget[[#This Row],[Lvl 1 Header]], TblDetailBudget[[#This Row],[Lvl 1 Header]], $E$8:TblDetailBudget[[#This Row],[Lvl 2 Header]], TblDetailBudget[[#This Row],[Lvl 2 Header]]))</f>
        <v/>
      </c>
      <c r="G5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0" s="164"/>
      <c r="J510" s="164"/>
      <c r="K510" s="165"/>
      <c r="L510" s="165"/>
      <c r="M510" s="85" t="str">
        <f>IF(TblDetailBudget[[#This Row],[Level]]=LvlBottomHdr, IFERROR(INDEX(TblUnitCost[Unit], MATCH(TblDetailBudget[[#This Row],[Row Title]], TblUnitCost[Resource], 0)), "Invalid Resource"), "")</f>
        <v/>
      </c>
      <c r="N510" s="126" t="str">
        <f>IF(TblDetailBudget[[#This Row],[Level]]=LvlBottomHdr, IFERROR(INDEX(TblUnitCost[LCU], MATCH(TblDetailBudget[[#This Row],[Row Title]], TblUnitCost[Resource], 0)), "Invalid Resource"), "")</f>
        <v/>
      </c>
      <c r="O510" s="130"/>
      <c r="P510" s="109"/>
      <c r="Q510" s="131"/>
      <c r="R510" s="109" t="s">
        <v>66</v>
      </c>
      <c r="S510" s="109" t="s">
        <v>66</v>
      </c>
      <c r="T510" s="109" t="s">
        <v>66</v>
      </c>
      <c r="U510" s="109" t="s">
        <v>66</v>
      </c>
      <c r="V510" s="109" t="s">
        <v>66</v>
      </c>
      <c r="W510" s="126" t="str">
        <f>IF(TblDetailBudget[[#This Row],[Level]]=LvlBottomHdr, IF(SUM(TblDetailBudget[[#This Row],[2021 Quant]:[2025 Quant]])&gt;0, SUM(TblDetailBudget[[#This Row],[2021 Quant]:[2025 Quant]]), ""), "")</f>
        <v/>
      </c>
      <c r="X5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0" s="142">
        <f>SUM(TblDetailBudget[[#This Row],[2021 Cost (LCU)]:[2025 Cost (LCU)]])</f>
        <v>0</v>
      </c>
      <c r="AD510" s="135">
        <f>IFERROR(SUM(TblDetailBudget[[#This Row],[2021 Cost (LCU)]])/FX_Rate, "")</f>
        <v>0</v>
      </c>
      <c r="AE510" s="86">
        <f>IFERROR(SUM(TblDetailBudget[[#This Row],[2022 Cost (LCU)]])/FX_Rate, "")</f>
        <v>0</v>
      </c>
      <c r="AF510" s="86">
        <f>IFERROR(SUM(TblDetailBudget[[#This Row],[2023 Cost (LCU)]])/FX_Rate, "")</f>
        <v>0</v>
      </c>
      <c r="AG510" s="86">
        <f>IFERROR(SUM(TblDetailBudget[[#This Row],[2024 Cost (LCU)]])/FX_Rate, "")</f>
        <v>0</v>
      </c>
      <c r="AH510" s="86">
        <f>IFERROR(SUM(TblDetailBudget[[#This Row],[2025 Cost (LCU)]])/FX_Rate, "")</f>
        <v>0</v>
      </c>
      <c r="AI510" s="126">
        <f>SUM(TblDetailBudget[[#This Row],[2021 Cost (USD)]:[2025 Cost (USD)]])</f>
        <v>0</v>
      </c>
      <c r="AJ510" s="180"/>
    </row>
    <row r="511" spans="2:36" ht="12.75" customHeight="1">
      <c r="B511" s="123"/>
      <c r="C5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1" s="85" t="str">
        <f>IF(TblDetailBudget[[#This Row],[Level]]="", "", COUNTIFS($B$8:TblDetailBudget[[#This Row],[Level]], Lvl1Hdr))</f>
        <v/>
      </c>
      <c r="E511" s="85" t="str">
        <f>IF(TblDetailBudget[[#This Row],[Level]]="", "", COUNTIFS($B$8:TblDetailBudget[[#This Row],[Level]], Lvl2Hdr, $D$8:TblDetailBudget[[#This Row],[Lvl 1 Header]], TblDetailBudget[[#This Row],[Lvl 1 Header]]))</f>
        <v/>
      </c>
      <c r="F511" s="85" t="str">
        <f>IF(TblDetailBudget[[#This Row],[Level]]="", "", COUNTIFS($B$8:TblDetailBudget[[#This Row],[Level]], Lvl3Hdr, $D$8:TblDetailBudget[[#This Row],[Lvl 1 Header]], TblDetailBudget[[#This Row],[Lvl 1 Header]], $E$8:TblDetailBudget[[#This Row],[Lvl 2 Header]], TblDetailBudget[[#This Row],[Lvl 2 Header]]))</f>
        <v/>
      </c>
      <c r="G5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1" s="164"/>
      <c r="J511" s="164"/>
      <c r="K511" s="165"/>
      <c r="L511" s="165"/>
      <c r="M511" s="85" t="str">
        <f>IF(TblDetailBudget[[#This Row],[Level]]=LvlBottomHdr, IFERROR(INDEX(TblUnitCost[Unit], MATCH(TblDetailBudget[[#This Row],[Row Title]], TblUnitCost[Resource], 0)), "Invalid Resource"), "")</f>
        <v/>
      </c>
      <c r="N511" s="126" t="str">
        <f>IF(TblDetailBudget[[#This Row],[Level]]=LvlBottomHdr, IFERROR(INDEX(TblUnitCost[LCU], MATCH(TblDetailBudget[[#This Row],[Row Title]], TblUnitCost[Resource], 0)), "Invalid Resource"), "")</f>
        <v/>
      </c>
      <c r="O511" s="130"/>
      <c r="P511" s="109"/>
      <c r="Q511" s="131"/>
      <c r="R511" s="109" t="s">
        <v>66</v>
      </c>
      <c r="S511" s="109" t="s">
        <v>66</v>
      </c>
      <c r="T511" s="109" t="s">
        <v>66</v>
      </c>
      <c r="U511" s="109" t="s">
        <v>66</v>
      </c>
      <c r="V511" s="109" t="s">
        <v>66</v>
      </c>
      <c r="W511" s="126" t="str">
        <f>IF(TblDetailBudget[[#This Row],[Level]]=LvlBottomHdr, IF(SUM(TblDetailBudget[[#This Row],[2021 Quant]:[2025 Quant]])&gt;0, SUM(TblDetailBudget[[#This Row],[2021 Quant]:[2025 Quant]]), ""), "")</f>
        <v/>
      </c>
      <c r="X5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1" s="142">
        <f>SUM(TblDetailBudget[[#This Row],[2021 Cost (LCU)]:[2025 Cost (LCU)]])</f>
        <v>0</v>
      </c>
      <c r="AD511" s="135">
        <f>IFERROR(SUM(TblDetailBudget[[#This Row],[2021 Cost (LCU)]])/FX_Rate, "")</f>
        <v>0</v>
      </c>
      <c r="AE511" s="86">
        <f>IFERROR(SUM(TblDetailBudget[[#This Row],[2022 Cost (LCU)]])/FX_Rate, "")</f>
        <v>0</v>
      </c>
      <c r="AF511" s="86">
        <f>IFERROR(SUM(TblDetailBudget[[#This Row],[2023 Cost (LCU)]])/FX_Rate, "")</f>
        <v>0</v>
      </c>
      <c r="AG511" s="86">
        <f>IFERROR(SUM(TblDetailBudget[[#This Row],[2024 Cost (LCU)]])/FX_Rate, "")</f>
        <v>0</v>
      </c>
      <c r="AH511" s="86">
        <f>IFERROR(SUM(TblDetailBudget[[#This Row],[2025 Cost (LCU)]])/FX_Rate, "")</f>
        <v>0</v>
      </c>
      <c r="AI511" s="126">
        <f>SUM(TblDetailBudget[[#This Row],[2021 Cost (USD)]:[2025 Cost (USD)]])</f>
        <v>0</v>
      </c>
      <c r="AJ511" s="180"/>
    </row>
    <row r="512" spans="2:36" ht="12.75" customHeight="1">
      <c r="B512" s="123"/>
      <c r="C5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2" s="85" t="str">
        <f>IF(TblDetailBudget[[#This Row],[Level]]="", "", COUNTIFS($B$8:TblDetailBudget[[#This Row],[Level]], Lvl1Hdr))</f>
        <v/>
      </c>
      <c r="E512" s="85" t="str">
        <f>IF(TblDetailBudget[[#This Row],[Level]]="", "", COUNTIFS($B$8:TblDetailBudget[[#This Row],[Level]], Lvl2Hdr, $D$8:TblDetailBudget[[#This Row],[Lvl 1 Header]], TblDetailBudget[[#This Row],[Lvl 1 Header]]))</f>
        <v/>
      </c>
      <c r="F512" s="85" t="str">
        <f>IF(TblDetailBudget[[#This Row],[Level]]="", "", COUNTIFS($B$8:TblDetailBudget[[#This Row],[Level]], Lvl3Hdr, $D$8:TblDetailBudget[[#This Row],[Lvl 1 Header]], TblDetailBudget[[#This Row],[Lvl 1 Header]], $E$8:TblDetailBudget[[#This Row],[Lvl 2 Header]], TblDetailBudget[[#This Row],[Lvl 2 Header]]))</f>
        <v/>
      </c>
      <c r="G5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2" s="164"/>
      <c r="J512" s="164"/>
      <c r="K512" s="165"/>
      <c r="L512" s="165"/>
      <c r="M512" s="85" t="str">
        <f>IF(TblDetailBudget[[#This Row],[Level]]=LvlBottomHdr, IFERROR(INDEX(TblUnitCost[Unit], MATCH(TblDetailBudget[[#This Row],[Row Title]], TblUnitCost[Resource], 0)), "Invalid Resource"), "")</f>
        <v/>
      </c>
      <c r="N512" s="126" t="str">
        <f>IF(TblDetailBudget[[#This Row],[Level]]=LvlBottomHdr, IFERROR(INDEX(TblUnitCost[LCU], MATCH(TblDetailBudget[[#This Row],[Row Title]], TblUnitCost[Resource], 0)), "Invalid Resource"), "")</f>
        <v/>
      </c>
      <c r="O512" s="130"/>
      <c r="P512" s="109"/>
      <c r="Q512" s="131"/>
      <c r="R512" s="109" t="s">
        <v>66</v>
      </c>
      <c r="S512" s="109" t="s">
        <v>66</v>
      </c>
      <c r="T512" s="109" t="s">
        <v>66</v>
      </c>
      <c r="U512" s="109" t="s">
        <v>66</v>
      </c>
      <c r="V512" s="109" t="s">
        <v>66</v>
      </c>
      <c r="W512" s="126" t="str">
        <f>IF(TblDetailBudget[[#This Row],[Level]]=LvlBottomHdr, IF(SUM(TblDetailBudget[[#This Row],[2021 Quant]:[2025 Quant]])&gt;0, SUM(TblDetailBudget[[#This Row],[2021 Quant]:[2025 Quant]]), ""), "")</f>
        <v/>
      </c>
      <c r="X5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2" s="142">
        <f>SUM(TblDetailBudget[[#This Row],[2021 Cost (LCU)]:[2025 Cost (LCU)]])</f>
        <v>0</v>
      </c>
      <c r="AD512" s="135">
        <f>IFERROR(SUM(TblDetailBudget[[#This Row],[2021 Cost (LCU)]])/FX_Rate, "")</f>
        <v>0</v>
      </c>
      <c r="AE512" s="86">
        <f>IFERROR(SUM(TblDetailBudget[[#This Row],[2022 Cost (LCU)]])/FX_Rate, "")</f>
        <v>0</v>
      </c>
      <c r="AF512" s="86">
        <f>IFERROR(SUM(TblDetailBudget[[#This Row],[2023 Cost (LCU)]])/FX_Rate, "")</f>
        <v>0</v>
      </c>
      <c r="AG512" s="86">
        <f>IFERROR(SUM(TblDetailBudget[[#This Row],[2024 Cost (LCU)]])/FX_Rate, "")</f>
        <v>0</v>
      </c>
      <c r="AH512" s="86">
        <f>IFERROR(SUM(TblDetailBudget[[#This Row],[2025 Cost (LCU)]])/FX_Rate, "")</f>
        <v>0</v>
      </c>
      <c r="AI512" s="126">
        <f>SUM(TblDetailBudget[[#This Row],[2021 Cost (USD)]:[2025 Cost (USD)]])</f>
        <v>0</v>
      </c>
      <c r="AJ512" s="180"/>
    </row>
    <row r="513" spans="2:36" ht="12.75" customHeight="1">
      <c r="B513" s="123"/>
      <c r="C5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3" s="85" t="str">
        <f>IF(TblDetailBudget[[#This Row],[Level]]="", "", COUNTIFS($B$8:TblDetailBudget[[#This Row],[Level]], Lvl1Hdr))</f>
        <v/>
      </c>
      <c r="E513" s="85" t="str">
        <f>IF(TblDetailBudget[[#This Row],[Level]]="", "", COUNTIFS($B$8:TblDetailBudget[[#This Row],[Level]], Lvl2Hdr, $D$8:TblDetailBudget[[#This Row],[Lvl 1 Header]], TblDetailBudget[[#This Row],[Lvl 1 Header]]))</f>
        <v/>
      </c>
      <c r="F513" s="85" t="str">
        <f>IF(TblDetailBudget[[#This Row],[Level]]="", "", COUNTIFS($B$8:TblDetailBudget[[#This Row],[Level]], Lvl3Hdr, $D$8:TblDetailBudget[[#This Row],[Lvl 1 Header]], TblDetailBudget[[#This Row],[Lvl 1 Header]], $E$8:TblDetailBudget[[#This Row],[Lvl 2 Header]], TblDetailBudget[[#This Row],[Lvl 2 Header]]))</f>
        <v/>
      </c>
      <c r="G5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3" s="164"/>
      <c r="J513" s="164"/>
      <c r="K513" s="165"/>
      <c r="L513" s="165"/>
      <c r="M513" s="85" t="str">
        <f>IF(TblDetailBudget[[#This Row],[Level]]=LvlBottomHdr, IFERROR(INDEX(TblUnitCost[Unit], MATCH(TblDetailBudget[[#This Row],[Row Title]], TblUnitCost[Resource], 0)), "Invalid Resource"), "")</f>
        <v/>
      </c>
      <c r="N513" s="126" t="str">
        <f>IF(TblDetailBudget[[#This Row],[Level]]=LvlBottomHdr, IFERROR(INDEX(TblUnitCost[LCU], MATCH(TblDetailBudget[[#This Row],[Row Title]], TblUnitCost[Resource], 0)), "Invalid Resource"), "")</f>
        <v/>
      </c>
      <c r="O513" s="130"/>
      <c r="P513" s="109"/>
      <c r="Q513" s="131"/>
      <c r="R513" s="109" t="s">
        <v>66</v>
      </c>
      <c r="S513" s="109" t="s">
        <v>66</v>
      </c>
      <c r="T513" s="109" t="s">
        <v>66</v>
      </c>
      <c r="U513" s="109" t="s">
        <v>66</v>
      </c>
      <c r="V513" s="109" t="s">
        <v>66</v>
      </c>
      <c r="W513" s="126" t="str">
        <f>IF(TblDetailBudget[[#This Row],[Level]]=LvlBottomHdr, IF(SUM(TblDetailBudget[[#This Row],[2021 Quant]:[2025 Quant]])&gt;0, SUM(TblDetailBudget[[#This Row],[2021 Quant]:[2025 Quant]]), ""), "")</f>
        <v/>
      </c>
      <c r="X5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3" s="142">
        <f>SUM(TblDetailBudget[[#This Row],[2021 Cost (LCU)]:[2025 Cost (LCU)]])</f>
        <v>0</v>
      </c>
      <c r="AD513" s="135">
        <f>IFERROR(SUM(TblDetailBudget[[#This Row],[2021 Cost (LCU)]])/FX_Rate, "")</f>
        <v>0</v>
      </c>
      <c r="AE513" s="86">
        <f>IFERROR(SUM(TblDetailBudget[[#This Row],[2022 Cost (LCU)]])/FX_Rate, "")</f>
        <v>0</v>
      </c>
      <c r="AF513" s="86">
        <f>IFERROR(SUM(TblDetailBudget[[#This Row],[2023 Cost (LCU)]])/FX_Rate, "")</f>
        <v>0</v>
      </c>
      <c r="AG513" s="86">
        <f>IFERROR(SUM(TblDetailBudget[[#This Row],[2024 Cost (LCU)]])/FX_Rate, "")</f>
        <v>0</v>
      </c>
      <c r="AH513" s="86">
        <f>IFERROR(SUM(TblDetailBudget[[#This Row],[2025 Cost (LCU)]])/FX_Rate, "")</f>
        <v>0</v>
      </c>
      <c r="AI513" s="126">
        <f>SUM(TblDetailBudget[[#This Row],[2021 Cost (USD)]:[2025 Cost (USD)]])</f>
        <v>0</v>
      </c>
      <c r="AJ513" s="180"/>
    </row>
    <row r="514" spans="2:36" ht="12.75" customHeight="1">
      <c r="B514" s="123"/>
      <c r="C51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4" s="85" t="str">
        <f>IF(TblDetailBudget[[#This Row],[Level]]="", "", COUNTIFS($B$8:TblDetailBudget[[#This Row],[Level]], Lvl1Hdr))</f>
        <v/>
      </c>
      <c r="E514" s="85" t="str">
        <f>IF(TblDetailBudget[[#This Row],[Level]]="", "", COUNTIFS($B$8:TblDetailBudget[[#This Row],[Level]], Lvl2Hdr, $D$8:TblDetailBudget[[#This Row],[Lvl 1 Header]], TblDetailBudget[[#This Row],[Lvl 1 Header]]))</f>
        <v/>
      </c>
      <c r="F514" s="85" t="str">
        <f>IF(TblDetailBudget[[#This Row],[Level]]="", "", COUNTIFS($B$8:TblDetailBudget[[#This Row],[Level]], Lvl3Hdr, $D$8:TblDetailBudget[[#This Row],[Lvl 1 Header]], TblDetailBudget[[#This Row],[Lvl 1 Header]], $E$8:TblDetailBudget[[#This Row],[Lvl 2 Header]], TblDetailBudget[[#This Row],[Lvl 2 Header]]))</f>
        <v/>
      </c>
      <c r="G51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4" s="164"/>
      <c r="J514" s="164"/>
      <c r="K514" s="165"/>
      <c r="L514" s="165"/>
      <c r="M514" s="85" t="str">
        <f>IF(TblDetailBudget[[#This Row],[Level]]=LvlBottomHdr, IFERROR(INDEX(TblUnitCost[Unit], MATCH(TblDetailBudget[[#This Row],[Row Title]], TblUnitCost[Resource], 0)), "Invalid Resource"), "")</f>
        <v/>
      </c>
      <c r="N514" s="126" t="str">
        <f>IF(TblDetailBudget[[#This Row],[Level]]=LvlBottomHdr, IFERROR(INDEX(TblUnitCost[LCU], MATCH(TblDetailBudget[[#This Row],[Row Title]], TblUnitCost[Resource], 0)), "Invalid Resource"), "")</f>
        <v/>
      </c>
      <c r="O514" s="130"/>
      <c r="P514" s="109"/>
      <c r="Q514" s="131"/>
      <c r="R514" s="109" t="s">
        <v>66</v>
      </c>
      <c r="S514" s="109" t="s">
        <v>66</v>
      </c>
      <c r="T514" s="109" t="s">
        <v>66</v>
      </c>
      <c r="U514" s="109" t="s">
        <v>66</v>
      </c>
      <c r="V514" s="109" t="s">
        <v>66</v>
      </c>
      <c r="W514" s="126" t="str">
        <f>IF(TblDetailBudget[[#This Row],[Level]]=LvlBottomHdr, IF(SUM(TblDetailBudget[[#This Row],[2021 Quant]:[2025 Quant]])&gt;0, SUM(TblDetailBudget[[#This Row],[2021 Quant]:[2025 Quant]]), ""), "")</f>
        <v/>
      </c>
      <c r="X51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4" s="142">
        <f>SUM(TblDetailBudget[[#This Row],[2021 Cost (LCU)]:[2025 Cost (LCU)]])</f>
        <v>0</v>
      </c>
      <c r="AD514" s="135">
        <f>IFERROR(SUM(TblDetailBudget[[#This Row],[2021 Cost (LCU)]])/FX_Rate, "")</f>
        <v>0</v>
      </c>
      <c r="AE514" s="86">
        <f>IFERROR(SUM(TblDetailBudget[[#This Row],[2022 Cost (LCU)]])/FX_Rate, "")</f>
        <v>0</v>
      </c>
      <c r="AF514" s="86">
        <f>IFERROR(SUM(TblDetailBudget[[#This Row],[2023 Cost (LCU)]])/FX_Rate, "")</f>
        <v>0</v>
      </c>
      <c r="AG514" s="86">
        <f>IFERROR(SUM(TblDetailBudget[[#This Row],[2024 Cost (LCU)]])/FX_Rate, "")</f>
        <v>0</v>
      </c>
      <c r="AH514" s="86">
        <f>IFERROR(SUM(TblDetailBudget[[#This Row],[2025 Cost (LCU)]])/FX_Rate, "")</f>
        <v>0</v>
      </c>
      <c r="AI514" s="126">
        <f>SUM(TblDetailBudget[[#This Row],[2021 Cost (USD)]:[2025 Cost (USD)]])</f>
        <v>0</v>
      </c>
      <c r="AJ514" s="180"/>
    </row>
    <row r="515" spans="2:36" ht="12.75" customHeight="1">
      <c r="B515" s="123"/>
      <c r="C51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5" s="85" t="str">
        <f>IF(TblDetailBudget[[#This Row],[Level]]="", "", COUNTIFS($B$8:TblDetailBudget[[#This Row],[Level]], Lvl1Hdr))</f>
        <v/>
      </c>
      <c r="E515" s="85" t="str">
        <f>IF(TblDetailBudget[[#This Row],[Level]]="", "", COUNTIFS($B$8:TblDetailBudget[[#This Row],[Level]], Lvl2Hdr, $D$8:TblDetailBudget[[#This Row],[Lvl 1 Header]], TblDetailBudget[[#This Row],[Lvl 1 Header]]))</f>
        <v/>
      </c>
      <c r="F515" s="85" t="str">
        <f>IF(TblDetailBudget[[#This Row],[Level]]="", "", COUNTIFS($B$8:TblDetailBudget[[#This Row],[Level]], Lvl3Hdr, $D$8:TblDetailBudget[[#This Row],[Lvl 1 Header]], TblDetailBudget[[#This Row],[Lvl 1 Header]], $E$8:TblDetailBudget[[#This Row],[Lvl 2 Header]], TblDetailBudget[[#This Row],[Lvl 2 Header]]))</f>
        <v/>
      </c>
      <c r="G51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5" s="164"/>
      <c r="J515" s="164"/>
      <c r="K515" s="165"/>
      <c r="L515" s="165"/>
      <c r="M515" s="85" t="str">
        <f>IF(TblDetailBudget[[#This Row],[Level]]=LvlBottomHdr, IFERROR(INDEX(TblUnitCost[Unit], MATCH(TblDetailBudget[[#This Row],[Row Title]], TblUnitCost[Resource], 0)), "Invalid Resource"), "")</f>
        <v/>
      </c>
      <c r="N515" s="126" t="str">
        <f>IF(TblDetailBudget[[#This Row],[Level]]=LvlBottomHdr, IFERROR(INDEX(TblUnitCost[LCU], MATCH(TblDetailBudget[[#This Row],[Row Title]], TblUnitCost[Resource], 0)), "Invalid Resource"), "")</f>
        <v/>
      </c>
      <c r="O515" s="130"/>
      <c r="P515" s="109"/>
      <c r="Q515" s="131"/>
      <c r="R515" s="109" t="s">
        <v>66</v>
      </c>
      <c r="S515" s="109" t="s">
        <v>66</v>
      </c>
      <c r="T515" s="109" t="s">
        <v>66</v>
      </c>
      <c r="U515" s="109" t="s">
        <v>66</v>
      </c>
      <c r="V515" s="109" t="s">
        <v>66</v>
      </c>
      <c r="W515" s="126" t="str">
        <f>IF(TblDetailBudget[[#This Row],[Level]]=LvlBottomHdr, IF(SUM(TblDetailBudget[[#This Row],[2021 Quant]:[2025 Quant]])&gt;0, SUM(TblDetailBudget[[#This Row],[2021 Quant]:[2025 Quant]]), ""), "")</f>
        <v/>
      </c>
      <c r="X51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5" s="142">
        <f>SUM(TblDetailBudget[[#This Row],[2021 Cost (LCU)]:[2025 Cost (LCU)]])</f>
        <v>0</v>
      </c>
      <c r="AD515" s="135">
        <f>IFERROR(SUM(TblDetailBudget[[#This Row],[2021 Cost (LCU)]])/FX_Rate, "")</f>
        <v>0</v>
      </c>
      <c r="AE515" s="86">
        <f>IFERROR(SUM(TblDetailBudget[[#This Row],[2022 Cost (LCU)]])/FX_Rate, "")</f>
        <v>0</v>
      </c>
      <c r="AF515" s="86">
        <f>IFERROR(SUM(TblDetailBudget[[#This Row],[2023 Cost (LCU)]])/FX_Rate, "")</f>
        <v>0</v>
      </c>
      <c r="AG515" s="86">
        <f>IFERROR(SUM(TblDetailBudget[[#This Row],[2024 Cost (LCU)]])/FX_Rate, "")</f>
        <v>0</v>
      </c>
      <c r="AH515" s="86">
        <f>IFERROR(SUM(TblDetailBudget[[#This Row],[2025 Cost (LCU)]])/FX_Rate, "")</f>
        <v>0</v>
      </c>
      <c r="AI515" s="126">
        <f>SUM(TblDetailBudget[[#This Row],[2021 Cost (USD)]:[2025 Cost (USD)]])</f>
        <v>0</v>
      </c>
      <c r="AJ515" s="180"/>
    </row>
    <row r="516" spans="2:36" ht="12.75" customHeight="1">
      <c r="B516" s="123"/>
      <c r="C51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6" s="85" t="str">
        <f>IF(TblDetailBudget[[#This Row],[Level]]="", "", COUNTIFS($B$8:TblDetailBudget[[#This Row],[Level]], Lvl1Hdr))</f>
        <v/>
      </c>
      <c r="E516" s="85" t="str">
        <f>IF(TblDetailBudget[[#This Row],[Level]]="", "", COUNTIFS($B$8:TblDetailBudget[[#This Row],[Level]], Lvl2Hdr, $D$8:TblDetailBudget[[#This Row],[Lvl 1 Header]], TblDetailBudget[[#This Row],[Lvl 1 Header]]))</f>
        <v/>
      </c>
      <c r="F516" s="85" t="str">
        <f>IF(TblDetailBudget[[#This Row],[Level]]="", "", COUNTIFS($B$8:TblDetailBudget[[#This Row],[Level]], Lvl3Hdr, $D$8:TblDetailBudget[[#This Row],[Lvl 1 Header]], TblDetailBudget[[#This Row],[Lvl 1 Header]], $E$8:TblDetailBudget[[#This Row],[Lvl 2 Header]], TblDetailBudget[[#This Row],[Lvl 2 Header]]))</f>
        <v/>
      </c>
      <c r="G51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6" s="164"/>
      <c r="J516" s="164"/>
      <c r="K516" s="165"/>
      <c r="L516" s="165"/>
      <c r="M516" s="85" t="str">
        <f>IF(TblDetailBudget[[#This Row],[Level]]=LvlBottomHdr, IFERROR(INDEX(TblUnitCost[Unit], MATCH(TblDetailBudget[[#This Row],[Row Title]], TblUnitCost[Resource], 0)), "Invalid Resource"), "")</f>
        <v/>
      </c>
      <c r="N516" s="126" t="str">
        <f>IF(TblDetailBudget[[#This Row],[Level]]=LvlBottomHdr, IFERROR(INDEX(TblUnitCost[LCU], MATCH(TblDetailBudget[[#This Row],[Row Title]], TblUnitCost[Resource], 0)), "Invalid Resource"), "")</f>
        <v/>
      </c>
      <c r="O516" s="130"/>
      <c r="P516" s="109"/>
      <c r="Q516" s="131"/>
      <c r="R516" s="109" t="s">
        <v>66</v>
      </c>
      <c r="S516" s="109" t="s">
        <v>66</v>
      </c>
      <c r="T516" s="109" t="s">
        <v>66</v>
      </c>
      <c r="U516" s="109" t="s">
        <v>66</v>
      </c>
      <c r="V516" s="109" t="s">
        <v>66</v>
      </c>
      <c r="W516" s="126" t="str">
        <f>IF(TblDetailBudget[[#This Row],[Level]]=LvlBottomHdr, IF(SUM(TblDetailBudget[[#This Row],[2021 Quant]:[2025 Quant]])&gt;0, SUM(TblDetailBudget[[#This Row],[2021 Quant]:[2025 Quant]]), ""), "")</f>
        <v/>
      </c>
      <c r="X51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6" s="142">
        <f>SUM(TblDetailBudget[[#This Row],[2021 Cost (LCU)]:[2025 Cost (LCU)]])</f>
        <v>0</v>
      </c>
      <c r="AD516" s="135">
        <f>IFERROR(SUM(TblDetailBudget[[#This Row],[2021 Cost (LCU)]])/FX_Rate, "")</f>
        <v>0</v>
      </c>
      <c r="AE516" s="86">
        <f>IFERROR(SUM(TblDetailBudget[[#This Row],[2022 Cost (LCU)]])/FX_Rate, "")</f>
        <v>0</v>
      </c>
      <c r="AF516" s="86">
        <f>IFERROR(SUM(TblDetailBudget[[#This Row],[2023 Cost (LCU)]])/FX_Rate, "")</f>
        <v>0</v>
      </c>
      <c r="AG516" s="86">
        <f>IFERROR(SUM(TblDetailBudget[[#This Row],[2024 Cost (LCU)]])/FX_Rate, "")</f>
        <v>0</v>
      </c>
      <c r="AH516" s="86">
        <f>IFERROR(SUM(TblDetailBudget[[#This Row],[2025 Cost (LCU)]])/FX_Rate, "")</f>
        <v>0</v>
      </c>
      <c r="AI516" s="126">
        <f>SUM(TblDetailBudget[[#This Row],[2021 Cost (USD)]:[2025 Cost (USD)]])</f>
        <v>0</v>
      </c>
      <c r="AJ516" s="180"/>
    </row>
    <row r="517" spans="2:36" ht="12.75" customHeight="1">
      <c r="B517" s="123"/>
      <c r="C51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7" s="85" t="str">
        <f>IF(TblDetailBudget[[#This Row],[Level]]="", "", COUNTIFS($B$8:TblDetailBudget[[#This Row],[Level]], Lvl1Hdr))</f>
        <v/>
      </c>
      <c r="E517" s="85" t="str">
        <f>IF(TblDetailBudget[[#This Row],[Level]]="", "", COUNTIFS($B$8:TblDetailBudget[[#This Row],[Level]], Lvl2Hdr, $D$8:TblDetailBudget[[#This Row],[Lvl 1 Header]], TblDetailBudget[[#This Row],[Lvl 1 Header]]))</f>
        <v/>
      </c>
      <c r="F517" s="85" t="str">
        <f>IF(TblDetailBudget[[#This Row],[Level]]="", "", COUNTIFS($B$8:TblDetailBudget[[#This Row],[Level]], Lvl3Hdr, $D$8:TblDetailBudget[[#This Row],[Lvl 1 Header]], TblDetailBudget[[#This Row],[Lvl 1 Header]], $E$8:TblDetailBudget[[#This Row],[Lvl 2 Header]], TblDetailBudget[[#This Row],[Lvl 2 Header]]))</f>
        <v/>
      </c>
      <c r="G51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7" s="164"/>
      <c r="J517" s="164"/>
      <c r="K517" s="165"/>
      <c r="L517" s="165"/>
      <c r="M517" s="85" t="str">
        <f>IF(TblDetailBudget[[#This Row],[Level]]=LvlBottomHdr, IFERROR(INDEX(TblUnitCost[Unit], MATCH(TblDetailBudget[[#This Row],[Row Title]], TblUnitCost[Resource], 0)), "Invalid Resource"), "")</f>
        <v/>
      </c>
      <c r="N517" s="126" t="str">
        <f>IF(TblDetailBudget[[#This Row],[Level]]=LvlBottomHdr, IFERROR(INDEX(TblUnitCost[LCU], MATCH(TblDetailBudget[[#This Row],[Row Title]], TblUnitCost[Resource], 0)), "Invalid Resource"), "")</f>
        <v/>
      </c>
      <c r="O517" s="130"/>
      <c r="P517" s="109"/>
      <c r="Q517" s="131"/>
      <c r="R517" s="109" t="s">
        <v>66</v>
      </c>
      <c r="S517" s="109" t="s">
        <v>66</v>
      </c>
      <c r="T517" s="109" t="s">
        <v>66</v>
      </c>
      <c r="U517" s="109" t="s">
        <v>66</v>
      </c>
      <c r="V517" s="109" t="s">
        <v>66</v>
      </c>
      <c r="W517" s="126" t="str">
        <f>IF(TblDetailBudget[[#This Row],[Level]]=LvlBottomHdr, IF(SUM(TblDetailBudget[[#This Row],[2021 Quant]:[2025 Quant]])&gt;0, SUM(TblDetailBudget[[#This Row],[2021 Quant]:[2025 Quant]]), ""), "")</f>
        <v/>
      </c>
      <c r="X51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7" s="142">
        <f>SUM(TblDetailBudget[[#This Row],[2021 Cost (LCU)]:[2025 Cost (LCU)]])</f>
        <v>0</v>
      </c>
      <c r="AD517" s="135">
        <f>IFERROR(SUM(TblDetailBudget[[#This Row],[2021 Cost (LCU)]])/FX_Rate, "")</f>
        <v>0</v>
      </c>
      <c r="AE517" s="86">
        <f>IFERROR(SUM(TblDetailBudget[[#This Row],[2022 Cost (LCU)]])/FX_Rate, "")</f>
        <v>0</v>
      </c>
      <c r="AF517" s="86">
        <f>IFERROR(SUM(TblDetailBudget[[#This Row],[2023 Cost (LCU)]])/FX_Rate, "")</f>
        <v>0</v>
      </c>
      <c r="AG517" s="86">
        <f>IFERROR(SUM(TblDetailBudget[[#This Row],[2024 Cost (LCU)]])/FX_Rate, "")</f>
        <v>0</v>
      </c>
      <c r="AH517" s="86">
        <f>IFERROR(SUM(TblDetailBudget[[#This Row],[2025 Cost (LCU)]])/FX_Rate, "")</f>
        <v>0</v>
      </c>
      <c r="AI517" s="126">
        <f>SUM(TblDetailBudget[[#This Row],[2021 Cost (USD)]:[2025 Cost (USD)]])</f>
        <v>0</v>
      </c>
      <c r="AJ517" s="180"/>
    </row>
    <row r="518" spans="2:36" ht="12.75" customHeight="1">
      <c r="B518" s="123"/>
      <c r="C51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8" s="85" t="str">
        <f>IF(TblDetailBudget[[#This Row],[Level]]="", "", COUNTIFS($B$8:TblDetailBudget[[#This Row],[Level]], Lvl1Hdr))</f>
        <v/>
      </c>
      <c r="E518" s="85" t="str">
        <f>IF(TblDetailBudget[[#This Row],[Level]]="", "", COUNTIFS($B$8:TblDetailBudget[[#This Row],[Level]], Lvl2Hdr, $D$8:TblDetailBudget[[#This Row],[Lvl 1 Header]], TblDetailBudget[[#This Row],[Lvl 1 Header]]))</f>
        <v/>
      </c>
      <c r="F518" s="85" t="str">
        <f>IF(TblDetailBudget[[#This Row],[Level]]="", "", COUNTIFS($B$8:TblDetailBudget[[#This Row],[Level]], Lvl3Hdr, $D$8:TblDetailBudget[[#This Row],[Lvl 1 Header]], TblDetailBudget[[#This Row],[Lvl 1 Header]], $E$8:TblDetailBudget[[#This Row],[Lvl 2 Header]], TblDetailBudget[[#This Row],[Lvl 2 Header]]))</f>
        <v/>
      </c>
      <c r="G51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8" s="164"/>
      <c r="J518" s="164"/>
      <c r="K518" s="165"/>
      <c r="L518" s="165"/>
      <c r="M518" s="85" t="str">
        <f>IF(TblDetailBudget[[#This Row],[Level]]=LvlBottomHdr, IFERROR(INDEX(TblUnitCost[Unit], MATCH(TblDetailBudget[[#This Row],[Row Title]], TblUnitCost[Resource], 0)), "Invalid Resource"), "")</f>
        <v/>
      </c>
      <c r="N518" s="126" t="str">
        <f>IF(TblDetailBudget[[#This Row],[Level]]=LvlBottomHdr, IFERROR(INDEX(TblUnitCost[LCU], MATCH(TblDetailBudget[[#This Row],[Row Title]], TblUnitCost[Resource], 0)), "Invalid Resource"), "")</f>
        <v/>
      </c>
      <c r="O518" s="130"/>
      <c r="P518" s="109"/>
      <c r="Q518" s="131"/>
      <c r="R518" s="109" t="s">
        <v>66</v>
      </c>
      <c r="S518" s="109" t="s">
        <v>66</v>
      </c>
      <c r="T518" s="109" t="s">
        <v>66</v>
      </c>
      <c r="U518" s="109" t="s">
        <v>66</v>
      </c>
      <c r="V518" s="109" t="s">
        <v>66</v>
      </c>
      <c r="W518" s="126" t="str">
        <f>IF(TblDetailBudget[[#This Row],[Level]]=LvlBottomHdr, IF(SUM(TblDetailBudget[[#This Row],[2021 Quant]:[2025 Quant]])&gt;0, SUM(TblDetailBudget[[#This Row],[2021 Quant]:[2025 Quant]]), ""), "")</f>
        <v/>
      </c>
      <c r="X51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8" s="142">
        <f>SUM(TblDetailBudget[[#This Row],[2021 Cost (LCU)]:[2025 Cost (LCU)]])</f>
        <v>0</v>
      </c>
      <c r="AD518" s="135">
        <f>IFERROR(SUM(TblDetailBudget[[#This Row],[2021 Cost (LCU)]])/FX_Rate, "")</f>
        <v>0</v>
      </c>
      <c r="AE518" s="86">
        <f>IFERROR(SUM(TblDetailBudget[[#This Row],[2022 Cost (LCU)]])/FX_Rate, "")</f>
        <v>0</v>
      </c>
      <c r="AF518" s="86">
        <f>IFERROR(SUM(TblDetailBudget[[#This Row],[2023 Cost (LCU)]])/FX_Rate, "")</f>
        <v>0</v>
      </c>
      <c r="AG518" s="86">
        <f>IFERROR(SUM(TblDetailBudget[[#This Row],[2024 Cost (LCU)]])/FX_Rate, "")</f>
        <v>0</v>
      </c>
      <c r="AH518" s="86">
        <f>IFERROR(SUM(TblDetailBudget[[#This Row],[2025 Cost (LCU)]])/FX_Rate, "")</f>
        <v>0</v>
      </c>
      <c r="AI518" s="126">
        <f>SUM(TblDetailBudget[[#This Row],[2021 Cost (USD)]:[2025 Cost (USD)]])</f>
        <v>0</v>
      </c>
      <c r="AJ518" s="180"/>
    </row>
    <row r="519" spans="2:36" ht="12.75" customHeight="1">
      <c r="B519" s="123"/>
      <c r="C51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9" s="85" t="str">
        <f>IF(TblDetailBudget[[#This Row],[Level]]="", "", COUNTIFS($B$8:TblDetailBudget[[#This Row],[Level]], Lvl1Hdr))</f>
        <v/>
      </c>
      <c r="E519" s="85" t="str">
        <f>IF(TblDetailBudget[[#This Row],[Level]]="", "", COUNTIFS($B$8:TblDetailBudget[[#This Row],[Level]], Lvl2Hdr, $D$8:TblDetailBudget[[#This Row],[Lvl 1 Header]], TblDetailBudget[[#This Row],[Lvl 1 Header]]))</f>
        <v/>
      </c>
      <c r="F519" s="85" t="str">
        <f>IF(TblDetailBudget[[#This Row],[Level]]="", "", COUNTIFS($B$8:TblDetailBudget[[#This Row],[Level]], Lvl3Hdr, $D$8:TblDetailBudget[[#This Row],[Lvl 1 Header]], TblDetailBudget[[#This Row],[Lvl 1 Header]], $E$8:TblDetailBudget[[#This Row],[Lvl 2 Header]], TblDetailBudget[[#This Row],[Lvl 2 Header]]))</f>
        <v/>
      </c>
      <c r="G51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9" s="164"/>
      <c r="J519" s="164"/>
      <c r="K519" s="165"/>
      <c r="L519" s="165"/>
      <c r="M519" s="85" t="str">
        <f>IF(TblDetailBudget[[#This Row],[Level]]=LvlBottomHdr, IFERROR(INDEX(TblUnitCost[Unit], MATCH(TblDetailBudget[[#This Row],[Row Title]], TblUnitCost[Resource], 0)), "Invalid Resource"), "")</f>
        <v/>
      </c>
      <c r="N519" s="126" t="str">
        <f>IF(TblDetailBudget[[#This Row],[Level]]=LvlBottomHdr, IFERROR(INDEX(TblUnitCost[LCU], MATCH(TblDetailBudget[[#This Row],[Row Title]], TblUnitCost[Resource], 0)), "Invalid Resource"), "")</f>
        <v/>
      </c>
      <c r="O519" s="130"/>
      <c r="P519" s="109"/>
      <c r="Q519" s="131"/>
      <c r="R519" s="109" t="s">
        <v>66</v>
      </c>
      <c r="S519" s="109" t="s">
        <v>66</v>
      </c>
      <c r="T519" s="109" t="s">
        <v>66</v>
      </c>
      <c r="U519" s="109" t="s">
        <v>66</v>
      </c>
      <c r="V519" s="109" t="s">
        <v>66</v>
      </c>
      <c r="W519" s="126" t="str">
        <f>IF(TblDetailBudget[[#This Row],[Level]]=LvlBottomHdr, IF(SUM(TblDetailBudget[[#This Row],[2021 Quant]:[2025 Quant]])&gt;0, SUM(TblDetailBudget[[#This Row],[2021 Quant]:[2025 Quant]]), ""), "")</f>
        <v/>
      </c>
      <c r="X51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9" s="142">
        <f>SUM(TblDetailBudget[[#This Row],[2021 Cost (LCU)]:[2025 Cost (LCU)]])</f>
        <v>0</v>
      </c>
      <c r="AD519" s="135">
        <f>IFERROR(SUM(TblDetailBudget[[#This Row],[2021 Cost (LCU)]])/FX_Rate, "")</f>
        <v>0</v>
      </c>
      <c r="AE519" s="86">
        <f>IFERROR(SUM(TblDetailBudget[[#This Row],[2022 Cost (LCU)]])/FX_Rate, "")</f>
        <v>0</v>
      </c>
      <c r="AF519" s="86">
        <f>IFERROR(SUM(TblDetailBudget[[#This Row],[2023 Cost (LCU)]])/FX_Rate, "")</f>
        <v>0</v>
      </c>
      <c r="AG519" s="86">
        <f>IFERROR(SUM(TblDetailBudget[[#This Row],[2024 Cost (LCU)]])/FX_Rate, "")</f>
        <v>0</v>
      </c>
      <c r="AH519" s="86">
        <f>IFERROR(SUM(TblDetailBudget[[#This Row],[2025 Cost (LCU)]])/FX_Rate, "")</f>
        <v>0</v>
      </c>
      <c r="AI519" s="126">
        <f>SUM(TblDetailBudget[[#This Row],[2021 Cost (USD)]:[2025 Cost (USD)]])</f>
        <v>0</v>
      </c>
      <c r="AJ519" s="180"/>
    </row>
    <row r="520" spans="2:36" ht="12.75" customHeight="1">
      <c r="B520" s="123"/>
      <c r="C52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0" s="85" t="str">
        <f>IF(TblDetailBudget[[#This Row],[Level]]="", "", COUNTIFS($B$8:TblDetailBudget[[#This Row],[Level]], Lvl1Hdr))</f>
        <v/>
      </c>
      <c r="E520" s="85" t="str">
        <f>IF(TblDetailBudget[[#This Row],[Level]]="", "", COUNTIFS($B$8:TblDetailBudget[[#This Row],[Level]], Lvl2Hdr, $D$8:TblDetailBudget[[#This Row],[Lvl 1 Header]], TblDetailBudget[[#This Row],[Lvl 1 Header]]))</f>
        <v/>
      </c>
      <c r="F520" s="85" t="str">
        <f>IF(TblDetailBudget[[#This Row],[Level]]="", "", COUNTIFS($B$8:TblDetailBudget[[#This Row],[Level]], Lvl3Hdr, $D$8:TblDetailBudget[[#This Row],[Lvl 1 Header]], TblDetailBudget[[#This Row],[Lvl 1 Header]], $E$8:TblDetailBudget[[#This Row],[Lvl 2 Header]], TblDetailBudget[[#This Row],[Lvl 2 Header]]))</f>
        <v/>
      </c>
      <c r="G52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0" s="164"/>
      <c r="J520" s="164"/>
      <c r="K520" s="165"/>
      <c r="L520" s="165"/>
      <c r="M520" s="85" t="str">
        <f>IF(TblDetailBudget[[#This Row],[Level]]=LvlBottomHdr, IFERROR(INDEX(TblUnitCost[Unit], MATCH(TblDetailBudget[[#This Row],[Row Title]], TblUnitCost[Resource], 0)), "Invalid Resource"), "")</f>
        <v/>
      </c>
      <c r="N520" s="126" t="str">
        <f>IF(TblDetailBudget[[#This Row],[Level]]=LvlBottomHdr, IFERROR(INDEX(TblUnitCost[LCU], MATCH(TblDetailBudget[[#This Row],[Row Title]], TblUnitCost[Resource], 0)), "Invalid Resource"), "")</f>
        <v/>
      </c>
      <c r="O520" s="130"/>
      <c r="P520" s="109"/>
      <c r="Q520" s="131"/>
      <c r="R520" s="109" t="s">
        <v>66</v>
      </c>
      <c r="S520" s="109" t="s">
        <v>66</v>
      </c>
      <c r="T520" s="109" t="s">
        <v>66</v>
      </c>
      <c r="U520" s="109" t="s">
        <v>66</v>
      </c>
      <c r="V520" s="109" t="s">
        <v>66</v>
      </c>
      <c r="W520" s="126" t="str">
        <f>IF(TblDetailBudget[[#This Row],[Level]]=LvlBottomHdr, IF(SUM(TblDetailBudget[[#This Row],[2021 Quant]:[2025 Quant]])&gt;0, SUM(TblDetailBudget[[#This Row],[2021 Quant]:[2025 Quant]]), ""), "")</f>
        <v/>
      </c>
      <c r="X52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0" s="142">
        <f>SUM(TblDetailBudget[[#This Row],[2021 Cost (LCU)]:[2025 Cost (LCU)]])</f>
        <v>0</v>
      </c>
      <c r="AD520" s="135">
        <f>IFERROR(SUM(TblDetailBudget[[#This Row],[2021 Cost (LCU)]])/FX_Rate, "")</f>
        <v>0</v>
      </c>
      <c r="AE520" s="86">
        <f>IFERROR(SUM(TblDetailBudget[[#This Row],[2022 Cost (LCU)]])/FX_Rate, "")</f>
        <v>0</v>
      </c>
      <c r="AF520" s="86">
        <f>IFERROR(SUM(TblDetailBudget[[#This Row],[2023 Cost (LCU)]])/FX_Rate, "")</f>
        <v>0</v>
      </c>
      <c r="AG520" s="86">
        <f>IFERROR(SUM(TblDetailBudget[[#This Row],[2024 Cost (LCU)]])/FX_Rate, "")</f>
        <v>0</v>
      </c>
      <c r="AH520" s="86">
        <f>IFERROR(SUM(TblDetailBudget[[#This Row],[2025 Cost (LCU)]])/FX_Rate, "")</f>
        <v>0</v>
      </c>
      <c r="AI520" s="126">
        <f>SUM(TblDetailBudget[[#This Row],[2021 Cost (USD)]:[2025 Cost (USD)]])</f>
        <v>0</v>
      </c>
      <c r="AJ520" s="180"/>
    </row>
    <row r="521" spans="2:36" ht="12.75" customHeight="1">
      <c r="B521" s="123"/>
      <c r="C52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1" s="85" t="str">
        <f>IF(TblDetailBudget[[#This Row],[Level]]="", "", COUNTIFS($B$8:TblDetailBudget[[#This Row],[Level]], Lvl1Hdr))</f>
        <v/>
      </c>
      <c r="E521" s="85" t="str">
        <f>IF(TblDetailBudget[[#This Row],[Level]]="", "", COUNTIFS($B$8:TblDetailBudget[[#This Row],[Level]], Lvl2Hdr, $D$8:TblDetailBudget[[#This Row],[Lvl 1 Header]], TblDetailBudget[[#This Row],[Lvl 1 Header]]))</f>
        <v/>
      </c>
      <c r="F521" s="85" t="str">
        <f>IF(TblDetailBudget[[#This Row],[Level]]="", "", COUNTIFS($B$8:TblDetailBudget[[#This Row],[Level]], Lvl3Hdr, $D$8:TblDetailBudget[[#This Row],[Lvl 1 Header]], TblDetailBudget[[#This Row],[Lvl 1 Header]], $E$8:TblDetailBudget[[#This Row],[Lvl 2 Header]], TblDetailBudget[[#This Row],[Lvl 2 Header]]))</f>
        <v/>
      </c>
      <c r="G52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1" s="164"/>
      <c r="J521" s="164"/>
      <c r="K521" s="165"/>
      <c r="L521" s="165"/>
      <c r="M521" s="85" t="str">
        <f>IF(TblDetailBudget[[#This Row],[Level]]=LvlBottomHdr, IFERROR(INDEX(TblUnitCost[Unit], MATCH(TblDetailBudget[[#This Row],[Row Title]], TblUnitCost[Resource], 0)), "Invalid Resource"), "")</f>
        <v/>
      </c>
      <c r="N521" s="126" t="str">
        <f>IF(TblDetailBudget[[#This Row],[Level]]=LvlBottomHdr, IFERROR(INDEX(TblUnitCost[LCU], MATCH(TblDetailBudget[[#This Row],[Row Title]], TblUnitCost[Resource], 0)), "Invalid Resource"), "")</f>
        <v/>
      </c>
      <c r="O521" s="130"/>
      <c r="P521" s="109"/>
      <c r="Q521" s="131"/>
      <c r="R521" s="109" t="s">
        <v>66</v>
      </c>
      <c r="S521" s="109" t="s">
        <v>66</v>
      </c>
      <c r="T521" s="109" t="s">
        <v>66</v>
      </c>
      <c r="U521" s="109" t="s">
        <v>66</v>
      </c>
      <c r="V521" s="109" t="s">
        <v>66</v>
      </c>
      <c r="W521" s="126" t="str">
        <f>IF(TblDetailBudget[[#This Row],[Level]]=LvlBottomHdr, IF(SUM(TblDetailBudget[[#This Row],[2021 Quant]:[2025 Quant]])&gt;0, SUM(TblDetailBudget[[#This Row],[2021 Quant]:[2025 Quant]]), ""), "")</f>
        <v/>
      </c>
      <c r="X52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1" s="142">
        <f>SUM(TblDetailBudget[[#This Row],[2021 Cost (LCU)]:[2025 Cost (LCU)]])</f>
        <v>0</v>
      </c>
      <c r="AD521" s="135">
        <f>IFERROR(SUM(TblDetailBudget[[#This Row],[2021 Cost (LCU)]])/FX_Rate, "")</f>
        <v>0</v>
      </c>
      <c r="AE521" s="86">
        <f>IFERROR(SUM(TblDetailBudget[[#This Row],[2022 Cost (LCU)]])/FX_Rate, "")</f>
        <v>0</v>
      </c>
      <c r="AF521" s="86">
        <f>IFERROR(SUM(TblDetailBudget[[#This Row],[2023 Cost (LCU)]])/FX_Rate, "")</f>
        <v>0</v>
      </c>
      <c r="AG521" s="86">
        <f>IFERROR(SUM(TblDetailBudget[[#This Row],[2024 Cost (LCU)]])/FX_Rate, "")</f>
        <v>0</v>
      </c>
      <c r="AH521" s="86">
        <f>IFERROR(SUM(TblDetailBudget[[#This Row],[2025 Cost (LCU)]])/FX_Rate, "")</f>
        <v>0</v>
      </c>
      <c r="AI521" s="126">
        <f>SUM(TblDetailBudget[[#This Row],[2021 Cost (USD)]:[2025 Cost (USD)]])</f>
        <v>0</v>
      </c>
      <c r="AJ521" s="180"/>
    </row>
    <row r="522" spans="2:36" ht="12.75" customHeight="1">
      <c r="B522" s="123"/>
      <c r="C52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2" s="85" t="str">
        <f>IF(TblDetailBudget[[#This Row],[Level]]="", "", COUNTIFS($B$8:TblDetailBudget[[#This Row],[Level]], Lvl1Hdr))</f>
        <v/>
      </c>
      <c r="E522" s="85" t="str">
        <f>IF(TblDetailBudget[[#This Row],[Level]]="", "", COUNTIFS($B$8:TblDetailBudget[[#This Row],[Level]], Lvl2Hdr, $D$8:TblDetailBudget[[#This Row],[Lvl 1 Header]], TblDetailBudget[[#This Row],[Lvl 1 Header]]))</f>
        <v/>
      </c>
      <c r="F522" s="85" t="str">
        <f>IF(TblDetailBudget[[#This Row],[Level]]="", "", COUNTIFS($B$8:TblDetailBudget[[#This Row],[Level]], Lvl3Hdr, $D$8:TblDetailBudget[[#This Row],[Lvl 1 Header]], TblDetailBudget[[#This Row],[Lvl 1 Header]], $E$8:TblDetailBudget[[#This Row],[Lvl 2 Header]], TblDetailBudget[[#This Row],[Lvl 2 Header]]))</f>
        <v/>
      </c>
      <c r="G52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2" s="164"/>
      <c r="J522" s="164"/>
      <c r="K522" s="165"/>
      <c r="L522" s="165"/>
      <c r="M522" s="85" t="str">
        <f>IF(TblDetailBudget[[#This Row],[Level]]=LvlBottomHdr, IFERROR(INDEX(TblUnitCost[Unit], MATCH(TblDetailBudget[[#This Row],[Row Title]], TblUnitCost[Resource], 0)), "Invalid Resource"), "")</f>
        <v/>
      </c>
      <c r="N522" s="126" t="str">
        <f>IF(TblDetailBudget[[#This Row],[Level]]=LvlBottomHdr, IFERROR(INDEX(TblUnitCost[LCU], MATCH(TblDetailBudget[[#This Row],[Row Title]], TblUnitCost[Resource], 0)), "Invalid Resource"), "")</f>
        <v/>
      </c>
      <c r="O522" s="130"/>
      <c r="P522" s="109"/>
      <c r="Q522" s="131"/>
      <c r="R522" s="109" t="s">
        <v>66</v>
      </c>
      <c r="S522" s="109" t="s">
        <v>66</v>
      </c>
      <c r="T522" s="109" t="s">
        <v>66</v>
      </c>
      <c r="U522" s="109" t="s">
        <v>66</v>
      </c>
      <c r="V522" s="109" t="s">
        <v>66</v>
      </c>
      <c r="W522" s="126" t="str">
        <f>IF(TblDetailBudget[[#This Row],[Level]]=LvlBottomHdr, IF(SUM(TblDetailBudget[[#This Row],[2021 Quant]:[2025 Quant]])&gt;0, SUM(TblDetailBudget[[#This Row],[2021 Quant]:[2025 Quant]]), ""), "")</f>
        <v/>
      </c>
      <c r="X52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2" s="142">
        <f>SUM(TblDetailBudget[[#This Row],[2021 Cost (LCU)]:[2025 Cost (LCU)]])</f>
        <v>0</v>
      </c>
      <c r="AD522" s="135">
        <f>IFERROR(SUM(TblDetailBudget[[#This Row],[2021 Cost (LCU)]])/FX_Rate, "")</f>
        <v>0</v>
      </c>
      <c r="AE522" s="86">
        <f>IFERROR(SUM(TblDetailBudget[[#This Row],[2022 Cost (LCU)]])/FX_Rate, "")</f>
        <v>0</v>
      </c>
      <c r="AF522" s="86">
        <f>IFERROR(SUM(TblDetailBudget[[#This Row],[2023 Cost (LCU)]])/FX_Rate, "")</f>
        <v>0</v>
      </c>
      <c r="AG522" s="86">
        <f>IFERROR(SUM(TblDetailBudget[[#This Row],[2024 Cost (LCU)]])/FX_Rate, "")</f>
        <v>0</v>
      </c>
      <c r="AH522" s="86">
        <f>IFERROR(SUM(TblDetailBudget[[#This Row],[2025 Cost (LCU)]])/FX_Rate, "")</f>
        <v>0</v>
      </c>
      <c r="AI522" s="126">
        <f>SUM(TblDetailBudget[[#This Row],[2021 Cost (USD)]:[2025 Cost (USD)]])</f>
        <v>0</v>
      </c>
      <c r="AJ522" s="180"/>
    </row>
    <row r="523" spans="2:36" ht="12.75" customHeight="1">
      <c r="B523" s="123"/>
      <c r="C52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3" s="85" t="str">
        <f>IF(TblDetailBudget[[#This Row],[Level]]="", "", COUNTIFS($B$8:TblDetailBudget[[#This Row],[Level]], Lvl1Hdr))</f>
        <v/>
      </c>
      <c r="E523" s="85" t="str">
        <f>IF(TblDetailBudget[[#This Row],[Level]]="", "", COUNTIFS($B$8:TblDetailBudget[[#This Row],[Level]], Lvl2Hdr, $D$8:TblDetailBudget[[#This Row],[Lvl 1 Header]], TblDetailBudget[[#This Row],[Lvl 1 Header]]))</f>
        <v/>
      </c>
      <c r="F523" s="85" t="str">
        <f>IF(TblDetailBudget[[#This Row],[Level]]="", "", COUNTIFS($B$8:TblDetailBudget[[#This Row],[Level]], Lvl3Hdr, $D$8:TblDetailBudget[[#This Row],[Lvl 1 Header]], TblDetailBudget[[#This Row],[Lvl 1 Header]], $E$8:TblDetailBudget[[#This Row],[Lvl 2 Header]], TblDetailBudget[[#This Row],[Lvl 2 Header]]))</f>
        <v/>
      </c>
      <c r="G52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3" s="164"/>
      <c r="J523" s="164"/>
      <c r="K523" s="165"/>
      <c r="L523" s="165"/>
      <c r="M523" s="85" t="str">
        <f>IF(TblDetailBudget[[#This Row],[Level]]=LvlBottomHdr, IFERROR(INDEX(TblUnitCost[Unit], MATCH(TblDetailBudget[[#This Row],[Row Title]], TblUnitCost[Resource], 0)), "Invalid Resource"), "")</f>
        <v/>
      </c>
      <c r="N523" s="126" t="str">
        <f>IF(TblDetailBudget[[#This Row],[Level]]=LvlBottomHdr, IFERROR(INDEX(TblUnitCost[LCU], MATCH(TblDetailBudget[[#This Row],[Row Title]], TblUnitCost[Resource], 0)), "Invalid Resource"), "")</f>
        <v/>
      </c>
      <c r="O523" s="130"/>
      <c r="P523" s="109"/>
      <c r="Q523" s="131"/>
      <c r="R523" s="109" t="s">
        <v>66</v>
      </c>
      <c r="S523" s="109" t="s">
        <v>66</v>
      </c>
      <c r="T523" s="109" t="s">
        <v>66</v>
      </c>
      <c r="U523" s="109" t="s">
        <v>66</v>
      </c>
      <c r="V523" s="109" t="s">
        <v>66</v>
      </c>
      <c r="W523" s="126" t="str">
        <f>IF(TblDetailBudget[[#This Row],[Level]]=LvlBottomHdr, IF(SUM(TblDetailBudget[[#This Row],[2021 Quant]:[2025 Quant]])&gt;0, SUM(TblDetailBudget[[#This Row],[2021 Quant]:[2025 Quant]]), ""), "")</f>
        <v/>
      </c>
      <c r="X52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3" s="142">
        <f>SUM(TblDetailBudget[[#This Row],[2021 Cost (LCU)]:[2025 Cost (LCU)]])</f>
        <v>0</v>
      </c>
      <c r="AD523" s="135">
        <f>IFERROR(SUM(TblDetailBudget[[#This Row],[2021 Cost (LCU)]])/FX_Rate, "")</f>
        <v>0</v>
      </c>
      <c r="AE523" s="86">
        <f>IFERROR(SUM(TblDetailBudget[[#This Row],[2022 Cost (LCU)]])/FX_Rate, "")</f>
        <v>0</v>
      </c>
      <c r="AF523" s="86">
        <f>IFERROR(SUM(TblDetailBudget[[#This Row],[2023 Cost (LCU)]])/FX_Rate, "")</f>
        <v>0</v>
      </c>
      <c r="AG523" s="86">
        <f>IFERROR(SUM(TblDetailBudget[[#This Row],[2024 Cost (LCU)]])/FX_Rate, "")</f>
        <v>0</v>
      </c>
      <c r="AH523" s="86">
        <f>IFERROR(SUM(TblDetailBudget[[#This Row],[2025 Cost (LCU)]])/FX_Rate, "")</f>
        <v>0</v>
      </c>
      <c r="AI523" s="126">
        <f>SUM(TblDetailBudget[[#This Row],[2021 Cost (USD)]:[2025 Cost (USD)]])</f>
        <v>0</v>
      </c>
      <c r="AJ523" s="180"/>
    </row>
    <row r="524" spans="2:36" ht="12.75" customHeight="1">
      <c r="B524" s="123"/>
      <c r="C52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4" s="85" t="str">
        <f>IF(TblDetailBudget[[#This Row],[Level]]="", "", COUNTIFS($B$8:TblDetailBudget[[#This Row],[Level]], Lvl1Hdr))</f>
        <v/>
      </c>
      <c r="E524" s="85" t="str">
        <f>IF(TblDetailBudget[[#This Row],[Level]]="", "", COUNTIFS($B$8:TblDetailBudget[[#This Row],[Level]], Lvl2Hdr, $D$8:TblDetailBudget[[#This Row],[Lvl 1 Header]], TblDetailBudget[[#This Row],[Lvl 1 Header]]))</f>
        <v/>
      </c>
      <c r="F524" s="85" t="str">
        <f>IF(TblDetailBudget[[#This Row],[Level]]="", "", COUNTIFS($B$8:TblDetailBudget[[#This Row],[Level]], Lvl3Hdr, $D$8:TblDetailBudget[[#This Row],[Lvl 1 Header]], TblDetailBudget[[#This Row],[Lvl 1 Header]], $E$8:TblDetailBudget[[#This Row],[Lvl 2 Header]], TblDetailBudget[[#This Row],[Lvl 2 Header]]))</f>
        <v/>
      </c>
      <c r="G52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4" s="164"/>
      <c r="J524" s="164"/>
      <c r="K524" s="165"/>
      <c r="L524" s="165"/>
      <c r="M524" s="85" t="str">
        <f>IF(TblDetailBudget[[#This Row],[Level]]=LvlBottomHdr, IFERROR(INDEX(TblUnitCost[Unit], MATCH(TblDetailBudget[[#This Row],[Row Title]], TblUnitCost[Resource], 0)), "Invalid Resource"), "")</f>
        <v/>
      </c>
      <c r="N524" s="126" t="str">
        <f>IF(TblDetailBudget[[#This Row],[Level]]=LvlBottomHdr, IFERROR(INDEX(TblUnitCost[LCU], MATCH(TblDetailBudget[[#This Row],[Row Title]], TblUnitCost[Resource], 0)), "Invalid Resource"), "")</f>
        <v/>
      </c>
      <c r="O524" s="130"/>
      <c r="P524" s="109"/>
      <c r="Q524" s="131"/>
      <c r="R524" s="109" t="s">
        <v>66</v>
      </c>
      <c r="S524" s="109" t="s">
        <v>66</v>
      </c>
      <c r="T524" s="109" t="s">
        <v>66</v>
      </c>
      <c r="U524" s="109" t="s">
        <v>66</v>
      </c>
      <c r="V524" s="109" t="s">
        <v>66</v>
      </c>
      <c r="W524" s="126" t="str">
        <f>IF(TblDetailBudget[[#This Row],[Level]]=LvlBottomHdr, IF(SUM(TblDetailBudget[[#This Row],[2021 Quant]:[2025 Quant]])&gt;0, SUM(TblDetailBudget[[#This Row],[2021 Quant]:[2025 Quant]]), ""), "")</f>
        <v/>
      </c>
      <c r="X52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4" s="142">
        <f>SUM(TblDetailBudget[[#This Row],[2021 Cost (LCU)]:[2025 Cost (LCU)]])</f>
        <v>0</v>
      </c>
      <c r="AD524" s="135">
        <f>IFERROR(SUM(TblDetailBudget[[#This Row],[2021 Cost (LCU)]])/FX_Rate, "")</f>
        <v>0</v>
      </c>
      <c r="AE524" s="86">
        <f>IFERROR(SUM(TblDetailBudget[[#This Row],[2022 Cost (LCU)]])/FX_Rate, "")</f>
        <v>0</v>
      </c>
      <c r="AF524" s="86">
        <f>IFERROR(SUM(TblDetailBudget[[#This Row],[2023 Cost (LCU)]])/FX_Rate, "")</f>
        <v>0</v>
      </c>
      <c r="AG524" s="86">
        <f>IFERROR(SUM(TblDetailBudget[[#This Row],[2024 Cost (LCU)]])/FX_Rate, "")</f>
        <v>0</v>
      </c>
      <c r="AH524" s="86">
        <f>IFERROR(SUM(TblDetailBudget[[#This Row],[2025 Cost (LCU)]])/FX_Rate, "")</f>
        <v>0</v>
      </c>
      <c r="AI524" s="126">
        <f>SUM(TblDetailBudget[[#This Row],[2021 Cost (USD)]:[2025 Cost (USD)]])</f>
        <v>0</v>
      </c>
      <c r="AJ524" s="180"/>
    </row>
    <row r="525" spans="2:36" ht="12.75" customHeight="1">
      <c r="B525" s="123"/>
      <c r="C52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5" s="85" t="str">
        <f>IF(TblDetailBudget[[#This Row],[Level]]="", "", COUNTIFS($B$8:TblDetailBudget[[#This Row],[Level]], Lvl1Hdr))</f>
        <v/>
      </c>
      <c r="E525" s="85" t="str">
        <f>IF(TblDetailBudget[[#This Row],[Level]]="", "", COUNTIFS($B$8:TblDetailBudget[[#This Row],[Level]], Lvl2Hdr, $D$8:TblDetailBudget[[#This Row],[Lvl 1 Header]], TblDetailBudget[[#This Row],[Lvl 1 Header]]))</f>
        <v/>
      </c>
      <c r="F525" s="85" t="str">
        <f>IF(TblDetailBudget[[#This Row],[Level]]="", "", COUNTIFS($B$8:TblDetailBudget[[#This Row],[Level]], Lvl3Hdr, $D$8:TblDetailBudget[[#This Row],[Lvl 1 Header]], TblDetailBudget[[#This Row],[Lvl 1 Header]], $E$8:TblDetailBudget[[#This Row],[Lvl 2 Header]], TblDetailBudget[[#This Row],[Lvl 2 Header]]))</f>
        <v/>
      </c>
      <c r="G52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5" s="164"/>
      <c r="J525" s="164"/>
      <c r="K525" s="165"/>
      <c r="L525" s="165"/>
      <c r="M525" s="85" t="str">
        <f>IF(TblDetailBudget[[#This Row],[Level]]=LvlBottomHdr, IFERROR(INDEX(TblUnitCost[Unit], MATCH(TblDetailBudget[[#This Row],[Row Title]], TblUnitCost[Resource], 0)), "Invalid Resource"), "")</f>
        <v/>
      </c>
      <c r="N525" s="126" t="str">
        <f>IF(TblDetailBudget[[#This Row],[Level]]=LvlBottomHdr, IFERROR(INDEX(TblUnitCost[LCU], MATCH(TblDetailBudget[[#This Row],[Row Title]], TblUnitCost[Resource], 0)), "Invalid Resource"), "")</f>
        <v/>
      </c>
      <c r="O525" s="130"/>
      <c r="P525" s="109"/>
      <c r="Q525" s="131"/>
      <c r="R525" s="109" t="s">
        <v>66</v>
      </c>
      <c r="S525" s="109" t="s">
        <v>66</v>
      </c>
      <c r="T525" s="109" t="s">
        <v>66</v>
      </c>
      <c r="U525" s="109" t="s">
        <v>66</v>
      </c>
      <c r="V525" s="109" t="s">
        <v>66</v>
      </c>
      <c r="W525" s="126" t="str">
        <f>IF(TblDetailBudget[[#This Row],[Level]]=LvlBottomHdr, IF(SUM(TblDetailBudget[[#This Row],[2021 Quant]:[2025 Quant]])&gt;0, SUM(TblDetailBudget[[#This Row],[2021 Quant]:[2025 Quant]]), ""), "")</f>
        <v/>
      </c>
      <c r="X52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5" s="142">
        <f>SUM(TblDetailBudget[[#This Row],[2021 Cost (LCU)]:[2025 Cost (LCU)]])</f>
        <v>0</v>
      </c>
      <c r="AD525" s="135">
        <f>IFERROR(SUM(TblDetailBudget[[#This Row],[2021 Cost (LCU)]])/FX_Rate, "")</f>
        <v>0</v>
      </c>
      <c r="AE525" s="86">
        <f>IFERROR(SUM(TblDetailBudget[[#This Row],[2022 Cost (LCU)]])/FX_Rate, "")</f>
        <v>0</v>
      </c>
      <c r="AF525" s="86">
        <f>IFERROR(SUM(TblDetailBudget[[#This Row],[2023 Cost (LCU)]])/FX_Rate, "")</f>
        <v>0</v>
      </c>
      <c r="AG525" s="86">
        <f>IFERROR(SUM(TblDetailBudget[[#This Row],[2024 Cost (LCU)]])/FX_Rate, "")</f>
        <v>0</v>
      </c>
      <c r="AH525" s="86">
        <f>IFERROR(SUM(TblDetailBudget[[#This Row],[2025 Cost (LCU)]])/FX_Rate, "")</f>
        <v>0</v>
      </c>
      <c r="AI525" s="126">
        <f>SUM(TblDetailBudget[[#This Row],[2021 Cost (USD)]:[2025 Cost (USD)]])</f>
        <v>0</v>
      </c>
      <c r="AJ525" s="180"/>
    </row>
    <row r="526" spans="2:36" ht="12.75" customHeight="1">
      <c r="B526" s="123"/>
      <c r="C52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6" s="85" t="str">
        <f>IF(TblDetailBudget[[#This Row],[Level]]="", "", COUNTIFS($B$8:TblDetailBudget[[#This Row],[Level]], Lvl1Hdr))</f>
        <v/>
      </c>
      <c r="E526" s="85" t="str">
        <f>IF(TblDetailBudget[[#This Row],[Level]]="", "", COUNTIFS($B$8:TblDetailBudget[[#This Row],[Level]], Lvl2Hdr, $D$8:TblDetailBudget[[#This Row],[Lvl 1 Header]], TblDetailBudget[[#This Row],[Lvl 1 Header]]))</f>
        <v/>
      </c>
      <c r="F526" s="85" t="str">
        <f>IF(TblDetailBudget[[#This Row],[Level]]="", "", COUNTIFS($B$8:TblDetailBudget[[#This Row],[Level]], Lvl3Hdr, $D$8:TblDetailBudget[[#This Row],[Lvl 1 Header]], TblDetailBudget[[#This Row],[Lvl 1 Header]], $E$8:TblDetailBudget[[#This Row],[Lvl 2 Header]], TblDetailBudget[[#This Row],[Lvl 2 Header]]))</f>
        <v/>
      </c>
      <c r="G52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6" s="164"/>
      <c r="J526" s="164"/>
      <c r="K526" s="165"/>
      <c r="L526" s="165"/>
      <c r="M526" s="85" t="str">
        <f>IF(TblDetailBudget[[#This Row],[Level]]=LvlBottomHdr, IFERROR(INDEX(TblUnitCost[Unit], MATCH(TblDetailBudget[[#This Row],[Row Title]], TblUnitCost[Resource], 0)), "Invalid Resource"), "")</f>
        <v/>
      </c>
      <c r="N526" s="126" t="str">
        <f>IF(TblDetailBudget[[#This Row],[Level]]=LvlBottomHdr, IFERROR(INDEX(TblUnitCost[LCU], MATCH(TblDetailBudget[[#This Row],[Row Title]], TblUnitCost[Resource], 0)), "Invalid Resource"), "")</f>
        <v/>
      </c>
      <c r="O526" s="130"/>
      <c r="P526" s="109"/>
      <c r="Q526" s="131"/>
      <c r="R526" s="109" t="s">
        <v>66</v>
      </c>
      <c r="S526" s="109" t="s">
        <v>66</v>
      </c>
      <c r="T526" s="109" t="s">
        <v>66</v>
      </c>
      <c r="U526" s="109" t="s">
        <v>66</v>
      </c>
      <c r="V526" s="109" t="s">
        <v>66</v>
      </c>
      <c r="W526" s="126" t="str">
        <f>IF(TblDetailBudget[[#This Row],[Level]]=LvlBottomHdr, IF(SUM(TblDetailBudget[[#This Row],[2021 Quant]:[2025 Quant]])&gt;0, SUM(TblDetailBudget[[#This Row],[2021 Quant]:[2025 Quant]]), ""), "")</f>
        <v/>
      </c>
      <c r="X52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6" s="142">
        <f>SUM(TblDetailBudget[[#This Row],[2021 Cost (LCU)]:[2025 Cost (LCU)]])</f>
        <v>0</v>
      </c>
      <c r="AD526" s="135">
        <f>IFERROR(SUM(TblDetailBudget[[#This Row],[2021 Cost (LCU)]])/FX_Rate, "")</f>
        <v>0</v>
      </c>
      <c r="AE526" s="86">
        <f>IFERROR(SUM(TblDetailBudget[[#This Row],[2022 Cost (LCU)]])/FX_Rate, "")</f>
        <v>0</v>
      </c>
      <c r="AF526" s="86">
        <f>IFERROR(SUM(TblDetailBudget[[#This Row],[2023 Cost (LCU)]])/FX_Rate, "")</f>
        <v>0</v>
      </c>
      <c r="AG526" s="86">
        <f>IFERROR(SUM(TblDetailBudget[[#This Row],[2024 Cost (LCU)]])/FX_Rate, "")</f>
        <v>0</v>
      </c>
      <c r="AH526" s="86">
        <f>IFERROR(SUM(TblDetailBudget[[#This Row],[2025 Cost (LCU)]])/FX_Rate, "")</f>
        <v>0</v>
      </c>
      <c r="AI526" s="126">
        <f>SUM(TblDetailBudget[[#This Row],[2021 Cost (USD)]:[2025 Cost (USD)]])</f>
        <v>0</v>
      </c>
      <c r="AJ526" s="180"/>
    </row>
    <row r="527" spans="2:36" ht="12.75" customHeight="1">
      <c r="B527" s="123"/>
      <c r="C52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7" s="85" t="str">
        <f>IF(TblDetailBudget[[#This Row],[Level]]="", "", COUNTIFS($B$8:TblDetailBudget[[#This Row],[Level]], Lvl1Hdr))</f>
        <v/>
      </c>
      <c r="E527" s="85" t="str">
        <f>IF(TblDetailBudget[[#This Row],[Level]]="", "", COUNTIFS($B$8:TblDetailBudget[[#This Row],[Level]], Lvl2Hdr, $D$8:TblDetailBudget[[#This Row],[Lvl 1 Header]], TblDetailBudget[[#This Row],[Lvl 1 Header]]))</f>
        <v/>
      </c>
      <c r="F527" s="85" t="str">
        <f>IF(TblDetailBudget[[#This Row],[Level]]="", "", COUNTIFS($B$8:TblDetailBudget[[#This Row],[Level]], Lvl3Hdr, $D$8:TblDetailBudget[[#This Row],[Lvl 1 Header]], TblDetailBudget[[#This Row],[Lvl 1 Header]], $E$8:TblDetailBudget[[#This Row],[Lvl 2 Header]], TblDetailBudget[[#This Row],[Lvl 2 Header]]))</f>
        <v/>
      </c>
      <c r="G52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7" s="164"/>
      <c r="J527" s="164"/>
      <c r="K527" s="165"/>
      <c r="L527" s="165"/>
      <c r="M527" s="85" t="str">
        <f>IF(TblDetailBudget[[#This Row],[Level]]=LvlBottomHdr, IFERROR(INDEX(TblUnitCost[Unit], MATCH(TblDetailBudget[[#This Row],[Row Title]], TblUnitCost[Resource], 0)), "Invalid Resource"), "")</f>
        <v/>
      </c>
      <c r="N527" s="126" t="str">
        <f>IF(TblDetailBudget[[#This Row],[Level]]=LvlBottomHdr, IFERROR(INDEX(TblUnitCost[LCU], MATCH(TblDetailBudget[[#This Row],[Row Title]], TblUnitCost[Resource], 0)), "Invalid Resource"), "")</f>
        <v/>
      </c>
      <c r="O527" s="130"/>
      <c r="P527" s="109"/>
      <c r="Q527" s="131"/>
      <c r="R527" s="109" t="s">
        <v>66</v>
      </c>
      <c r="S527" s="109" t="s">
        <v>66</v>
      </c>
      <c r="T527" s="109" t="s">
        <v>66</v>
      </c>
      <c r="U527" s="109" t="s">
        <v>66</v>
      </c>
      <c r="V527" s="109" t="s">
        <v>66</v>
      </c>
      <c r="W527" s="126" t="str">
        <f>IF(TblDetailBudget[[#This Row],[Level]]=LvlBottomHdr, IF(SUM(TblDetailBudget[[#This Row],[2021 Quant]:[2025 Quant]])&gt;0, SUM(TblDetailBudget[[#This Row],[2021 Quant]:[2025 Quant]]), ""), "")</f>
        <v/>
      </c>
      <c r="X52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7" s="142">
        <f>SUM(TblDetailBudget[[#This Row],[2021 Cost (LCU)]:[2025 Cost (LCU)]])</f>
        <v>0</v>
      </c>
      <c r="AD527" s="135">
        <f>IFERROR(SUM(TblDetailBudget[[#This Row],[2021 Cost (LCU)]])/FX_Rate, "")</f>
        <v>0</v>
      </c>
      <c r="AE527" s="86">
        <f>IFERROR(SUM(TblDetailBudget[[#This Row],[2022 Cost (LCU)]])/FX_Rate, "")</f>
        <v>0</v>
      </c>
      <c r="AF527" s="86">
        <f>IFERROR(SUM(TblDetailBudget[[#This Row],[2023 Cost (LCU)]])/FX_Rate, "")</f>
        <v>0</v>
      </c>
      <c r="AG527" s="86">
        <f>IFERROR(SUM(TblDetailBudget[[#This Row],[2024 Cost (LCU)]])/FX_Rate, "")</f>
        <v>0</v>
      </c>
      <c r="AH527" s="86">
        <f>IFERROR(SUM(TblDetailBudget[[#This Row],[2025 Cost (LCU)]])/FX_Rate, "")</f>
        <v>0</v>
      </c>
      <c r="AI527" s="126">
        <f>SUM(TblDetailBudget[[#This Row],[2021 Cost (USD)]:[2025 Cost (USD)]])</f>
        <v>0</v>
      </c>
      <c r="AJ527" s="180"/>
    </row>
    <row r="528" spans="2:36" ht="12.75" customHeight="1">
      <c r="B528" s="123"/>
      <c r="C52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8" s="85" t="str">
        <f>IF(TblDetailBudget[[#This Row],[Level]]="", "", COUNTIFS($B$8:TblDetailBudget[[#This Row],[Level]], Lvl1Hdr))</f>
        <v/>
      </c>
      <c r="E528" s="85" t="str">
        <f>IF(TblDetailBudget[[#This Row],[Level]]="", "", COUNTIFS($B$8:TblDetailBudget[[#This Row],[Level]], Lvl2Hdr, $D$8:TblDetailBudget[[#This Row],[Lvl 1 Header]], TblDetailBudget[[#This Row],[Lvl 1 Header]]))</f>
        <v/>
      </c>
      <c r="F528" s="85" t="str">
        <f>IF(TblDetailBudget[[#This Row],[Level]]="", "", COUNTIFS($B$8:TblDetailBudget[[#This Row],[Level]], Lvl3Hdr, $D$8:TblDetailBudget[[#This Row],[Lvl 1 Header]], TblDetailBudget[[#This Row],[Lvl 1 Header]], $E$8:TblDetailBudget[[#This Row],[Lvl 2 Header]], TblDetailBudget[[#This Row],[Lvl 2 Header]]))</f>
        <v/>
      </c>
      <c r="G52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8" s="164"/>
      <c r="J528" s="164"/>
      <c r="K528" s="165"/>
      <c r="L528" s="165"/>
      <c r="M528" s="85" t="str">
        <f>IF(TblDetailBudget[[#This Row],[Level]]=LvlBottomHdr, IFERROR(INDEX(TblUnitCost[Unit], MATCH(TblDetailBudget[[#This Row],[Row Title]], TblUnitCost[Resource], 0)), "Invalid Resource"), "")</f>
        <v/>
      </c>
      <c r="N528" s="126" t="str">
        <f>IF(TblDetailBudget[[#This Row],[Level]]=LvlBottomHdr, IFERROR(INDEX(TblUnitCost[LCU], MATCH(TblDetailBudget[[#This Row],[Row Title]], TblUnitCost[Resource], 0)), "Invalid Resource"), "")</f>
        <v/>
      </c>
      <c r="O528" s="130"/>
      <c r="P528" s="109"/>
      <c r="Q528" s="131"/>
      <c r="R528" s="109" t="s">
        <v>66</v>
      </c>
      <c r="S528" s="109" t="s">
        <v>66</v>
      </c>
      <c r="T528" s="109" t="s">
        <v>66</v>
      </c>
      <c r="U528" s="109" t="s">
        <v>66</v>
      </c>
      <c r="V528" s="109" t="s">
        <v>66</v>
      </c>
      <c r="W528" s="126" t="str">
        <f>IF(TblDetailBudget[[#This Row],[Level]]=LvlBottomHdr, IF(SUM(TblDetailBudget[[#This Row],[2021 Quant]:[2025 Quant]])&gt;0, SUM(TblDetailBudget[[#This Row],[2021 Quant]:[2025 Quant]]), ""), "")</f>
        <v/>
      </c>
      <c r="X52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8" s="142">
        <f>SUM(TblDetailBudget[[#This Row],[2021 Cost (LCU)]:[2025 Cost (LCU)]])</f>
        <v>0</v>
      </c>
      <c r="AD528" s="135">
        <f>IFERROR(SUM(TblDetailBudget[[#This Row],[2021 Cost (LCU)]])/FX_Rate, "")</f>
        <v>0</v>
      </c>
      <c r="AE528" s="86">
        <f>IFERROR(SUM(TblDetailBudget[[#This Row],[2022 Cost (LCU)]])/FX_Rate, "")</f>
        <v>0</v>
      </c>
      <c r="AF528" s="86">
        <f>IFERROR(SUM(TblDetailBudget[[#This Row],[2023 Cost (LCU)]])/FX_Rate, "")</f>
        <v>0</v>
      </c>
      <c r="AG528" s="86">
        <f>IFERROR(SUM(TblDetailBudget[[#This Row],[2024 Cost (LCU)]])/FX_Rate, "")</f>
        <v>0</v>
      </c>
      <c r="AH528" s="86">
        <f>IFERROR(SUM(TblDetailBudget[[#This Row],[2025 Cost (LCU)]])/FX_Rate, "")</f>
        <v>0</v>
      </c>
      <c r="AI528" s="126">
        <f>SUM(TblDetailBudget[[#This Row],[2021 Cost (USD)]:[2025 Cost (USD)]])</f>
        <v>0</v>
      </c>
      <c r="AJ528" s="180"/>
    </row>
    <row r="529" spans="2:36" ht="12.75" customHeight="1">
      <c r="B529" s="123"/>
      <c r="C5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9" s="85" t="str">
        <f>IF(TblDetailBudget[[#This Row],[Level]]="", "", COUNTIFS($B$8:TblDetailBudget[[#This Row],[Level]], Lvl1Hdr))</f>
        <v/>
      </c>
      <c r="E529" s="85" t="str">
        <f>IF(TblDetailBudget[[#This Row],[Level]]="", "", COUNTIFS($B$8:TblDetailBudget[[#This Row],[Level]], Lvl2Hdr, $D$8:TblDetailBudget[[#This Row],[Lvl 1 Header]], TblDetailBudget[[#This Row],[Lvl 1 Header]]))</f>
        <v/>
      </c>
      <c r="F529" s="85" t="str">
        <f>IF(TblDetailBudget[[#This Row],[Level]]="", "", COUNTIFS($B$8:TblDetailBudget[[#This Row],[Level]], Lvl3Hdr, $D$8:TblDetailBudget[[#This Row],[Lvl 1 Header]], TblDetailBudget[[#This Row],[Lvl 1 Header]], $E$8:TblDetailBudget[[#This Row],[Lvl 2 Header]], TblDetailBudget[[#This Row],[Lvl 2 Header]]))</f>
        <v/>
      </c>
      <c r="G5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9" s="164"/>
      <c r="J529" s="164"/>
      <c r="K529" s="165"/>
      <c r="L529" s="165"/>
      <c r="M529" s="85" t="str">
        <f>IF(TblDetailBudget[[#This Row],[Level]]=LvlBottomHdr, IFERROR(INDEX(TblUnitCost[Unit], MATCH(TblDetailBudget[[#This Row],[Row Title]], TblUnitCost[Resource], 0)), "Invalid Resource"), "")</f>
        <v/>
      </c>
      <c r="N529" s="126" t="str">
        <f>IF(TblDetailBudget[[#This Row],[Level]]=LvlBottomHdr, IFERROR(INDEX(TblUnitCost[LCU], MATCH(TblDetailBudget[[#This Row],[Row Title]], TblUnitCost[Resource], 0)), "Invalid Resource"), "")</f>
        <v/>
      </c>
      <c r="O529" s="130"/>
      <c r="P529" s="109"/>
      <c r="Q529" s="131"/>
      <c r="R529" s="109" t="s">
        <v>66</v>
      </c>
      <c r="S529" s="109" t="s">
        <v>66</v>
      </c>
      <c r="T529" s="109" t="s">
        <v>66</v>
      </c>
      <c r="U529" s="109" t="s">
        <v>66</v>
      </c>
      <c r="V529" s="109" t="s">
        <v>66</v>
      </c>
      <c r="W529" s="126" t="str">
        <f>IF(TblDetailBudget[[#This Row],[Level]]=LvlBottomHdr, IF(SUM(TblDetailBudget[[#This Row],[2021 Quant]:[2025 Quant]])&gt;0, SUM(TblDetailBudget[[#This Row],[2021 Quant]:[2025 Quant]]), ""), "")</f>
        <v/>
      </c>
      <c r="X5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9" s="142">
        <f>SUM(TblDetailBudget[[#This Row],[2021 Cost (LCU)]:[2025 Cost (LCU)]])</f>
        <v>0</v>
      </c>
      <c r="AD529" s="135">
        <f>IFERROR(SUM(TblDetailBudget[[#This Row],[2021 Cost (LCU)]])/FX_Rate, "")</f>
        <v>0</v>
      </c>
      <c r="AE529" s="86">
        <f>IFERROR(SUM(TblDetailBudget[[#This Row],[2022 Cost (LCU)]])/FX_Rate, "")</f>
        <v>0</v>
      </c>
      <c r="AF529" s="86">
        <f>IFERROR(SUM(TblDetailBudget[[#This Row],[2023 Cost (LCU)]])/FX_Rate, "")</f>
        <v>0</v>
      </c>
      <c r="AG529" s="86">
        <f>IFERROR(SUM(TblDetailBudget[[#This Row],[2024 Cost (LCU)]])/FX_Rate, "")</f>
        <v>0</v>
      </c>
      <c r="AH529" s="86">
        <f>IFERROR(SUM(TblDetailBudget[[#This Row],[2025 Cost (LCU)]])/FX_Rate, "")</f>
        <v>0</v>
      </c>
      <c r="AI529" s="126">
        <f>SUM(TblDetailBudget[[#This Row],[2021 Cost (USD)]:[2025 Cost (USD)]])</f>
        <v>0</v>
      </c>
      <c r="AJ529" s="180"/>
    </row>
    <row r="530" spans="2:36" ht="12.75" customHeight="1">
      <c r="B530" s="123"/>
      <c r="C5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0" s="85" t="str">
        <f>IF(TblDetailBudget[[#This Row],[Level]]="", "", COUNTIFS($B$8:TblDetailBudget[[#This Row],[Level]], Lvl1Hdr))</f>
        <v/>
      </c>
      <c r="E530" s="85" t="str">
        <f>IF(TblDetailBudget[[#This Row],[Level]]="", "", COUNTIFS($B$8:TblDetailBudget[[#This Row],[Level]], Lvl2Hdr, $D$8:TblDetailBudget[[#This Row],[Lvl 1 Header]], TblDetailBudget[[#This Row],[Lvl 1 Header]]))</f>
        <v/>
      </c>
      <c r="F530" s="85" t="str">
        <f>IF(TblDetailBudget[[#This Row],[Level]]="", "", COUNTIFS($B$8:TblDetailBudget[[#This Row],[Level]], Lvl3Hdr, $D$8:TblDetailBudget[[#This Row],[Lvl 1 Header]], TblDetailBudget[[#This Row],[Lvl 1 Header]], $E$8:TblDetailBudget[[#This Row],[Lvl 2 Header]], TblDetailBudget[[#This Row],[Lvl 2 Header]]))</f>
        <v/>
      </c>
      <c r="G5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0" s="164"/>
      <c r="J530" s="164"/>
      <c r="K530" s="165"/>
      <c r="L530" s="165"/>
      <c r="M530" s="85" t="str">
        <f>IF(TblDetailBudget[[#This Row],[Level]]=LvlBottomHdr, IFERROR(INDEX(TblUnitCost[Unit], MATCH(TblDetailBudget[[#This Row],[Row Title]], TblUnitCost[Resource], 0)), "Invalid Resource"), "")</f>
        <v/>
      </c>
      <c r="N530" s="126" t="str">
        <f>IF(TblDetailBudget[[#This Row],[Level]]=LvlBottomHdr, IFERROR(INDEX(TblUnitCost[LCU], MATCH(TblDetailBudget[[#This Row],[Row Title]], TblUnitCost[Resource], 0)), "Invalid Resource"), "")</f>
        <v/>
      </c>
      <c r="O530" s="130"/>
      <c r="P530" s="109"/>
      <c r="Q530" s="131"/>
      <c r="R530" s="109" t="s">
        <v>66</v>
      </c>
      <c r="S530" s="109" t="s">
        <v>66</v>
      </c>
      <c r="T530" s="109" t="s">
        <v>66</v>
      </c>
      <c r="U530" s="109" t="s">
        <v>66</v>
      </c>
      <c r="V530" s="109" t="s">
        <v>66</v>
      </c>
      <c r="W530" s="126" t="str">
        <f>IF(TblDetailBudget[[#This Row],[Level]]=LvlBottomHdr, IF(SUM(TblDetailBudget[[#This Row],[2021 Quant]:[2025 Quant]])&gt;0, SUM(TblDetailBudget[[#This Row],[2021 Quant]:[2025 Quant]]), ""), "")</f>
        <v/>
      </c>
      <c r="X5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0" s="142">
        <f>SUM(TblDetailBudget[[#This Row],[2021 Cost (LCU)]:[2025 Cost (LCU)]])</f>
        <v>0</v>
      </c>
      <c r="AD530" s="135">
        <f>IFERROR(SUM(TblDetailBudget[[#This Row],[2021 Cost (LCU)]])/FX_Rate, "")</f>
        <v>0</v>
      </c>
      <c r="AE530" s="86">
        <f>IFERROR(SUM(TblDetailBudget[[#This Row],[2022 Cost (LCU)]])/FX_Rate, "")</f>
        <v>0</v>
      </c>
      <c r="AF530" s="86">
        <f>IFERROR(SUM(TblDetailBudget[[#This Row],[2023 Cost (LCU)]])/FX_Rate, "")</f>
        <v>0</v>
      </c>
      <c r="AG530" s="86">
        <f>IFERROR(SUM(TblDetailBudget[[#This Row],[2024 Cost (LCU)]])/FX_Rate, "")</f>
        <v>0</v>
      </c>
      <c r="AH530" s="86">
        <f>IFERROR(SUM(TblDetailBudget[[#This Row],[2025 Cost (LCU)]])/FX_Rate, "")</f>
        <v>0</v>
      </c>
      <c r="AI530" s="126">
        <f>SUM(TblDetailBudget[[#This Row],[2021 Cost (USD)]:[2025 Cost (USD)]])</f>
        <v>0</v>
      </c>
      <c r="AJ530" s="180"/>
    </row>
    <row r="531" spans="2:36" ht="12.75" customHeight="1">
      <c r="B531" s="123"/>
      <c r="C5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1" s="85" t="str">
        <f>IF(TblDetailBudget[[#This Row],[Level]]="", "", COUNTIFS($B$8:TblDetailBudget[[#This Row],[Level]], Lvl1Hdr))</f>
        <v/>
      </c>
      <c r="E531" s="85" t="str">
        <f>IF(TblDetailBudget[[#This Row],[Level]]="", "", COUNTIFS($B$8:TblDetailBudget[[#This Row],[Level]], Lvl2Hdr, $D$8:TblDetailBudget[[#This Row],[Lvl 1 Header]], TblDetailBudget[[#This Row],[Lvl 1 Header]]))</f>
        <v/>
      </c>
      <c r="F531" s="85" t="str">
        <f>IF(TblDetailBudget[[#This Row],[Level]]="", "", COUNTIFS($B$8:TblDetailBudget[[#This Row],[Level]], Lvl3Hdr, $D$8:TblDetailBudget[[#This Row],[Lvl 1 Header]], TblDetailBudget[[#This Row],[Lvl 1 Header]], $E$8:TblDetailBudget[[#This Row],[Lvl 2 Header]], TblDetailBudget[[#This Row],[Lvl 2 Header]]))</f>
        <v/>
      </c>
      <c r="G5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1" s="164"/>
      <c r="J531" s="164"/>
      <c r="K531" s="165"/>
      <c r="L531" s="165"/>
      <c r="M531" s="85" t="str">
        <f>IF(TblDetailBudget[[#This Row],[Level]]=LvlBottomHdr, IFERROR(INDEX(TblUnitCost[Unit], MATCH(TblDetailBudget[[#This Row],[Row Title]], TblUnitCost[Resource], 0)), "Invalid Resource"), "")</f>
        <v/>
      </c>
      <c r="N531" s="126" t="str">
        <f>IF(TblDetailBudget[[#This Row],[Level]]=LvlBottomHdr, IFERROR(INDEX(TblUnitCost[LCU], MATCH(TblDetailBudget[[#This Row],[Row Title]], TblUnitCost[Resource], 0)), "Invalid Resource"), "")</f>
        <v/>
      </c>
      <c r="O531" s="130"/>
      <c r="P531" s="109"/>
      <c r="Q531" s="131"/>
      <c r="R531" s="109" t="s">
        <v>66</v>
      </c>
      <c r="S531" s="109" t="s">
        <v>66</v>
      </c>
      <c r="T531" s="109" t="s">
        <v>66</v>
      </c>
      <c r="U531" s="109" t="s">
        <v>66</v>
      </c>
      <c r="V531" s="109" t="s">
        <v>66</v>
      </c>
      <c r="W531" s="126" t="str">
        <f>IF(TblDetailBudget[[#This Row],[Level]]=LvlBottomHdr, IF(SUM(TblDetailBudget[[#This Row],[2021 Quant]:[2025 Quant]])&gt;0, SUM(TblDetailBudget[[#This Row],[2021 Quant]:[2025 Quant]]), ""), "")</f>
        <v/>
      </c>
      <c r="X5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1" s="142">
        <f>SUM(TblDetailBudget[[#This Row],[2021 Cost (LCU)]:[2025 Cost (LCU)]])</f>
        <v>0</v>
      </c>
      <c r="AD531" s="135">
        <f>IFERROR(SUM(TblDetailBudget[[#This Row],[2021 Cost (LCU)]])/FX_Rate, "")</f>
        <v>0</v>
      </c>
      <c r="AE531" s="86">
        <f>IFERROR(SUM(TblDetailBudget[[#This Row],[2022 Cost (LCU)]])/FX_Rate, "")</f>
        <v>0</v>
      </c>
      <c r="AF531" s="86">
        <f>IFERROR(SUM(TblDetailBudget[[#This Row],[2023 Cost (LCU)]])/FX_Rate, "")</f>
        <v>0</v>
      </c>
      <c r="AG531" s="86">
        <f>IFERROR(SUM(TblDetailBudget[[#This Row],[2024 Cost (LCU)]])/FX_Rate, "")</f>
        <v>0</v>
      </c>
      <c r="AH531" s="86">
        <f>IFERROR(SUM(TblDetailBudget[[#This Row],[2025 Cost (LCU)]])/FX_Rate, "")</f>
        <v>0</v>
      </c>
      <c r="AI531" s="126">
        <f>SUM(TblDetailBudget[[#This Row],[2021 Cost (USD)]:[2025 Cost (USD)]])</f>
        <v>0</v>
      </c>
      <c r="AJ531" s="180"/>
    </row>
    <row r="532" spans="2:36" ht="12.75" customHeight="1">
      <c r="B532" s="123"/>
      <c r="C5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2" s="85" t="str">
        <f>IF(TblDetailBudget[[#This Row],[Level]]="", "", COUNTIFS($B$8:TblDetailBudget[[#This Row],[Level]], Lvl1Hdr))</f>
        <v/>
      </c>
      <c r="E532" s="85" t="str">
        <f>IF(TblDetailBudget[[#This Row],[Level]]="", "", COUNTIFS($B$8:TblDetailBudget[[#This Row],[Level]], Lvl2Hdr, $D$8:TblDetailBudget[[#This Row],[Lvl 1 Header]], TblDetailBudget[[#This Row],[Lvl 1 Header]]))</f>
        <v/>
      </c>
      <c r="F532" s="85" t="str">
        <f>IF(TblDetailBudget[[#This Row],[Level]]="", "", COUNTIFS($B$8:TblDetailBudget[[#This Row],[Level]], Lvl3Hdr, $D$8:TblDetailBudget[[#This Row],[Lvl 1 Header]], TblDetailBudget[[#This Row],[Lvl 1 Header]], $E$8:TblDetailBudget[[#This Row],[Lvl 2 Header]], TblDetailBudget[[#This Row],[Lvl 2 Header]]))</f>
        <v/>
      </c>
      <c r="G5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2" s="164"/>
      <c r="J532" s="164"/>
      <c r="K532" s="165"/>
      <c r="L532" s="165"/>
      <c r="M532" s="85" t="str">
        <f>IF(TblDetailBudget[[#This Row],[Level]]=LvlBottomHdr, IFERROR(INDEX(TblUnitCost[Unit], MATCH(TblDetailBudget[[#This Row],[Row Title]], TblUnitCost[Resource], 0)), "Invalid Resource"), "")</f>
        <v/>
      </c>
      <c r="N532" s="126" t="str">
        <f>IF(TblDetailBudget[[#This Row],[Level]]=LvlBottomHdr, IFERROR(INDEX(TblUnitCost[LCU], MATCH(TblDetailBudget[[#This Row],[Row Title]], TblUnitCost[Resource], 0)), "Invalid Resource"), "")</f>
        <v/>
      </c>
      <c r="O532" s="130"/>
      <c r="P532" s="109"/>
      <c r="Q532" s="131"/>
      <c r="R532" s="109" t="s">
        <v>66</v>
      </c>
      <c r="S532" s="109" t="s">
        <v>66</v>
      </c>
      <c r="T532" s="109" t="s">
        <v>66</v>
      </c>
      <c r="U532" s="109" t="s">
        <v>66</v>
      </c>
      <c r="V532" s="109" t="s">
        <v>66</v>
      </c>
      <c r="W532" s="126" t="str">
        <f>IF(TblDetailBudget[[#This Row],[Level]]=LvlBottomHdr, IF(SUM(TblDetailBudget[[#This Row],[2021 Quant]:[2025 Quant]])&gt;0, SUM(TblDetailBudget[[#This Row],[2021 Quant]:[2025 Quant]]), ""), "")</f>
        <v/>
      </c>
      <c r="X5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2" s="142">
        <f>SUM(TblDetailBudget[[#This Row],[2021 Cost (LCU)]:[2025 Cost (LCU)]])</f>
        <v>0</v>
      </c>
      <c r="AD532" s="135">
        <f>IFERROR(SUM(TblDetailBudget[[#This Row],[2021 Cost (LCU)]])/FX_Rate, "")</f>
        <v>0</v>
      </c>
      <c r="AE532" s="86">
        <f>IFERROR(SUM(TblDetailBudget[[#This Row],[2022 Cost (LCU)]])/FX_Rate, "")</f>
        <v>0</v>
      </c>
      <c r="AF532" s="86">
        <f>IFERROR(SUM(TblDetailBudget[[#This Row],[2023 Cost (LCU)]])/FX_Rate, "")</f>
        <v>0</v>
      </c>
      <c r="AG532" s="86">
        <f>IFERROR(SUM(TblDetailBudget[[#This Row],[2024 Cost (LCU)]])/FX_Rate, "")</f>
        <v>0</v>
      </c>
      <c r="AH532" s="86">
        <f>IFERROR(SUM(TblDetailBudget[[#This Row],[2025 Cost (LCU)]])/FX_Rate, "")</f>
        <v>0</v>
      </c>
      <c r="AI532" s="126">
        <f>SUM(TblDetailBudget[[#This Row],[2021 Cost (USD)]:[2025 Cost (USD)]])</f>
        <v>0</v>
      </c>
      <c r="AJ532" s="180"/>
    </row>
    <row r="533" spans="2:36" ht="12.75" customHeight="1">
      <c r="B533" s="123"/>
      <c r="C5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3" s="85" t="str">
        <f>IF(TblDetailBudget[[#This Row],[Level]]="", "", COUNTIFS($B$8:TblDetailBudget[[#This Row],[Level]], Lvl1Hdr))</f>
        <v/>
      </c>
      <c r="E533" s="85" t="str">
        <f>IF(TblDetailBudget[[#This Row],[Level]]="", "", COUNTIFS($B$8:TblDetailBudget[[#This Row],[Level]], Lvl2Hdr, $D$8:TblDetailBudget[[#This Row],[Lvl 1 Header]], TblDetailBudget[[#This Row],[Lvl 1 Header]]))</f>
        <v/>
      </c>
      <c r="F533" s="85" t="str">
        <f>IF(TblDetailBudget[[#This Row],[Level]]="", "", COUNTIFS($B$8:TblDetailBudget[[#This Row],[Level]], Lvl3Hdr, $D$8:TblDetailBudget[[#This Row],[Lvl 1 Header]], TblDetailBudget[[#This Row],[Lvl 1 Header]], $E$8:TblDetailBudget[[#This Row],[Lvl 2 Header]], TblDetailBudget[[#This Row],[Lvl 2 Header]]))</f>
        <v/>
      </c>
      <c r="G5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3" s="164"/>
      <c r="J533" s="164"/>
      <c r="K533" s="165"/>
      <c r="L533" s="165"/>
      <c r="M533" s="85" t="str">
        <f>IF(TblDetailBudget[[#This Row],[Level]]=LvlBottomHdr, IFERROR(INDEX(TblUnitCost[Unit], MATCH(TblDetailBudget[[#This Row],[Row Title]], TblUnitCost[Resource], 0)), "Invalid Resource"), "")</f>
        <v/>
      </c>
      <c r="N533" s="126" t="str">
        <f>IF(TblDetailBudget[[#This Row],[Level]]=LvlBottomHdr, IFERROR(INDEX(TblUnitCost[LCU], MATCH(TblDetailBudget[[#This Row],[Row Title]], TblUnitCost[Resource], 0)), "Invalid Resource"), "")</f>
        <v/>
      </c>
      <c r="O533" s="130"/>
      <c r="P533" s="109"/>
      <c r="Q533" s="131"/>
      <c r="R533" s="109" t="s">
        <v>66</v>
      </c>
      <c r="S533" s="109" t="s">
        <v>66</v>
      </c>
      <c r="T533" s="109" t="s">
        <v>66</v>
      </c>
      <c r="U533" s="109" t="s">
        <v>66</v>
      </c>
      <c r="V533" s="109" t="s">
        <v>66</v>
      </c>
      <c r="W533" s="126" t="str">
        <f>IF(TblDetailBudget[[#This Row],[Level]]=LvlBottomHdr, IF(SUM(TblDetailBudget[[#This Row],[2021 Quant]:[2025 Quant]])&gt;0, SUM(TblDetailBudget[[#This Row],[2021 Quant]:[2025 Quant]]), ""), "")</f>
        <v/>
      </c>
      <c r="X5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3" s="142">
        <f>SUM(TblDetailBudget[[#This Row],[2021 Cost (LCU)]:[2025 Cost (LCU)]])</f>
        <v>0</v>
      </c>
      <c r="AD533" s="135">
        <f>IFERROR(SUM(TblDetailBudget[[#This Row],[2021 Cost (LCU)]])/FX_Rate, "")</f>
        <v>0</v>
      </c>
      <c r="AE533" s="86">
        <f>IFERROR(SUM(TblDetailBudget[[#This Row],[2022 Cost (LCU)]])/FX_Rate, "")</f>
        <v>0</v>
      </c>
      <c r="AF533" s="86">
        <f>IFERROR(SUM(TblDetailBudget[[#This Row],[2023 Cost (LCU)]])/FX_Rate, "")</f>
        <v>0</v>
      </c>
      <c r="AG533" s="86">
        <f>IFERROR(SUM(TblDetailBudget[[#This Row],[2024 Cost (LCU)]])/FX_Rate, "")</f>
        <v>0</v>
      </c>
      <c r="AH533" s="86">
        <f>IFERROR(SUM(TblDetailBudget[[#This Row],[2025 Cost (LCU)]])/FX_Rate, "")</f>
        <v>0</v>
      </c>
      <c r="AI533" s="126">
        <f>SUM(TblDetailBudget[[#This Row],[2021 Cost (USD)]:[2025 Cost (USD)]])</f>
        <v>0</v>
      </c>
      <c r="AJ533" s="180"/>
    </row>
    <row r="534" spans="2:36" ht="12.75" customHeight="1">
      <c r="B534" s="123"/>
      <c r="C5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4" s="85" t="str">
        <f>IF(TblDetailBudget[[#This Row],[Level]]="", "", COUNTIFS($B$8:TblDetailBudget[[#This Row],[Level]], Lvl1Hdr))</f>
        <v/>
      </c>
      <c r="E534" s="85" t="str">
        <f>IF(TblDetailBudget[[#This Row],[Level]]="", "", COUNTIFS($B$8:TblDetailBudget[[#This Row],[Level]], Lvl2Hdr, $D$8:TblDetailBudget[[#This Row],[Lvl 1 Header]], TblDetailBudget[[#This Row],[Lvl 1 Header]]))</f>
        <v/>
      </c>
      <c r="F534" s="85" t="str">
        <f>IF(TblDetailBudget[[#This Row],[Level]]="", "", COUNTIFS($B$8:TblDetailBudget[[#This Row],[Level]], Lvl3Hdr, $D$8:TblDetailBudget[[#This Row],[Lvl 1 Header]], TblDetailBudget[[#This Row],[Lvl 1 Header]], $E$8:TblDetailBudget[[#This Row],[Lvl 2 Header]], TblDetailBudget[[#This Row],[Lvl 2 Header]]))</f>
        <v/>
      </c>
      <c r="G5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4" s="164"/>
      <c r="J534" s="164"/>
      <c r="K534" s="165"/>
      <c r="L534" s="165"/>
      <c r="M534" s="85" t="str">
        <f>IF(TblDetailBudget[[#This Row],[Level]]=LvlBottomHdr, IFERROR(INDEX(TblUnitCost[Unit], MATCH(TblDetailBudget[[#This Row],[Row Title]], TblUnitCost[Resource], 0)), "Invalid Resource"), "")</f>
        <v/>
      </c>
      <c r="N534" s="126" t="str">
        <f>IF(TblDetailBudget[[#This Row],[Level]]=LvlBottomHdr, IFERROR(INDEX(TblUnitCost[LCU], MATCH(TblDetailBudget[[#This Row],[Row Title]], TblUnitCost[Resource], 0)), "Invalid Resource"), "")</f>
        <v/>
      </c>
      <c r="O534" s="130"/>
      <c r="P534" s="109"/>
      <c r="Q534" s="131"/>
      <c r="R534" s="109" t="s">
        <v>66</v>
      </c>
      <c r="S534" s="109" t="s">
        <v>66</v>
      </c>
      <c r="T534" s="109" t="s">
        <v>66</v>
      </c>
      <c r="U534" s="109" t="s">
        <v>66</v>
      </c>
      <c r="V534" s="109" t="s">
        <v>66</v>
      </c>
      <c r="W534" s="126" t="str">
        <f>IF(TblDetailBudget[[#This Row],[Level]]=LvlBottomHdr, IF(SUM(TblDetailBudget[[#This Row],[2021 Quant]:[2025 Quant]])&gt;0, SUM(TblDetailBudget[[#This Row],[2021 Quant]:[2025 Quant]]), ""), "")</f>
        <v/>
      </c>
      <c r="X5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4" s="142">
        <f>SUM(TblDetailBudget[[#This Row],[2021 Cost (LCU)]:[2025 Cost (LCU)]])</f>
        <v>0</v>
      </c>
      <c r="AD534" s="135">
        <f>IFERROR(SUM(TblDetailBudget[[#This Row],[2021 Cost (LCU)]])/FX_Rate, "")</f>
        <v>0</v>
      </c>
      <c r="AE534" s="86">
        <f>IFERROR(SUM(TblDetailBudget[[#This Row],[2022 Cost (LCU)]])/FX_Rate, "")</f>
        <v>0</v>
      </c>
      <c r="AF534" s="86">
        <f>IFERROR(SUM(TblDetailBudget[[#This Row],[2023 Cost (LCU)]])/FX_Rate, "")</f>
        <v>0</v>
      </c>
      <c r="AG534" s="86">
        <f>IFERROR(SUM(TblDetailBudget[[#This Row],[2024 Cost (LCU)]])/FX_Rate, "")</f>
        <v>0</v>
      </c>
      <c r="AH534" s="86">
        <f>IFERROR(SUM(TblDetailBudget[[#This Row],[2025 Cost (LCU)]])/FX_Rate, "")</f>
        <v>0</v>
      </c>
      <c r="AI534" s="126">
        <f>SUM(TblDetailBudget[[#This Row],[2021 Cost (USD)]:[2025 Cost (USD)]])</f>
        <v>0</v>
      </c>
      <c r="AJ534" s="180"/>
    </row>
    <row r="535" spans="2:36" ht="12.75" customHeight="1">
      <c r="B535" s="123"/>
      <c r="C5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5" s="85" t="str">
        <f>IF(TblDetailBudget[[#This Row],[Level]]="", "", COUNTIFS($B$8:TblDetailBudget[[#This Row],[Level]], Lvl1Hdr))</f>
        <v/>
      </c>
      <c r="E535" s="85" t="str">
        <f>IF(TblDetailBudget[[#This Row],[Level]]="", "", COUNTIFS($B$8:TblDetailBudget[[#This Row],[Level]], Lvl2Hdr, $D$8:TblDetailBudget[[#This Row],[Lvl 1 Header]], TblDetailBudget[[#This Row],[Lvl 1 Header]]))</f>
        <v/>
      </c>
      <c r="F535" s="85" t="str">
        <f>IF(TblDetailBudget[[#This Row],[Level]]="", "", COUNTIFS($B$8:TblDetailBudget[[#This Row],[Level]], Lvl3Hdr, $D$8:TblDetailBudget[[#This Row],[Lvl 1 Header]], TblDetailBudget[[#This Row],[Lvl 1 Header]], $E$8:TblDetailBudget[[#This Row],[Lvl 2 Header]], TblDetailBudget[[#This Row],[Lvl 2 Header]]))</f>
        <v/>
      </c>
      <c r="G5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5" s="164"/>
      <c r="J535" s="164"/>
      <c r="K535" s="165"/>
      <c r="L535" s="165"/>
      <c r="M535" s="85" t="str">
        <f>IF(TblDetailBudget[[#This Row],[Level]]=LvlBottomHdr, IFERROR(INDEX(TblUnitCost[Unit], MATCH(TblDetailBudget[[#This Row],[Row Title]], TblUnitCost[Resource], 0)), "Invalid Resource"), "")</f>
        <v/>
      </c>
      <c r="N535" s="126" t="str">
        <f>IF(TblDetailBudget[[#This Row],[Level]]=LvlBottomHdr, IFERROR(INDEX(TblUnitCost[LCU], MATCH(TblDetailBudget[[#This Row],[Row Title]], TblUnitCost[Resource], 0)), "Invalid Resource"), "")</f>
        <v/>
      </c>
      <c r="O535" s="130"/>
      <c r="P535" s="109"/>
      <c r="Q535" s="131"/>
      <c r="R535" s="109" t="s">
        <v>66</v>
      </c>
      <c r="S535" s="109" t="s">
        <v>66</v>
      </c>
      <c r="T535" s="109" t="s">
        <v>66</v>
      </c>
      <c r="U535" s="109" t="s">
        <v>66</v>
      </c>
      <c r="V535" s="109" t="s">
        <v>66</v>
      </c>
      <c r="W535" s="126" t="str">
        <f>IF(TblDetailBudget[[#This Row],[Level]]=LvlBottomHdr, IF(SUM(TblDetailBudget[[#This Row],[2021 Quant]:[2025 Quant]])&gt;0, SUM(TblDetailBudget[[#This Row],[2021 Quant]:[2025 Quant]]), ""), "")</f>
        <v/>
      </c>
      <c r="X5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5" s="142">
        <f>SUM(TblDetailBudget[[#This Row],[2021 Cost (LCU)]:[2025 Cost (LCU)]])</f>
        <v>0</v>
      </c>
      <c r="AD535" s="135">
        <f>IFERROR(SUM(TblDetailBudget[[#This Row],[2021 Cost (LCU)]])/FX_Rate, "")</f>
        <v>0</v>
      </c>
      <c r="AE535" s="86">
        <f>IFERROR(SUM(TblDetailBudget[[#This Row],[2022 Cost (LCU)]])/FX_Rate, "")</f>
        <v>0</v>
      </c>
      <c r="AF535" s="86">
        <f>IFERROR(SUM(TblDetailBudget[[#This Row],[2023 Cost (LCU)]])/FX_Rate, "")</f>
        <v>0</v>
      </c>
      <c r="AG535" s="86">
        <f>IFERROR(SUM(TblDetailBudget[[#This Row],[2024 Cost (LCU)]])/FX_Rate, "")</f>
        <v>0</v>
      </c>
      <c r="AH535" s="86">
        <f>IFERROR(SUM(TblDetailBudget[[#This Row],[2025 Cost (LCU)]])/FX_Rate, "")</f>
        <v>0</v>
      </c>
      <c r="AI535" s="126">
        <f>SUM(TblDetailBudget[[#This Row],[2021 Cost (USD)]:[2025 Cost (USD)]])</f>
        <v>0</v>
      </c>
      <c r="AJ535" s="180"/>
    </row>
    <row r="536" spans="2:36" ht="12.75" customHeight="1">
      <c r="B536" s="123"/>
      <c r="C5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6" s="85" t="str">
        <f>IF(TblDetailBudget[[#This Row],[Level]]="", "", COUNTIFS($B$8:TblDetailBudget[[#This Row],[Level]], Lvl1Hdr))</f>
        <v/>
      </c>
      <c r="E536" s="85" t="str">
        <f>IF(TblDetailBudget[[#This Row],[Level]]="", "", COUNTIFS($B$8:TblDetailBudget[[#This Row],[Level]], Lvl2Hdr, $D$8:TblDetailBudget[[#This Row],[Lvl 1 Header]], TblDetailBudget[[#This Row],[Lvl 1 Header]]))</f>
        <v/>
      </c>
      <c r="F536" s="85" t="str">
        <f>IF(TblDetailBudget[[#This Row],[Level]]="", "", COUNTIFS($B$8:TblDetailBudget[[#This Row],[Level]], Lvl3Hdr, $D$8:TblDetailBudget[[#This Row],[Lvl 1 Header]], TblDetailBudget[[#This Row],[Lvl 1 Header]], $E$8:TblDetailBudget[[#This Row],[Lvl 2 Header]], TblDetailBudget[[#This Row],[Lvl 2 Header]]))</f>
        <v/>
      </c>
      <c r="G5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6" s="164"/>
      <c r="J536" s="164"/>
      <c r="K536" s="165"/>
      <c r="L536" s="165"/>
      <c r="M536" s="85" t="str">
        <f>IF(TblDetailBudget[[#This Row],[Level]]=LvlBottomHdr, IFERROR(INDEX(TblUnitCost[Unit], MATCH(TblDetailBudget[[#This Row],[Row Title]], TblUnitCost[Resource], 0)), "Invalid Resource"), "")</f>
        <v/>
      </c>
      <c r="N536" s="126" t="str">
        <f>IF(TblDetailBudget[[#This Row],[Level]]=LvlBottomHdr, IFERROR(INDEX(TblUnitCost[LCU], MATCH(TblDetailBudget[[#This Row],[Row Title]], TblUnitCost[Resource], 0)), "Invalid Resource"), "")</f>
        <v/>
      </c>
      <c r="O536" s="130"/>
      <c r="P536" s="109"/>
      <c r="Q536" s="131"/>
      <c r="R536" s="109" t="s">
        <v>66</v>
      </c>
      <c r="S536" s="109" t="s">
        <v>66</v>
      </c>
      <c r="T536" s="109" t="s">
        <v>66</v>
      </c>
      <c r="U536" s="109" t="s">
        <v>66</v>
      </c>
      <c r="V536" s="109" t="s">
        <v>66</v>
      </c>
      <c r="W536" s="126" t="str">
        <f>IF(TblDetailBudget[[#This Row],[Level]]=LvlBottomHdr, IF(SUM(TblDetailBudget[[#This Row],[2021 Quant]:[2025 Quant]])&gt;0, SUM(TblDetailBudget[[#This Row],[2021 Quant]:[2025 Quant]]), ""), "")</f>
        <v/>
      </c>
      <c r="X5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6" s="142">
        <f>SUM(TblDetailBudget[[#This Row],[2021 Cost (LCU)]:[2025 Cost (LCU)]])</f>
        <v>0</v>
      </c>
      <c r="AD536" s="135">
        <f>IFERROR(SUM(TblDetailBudget[[#This Row],[2021 Cost (LCU)]])/FX_Rate, "")</f>
        <v>0</v>
      </c>
      <c r="AE536" s="86">
        <f>IFERROR(SUM(TblDetailBudget[[#This Row],[2022 Cost (LCU)]])/FX_Rate, "")</f>
        <v>0</v>
      </c>
      <c r="AF536" s="86">
        <f>IFERROR(SUM(TblDetailBudget[[#This Row],[2023 Cost (LCU)]])/FX_Rate, "")</f>
        <v>0</v>
      </c>
      <c r="AG536" s="86">
        <f>IFERROR(SUM(TblDetailBudget[[#This Row],[2024 Cost (LCU)]])/FX_Rate, "")</f>
        <v>0</v>
      </c>
      <c r="AH536" s="86">
        <f>IFERROR(SUM(TblDetailBudget[[#This Row],[2025 Cost (LCU)]])/FX_Rate, "")</f>
        <v>0</v>
      </c>
      <c r="AI536" s="126">
        <f>SUM(TblDetailBudget[[#This Row],[2021 Cost (USD)]:[2025 Cost (USD)]])</f>
        <v>0</v>
      </c>
      <c r="AJ536" s="180"/>
    </row>
    <row r="537" spans="2:36" ht="12.75" customHeight="1">
      <c r="B537" s="123"/>
      <c r="C5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7" s="85" t="str">
        <f>IF(TblDetailBudget[[#This Row],[Level]]="", "", COUNTIFS($B$8:TblDetailBudget[[#This Row],[Level]], Lvl1Hdr))</f>
        <v/>
      </c>
      <c r="E537" s="85" t="str">
        <f>IF(TblDetailBudget[[#This Row],[Level]]="", "", COUNTIFS($B$8:TblDetailBudget[[#This Row],[Level]], Lvl2Hdr, $D$8:TblDetailBudget[[#This Row],[Lvl 1 Header]], TblDetailBudget[[#This Row],[Lvl 1 Header]]))</f>
        <v/>
      </c>
      <c r="F537" s="85" t="str">
        <f>IF(TblDetailBudget[[#This Row],[Level]]="", "", COUNTIFS($B$8:TblDetailBudget[[#This Row],[Level]], Lvl3Hdr, $D$8:TblDetailBudget[[#This Row],[Lvl 1 Header]], TblDetailBudget[[#This Row],[Lvl 1 Header]], $E$8:TblDetailBudget[[#This Row],[Lvl 2 Header]], TblDetailBudget[[#This Row],[Lvl 2 Header]]))</f>
        <v/>
      </c>
      <c r="G5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7" s="164"/>
      <c r="J537" s="164"/>
      <c r="K537" s="165"/>
      <c r="L537" s="165"/>
      <c r="M537" s="85" t="str">
        <f>IF(TblDetailBudget[[#This Row],[Level]]=LvlBottomHdr, IFERROR(INDEX(TblUnitCost[Unit], MATCH(TblDetailBudget[[#This Row],[Row Title]], TblUnitCost[Resource], 0)), "Invalid Resource"), "")</f>
        <v/>
      </c>
      <c r="N537" s="126" t="str">
        <f>IF(TblDetailBudget[[#This Row],[Level]]=LvlBottomHdr, IFERROR(INDEX(TblUnitCost[LCU], MATCH(TblDetailBudget[[#This Row],[Row Title]], TblUnitCost[Resource], 0)), "Invalid Resource"), "")</f>
        <v/>
      </c>
      <c r="O537" s="130"/>
      <c r="P537" s="109"/>
      <c r="Q537" s="131"/>
      <c r="R537" s="109" t="s">
        <v>66</v>
      </c>
      <c r="S537" s="109" t="s">
        <v>66</v>
      </c>
      <c r="T537" s="109" t="s">
        <v>66</v>
      </c>
      <c r="U537" s="109" t="s">
        <v>66</v>
      </c>
      <c r="V537" s="109" t="s">
        <v>66</v>
      </c>
      <c r="W537" s="126" t="str">
        <f>IF(TblDetailBudget[[#This Row],[Level]]=LvlBottomHdr, IF(SUM(TblDetailBudget[[#This Row],[2021 Quant]:[2025 Quant]])&gt;0, SUM(TblDetailBudget[[#This Row],[2021 Quant]:[2025 Quant]]), ""), "")</f>
        <v/>
      </c>
      <c r="X5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7" s="142">
        <f>SUM(TblDetailBudget[[#This Row],[2021 Cost (LCU)]:[2025 Cost (LCU)]])</f>
        <v>0</v>
      </c>
      <c r="AD537" s="135">
        <f>IFERROR(SUM(TblDetailBudget[[#This Row],[2021 Cost (LCU)]])/FX_Rate, "")</f>
        <v>0</v>
      </c>
      <c r="AE537" s="86">
        <f>IFERROR(SUM(TblDetailBudget[[#This Row],[2022 Cost (LCU)]])/FX_Rate, "")</f>
        <v>0</v>
      </c>
      <c r="AF537" s="86">
        <f>IFERROR(SUM(TblDetailBudget[[#This Row],[2023 Cost (LCU)]])/FX_Rate, "")</f>
        <v>0</v>
      </c>
      <c r="AG537" s="86">
        <f>IFERROR(SUM(TblDetailBudget[[#This Row],[2024 Cost (LCU)]])/FX_Rate, "")</f>
        <v>0</v>
      </c>
      <c r="AH537" s="86">
        <f>IFERROR(SUM(TblDetailBudget[[#This Row],[2025 Cost (LCU)]])/FX_Rate, "")</f>
        <v>0</v>
      </c>
      <c r="AI537" s="126">
        <f>SUM(TblDetailBudget[[#This Row],[2021 Cost (USD)]:[2025 Cost (USD)]])</f>
        <v>0</v>
      </c>
      <c r="AJ537" s="180"/>
    </row>
    <row r="538" spans="2:36" ht="12.75" customHeight="1">
      <c r="B538" s="123"/>
      <c r="C5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8" s="85" t="str">
        <f>IF(TblDetailBudget[[#This Row],[Level]]="", "", COUNTIFS($B$8:TblDetailBudget[[#This Row],[Level]], Lvl1Hdr))</f>
        <v/>
      </c>
      <c r="E538" s="85" t="str">
        <f>IF(TblDetailBudget[[#This Row],[Level]]="", "", COUNTIFS($B$8:TblDetailBudget[[#This Row],[Level]], Lvl2Hdr, $D$8:TblDetailBudget[[#This Row],[Lvl 1 Header]], TblDetailBudget[[#This Row],[Lvl 1 Header]]))</f>
        <v/>
      </c>
      <c r="F538" s="85" t="str">
        <f>IF(TblDetailBudget[[#This Row],[Level]]="", "", COUNTIFS($B$8:TblDetailBudget[[#This Row],[Level]], Lvl3Hdr, $D$8:TblDetailBudget[[#This Row],[Lvl 1 Header]], TblDetailBudget[[#This Row],[Lvl 1 Header]], $E$8:TblDetailBudget[[#This Row],[Lvl 2 Header]], TblDetailBudget[[#This Row],[Lvl 2 Header]]))</f>
        <v/>
      </c>
      <c r="G5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8" s="164"/>
      <c r="J538" s="164"/>
      <c r="K538" s="165"/>
      <c r="L538" s="165"/>
      <c r="M538" s="85" t="str">
        <f>IF(TblDetailBudget[[#This Row],[Level]]=LvlBottomHdr, IFERROR(INDEX(TblUnitCost[Unit], MATCH(TblDetailBudget[[#This Row],[Row Title]], TblUnitCost[Resource], 0)), "Invalid Resource"), "")</f>
        <v/>
      </c>
      <c r="N538" s="126" t="str">
        <f>IF(TblDetailBudget[[#This Row],[Level]]=LvlBottomHdr, IFERROR(INDEX(TblUnitCost[LCU], MATCH(TblDetailBudget[[#This Row],[Row Title]], TblUnitCost[Resource], 0)), "Invalid Resource"), "")</f>
        <v/>
      </c>
      <c r="O538" s="130"/>
      <c r="P538" s="109"/>
      <c r="Q538" s="131"/>
      <c r="R538" s="109" t="s">
        <v>66</v>
      </c>
      <c r="S538" s="109" t="s">
        <v>66</v>
      </c>
      <c r="T538" s="109" t="s">
        <v>66</v>
      </c>
      <c r="U538" s="109" t="s">
        <v>66</v>
      </c>
      <c r="V538" s="109" t="s">
        <v>66</v>
      </c>
      <c r="W538" s="126" t="str">
        <f>IF(TblDetailBudget[[#This Row],[Level]]=LvlBottomHdr, IF(SUM(TblDetailBudget[[#This Row],[2021 Quant]:[2025 Quant]])&gt;0, SUM(TblDetailBudget[[#This Row],[2021 Quant]:[2025 Quant]]), ""), "")</f>
        <v/>
      </c>
      <c r="X5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8" s="142">
        <f>SUM(TblDetailBudget[[#This Row],[2021 Cost (LCU)]:[2025 Cost (LCU)]])</f>
        <v>0</v>
      </c>
      <c r="AD538" s="135">
        <f>IFERROR(SUM(TblDetailBudget[[#This Row],[2021 Cost (LCU)]])/FX_Rate, "")</f>
        <v>0</v>
      </c>
      <c r="AE538" s="86">
        <f>IFERROR(SUM(TblDetailBudget[[#This Row],[2022 Cost (LCU)]])/FX_Rate, "")</f>
        <v>0</v>
      </c>
      <c r="AF538" s="86">
        <f>IFERROR(SUM(TblDetailBudget[[#This Row],[2023 Cost (LCU)]])/FX_Rate, "")</f>
        <v>0</v>
      </c>
      <c r="AG538" s="86">
        <f>IFERROR(SUM(TblDetailBudget[[#This Row],[2024 Cost (LCU)]])/FX_Rate, "")</f>
        <v>0</v>
      </c>
      <c r="AH538" s="86">
        <f>IFERROR(SUM(TblDetailBudget[[#This Row],[2025 Cost (LCU)]])/FX_Rate, "")</f>
        <v>0</v>
      </c>
      <c r="AI538" s="126">
        <f>SUM(TblDetailBudget[[#This Row],[2021 Cost (USD)]:[2025 Cost (USD)]])</f>
        <v>0</v>
      </c>
      <c r="AJ538" s="180"/>
    </row>
    <row r="539" spans="2:36" ht="12.75" customHeight="1">
      <c r="B539" s="123"/>
      <c r="C5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9" s="85" t="str">
        <f>IF(TblDetailBudget[[#This Row],[Level]]="", "", COUNTIFS($B$8:TblDetailBudget[[#This Row],[Level]], Lvl1Hdr))</f>
        <v/>
      </c>
      <c r="E539" s="85" t="str">
        <f>IF(TblDetailBudget[[#This Row],[Level]]="", "", COUNTIFS($B$8:TblDetailBudget[[#This Row],[Level]], Lvl2Hdr, $D$8:TblDetailBudget[[#This Row],[Lvl 1 Header]], TblDetailBudget[[#This Row],[Lvl 1 Header]]))</f>
        <v/>
      </c>
      <c r="F539" s="85" t="str">
        <f>IF(TblDetailBudget[[#This Row],[Level]]="", "", COUNTIFS($B$8:TblDetailBudget[[#This Row],[Level]], Lvl3Hdr, $D$8:TblDetailBudget[[#This Row],[Lvl 1 Header]], TblDetailBudget[[#This Row],[Lvl 1 Header]], $E$8:TblDetailBudget[[#This Row],[Lvl 2 Header]], TblDetailBudget[[#This Row],[Lvl 2 Header]]))</f>
        <v/>
      </c>
      <c r="G5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9" s="164"/>
      <c r="J539" s="164"/>
      <c r="K539" s="165"/>
      <c r="L539" s="165"/>
      <c r="M539" s="85" t="str">
        <f>IF(TblDetailBudget[[#This Row],[Level]]=LvlBottomHdr, IFERROR(INDEX(TblUnitCost[Unit], MATCH(TblDetailBudget[[#This Row],[Row Title]], TblUnitCost[Resource], 0)), "Invalid Resource"), "")</f>
        <v/>
      </c>
      <c r="N539" s="126" t="str">
        <f>IF(TblDetailBudget[[#This Row],[Level]]=LvlBottomHdr, IFERROR(INDEX(TblUnitCost[LCU], MATCH(TblDetailBudget[[#This Row],[Row Title]], TblUnitCost[Resource], 0)), "Invalid Resource"), "")</f>
        <v/>
      </c>
      <c r="O539" s="130"/>
      <c r="P539" s="109"/>
      <c r="Q539" s="131"/>
      <c r="R539" s="109" t="s">
        <v>66</v>
      </c>
      <c r="S539" s="109" t="s">
        <v>66</v>
      </c>
      <c r="T539" s="109" t="s">
        <v>66</v>
      </c>
      <c r="U539" s="109" t="s">
        <v>66</v>
      </c>
      <c r="V539" s="109" t="s">
        <v>66</v>
      </c>
      <c r="W539" s="126" t="str">
        <f>IF(TblDetailBudget[[#This Row],[Level]]=LvlBottomHdr, IF(SUM(TblDetailBudget[[#This Row],[2021 Quant]:[2025 Quant]])&gt;0, SUM(TblDetailBudget[[#This Row],[2021 Quant]:[2025 Quant]]), ""), "")</f>
        <v/>
      </c>
      <c r="X5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9" s="142">
        <f>SUM(TblDetailBudget[[#This Row],[2021 Cost (LCU)]:[2025 Cost (LCU)]])</f>
        <v>0</v>
      </c>
      <c r="AD539" s="135">
        <f>IFERROR(SUM(TblDetailBudget[[#This Row],[2021 Cost (LCU)]])/FX_Rate, "")</f>
        <v>0</v>
      </c>
      <c r="AE539" s="86">
        <f>IFERROR(SUM(TblDetailBudget[[#This Row],[2022 Cost (LCU)]])/FX_Rate, "")</f>
        <v>0</v>
      </c>
      <c r="AF539" s="86">
        <f>IFERROR(SUM(TblDetailBudget[[#This Row],[2023 Cost (LCU)]])/FX_Rate, "")</f>
        <v>0</v>
      </c>
      <c r="AG539" s="86">
        <f>IFERROR(SUM(TblDetailBudget[[#This Row],[2024 Cost (LCU)]])/FX_Rate, "")</f>
        <v>0</v>
      </c>
      <c r="AH539" s="86">
        <f>IFERROR(SUM(TblDetailBudget[[#This Row],[2025 Cost (LCU)]])/FX_Rate, "")</f>
        <v>0</v>
      </c>
      <c r="AI539" s="126">
        <f>SUM(TblDetailBudget[[#This Row],[2021 Cost (USD)]:[2025 Cost (USD)]])</f>
        <v>0</v>
      </c>
      <c r="AJ539" s="180"/>
    </row>
    <row r="540" spans="2:36" ht="12.75" customHeight="1">
      <c r="B540" s="123"/>
      <c r="C5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0" s="85" t="str">
        <f>IF(TblDetailBudget[[#This Row],[Level]]="", "", COUNTIFS($B$8:TblDetailBudget[[#This Row],[Level]], Lvl1Hdr))</f>
        <v/>
      </c>
      <c r="E540" s="85" t="str">
        <f>IF(TblDetailBudget[[#This Row],[Level]]="", "", COUNTIFS($B$8:TblDetailBudget[[#This Row],[Level]], Lvl2Hdr, $D$8:TblDetailBudget[[#This Row],[Lvl 1 Header]], TblDetailBudget[[#This Row],[Lvl 1 Header]]))</f>
        <v/>
      </c>
      <c r="F540" s="85" t="str">
        <f>IF(TblDetailBudget[[#This Row],[Level]]="", "", COUNTIFS($B$8:TblDetailBudget[[#This Row],[Level]], Lvl3Hdr, $D$8:TblDetailBudget[[#This Row],[Lvl 1 Header]], TblDetailBudget[[#This Row],[Lvl 1 Header]], $E$8:TblDetailBudget[[#This Row],[Lvl 2 Header]], TblDetailBudget[[#This Row],[Lvl 2 Header]]))</f>
        <v/>
      </c>
      <c r="G5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0" s="164"/>
      <c r="J540" s="164"/>
      <c r="K540" s="165"/>
      <c r="L540" s="165"/>
      <c r="M540" s="85" t="str">
        <f>IF(TblDetailBudget[[#This Row],[Level]]=LvlBottomHdr, IFERROR(INDEX(TblUnitCost[Unit], MATCH(TblDetailBudget[[#This Row],[Row Title]], TblUnitCost[Resource], 0)), "Invalid Resource"), "")</f>
        <v/>
      </c>
      <c r="N540" s="126" t="str">
        <f>IF(TblDetailBudget[[#This Row],[Level]]=LvlBottomHdr, IFERROR(INDEX(TblUnitCost[LCU], MATCH(TblDetailBudget[[#This Row],[Row Title]], TblUnitCost[Resource], 0)), "Invalid Resource"), "")</f>
        <v/>
      </c>
      <c r="O540" s="130"/>
      <c r="P540" s="109"/>
      <c r="Q540" s="131"/>
      <c r="R540" s="109" t="s">
        <v>66</v>
      </c>
      <c r="S540" s="109" t="s">
        <v>66</v>
      </c>
      <c r="T540" s="109" t="s">
        <v>66</v>
      </c>
      <c r="U540" s="109" t="s">
        <v>66</v>
      </c>
      <c r="V540" s="109" t="s">
        <v>66</v>
      </c>
      <c r="W540" s="126" t="str">
        <f>IF(TblDetailBudget[[#This Row],[Level]]=LvlBottomHdr, IF(SUM(TblDetailBudget[[#This Row],[2021 Quant]:[2025 Quant]])&gt;0, SUM(TblDetailBudget[[#This Row],[2021 Quant]:[2025 Quant]]), ""), "")</f>
        <v/>
      </c>
      <c r="X5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0" s="142">
        <f>SUM(TblDetailBudget[[#This Row],[2021 Cost (LCU)]:[2025 Cost (LCU)]])</f>
        <v>0</v>
      </c>
      <c r="AD540" s="135">
        <f>IFERROR(SUM(TblDetailBudget[[#This Row],[2021 Cost (LCU)]])/FX_Rate, "")</f>
        <v>0</v>
      </c>
      <c r="AE540" s="86">
        <f>IFERROR(SUM(TblDetailBudget[[#This Row],[2022 Cost (LCU)]])/FX_Rate, "")</f>
        <v>0</v>
      </c>
      <c r="AF540" s="86">
        <f>IFERROR(SUM(TblDetailBudget[[#This Row],[2023 Cost (LCU)]])/FX_Rate, "")</f>
        <v>0</v>
      </c>
      <c r="AG540" s="86">
        <f>IFERROR(SUM(TblDetailBudget[[#This Row],[2024 Cost (LCU)]])/FX_Rate, "")</f>
        <v>0</v>
      </c>
      <c r="AH540" s="86">
        <f>IFERROR(SUM(TblDetailBudget[[#This Row],[2025 Cost (LCU)]])/FX_Rate, "")</f>
        <v>0</v>
      </c>
      <c r="AI540" s="126">
        <f>SUM(TblDetailBudget[[#This Row],[2021 Cost (USD)]:[2025 Cost (USD)]])</f>
        <v>0</v>
      </c>
      <c r="AJ540" s="180"/>
    </row>
    <row r="541" spans="2:36" ht="12.75" customHeight="1">
      <c r="B541" s="123"/>
      <c r="C5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1" s="85" t="str">
        <f>IF(TblDetailBudget[[#This Row],[Level]]="", "", COUNTIFS($B$8:TblDetailBudget[[#This Row],[Level]], Lvl1Hdr))</f>
        <v/>
      </c>
      <c r="E541" s="85" t="str">
        <f>IF(TblDetailBudget[[#This Row],[Level]]="", "", COUNTIFS($B$8:TblDetailBudget[[#This Row],[Level]], Lvl2Hdr, $D$8:TblDetailBudget[[#This Row],[Lvl 1 Header]], TblDetailBudget[[#This Row],[Lvl 1 Header]]))</f>
        <v/>
      </c>
      <c r="F541" s="85" t="str">
        <f>IF(TblDetailBudget[[#This Row],[Level]]="", "", COUNTIFS($B$8:TblDetailBudget[[#This Row],[Level]], Lvl3Hdr, $D$8:TblDetailBudget[[#This Row],[Lvl 1 Header]], TblDetailBudget[[#This Row],[Lvl 1 Header]], $E$8:TblDetailBudget[[#This Row],[Lvl 2 Header]], TblDetailBudget[[#This Row],[Lvl 2 Header]]))</f>
        <v/>
      </c>
      <c r="G5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1" s="164"/>
      <c r="J541" s="164"/>
      <c r="K541" s="165"/>
      <c r="L541" s="165"/>
      <c r="M541" s="85" t="str">
        <f>IF(TblDetailBudget[[#This Row],[Level]]=LvlBottomHdr, IFERROR(INDEX(TblUnitCost[Unit], MATCH(TblDetailBudget[[#This Row],[Row Title]], TblUnitCost[Resource], 0)), "Invalid Resource"), "")</f>
        <v/>
      </c>
      <c r="N541" s="126" t="str">
        <f>IF(TblDetailBudget[[#This Row],[Level]]=LvlBottomHdr, IFERROR(INDEX(TblUnitCost[LCU], MATCH(TblDetailBudget[[#This Row],[Row Title]], TblUnitCost[Resource], 0)), "Invalid Resource"), "")</f>
        <v/>
      </c>
      <c r="O541" s="130"/>
      <c r="P541" s="109"/>
      <c r="Q541" s="131"/>
      <c r="R541" s="109" t="s">
        <v>66</v>
      </c>
      <c r="S541" s="109" t="s">
        <v>66</v>
      </c>
      <c r="T541" s="109" t="s">
        <v>66</v>
      </c>
      <c r="U541" s="109" t="s">
        <v>66</v>
      </c>
      <c r="V541" s="109" t="s">
        <v>66</v>
      </c>
      <c r="W541" s="126" t="str">
        <f>IF(TblDetailBudget[[#This Row],[Level]]=LvlBottomHdr, IF(SUM(TblDetailBudget[[#This Row],[2021 Quant]:[2025 Quant]])&gt;0, SUM(TblDetailBudget[[#This Row],[2021 Quant]:[2025 Quant]]), ""), "")</f>
        <v/>
      </c>
      <c r="X5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1" s="142">
        <f>SUM(TblDetailBudget[[#This Row],[2021 Cost (LCU)]:[2025 Cost (LCU)]])</f>
        <v>0</v>
      </c>
      <c r="AD541" s="135">
        <f>IFERROR(SUM(TblDetailBudget[[#This Row],[2021 Cost (LCU)]])/FX_Rate, "")</f>
        <v>0</v>
      </c>
      <c r="AE541" s="86">
        <f>IFERROR(SUM(TblDetailBudget[[#This Row],[2022 Cost (LCU)]])/FX_Rate, "")</f>
        <v>0</v>
      </c>
      <c r="AF541" s="86">
        <f>IFERROR(SUM(TblDetailBudget[[#This Row],[2023 Cost (LCU)]])/FX_Rate, "")</f>
        <v>0</v>
      </c>
      <c r="AG541" s="86">
        <f>IFERROR(SUM(TblDetailBudget[[#This Row],[2024 Cost (LCU)]])/FX_Rate, "")</f>
        <v>0</v>
      </c>
      <c r="AH541" s="86">
        <f>IFERROR(SUM(TblDetailBudget[[#This Row],[2025 Cost (LCU)]])/FX_Rate, "")</f>
        <v>0</v>
      </c>
      <c r="AI541" s="126">
        <f>SUM(TblDetailBudget[[#This Row],[2021 Cost (USD)]:[2025 Cost (USD)]])</f>
        <v>0</v>
      </c>
      <c r="AJ541" s="180"/>
    </row>
    <row r="542" spans="2:36" ht="12.75" customHeight="1">
      <c r="B542" s="123"/>
      <c r="C5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2" s="85" t="str">
        <f>IF(TblDetailBudget[[#This Row],[Level]]="", "", COUNTIFS($B$8:TblDetailBudget[[#This Row],[Level]], Lvl1Hdr))</f>
        <v/>
      </c>
      <c r="E542" s="85" t="str">
        <f>IF(TblDetailBudget[[#This Row],[Level]]="", "", COUNTIFS($B$8:TblDetailBudget[[#This Row],[Level]], Lvl2Hdr, $D$8:TblDetailBudget[[#This Row],[Lvl 1 Header]], TblDetailBudget[[#This Row],[Lvl 1 Header]]))</f>
        <v/>
      </c>
      <c r="F542" s="85" t="str">
        <f>IF(TblDetailBudget[[#This Row],[Level]]="", "", COUNTIFS($B$8:TblDetailBudget[[#This Row],[Level]], Lvl3Hdr, $D$8:TblDetailBudget[[#This Row],[Lvl 1 Header]], TblDetailBudget[[#This Row],[Lvl 1 Header]], $E$8:TblDetailBudget[[#This Row],[Lvl 2 Header]], TblDetailBudget[[#This Row],[Lvl 2 Header]]))</f>
        <v/>
      </c>
      <c r="G5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2" s="164"/>
      <c r="J542" s="164"/>
      <c r="K542" s="165"/>
      <c r="L542" s="165"/>
      <c r="M542" s="85" t="str">
        <f>IF(TblDetailBudget[[#This Row],[Level]]=LvlBottomHdr, IFERROR(INDEX(TblUnitCost[Unit], MATCH(TblDetailBudget[[#This Row],[Row Title]], TblUnitCost[Resource], 0)), "Invalid Resource"), "")</f>
        <v/>
      </c>
      <c r="N542" s="126" t="str">
        <f>IF(TblDetailBudget[[#This Row],[Level]]=LvlBottomHdr, IFERROR(INDEX(TblUnitCost[LCU], MATCH(TblDetailBudget[[#This Row],[Row Title]], TblUnitCost[Resource], 0)), "Invalid Resource"), "")</f>
        <v/>
      </c>
      <c r="O542" s="130"/>
      <c r="P542" s="109"/>
      <c r="Q542" s="131"/>
      <c r="R542" s="109" t="s">
        <v>66</v>
      </c>
      <c r="S542" s="109" t="s">
        <v>66</v>
      </c>
      <c r="T542" s="109" t="s">
        <v>66</v>
      </c>
      <c r="U542" s="109" t="s">
        <v>66</v>
      </c>
      <c r="V542" s="109" t="s">
        <v>66</v>
      </c>
      <c r="W542" s="126" t="str">
        <f>IF(TblDetailBudget[[#This Row],[Level]]=LvlBottomHdr, IF(SUM(TblDetailBudget[[#This Row],[2021 Quant]:[2025 Quant]])&gt;0, SUM(TblDetailBudget[[#This Row],[2021 Quant]:[2025 Quant]]), ""), "")</f>
        <v/>
      </c>
      <c r="X5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2" s="142">
        <f>SUM(TblDetailBudget[[#This Row],[2021 Cost (LCU)]:[2025 Cost (LCU)]])</f>
        <v>0</v>
      </c>
      <c r="AD542" s="135">
        <f>IFERROR(SUM(TblDetailBudget[[#This Row],[2021 Cost (LCU)]])/FX_Rate, "")</f>
        <v>0</v>
      </c>
      <c r="AE542" s="86">
        <f>IFERROR(SUM(TblDetailBudget[[#This Row],[2022 Cost (LCU)]])/FX_Rate, "")</f>
        <v>0</v>
      </c>
      <c r="AF542" s="86">
        <f>IFERROR(SUM(TblDetailBudget[[#This Row],[2023 Cost (LCU)]])/FX_Rate, "")</f>
        <v>0</v>
      </c>
      <c r="AG542" s="86">
        <f>IFERROR(SUM(TblDetailBudget[[#This Row],[2024 Cost (LCU)]])/FX_Rate, "")</f>
        <v>0</v>
      </c>
      <c r="AH542" s="86">
        <f>IFERROR(SUM(TblDetailBudget[[#This Row],[2025 Cost (LCU)]])/FX_Rate, "")</f>
        <v>0</v>
      </c>
      <c r="AI542" s="126">
        <f>SUM(TblDetailBudget[[#This Row],[2021 Cost (USD)]:[2025 Cost (USD)]])</f>
        <v>0</v>
      </c>
      <c r="AJ542" s="180"/>
    </row>
    <row r="543" spans="2:36" ht="12.75" customHeight="1">
      <c r="B543" s="123"/>
      <c r="C5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3" s="85" t="str">
        <f>IF(TblDetailBudget[[#This Row],[Level]]="", "", COUNTIFS($B$8:TblDetailBudget[[#This Row],[Level]], Lvl1Hdr))</f>
        <v/>
      </c>
      <c r="E543" s="85" t="str">
        <f>IF(TblDetailBudget[[#This Row],[Level]]="", "", COUNTIFS($B$8:TblDetailBudget[[#This Row],[Level]], Lvl2Hdr, $D$8:TblDetailBudget[[#This Row],[Lvl 1 Header]], TblDetailBudget[[#This Row],[Lvl 1 Header]]))</f>
        <v/>
      </c>
      <c r="F543" s="85" t="str">
        <f>IF(TblDetailBudget[[#This Row],[Level]]="", "", COUNTIFS($B$8:TblDetailBudget[[#This Row],[Level]], Lvl3Hdr, $D$8:TblDetailBudget[[#This Row],[Lvl 1 Header]], TblDetailBudget[[#This Row],[Lvl 1 Header]], $E$8:TblDetailBudget[[#This Row],[Lvl 2 Header]], TblDetailBudget[[#This Row],[Lvl 2 Header]]))</f>
        <v/>
      </c>
      <c r="G5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3" s="164"/>
      <c r="J543" s="164"/>
      <c r="K543" s="165"/>
      <c r="L543" s="165"/>
      <c r="M543" s="85" t="str">
        <f>IF(TblDetailBudget[[#This Row],[Level]]=LvlBottomHdr, IFERROR(INDEX(TblUnitCost[Unit], MATCH(TblDetailBudget[[#This Row],[Row Title]], TblUnitCost[Resource], 0)), "Invalid Resource"), "")</f>
        <v/>
      </c>
      <c r="N543" s="126" t="str">
        <f>IF(TblDetailBudget[[#This Row],[Level]]=LvlBottomHdr, IFERROR(INDEX(TblUnitCost[LCU], MATCH(TblDetailBudget[[#This Row],[Row Title]], TblUnitCost[Resource], 0)), "Invalid Resource"), "")</f>
        <v/>
      </c>
      <c r="O543" s="130"/>
      <c r="P543" s="109"/>
      <c r="Q543" s="131"/>
      <c r="R543" s="109" t="s">
        <v>66</v>
      </c>
      <c r="S543" s="109" t="s">
        <v>66</v>
      </c>
      <c r="T543" s="109" t="s">
        <v>66</v>
      </c>
      <c r="U543" s="109" t="s">
        <v>66</v>
      </c>
      <c r="V543" s="109" t="s">
        <v>66</v>
      </c>
      <c r="W543" s="126" t="str">
        <f>IF(TblDetailBudget[[#This Row],[Level]]=LvlBottomHdr, IF(SUM(TblDetailBudget[[#This Row],[2021 Quant]:[2025 Quant]])&gt;0, SUM(TblDetailBudget[[#This Row],[2021 Quant]:[2025 Quant]]), ""), "")</f>
        <v/>
      </c>
      <c r="X5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3" s="142">
        <f>SUM(TblDetailBudget[[#This Row],[2021 Cost (LCU)]:[2025 Cost (LCU)]])</f>
        <v>0</v>
      </c>
      <c r="AD543" s="135">
        <f>IFERROR(SUM(TblDetailBudget[[#This Row],[2021 Cost (LCU)]])/FX_Rate, "")</f>
        <v>0</v>
      </c>
      <c r="AE543" s="86">
        <f>IFERROR(SUM(TblDetailBudget[[#This Row],[2022 Cost (LCU)]])/FX_Rate, "")</f>
        <v>0</v>
      </c>
      <c r="AF543" s="86">
        <f>IFERROR(SUM(TblDetailBudget[[#This Row],[2023 Cost (LCU)]])/FX_Rate, "")</f>
        <v>0</v>
      </c>
      <c r="AG543" s="86">
        <f>IFERROR(SUM(TblDetailBudget[[#This Row],[2024 Cost (LCU)]])/FX_Rate, "")</f>
        <v>0</v>
      </c>
      <c r="AH543" s="86">
        <f>IFERROR(SUM(TblDetailBudget[[#This Row],[2025 Cost (LCU)]])/FX_Rate, "")</f>
        <v>0</v>
      </c>
      <c r="AI543" s="126">
        <f>SUM(TblDetailBudget[[#This Row],[2021 Cost (USD)]:[2025 Cost (USD)]])</f>
        <v>0</v>
      </c>
      <c r="AJ543" s="180"/>
    </row>
    <row r="544" spans="2:36" ht="12.75" customHeight="1">
      <c r="B544" s="123"/>
      <c r="C5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4" s="85" t="str">
        <f>IF(TblDetailBudget[[#This Row],[Level]]="", "", COUNTIFS($B$8:TblDetailBudget[[#This Row],[Level]], Lvl1Hdr))</f>
        <v/>
      </c>
      <c r="E544" s="85" t="str">
        <f>IF(TblDetailBudget[[#This Row],[Level]]="", "", COUNTIFS($B$8:TblDetailBudget[[#This Row],[Level]], Lvl2Hdr, $D$8:TblDetailBudget[[#This Row],[Lvl 1 Header]], TblDetailBudget[[#This Row],[Lvl 1 Header]]))</f>
        <v/>
      </c>
      <c r="F544" s="85" t="str">
        <f>IF(TblDetailBudget[[#This Row],[Level]]="", "", COUNTIFS($B$8:TblDetailBudget[[#This Row],[Level]], Lvl3Hdr, $D$8:TblDetailBudget[[#This Row],[Lvl 1 Header]], TblDetailBudget[[#This Row],[Lvl 1 Header]], $E$8:TblDetailBudget[[#This Row],[Lvl 2 Header]], TblDetailBudget[[#This Row],[Lvl 2 Header]]))</f>
        <v/>
      </c>
      <c r="G5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4" s="164"/>
      <c r="J544" s="164"/>
      <c r="K544" s="165"/>
      <c r="L544" s="165"/>
      <c r="M544" s="85" t="str">
        <f>IF(TblDetailBudget[[#This Row],[Level]]=LvlBottomHdr, IFERROR(INDEX(TblUnitCost[Unit], MATCH(TblDetailBudget[[#This Row],[Row Title]], TblUnitCost[Resource], 0)), "Invalid Resource"), "")</f>
        <v/>
      </c>
      <c r="N544" s="126" t="str">
        <f>IF(TblDetailBudget[[#This Row],[Level]]=LvlBottomHdr, IFERROR(INDEX(TblUnitCost[LCU], MATCH(TblDetailBudget[[#This Row],[Row Title]], TblUnitCost[Resource], 0)), "Invalid Resource"), "")</f>
        <v/>
      </c>
      <c r="O544" s="130"/>
      <c r="P544" s="109"/>
      <c r="Q544" s="131"/>
      <c r="R544" s="109" t="s">
        <v>66</v>
      </c>
      <c r="S544" s="109" t="s">
        <v>66</v>
      </c>
      <c r="T544" s="109" t="s">
        <v>66</v>
      </c>
      <c r="U544" s="109" t="s">
        <v>66</v>
      </c>
      <c r="V544" s="109" t="s">
        <v>66</v>
      </c>
      <c r="W544" s="126" t="str">
        <f>IF(TblDetailBudget[[#This Row],[Level]]=LvlBottomHdr, IF(SUM(TblDetailBudget[[#This Row],[2021 Quant]:[2025 Quant]])&gt;0, SUM(TblDetailBudget[[#This Row],[2021 Quant]:[2025 Quant]]), ""), "")</f>
        <v/>
      </c>
      <c r="X5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4" s="142">
        <f>SUM(TblDetailBudget[[#This Row],[2021 Cost (LCU)]:[2025 Cost (LCU)]])</f>
        <v>0</v>
      </c>
      <c r="AD544" s="135">
        <f>IFERROR(SUM(TblDetailBudget[[#This Row],[2021 Cost (LCU)]])/FX_Rate, "")</f>
        <v>0</v>
      </c>
      <c r="AE544" s="86">
        <f>IFERROR(SUM(TblDetailBudget[[#This Row],[2022 Cost (LCU)]])/FX_Rate, "")</f>
        <v>0</v>
      </c>
      <c r="AF544" s="86">
        <f>IFERROR(SUM(TblDetailBudget[[#This Row],[2023 Cost (LCU)]])/FX_Rate, "")</f>
        <v>0</v>
      </c>
      <c r="AG544" s="86">
        <f>IFERROR(SUM(TblDetailBudget[[#This Row],[2024 Cost (LCU)]])/FX_Rate, "")</f>
        <v>0</v>
      </c>
      <c r="AH544" s="86">
        <f>IFERROR(SUM(TblDetailBudget[[#This Row],[2025 Cost (LCU)]])/FX_Rate, "")</f>
        <v>0</v>
      </c>
      <c r="AI544" s="126">
        <f>SUM(TblDetailBudget[[#This Row],[2021 Cost (USD)]:[2025 Cost (USD)]])</f>
        <v>0</v>
      </c>
      <c r="AJ544" s="180"/>
    </row>
    <row r="545" spans="2:36" ht="12.75" customHeight="1">
      <c r="B545" s="123"/>
      <c r="C5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5" s="85" t="str">
        <f>IF(TblDetailBudget[[#This Row],[Level]]="", "", COUNTIFS($B$8:TblDetailBudget[[#This Row],[Level]], Lvl1Hdr))</f>
        <v/>
      </c>
      <c r="E545" s="85" t="str">
        <f>IF(TblDetailBudget[[#This Row],[Level]]="", "", COUNTIFS($B$8:TblDetailBudget[[#This Row],[Level]], Lvl2Hdr, $D$8:TblDetailBudget[[#This Row],[Lvl 1 Header]], TblDetailBudget[[#This Row],[Lvl 1 Header]]))</f>
        <v/>
      </c>
      <c r="F545" s="85" t="str">
        <f>IF(TblDetailBudget[[#This Row],[Level]]="", "", COUNTIFS($B$8:TblDetailBudget[[#This Row],[Level]], Lvl3Hdr, $D$8:TblDetailBudget[[#This Row],[Lvl 1 Header]], TblDetailBudget[[#This Row],[Lvl 1 Header]], $E$8:TblDetailBudget[[#This Row],[Lvl 2 Header]], TblDetailBudget[[#This Row],[Lvl 2 Header]]))</f>
        <v/>
      </c>
      <c r="G5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5" s="164"/>
      <c r="J545" s="164"/>
      <c r="K545" s="165"/>
      <c r="L545" s="165"/>
      <c r="M545" s="85" t="str">
        <f>IF(TblDetailBudget[[#This Row],[Level]]=LvlBottomHdr, IFERROR(INDEX(TblUnitCost[Unit], MATCH(TblDetailBudget[[#This Row],[Row Title]], TblUnitCost[Resource], 0)), "Invalid Resource"), "")</f>
        <v/>
      </c>
      <c r="N545" s="126" t="str">
        <f>IF(TblDetailBudget[[#This Row],[Level]]=LvlBottomHdr, IFERROR(INDEX(TblUnitCost[LCU], MATCH(TblDetailBudget[[#This Row],[Row Title]], TblUnitCost[Resource], 0)), "Invalid Resource"), "")</f>
        <v/>
      </c>
      <c r="O545" s="130"/>
      <c r="P545" s="109"/>
      <c r="Q545" s="131"/>
      <c r="R545" s="109" t="s">
        <v>66</v>
      </c>
      <c r="S545" s="109" t="s">
        <v>66</v>
      </c>
      <c r="T545" s="109" t="s">
        <v>66</v>
      </c>
      <c r="U545" s="109" t="s">
        <v>66</v>
      </c>
      <c r="V545" s="109" t="s">
        <v>66</v>
      </c>
      <c r="W545" s="126" t="str">
        <f>IF(TblDetailBudget[[#This Row],[Level]]=LvlBottomHdr, IF(SUM(TblDetailBudget[[#This Row],[2021 Quant]:[2025 Quant]])&gt;0, SUM(TblDetailBudget[[#This Row],[2021 Quant]:[2025 Quant]]), ""), "")</f>
        <v/>
      </c>
      <c r="X5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5" s="142">
        <f>SUM(TblDetailBudget[[#This Row],[2021 Cost (LCU)]:[2025 Cost (LCU)]])</f>
        <v>0</v>
      </c>
      <c r="AD545" s="135">
        <f>IFERROR(SUM(TblDetailBudget[[#This Row],[2021 Cost (LCU)]])/FX_Rate, "")</f>
        <v>0</v>
      </c>
      <c r="AE545" s="86">
        <f>IFERROR(SUM(TblDetailBudget[[#This Row],[2022 Cost (LCU)]])/FX_Rate, "")</f>
        <v>0</v>
      </c>
      <c r="AF545" s="86">
        <f>IFERROR(SUM(TblDetailBudget[[#This Row],[2023 Cost (LCU)]])/FX_Rate, "")</f>
        <v>0</v>
      </c>
      <c r="AG545" s="86">
        <f>IFERROR(SUM(TblDetailBudget[[#This Row],[2024 Cost (LCU)]])/FX_Rate, "")</f>
        <v>0</v>
      </c>
      <c r="AH545" s="86">
        <f>IFERROR(SUM(TblDetailBudget[[#This Row],[2025 Cost (LCU)]])/FX_Rate, "")</f>
        <v>0</v>
      </c>
      <c r="AI545" s="126">
        <f>SUM(TblDetailBudget[[#This Row],[2021 Cost (USD)]:[2025 Cost (USD)]])</f>
        <v>0</v>
      </c>
      <c r="AJ545" s="180"/>
    </row>
    <row r="546" spans="2:36" ht="12.75" customHeight="1">
      <c r="B546" s="123"/>
      <c r="C5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6" s="85" t="str">
        <f>IF(TblDetailBudget[[#This Row],[Level]]="", "", COUNTIFS($B$8:TblDetailBudget[[#This Row],[Level]], Lvl1Hdr))</f>
        <v/>
      </c>
      <c r="E546" s="85" t="str">
        <f>IF(TblDetailBudget[[#This Row],[Level]]="", "", COUNTIFS($B$8:TblDetailBudget[[#This Row],[Level]], Lvl2Hdr, $D$8:TblDetailBudget[[#This Row],[Lvl 1 Header]], TblDetailBudget[[#This Row],[Lvl 1 Header]]))</f>
        <v/>
      </c>
      <c r="F546" s="85" t="str">
        <f>IF(TblDetailBudget[[#This Row],[Level]]="", "", COUNTIFS($B$8:TblDetailBudget[[#This Row],[Level]], Lvl3Hdr, $D$8:TblDetailBudget[[#This Row],[Lvl 1 Header]], TblDetailBudget[[#This Row],[Lvl 1 Header]], $E$8:TblDetailBudget[[#This Row],[Lvl 2 Header]], TblDetailBudget[[#This Row],[Lvl 2 Header]]))</f>
        <v/>
      </c>
      <c r="G5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6" s="164"/>
      <c r="J546" s="164"/>
      <c r="K546" s="165"/>
      <c r="L546" s="165"/>
      <c r="M546" s="85" t="str">
        <f>IF(TblDetailBudget[[#This Row],[Level]]=LvlBottomHdr, IFERROR(INDEX(TblUnitCost[Unit], MATCH(TblDetailBudget[[#This Row],[Row Title]], TblUnitCost[Resource], 0)), "Invalid Resource"), "")</f>
        <v/>
      </c>
      <c r="N546" s="126" t="str">
        <f>IF(TblDetailBudget[[#This Row],[Level]]=LvlBottomHdr, IFERROR(INDEX(TblUnitCost[LCU], MATCH(TblDetailBudget[[#This Row],[Row Title]], TblUnitCost[Resource], 0)), "Invalid Resource"), "")</f>
        <v/>
      </c>
      <c r="O546" s="130"/>
      <c r="P546" s="109"/>
      <c r="Q546" s="131"/>
      <c r="R546" s="109" t="s">
        <v>66</v>
      </c>
      <c r="S546" s="109" t="s">
        <v>66</v>
      </c>
      <c r="T546" s="109" t="s">
        <v>66</v>
      </c>
      <c r="U546" s="109" t="s">
        <v>66</v>
      </c>
      <c r="V546" s="109" t="s">
        <v>66</v>
      </c>
      <c r="W546" s="126" t="str">
        <f>IF(TblDetailBudget[[#This Row],[Level]]=LvlBottomHdr, IF(SUM(TblDetailBudget[[#This Row],[2021 Quant]:[2025 Quant]])&gt;0, SUM(TblDetailBudget[[#This Row],[2021 Quant]:[2025 Quant]]), ""), "")</f>
        <v/>
      </c>
      <c r="X5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6" s="142">
        <f>SUM(TblDetailBudget[[#This Row],[2021 Cost (LCU)]:[2025 Cost (LCU)]])</f>
        <v>0</v>
      </c>
      <c r="AD546" s="135">
        <f>IFERROR(SUM(TblDetailBudget[[#This Row],[2021 Cost (LCU)]])/FX_Rate, "")</f>
        <v>0</v>
      </c>
      <c r="AE546" s="86">
        <f>IFERROR(SUM(TblDetailBudget[[#This Row],[2022 Cost (LCU)]])/FX_Rate, "")</f>
        <v>0</v>
      </c>
      <c r="AF546" s="86">
        <f>IFERROR(SUM(TblDetailBudget[[#This Row],[2023 Cost (LCU)]])/FX_Rate, "")</f>
        <v>0</v>
      </c>
      <c r="AG546" s="86">
        <f>IFERROR(SUM(TblDetailBudget[[#This Row],[2024 Cost (LCU)]])/FX_Rate, "")</f>
        <v>0</v>
      </c>
      <c r="AH546" s="86">
        <f>IFERROR(SUM(TblDetailBudget[[#This Row],[2025 Cost (LCU)]])/FX_Rate, "")</f>
        <v>0</v>
      </c>
      <c r="AI546" s="126">
        <f>SUM(TblDetailBudget[[#This Row],[2021 Cost (USD)]:[2025 Cost (USD)]])</f>
        <v>0</v>
      </c>
      <c r="AJ546" s="180"/>
    </row>
    <row r="547" spans="2:36" ht="12.75" customHeight="1">
      <c r="B547" s="123"/>
      <c r="C5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7" s="85" t="str">
        <f>IF(TblDetailBudget[[#This Row],[Level]]="", "", COUNTIFS($B$8:TblDetailBudget[[#This Row],[Level]], Lvl1Hdr))</f>
        <v/>
      </c>
      <c r="E547" s="85" t="str">
        <f>IF(TblDetailBudget[[#This Row],[Level]]="", "", COUNTIFS($B$8:TblDetailBudget[[#This Row],[Level]], Lvl2Hdr, $D$8:TblDetailBudget[[#This Row],[Lvl 1 Header]], TblDetailBudget[[#This Row],[Lvl 1 Header]]))</f>
        <v/>
      </c>
      <c r="F547" s="85" t="str">
        <f>IF(TblDetailBudget[[#This Row],[Level]]="", "", COUNTIFS($B$8:TblDetailBudget[[#This Row],[Level]], Lvl3Hdr, $D$8:TblDetailBudget[[#This Row],[Lvl 1 Header]], TblDetailBudget[[#This Row],[Lvl 1 Header]], $E$8:TblDetailBudget[[#This Row],[Lvl 2 Header]], TblDetailBudget[[#This Row],[Lvl 2 Header]]))</f>
        <v/>
      </c>
      <c r="G5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7" s="164"/>
      <c r="J547" s="164"/>
      <c r="K547" s="165"/>
      <c r="L547" s="165"/>
      <c r="M547" s="85" t="str">
        <f>IF(TblDetailBudget[[#This Row],[Level]]=LvlBottomHdr, IFERROR(INDEX(TblUnitCost[Unit], MATCH(TblDetailBudget[[#This Row],[Row Title]], TblUnitCost[Resource], 0)), "Invalid Resource"), "")</f>
        <v/>
      </c>
      <c r="N547" s="126" t="str">
        <f>IF(TblDetailBudget[[#This Row],[Level]]=LvlBottomHdr, IFERROR(INDEX(TblUnitCost[LCU], MATCH(TblDetailBudget[[#This Row],[Row Title]], TblUnitCost[Resource], 0)), "Invalid Resource"), "")</f>
        <v/>
      </c>
      <c r="O547" s="130"/>
      <c r="P547" s="109"/>
      <c r="Q547" s="131"/>
      <c r="R547" s="109" t="s">
        <v>66</v>
      </c>
      <c r="S547" s="109" t="s">
        <v>66</v>
      </c>
      <c r="T547" s="109" t="s">
        <v>66</v>
      </c>
      <c r="U547" s="109" t="s">
        <v>66</v>
      </c>
      <c r="V547" s="109" t="s">
        <v>66</v>
      </c>
      <c r="W547" s="126" t="str">
        <f>IF(TblDetailBudget[[#This Row],[Level]]=LvlBottomHdr, IF(SUM(TblDetailBudget[[#This Row],[2021 Quant]:[2025 Quant]])&gt;0, SUM(TblDetailBudget[[#This Row],[2021 Quant]:[2025 Quant]]), ""), "")</f>
        <v/>
      </c>
      <c r="X5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7" s="142">
        <f>SUM(TblDetailBudget[[#This Row],[2021 Cost (LCU)]:[2025 Cost (LCU)]])</f>
        <v>0</v>
      </c>
      <c r="AD547" s="135">
        <f>IFERROR(SUM(TblDetailBudget[[#This Row],[2021 Cost (LCU)]])/FX_Rate, "")</f>
        <v>0</v>
      </c>
      <c r="AE547" s="86">
        <f>IFERROR(SUM(TblDetailBudget[[#This Row],[2022 Cost (LCU)]])/FX_Rate, "")</f>
        <v>0</v>
      </c>
      <c r="AF547" s="86">
        <f>IFERROR(SUM(TblDetailBudget[[#This Row],[2023 Cost (LCU)]])/FX_Rate, "")</f>
        <v>0</v>
      </c>
      <c r="AG547" s="86">
        <f>IFERROR(SUM(TblDetailBudget[[#This Row],[2024 Cost (LCU)]])/FX_Rate, "")</f>
        <v>0</v>
      </c>
      <c r="AH547" s="86">
        <f>IFERROR(SUM(TblDetailBudget[[#This Row],[2025 Cost (LCU)]])/FX_Rate, "")</f>
        <v>0</v>
      </c>
      <c r="AI547" s="126">
        <f>SUM(TblDetailBudget[[#This Row],[2021 Cost (USD)]:[2025 Cost (USD)]])</f>
        <v>0</v>
      </c>
      <c r="AJ547" s="180"/>
    </row>
    <row r="548" spans="2:36" ht="12.75" customHeight="1">
      <c r="B548" s="123"/>
      <c r="C5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8" s="85" t="str">
        <f>IF(TblDetailBudget[[#This Row],[Level]]="", "", COUNTIFS($B$8:TblDetailBudget[[#This Row],[Level]], Lvl1Hdr))</f>
        <v/>
      </c>
      <c r="E548" s="85" t="str">
        <f>IF(TblDetailBudget[[#This Row],[Level]]="", "", COUNTIFS($B$8:TblDetailBudget[[#This Row],[Level]], Lvl2Hdr, $D$8:TblDetailBudget[[#This Row],[Lvl 1 Header]], TblDetailBudget[[#This Row],[Lvl 1 Header]]))</f>
        <v/>
      </c>
      <c r="F548" s="85" t="str">
        <f>IF(TblDetailBudget[[#This Row],[Level]]="", "", COUNTIFS($B$8:TblDetailBudget[[#This Row],[Level]], Lvl3Hdr, $D$8:TblDetailBudget[[#This Row],[Lvl 1 Header]], TblDetailBudget[[#This Row],[Lvl 1 Header]], $E$8:TblDetailBudget[[#This Row],[Lvl 2 Header]], TblDetailBudget[[#This Row],[Lvl 2 Header]]))</f>
        <v/>
      </c>
      <c r="G5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8" s="164"/>
      <c r="J548" s="164"/>
      <c r="K548" s="165"/>
      <c r="L548" s="165"/>
      <c r="M548" s="85" t="str">
        <f>IF(TblDetailBudget[[#This Row],[Level]]=LvlBottomHdr, IFERROR(INDEX(TblUnitCost[Unit], MATCH(TblDetailBudget[[#This Row],[Row Title]], TblUnitCost[Resource], 0)), "Invalid Resource"), "")</f>
        <v/>
      </c>
      <c r="N548" s="126" t="str">
        <f>IF(TblDetailBudget[[#This Row],[Level]]=LvlBottomHdr, IFERROR(INDEX(TblUnitCost[LCU], MATCH(TblDetailBudget[[#This Row],[Row Title]], TblUnitCost[Resource], 0)), "Invalid Resource"), "")</f>
        <v/>
      </c>
      <c r="O548" s="130"/>
      <c r="P548" s="109"/>
      <c r="Q548" s="131"/>
      <c r="R548" s="109" t="s">
        <v>66</v>
      </c>
      <c r="S548" s="109" t="s">
        <v>66</v>
      </c>
      <c r="T548" s="109" t="s">
        <v>66</v>
      </c>
      <c r="U548" s="109" t="s">
        <v>66</v>
      </c>
      <c r="V548" s="109" t="s">
        <v>66</v>
      </c>
      <c r="W548" s="126" t="str">
        <f>IF(TblDetailBudget[[#This Row],[Level]]=LvlBottomHdr, IF(SUM(TblDetailBudget[[#This Row],[2021 Quant]:[2025 Quant]])&gt;0, SUM(TblDetailBudget[[#This Row],[2021 Quant]:[2025 Quant]]), ""), "")</f>
        <v/>
      </c>
      <c r="X5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8" s="142">
        <f>SUM(TblDetailBudget[[#This Row],[2021 Cost (LCU)]:[2025 Cost (LCU)]])</f>
        <v>0</v>
      </c>
      <c r="AD548" s="135">
        <f>IFERROR(SUM(TblDetailBudget[[#This Row],[2021 Cost (LCU)]])/FX_Rate, "")</f>
        <v>0</v>
      </c>
      <c r="AE548" s="86">
        <f>IFERROR(SUM(TblDetailBudget[[#This Row],[2022 Cost (LCU)]])/FX_Rate, "")</f>
        <v>0</v>
      </c>
      <c r="AF548" s="86">
        <f>IFERROR(SUM(TblDetailBudget[[#This Row],[2023 Cost (LCU)]])/FX_Rate, "")</f>
        <v>0</v>
      </c>
      <c r="AG548" s="86">
        <f>IFERROR(SUM(TblDetailBudget[[#This Row],[2024 Cost (LCU)]])/FX_Rate, "")</f>
        <v>0</v>
      </c>
      <c r="AH548" s="86">
        <f>IFERROR(SUM(TblDetailBudget[[#This Row],[2025 Cost (LCU)]])/FX_Rate, "")</f>
        <v>0</v>
      </c>
      <c r="AI548" s="126">
        <f>SUM(TblDetailBudget[[#This Row],[2021 Cost (USD)]:[2025 Cost (USD)]])</f>
        <v>0</v>
      </c>
      <c r="AJ548" s="180"/>
    </row>
    <row r="549" spans="2:36" ht="12.75" customHeight="1">
      <c r="B549" s="123"/>
      <c r="C5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9" s="85" t="str">
        <f>IF(TblDetailBudget[[#This Row],[Level]]="", "", COUNTIFS($B$8:TblDetailBudget[[#This Row],[Level]], Lvl1Hdr))</f>
        <v/>
      </c>
      <c r="E549" s="85" t="str">
        <f>IF(TblDetailBudget[[#This Row],[Level]]="", "", COUNTIFS($B$8:TblDetailBudget[[#This Row],[Level]], Lvl2Hdr, $D$8:TblDetailBudget[[#This Row],[Lvl 1 Header]], TblDetailBudget[[#This Row],[Lvl 1 Header]]))</f>
        <v/>
      </c>
      <c r="F549" s="85" t="str">
        <f>IF(TblDetailBudget[[#This Row],[Level]]="", "", COUNTIFS($B$8:TblDetailBudget[[#This Row],[Level]], Lvl3Hdr, $D$8:TblDetailBudget[[#This Row],[Lvl 1 Header]], TblDetailBudget[[#This Row],[Lvl 1 Header]], $E$8:TblDetailBudget[[#This Row],[Lvl 2 Header]], TblDetailBudget[[#This Row],[Lvl 2 Header]]))</f>
        <v/>
      </c>
      <c r="G5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9" s="164"/>
      <c r="J549" s="164"/>
      <c r="K549" s="165"/>
      <c r="L549" s="165"/>
      <c r="M549" s="85" t="str">
        <f>IF(TblDetailBudget[[#This Row],[Level]]=LvlBottomHdr, IFERROR(INDEX(TblUnitCost[Unit], MATCH(TblDetailBudget[[#This Row],[Row Title]], TblUnitCost[Resource], 0)), "Invalid Resource"), "")</f>
        <v/>
      </c>
      <c r="N549" s="126" t="str">
        <f>IF(TblDetailBudget[[#This Row],[Level]]=LvlBottomHdr, IFERROR(INDEX(TblUnitCost[LCU], MATCH(TblDetailBudget[[#This Row],[Row Title]], TblUnitCost[Resource], 0)), "Invalid Resource"), "")</f>
        <v/>
      </c>
      <c r="O549" s="130"/>
      <c r="P549" s="109"/>
      <c r="Q549" s="131"/>
      <c r="R549" s="109" t="s">
        <v>66</v>
      </c>
      <c r="S549" s="109" t="s">
        <v>66</v>
      </c>
      <c r="T549" s="109" t="s">
        <v>66</v>
      </c>
      <c r="U549" s="109" t="s">
        <v>66</v>
      </c>
      <c r="V549" s="109" t="s">
        <v>66</v>
      </c>
      <c r="W549" s="126" t="str">
        <f>IF(TblDetailBudget[[#This Row],[Level]]=LvlBottomHdr, IF(SUM(TblDetailBudget[[#This Row],[2021 Quant]:[2025 Quant]])&gt;0, SUM(TblDetailBudget[[#This Row],[2021 Quant]:[2025 Quant]]), ""), "")</f>
        <v/>
      </c>
      <c r="X5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9" s="142">
        <f>SUM(TblDetailBudget[[#This Row],[2021 Cost (LCU)]:[2025 Cost (LCU)]])</f>
        <v>0</v>
      </c>
      <c r="AD549" s="135">
        <f>IFERROR(SUM(TblDetailBudget[[#This Row],[2021 Cost (LCU)]])/FX_Rate, "")</f>
        <v>0</v>
      </c>
      <c r="AE549" s="86">
        <f>IFERROR(SUM(TblDetailBudget[[#This Row],[2022 Cost (LCU)]])/FX_Rate, "")</f>
        <v>0</v>
      </c>
      <c r="AF549" s="86">
        <f>IFERROR(SUM(TblDetailBudget[[#This Row],[2023 Cost (LCU)]])/FX_Rate, "")</f>
        <v>0</v>
      </c>
      <c r="AG549" s="86">
        <f>IFERROR(SUM(TblDetailBudget[[#This Row],[2024 Cost (LCU)]])/FX_Rate, "")</f>
        <v>0</v>
      </c>
      <c r="AH549" s="86">
        <f>IFERROR(SUM(TblDetailBudget[[#This Row],[2025 Cost (LCU)]])/FX_Rate, "")</f>
        <v>0</v>
      </c>
      <c r="AI549" s="126">
        <f>SUM(TblDetailBudget[[#This Row],[2021 Cost (USD)]:[2025 Cost (USD)]])</f>
        <v>0</v>
      </c>
      <c r="AJ549" s="180"/>
    </row>
    <row r="550" spans="2:36" ht="12.75" customHeight="1">
      <c r="B550" s="123"/>
      <c r="C5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0" s="85" t="str">
        <f>IF(TblDetailBudget[[#This Row],[Level]]="", "", COUNTIFS($B$8:TblDetailBudget[[#This Row],[Level]], Lvl1Hdr))</f>
        <v/>
      </c>
      <c r="E550" s="85" t="str">
        <f>IF(TblDetailBudget[[#This Row],[Level]]="", "", COUNTIFS($B$8:TblDetailBudget[[#This Row],[Level]], Lvl2Hdr, $D$8:TblDetailBudget[[#This Row],[Lvl 1 Header]], TblDetailBudget[[#This Row],[Lvl 1 Header]]))</f>
        <v/>
      </c>
      <c r="F550" s="85" t="str">
        <f>IF(TblDetailBudget[[#This Row],[Level]]="", "", COUNTIFS($B$8:TblDetailBudget[[#This Row],[Level]], Lvl3Hdr, $D$8:TblDetailBudget[[#This Row],[Lvl 1 Header]], TblDetailBudget[[#This Row],[Lvl 1 Header]], $E$8:TblDetailBudget[[#This Row],[Lvl 2 Header]], TblDetailBudget[[#This Row],[Lvl 2 Header]]))</f>
        <v/>
      </c>
      <c r="G5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0" s="164"/>
      <c r="J550" s="164"/>
      <c r="K550" s="165"/>
      <c r="L550" s="165"/>
      <c r="M550" s="85" t="str">
        <f>IF(TblDetailBudget[[#This Row],[Level]]=LvlBottomHdr, IFERROR(INDEX(TblUnitCost[Unit], MATCH(TblDetailBudget[[#This Row],[Row Title]], TblUnitCost[Resource], 0)), "Invalid Resource"), "")</f>
        <v/>
      </c>
      <c r="N550" s="126" t="str">
        <f>IF(TblDetailBudget[[#This Row],[Level]]=LvlBottomHdr, IFERROR(INDEX(TblUnitCost[LCU], MATCH(TblDetailBudget[[#This Row],[Row Title]], TblUnitCost[Resource], 0)), "Invalid Resource"), "")</f>
        <v/>
      </c>
      <c r="O550" s="130"/>
      <c r="P550" s="109"/>
      <c r="Q550" s="131"/>
      <c r="R550" s="109" t="s">
        <v>66</v>
      </c>
      <c r="S550" s="109" t="s">
        <v>66</v>
      </c>
      <c r="T550" s="109" t="s">
        <v>66</v>
      </c>
      <c r="U550" s="109" t="s">
        <v>66</v>
      </c>
      <c r="V550" s="109" t="s">
        <v>66</v>
      </c>
      <c r="W550" s="126" t="str">
        <f>IF(TblDetailBudget[[#This Row],[Level]]=LvlBottomHdr, IF(SUM(TblDetailBudget[[#This Row],[2021 Quant]:[2025 Quant]])&gt;0, SUM(TblDetailBudget[[#This Row],[2021 Quant]:[2025 Quant]]), ""), "")</f>
        <v/>
      </c>
      <c r="X5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0" s="142">
        <f>SUM(TblDetailBudget[[#This Row],[2021 Cost (LCU)]:[2025 Cost (LCU)]])</f>
        <v>0</v>
      </c>
      <c r="AD550" s="135">
        <f>IFERROR(SUM(TblDetailBudget[[#This Row],[2021 Cost (LCU)]])/FX_Rate, "")</f>
        <v>0</v>
      </c>
      <c r="AE550" s="86">
        <f>IFERROR(SUM(TblDetailBudget[[#This Row],[2022 Cost (LCU)]])/FX_Rate, "")</f>
        <v>0</v>
      </c>
      <c r="AF550" s="86">
        <f>IFERROR(SUM(TblDetailBudget[[#This Row],[2023 Cost (LCU)]])/FX_Rate, "")</f>
        <v>0</v>
      </c>
      <c r="AG550" s="86">
        <f>IFERROR(SUM(TblDetailBudget[[#This Row],[2024 Cost (LCU)]])/FX_Rate, "")</f>
        <v>0</v>
      </c>
      <c r="AH550" s="86">
        <f>IFERROR(SUM(TblDetailBudget[[#This Row],[2025 Cost (LCU)]])/FX_Rate, "")</f>
        <v>0</v>
      </c>
      <c r="AI550" s="126">
        <f>SUM(TblDetailBudget[[#This Row],[2021 Cost (USD)]:[2025 Cost (USD)]])</f>
        <v>0</v>
      </c>
      <c r="AJ550" s="180"/>
    </row>
    <row r="551" spans="2:36" ht="12.75" customHeight="1">
      <c r="B551" s="123"/>
      <c r="C5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1" s="85" t="str">
        <f>IF(TblDetailBudget[[#This Row],[Level]]="", "", COUNTIFS($B$8:TblDetailBudget[[#This Row],[Level]], Lvl1Hdr))</f>
        <v/>
      </c>
      <c r="E551" s="85" t="str">
        <f>IF(TblDetailBudget[[#This Row],[Level]]="", "", COUNTIFS($B$8:TblDetailBudget[[#This Row],[Level]], Lvl2Hdr, $D$8:TblDetailBudget[[#This Row],[Lvl 1 Header]], TblDetailBudget[[#This Row],[Lvl 1 Header]]))</f>
        <v/>
      </c>
      <c r="F551" s="85" t="str">
        <f>IF(TblDetailBudget[[#This Row],[Level]]="", "", COUNTIFS($B$8:TblDetailBudget[[#This Row],[Level]], Lvl3Hdr, $D$8:TblDetailBudget[[#This Row],[Lvl 1 Header]], TblDetailBudget[[#This Row],[Lvl 1 Header]], $E$8:TblDetailBudget[[#This Row],[Lvl 2 Header]], TblDetailBudget[[#This Row],[Lvl 2 Header]]))</f>
        <v/>
      </c>
      <c r="G5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1" s="164"/>
      <c r="J551" s="164"/>
      <c r="K551" s="165"/>
      <c r="L551" s="165"/>
      <c r="M551" s="85" t="str">
        <f>IF(TblDetailBudget[[#This Row],[Level]]=LvlBottomHdr, IFERROR(INDEX(TblUnitCost[Unit], MATCH(TblDetailBudget[[#This Row],[Row Title]], TblUnitCost[Resource], 0)), "Invalid Resource"), "")</f>
        <v/>
      </c>
      <c r="N551" s="126" t="str">
        <f>IF(TblDetailBudget[[#This Row],[Level]]=LvlBottomHdr, IFERROR(INDEX(TblUnitCost[LCU], MATCH(TblDetailBudget[[#This Row],[Row Title]], TblUnitCost[Resource], 0)), "Invalid Resource"), "")</f>
        <v/>
      </c>
      <c r="O551" s="130"/>
      <c r="P551" s="109"/>
      <c r="Q551" s="131"/>
      <c r="R551" s="109" t="s">
        <v>66</v>
      </c>
      <c r="S551" s="109" t="s">
        <v>66</v>
      </c>
      <c r="T551" s="109" t="s">
        <v>66</v>
      </c>
      <c r="U551" s="109" t="s">
        <v>66</v>
      </c>
      <c r="V551" s="109" t="s">
        <v>66</v>
      </c>
      <c r="W551" s="126" t="str">
        <f>IF(TblDetailBudget[[#This Row],[Level]]=LvlBottomHdr, IF(SUM(TblDetailBudget[[#This Row],[2021 Quant]:[2025 Quant]])&gt;0, SUM(TblDetailBudget[[#This Row],[2021 Quant]:[2025 Quant]]), ""), "")</f>
        <v/>
      </c>
      <c r="X5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1" s="142">
        <f>SUM(TblDetailBudget[[#This Row],[2021 Cost (LCU)]:[2025 Cost (LCU)]])</f>
        <v>0</v>
      </c>
      <c r="AD551" s="135">
        <f>IFERROR(SUM(TblDetailBudget[[#This Row],[2021 Cost (LCU)]])/FX_Rate, "")</f>
        <v>0</v>
      </c>
      <c r="AE551" s="86">
        <f>IFERROR(SUM(TblDetailBudget[[#This Row],[2022 Cost (LCU)]])/FX_Rate, "")</f>
        <v>0</v>
      </c>
      <c r="AF551" s="86">
        <f>IFERROR(SUM(TblDetailBudget[[#This Row],[2023 Cost (LCU)]])/FX_Rate, "")</f>
        <v>0</v>
      </c>
      <c r="AG551" s="86">
        <f>IFERROR(SUM(TblDetailBudget[[#This Row],[2024 Cost (LCU)]])/FX_Rate, "")</f>
        <v>0</v>
      </c>
      <c r="AH551" s="86">
        <f>IFERROR(SUM(TblDetailBudget[[#This Row],[2025 Cost (LCU)]])/FX_Rate, "")</f>
        <v>0</v>
      </c>
      <c r="AI551" s="126">
        <f>SUM(TblDetailBudget[[#This Row],[2021 Cost (USD)]:[2025 Cost (USD)]])</f>
        <v>0</v>
      </c>
      <c r="AJ551" s="180"/>
    </row>
    <row r="552" spans="2:36" ht="12.75" customHeight="1">
      <c r="B552" s="123"/>
      <c r="C5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2" s="85" t="str">
        <f>IF(TblDetailBudget[[#This Row],[Level]]="", "", COUNTIFS($B$8:TblDetailBudget[[#This Row],[Level]], Lvl1Hdr))</f>
        <v/>
      </c>
      <c r="E552" s="85" t="str">
        <f>IF(TblDetailBudget[[#This Row],[Level]]="", "", COUNTIFS($B$8:TblDetailBudget[[#This Row],[Level]], Lvl2Hdr, $D$8:TblDetailBudget[[#This Row],[Lvl 1 Header]], TblDetailBudget[[#This Row],[Lvl 1 Header]]))</f>
        <v/>
      </c>
      <c r="F552" s="85" t="str">
        <f>IF(TblDetailBudget[[#This Row],[Level]]="", "", COUNTIFS($B$8:TblDetailBudget[[#This Row],[Level]], Lvl3Hdr, $D$8:TblDetailBudget[[#This Row],[Lvl 1 Header]], TblDetailBudget[[#This Row],[Lvl 1 Header]], $E$8:TblDetailBudget[[#This Row],[Lvl 2 Header]], TblDetailBudget[[#This Row],[Lvl 2 Header]]))</f>
        <v/>
      </c>
      <c r="G5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2" s="164"/>
      <c r="J552" s="164"/>
      <c r="K552" s="165"/>
      <c r="L552" s="165"/>
      <c r="M552" s="85" t="str">
        <f>IF(TblDetailBudget[[#This Row],[Level]]=LvlBottomHdr, IFERROR(INDEX(TblUnitCost[Unit], MATCH(TblDetailBudget[[#This Row],[Row Title]], TblUnitCost[Resource], 0)), "Invalid Resource"), "")</f>
        <v/>
      </c>
      <c r="N552" s="126" t="str">
        <f>IF(TblDetailBudget[[#This Row],[Level]]=LvlBottomHdr, IFERROR(INDEX(TblUnitCost[LCU], MATCH(TblDetailBudget[[#This Row],[Row Title]], TblUnitCost[Resource], 0)), "Invalid Resource"), "")</f>
        <v/>
      </c>
      <c r="O552" s="130"/>
      <c r="P552" s="109"/>
      <c r="Q552" s="131"/>
      <c r="R552" s="109" t="s">
        <v>66</v>
      </c>
      <c r="S552" s="109" t="s">
        <v>66</v>
      </c>
      <c r="T552" s="109" t="s">
        <v>66</v>
      </c>
      <c r="U552" s="109" t="s">
        <v>66</v>
      </c>
      <c r="V552" s="109" t="s">
        <v>66</v>
      </c>
      <c r="W552" s="126" t="str">
        <f>IF(TblDetailBudget[[#This Row],[Level]]=LvlBottomHdr, IF(SUM(TblDetailBudget[[#This Row],[2021 Quant]:[2025 Quant]])&gt;0, SUM(TblDetailBudget[[#This Row],[2021 Quant]:[2025 Quant]]), ""), "")</f>
        <v/>
      </c>
      <c r="X5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2" s="142">
        <f>SUM(TblDetailBudget[[#This Row],[2021 Cost (LCU)]:[2025 Cost (LCU)]])</f>
        <v>0</v>
      </c>
      <c r="AD552" s="135">
        <f>IFERROR(SUM(TblDetailBudget[[#This Row],[2021 Cost (LCU)]])/FX_Rate, "")</f>
        <v>0</v>
      </c>
      <c r="AE552" s="86">
        <f>IFERROR(SUM(TblDetailBudget[[#This Row],[2022 Cost (LCU)]])/FX_Rate, "")</f>
        <v>0</v>
      </c>
      <c r="AF552" s="86">
        <f>IFERROR(SUM(TblDetailBudget[[#This Row],[2023 Cost (LCU)]])/FX_Rate, "")</f>
        <v>0</v>
      </c>
      <c r="AG552" s="86">
        <f>IFERROR(SUM(TblDetailBudget[[#This Row],[2024 Cost (LCU)]])/FX_Rate, "")</f>
        <v>0</v>
      </c>
      <c r="AH552" s="86">
        <f>IFERROR(SUM(TblDetailBudget[[#This Row],[2025 Cost (LCU)]])/FX_Rate, "")</f>
        <v>0</v>
      </c>
      <c r="AI552" s="126">
        <f>SUM(TblDetailBudget[[#This Row],[2021 Cost (USD)]:[2025 Cost (USD)]])</f>
        <v>0</v>
      </c>
      <c r="AJ552" s="180"/>
    </row>
    <row r="553" spans="2:36" ht="12.75" customHeight="1">
      <c r="B553" s="123"/>
      <c r="C5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3" s="85" t="str">
        <f>IF(TblDetailBudget[[#This Row],[Level]]="", "", COUNTIFS($B$8:TblDetailBudget[[#This Row],[Level]], Lvl1Hdr))</f>
        <v/>
      </c>
      <c r="E553" s="85" t="str">
        <f>IF(TblDetailBudget[[#This Row],[Level]]="", "", COUNTIFS($B$8:TblDetailBudget[[#This Row],[Level]], Lvl2Hdr, $D$8:TblDetailBudget[[#This Row],[Lvl 1 Header]], TblDetailBudget[[#This Row],[Lvl 1 Header]]))</f>
        <v/>
      </c>
      <c r="F553" s="85" t="str">
        <f>IF(TblDetailBudget[[#This Row],[Level]]="", "", COUNTIFS($B$8:TblDetailBudget[[#This Row],[Level]], Lvl3Hdr, $D$8:TblDetailBudget[[#This Row],[Lvl 1 Header]], TblDetailBudget[[#This Row],[Lvl 1 Header]], $E$8:TblDetailBudget[[#This Row],[Lvl 2 Header]], TblDetailBudget[[#This Row],[Lvl 2 Header]]))</f>
        <v/>
      </c>
      <c r="G5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3" s="164"/>
      <c r="J553" s="164"/>
      <c r="K553" s="165"/>
      <c r="L553" s="165"/>
      <c r="M553" s="85" t="str">
        <f>IF(TblDetailBudget[[#This Row],[Level]]=LvlBottomHdr, IFERROR(INDEX(TblUnitCost[Unit], MATCH(TblDetailBudget[[#This Row],[Row Title]], TblUnitCost[Resource], 0)), "Invalid Resource"), "")</f>
        <v/>
      </c>
      <c r="N553" s="126" t="str">
        <f>IF(TblDetailBudget[[#This Row],[Level]]=LvlBottomHdr, IFERROR(INDEX(TblUnitCost[LCU], MATCH(TblDetailBudget[[#This Row],[Row Title]], TblUnitCost[Resource], 0)), "Invalid Resource"), "")</f>
        <v/>
      </c>
      <c r="O553" s="130"/>
      <c r="P553" s="109"/>
      <c r="Q553" s="131"/>
      <c r="R553" s="109" t="s">
        <v>66</v>
      </c>
      <c r="S553" s="109" t="s">
        <v>66</v>
      </c>
      <c r="T553" s="109" t="s">
        <v>66</v>
      </c>
      <c r="U553" s="109" t="s">
        <v>66</v>
      </c>
      <c r="V553" s="109" t="s">
        <v>66</v>
      </c>
      <c r="W553" s="126" t="str">
        <f>IF(TblDetailBudget[[#This Row],[Level]]=LvlBottomHdr, IF(SUM(TblDetailBudget[[#This Row],[2021 Quant]:[2025 Quant]])&gt;0, SUM(TblDetailBudget[[#This Row],[2021 Quant]:[2025 Quant]]), ""), "")</f>
        <v/>
      </c>
      <c r="X5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3" s="142">
        <f>SUM(TblDetailBudget[[#This Row],[2021 Cost (LCU)]:[2025 Cost (LCU)]])</f>
        <v>0</v>
      </c>
      <c r="AD553" s="135">
        <f>IFERROR(SUM(TblDetailBudget[[#This Row],[2021 Cost (LCU)]])/FX_Rate, "")</f>
        <v>0</v>
      </c>
      <c r="AE553" s="86">
        <f>IFERROR(SUM(TblDetailBudget[[#This Row],[2022 Cost (LCU)]])/FX_Rate, "")</f>
        <v>0</v>
      </c>
      <c r="AF553" s="86">
        <f>IFERROR(SUM(TblDetailBudget[[#This Row],[2023 Cost (LCU)]])/FX_Rate, "")</f>
        <v>0</v>
      </c>
      <c r="AG553" s="86">
        <f>IFERROR(SUM(TblDetailBudget[[#This Row],[2024 Cost (LCU)]])/FX_Rate, "")</f>
        <v>0</v>
      </c>
      <c r="AH553" s="86">
        <f>IFERROR(SUM(TblDetailBudget[[#This Row],[2025 Cost (LCU)]])/FX_Rate, "")</f>
        <v>0</v>
      </c>
      <c r="AI553" s="126">
        <f>SUM(TblDetailBudget[[#This Row],[2021 Cost (USD)]:[2025 Cost (USD)]])</f>
        <v>0</v>
      </c>
      <c r="AJ553" s="180"/>
    </row>
    <row r="554" spans="2:36" ht="12.75" customHeight="1">
      <c r="B554" s="123"/>
      <c r="C5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4" s="85" t="str">
        <f>IF(TblDetailBudget[[#This Row],[Level]]="", "", COUNTIFS($B$8:TblDetailBudget[[#This Row],[Level]], Lvl1Hdr))</f>
        <v/>
      </c>
      <c r="E554" s="85" t="str">
        <f>IF(TblDetailBudget[[#This Row],[Level]]="", "", COUNTIFS($B$8:TblDetailBudget[[#This Row],[Level]], Lvl2Hdr, $D$8:TblDetailBudget[[#This Row],[Lvl 1 Header]], TblDetailBudget[[#This Row],[Lvl 1 Header]]))</f>
        <v/>
      </c>
      <c r="F554" s="85" t="str">
        <f>IF(TblDetailBudget[[#This Row],[Level]]="", "", COUNTIFS($B$8:TblDetailBudget[[#This Row],[Level]], Lvl3Hdr, $D$8:TblDetailBudget[[#This Row],[Lvl 1 Header]], TblDetailBudget[[#This Row],[Lvl 1 Header]], $E$8:TblDetailBudget[[#This Row],[Lvl 2 Header]], TblDetailBudget[[#This Row],[Lvl 2 Header]]))</f>
        <v/>
      </c>
      <c r="G5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4" s="164"/>
      <c r="J554" s="164"/>
      <c r="K554" s="165"/>
      <c r="L554" s="165"/>
      <c r="M554" s="85" t="str">
        <f>IF(TblDetailBudget[[#This Row],[Level]]=LvlBottomHdr, IFERROR(INDEX(TblUnitCost[Unit], MATCH(TblDetailBudget[[#This Row],[Row Title]], TblUnitCost[Resource], 0)), "Invalid Resource"), "")</f>
        <v/>
      </c>
      <c r="N554" s="126" t="str">
        <f>IF(TblDetailBudget[[#This Row],[Level]]=LvlBottomHdr, IFERROR(INDEX(TblUnitCost[LCU], MATCH(TblDetailBudget[[#This Row],[Row Title]], TblUnitCost[Resource], 0)), "Invalid Resource"), "")</f>
        <v/>
      </c>
      <c r="O554" s="130"/>
      <c r="P554" s="109"/>
      <c r="Q554" s="131"/>
      <c r="R554" s="109" t="s">
        <v>66</v>
      </c>
      <c r="S554" s="109" t="s">
        <v>66</v>
      </c>
      <c r="T554" s="109" t="s">
        <v>66</v>
      </c>
      <c r="U554" s="109" t="s">
        <v>66</v>
      </c>
      <c r="V554" s="109" t="s">
        <v>66</v>
      </c>
      <c r="W554" s="126" t="str">
        <f>IF(TblDetailBudget[[#This Row],[Level]]=LvlBottomHdr, IF(SUM(TblDetailBudget[[#This Row],[2021 Quant]:[2025 Quant]])&gt;0, SUM(TblDetailBudget[[#This Row],[2021 Quant]:[2025 Quant]]), ""), "")</f>
        <v/>
      </c>
      <c r="X5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4" s="142">
        <f>SUM(TblDetailBudget[[#This Row],[2021 Cost (LCU)]:[2025 Cost (LCU)]])</f>
        <v>0</v>
      </c>
      <c r="AD554" s="135">
        <f>IFERROR(SUM(TblDetailBudget[[#This Row],[2021 Cost (LCU)]])/FX_Rate, "")</f>
        <v>0</v>
      </c>
      <c r="AE554" s="86">
        <f>IFERROR(SUM(TblDetailBudget[[#This Row],[2022 Cost (LCU)]])/FX_Rate, "")</f>
        <v>0</v>
      </c>
      <c r="AF554" s="86">
        <f>IFERROR(SUM(TblDetailBudget[[#This Row],[2023 Cost (LCU)]])/FX_Rate, "")</f>
        <v>0</v>
      </c>
      <c r="AG554" s="86">
        <f>IFERROR(SUM(TblDetailBudget[[#This Row],[2024 Cost (LCU)]])/FX_Rate, "")</f>
        <v>0</v>
      </c>
      <c r="AH554" s="86">
        <f>IFERROR(SUM(TblDetailBudget[[#This Row],[2025 Cost (LCU)]])/FX_Rate, "")</f>
        <v>0</v>
      </c>
      <c r="AI554" s="126">
        <f>SUM(TblDetailBudget[[#This Row],[2021 Cost (USD)]:[2025 Cost (USD)]])</f>
        <v>0</v>
      </c>
      <c r="AJ554" s="180"/>
    </row>
    <row r="555" spans="2:36" ht="12.75" customHeight="1">
      <c r="B555" s="123"/>
      <c r="C5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5" s="85" t="str">
        <f>IF(TblDetailBudget[[#This Row],[Level]]="", "", COUNTIFS($B$8:TblDetailBudget[[#This Row],[Level]], Lvl1Hdr))</f>
        <v/>
      </c>
      <c r="E555" s="85" t="str">
        <f>IF(TblDetailBudget[[#This Row],[Level]]="", "", COUNTIFS($B$8:TblDetailBudget[[#This Row],[Level]], Lvl2Hdr, $D$8:TblDetailBudget[[#This Row],[Lvl 1 Header]], TblDetailBudget[[#This Row],[Lvl 1 Header]]))</f>
        <v/>
      </c>
      <c r="F555" s="85" t="str">
        <f>IF(TblDetailBudget[[#This Row],[Level]]="", "", COUNTIFS($B$8:TblDetailBudget[[#This Row],[Level]], Lvl3Hdr, $D$8:TblDetailBudget[[#This Row],[Lvl 1 Header]], TblDetailBudget[[#This Row],[Lvl 1 Header]], $E$8:TblDetailBudget[[#This Row],[Lvl 2 Header]], TblDetailBudget[[#This Row],[Lvl 2 Header]]))</f>
        <v/>
      </c>
      <c r="G5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5" s="164"/>
      <c r="J555" s="164"/>
      <c r="K555" s="165"/>
      <c r="L555" s="165"/>
      <c r="M555" s="85" t="str">
        <f>IF(TblDetailBudget[[#This Row],[Level]]=LvlBottomHdr, IFERROR(INDEX(TblUnitCost[Unit], MATCH(TblDetailBudget[[#This Row],[Row Title]], TblUnitCost[Resource], 0)), "Invalid Resource"), "")</f>
        <v/>
      </c>
      <c r="N555" s="126" t="str">
        <f>IF(TblDetailBudget[[#This Row],[Level]]=LvlBottomHdr, IFERROR(INDEX(TblUnitCost[LCU], MATCH(TblDetailBudget[[#This Row],[Row Title]], TblUnitCost[Resource], 0)), "Invalid Resource"), "")</f>
        <v/>
      </c>
      <c r="O555" s="130"/>
      <c r="P555" s="109"/>
      <c r="Q555" s="131"/>
      <c r="R555" s="109" t="s">
        <v>66</v>
      </c>
      <c r="S555" s="109" t="s">
        <v>66</v>
      </c>
      <c r="T555" s="109" t="s">
        <v>66</v>
      </c>
      <c r="U555" s="109" t="s">
        <v>66</v>
      </c>
      <c r="V555" s="109" t="s">
        <v>66</v>
      </c>
      <c r="W555" s="126" t="str">
        <f>IF(TblDetailBudget[[#This Row],[Level]]=LvlBottomHdr, IF(SUM(TblDetailBudget[[#This Row],[2021 Quant]:[2025 Quant]])&gt;0, SUM(TblDetailBudget[[#This Row],[2021 Quant]:[2025 Quant]]), ""), "")</f>
        <v/>
      </c>
      <c r="X5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5" s="142">
        <f>SUM(TblDetailBudget[[#This Row],[2021 Cost (LCU)]:[2025 Cost (LCU)]])</f>
        <v>0</v>
      </c>
      <c r="AD555" s="135">
        <f>IFERROR(SUM(TblDetailBudget[[#This Row],[2021 Cost (LCU)]])/FX_Rate, "")</f>
        <v>0</v>
      </c>
      <c r="AE555" s="86">
        <f>IFERROR(SUM(TblDetailBudget[[#This Row],[2022 Cost (LCU)]])/FX_Rate, "")</f>
        <v>0</v>
      </c>
      <c r="AF555" s="86">
        <f>IFERROR(SUM(TblDetailBudget[[#This Row],[2023 Cost (LCU)]])/FX_Rate, "")</f>
        <v>0</v>
      </c>
      <c r="AG555" s="86">
        <f>IFERROR(SUM(TblDetailBudget[[#This Row],[2024 Cost (LCU)]])/FX_Rate, "")</f>
        <v>0</v>
      </c>
      <c r="AH555" s="86">
        <f>IFERROR(SUM(TblDetailBudget[[#This Row],[2025 Cost (LCU)]])/FX_Rate, "")</f>
        <v>0</v>
      </c>
      <c r="AI555" s="126">
        <f>SUM(TblDetailBudget[[#This Row],[2021 Cost (USD)]:[2025 Cost (USD)]])</f>
        <v>0</v>
      </c>
      <c r="AJ555" s="180"/>
    </row>
    <row r="556" spans="2:36" ht="12.75" customHeight="1">
      <c r="B556" s="123"/>
      <c r="C5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6" s="85" t="str">
        <f>IF(TblDetailBudget[[#This Row],[Level]]="", "", COUNTIFS($B$8:TblDetailBudget[[#This Row],[Level]], Lvl1Hdr))</f>
        <v/>
      </c>
      <c r="E556" s="85" t="str">
        <f>IF(TblDetailBudget[[#This Row],[Level]]="", "", COUNTIFS($B$8:TblDetailBudget[[#This Row],[Level]], Lvl2Hdr, $D$8:TblDetailBudget[[#This Row],[Lvl 1 Header]], TblDetailBudget[[#This Row],[Lvl 1 Header]]))</f>
        <v/>
      </c>
      <c r="F556" s="85" t="str">
        <f>IF(TblDetailBudget[[#This Row],[Level]]="", "", COUNTIFS($B$8:TblDetailBudget[[#This Row],[Level]], Lvl3Hdr, $D$8:TblDetailBudget[[#This Row],[Lvl 1 Header]], TblDetailBudget[[#This Row],[Lvl 1 Header]], $E$8:TblDetailBudget[[#This Row],[Lvl 2 Header]], TblDetailBudget[[#This Row],[Lvl 2 Header]]))</f>
        <v/>
      </c>
      <c r="G5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6" s="164"/>
      <c r="J556" s="164"/>
      <c r="K556" s="165"/>
      <c r="L556" s="165"/>
      <c r="M556" s="85" t="str">
        <f>IF(TblDetailBudget[[#This Row],[Level]]=LvlBottomHdr, IFERROR(INDEX(TblUnitCost[Unit], MATCH(TblDetailBudget[[#This Row],[Row Title]], TblUnitCost[Resource], 0)), "Invalid Resource"), "")</f>
        <v/>
      </c>
      <c r="N556" s="126" t="str">
        <f>IF(TblDetailBudget[[#This Row],[Level]]=LvlBottomHdr, IFERROR(INDEX(TblUnitCost[LCU], MATCH(TblDetailBudget[[#This Row],[Row Title]], TblUnitCost[Resource], 0)), "Invalid Resource"), "")</f>
        <v/>
      </c>
      <c r="O556" s="130"/>
      <c r="P556" s="109"/>
      <c r="Q556" s="131"/>
      <c r="R556" s="109" t="s">
        <v>66</v>
      </c>
      <c r="S556" s="109" t="s">
        <v>66</v>
      </c>
      <c r="T556" s="109" t="s">
        <v>66</v>
      </c>
      <c r="U556" s="109" t="s">
        <v>66</v>
      </c>
      <c r="V556" s="109" t="s">
        <v>66</v>
      </c>
      <c r="W556" s="126" t="str">
        <f>IF(TblDetailBudget[[#This Row],[Level]]=LvlBottomHdr, IF(SUM(TblDetailBudget[[#This Row],[2021 Quant]:[2025 Quant]])&gt;0, SUM(TblDetailBudget[[#This Row],[2021 Quant]:[2025 Quant]]), ""), "")</f>
        <v/>
      </c>
      <c r="X5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6" s="142">
        <f>SUM(TblDetailBudget[[#This Row],[2021 Cost (LCU)]:[2025 Cost (LCU)]])</f>
        <v>0</v>
      </c>
      <c r="AD556" s="135">
        <f>IFERROR(SUM(TblDetailBudget[[#This Row],[2021 Cost (LCU)]])/FX_Rate, "")</f>
        <v>0</v>
      </c>
      <c r="AE556" s="86">
        <f>IFERROR(SUM(TblDetailBudget[[#This Row],[2022 Cost (LCU)]])/FX_Rate, "")</f>
        <v>0</v>
      </c>
      <c r="AF556" s="86">
        <f>IFERROR(SUM(TblDetailBudget[[#This Row],[2023 Cost (LCU)]])/FX_Rate, "")</f>
        <v>0</v>
      </c>
      <c r="AG556" s="86">
        <f>IFERROR(SUM(TblDetailBudget[[#This Row],[2024 Cost (LCU)]])/FX_Rate, "")</f>
        <v>0</v>
      </c>
      <c r="AH556" s="86">
        <f>IFERROR(SUM(TblDetailBudget[[#This Row],[2025 Cost (LCU)]])/FX_Rate, "")</f>
        <v>0</v>
      </c>
      <c r="AI556" s="126">
        <f>SUM(TblDetailBudget[[#This Row],[2021 Cost (USD)]:[2025 Cost (USD)]])</f>
        <v>0</v>
      </c>
      <c r="AJ556" s="180"/>
    </row>
    <row r="557" spans="2:36" ht="12.75" customHeight="1">
      <c r="B557" s="123"/>
      <c r="C5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7" s="85" t="str">
        <f>IF(TblDetailBudget[[#This Row],[Level]]="", "", COUNTIFS($B$8:TblDetailBudget[[#This Row],[Level]], Lvl1Hdr))</f>
        <v/>
      </c>
      <c r="E557" s="85" t="str">
        <f>IF(TblDetailBudget[[#This Row],[Level]]="", "", COUNTIFS($B$8:TblDetailBudget[[#This Row],[Level]], Lvl2Hdr, $D$8:TblDetailBudget[[#This Row],[Lvl 1 Header]], TblDetailBudget[[#This Row],[Lvl 1 Header]]))</f>
        <v/>
      </c>
      <c r="F557" s="85" t="str">
        <f>IF(TblDetailBudget[[#This Row],[Level]]="", "", COUNTIFS($B$8:TblDetailBudget[[#This Row],[Level]], Lvl3Hdr, $D$8:TblDetailBudget[[#This Row],[Lvl 1 Header]], TblDetailBudget[[#This Row],[Lvl 1 Header]], $E$8:TblDetailBudget[[#This Row],[Lvl 2 Header]], TblDetailBudget[[#This Row],[Lvl 2 Header]]))</f>
        <v/>
      </c>
      <c r="G5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7" s="164"/>
      <c r="J557" s="164"/>
      <c r="K557" s="165"/>
      <c r="L557" s="165"/>
      <c r="M557" s="85" t="str">
        <f>IF(TblDetailBudget[[#This Row],[Level]]=LvlBottomHdr, IFERROR(INDEX(TblUnitCost[Unit], MATCH(TblDetailBudget[[#This Row],[Row Title]], TblUnitCost[Resource], 0)), "Invalid Resource"), "")</f>
        <v/>
      </c>
      <c r="N557" s="126" t="str">
        <f>IF(TblDetailBudget[[#This Row],[Level]]=LvlBottomHdr, IFERROR(INDEX(TblUnitCost[LCU], MATCH(TblDetailBudget[[#This Row],[Row Title]], TblUnitCost[Resource], 0)), "Invalid Resource"), "")</f>
        <v/>
      </c>
      <c r="O557" s="130"/>
      <c r="P557" s="109"/>
      <c r="Q557" s="131"/>
      <c r="R557" s="109" t="s">
        <v>66</v>
      </c>
      <c r="S557" s="109" t="s">
        <v>66</v>
      </c>
      <c r="T557" s="109" t="s">
        <v>66</v>
      </c>
      <c r="U557" s="109" t="s">
        <v>66</v>
      </c>
      <c r="V557" s="109" t="s">
        <v>66</v>
      </c>
      <c r="W557" s="126" t="str">
        <f>IF(TblDetailBudget[[#This Row],[Level]]=LvlBottomHdr, IF(SUM(TblDetailBudget[[#This Row],[2021 Quant]:[2025 Quant]])&gt;0, SUM(TblDetailBudget[[#This Row],[2021 Quant]:[2025 Quant]]), ""), "")</f>
        <v/>
      </c>
      <c r="X5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7" s="142">
        <f>SUM(TblDetailBudget[[#This Row],[2021 Cost (LCU)]:[2025 Cost (LCU)]])</f>
        <v>0</v>
      </c>
      <c r="AD557" s="135">
        <f>IFERROR(SUM(TblDetailBudget[[#This Row],[2021 Cost (LCU)]])/FX_Rate, "")</f>
        <v>0</v>
      </c>
      <c r="AE557" s="86">
        <f>IFERROR(SUM(TblDetailBudget[[#This Row],[2022 Cost (LCU)]])/FX_Rate, "")</f>
        <v>0</v>
      </c>
      <c r="AF557" s="86">
        <f>IFERROR(SUM(TblDetailBudget[[#This Row],[2023 Cost (LCU)]])/FX_Rate, "")</f>
        <v>0</v>
      </c>
      <c r="AG557" s="86">
        <f>IFERROR(SUM(TblDetailBudget[[#This Row],[2024 Cost (LCU)]])/FX_Rate, "")</f>
        <v>0</v>
      </c>
      <c r="AH557" s="86">
        <f>IFERROR(SUM(TblDetailBudget[[#This Row],[2025 Cost (LCU)]])/FX_Rate, "")</f>
        <v>0</v>
      </c>
      <c r="AI557" s="126">
        <f>SUM(TblDetailBudget[[#This Row],[2021 Cost (USD)]:[2025 Cost (USD)]])</f>
        <v>0</v>
      </c>
      <c r="AJ557" s="180"/>
    </row>
    <row r="558" spans="2:36" ht="12.75" customHeight="1">
      <c r="B558" s="123"/>
      <c r="C5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8" s="85" t="str">
        <f>IF(TblDetailBudget[[#This Row],[Level]]="", "", COUNTIFS($B$8:TblDetailBudget[[#This Row],[Level]], Lvl1Hdr))</f>
        <v/>
      </c>
      <c r="E558" s="85" t="str">
        <f>IF(TblDetailBudget[[#This Row],[Level]]="", "", COUNTIFS($B$8:TblDetailBudget[[#This Row],[Level]], Lvl2Hdr, $D$8:TblDetailBudget[[#This Row],[Lvl 1 Header]], TblDetailBudget[[#This Row],[Lvl 1 Header]]))</f>
        <v/>
      </c>
      <c r="F558" s="85" t="str">
        <f>IF(TblDetailBudget[[#This Row],[Level]]="", "", COUNTIFS($B$8:TblDetailBudget[[#This Row],[Level]], Lvl3Hdr, $D$8:TblDetailBudget[[#This Row],[Lvl 1 Header]], TblDetailBudget[[#This Row],[Lvl 1 Header]], $E$8:TblDetailBudget[[#This Row],[Lvl 2 Header]], TblDetailBudget[[#This Row],[Lvl 2 Header]]))</f>
        <v/>
      </c>
      <c r="G5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8" s="164"/>
      <c r="J558" s="164"/>
      <c r="K558" s="165"/>
      <c r="L558" s="165"/>
      <c r="M558" s="85" t="str">
        <f>IF(TblDetailBudget[[#This Row],[Level]]=LvlBottomHdr, IFERROR(INDEX(TblUnitCost[Unit], MATCH(TblDetailBudget[[#This Row],[Row Title]], TblUnitCost[Resource], 0)), "Invalid Resource"), "")</f>
        <v/>
      </c>
      <c r="N558" s="126" t="str">
        <f>IF(TblDetailBudget[[#This Row],[Level]]=LvlBottomHdr, IFERROR(INDEX(TblUnitCost[LCU], MATCH(TblDetailBudget[[#This Row],[Row Title]], TblUnitCost[Resource], 0)), "Invalid Resource"), "")</f>
        <v/>
      </c>
      <c r="O558" s="130"/>
      <c r="P558" s="109"/>
      <c r="Q558" s="131"/>
      <c r="R558" s="109" t="s">
        <v>66</v>
      </c>
      <c r="S558" s="109" t="s">
        <v>66</v>
      </c>
      <c r="T558" s="109" t="s">
        <v>66</v>
      </c>
      <c r="U558" s="109" t="s">
        <v>66</v>
      </c>
      <c r="V558" s="109" t="s">
        <v>66</v>
      </c>
      <c r="W558" s="126" t="str">
        <f>IF(TblDetailBudget[[#This Row],[Level]]=LvlBottomHdr, IF(SUM(TblDetailBudget[[#This Row],[2021 Quant]:[2025 Quant]])&gt;0, SUM(TblDetailBudget[[#This Row],[2021 Quant]:[2025 Quant]]), ""), "")</f>
        <v/>
      </c>
      <c r="X5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8" s="142">
        <f>SUM(TblDetailBudget[[#This Row],[2021 Cost (LCU)]:[2025 Cost (LCU)]])</f>
        <v>0</v>
      </c>
      <c r="AD558" s="135">
        <f>IFERROR(SUM(TblDetailBudget[[#This Row],[2021 Cost (LCU)]])/FX_Rate, "")</f>
        <v>0</v>
      </c>
      <c r="AE558" s="86">
        <f>IFERROR(SUM(TblDetailBudget[[#This Row],[2022 Cost (LCU)]])/FX_Rate, "")</f>
        <v>0</v>
      </c>
      <c r="AF558" s="86">
        <f>IFERROR(SUM(TblDetailBudget[[#This Row],[2023 Cost (LCU)]])/FX_Rate, "")</f>
        <v>0</v>
      </c>
      <c r="AG558" s="86">
        <f>IFERROR(SUM(TblDetailBudget[[#This Row],[2024 Cost (LCU)]])/FX_Rate, "")</f>
        <v>0</v>
      </c>
      <c r="AH558" s="86">
        <f>IFERROR(SUM(TblDetailBudget[[#This Row],[2025 Cost (LCU)]])/FX_Rate, "")</f>
        <v>0</v>
      </c>
      <c r="AI558" s="126">
        <f>SUM(TblDetailBudget[[#This Row],[2021 Cost (USD)]:[2025 Cost (USD)]])</f>
        <v>0</v>
      </c>
      <c r="AJ558" s="180"/>
    </row>
    <row r="559" spans="2:36" ht="12.75" customHeight="1">
      <c r="B559" s="123"/>
      <c r="C5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9" s="85" t="str">
        <f>IF(TblDetailBudget[[#This Row],[Level]]="", "", COUNTIFS($B$8:TblDetailBudget[[#This Row],[Level]], Lvl1Hdr))</f>
        <v/>
      </c>
      <c r="E559" s="85" t="str">
        <f>IF(TblDetailBudget[[#This Row],[Level]]="", "", COUNTIFS($B$8:TblDetailBudget[[#This Row],[Level]], Lvl2Hdr, $D$8:TblDetailBudget[[#This Row],[Lvl 1 Header]], TblDetailBudget[[#This Row],[Lvl 1 Header]]))</f>
        <v/>
      </c>
      <c r="F559" s="85" t="str">
        <f>IF(TblDetailBudget[[#This Row],[Level]]="", "", COUNTIFS($B$8:TblDetailBudget[[#This Row],[Level]], Lvl3Hdr, $D$8:TblDetailBudget[[#This Row],[Lvl 1 Header]], TblDetailBudget[[#This Row],[Lvl 1 Header]], $E$8:TblDetailBudget[[#This Row],[Lvl 2 Header]], TblDetailBudget[[#This Row],[Lvl 2 Header]]))</f>
        <v/>
      </c>
      <c r="G5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9" s="164"/>
      <c r="J559" s="164"/>
      <c r="K559" s="165"/>
      <c r="L559" s="165"/>
      <c r="M559" s="85" t="str">
        <f>IF(TblDetailBudget[[#This Row],[Level]]=LvlBottomHdr, IFERROR(INDEX(TblUnitCost[Unit], MATCH(TblDetailBudget[[#This Row],[Row Title]], TblUnitCost[Resource], 0)), "Invalid Resource"), "")</f>
        <v/>
      </c>
      <c r="N559" s="126" t="str">
        <f>IF(TblDetailBudget[[#This Row],[Level]]=LvlBottomHdr, IFERROR(INDEX(TblUnitCost[LCU], MATCH(TblDetailBudget[[#This Row],[Row Title]], TblUnitCost[Resource], 0)), "Invalid Resource"), "")</f>
        <v/>
      </c>
      <c r="O559" s="130"/>
      <c r="P559" s="109"/>
      <c r="Q559" s="131"/>
      <c r="R559" s="109" t="s">
        <v>66</v>
      </c>
      <c r="S559" s="109" t="s">
        <v>66</v>
      </c>
      <c r="T559" s="109" t="s">
        <v>66</v>
      </c>
      <c r="U559" s="109" t="s">
        <v>66</v>
      </c>
      <c r="V559" s="109" t="s">
        <v>66</v>
      </c>
      <c r="W559" s="126" t="str">
        <f>IF(TblDetailBudget[[#This Row],[Level]]=LvlBottomHdr, IF(SUM(TblDetailBudget[[#This Row],[2021 Quant]:[2025 Quant]])&gt;0, SUM(TblDetailBudget[[#This Row],[2021 Quant]:[2025 Quant]]), ""), "")</f>
        <v/>
      </c>
      <c r="X5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9" s="142">
        <f>SUM(TblDetailBudget[[#This Row],[2021 Cost (LCU)]:[2025 Cost (LCU)]])</f>
        <v>0</v>
      </c>
      <c r="AD559" s="135">
        <f>IFERROR(SUM(TblDetailBudget[[#This Row],[2021 Cost (LCU)]])/FX_Rate, "")</f>
        <v>0</v>
      </c>
      <c r="AE559" s="86">
        <f>IFERROR(SUM(TblDetailBudget[[#This Row],[2022 Cost (LCU)]])/FX_Rate, "")</f>
        <v>0</v>
      </c>
      <c r="AF559" s="86">
        <f>IFERROR(SUM(TblDetailBudget[[#This Row],[2023 Cost (LCU)]])/FX_Rate, "")</f>
        <v>0</v>
      </c>
      <c r="AG559" s="86">
        <f>IFERROR(SUM(TblDetailBudget[[#This Row],[2024 Cost (LCU)]])/FX_Rate, "")</f>
        <v>0</v>
      </c>
      <c r="AH559" s="86">
        <f>IFERROR(SUM(TblDetailBudget[[#This Row],[2025 Cost (LCU)]])/FX_Rate, "")</f>
        <v>0</v>
      </c>
      <c r="AI559" s="126">
        <f>SUM(TblDetailBudget[[#This Row],[2021 Cost (USD)]:[2025 Cost (USD)]])</f>
        <v>0</v>
      </c>
      <c r="AJ559" s="180"/>
    </row>
    <row r="560" spans="2:36" ht="12.75" customHeight="1">
      <c r="B560" s="123"/>
      <c r="C5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0" s="85" t="str">
        <f>IF(TblDetailBudget[[#This Row],[Level]]="", "", COUNTIFS($B$8:TblDetailBudget[[#This Row],[Level]], Lvl1Hdr))</f>
        <v/>
      </c>
      <c r="E560" s="85" t="str">
        <f>IF(TblDetailBudget[[#This Row],[Level]]="", "", COUNTIFS($B$8:TblDetailBudget[[#This Row],[Level]], Lvl2Hdr, $D$8:TblDetailBudget[[#This Row],[Lvl 1 Header]], TblDetailBudget[[#This Row],[Lvl 1 Header]]))</f>
        <v/>
      </c>
      <c r="F560" s="85" t="str">
        <f>IF(TblDetailBudget[[#This Row],[Level]]="", "", COUNTIFS($B$8:TblDetailBudget[[#This Row],[Level]], Lvl3Hdr, $D$8:TblDetailBudget[[#This Row],[Lvl 1 Header]], TblDetailBudget[[#This Row],[Lvl 1 Header]], $E$8:TblDetailBudget[[#This Row],[Lvl 2 Header]], TblDetailBudget[[#This Row],[Lvl 2 Header]]))</f>
        <v/>
      </c>
      <c r="G5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0" s="164"/>
      <c r="J560" s="164"/>
      <c r="K560" s="165"/>
      <c r="L560" s="165"/>
      <c r="M560" s="85" t="str">
        <f>IF(TblDetailBudget[[#This Row],[Level]]=LvlBottomHdr, IFERROR(INDEX(TblUnitCost[Unit], MATCH(TblDetailBudget[[#This Row],[Row Title]], TblUnitCost[Resource], 0)), "Invalid Resource"), "")</f>
        <v/>
      </c>
      <c r="N560" s="126" t="str">
        <f>IF(TblDetailBudget[[#This Row],[Level]]=LvlBottomHdr, IFERROR(INDEX(TblUnitCost[LCU], MATCH(TblDetailBudget[[#This Row],[Row Title]], TblUnitCost[Resource], 0)), "Invalid Resource"), "")</f>
        <v/>
      </c>
      <c r="O560" s="130"/>
      <c r="P560" s="109"/>
      <c r="Q560" s="131"/>
      <c r="R560" s="109" t="s">
        <v>66</v>
      </c>
      <c r="S560" s="109" t="s">
        <v>66</v>
      </c>
      <c r="T560" s="109" t="s">
        <v>66</v>
      </c>
      <c r="U560" s="109" t="s">
        <v>66</v>
      </c>
      <c r="V560" s="109" t="s">
        <v>66</v>
      </c>
      <c r="W560" s="126" t="str">
        <f>IF(TblDetailBudget[[#This Row],[Level]]=LvlBottomHdr, IF(SUM(TblDetailBudget[[#This Row],[2021 Quant]:[2025 Quant]])&gt;0, SUM(TblDetailBudget[[#This Row],[2021 Quant]:[2025 Quant]]), ""), "")</f>
        <v/>
      </c>
      <c r="X5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0" s="142">
        <f>SUM(TblDetailBudget[[#This Row],[2021 Cost (LCU)]:[2025 Cost (LCU)]])</f>
        <v>0</v>
      </c>
      <c r="AD560" s="135">
        <f>IFERROR(SUM(TblDetailBudget[[#This Row],[2021 Cost (LCU)]])/FX_Rate, "")</f>
        <v>0</v>
      </c>
      <c r="AE560" s="86">
        <f>IFERROR(SUM(TblDetailBudget[[#This Row],[2022 Cost (LCU)]])/FX_Rate, "")</f>
        <v>0</v>
      </c>
      <c r="AF560" s="86">
        <f>IFERROR(SUM(TblDetailBudget[[#This Row],[2023 Cost (LCU)]])/FX_Rate, "")</f>
        <v>0</v>
      </c>
      <c r="AG560" s="86">
        <f>IFERROR(SUM(TblDetailBudget[[#This Row],[2024 Cost (LCU)]])/FX_Rate, "")</f>
        <v>0</v>
      </c>
      <c r="AH560" s="86">
        <f>IFERROR(SUM(TblDetailBudget[[#This Row],[2025 Cost (LCU)]])/FX_Rate, "")</f>
        <v>0</v>
      </c>
      <c r="AI560" s="126">
        <f>SUM(TblDetailBudget[[#This Row],[2021 Cost (USD)]:[2025 Cost (USD)]])</f>
        <v>0</v>
      </c>
      <c r="AJ560" s="180"/>
    </row>
    <row r="561" spans="2:36" ht="12.75" customHeight="1">
      <c r="B561" s="123"/>
      <c r="C5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1" s="85" t="str">
        <f>IF(TblDetailBudget[[#This Row],[Level]]="", "", COUNTIFS($B$8:TblDetailBudget[[#This Row],[Level]], Lvl1Hdr))</f>
        <v/>
      </c>
      <c r="E561" s="85" t="str">
        <f>IF(TblDetailBudget[[#This Row],[Level]]="", "", COUNTIFS($B$8:TblDetailBudget[[#This Row],[Level]], Lvl2Hdr, $D$8:TblDetailBudget[[#This Row],[Lvl 1 Header]], TblDetailBudget[[#This Row],[Lvl 1 Header]]))</f>
        <v/>
      </c>
      <c r="F561" s="85" t="str">
        <f>IF(TblDetailBudget[[#This Row],[Level]]="", "", COUNTIFS($B$8:TblDetailBudget[[#This Row],[Level]], Lvl3Hdr, $D$8:TblDetailBudget[[#This Row],[Lvl 1 Header]], TblDetailBudget[[#This Row],[Lvl 1 Header]], $E$8:TblDetailBudget[[#This Row],[Lvl 2 Header]], TblDetailBudget[[#This Row],[Lvl 2 Header]]))</f>
        <v/>
      </c>
      <c r="G5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1" s="164"/>
      <c r="J561" s="164"/>
      <c r="K561" s="165"/>
      <c r="L561" s="165"/>
      <c r="M561" s="85" t="str">
        <f>IF(TblDetailBudget[[#This Row],[Level]]=LvlBottomHdr, IFERROR(INDEX(TblUnitCost[Unit], MATCH(TblDetailBudget[[#This Row],[Row Title]], TblUnitCost[Resource], 0)), "Invalid Resource"), "")</f>
        <v/>
      </c>
      <c r="N561" s="126" t="str">
        <f>IF(TblDetailBudget[[#This Row],[Level]]=LvlBottomHdr, IFERROR(INDEX(TblUnitCost[LCU], MATCH(TblDetailBudget[[#This Row],[Row Title]], TblUnitCost[Resource], 0)), "Invalid Resource"), "")</f>
        <v/>
      </c>
      <c r="O561" s="130"/>
      <c r="P561" s="109"/>
      <c r="Q561" s="131"/>
      <c r="R561" s="109" t="s">
        <v>66</v>
      </c>
      <c r="S561" s="109" t="s">
        <v>66</v>
      </c>
      <c r="T561" s="109" t="s">
        <v>66</v>
      </c>
      <c r="U561" s="109" t="s">
        <v>66</v>
      </c>
      <c r="V561" s="109" t="s">
        <v>66</v>
      </c>
      <c r="W561" s="126" t="str">
        <f>IF(TblDetailBudget[[#This Row],[Level]]=LvlBottomHdr, IF(SUM(TblDetailBudget[[#This Row],[2021 Quant]:[2025 Quant]])&gt;0, SUM(TblDetailBudget[[#This Row],[2021 Quant]:[2025 Quant]]), ""), "")</f>
        <v/>
      </c>
      <c r="X5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1" s="142">
        <f>SUM(TblDetailBudget[[#This Row],[2021 Cost (LCU)]:[2025 Cost (LCU)]])</f>
        <v>0</v>
      </c>
      <c r="AD561" s="135">
        <f>IFERROR(SUM(TblDetailBudget[[#This Row],[2021 Cost (LCU)]])/FX_Rate, "")</f>
        <v>0</v>
      </c>
      <c r="AE561" s="86">
        <f>IFERROR(SUM(TblDetailBudget[[#This Row],[2022 Cost (LCU)]])/FX_Rate, "")</f>
        <v>0</v>
      </c>
      <c r="AF561" s="86">
        <f>IFERROR(SUM(TblDetailBudget[[#This Row],[2023 Cost (LCU)]])/FX_Rate, "")</f>
        <v>0</v>
      </c>
      <c r="AG561" s="86">
        <f>IFERROR(SUM(TblDetailBudget[[#This Row],[2024 Cost (LCU)]])/FX_Rate, "")</f>
        <v>0</v>
      </c>
      <c r="AH561" s="86">
        <f>IFERROR(SUM(TblDetailBudget[[#This Row],[2025 Cost (LCU)]])/FX_Rate, "")</f>
        <v>0</v>
      </c>
      <c r="AI561" s="126">
        <f>SUM(TblDetailBudget[[#This Row],[2021 Cost (USD)]:[2025 Cost (USD)]])</f>
        <v>0</v>
      </c>
      <c r="AJ561" s="180"/>
    </row>
    <row r="562" spans="2:36" ht="12.75" customHeight="1">
      <c r="B562" s="123"/>
      <c r="C5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2" s="85" t="str">
        <f>IF(TblDetailBudget[[#This Row],[Level]]="", "", COUNTIFS($B$8:TblDetailBudget[[#This Row],[Level]], Lvl1Hdr))</f>
        <v/>
      </c>
      <c r="E562" s="85" t="str">
        <f>IF(TblDetailBudget[[#This Row],[Level]]="", "", COUNTIFS($B$8:TblDetailBudget[[#This Row],[Level]], Lvl2Hdr, $D$8:TblDetailBudget[[#This Row],[Lvl 1 Header]], TblDetailBudget[[#This Row],[Lvl 1 Header]]))</f>
        <v/>
      </c>
      <c r="F562" s="85" t="str">
        <f>IF(TblDetailBudget[[#This Row],[Level]]="", "", COUNTIFS($B$8:TblDetailBudget[[#This Row],[Level]], Lvl3Hdr, $D$8:TblDetailBudget[[#This Row],[Lvl 1 Header]], TblDetailBudget[[#This Row],[Lvl 1 Header]], $E$8:TblDetailBudget[[#This Row],[Lvl 2 Header]], TblDetailBudget[[#This Row],[Lvl 2 Header]]))</f>
        <v/>
      </c>
      <c r="G5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2" s="164"/>
      <c r="J562" s="164"/>
      <c r="K562" s="165"/>
      <c r="L562" s="165"/>
      <c r="M562" s="85" t="str">
        <f>IF(TblDetailBudget[[#This Row],[Level]]=LvlBottomHdr, IFERROR(INDEX(TblUnitCost[Unit], MATCH(TblDetailBudget[[#This Row],[Row Title]], TblUnitCost[Resource], 0)), "Invalid Resource"), "")</f>
        <v/>
      </c>
      <c r="N562" s="126" t="str">
        <f>IF(TblDetailBudget[[#This Row],[Level]]=LvlBottomHdr, IFERROR(INDEX(TblUnitCost[LCU], MATCH(TblDetailBudget[[#This Row],[Row Title]], TblUnitCost[Resource], 0)), "Invalid Resource"), "")</f>
        <v/>
      </c>
      <c r="O562" s="130"/>
      <c r="P562" s="109"/>
      <c r="Q562" s="131"/>
      <c r="R562" s="109" t="s">
        <v>66</v>
      </c>
      <c r="S562" s="109" t="s">
        <v>66</v>
      </c>
      <c r="T562" s="109" t="s">
        <v>66</v>
      </c>
      <c r="U562" s="109" t="s">
        <v>66</v>
      </c>
      <c r="V562" s="109" t="s">
        <v>66</v>
      </c>
      <c r="W562" s="126" t="str">
        <f>IF(TblDetailBudget[[#This Row],[Level]]=LvlBottomHdr, IF(SUM(TblDetailBudget[[#This Row],[2021 Quant]:[2025 Quant]])&gt;0, SUM(TblDetailBudget[[#This Row],[2021 Quant]:[2025 Quant]]), ""), "")</f>
        <v/>
      </c>
      <c r="X5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2" s="142">
        <f>SUM(TblDetailBudget[[#This Row],[2021 Cost (LCU)]:[2025 Cost (LCU)]])</f>
        <v>0</v>
      </c>
      <c r="AD562" s="135">
        <f>IFERROR(SUM(TblDetailBudget[[#This Row],[2021 Cost (LCU)]])/FX_Rate, "")</f>
        <v>0</v>
      </c>
      <c r="AE562" s="86">
        <f>IFERROR(SUM(TblDetailBudget[[#This Row],[2022 Cost (LCU)]])/FX_Rate, "")</f>
        <v>0</v>
      </c>
      <c r="AF562" s="86">
        <f>IFERROR(SUM(TblDetailBudget[[#This Row],[2023 Cost (LCU)]])/FX_Rate, "")</f>
        <v>0</v>
      </c>
      <c r="AG562" s="86">
        <f>IFERROR(SUM(TblDetailBudget[[#This Row],[2024 Cost (LCU)]])/FX_Rate, "")</f>
        <v>0</v>
      </c>
      <c r="AH562" s="86">
        <f>IFERROR(SUM(TblDetailBudget[[#This Row],[2025 Cost (LCU)]])/FX_Rate, "")</f>
        <v>0</v>
      </c>
      <c r="AI562" s="126">
        <f>SUM(TblDetailBudget[[#This Row],[2021 Cost (USD)]:[2025 Cost (USD)]])</f>
        <v>0</v>
      </c>
      <c r="AJ562" s="180"/>
    </row>
    <row r="563" spans="2:36" ht="12.75" customHeight="1">
      <c r="B563" s="123"/>
      <c r="C5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3" s="85" t="str">
        <f>IF(TblDetailBudget[[#This Row],[Level]]="", "", COUNTIFS($B$8:TblDetailBudget[[#This Row],[Level]], Lvl1Hdr))</f>
        <v/>
      </c>
      <c r="E563" s="85" t="str">
        <f>IF(TblDetailBudget[[#This Row],[Level]]="", "", COUNTIFS($B$8:TblDetailBudget[[#This Row],[Level]], Lvl2Hdr, $D$8:TblDetailBudget[[#This Row],[Lvl 1 Header]], TblDetailBudget[[#This Row],[Lvl 1 Header]]))</f>
        <v/>
      </c>
      <c r="F563" s="85" t="str">
        <f>IF(TblDetailBudget[[#This Row],[Level]]="", "", COUNTIFS($B$8:TblDetailBudget[[#This Row],[Level]], Lvl3Hdr, $D$8:TblDetailBudget[[#This Row],[Lvl 1 Header]], TblDetailBudget[[#This Row],[Lvl 1 Header]], $E$8:TblDetailBudget[[#This Row],[Lvl 2 Header]], TblDetailBudget[[#This Row],[Lvl 2 Header]]))</f>
        <v/>
      </c>
      <c r="G5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3" s="164"/>
      <c r="J563" s="164"/>
      <c r="K563" s="165"/>
      <c r="L563" s="165"/>
      <c r="M563" s="85" t="str">
        <f>IF(TblDetailBudget[[#This Row],[Level]]=LvlBottomHdr, IFERROR(INDEX(TblUnitCost[Unit], MATCH(TblDetailBudget[[#This Row],[Row Title]], TblUnitCost[Resource], 0)), "Invalid Resource"), "")</f>
        <v/>
      </c>
      <c r="N563" s="126" t="str">
        <f>IF(TblDetailBudget[[#This Row],[Level]]=LvlBottomHdr, IFERROR(INDEX(TblUnitCost[LCU], MATCH(TblDetailBudget[[#This Row],[Row Title]], TblUnitCost[Resource], 0)), "Invalid Resource"), "")</f>
        <v/>
      </c>
      <c r="O563" s="130"/>
      <c r="P563" s="109"/>
      <c r="Q563" s="131"/>
      <c r="R563" s="109" t="s">
        <v>66</v>
      </c>
      <c r="S563" s="109" t="s">
        <v>66</v>
      </c>
      <c r="T563" s="109" t="s">
        <v>66</v>
      </c>
      <c r="U563" s="109" t="s">
        <v>66</v>
      </c>
      <c r="V563" s="109" t="s">
        <v>66</v>
      </c>
      <c r="W563" s="126" t="str">
        <f>IF(TblDetailBudget[[#This Row],[Level]]=LvlBottomHdr, IF(SUM(TblDetailBudget[[#This Row],[2021 Quant]:[2025 Quant]])&gt;0, SUM(TblDetailBudget[[#This Row],[2021 Quant]:[2025 Quant]]), ""), "")</f>
        <v/>
      </c>
      <c r="X5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3" s="142">
        <f>SUM(TblDetailBudget[[#This Row],[2021 Cost (LCU)]:[2025 Cost (LCU)]])</f>
        <v>0</v>
      </c>
      <c r="AD563" s="135">
        <f>IFERROR(SUM(TblDetailBudget[[#This Row],[2021 Cost (LCU)]])/FX_Rate, "")</f>
        <v>0</v>
      </c>
      <c r="AE563" s="86">
        <f>IFERROR(SUM(TblDetailBudget[[#This Row],[2022 Cost (LCU)]])/FX_Rate, "")</f>
        <v>0</v>
      </c>
      <c r="AF563" s="86">
        <f>IFERROR(SUM(TblDetailBudget[[#This Row],[2023 Cost (LCU)]])/FX_Rate, "")</f>
        <v>0</v>
      </c>
      <c r="AG563" s="86">
        <f>IFERROR(SUM(TblDetailBudget[[#This Row],[2024 Cost (LCU)]])/FX_Rate, "")</f>
        <v>0</v>
      </c>
      <c r="AH563" s="86">
        <f>IFERROR(SUM(TblDetailBudget[[#This Row],[2025 Cost (LCU)]])/FX_Rate, "")</f>
        <v>0</v>
      </c>
      <c r="AI563" s="126">
        <f>SUM(TblDetailBudget[[#This Row],[2021 Cost (USD)]:[2025 Cost (USD)]])</f>
        <v>0</v>
      </c>
      <c r="AJ563" s="180"/>
    </row>
    <row r="564" spans="2:36" ht="12.75" customHeight="1">
      <c r="B564" s="123"/>
      <c r="C5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4" s="85" t="str">
        <f>IF(TblDetailBudget[[#This Row],[Level]]="", "", COUNTIFS($B$8:TblDetailBudget[[#This Row],[Level]], Lvl1Hdr))</f>
        <v/>
      </c>
      <c r="E564" s="85" t="str">
        <f>IF(TblDetailBudget[[#This Row],[Level]]="", "", COUNTIFS($B$8:TblDetailBudget[[#This Row],[Level]], Lvl2Hdr, $D$8:TblDetailBudget[[#This Row],[Lvl 1 Header]], TblDetailBudget[[#This Row],[Lvl 1 Header]]))</f>
        <v/>
      </c>
      <c r="F564" s="85" t="str">
        <f>IF(TblDetailBudget[[#This Row],[Level]]="", "", COUNTIFS($B$8:TblDetailBudget[[#This Row],[Level]], Lvl3Hdr, $D$8:TblDetailBudget[[#This Row],[Lvl 1 Header]], TblDetailBudget[[#This Row],[Lvl 1 Header]], $E$8:TblDetailBudget[[#This Row],[Lvl 2 Header]], TblDetailBudget[[#This Row],[Lvl 2 Header]]))</f>
        <v/>
      </c>
      <c r="G5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4" s="164"/>
      <c r="J564" s="164"/>
      <c r="K564" s="165"/>
      <c r="L564" s="165"/>
      <c r="M564" s="85" t="str">
        <f>IF(TblDetailBudget[[#This Row],[Level]]=LvlBottomHdr, IFERROR(INDEX(TblUnitCost[Unit], MATCH(TblDetailBudget[[#This Row],[Row Title]], TblUnitCost[Resource], 0)), "Invalid Resource"), "")</f>
        <v/>
      </c>
      <c r="N564" s="126" t="str">
        <f>IF(TblDetailBudget[[#This Row],[Level]]=LvlBottomHdr, IFERROR(INDEX(TblUnitCost[LCU], MATCH(TblDetailBudget[[#This Row],[Row Title]], TblUnitCost[Resource], 0)), "Invalid Resource"), "")</f>
        <v/>
      </c>
      <c r="O564" s="130"/>
      <c r="P564" s="109"/>
      <c r="Q564" s="131"/>
      <c r="R564" s="109" t="s">
        <v>66</v>
      </c>
      <c r="S564" s="109" t="s">
        <v>66</v>
      </c>
      <c r="T564" s="109" t="s">
        <v>66</v>
      </c>
      <c r="U564" s="109" t="s">
        <v>66</v>
      </c>
      <c r="V564" s="109" t="s">
        <v>66</v>
      </c>
      <c r="W564" s="126" t="str">
        <f>IF(TblDetailBudget[[#This Row],[Level]]=LvlBottomHdr, IF(SUM(TblDetailBudget[[#This Row],[2021 Quant]:[2025 Quant]])&gt;0, SUM(TblDetailBudget[[#This Row],[2021 Quant]:[2025 Quant]]), ""), "")</f>
        <v/>
      </c>
      <c r="X5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4" s="142">
        <f>SUM(TblDetailBudget[[#This Row],[2021 Cost (LCU)]:[2025 Cost (LCU)]])</f>
        <v>0</v>
      </c>
      <c r="AD564" s="135">
        <f>IFERROR(SUM(TblDetailBudget[[#This Row],[2021 Cost (LCU)]])/FX_Rate, "")</f>
        <v>0</v>
      </c>
      <c r="AE564" s="86">
        <f>IFERROR(SUM(TblDetailBudget[[#This Row],[2022 Cost (LCU)]])/FX_Rate, "")</f>
        <v>0</v>
      </c>
      <c r="AF564" s="86">
        <f>IFERROR(SUM(TblDetailBudget[[#This Row],[2023 Cost (LCU)]])/FX_Rate, "")</f>
        <v>0</v>
      </c>
      <c r="AG564" s="86">
        <f>IFERROR(SUM(TblDetailBudget[[#This Row],[2024 Cost (LCU)]])/FX_Rate, "")</f>
        <v>0</v>
      </c>
      <c r="AH564" s="86">
        <f>IFERROR(SUM(TblDetailBudget[[#This Row],[2025 Cost (LCU)]])/FX_Rate, "")</f>
        <v>0</v>
      </c>
      <c r="AI564" s="126">
        <f>SUM(TblDetailBudget[[#This Row],[2021 Cost (USD)]:[2025 Cost (USD)]])</f>
        <v>0</v>
      </c>
      <c r="AJ564" s="180"/>
    </row>
    <row r="565" spans="2:36" ht="12.75" customHeight="1">
      <c r="B565" s="123"/>
      <c r="C5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5" s="85" t="str">
        <f>IF(TblDetailBudget[[#This Row],[Level]]="", "", COUNTIFS($B$8:TblDetailBudget[[#This Row],[Level]], Lvl1Hdr))</f>
        <v/>
      </c>
      <c r="E565" s="85" t="str">
        <f>IF(TblDetailBudget[[#This Row],[Level]]="", "", COUNTIFS($B$8:TblDetailBudget[[#This Row],[Level]], Lvl2Hdr, $D$8:TblDetailBudget[[#This Row],[Lvl 1 Header]], TblDetailBudget[[#This Row],[Lvl 1 Header]]))</f>
        <v/>
      </c>
      <c r="F565" s="85" t="str">
        <f>IF(TblDetailBudget[[#This Row],[Level]]="", "", COUNTIFS($B$8:TblDetailBudget[[#This Row],[Level]], Lvl3Hdr, $D$8:TblDetailBudget[[#This Row],[Lvl 1 Header]], TblDetailBudget[[#This Row],[Lvl 1 Header]], $E$8:TblDetailBudget[[#This Row],[Lvl 2 Header]], TblDetailBudget[[#This Row],[Lvl 2 Header]]))</f>
        <v/>
      </c>
      <c r="G5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5" s="164"/>
      <c r="J565" s="164"/>
      <c r="K565" s="165"/>
      <c r="L565" s="165"/>
      <c r="M565" s="85" t="str">
        <f>IF(TblDetailBudget[[#This Row],[Level]]=LvlBottomHdr, IFERROR(INDEX(TblUnitCost[Unit], MATCH(TblDetailBudget[[#This Row],[Row Title]], TblUnitCost[Resource], 0)), "Invalid Resource"), "")</f>
        <v/>
      </c>
      <c r="N565" s="126" t="str">
        <f>IF(TblDetailBudget[[#This Row],[Level]]=LvlBottomHdr, IFERROR(INDEX(TblUnitCost[LCU], MATCH(TblDetailBudget[[#This Row],[Row Title]], TblUnitCost[Resource], 0)), "Invalid Resource"), "")</f>
        <v/>
      </c>
      <c r="O565" s="130"/>
      <c r="P565" s="109"/>
      <c r="Q565" s="131"/>
      <c r="R565" s="109" t="s">
        <v>66</v>
      </c>
      <c r="S565" s="109" t="s">
        <v>66</v>
      </c>
      <c r="T565" s="109" t="s">
        <v>66</v>
      </c>
      <c r="U565" s="109" t="s">
        <v>66</v>
      </c>
      <c r="V565" s="109" t="s">
        <v>66</v>
      </c>
      <c r="W565" s="126" t="str">
        <f>IF(TblDetailBudget[[#This Row],[Level]]=LvlBottomHdr, IF(SUM(TblDetailBudget[[#This Row],[2021 Quant]:[2025 Quant]])&gt;0, SUM(TblDetailBudget[[#This Row],[2021 Quant]:[2025 Quant]]), ""), "")</f>
        <v/>
      </c>
      <c r="X5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5" s="142">
        <f>SUM(TblDetailBudget[[#This Row],[2021 Cost (LCU)]:[2025 Cost (LCU)]])</f>
        <v>0</v>
      </c>
      <c r="AD565" s="135">
        <f>IFERROR(SUM(TblDetailBudget[[#This Row],[2021 Cost (LCU)]])/FX_Rate, "")</f>
        <v>0</v>
      </c>
      <c r="AE565" s="86">
        <f>IFERROR(SUM(TblDetailBudget[[#This Row],[2022 Cost (LCU)]])/FX_Rate, "")</f>
        <v>0</v>
      </c>
      <c r="AF565" s="86">
        <f>IFERROR(SUM(TblDetailBudget[[#This Row],[2023 Cost (LCU)]])/FX_Rate, "")</f>
        <v>0</v>
      </c>
      <c r="AG565" s="86">
        <f>IFERROR(SUM(TblDetailBudget[[#This Row],[2024 Cost (LCU)]])/FX_Rate, "")</f>
        <v>0</v>
      </c>
      <c r="AH565" s="86">
        <f>IFERROR(SUM(TblDetailBudget[[#This Row],[2025 Cost (LCU)]])/FX_Rate, "")</f>
        <v>0</v>
      </c>
      <c r="AI565" s="126">
        <f>SUM(TblDetailBudget[[#This Row],[2021 Cost (USD)]:[2025 Cost (USD)]])</f>
        <v>0</v>
      </c>
      <c r="AJ565" s="180"/>
    </row>
    <row r="566" spans="2:36" ht="12.75" customHeight="1">
      <c r="B566" s="123"/>
      <c r="C5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6" s="85" t="str">
        <f>IF(TblDetailBudget[[#This Row],[Level]]="", "", COUNTIFS($B$8:TblDetailBudget[[#This Row],[Level]], Lvl1Hdr))</f>
        <v/>
      </c>
      <c r="E566" s="85" t="str">
        <f>IF(TblDetailBudget[[#This Row],[Level]]="", "", COUNTIFS($B$8:TblDetailBudget[[#This Row],[Level]], Lvl2Hdr, $D$8:TblDetailBudget[[#This Row],[Lvl 1 Header]], TblDetailBudget[[#This Row],[Lvl 1 Header]]))</f>
        <v/>
      </c>
      <c r="F566" s="85" t="str">
        <f>IF(TblDetailBudget[[#This Row],[Level]]="", "", COUNTIFS($B$8:TblDetailBudget[[#This Row],[Level]], Lvl3Hdr, $D$8:TblDetailBudget[[#This Row],[Lvl 1 Header]], TblDetailBudget[[#This Row],[Lvl 1 Header]], $E$8:TblDetailBudget[[#This Row],[Lvl 2 Header]], TblDetailBudget[[#This Row],[Lvl 2 Header]]))</f>
        <v/>
      </c>
      <c r="G5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6" s="164"/>
      <c r="J566" s="164"/>
      <c r="K566" s="165"/>
      <c r="L566" s="165"/>
      <c r="M566" s="85" t="str">
        <f>IF(TblDetailBudget[[#This Row],[Level]]=LvlBottomHdr, IFERROR(INDEX(TblUnitCost[Unit], MATCH(TblDetailBudget[[#This Row],[Row Title]], TblUnitCost[Resource], 0)), "Invalid Resource"), "")</f>
        <v/>
      </c>
      <c r="N566" s="126" t="str">
        <f>IF(TblDetailBudget[[#This Row],[Level]]=LvlBottomHdr, IFERROR(INDEX(TblUnitCost[LCU], MATCH(TblDetailBudget[[#This Row],[Row Title]], TblUnitCost[Resource], 0)), "Invalid Resource"), "")</f>
        <v/>
      </c>
      <c r="O566" s="130"/>
      <c r="P566" s="109"/>
      <c r="Q566" s="131"/>
      <c r="R566" s="109" t="s">
        <v>66</v>
      </c>
      <c r="S566" s="109" t="s">
        <v>66</v>
      </c>
      <c r="T566" s="109" t="s">
        <v>66</v>
      </c>
      <c r="U566" s="109" t="s">
        <v>66</v>
      </c>
      <c r="V566" s="109" t="s">
        <v>66</v>
      </c>
      <c r="W566" s="126" t="str">
        <f>IF(TblDetailBudget[[#This Row],[Level]]=LvlBottomHdr, IF(SUM(TblDetailBudget[[#This Row],[2021 Quant]:[2025 Quant]])&gt;0, SUM(TblDetailBudget[[#This Row],[2021 Quant]:[2025 Quant]]), ""), "")</f>
        <v/>
      </c>
      <c r="X5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6" s="142">
        <f>SUM(TblDetailBudget[[#This Row],[2021 Cost (LCU)]:[2025 Cost (LCU)]])</f>
        <v>0</v>
      </c>
      <c r="AD566" s="135">
        <f>IFERROR(SUM(TblDetailBudget[[#This Row],[2021 Cost (LCU)]])/FX_Rate, "")</f>
        <v>0</v>
      </c>
      <c r="AE566" s="86">
        <f>IFERROR(SUM(TblDetailBudget[[#This Row],[2022 Cost (LCU)]])/FX_Rate, "")</f>
        <v>0</v>
      </c>
      <c r="AF566" s="86">
        <f>IFERROR(SUM(TblDetailBudget[[#This Row],[2023 Cost (LCU)]])/FX_Rate, "")</f>
        <v>0</v>
      </c>
      <c r="AG566" s="86">
        <f>IFERROR(SUM(TblDetailBudget[[#This Row],[2024 Cost (LCU)]])/FX_Rate, "")</f>
        <v>0</v>
      </c>
      <c r="AH566" s="86">
        <f>IFERROR(SUM(TblDetailBudget[[#This Row],[2025 Cost (LCU)]])/FX_Rate, "")</f>
        <v>0</v>
      </c>
      <c r="AI566" s="126">
        <f>SUM(TblDetailBudget[[#This Row],[2021 Cost (USD)]:[2025 Cost (USD)]])</f>
        <v>0</v>
      </c>
      <c r="AJ566" s="180"/>
    </row>
    <row r="567" spans="2:36" ht="12.75" customHeight="1">
      <c r="B567" s="123"/>
      <c r="C5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7" s="85" t="str">
        <f>IF(TblDetailBudget[[#This Row],[Level]]="", "", COUNTIFS($B$8:TblDetailBudget[[#This Row],[Level]], Lvl1Hdr))</f>
        <v/>
      </c>
      <c r="E567" s="85" t="str">
        <f>IF(TblDetailBudget[[#This Row],[Level]]="", "", COUNTIFS($B$8:TblDetailBudget[[#This Row],[Level]], Lvl2Hdr, $D$8:TblDetailBudget[[#This Row],[Lvl 1 Header]], TblDetailBudget[[#This Row],[Lvl 1 Header]]))</f>
        <v/>
      </c>
      <c r="F567" s="85" t="str">
        <f>IF(TblDetailBudget[[#This Row],[Level]]="", "", COUNTIFS($B$8:TblDetailBudget[[#This Row],[Level]], Lvl3Hdr, $D$8:TblDetailBudget[[#This Row],[Lvl 1 Header]], TblDetailBudget[[#This Row],[Lvl 1 Header]], $E$8:TblDetailBudget[[#This Row],[Lvl 2 Header]], TblDetailBudget[[#This Row],[Lvl 2 Header]]))</f>
        <v/>
      </c>
      <c r="G5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7" s="164"/>
      <c r="J567" s="164"/>
      <c r="K567" s="165"/>
      <c r="L567" s="165"/>
      <c r="M567" s="85" t="str">
        <f>IF(TblDetailBudget[[#This Row],[Level]]=LvlBottomHdr, IFERROR(INDEX(TblUnitCost[Unit], MATCH(TblDetailBudget[[#This Row],[Row Title]], TblUnitCost[Resource], 0)), "Invalid Resource"), "")</f>
        <v/>
      </c>
      <c r="N567" s="126" t="str">
        <f>IF(TblDetailBudget[[#This Row],[Level]]=LvlBottomHdr, IFERROR(INDEX(TblUnitCost[LCU], MATCH(TblDetailBudget[[#This Row],[Row Title]], TblUnitCost[Resource], 0)), "Invalid Resource"), "")</f>
        <v/>
      </c>
      <c r="O567" s="130"/>
      <c r="P567" s="109"/>
      <c r="Q567" s="131"/>
      <c r="R567" s="109" t="s">
        <v>66</v>
      </c>
      <c r="S567" s="109" t="s">
        <v>66</v>
      </c>
      <c r="T567" s="109" t="s">
        <v>66</v>
      </c>
      <c r="U567" s="109" t="s">
        <v>66</v>
      </c>
      <c r="V567" s="109" t="s">
        <v>66</v>
      </c>
      <c r="W567" s="126" t="str">
        <f>IF(TblDetailBudget[[#This Row],[Level]]=LvlBottomHdr, IF(SUM(TblDetailBudget[[#This Row],[2021 Quant]:[2025 Quant]])&gt;0, SUM(TblDetailBudget[[#This Row],[2021 Quant]:[2025 Quant]]), ""), "")</f>
        <v/>
      </c>
      <c r="X5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7" s="142">
        <f>SUM(TblDetailBudget[[#This Row],[2021 Cost (LCU)]:[2025 Cost (LCU)]])</f>
        <v>0</v>
      </c>
      <c r="AD567" s="135">
        <f>IFERROR(SUM(TblDetailBudget[[#This Row],[2021 Cost (LCU)]])/FX_Rate, "")</f>
        <v>0</v>
      </c>
      <c r="AE567" s="86">
        <f>IFERROR(SUM(TblDetailBudget[[#This Row],[2022 Cost (LCU)]])/FX_Rate, "")</f>
        <v>0</v>
      </c>
      <c r="AF567" s="86">
        <f>IFERROR(SUM(TblDetailBudget[[#This Row],[2023 Cost (LCU)]])/FX_Rate, "")</f>
        <v>0</v>
      </c>
      <c r="AG567" s="86">
        <f>IFERROR(SUM(TblDetailBudget[[#This Row],[2024 Cost (LCU)]])/FX_Rate, "")</f>
        <v>0</v>
      </c>
      <c r="AH567" s="86">
        <f>IFERROR(SUM(TblDetailBudget[[#This Row],[2025 Cost (LCU)]])/FX_Rate, "")</f>
        <v>0</v>
      </c>
      <c r="AI567" s="126">
        <f>SUM(TblDetailBudget[[#This Row],[2021 Cost (USD)]:[2025 Cost (USD)]])</f>
        <v>0</v>
      </c>
      <c r="AJ567" s="180"/>
    </row>
    <row r="568" spans="2:36" ht="12.75" customHeight="1">
      <c r="B568" s="123"/>
      <c r="C5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8" s="85" t="str">
        <f>IF(TblDetailBudget[[#This Row],[Level]]="", "", COUNTIFS($B$8:TblDetailBudget[[#This Row],[Level]], Lvl1Hdr))</f>
        <v/>
      </c>
      <c r="E568" s="85" t="str">
        <f>IF(TblDetailBudget[[#This Row],[Level]]="", "", COUNTIFS($B$8:TblDetailBudget[[#This Row],[Level]], Lvl2Hdr, $D$8:TblDetailBudget[[#This Row],[Lvl 1 Header]], TblDetailBudget[[#This Row],[Lvl 1 Header]]))</f>
        <v/>
      </c>
      <c r="F568" s="85" t="str">
        <f>IF(TblDetailBudget[[#This Row],[Level]]="", "", COUNTIFS($B$8:TblDetailBudget[[#This Row],[Level]], Lvl3Hdr, $D$8:TblDetailBudget[[#This Row],[Lvl 1 Header]], TblDetailBudget[[#This Row],[Lvl 1 Header]], $E$8:TblDetailBudget[[#This Row],[Lvl 2 Header]], TblDetailBudget[[#This Row],[Lvl 2 Header]]))</f>
        <v/>
      </c>
      <c r="G5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8" s="164"/>
      <c r="J568" s="164"/>
      <c r="K568" s="165"/>
      <c r="L568" s="165"/>
      <c r="M568" s="85" t="str">
        <f>IF(TblDetailBudget[[#This Row],[Level]]=LvlBottomHdr, IFERROR(INDEX(TblUnitCost[Unit], MATCH(TblDetailBudget[[#This Row],[Row Title]], TblUnitCost[Resource], 0)), "Invalid Resource"), "")</f>
        <v/>
      </c>
      <c r="N568" s="126" t="str">
        <f>IF(TblDetailBudget[[#This Row],[Level]]=LvlBottomHdr, IFERROR(INDEX(TblUnitCost[LCU], MATCH(TblDetailBudget[[#This Row],[Row Title]], TblUnitCost[Resource], 0)), "Invalid Resource"), "")</f>
        <v/>
      </c>
      <c r="O568" s="130"/>
      <c r="P568" s="109"/>
      <c r="Q568" s="131"/>
      <c r="R568" s="109" t="s">
        <v>66</v>
      </c>
      <c r="S568" s="109" t="s">
        <v>66</v>
      </c>
      <c r="T568" s="109" t="s">
        <v>66</v>
      </c>
      <c r="U568" s="109" t="s">
        <v>66</v>
      </c>
      <c r="V568" s="109" t="s">
        <v>66</v>
      </c>
      <c r="W568" s="126" t="str">
        <f>IF(TblDetailBudget[[#This Row],[Level]]=LvlBottomHdr, IF(SUM(TblDetailBudget[[#This Row],[2021 Quant]:[2025 Quant]])&gt;0, SUM(TblDetailBudget[[#This Row],[2021 Quant]:[2025 Quant]]), ""), "")</f>
        <v/>
      </c>
      <c r="X5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8" s="142">
        <f>SUM(TblDetailBudget[[#This Row],[2021 Cost (LCU)]:[2025 Cost (LCU)]])</f>
        <v>0</v>
      </c>
      <c r="AD568" s="135">
        <f>IFERROR(SUM(TblDetailBudget[[#This Row],[2021 Cost (LCU)]])/FX_Rate, "")</f>
        <v>0</v>
      </c>
      <c r="AE568" s="86">
        <f>IFERROR(SUM(TblDetailBudget[[#This Row],[2022 Cost (LCU)]])/FX_Rate, "")</f>
        <v>0</v>
      </c>
      <c r="AF568" s="86">
        <f>IFERROR(SUM(TblDetailBudget[[#This Row],[2023 Cost (LCU)]])/FX_Rate, "")</f>
        <v>0</v>
      </c>
      <c r="AG568" s="86">
        <f>IFERROR(SUM(TblDetailBudget[[#This Row],[2024 Cost (LCU)]])/FX_Rate, "")</f>
        <v>0</v>
      </c>
      <c r="AH568" s="86">
        <f>IFERROR(SUM(TblDetailBudget[[#This Row],[2025 Cost (LCU)]])/FX_Rate, "")</f>
        <v>0</v>
      </c>
      <c r="AI568" s="126">
        <f>SUM(TblDetailBudget[[#This Row],[2021 Cost (USD)]:[2025 Cost (USD)]])</f>
        <v>0</v>
      </c>
      <c r="AJ568" s="180"/>
    </row>
    <row r="569" spans="2:36" ht="12.75" customHeight="1">
      <c r="B569" s="123"/>
      <c r="C5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9" s="85" t="str">
        <f>IF(TblDetailBudget[[#This Row],[Level]]="", "", COUNTIFS($B$8:TblDetailBudget[[#This Row],[Level]], Lvl1Hdr))</f>
        <v/>
      </c>
      <c r="E569" s="85" t="str">
        <f>IF(TblDetailBudget[[#This Row],[Level]]="", "", COUNTIFS($B$8:TblDetailBudget[[#This Row],[Level]], Lvl2Hdr, $D$8:TblDetailBudget[[#This Row],[Lvl 1 Header]], TblDetailBudget[[#This Row],[Lvl 1 Header]]))</f>
        <v/>
      </c>
      <c r="F569" s="85" t="str">
        <f>IF(TblDetailBudget[[#This Row],[Level]]="", "", COUNTIFS($B$8:TblDetailBudget[[#This Row],[Level]], Lvl3Hdr, $D$8:TblDetailBudget[[#This Row],[Lvl 1 Header]], TblDetailBudget[[#This Row],[Lvl 1 Header]], $E$8:TblDetailBudget[[#This Row],[Lvl 2 Header]], TblDetailBudget[[#This Row],[Lvl 2 Header]]))</f>
        <v/>
      </c>
      <c r="G5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9" s="164"/>
      <c r="J569" s="164"/>
      <c r="K569" s="165"/>
      <c r="L569" s="165"/>
      <c r="M569" s="85" t="str">
        <f>IF(TblDetailBudget[[#This Row],[Level]]=LvlBottomHdr, IFERROR(INDEX(TblUnitCost[Unit], MATCH(TblDetailBudget[[#This Row],[Row Title]], TblUnitCost[Resource], 0)), "Invalid Resource"), "")</f>
        <v/>
      </c>
      <c r="N569" s="126" t="str">
        <f>IF(TblDetailBudget[[#This Row],[Level]]=LvlBottomHdr, IFERROR(INDEX(TblUnitCost[LCU], MATCH(TblDetailBudget[[#This Row],[Row Title]], TblUnitCost[Resource], 0)), "Invalid Resource"), "")</f>
        <v/>
      </c>
      <c r="O569" s="130"/>
      <c r="P569" s="109"/>
      <c r="Q569" s="131"/>
      <c r="R569" s="109" t="s">
        <v>66</v>
      </c>
      <c r="S569" s="109" t="s">
        <v>66</v>
      </c>
      <c r="T569" s="109" t="s">
        <v>66</v>
      </c>
      <c r="U569" s="109" t="s">
        <v>66</v>
      </c>
      <c r="V569" s="109" t="s">
        <v>66</v>
      </c>
      <c r="W569" s="126" t="str">
        <f>IF(TblDetailBudget[[#This Row],[Level]]=LvlBottomHdr, IF(SUM(TblDetailBudget[[#This Row],[2021 Quant]:[2025 Quant]])&gt;0, SUM(TblDetailBudget[[#This Row],[2021 Quant]:[2025 Quant]]), ""), "")</f>
        <v/>
      </c>
      <c r="X5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9" s="142">
        <f>SUM(TblDetailBudget[[#This Row],[2021 Cost (LCU)]:[2025 Cost (LCU)]])</f>
        <v>0</v>
      </c>
      <c r="AD569" s="135">
        <f>IFERROR(SUM(TblDetailBudget[[#This Row],[2021 Cost (LCU)]])/FX_Rate, "")</f>
        <v>0</v>
      </c>
      <c r="AE569" s="86">
        <f>IFERROR(SUM(TblDetailBudget[[#This Row],[2022 Cost (LCU)]])/FX_Rate, "")</f>
        <v>0</v>
      </c>
      <c r="AF569" s="86">
        <f>IFERROR(SUM(TblDetailBudget[[#This Row],[2023 Cost (LCU)]])/FX_Rate, "")</f>
        <v>0</v>
      </c>
      <c r="AG569" s="86">
        <f>IFERROR(SUM(TblDetailBudget[[#This Row],[2024 Cost (LCU)]])/FX_Rate, "")</f>
        <v>0</v>
      </c>
      <c r="AH569" s="86">
        <f>IFERROR(SUM(TblDetailBudget[[#This Row],[2025 Cost (LCU)]])/FX_Rate, "")</f>
        <v>0</v>
      </c>
      <c r="AI569" s="126">
        <f>SUM(TblDetailBudget[[#This Row],[2021 Cost (USD)]:[2025 Cost (USD)]])</f>
        <v>0</v>
      </c>
      <c r="AJ569" s="180"/>
    </row>
    <row r="570" spans="2:36" ht="12.75" customHeight="1">
      <c r="B570" s="123"/>
      <c r="C5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0" s="85" t="str">
        <f>IF(TblDetailBudget[[#This Row],[Level]]="", "", COUNTIFS($B$8:TblDetailBudget[[#This Row],[Level]], Lvl1Hdr))</f>
        <v/>
      </c>
      <c r="E570" s="85" t="str">
        <f>IF(TblDetailBudget[[#This Row],[Level]]="", "", COUNTIFS($B$8:TblDetailBudget[[#This Row],[Level]], Lvl2Hdr, $D$8:TblDetailBudget[[#This Row],[Lvl 1 Header]], TblDetailBudget[[#This Row],[Lvl 1 Header]]))</f>
        <v/>
      </c>
      <c r="F570" s="85" t="str">
        <f>IF(TblDetailBudget[[#This Row],[Level]]="", "", COUNTIFS($B$8:TblDetailBudget[[#This Row],[Level]], Lvl3Hdr, $D$8:TblDetailBudget[[#This Row],[Lvl 1 Header]], TblDetailBudget[[#This Row],[Lvl 1 Header]], $E$8:TblDetailBudget[[#This Row],[Lvl 2 Header]], TblDetailBudget[[#This Row],[Lvl 2 Header]]))</f>
        <v/>
      </c>
      <c r="G5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0" s="164"/>
      <c r="J570" s="164"/>
      <c r="K570" s="165"/>
      <c r="L570" s="165"/>
      <c r="M570" s="85" t="str">
        <f>IF(TblDetailBudget[[#This Row],[Level]]=LvlBottomHdr, IFERROR(INDEX(TblUnitCost[Unit], MATCH(TblDetailBudget[[#This Row],[Row Title]], TblUnitCost[Resource], 0)), "Invalid Resource"), "")</f>
        <v/>
      </c>
      <c r="N570" s="126" t="str">
        <f>IF(TblDetailBudget[[#This Row],[Level]]=LvlBottomHdr, IFERROR(INDEX(TblUnitCost[LCU], MATCH(TblDetailBudget[[#This Row],[Row Title]], TblUnitCost[Resource], 0)), "Invalid Resource"), "")</f>
        <v/>
      </c>
      <c r="O570" s="130"/>
      <c r="P570" s="109"/>
      <c r="Q570" s="131"/>
      <c r="R570" s="109" t="s">
        <v>66</v>
      </c>
      <c r="S570" s="109" t="s">
        <v>66</v>
      </c>
      <c r="T570" s="109" t="s">
        <v>66</v>
      </c>
      <c r="U570" s="109" t="s">
        <v>66</v>
      </c>
      <c r="V570" s="109" t="s">
        <v>66</v>
      </c>
      <c r="W570" s="126" t="str">
        <f>IF(TblDetailBudget[[#This Row],[Level]]=LvlBottomHdr, IF(SUM(TblDetailBudget[[#This Row],[2021 Quant]:[2025 Quant]])&gt;0, SUM(TblDetailBudget[[#This Row],[2021 Quant]:[2025 Quant]]), ""), "")</f>
        <v/>
      </c>
      <c r="X5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0" s="142">
        <f>SUM(TblDetailBudget[[#This Row],[2021 Cost (LCU)]:[2025 Cost (LCU)]])</f>
        <v>0</v>
      </c>
      <c r="AD570" s="135">
        <f>IFERROR(SUM(TblDetailBudget[[#This Row],[2021 Cost (LCU)]])/FX_Rate, "")</f>
        <v>0</v>
      </c>
      <c r="AE570" s="86">
        <f>IFERROR(SUM(TblDetailBudget[[#This Row],[2022 Cost (LCU)]])/FX_Rate, "")</f>
        <v>0</v>
      </c>
      <c r="AF570" s="86">
        <f>IFERROR(SUM(TblDetailBudget[[#This Row],[2023 Cost (LCU)]])/FX_Rate, "")</f>
        <v>0</v>
      </c>
      <c r="AG570" s="86">
        <f>IFERROR(SUM(TblDetailBudget[[#This Row],[2024 Cost (LCU)]])/FX_Rate, "")</f>
        <v>0</v>
      </c>
      <c r="AH570" s="86">
        <f>IFERROR(SUM(TblDetailBudget[[#This Row],[2025 Cost (LCU)]])/FX_Rate, "")</f>
        <v>0</v>
      </c>
      <c r="AI570" s="126">
        <f>SUM(TblDetailBudget[[#This Row],[2021 Cost (USD)]:[2025 Cost (USD)]])</f>
        <v>0</v>
      </c>
      <c r="AJ570" s="180"/>
    </row>
    <row r="571" spans="2:36" ht="12.75" customHeight="1">
      <c r="B571" s="123"/>
      <c r="C5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1" s="85" t="str">
        <f>IF(TblDetailBudget[[#This Row],[Level]]="", "", COUNTIFS($B$8:TblDetailBudget[[#This Row],[Level]], Lvl1Hdr))</f>
        <v/>
      </c>
      <c r="E571" s="85" t="str">
        <f>IF(TblDetailBudget[[#This Row],[Level]]="", "", COUNTIFS($B$8:TblDetailBudget[[#This Row],[Level]], Lvl2Hdr, $D$8:TblDetailBudget[[#This Row],[Lvl 1 Header]], TblDetailBudget[[#This Row],[Lvl 1 Header]]))</f>
        <v/>
      </c>
      <c r="F571" s="85" t="str">
        <f>IF(TblDetailBudget[[#This Row],[Level]]="", "", COUNTIFS($B$8:TblDetailBudget[[#This Row],[Level]], Lvl3Hdr, $D$8:TblDetailBudget[[#This Row],[Lvl 1 Header]], TblDetailBudget[[#This Row],[Lvl 1 Header]], $E$8:TblDetailBudget[[#This Row],[Lvl 2 Header]], TblDetailBudget[[#This Row],[Lvl 2 Header]]))</f>
        <v/>
      </c>
      <c r="G5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1" s="164"/>
      <c r="J571" s="164"/>
      <c r="K571" s="165"/>
      <c r="L571" s="165"/>
      <c r="M571" s="85" t="str">
        <f>IF(TblDetailBudget[[#This Row],[Level]]=LvlBottomHdr, IFERROR(INDEX(TblUnitCost[Unit], MATCH(TblDetailBudget[[#This Row],[Row Title]], TblUnitCost[Resource], 0)), "Invalid Resource"), "")</f>
        <v/>
      </c>
      <c r="N571" s="126" t="str">
        <f>IF(TblDetailBudget[[#This Row],[Level]]=LvlBottomHdr, IFERROR(INDEX(TblUnitCost[LCU], MATCH(TblDetailBudget[[#This Row],[Row Title]], TblUnitCost[Resource], 0)), "Invalid Resource"), "")</f>
        <v/>
      </c>
      <c r="O571" s="130"/>
      <c r="P571" s="109"/>
      <c r="Q571" s="131"/>
      <c r="R571" s="109" t="s">
        <v>66</v>
      </c>
      <c r="S571" s="109" t="s">
        <v>66</v>
      </c>
      <c r="T571" s="109" t="s">
        <v>66</v>
      </c>
      <c r="U571" s="109" t="s">
        <v>66</v>
      </c>
      <c r="V571" s="109" t="s">
        <v>66</v>
      </c>
      <c r="W571" s="126" t="str">
        <f>IF(TblDetailBudget[[#This Row],[Level]]=LvlBottomHdr, IF(SUM(TblDetailBudget[[#This Row],[2021 Quant]:[2025 Quant]])&gt;0, SUM(TblDetailBudget[[#This Row],[2021 Quant]:[2025 Quant]]), ""), "")</f>
        <v/>
      </c>
      <c r="X5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1" s="142">
        <f>SUM(TblDetailBudget[[#This Row],[2021 Cost (LCU)]:[2025 Cost (LCU)]])</f>
        <v>0</v>
      </c>
      <c r="AD571" s="135">
        <f>IFERROR(SUM(TblDetailBudget[[#This Row],[2021 Cost (LCU)]])/FX_Rate, "")</f>
        <v>0</v>
      </c>
      <c r="AE571" s="86">
        <f>IFERROR(SUM(TblDetailBudget[[#This Row],[2022 Cost (LCU)]])/FX_Rate, "")</f>
        <v>0</v>
      </c>
      <c r="AF571" s="86">
        <f>IFERROR(SUM(TblDetailBudget[[#This Row],[2023 Cost (LCU)]])/FX_Rate, "")</f>
        <v>0</v>
      </c>
      <c r="AG571" s="86">
        <f>IFERROR(SUM(TblDetailBudget[[#This Row],[2024 Cost (LCU)]])/FX_Rate, "")</f>
        <v>0</v>
      </c>
      <c r="AH571" s="86">
        <f>IFERROR(SUM(TblDetailBudget[[#This Row],[2025 Cost (LCU)]])/FX_Rate, "")</f>
        <v>0</v>
      </c>
      <c r="AI571" s="126">
        <f>SUM(TblDetailBudget[[#This Row],[2021 Cost (USD)]:[2025 Cost (USD)]])</f>
        <v>0</v>
      </c>
      <c r="AJ571" s="180"/>
    </row>
    <row r="572" spans="2:36" ht="12.75" customHeight="1">
      <c r="B572" s="123"/>
      <c r="C5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2" s="85" t="str">
        <f>IF(TblDetailBudget[[#This Row],[Level]]="", "", COUNTIFS($B$8:TblDetailBudget[[#This Row],[Level]], Lvl1Hdr))</f>
        <v/>
      </c>
      <c r="E572" s="85" t="str">
        <f>IF(TblDetailBudget[[#This Row],[Level]]="", "", COUNTIFS($B$8:TblDetailBudget[[#This Row],[Level]], Lvl2Hdr, $D$8:TblDetailBudget[[#This Row],[Lvl 1 Header]], TblDetailBudget[[#This Row],[Lvl 1 Header]]))</f>
        <v/>
      </c>
      <c r="F572" s="85" t="str">
        <f>IF(TblDetailBudget[[#This Row],[Level]]="", "", COUNTIFS($B$8:TblDetailBudget[[#This Row],[Level]], Lvl3Hdr, $D$8:TblDetailBudget[[#This Row],[Lvl 1 Header]], TblDetailBudget[[#This Row],[Lvl 1 Header]], $E$8:TblDetailBudget[[#This Row],[Lvl 2 Header]], TblDetailBudget[[#This Row],[Lvl 2 Header]]))</f>
        <v/>
      </c>
      <c r="G5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2" s="164"/>
      <c r="J572" s="164"/>
      <c r="K572" s="165"/>
      <c r="L572" s="165"/>
      <c r="M572" s="85" t="str">
        <f>IF(TblDetailBudget[[#This Row],[Level]]=LvlBottomHdr, IFERROR(INDEX(TblUnitCost[Unit], MATCH(TblDetailBudget[[#This Row],[Row Title]], TblUnitCost[Resource], 0)), "Invalid Resource"), "")</f>
        <v/>
      </c>
      <c r="N572" s="126" t="str">
        <f>IF(TblDetailBudget[[#This Row],[Level]]=LvlBottomHdr, IFERROR(INDEX(TblUnitCost[LCU], MATCH(TblDetailBudget[[#This Row],[Row Title]], TblUnitCost[Resource], 0)), "Invalid Resource"), "")</f>
        <v/>
      </c>
      <c r="O572" s="130"/>
      <c r="P572" s="109"/>
      <c r="Q572" s="131"/>
      <c r="R572" s="109" t="s">
        <v>66</v>
      </c>
      <c r="S572" s="109" t="s">
        <v>66</v>
      </c>
      <c r="T572" s="109" t="s">
        <v>66</v>
      </c>
      <c r="U572" s="109" t="s">
        <v>66</v>
      </c>
      <c r="V572" s="109" t="s">
        <v>66</v>
      </c>
      <c r="W572" s="126" t="str">
        <f>IF(TblDetailBudget[[#This Row],[Level]]=LvlBottomHdr, IF(SUM(TblDetailBudget[[#This Row],[2021 Quant]:[2025 Quant]])&gt;0, SUM(TblDetailBudget[[#This Row],[2021 Quant]:[2025 Quant]]), ""), "")</f>
        <v/>
      </c>
      <c r="X5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2" s="142">
        <f>SUM(TblDetailBudget[[#This Row],[2021 Cost (LCU)]:[2025 Cost (LCU)]])</f>
        <v>0</v>
      </c>
      <c r="AD572" s="135">
        <f>IFERROR(SUM(TblDetailBudget[[#This Row],[2021 Cost (LCU)]])/FX_Rate, "")</f>
        <v>0</v>
      </c>
      <c r="AE572" s="86">
        <f>IFERROR(SUM(TblDetailBudget[[#This Row],[2022 Cost (LCU)]])/FX_Rate, "")</f>
        <v>0</v>
      </c>
      <c r="AF572" s="86">
        <f>IFERROR(SUM(TblDetailBudget[[#This Row],[2023 Cost (LCU)]])/FX_Rate, "")</f>
        <v>0</v>
      </c>
      <c r="AG572" s="86">
        <f>IFERROR(SUM(TblDetailBudget[[#This Row],[2024 Cost (LCU)]])/FX_Rate, "")</f>
        <v>0</v>
      </c>
      <c r="AH572" s="86">
        <f>IFERROR(SUM(TblDetailBudget[[#This Row],[2025 Cost (LCU)]])/FX_Rate, "")</f>
        <v>0</v>
      </c>
      <c r="AI572" s="126">
        <f>SUM(TblDetailBudget[[#This Row],[2021 Cost (USD)]:[2025 Cost (USD)]])</f>
        <v>0</v>
      </c>
      <c r="AJ572" s="180"/>
    </row>
    <row r="573" spans="2:36" ht="12.75" customHeight="1">
      <c r="B573" s="123"/>
      <c r="C5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3" s="85" t="str">
        <f>IF(TblDetailBudget[[#This Row],[Level]]="", "", COUNTIFS($B$8:TblDetailBudget[[#This Row],[Level]], Lvl1Hdr))</f>
        <v/>
      </c>
      <c r="E573" s="85" t="str">
        <f>IF(TblDetailBudget[[#This Row],[Level]]="", "", COUNTIFS($B$8:TblDetailBudget[[#This Row],[Level]], Lvl2Hdr, $D$8:TblDetailBudget[[#This Row],[Lvl 1 Header]], TblDetailBudget[[#This Row],[Lvl 1 Header]]))</f>
        <v/>
      </c>
      <c r="F573" s="85" t="str">
        <f>IF(TblDetailBudget[[#This Row],[Level]]="", "", COUNTIFS($B$8:TblDetailBudget[[#This Row],[Level]], Lvl3Hdr, $D$8:TblDetailBudget[[#This Row],[Lvl 1 Header]], TblDetailBudget[[#This Row],[Lvl 1 Header]], $E$8:TblDetailBudget[[#This Row],[Lvl 2 Header]], TblDetailBudget[[#This Row],[Lvl 2 Header]]))</f>
        <v/>
      </c>
      <c r="G5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3" s="164"/>
      <c r="J573" s="164"/>
      <c r="K573" s="165"/>
      <c r="L573" s="165"/>
      <c r="M573" s="85" t="str">
        <f>IF(TblDetailBudget[[#This Row],[Level]]=LvlBottomHdr, IFERROR(INDEX(TblUnitCost[Unit], MATCH(TblDetailBudget[[#This Row],[Row Title]], TblUnitCost[Resource], 0)), "Invalid Resource"), "")</f>
        <v/>
      </c>
      <c r="N573" s="126" t="str">
        <f>IF(TblDetailBudget[[#This Row],[Level]]=LvlBottomHdr, IFERROR(INDEX(TblUnitCost[LCU], MATCH(TblDetailBudget[[#This Row],[Row Title]], TblUnitCost[Resource], 0)), "Invalid Resource"), "")</f>
        <v/>
      </c>
      <c r="O573" s="130"/>
      <c r="P573" s="109"/>
      <c r="Q573" s="131"/>
      <c r="R573" s="109" t="s">
        <v>66</v>
      </c>
      <c r="S573" s="109" t="s">
        <v>66</v>
      </c>
      <c r="T573" s="109" t="s">
        <v>66</v>
      </c>
      <c r="U573" s="109" t="s">
        <v>66</v>
      </c>
      <c r="V573" s="109" t="s">
        <v>66</v>
      </c>
      <c r="W573" s="126" t="str">
        <f>IF(TblDetailBudget[[#This Row],[Level]]=LvlBottomHdr, IF(SUM(TblDetailBudget[[#This Row],[2021 Quant]:[2025 Quant]])&gt;0, SUM(TblDetailBudget[[#This Row],[2021 Quant]:[2025 Quant]]), ""), "")</f>
        <v/>
      </c>
      <c r="X5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3" s="142">
        <f>SUM(TblDetailBudget[[#This Row],[2021 Cost (LCU)]:[2025 Cost (LCU)]])</f>
        <v>0</v>
      </c>
      <c r="AD573" s="135">
        <f>IFERROR(SUM(TblDetailBudget[[#This Row],[2021 Cost (LCU)]])/FX_Rate, "")</f>
        <v>0</v>
      </c>
      <c r="AE573" s="86">
        <f>IFERROR(SUM(TblDetailBudget[[#This Row],[2022 Cost (LCU)]])/FX_Rate, "")</f>
        <v>0</v>
      </c>
      <c r="AF573" s="86">
        <f>IFERROR(SUM(TblDetailBudget[[#This Row],[2023 Cost (LCU)]])/FX_Rate, "")</f>
        <v>0</v>
      </c>
      <c r="AG573" s="86">
        <f>IFERROR(SUM(TblDetailBudget[[#This Row],[2024 Cost (LCU)]])/FX_Rate, "")</f>
        <v>0</v>
      </c>
      <c r="AH573" s="86">
        <f>IFERROR(SUM(TblDetailBudget[[#This Row],[2025 Cost (LCU)]])/FX_Rate, "")</f>
        <v>0</v>
      </c>
      <c r="AI573" s="126">
        <f>SUM(TblDetailBudget[[#This Row],[2021 Cost (USD)]:[2025 Cost (USD)]])</f>
        <v>0</v>
      </c>
      <c r="AJ573" s="180"/>
    </row>
    <row r="574" spans="2:36" ht="12.75" customHeight="1">
      <c r="B574" s="123"/>
      <c r="C5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4" s="85" t="str">
        <f>IF(TblDetailBudget[[#This Row],[Level]]="", "", COUNTIFS($B$8:TblDetailBudget[[#This Row],[Level]], Lvl1Hdr))</f>
        <v/>
      </c>
      <c r="E574" s="85" t="str">
        <f>IF(TblDetailBudget[[#This Row],[Level]]="", "", COUNTIFS($B$8:TblDetailBudget[[#This Row],[Level]], Lvl2Hdr, $D$8:TblDetailBudget[[#This Row],[Lvl 1 Header]], TblDetailBudget[[#This Row],[Lvl 1 Header]]))</f>
        <v/>
      </c>
      <c r="F574" s="85" t="str">
        <f>IF(TblDetailBudget[[#This Row],[Level]]="", "", COUNTIFS($B$8:TblDetailBudget[[#This Row],[Level]], Lvl3Hdr, $D$8:TblDetailBudget[[#This Row],[Lvl 1 Header]], TblDetailBudget[[#This Row],[Lvl 1 Header]], $E$8:TblDetailBudget[[#This Row],[Lvl 2 Header]], TblDetailBudget[[#This Row],[Lvl 2 Header]]))</f>
        <v/>
      </c>
      <c r="G5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4" s="164"/>
      <c r="J574" s="164"/>
      <c r="K574" s="165"/>
      <c r="L574" s="165"/>
      <c r="M574" s="85" t="str">
        <f>IF(TblDetailBudget[[#This Row],[Level]]=LvlBottomHdr, IFERROR(INDEX(TblUnitCost[Unit], MATCH(TblDetailBudget[[#This Row],[Row Title]], TblUnitCost[Resource], 0)), "Invalid Resource"), "")</f>
        <v/>
      </c>
      <c r="N574" s="126" t="str">
        <f>IF(TblDetailBudget[[#This Row],[Level]]=LvlBottomHdr, IFERROR(INDEX(TblUnitCost[LCU], MATCH(TblDetailBudget[[#This Row],[Row Title]], TblUnitCost[Resource], 0)), "Invalid Resource"), "")</f>
        <v/>
      </c>
      <c r="O574" s="130"/>
      <c r="P574" s="109"/>
      <c r="Q574" s="131"/>
      <c r="R574" s="109" t="s">
        <v>66</v>
      </c>
      <c r="S574" s="109" t="s">
        <v>66</v>
      </c>
      <c r="T574" s="109" t="s">
        <v>66</v>
      </c>
      <c r="U574" s="109" t="s">
        <v>66</v>
      </c>
      <c r="V574" s="109" t="s">
        <v>66</v>
      </c>
      <c r="W574" s="126" t="str">
        <f>IF(TblDetailBudget[[#This Row],[Level]]=LvlBottomHdr, IF(SUM(TblDetailBudget[[#This Row],[2021 Quant]:[2025 Quant]])&gt;0, SUM(TblDetailBudget[[#This Row],[2021 Quant]:[2025 Quant]]), ""), "")</f>
        <v/>
      </c>
      <c r="X5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4" s="142">
        <f>SUM(TblDetailBudget[[#This Row],[2021 Cost (LCU)]:[2025 Cost (LCU)]])</f>
        <v>0</v>
      </c>
      <c r="AD574" s="135">
        <f>IFERROR(SUM(TblDetailBudget[[#This Row],[2021 Cost (LCU)]])/FX_Rate, "")</f>
        <v>0</v>
      </c>
      <c r="AE574" s="86">
        <f>IFERROR(SUM(TblDetailBudget[[#This Row],[2022 Cost (LCU)]])/FX_Rate, "")</f>
        <v>0</v>
      </c>
      <c r="AF574" s="86">
        <f>IFERROR(SUM(TblDetailBudget[[#This Row],[2023 Cost (LCU)]])/FX_Rate, "")</f>
        <v>0</v>
      </c>
      <c r="AG574" s="86">
        <f>IFERROR(SUM(TblDetailBudget[[#This Row],[2024 Cost (LCU)]])/FX_Rate, "")</f>
        <v>0</v>
      </c>
      <c r="AH574" s="86">
        <f>IFERROR(SUM(TblDetailBudget[[#This Row],[2025 Cost (LCU)]])/FX_Rate, "")</f>
        <v>0</v>
      </c>
      <c r="AI574" s="126">
        <f>SUM(TblDetailBudget[[#This Row],[2021 Cost (USD)]:[2025 Cost (USD)]])</f>
        <v>0</v>
      </c>
      <c r="AJ574" s="180"/>
    </row>
    <row r="575" spans="2:36" ht="12.75" customHeight="1">
      <c r="B575" s="123"/>
      <c r="C5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5" s="85" t="str">
        <f>IF(TblDetailBudget[[#This Row],[Level]]="", "", COUNTIFS($B$8:TblDetailBudget[[#This Row],[Level]], Lvl1Hdr))</f>
        <v/>
      </c>
      <c r="E575" s="85" t="str">
        <f>IF(TblDetailBudget[[#This Row],[Level]]="", "", COUNTIFS($B$8:TblDetailBudget[[#This Row],[Level]], Lvl2Hdr, $D$8:TblDetailBudget[[#This Row],[Lvl 1 Header]], TblDetailBudget[[#This Row],[Lvl 1 Header]]))</f>
        <v/>
      </c>
      <c r="F575" s="85" t="str">
        <f>IF(TblDetailBudget[[#This Row],[Level]]="", "", COUNTIFS($B$8:TblDetailBudget[[#This Row],[Level]], Lvl3Hdr, $D$8:TblDetailBudget[[#This Row],[Lvl 1 Header]], TblDetailBudget[[#This Row],[Lvl 1 Header]], $E$8:TblDetailBudget[[#This Row],[Lvl 2 Header]], TblDetailBudget[[#This Row],[Lvl 2 Header]]))</f>
        <v/>
      </c>
      <c r="G5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5" s="164"/>
      <c r="J575" s="164"/>
      <c r="K575" s="165"/>
      <c r="L575" s="165"/>
      <c r="M575" s="85" t="str">
        <f>IF(TblDetailBudget[[#This Row],[Level]]=LvlBottomHdr, IFERROR(INDEX(TblUnitCost[Unit], MATCH(TblDetailBudget[[#This Row],[Row Title]], TblUnitCost[Resource], 0)), "Invalid Resource"), "")</f>
        <v/>
      </c>
      <c r="N575" s="126" t="str">
        <f>IF(TblDetailBudget[[#This Row],[Level]]=LvlBottomHdr, IFERROR(INDEX(TblUnitCost[LCU], MATCH(TblDetailBudget[[#This Row],[Row Title]], TblUnitCost[Resource], 0)), "Invalid Resource"), "")</f>
        <v/>
      </c>
      <c r="O575" s="130"/>
      <c r="P575" s="109"/>
      <c r="Q575" s="131"/>
      <c r="R575" s="109" t="s">
        <v>66</v>
      </c>
      <c r="S575" s="109" t="s">
        <v>66</v>
      </c>
      <c r="T575" s="109" t="s">
        <v>66</v>
      </c>
      <c r="U575" s="109" t="s">
        <v>66</v>
      </c>
      <c r="V575" s="109" t="s">
        <v>66</v>
      </c>
      <c r="W575" s="126" t="str">
        <f>IF(TblDetailBudget[[#This Row],[Level]]=LvlBottomHdr, IF(SUM(TblDetailBudget[[#This Row],[2021 Quant]:[2025 Quant]])&gt;0, SUM(TblDetailBudget[[#This Row],[2021 Quant]:[2025 Quant]]), ""), "")</f>
        <v/>
      </c>
      <c r="X5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5" s="142">
        <f>SUM(TblDetailBudget[[#This Row],[2021 Cost (LCU)]:[2025 Cost (LCU)]])</f>
        <v>0</v>
      </c>
      <c r="AD575" s="135">
        <f>IFERROR(SUM(TblDetailBudget[[#This Row],[2021 Cost (LCU)]])/FX_Rate, "")</f>
        <v>0</v>
      </c>
      <c r="AE575" s="86">
        <f>IFERROR(SUM(TblDetailBudget[[#This Row],[2022 Cost (LCU)]])/FX_Rate, "")</f>
        <v>0</v>
      </c>
      <c r="AF575" s="86">
        <f>IFERROR(SUM(TblDetailBudget[[#This Row],[2023 Cost (LCU)]])/FX_Rate, "")</f>
        <v>0</v>
      </c>
      <c r="AG575" s="86">
        <f>IFERROR(SUM(TblDetailBudget[[#This Row],[2024 Cost (LCU)]])/FX_Rate, "")</f>
        <v>0</v>
      </c>
      <c r="AH575" s="86">
        <f>IFERROR(SUM(TblDetailBudget[[#This Row],[2025 Cost (LCU)]])/FX_Rate, "")</f>
        <v>0</v>
      </c>
      <c r="AI575" s="126">
        <f>SUM(TblDetailBudget[[#This Row],[2021 Cost (USD)]:[2025 Cost (USD)]])</f>
        <v>0</v>
      </c>
      <c r="AJ575" s="180"/>
    </row>
    <row r="576" spans="2:36" ht="12.75" customHeight="1">
      <c r="B576" s="123"/>
      <c r="C5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6" s="85" t="str">
        <f>IF(TblDetailBudget[[#This Row],[Level]]="", "", COUNTIFS($B$8:TblDetailBudget[[#This Row],[Level]], Lvl1Hdr))</f>
        <v/>
      </c>
      <c r="E576" s="85" t="str">
        <f>IF(TblDetailBudget[[#This Row],[Level]]="", "", COUNTIFS($B$8:TblDetailBudget[[#This Row],[Level]], Lvl2Hdr, $D$8:TblDetailBudget[[#This Row],[Lvl 1 Header]], TblDetailBudget[[#This Row],[Lvl 1 Header]]))</f>
        <v/>
      </c>
      <c r="F576" s="85" t="str">
        <f>IF(TblDetailBudget[[#This Row],[Level]]="", "", COUNTIFS($B$8:TblDetailBudget[[#This Row],[Level]], Lvl3Hdr, $D$8:TblDetailBudget[[#This Row],[Lvl 1 Header]], TblDetailBudget[[#This Row],[Lvl 1 Header]], $E$8:TblDetailBudget[[#This Row],[Lvl 2 Header]], TblDetailBudget[[#This Row],[Lvl 2 Header]]))</f>
        <v/>
      </c>
      <c r="G5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6" s="164"/>
      <c r="J576" s="164"/>
      <c r="K576" s="165"/>
      <c r="L576" s="165"/>
      <c r="M576" s="85" t="str">
        <f>IF(TblDetailBudget[[#This Row],[Level]]=LvlBottomHdr, IFERROR(INDEX(TblUnitCost[Unit], MATCH(TblDetailBudget[[#This Row],[Row Title]], TblUnitCost[Resource], 0)), "Invalid Resource"), "")</f>
        <v/>
      </c>
      <c r="N576" s="126" t="str">
        <f>IF(TblDetailBudget[[#This Row],[Level]]=LvlBottomHdr, IFERROR(INDEX(TblUnitCost[LCU], MATCH(TblDetailBudget[[#This Row],[Row Title]], TblUnitCost[Resource], 0)), "Invalid Resource"), "")</f>
        <v/>
      </c>
      <c r="O576" s="130"/>
      <c r="P576" s="109"/>
      <c r="Q576" s="131"/>
      <c r="R576" s="109" t="s">
        <v>66</v>
      </c>
      <c r="S576" s="109" t="s">
        <v>66</v>
      </c>
      <c r="T576" s="109" t="s">
        <v>66</v>
      </c>
      <c r="U576" s="109" t="s">
        <v>66</v>
      </c>
      <c r="V576" s="109" t="s">
        <v>66</v>
      </c>
      <c r="W576" s="126" t="str">
        <f>IF(TblDetailBudget[[#This Row],[Level]]=LvlBottomHdr, IF(SUM(TblDetailBudget[[#This Row],[2021 Quant]:[2025 Quant]])&gt;0, SUM(TblDetailBudget[[#This Row],[2021 Quant]:[2025 Quant]]), ""), "")</f>
        <v/>
      </c>
      <c r="X5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6" s="142">
        <f>SUM(TblDetailBudget[[#This Row],[2021 Cost (LCU)]:[2025 Cost (LCU)]])</f>
        <v>0</v>
      </c>
      <c r="AD576" s="135">
        <f>IFERROR(SUM(TblDetailBudget[[#This Row],[2021 Cost (LCU)]])/FX_Rate, "")</f>
        <v>0</v>
      </c>
      <c r="AE576" s="86">
        <f>IFERROR(SUM(TblDetailBudget[[#This Row],[2022 Cost (LCU)]])/FX_Rate, "")</f>
        <v>0</v>
      </c>
      <c r="AF576" s="86">
        <f>IFERROR(SUM(TblDetailBudget[[#This Row],[2023 Cost (LCU)]])/FX_Rate, "")</f>
        <v>0</v>
      </c>
      <c r="AG576" s="86">
        <f>IFERROR(SUM(TblDetailBudget[[#This Row],[2024 Cost (LCU)]])/FX_Rate, "")</f>
        <v>0</v>
      </c>
      <c r="AH576" s="86">
        <f>IFERROR(SUM(TblDetailBudget[[#This Row],[2025 Cost (LCU)]])/FX_Rate, "")</f>
        <v>0</v>
      </c>
      <c r="AI576" s="126">
        <f>SUM(TblDetailBudget[[#This Row],[2021 Cost (USD)]:[2025 Cost (USD)]])</f>
        <v>0</v>
      </c>
      <c r="AJ576" s="180"/>
    </row>
    <row r="577" spans="2:36" ht="12.75" customHeight="1">
      <c r="B577" s="123"/>
      <c r="C5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7" s="85" t="str">
        <f>IF(TblDetailBudget[[#This Row],[Level]]="", "", COUNTIFS($B$8:TblDetailBudget[[#This Row],[Level]], Lvl1Hdr))</f>
        <v/>
      </c>
      <c r="E577" s="85" t="str">
        <f>IF(TblDetailBudget[[#This Row],[Level]]="", "", COUNTIFS($B$8:TblDetailBudget[[#This Row],[Level]], Lvl2Hdr, $D$8:TblDetailBudget[[#This Row],[Lvl 1 Header]], TblDetailBudget[[#This Row],[Lvl 1 Header]]))</f>
        <v/>
      </c>
      <c r="F577" s="85" t="str">
        <f>IF(TblDetailBudget[[#This Row],[Level]]="", "", COUNTIFS($B$8:TblDetailBudget[[#This Row],[Level]], Lvl3Hdr, $D$8:TblDetailBudget[[#This Row],[Lvl 1 Header]], TblDetailBudget[[#This Row],[Lvl 1 Header]], $E$8:TblDetailBudget[[#This Row],[Lvl 2 Header]], TblDetailBudget[[#This Row],[Lvl 2 Header]]))</f>
        <v/>
      </c>
      <c r="G5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7" s="164"/>
      <c r="J577" s="164"/>
      <c r="K577" s="165"/>
      <c r="L577" s="165"/>
      <c r="M577" s="85" t="str">
        <f>IF(TblDetailBudget[[#This Row],[Level]]=LvlBottomHdr, IFERROR(INDEX(TblUnitCost[Unit], MATCH(TblDetailBudget[[#This Row],[Row Title]], TblUnitCost[Resource], 0)), "Invalid Resource"), "")</f>
        <v/>
      </c>
      <c r="N577" s="126" t="str">
        <f>IF(TblDetailBudget[[#This Row],[Level]]=LvlBottomHdr, IFERROR(INDEX(TblUnitCost[LCU], MATCH(TblDetailBudget[[#This Row],[Row Title]], TblUnitCost[Resource], 0)), "Invalid Resource"), "")</f>
        <v/>
      </c>
      <c r="O577" s="130"/>
      <c r="P577" s="109"/>
      <c r="Q577" s="131"/>
      <c r="R577" s="109" t="s">
        <v>66</v>
      </c>
      <c r="S577" s="109" t="s">
        <v>66</v>
      </c>
      <c r="T577" s="109" t="s">
        <v>66</v>
      </c>
      <c r="U577" s="109" t="s">
        <v>66</v>
      </c>
      <c r="V577" s="109" t="s">
        <v>66</v>
      </c>
      <c r="W577" s="126" t="str">
        <f>IF(TblDetailBudget[[#This Row],[Level]]=LvlBottomHdr, IF(SUM(TblDetailBudget[[#This Row],[2021 Quant]:[2025 Quant]])&gt;0, SUM(TblDetailBudget[[#This Row],[2021 Quant]:[2025 Quant]]), ""), "")</f>
        <v/>
      </c>
      <c r="X5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7" s="142">
        <f>SUM(TblDetailBudget[[#This Row],[2021 Cost (LCU)]:[2025 Cost (LCU)]])</f>
        <v>0</v>
      </c>
      <c r="AD577" s="135">
        <f>IFERROR(SUM(TblDetailBudget[[#This Row],[2021 Cost (LCU)]])/FX_Rate, "")</f>
        <v>0</v>
      </c>
      <c r="AE577" s="86">
        <f>IFERROR(SUM(TblDetailBudget[[#This Row],[2022 Cost (LCU)]])/FX_Rate, "")</f>
        <v>0</v>
      </c>
      <c r="AF577" s="86">
        <f>IFERROR(SUM(TblDetailBudget[[#This Row],[2023 Cost (LCU)]])/FX_Rate, "")</f>
        <v>0</v>
      </c>
      <c r="AG577" s="86">
        <f>IFERROR(SUM(TblDetailBudget[[#This Row],[2024 Cost (LCU)]])/FX_Rate, "")</f>
        <v>0</v>
      </c>
      <c r="AH577" s="86">
        <f>IFERROR(SUM(TblDetailBudget[[#This Row],[2025 Cost (LCU)]])/FX_Rate, "")</f>
        <v>0</v>
      </c>
      <c r="AI577" s="126">
        <f>SUM(TblDetailBudget[[#This Row],[2021 Cost (USD)]:[2025 Cost (USD)]])</f>
        <v>0</v>
      </c>
      <c r="AJ577" s="180"/>
    </row>
    <row r="578" spans="2:36" ht="12.75" customHeight="1">
      <c r="B578" s="123"/>
      <c r="C5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8" s="85" t="str">
        <f>IF(TblDetailBudget[[#This Row],[Level]]="", "", COUNTIFS($B$8:TblDetailBudget[[#This Row],[Level]], Lvl1Hdr))</f>
        <v/>
      </c>
      <c r="E578" s="85" t="str">
        <f>IF(TblDetailBudget[[#This Row],[Level]]="", "", COUNTIFS($B$8:TblDetailBudget[[#This Row],[Level]], Lvl2Hdr, $D$8:TblDetailBudget[[#This Row],[Lvl 1 Header]], TblDetailBudget[[#This Row],[Lvl 1 Header]]))</f>
        <v/>
      </c>
      <c r="F578" s="85" t="str">
        <f>IF(TblDetailBudget[[#This Row],[Level]]="", "", COUNTIFS($B$8:TblDetailBudget[[#This Row],[Level]], Lvl3Hdr, $D$8:TblDetailBudget[[#This Row],[Lvl 1 Header]], TblDetailBudget[[#This Row],[Lvl 1 Header]], $E$8:TblDetailBudget[[#This Row],[Lvl 2 Header]], TblDetailBudget[[#This Row],[Lvl 2 Header]]))</f>
        <v/>
      </c>
      <c r="G5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8" s="164"/>
      <c r="J578" s="164"/>
      <c r="K578" s="165"/>
      <c r="L578" s="165"/>
      <c r="M578" s="85" t="str">
        <f>IF(TblDetailBudget[[#This Row],[Level]]=LvlBottomHdr, IFERROR(INDEX(TblUnitCost[Unit], MATCH(TblDetailBudget[[#This Row],[Row Title]], TblUnitCost[Resource], 0)), "Invalid Resource"), "")</f>
        <v/>
      </c>
      <c r="N578" s="126" t="str">
        <f>IF(TblDetailBudget[[#This Row],[Level]]=LvlBottomHdr, IFERROR(INDEX(TblUnitCost[LCU], MATCH(TblDetailBudget[[#This Row],[Row Title]], TblUnitCost[Resource], 0)), "Invalid Resource"), "")</f>
        <v/>
      </c>
      <c r="O578" s="130"/>
      <c r="P578" s="109"/>
      <c r="Q578" s="131"/>
      <c r="R578" s="109" t="s">
        <v>66</v>
      </c>
      <c r="S578" s="109" t="s">
        <v>66</v>
      </c>
      <c r="T578" s="109" t="s">
        <v>66</v>
      </c>
      <c r="U578" s="109" t="s">
        <v>66</v>
      </c>
      <c r="V578" s="109" t="s">
        <v>66</v>
      </c>
      <c r="W578" s="126" t="str">
        <f>IF(TblDetailBudget[[#This Row],[Level]]=LvlBottomHdr, IF(SUM(TblDetailBudget[[#This Row],[2021 Quant]:[2025 Quant]])&gt;0, SUM(TblDetailBudget[[#This Row],[2021 Quant]:[2025 Quant]]), ""), "")</f>
        <v/>
      </c>
      <c r="X5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8" s="142">
        <f>SUM(TblDetailBudget[[#This Row],[2021 Cost (LCU)]:[2025 Cost (LCU)]])</f>
        <v>0</v>
      </c>
      <c r="AD578" s="135">
        <f>IFERROR(SUM(TblDetailBudget[[#This Row],[2021 Cost (LCU)]])/FX_Rate, "")</f>
        <v>0</v>
      </c>
      <c r="AE578" s="86">
        <f>IFERROR(SUM(TblDetailBudget[[#This Row],[2022 Cost (LCU)]])/FX_Rate, "")</f>
        <v>0</v>
      </c>
      <c r="AF578" s="86">
        <f>IFERROR(SUM(TblDetailBudget[[#This Row],[2023 Cost (LCU)]])/FX_Rate, "")</f>
        <v>0</v>
      </c>
      <c r="AG578" s="86">
        <f>IFERROR(SUM(TblDetailBudget[[#This Row],[2024 Cost (LCU)]])/FX_Rate, "")</f>
        <v>0</v>
      </c>
      <c r="AH578" s="86">
        <f>IFERROR(SUM(TblDetailBudget[[#This Row],[2025 Cost (LCU)]])/FX_Rate, "")</f>
        <v>0</v>
      </c>
      <c r="AI578" s="126">
        <f>SUM(TblDetailBudget[[#This Row],[2021 Cost (USD)]:[2025 Cost (USD)]])</f>
        <v>0</v>
      </c>
      <c r="AJ578" s="180"/>
    </row>
    <row r="579" spans="2:36" ht="12.75" customHeight="1">
      <c r="B579" s="123"/>
      <c r="C5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9" s="85" t="str">
        <f>IF(TblDetailBudget[[#This Row],[Level]]="", "", COUNTIFS($B$8:TblDetailBudget[[#This Row],[Level]], Lvl1Hdr))</f>
        <v/>
      </c>
      <c r="E579" s="85" t="str">
        <f>IF(TblDetailBudget[[#This Row],[Level]]="", "", COUNTIFS($B$8:TblDetailBudget[[#This Row],[Level]], Lvl2Hdr, $D$8:TblDetailBudget[[#This Row],[Lvl 1 Header]], TblDetailBudget[[#This Row],[Lvl 1 Header]]))</f>
        <v/>
      </c>
      <c r="F579" s="85" t="str">
        <f>IF(TblDetailBudget[[#This Row],[Level]]="", "", COUNTIFS($B$8:TblDetailBudget[[#This Row],[Level]], Lvl3Hdr, $D$8:TblDetailBudget[[#This Row],[Lvl 1 Header]], TblDetailBudget[[#This Row],[Lvl 1 Header]], $E$8:TblDetailBudget[[#This Row],[Lvl 2 Header]], TblDetailBudget[[#This Row],[Lvl 2 Header]]))</f>
        <v/>
      </c>
      <c r="G5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9" s="164"/>
      <c r="J579" s="164"/>
      <c r="K579" s="165"/>
      <c r="L579" s="165"/>
      <c r="M579" s="85" t="str">
        <f>IF(TblDetailBudget[[#This Row],[Level]]=LvlBottomHdr, IFERROR(INDEX(TblUnitCost[Unit], MATCH(TblDetailBudget[[#This Row],[Row Title]], TblUnitCost[Resource], 0)), "Invalid Resource"), "")</f>
        <v/>
      </c>
      <c r="N579" s="126" t="str">
        <f>IF(TblDetailBudget[[#This Row],[Level]]=LvlBottomHdr, IFERROR(INDEX(TblUnitCost[LCU], MATCH(TblDetailBudget[[#This Row],[Row Title]], TblUnitCost[Resource], 0)), "Invalid Resource"), "")</f>
        <v/>
      </c>
      <c r="O579" s="130"/>
      <c r="P579" s="109"/>
      <c r="Q579" s="131"/>
      <c r="R579" s="109" t="s">
        <v>66</v>
      </c>
      <c r="S579" s="109" t="s">
        <v>66</v>
      </c>
      <c r="T579" s="109" t="s">
        <v>66</v>
      </c>
      <c r="U579" s="109" t="s">
        <v>66</v>
      </c>
      <c r="V579" s="109" t="s">
        <v>66</v>
      </c>
      <c r="W579" s="126" t="str">
        <f>IF(TblDetailBudget[[#This Row],[Level]]=LvlBottomHdr, IF(SUM(TblDetailBudget[[#This Row],[2021 Quant]:[2025 Quant]])&gt;0, SUM(TblDetailBudget[[#This Row],[2021 Quant]:[2025 Quant]]), ""), "")</f>
        <v/>
      </c>
      <c r="X5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9" s="142">
        <f>SUM(TblDetailBudget[[#This Row],[2021 Cost (LCU)]:[2025 Cost (LCU)]])</f>
        <v>0</v>
      </c>
      <c r="AD579" s="135">
        <f>IFERROR(SUM(TblDetailBudget[[#This Row],[2021 Cost (LCU)]])/FX_Rate, "")</f>
        <v>0</v>
      </c>
      <c r="AE579" s="86">
        <f>IFERROR(SUM(TblDetailBudget[[#This Row],[2022 Cost (LCU)]])/FX_Rate, "")</f>
        <v>0</v>
      </c>
      <c r="AF579" s="86">
        <f>IFERROR(SUM(TblDetailBudget[[#This Row],[2023 Cost (LCU)]])/FX_Rate, "")</f>
        <v>0</v>
      </c>
      <c r="AG579" s="86">
        <f>IFERROR(SUM(TblDetailBudget[[#This Row],[2024 Cost (LCU)]])/FX_Rate, "")</f>
        <v>0</v>
      </c>
      <c r="AH579" s="86">
        <f>IFERROR(SUM(TblDetailBudget[[#This Row],[2025 Cost (LCU)]])/FX_Rate, "")</f>
        <v>0</v>
      </c>
      <c r="AI579" s="126">
        <f>SUM(TblDetailBudget[[#This Row],[2021 Cost (USD)]:[2025 Cost (USD)]])</f>
        <v>0</v>
      </c>
      <c r="AJ579" s="180"/>
    </row>
    <row r="580" spans="2:36" ht="12.75" customHeight="1">
      <c r="B580" s="123"/>
      <c r="C5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0" s="85" t="str">
        <f>IF(TblDetailBudget[[#This Row],[Level]]="", "", COUNTIFS($B$8:TblDetailBudget[[#This Row],[Level]], Lvl1Hdr))</f>
        <v/>
      </c>
      <c r="E580" s="85" t="str">
        <f>IF(TblDetailBudget[[#This Row],[Level]]="", "", COUNTIFS($B$8:TblDetailBudget[[#This Row],[Level]], Lvl2Hdr, $D$8:TblDetailBudget[[#This Row],[Lvl 1 Header]], TblDetailBudget[[#This Row],[Lvl 1 Header]]))</f>
        <v/>
      </c>
      <c r="F580" s="85" t="str">
        <f>IF(TblDetailBudget[[#This Row],[Level]]="", "", COUNTIFS($B$8:TblDetailBudget[[#This Row],[Level]], Lvl3Hdr, $D$8:TblDetailBudget[[#This Row],[Lvl 1 Header]], TblDetailBudget[[#This Row],[Lvl 1 Header]], $E$8:TblDetailBudget[[#This Row],[Lvl 2 Header]], TblDetailBudget[[#This Row],[Lvl 2 Header]]))</f>
        <v/>
      </c>
      <c r="G5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0" s="164"/>
      <c r="J580" s="164"/>
      <c r="K580" s="165"/>
      <c r="L580" s="165"/>
      <c r="M580" s="85" t="str">
        <f>IF(TblDetailBudget[[#This Row],[Level]]=LvlBottomHdr, IFERROR(INDEX(TblUnitCost[Unit], MATCH(TblDetailBudget[[#This Row],[Row Title]], TblUnitCost[Resource], 0)), "Invalid Resource"), "")</f>
        <v/>
      </c>
      <c r="N580" s="126" t="str">
        <f>IF(TblDetailBudget[[#This Row],[Level]]=LvlBottomHdr, IFERROR(INDEX(TblUnitCost[LCU], MATCH(TblDetailBudget[[#This Row],[Row Title]], TblUnitCost[Resource], 0)), "Invalid Resource"), "")</f>
        <v/>
      </c>
      <c r="O580" s="130"/>
      <c r="P580" s="109"/>
      <c r="Q580" s="131"/>
      <c r="R580" s="109" t="s">
        <v>66</v>
      </c>
      <c r="S580" s="109" t="s">
        <v>66</v>
      </c>
      <c r="T580" s="109" t="s">
        <v>66</v>
      </c>
      <c r="U580" s="109" t="s">
        <v>66</v>
      </c>
      <c r="V580" s="109" t="s">
        <v>66</v>
      </c>
      <c r="W580" s="126" t="str">
        <f>IF(TblDetailBudget[[#This Row],[Level]]=LvlBottomHdr, IF(SUM(TblDetailBudget[[#This Row],[2021 Quant]:[2025 Quant]])&gt;0, SUM(TblDetailBudget[[#This Row],[2021 Quant]:[2025 Quant]]), ""), "")</f>
        <v/>
      </c>
      <c r="X5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0" s="142">
        <f>SUM(TblDetailBudget[[#This Row],[2021 Cost (LCU)]:[2025 Cost (LCU)]])</f>
        <v>0</v>
      </c>
      <c r="AD580" s="135">
        <f>IFERROR(SUM(TblDetailBudget[[#This Row],[2021 Cost (LCU)]])/FX_Rate, "")</f>
        <v>0</v>
      </c>
      <c r="AE580" s="86">
        <f>IFERROR(SUM(TblDetailBudget[[#This Row],[2022 Cost (LCU)]])/FX_Rate, "")</f>
        <v>0</v>
      </c>
      <c r="AF580" s="86">
        <f>IFERROR(SUM(TblDetailBudget[[#This Row],[2023 Cost (LCU)]])/FX_Rate, "")</f>
        <v>0</v>
      </c>
      <c r="AG580" s="86">
        <f>IFERROR(SUM(TblDetailBudget[[#This Row],[2024 Cost (LCU)]])/FX_Rate, "")</f>
        <v>0</v>
      </c>
      <c r="AH580" s="86">
        <f>IFERROR(SUM(TblDetailBudget[[#This Row],[2025 Cost (LCU)]])/FX_Rate, "")</f>
        <v>0</v>
      </c>
      <c r="AI580" s="126">
        <f>SUM(TblDetailBudget[[#This Row],[2021 Cost (USD)]:[2025 Cost (USD)]])</f>
        <v>0</v>
      </c>
      <c r="AJ580" s="180"/>
    </row>
    <row r="581" spans="2:36" ht="12.75" customHeight="1">
      <c r="B581" s="123"/>
      <c r="C5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1" s="85" t="str">
        <f>IF(TblDetailBudget[[#This Row],[Level]]="", "", COUNTIFS($B$8:TblDetailBudget[[#This Row],[Level]], Lvl1Hdr))</f>
        <v/>
      </c>
      <c r="E581" s="85" t="str">
        <f>IF(TblDetailBudget[[#This Row],[Level]]="", "", COUNTIFS($B$8:TblDetailBudget[[#This Row],[Level]], Lvl2Hdr, $D$8:TblDetailBudget[[#This Row],[Lvl 1 Header]], TblDetailBudget[[#This Row],[Lvl 1 Header]]))</f>
        <v/>
      </c>
      <c r="F581" s="85" t="str">
        <f>IF(TblDetailBudget[[#This Row],[Level]]="", "", COUNTIFS($B$8:TblDetailBudget[[#This Row],[Level]], Lvl3Hdr, $D$8:TblDetailBudget[[#This Row],[Lvl 1 Header]], TblDetailBudget[[#This Row],[Lvl 1 Header]], $E$8:TblDetailBudget[[#This Row],[Lvl 2 Header]], TblDetailBudget[[#This Row],[Lvl 2 Header]]))</f>
        <v/>
      </c>
      <c r="G5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1" s="164"/>
      <c r="J581" s="164"/>
      <c r="K581" s="165"/>
      <c r="L581" s="165"/>
      <c r="M581" s="85" t="str">
        <f>IF(TblDetailBudget[[#This Row],[Level]]=LvlBottomHdr, IFERROR(INDEX(TblUnitCost[Unit], MATCH(TblDetailBudget[[#This Row],[Row Title]], TblUnitCost[Resource], 0)), "Invalid Resource"), "")</f>
        <v/>
      </c>
      <c r="N581" s="126" t="str">
        <f>IF(TblDetailBudget[[#This Row],[Level]]=LvlBottomHdr, IFERROR(INDEX(TblUnitCost[LCU], MATCH(TblDetailBudget[[#This Row],[Row Title]], TblUnitCost[Resource], 0)), "Invalid Resource"), "")</f>
        <v/>
      </c>
      <c r="O581" s="130"/>
      <c r="P581" s="109"/>
      <c r="Q581" s="131"/>
      <c r="R581" s="109" t="s">
        <v>66</v>
      </c>
      <c r="S581" s="109" t="s">
        <v>66</v>
      </c>
      <c r="T581" s="109" t="s">
        <v>66</v>
      </c>
      <c r="U581" s="109" t="s">
        <v>66</v>
      </c>
      <c r="V581" s="109" t="s">
        <v>66</v>
      </c>
      <c r="W581" s="126" t="str">
        <f>IF(TblDetailBudget[[#This Row],[Level]]=LvlBottomHdr, IF(SUM(TblDetailBudget[[#This Row],[2021 Quant]:[2025 Quant]])&gt;0, SUM(TblDetailBudget[[#This Row],[2021 Quant]:[2025 Quant]]), ""), "")</f>
        <v/>
      </c>
      <c r="X5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1" s="142">
        <f>SUM(TblDetailBudget[[#This Row],[2021 Cost (LCU)]:[2025 Cost (LCU)]])</f>
        <v>0</v>
      </c>
      <c r="AD581" s="135">
        <f>IFERROR(SUM(TblDetailBudget[[#This Row],[2021 Cost (LCU)]])/FX_Rate, "")</f>
        <v>0</v>
      </c>
      <c r="AE581" s="86">
        <f>IFERROR(SUM(TblDetailBudget[[#This Row],[2022 Cost (LCU)]])/FX_Rate, "")</f>
        <v>0</v>
      </c>
      <c r="AF581" s="86">
        <f>IFERROR(SUM(TblDetailBudget[[#This Row],[2023 Cost (LCU)]])/FX_Rate, "")</f>
        <v>0</v>
      </c>
      <c r="AG581" s="86">
        <f>IFERROR(SUM(TblDetailBudget[[#This Row],[2024 Cost (LCU)]])/FX_Rate, "")</f>
        <v>0</v>
      </c>
      <c r="AH581" s="86">
        <f>IFERROR(SUM(TblDetailBudget[[#This Row],[2025 Cost (LCU)]])/FX_Rate, "")</f>
        <v>0</v>
      </c>
      <c r="AI581" s="126">
        <f>SUM(TblDetailBudget[[#This Row],[2021 Cost (USD)]:[2025 Cost (USD)]])</f>
        <v>0</v>
      </c>
      <c r="AJ581" s="180"/>
    </row>
    <row r="582" spans="2:36" ht="12.75" customHeight="1">
      <c r="B582" s="123"/>
      <c r="C5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2" s="85" t="str">
        <f>IF(TblDetailBudget[[#This Row],[Level]]="", "", COUNTIFS($B$8:TblDetailBudget[[#This Row],[Level]], Lvl1Hdr))</f>
        <v/>
      </c>
      <c r="E582" s="85" t="str">
        <f>IF(TblDetailBudget[[#This Row],[Level]]="", "", COUNTIFS($B$8:TblDetailBudget[[#This Row],[Level]], Lvl2Hdr, $D$8:TblDetailBudget[[#This Row],[Lvl 1 Header]], TblDetailBudget[[#This Row],[Lvl 1 Header]]))</f>
        <v/>
      </c>
      <c r="F582" s="85" t="str">
        <f>IF(TblDetailBudget[[#This Row],[Level]]="", "", COUNTIFS($B$8:TblDetailBudget[[#This Row],[Level]], Lvl3Hdr, $D$8:TblDetailBudget[[#This Row],[Lvl 1 Header]], TblDetailBudget[[#This Row],[Lvl 1 Header]], $E$8:TblDetailBudget[[#This Row],[Lvl 2 Header]], TblDetailBudget[[#This Row],[Lvl 2 Header]]))</f>
        <v/>
      </c>
      <c r="G5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2" s="164"/>
      <c r="J582" s="164"/>
      <c r="K582" s="165"/>
      <c r="L582" s="165"/>
      <c r="M582" s="85" t="str">
        <f>IF(TblDetailBudget[[#This Row],[Level]]=LvlBottomHdr, IFERROR(INDEX(TblUnitCost[Unit], MATCH(TblDetailBudget[[#This Row],[Row Title]], TblUnitCost[Resource], 0)), "Invalid Resource"), "")</f>
        <v/>
      </c>
      <c r="N582" s="126" t="str">
        <f>IF(TblDetailBudget[[#This Row],[Level]]=LvlBottomHdr, IFERROR(INDEX(TblUnitCost[LCU], MATCH(TblDetailBudget[[#This Row],[Row Title]], TblUnitCost[Resource], 0)), "Invalid Resource"), "")</f>
        <v/>
      </c>
      <c r="O582" s="130"/>
      <c r="P582" s="109"/>
      <c r="Q582" s="131"/>
      <c r="R582" s="109" t="s">
        <v>66</v>
      </c>
      <c r="S582" s="109" t="s">
        <v>66</v>
      </c>
      <c r="T582" s="109" t="s">
        <v>66</v>
      </c>
      <c r="U582" s="109" t="s">
        <v>66</v>
      </c>
      <c r="V582" s="109" t="s">
        <v>66</v>
      </c>
      <c r="W582" s="126" t="str">
        <f>IF(TblDetailBudget[[#This Row],[Level]]=LvlBottomHdr, IF(SUM(TblDetailBudget[[#This Row],[2021 Quant]:[2025 Quant]])&gt;0, SUM(TblDetailBudget[[#This Row],[2021 Quant]:[2025 Quant]]), ""), "")</f>
        <v/>
      </c>
      <c r="X5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2" s="142">
        <f>SUM(TblDetailBudget[[#This Row],[2021 Cost (LCU)]:[2025 Cost (LCU)]])</f>
        <v>0</v>
      </c>
      <c r="AD582" s="135">
        <f>IFERROR(SUM(TblDetailBudget[[#This Row],[2021 Cost (LCU)]])/FX_Rate, "")</f>
        <v>0</v>
      </c>
      <c r="AE582" s="86">
        <f>IFERROR(SUM(TblDetailBudget[[#This Row],[2022 Cost (LCU)]])/FX_Rate, "")</f>
        <v>0</v>
      </c>
      <c r="AF582" s="86">
        <f>IFERROR(SUM(TblDetailBudget[[#This Row],[2023 Cost (LCU)]])/FX_Rate, "")</f>
        <v>0</v>
      </c>
      <c r="AG582" s="86">
        <f>IFERROR(SUM(TblDetailBudget[[#This Row],[2024 Cost (LCU)]])/FX_Rate, "")</f>
        <v>0</v>
      </c>
      <c r="AH582" s="86">
        <f>IFERROR(SUM(TblDetailBudget[[#This Row],[2025 Cost (LCU)]])/FX_Rate, "")</f>
        <v>0</v>
      </c>
      <c r="AI582" s="126">
        <f>SUM(TblDetailBudget[[#This Row],[2021 Cost (USD)]:[2025 Cost (USD)]])</f>
        <v>0</v>
      </c>
      <c r="AJ582" s="180"/>
    </row>
    <row r="583" spans="2:36" ht="12.75" customHeight="1">
      <c r="B583" s="123"/>
      <c r="C5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3" s="85" t="str">
        <f>IF(TblDetailBudget[[#This Row],[Level]]="", "", COUNTIFS($B$8:TblDetailBudget[[#This Row],[Level]], Lvl1Hdr))</f>
        <v/>
      </c>
      <c r="E583" s="85" t="str">
        <f>IF(TblDetailBudget[[#This Row],[Level]]="", "", COUNTIFS($B$8:TblDetailBudget[[#This Row],[Level]], Lvl2Hdr, $D$8:TblDetailBudget[[#This Row],[Lvl 1 Header]], TblDetailBudget[[#This Row],[Lvl 1 Header]]))</f>
        <v/>
      </c>
      <c r="F583" s="85" t="str">
        <f>IF(TblDetailBudget[[#This Row],[Level]]="", "", COUNTIFS($B$8:TblDetailBudget[[#This Row],[Level]], Lvl3Hdr, $D$8:TblDetailBudget[[#This Row],[Lvl 1 Header]], TblDetailBudget[[#This Row],[Lvl 1 Header]], $E$8:TblDetailBudget[[#This Row],[Lvl 2 Header]], TblDetailBudget[[#This Row],[Lvl 2 Header]]))</f>
        <v/>
      </c>
      <c r="G5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3" s="164"/>
      <c r="J583" s="164"/>
      <c r="K583" s="165"/>
      <c r="L583" s="165"/>
      <c r="M583" s="85" t="str">
        <f>IF(TblDetailBudget[[#This Row],[Level]]=LvlBottomHdr, IFERROR(INDEX(TblUnitCost[Unit], MATCH(TblDetailBudget[[#This Row],[Row Title]], TblUnitCost[Resource], 0)), "Invalid Resource"), "")</f>
        <v/>
      </c>
      <c r="N583" s="126" t="str">
        <f>IF(TblDetailBudget[[#This Row],[Level]]=LvlBottomHdr, IFERROR(INDEX(TblUnitCost[LCU], MATCH(TblDetailBudget[[#This Row],[Row Title]], TblUnitCost[Resource], 0)), "Invalid Resource"), "")</f>
        <v/>
      </c>
      <c r="O583" s="130"/>
      <c r="P583" s="109"/>
      <c r="Q583" s="131"/>
      <c r="R583" s="109" t="s">
        <v>66</v>
      </c>
      <c r="S583" s="109" t="s">
        <v>66</v>
      </c>
      <c r="T583" s="109" t="s">
        <v>66</v>
      </c>
      <c r="U583" s="109" t="s">
        <v>66</v>
      </c>
      <c r="V583" s="109" t="s">
        <v>66</v>
      </c>
      <c r="W583" s="126" t="str">
        <f>IF(TblDetailBudget[[#This Row],[Level]]=LvlBottomHdr, IF(SUM(TblDetailBudget[[#This Row],[2021 Quant]:[2025 Quant]])&gt;0, SUM(TblDetailBudget[[#This Row],[2021 Quant]:[2025 Quant]]), ""), "")</f>
        <v/>
      </c>
      <c r="X5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3" s="142">
        <f>SUM(TblDetailBudget[[#This Row],[2021 Cost (LCU)]:[2025 Cost (LCU)]])</f>
        <v>0</v>
      </c>
      <c r="AD583" s="135">
        <f>IFERROR(SUM(TblDetailBudget[[#This Row],[2021 Cost (LCU)]])/FX_Rate, "")</f>
        <v>0</v>
      </c>
      <c r="AE583" s="86">
        <f>IFERROR(SUM(TblDetailBudget[[#This Row],[2022 Cost (LCU)]])/FX_Rate, "")</f>
        <v>0</v>
      </c>
      <c r="AF583" s="86">
        <f>IFERROR(SUM(TblDetailBudget[[#This Row],[2023 Cost (LCU)]])/FX_Rate, "")</f>
        <v>0</v>
      </c>
      <c r="AG583" s="86">
        <f>IFERROR(SUM(TblDetailBudget[[#This Row],[2024 Cost (LCU)]])/FX_Rate, "")</f>
        <v>0</v>
      </c>
      <c r="AH583" s="86">
        <f>IFERROR(SUM(TblDetailBudget[[#This Row],[2025 Cost (LCU)]])/FX_Rate, "")</f>
        <v>0</v>
      </c>
      <c r="AI583" s="126">
        <f>SUM(TblDetailBudget[[#This Row],[2021 Cost (USD)]:[2025 Cost (USD)]])</f>
        <v>0</v>
      </c>
      <c r="AJ583" s="180"/>
    </row>
    <row r="584" spans="2:36" ht="12.75" customHeight="1">
      <c r="B584" s="123"/>
      <c r="C5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4" s="85" t="str">
        <f>IF(TblDetailBudget[[#This Row],[Level]]="", "", COUNTIFS($B$8:TblDetailBudget[[#This Row],[Level]], Lvl1Hdr))</f>
        <v/>
      </c>
      <c r="E584" s="85" t="str">
        <f>IF(TblDetailBudget[[#This Row],[Level]]="", "", COUNTIFS($B$8:TblDetailBudget[[#This Row],[Level]], Lvl2Hdr, $D$8:TblDetailBudget[[#This Row],[Lvl 1 Header]], TblDetailBudget[[#This Row],[Lvl 1 Header]]))</f>
        <v/>
      </c>
      <c r="F584" s="85" t="str">
        <f>IF(TblDetailBudget[[#This Row],[Level]]="", "", COUNTIFS($B$8:TblDetailBudget[[#This Row],[Level]], Lvl3Hdr, $D$8:TblDetailBudget[[#This Row],[Lvl 1 Header]], TblDetailBudget[[#This Row],[Lvl 1 Header]], $E$8:TblDetailBudget[[#This Row],[Lvl 2 Header]], TblDetailBudget[[#This Row],[Lvl 2 Header]]))</f>
        <v/>
      </c>
      <c r="G5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4" s="164"/>
      <c r="J584" s="164"/>
      <c r="K584" s="165"/>
      <c r="L584" s="165"/>
      <c r="M584" s="85" t="str">
        <f>IF(TblDetailBudget[[#This Row],[Level]]=LvlBottomHdr, IFERROR(INDEX(TblUnitCost[Unit], MATCH(TblDetailBudget[[#This Row],[Row Title]], TblUnitCost[Resource], 0)), "Invalid Resource"), "")</f>
        <v/>
      </c>
      <c r="N584" s="126" t="str">
        <f>IF(TblDetailBudget[[#This Row],[Level]]=LvlBottomHdr, IFERROR(INDEX(TblUnitCost[LCU], MATCH(TblDetailBudget[[#This Row],[Row Title]], TblUnitCost[Resource], 0)), "Invalid Resource"), "")</f>
        <v/>
      </c>
      <c r="O584" s="130"/>
      <c r="P584" s="109"/>
      <c r="Q584" s="131"/>
      <c r="R584" s="109" t="s">
        <v>66</v>
      </c>
      <c r="S584" s="109" t="s">
        <v>66</v>
      </c>
      <c r="T584" s="109" t="s">
        <v>66</v>
      </c>
      <c r="U584" s="109" t="s">
        <v>66</v>
      </c>
      <c r="V584" s="109" t="s">
        <v>66</v>
      </c>
      <c r="W584" s="126" t="str">
        <f>IF(TblDetailBudget[[#This Row],[Level]]=LvlBottomHdr, IF(SUM(TblDetailBudget[[#This Row],[2021 Quant]:[2025 Quant]])&gt;0, SUM(TblDetailBudget[[#This Row],[2021 Quant]:[2025 Quant]]), ""), "")</f>
        <v/>
      </c>
      <c r="X5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4" s="142">
        <f>SUM(TblDetailBudget[[#This Row],[2021 Cost (LCU)]:[2025 Cost (LCU)]])</f>
        <v>0</v>
      </c>
      <c r="AD584" s="135">
        <f>IFERROR(SUM(TblDetailBudget[[#This Row],[2021 Cost (LCU)]])/FX_Rate, "")</f>
        <v>0</v>
      </c>
      <c r="AE584" s="86">
        <f>IFERROR(SUM(TblDetailBudget[[#This Row],[2022 Cost (LCU)]])/FX_Rate, "")</f>
        <v>0</v>
      </c>
      <c r="AF584" s="86">
        <f>IFERROR(SUM(TblDetailBudget[[#This Row],[2023 Cost (LCU)]])/FX_Rate, "")</f>
        <v>0</v>
      </c>
      <c r="AG584" s="86">
        <f>IFERROR(SUM(TblDetailBudget[[#This Row],[2024 Cost (LCU)]])/FX_Rate, "")</f>
        <v>0</v>
      </c>
      <c r="AH584" s="86">
        <f>IFERROR(SUM(TblDetailBudget[[#This Row],[2025 Cost (LCU)]])/FX_Rate, "")</f>
        <v>0</v>
      </c>
      <c r="AI584" s="126">
        <f>SUM(TblDetailBudget[[#This Row],[2021 Cost (USD)]:[2025 Cost (USD)]])</f>
        <v>0</v>
      </c>
      <c r="AJ584" s="180"/>
    </row>
    <row r="585" spans="2:36" ht="12.75" customHeight="1">
      <c r="B585" s="123"/>
      <c r="C5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5" s="85" t="str">
        <f>IF(TblDetailBudget[[#This Row],[Level]]="", "", COUNTIFS($B$8:TblDetailBudget[[#This Row],[Level]], Lvl1Hdr))</f>
        <v/>
      </c>
      <c r="E585" s="85" t="str">
        <f>IF(TblDetailBudget[[#This Row],[Level]]="", "", COUNTIFS($B$8:TblDetailBudget[[#This Row],[Level]], Lvl2Hdr, $D$8:TblDetailBudget[[#This Row],[Lvl 1 Header]], TblDetailBudget[[#This Row],[Lvl 1 Header]]))</f>
        <v/>
      </c>
      <c r="F585" s="85" t="str">
        <f>IF(TblDetailBudget[[#This Row],[Level]]="", "", COUNTIFS($B$8:TblDetailBudget[[#This Row],[Level]], Lvl3Hdr, $D$8:TblDetailBudget[[#This Row],[Lvl 1 Header]], TblDetailBudget[[#This Row],[Lvl 1 Header]], $E$8:TblDetailBudget[[#This Row],[Lvl 2 Header]], TblDetailBudget[[#This Row],[Lvl 2 Header]]))</f>
        <v/>
      </c>
      <c r="G5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5" s="164"/>
      <c r="J585" s="164"/>
      <c r="K585" s="165"/>
      <c r="L585" s="165"/>
      <c r="M585" s="85" t="str">
        <f>IF(TblDetailBudget[[#This Row],[Level]]=LvlBottomHdr, IFERROR(INDEX(TblUnitCost[Unit], MATCH(TblDetailBudget[[#This Row],[Row Title]], TblUnitCost[Resource], 0)), "Invalid Resource"), "")</f>
        <v/>
      </c>
      <c r="N585" s="126" t="str">
        <f>IF(TblDetailBudget[[#This Row],[Level]]=LvlBottomHdr, IFERROR(INDEX(TblUnitCost[LCU], MATCH(TblDetailBudget[[#This Row],[Row Title]], TblUnitCost[Resource], 0)), "Invalid Resource"), "")</f>
        <v/>
      </c>
      <c r="O585" s="130"/>
      <c r="P585" s="109"/>
      <c r="Q585" s="131"/>
      <c r="R585" s="109" t="s">
        <v>66</v>
      </c>
      <c r="S585" s="109" t="s">
        <v>66</v>
      </c>
      <c r="T585" s="109" t="s">
        <v>66</v>
      </c>
      <c r="U585" s="109" t="s">
        <v>66</v>
      </c>
      <c r="V585" s="109" t="s">
        <v>66</v>
      </c>
      <c r="W585" s="126" t="str">
        <f>IF(TblDetailBudget[[#This Row],[Level]]=LvlBottomHdr, IF(SUM(TblDetailBudget[[#This Row],[2021 Quant]:[2025 Quant]])&gt;0, SUM(TblDetailBudget[[#This Row],[2021 Quant]:[2025 Quant]]), ""), "")</f>
        <v/>
      </c>
      <c r="X5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5" s="142">
        <f>SUM(TblDetailBudget[[#This Row],[2021 Cost (LCU)]:[2025 Cost (LCU)]])</f>
        <v>0</v>
      </c>
      <c r="AD585" s="135">
        <f>IFERROR(SUM(TblDetailBudget[[#This Row],[2021 Cost (LCU)]])/FX_Rate, "")</f>
        <v>0</v>
      </c>
      <c r="AE585" s="86">
        <f>IFERROR(SUM(TblDetailBudget[[#This Row],[2022 Cost (LCU)]])/FX_Rate, "")</f>
        <v>0</v>
      </c>
      <c r="AF585" s="86">
        <f>IFERROR(SUM(TblDetailBudget[[#This Row],[2023 Cost (LCU)]])/FX_Rate, "")</f>
        <v>0</v>
      </c>
      <c r="AG585" s="86">
        <f>IFERROR(SUM(TblDetailBudget[[#This Row],[2024 Cost (LCU)]])/FX_Rate, "")</f>
        <v>0</v>
      </c>
      <c r="AH585" s="86">
        <f>IFERROR(SUM(TblDetailBudget[[#This Row],[2025 Cost (LCU)]])/FX_Rate, "")</f>
        <v>0</v>
      </c>
      <c r="AI585" s="126">
        <f>SUM(TblDetailBudget[[#This Row],[2021 Cost (USD)]:[2025 Cost (USD)]])</f>
        <v>0</v>
      </c>
      <c r="AJ585" s="180"/>
    </row>
    <row r="586" spans="2:36" ht="12.75" customHeight="1">
      <c r="B586" s="123"/>
      <c r="C5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6" s="85" t="str">
        <f>IF(TblDetailBudget[[#This Row],[Level]]="", "", COUNTIFS($B$8:TblDetailBudget[[#This Row],[Level]], Lvl1Hdr))</f>
        <v/>
      </c>
      <c r="E586" s="85" t="str">
        <f>IF(TblDetailBudget[[#This Row],[Level]]="", "", COUNTIFS($B$8:TblDetailBudget[[#This Row],[Level]], Lvl2Hdr, $D$8:TblDetailBudget[[#This Row],[Lvl 1 Header]], TblDetailBudget[[#This Row],[Lvl 1 Header]]))</f>
        <v/>
      </c>
      <c r="F586" s="85" t="str">
        <f>IF(TblDetailBudget[[#This Row],[Level]]="", "", COUNTIFS($B$8:TblDetailBudget[[#This Row],[Level]], Lvl3Hdr, $D$8:TblDetailBudget[[#This Row],[Lvl 1 Header]], TblDetailBudget[[#This Row],[Lvl 1 Header]], $E$8:TblDetailBudget[[#This Row],[Lvl 2 Header]], TblDetailBudget[[#This Row],[Lvl 2 Header]]))</f>
        <v/>
      </c>
      <c r="G5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6" s="164"/>
      <c r="J586" s="164"/>
      <c r="K586" s="165"/>
      <c r="L586" s="165"/>
      <c r="M586" s="85" t="str">
        <f>IF(TblDetailBudget[[#This Row],[Level]]=LvlBottomHdr, IFERROR(INDEX(TblUnitCost[Unit], MATCH(TblDetailBudget[[#This Row],[Row Title]], TblUnitCost[Resource], 0)), "Invalid Resource"), "")</f>
        <v/>
      </c>
      <c r="N586" s="126" t="str">
        <f>IF(TblDetailBudget[[#This Row],[Level]]=LvlBottomHdr, IFERROR(INDEX(TblUnitCost[LCU], MATCH(TblDetailBudget[[#This Row],[Row Title]], TblUnitCost[Resource], 0)), "Invalid Resource"), "")</f>
        <v/>
      </c>
      <c r="O586" s="130"/>
      <c r="P586" s="109"/>
      <c r="Q586" s="131"/>
      <c r="R586" s="109" t="s">
        <v>66</v>
      </c>
      <c r="S586" s="109" t="s">
        <v>66</v>
      </c>
      <c r="T586" s="109" t="s">
        <v>66</v>
      </c>
      <c r="U586" s="109" t="s">
        <v>66</v>
      </c>
      <c r="V586" s="109" t="s">
        <v>66</v>
      </c>
      <c r="W586" s="126" t="str">
        <f>IF(TblDetailBudget[[#This Row],[Level]]=LvlBottomHdr, IF(SUM(TblDetailBudget[[#This Row],[2021 Quant]:[2025 Quant]])&gt;0, SUM(TblDetailBudget[[#This Row],[2021 Quant]:[2025 Quant]]), ""), "")</f>
        <v/>
      </c>
      <c r="X5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6" s="142">
        <f>SUM(TblDetailBudget[[#This Row],[2021 Cost (LCU)]:[2025 Cost (LCU)]])</f>
        <v>0</v>
      </c>
      <c r="AD586" s="135">
        <f>IFERROR(SUM(TblDetailBudget[[#This Row],[2021 Cost (LCU)]])/FX_Rate, "")</f>
        <v>0</v>
      </c>
      <c r="AE586" s="86">
        <f>IFERROR(SUM(TblDetailBudget[[#This Row],[2022 Cost (LCU)]])/FX_Rate, "")</f>
        <v>0</v>
      </c>
      <c r="AF586" s="86">
        <f>IFERROR(SUM(TblDetailBudget[[#This Row],[2023 Cost (LCU)]])/FX_Rate, "")</f>
        <v>0</v>
      </c>
      <c r="AG586" s="86">
        <f>IFERROR(SUM(TblDetailBudget[[#This Row],[2024 Cost (LCU)]])/FX_Rate, "")</f>
        <v>0</v>
      </c>
      <c r="AH586" s="86">
        <f>IFERROR(SUM(TblDetailBudget[[#This Row],[2025 Cost (LCU)]])/FX_Rate, "")</f>
        <v>0</v>
      </c>
      <c r="AI586" s="126">
        <f>SUM(TblDetailBudget[[#This Row],[2021 Cost (USD)]:[2025 Cost (USD)]])</f>
        <v>0</v>
      </c>
      <c r="AJ586" s="180"/>
    </row>
    <row r="587" spans="2:36" ht="12.75" customHeight="1">
      <c r="B587" s="123"/>
      <c r="C5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7" s="85" t="str">
        <f>IF(TblDetailBudget[[#This Row],[Level]]="", "", COUNTIFS($B$8:TblDetailBudget[[#This Row],[Level]], Lvl1Hdr))</f>
        <v/>
      </c>
      <c r="E587" s="85" t="str">
        <f>IF(TblDetailBudget[[#This Row],[Level]]="", "", COUNTIFS($B$8:TblDetailBudget[[#This Row],[Level]], Lvl2Hdr, $D$8:TblDetailBudget[[#This Row],[Lvl 1 Header]], TblDetailBudget[[#This Row],[Lvl 1 Header]]))</f>
        <v/>
      </c>
      <c r="F587" s="85" t="str">
        <f>IF(TblDetailBudget[[#This Row],[Level]]="", "", COUNTIFS($B$8:TblDetailBudget[[#This Row],[Level]], Lvl3Hdr, $D$8:TblDetailBudget[[#This Row],[Lvl 1 Header]], TblDetailBudget[[#This Row],[Lvl 1 Header]], $E$8:TblDetailBudget[[#This Row],[Lvl 2 Header]], TblDetailBudget[[#This Row],[Lvl 2 Header]]))</f>
        <v/>
      </c>
      <c r="G5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7" s="164"/>
      <c r="J587" s="164"/>
      <c r="K587" s="165"/>
      <c r="L587" s="165"/>
      <c r="M587" s="85" t="str">
        <f>IF(TblDetailBudget[[#This Row],[Level]]=LvlBottomHdr, IFERROR(INDEX(TblUnitCost[Unit], MATCH(TblDetailBudget[[#This Row],[Row Title]], TblUnitCost[Resource], 0)), "Invalid Resource"), "")</f>
        <v/>
      </c>
      <c r="N587" s="126" t="str">
        <f>IF(TblDetailBudget[[#This Row],[Level]]=LvlBottomHdr, IFERROR(INDEX(TblUnitCost[LCU], MATCH(TblDetailBudget[[#This Row],[Row Title]], TblUnitCost[Resource], 0)), "Invalid Resource"), "")</f>
        <v/>
      </c>
      <c r="O587" s="130"/>
      <c r="P587" s="109"/>
      <c r="Q587" s="131"/>
      <c r="R587" s="109" t="s">
        <v>66</v>
      </c>
      <c r="S587" s="109" t="s">
        <v>66</v>
      </c>
      <c r="T587" s="109" t="s">
        <v>66</v>
      </c>
      <c r="U587" s="109" t="s">
        <v>66</v>
      </c>
      <c r="V587" s="109" t="s">
        <v>66</v>
      </c>
      <c r="W587" s="126" t="str">
        <f>IF(TblDetailBudget[[#This Row],[Level]]=LvlBottomHdr, IF(SUM(TblDetailBudget[[#This Row],[2021 Quant]:[2025 Quant]])&gt;0, SUM(TblDetailBudget[[#This Row],[2021 Quant]:[2025 Quant]]), ""), "")</f>
        <v/>
      </c>
      <c r="X5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7" s="142">
        <f>SUM(TblDetailBudget[[#This Row],[2021 Cost (LCU)]:[2025 Cost (LCU)]])</f>
        <v>0</v>
      </c>
      <c r="AD587" s="135">
        <f>IFERROR(SUM(TblDetailBudget[[#This Row],[2021 Cost (LCU)]])/FX_Rate, "")</f>
        <v>0</v>
      </c>
      <c r="AE587" s="86">
        <f>IFERROR(SUM(TblDetailBudget[[#This Row],[2022 Cost (LCU)]])/FX_Rate, "")</f>
        <v>0</v>
      </c>
      <c r="AF587" s="86">
        <f>IFERROR(SUM(TblDetailBudget[[#This Row],[2023 Cost (LCU)]])/FX_Rate, "")</f>
        <v>0</v>
      </c>
      <c r="AG587" s="86">
        <f>IFERROR(SUM(TblDetailBudget[[#This Row],[2024 Cost (LCU)]])/FX_Rate, "")</f>
        <v>0</v>
      </c>
      <c r="AH587" s="86">
        <f>IFERROR(SUM(TblDetailBudget[[#This Row],[2025 Cost (LCU)]])/FX_Rate, "")</f>
        <v>0</v>
      </c>
      <c r="AI587" s="126">
        <f>SUM(TblDetailBudget[[#This Row],[2021 Cost (USD)]:[2025 Cost (USD)]])</f>
        <v>0</v>
      </c>
      <c r="AJ587" s="180"/>
    </row>
    <row r="588" spans="2:36" ht="12.75" customHeight="1">
      <c r="B588" s="123"/>
      <c r="C5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8" s="85" t="str">
        <f>IF(TblDetailBudget[[#This Row],[Level]]="", "", COUNTIFS($B$8:TblDetailBudget[[#This Row],[Level]], Lvl1Hdr))</f>
        <v/>
      </c>
      <c r="E588" s="85" t="str">
        <f>IF(TblDetailBudget[[#This Row],[Level]]="", "", COUNTIFS($B$8:TblDetailBudget[[#This Row],[Level]], Lvl2Hdr, $D$8:TblDetailBudget[[#This Row],[Lvl 1 Header]], TblDetailBudget[[#This Row],[Lvl 1 Header]]))</f>
        <v/>
      </c>
      <c r="F588" s="85" t="str">
        <f>IF(TblDetailBudget[[#This Row],[Level]]="", "", COUNTIFS($B$8:TblDetailBudget[[#This Row],[Level]], Lvl3Hdr, $D$8:TblDetailBudget[[#This Row],[Lvl 1 Header]], TblDetailBudget[[#This Row],[Lvl 1 Header]], $E$8:TblDetailBudget[[#This Row],[Lvl 2 Header]], TblDetailBudget[[#This Row],[Lvl 2 Header]]))</f>
        <v/>
      </c>
      <c r="G5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8" s="164"/>
      <c r="J588" s="164"/>
      <c r="K588" s="165"/>
      <c r="L588" s="165"/>
      <c r="M588" s="85" t="str">
        <f>IF(TblDetailBudget[[#This Row],[Level]]=LvlBottomHdr, IFERROR(INDEX(TblUnitCost[Unit], MATCH(TblDetailBudget[[#This Row],[Row Title]], TblUnitCost[Resource], 0)), "Invalid Resource"), "")</f>
        <v/>
      </c>
      <c r="N588" s="126" t="str">
        <f>IF(TblDetailBudget[[#This Row],[Level]]=LvlBottomHdr, IFERROR(INDEX(TblUnitCost[LCU], MATCH(TblDetailBudget[[#This Row],[Row Title]], TblUnitCost[Resource], 0)), "Invalid Resource"), "")</f>
        <v/>
      </c>
      <c r="O588" s="130"/>
      <c r="P588" s="109"/>
      <c r="Q588" s="131"/>
      <c r="R588" s="109" t="s">
        <v>66</v>
      </c>
      <c r="S588" s="109" t="s">
        <v>66</v>
      </c>
      <c r="T588" s="109" t="s">
        <v>66</v>
      </c>
      <c r="U588" s="109" t="s">
        <v>66</v>
      </c>
      <c r="V588" s="109" t="s">
        <v>66</v>
      </c>
      <c r="W588" s="126" t="str">
        <f>IF(TblDetailBudget[[#This Row],[Level]]=LvlBottomHdr, IF(SUM(TblDetailBudget[[#This Row],[2021 Quant]:[2025 Quant]])&gt;0, SUM(TblDetailBudget[[#This Row],[2021 Quant]:[2025 Quant]]), ""), "")</f>
        <v/>
      </c>
      <c r="X5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8" s="142">
        <f>SUM(TblDetailBudget[[#This Row],[2021 Cost (LCU)]:[2025 Cost (LCU)]])</f>
        <v>0</v>
      </c>
      <c r="AD588" s="135">
        <f>IFERROR(SUM(TblDetailBudget[[#This Row],[2021 Cost (LCU)]])/FX_Rate, "")</f>
        <v>0</v>
      </c>
      <c r="AE588" s="86">
        <f>IFERROR(SUM(TblDetailBudget[[#This Row],[2022 Cost (LCU)]])/FX_Rate, "")</f>
        <v>0</v>
      </c>
      <c r="AF588" s="86">
        <f>IFERROR(SUM(TblDetailBudget[[#This Row],[2023 Cost (LCU)]])/FX_Rate, "")</f>
        <v>0</v>
      </c>
      <c r="AG588" s="86">
        <f>IFERROR(SUM(TblDetailBudget[[#This Row],[2024 Cost (LCU)]])/FX_Rate, "")</f>
        <v>0</v>
      </c>
      <c r="AH588" s="86">
        <f>IFERROR(SUM(TblDetailBudget[[#This Row],[2025 Cost (LCU)]])/FX_Rate, "")</f>
        <v>0</v>
      </c>
      <c r="AI588" s="126">
        <f>SUM(TblDetailBudget[[#This Row],[2021 Cost (USD)]:[2025 Cost (USD)]])</f>
        <v>0</v>
      </c>
      <c r="AJ588" s="180"/>
    </row>
    <row r="589" spans="2:36" ht="12.75" customHeight="1">
      <c r="B589" s="123"/>
      <c r="C5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9" s="85" t="str">
        <f>IF(TblDetailBudget[[#This Row],[Level]]="", "", COUNTIFS($B$8:TblDetailBudget[[#This Row],[Level]], Lvl1Hdr))</f>
        <v/>
      </c>
      <c r="E589" s="85" t="str">
        <f>IF(TblDetailBudget[[#This Row],[Level]]="", "", COUNTIFS($B$8:TblDetailBudget[[#This Row],[Level]], Lvl2Hdr, $D$8:TblDetailBudget[[#This Row],[Lvl 1 Header]], TblDetailBudget[[#This Row],[Lvl 1 Header]]))</f>
        <v/>
      </c>
      <c r="F589" s="85" t="str">
        <f>IF(TblDetailBudget[[#This Row],[Level]]="", "", COUNTIFS($B$8:TblDetailBudget[[#This Row],[Level]], Lvl3Hdr, $D$8:TblDetailBudget[[#This Row],[Lvl 1 Header]], TblDetailBudget[[#This Row],[Lvl 1 Header]], $E$8:TblDetailBudget[[#This Row],[Lvl 2 Header]], TblDetailBudget[[#This Row],[Lvl 2 Header]]))</f>
        <v/>
      </c>
      <c r="G5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9" s="164"/>
      <c r="J589" s="164"/>
      <c r="K589" s="165"/>
      <c r="L589" s="165"/>
      <c r="M589" s="85" t="str">
        <f>IF(TblDetailBudget[[#This Row],[Level]]=LvlBottomHdr, IFERROR(INDEX(TblUnitCost[Unit], MATCH(TblDetailBudget[[#This Row],[Row Title]], TblUnitCost[Resource], 0)), "Invalid Resource"), "")</f>
        <v/>
      </c>
      <c r="N589" s="126" t="str">
        <f>IF(TblDetailBudget[[#This Row],[Level]]=LvlBottomHdr, IFERROR(INDEX(TblUnitCost[LCU], MATCH(TblDetailBudget[[#This Row],[Row Title]], TblUnitCost[Resource], 0)), "Invalid Resource"), "")</f>
        <v/>
      </c>
      <c r="O589" s="130"/>
      <c r="P589" s="109"/>
      <c r="Q589" s="131"/>
      <c r="R589" s="109" t="s">
        <v>66</v>
      </c>
      <c r="S589" s="109" t="s">
        <v>66</v>
      </c>
      <c r="T589" s="109" t="s">
        <v>66</v>
      </c>
      <c r="U589" s="109" t="s">
        <v>66</v>
      </c>
      <c r="V589" s="109" t="s">
        <v>66</v>
      </c>
      <c r="W589" s="126" t="str">
        <f>IF(TblDetailBudget[[#This Row],[Level]]=LvlBottomHdr, IF(SUM(TblDetailBudget[[#This Row],[2021 Quant]:[2025 Quant]])&gt;0, SUM(TblDetailBudget[[#This Row],[2021 Quant]:[2025 Quant]]), ""), "")</f>
        <v/>
      </c>
      <c r="X5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9" s="142">
        <f>SUM(TblDetailBudget[[#This Row],[2021 Cost (LCU)]:[2025 Cost (LCU)]])</f>
        <v>0</v>
      </c>
      <c r="AD589" s="135">
        <f>IFERROR(SUM(TblDetailBudget[[#This Row],[2021 Cost (LCU)]])/FX_Rate, "")</f>
        <v>0</v>
      </c>
      <c r="AE589" s="86">
        <f>IFERROR(SUM(TblDetailBudget[[#This Row],[2022 Cost (LCU)]])/FX_Rate, "")</f>
        <v>0</v>
      </c>
      <c r="AF589" s="86">
        <f>IFERROR(SUM(TblDetailBudget[[#This Row],[2023 Cost (LCU)]])/FX_Rate, "")</f>
        <v>0</v>
      </c>
      <c r="AG589" s="86">
        <f>IFERROR(SUM(TblDetailBudget[[#This Row],[2024 Cost (LCU)]])/FX_Rate, "")</f>
        <v>0</v>
      </c>
      <c r="AH589" s="86">
        <f>IFERROR(SUM(TblDetailBudget[[#This Row],[2025 Cost (LCU)]])/FX_Rate, "")</f>
        <v>0</v>
      </c>
      <c r="AI589" s="126">
        <f>SUM(TblDetailBudget[[#This Row],[2021 Cost (USD)]:[2025 Cost (USD)]])</f>
        <v>0</v>
      </c>
      <c r="AJ589" s="180"/>
    </row>
    <row r="590" spans="2:36" ht="12.75" customHeight="1">
      <c r="B590" s="123"/>
      <c r="C5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0" s="85" t="str">
        <f>IF(TblDetailBudget[[#This Row],[Level]]="", "", COUNTIFS($B$8:TblDetailBudget[[#This Row],[Level]], Lvl1Hdr))</f>
        <v/>
      </c>
      <c r="E590" s="85" t="str">
        <f>IF(TblDetailBudget[[#This Row],[Level]]="", "", COUNTIFS($B$8:TblDetailBudget[[#This Row],[Level]], Lvl2Hdr, $D$8:TblDetailBudget[[#This Row],[Lvl 1 Header]], TblDetailBudget[[#This Row],[Lvl 1 Header]]))</f>
        <v/>
      </c>
      <c r="F590" s="85" t="str">
        <f>IF(TblDetailBudget[[#This Row],[Level]]="", "", COUNTIFS($B$8:TblDetailBudget[[#This Row],[Level]], Lvl3Hdr, $D$8:TblDetailBudget[[#This Row],[Lvl 1 Header]], TblDetailBudget[[#This Row],[Lvl 1 Header]], $E$8:TblDetailBudget[[#This Row],[Lvl 2 Header]], TblDetailBudget[[#This Row],[Lvl 2 Header]]))</f>
        <v/>
      </c>
      <c r="G5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0" s="164"/>
      <c r="J590" s="164"/>
      <c r="K590" s="165"/>
      <c r="L590" s="165"/>
      <c r="M590" s="85" t="str">
        <f>IF(TblDetailBudget[[#This Row],[Level]]=LvlBottomHdr, IFERROR(INDEX(TblUnitCost[Unit], MATCH(TblDetailBudget[[#This Row],[Row Title]], TblUnitCost[Resource], 0)), "Invalid Resource"), "")</f>
        <v/>
      </c>
      <c r="N590" s="126" t="str">
        <f>IF(TblDetailBudget[[#This Row],[Level]]=LvlBottomHdr, IFERROR(INDEX(TblUnitCost[LCU], MATCH(TblDetailBudget[[#This Row],[Row Title]], TblUnitCost[Resource], 0)), "Invalid Resource"), "")</f>
        <v/>
      </c>
      <c r="O590" s="130"/>
      <c r="P590" s="109"/>
      <c r="Q590" s="131"/>
      <c r="R590" s="109" t="s">
        <v>66</v>
      </c>
      <c r="S590" s="109" t="s">
        <v>66</v>
      </c>
      <c r="T590" s="109" t="s">
        <v>66</v>
      </c>
      <c r="U590" s="109" t="s">
        <v>66</v>
      </c>
      <c r="V590" s="109" t="s">
        <v>66</v>
      </c>
      <c r="W590" s="126" t="str">
        <f>IF(TblDetailBudget[[#This Row],[Level]]=LvlBottomHdr, IF(SUM(TblDetailBudget[[#This Row],[2021 Quant]:[2025 Quant]])&gt;0, SUM(TblDetailBudget[[#This Row],[2021 Quant]:[2025 Quant]]), ""), "")</f>
        <v/>
      </c>
      <c r="X5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0" s="142">
        <f>SUM(TblDetailBudget[[#This Row],[2021 Cost (LCU)]:[2025 Cost (LCU)]])</f>
        <v>0</v>
      </c>
      <c r="AD590" s="135">
        <f>IFERROR(SUM(TblDetailBudget[[#This Row],[2021 Cost (LCU)]])/FX_Rate, "")</f>
        <v>0</v>
      </c>
      <c r="AE590" s="86">
        <f>IFERROR(SUM(TblDetailBudget[[#This Row],[2022 Cost (LCU)]])/FX_Rate, "")</f>
        <v>0</v>
      </c>
      <c r="AF590" s="86">
        <f>IFERROR(SUM(TblDetailBudget[[#This Row],[2023 Cost (LCU)]])/FX_Rate, "")</f>
        <v>0</v>
      </c>
      <c r="AG590" s="86">
        <f>IFERROR(SUM(TblDetailBudget[[#This Row],[2024 Cost (LCU)]])/FX_Rate, "")</f>
        <v>0</v>
      </c>
      <c r="AH590" s="86">
        <f>IFERROR(SUM(TblDetailBudget[[#This Row],[2025 Cost (LCU)]])/FX_Rate, "")</f>
        <v>0</v>
      </c>
      <c r="AI590" s="126">
        <f>SUM(TblDetailBudget[[#This Row],[2021 Cost (USD)]:[2025 Cost (USD)]])</f>
        <v>0</v>
      </c>
      <c r="AJ590" s="180"/>
    </row>
    <row r="591" spans="2:36" ht="12.75" customHeight="1">
      <c r="B591" s="123"/>
      <c r="C5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1" s="85" t="str">
        <f>IF(TblDetailBudget[[#This Row],[Level]]="", "", COUNTIFS($B$8:TblDetailBudget[[#This Row],[Level]], Lvl1Hdr))</f>
        <v/>
      </c>
      <c r="E591" s="85" t="str">
        <f>IF(TblDetailBudget[[#This Row],[Level]]="", "", COUNTIFS($B$8:TblDetailBudget[[#This Row],[Level]], Lvl2Hdr, $D$8:TblDetailBudget[[#This Row],[Lvl 1 Header]], TblDetailBudget[[#This Row],[Lvl 1 Header]]))</f>
        <v/>
      </c>
      <c r="F591" s="85" t="str">
        <f>IF(TblDetailBudget[[#This Row],[Level]]="", "", COUNTIFS($B$8:TblDetailBudget[[#This Row],[Level]], Lvl3Hdr, $D$8:TblDetailBudget[[#This Row],[Lvl 1 Header]], TblDetailBudget[[#This Row],[Lvl 1 Header]], $E$8:TblDetailBudget[[#This Row],[Lvl 2 Header]], TblDetailBudget[[#This Row],[Lvl 2 Header]]))</f>
        <v/>
      </c>
      <c r="G5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1" s="164"/>
      <c r="J591" s="164"/>
      <c r="K591" s="165"/>
      <c r="L591" s="165"/>
      <c r="M591" s="85" t="str">
        <f>IF(TblDetailBudget[[#This Row],[Level]]=LvlBottomHdr, IFERROR(INDEX(TblUnitCost[Unit], MATCH(TblDetailBudget[[#This Row],[Row Title]], TblUnitCost[Resource], 0)), "Invalid Resource"), "")</f>
        <v/>
      </c>
      <c r="N591" s="126" t="str">
        <f>IF(TblDetailBudget[[#This Row],[Level]]=LvlBottomHdr, IFERROR(INDEX(TblUnitCost[LCU], MATCH(TblDetailBudget[[#This Row],[Row Title]], TblUnitCost[Resource], 0)), "Invalid Resource"), "")</f>
        <v/>
      </c>
      <c r="O591" s="130"/>
      <c r="P591" s="109"/>
      <c r="Q591" s="131"/>
      <c r="R591" s="109" t="s">
        <v>66</v>
      </c>
      <c r="S591" s="109" t="s">
        <v>66</v>
      </c>
      <c r="T591" s="109" t="s">
        <v>66</v>
      </c>
      <c r="U591" s="109" t="s">
        <v>66</v>
      </c>
      <c r="V591" s="109" t="s">
        <v>66</v>
      </c>
      <c r="W591" s="126" t="str">
        <f>IF(TblDetailBudget[[#This Row],[Level]]=LvlBottomHdr, IF(SUM(TblDetailBudget[[#This Row],[2021 Quant]:[2025 Quant]])&gt;0, SUM(TblDetailBudget[[#This Row],[2021 Quant]:[2025 Quant]]), ""), "")</f>
        <v/>
      </c>
      <c r="X5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1" s="142">
        <f>SUM(TblDetailBudget[[#This Row],[2021 Cost (LCU)]:[2025 Cost (LCU)]])</f>
        <v>0</v>
      </c>
      <c r="AD591" s="135">
        <f>IFERROR(SUM(TblDetailBudget[[#This Row],[2021 Cost (LCU)]])/FX_Rate, "")</f>
        <v>0</v>
      </c>
      <c r="AE591" s="86">
        <f>IFERROR(SUM(TblDetailBudget[[#This Row],[2022 Cost (LCU)]])/FX_Rate, "")</f>
        <v>0</v>
      </c>
      <c r="AF591" s="86">
        <f>IFERROR(SUM(TblDetailBudget[[#This Row],[2023 Cost (LCU)]])/FX_Rate, "")</f>
        <v>0</v>
      </c>
      <c r="AG591" s="86">
        <f>IFERROR(SUM(TblDetailBudget[[#This Row],[2024 Cost (LCU)]])/FX_Rate, "")</f>
        <v>0</v>
      </c>
      <c r="AH591" s="86">
        <f>IFERROR(SUM(TblDetailBudget[[#This Row],[2025 Cost (LCU)]])/FX_Rate, "")</f>
        <v>0</v>
      </c>
      <c r="AI591" s="126">
        <f>SUM(TblDetailBudget[[#This Row],[2021 Cost (USD)]:[2025 Cost (USD)]])</f>
        <v>0</v>
      </c>
      <c r="AJ591" s="180"/>
    </row>
    <row r="592" spans="2:36" ht="12.75" customHeight="1">
      <c r="B592" s="123"/>
      <c r="C5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2" s="85" t="str">
        <f>IF(TblDetailBudget[[#This Row],[Level]]="", "", COUNTIFS($B$8:TblDetailBudget[[#This Row],[Level]], Lvl1Hdr))</f>
        <v/>
      </c>
      <c r="E592" s="85" t="str">
        <f>IF(TblDetailBudget[[#This Row],[Level]]="", "", COUNTIFS($B$8:TblDetailBudget[[#This Row],[Level]], Lvl2Hdr, $D$8:TblDetailBudget[[#This Row],[Lvl 1 Header]], TblDetailBudget[[#This Row],[Lvl 1 Header]]))</f>
        <v/>
      </c>
      <c r="F592" s="85" t="str">
        <f>IF(TblDetailBudget[[#This Row],[Level]]="", "", COUNTIFS($B$8:TblDetailBudget[[#This Row],[Level]], Lvl3Hdr, $D$8:TblDetailBudget[[#This Row],[Lvl 1 Header]], TblDetailBudget[[#This Row],[Lvl 1 Header]], $E$8:TblDetailBudget[[#This Row],[Lvl 2 Header]], TblDetailBudget[[#This Row],[Lvl 2 Header]]))</f>
        <v/>
      </c>
      <c r="G5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2" s="164"/>
      <c r="J592" s="164"/>
      <c r="K592" s="165"/>
      <c r="L592" s="165"/>
      <c r="M592" s="85" t="str">
        <f>IF(TblDetailBudget[[#This Row],[Level]]=LvlBottomHdr, IFERROR(INDEX(TblUnitCost[Unit], MATCH(TblDetailBudget[[#This Row],[Row Title]], TblUnitCost[Resource], 0)), "Invalid Resource"), "")</f>
        <v/>
      </c>
      <c r="N592" s="126" t="str">
        <f>IF(TblDetailBudget[[#This Row],[Level]]=LvlBottomHdr, IFERROR(INDEX(TblUnitCost[LCU], MATCH(TblDetailBudget[[#This Row],[Row Title]], TblUnitCost[Resource], 0)), "Invalid Resource"), "")</f>
        <v/>
      </c>
      <c r="O592" s="130"/>
      <c r="P592" s="109"/>
      <c r="Q592" s="131"/>
      <c r="R592" s="109" t="s">
        <v>66</v>
      </c>
      <c r="S592" s="109" t="s">
        <v>66</v>
      </c>
      <c r="T592" s="109" t="s">
        <v>66</v>
      </c>
      <c r="U592" s="109" t="s">
        <v>66</v>
      </c>
      <c r="V592" s="109" t="s">
        <v>66</v>
      </c>
      <c r="W592" s="126" t="str">
        <f>IF(TblDetailBudget[[#This Row],[Level]]=LvlBottomHdr, IF(SUM(TblDetailBudget[[#This Row],[2021 Quant]:[2025 Quant]])&gt;0, SUM(TblDetailBudget[[#This Row],[2021 Quant]:[2025 Quant]]), ""), "")</f>
        <v/>
      </c>
      <c r="X5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2" s="142">
        <f>SUM(TblDetailBudget[[#This Row],[2021 Cost (LCU)]:[2025 Cost (LCU)]])</f>
        <v>0</v>
      </c>
      <c r="AD592" s="135">
        <f>IFERROR(SUM(TblDetailBudget[[#This Row],[2021 Cost (LCU)]])/FX_Rate, "")</f>
        <v>0</v>
      </c>
      <c r="AE592" s="86">
        <f>IFERROR(SUM(TblDetailBudget[[#This Row],[2022 Cost (LCU)]])/FX_Rate, "")</f>
        <v>0</v>
      </c>
      <c r="AF592" s="86">
        <f>IFERROR(SUM(TblDetailBudget[[#This Row],[2023 Cost (LCU)]])/FX_Rate, "")</f>
        <v>0</v>
      </c>
      <c r="AG592" s="86">
        <f>IFERROR(SUM(TblDetailBudget[[#This Row],[2024 Cost (LCU)]])/FX_Rate, "")</f>
        <v>0</v>
      </c>
      <c r="AH592" s="86">
        <f>IFERROR(SUM(TblDetailBudget[[#This Row],[2025 Cost (LCU)]])/FX_Rate, "")</f>
        <v>0</v>
      </c>
      <c r="AI592" s="126">
        <f>SUM(TblDetailBudget[[#This Row],[2021 Cost (USD)]:[2025 Cost (USD)]])</f>
        <v>0</v>
      </c>
      <c r="AJ592" s="180"/>
    </row>
    <row r="593" spans="2:36" ht="12.75" customHeight="1">
      <c r="B593" s="123"/>
      <c r="C5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3" s="85" t="str">
        <f>IF(TblDetailBudget[[#This Row],[Level]]="", "", COUNTIFS($B$8:TblDetailBudget[[#This Row],[Level]], Lvl1Hdr))</f>
        <v/>
      </c>
      <c r="E593" s="85" t="str">
        <f>IF(TblDetailBudget[[#This Row],[Level]]="", "", COUNTIFS($B$8:TblDetailBudget[[#This Row],[Level]], Lvl2Hdr, $D$8:TblDetailBudget[[#This Row],[Lvl 1 Header]], TblDetailBudget[[#This Row],[Lvl 1 Header]]))</f>
        <v/>
      </c>
      <c r="F593" s="85" t="str">
        <f>IF(TblDetailBudget[[#This Row],[Level]]="", "", COUNTIFS($B$8:TblDetailBudget[[#This Row],[Level]], Lvl3Hdr, $D$8:TblDetailBudget[[#This Row],[Lvl 1 Header]], TblDetailBudget[[#This Row],[Lvl 1 Header]], $E$8:TblDetailBudget[[#This Row],[Lvl 2 Header]], TblDetailBudget[[#This Row],[Lvl 2 Header]]))</f>
        <v/>
      </c>
      <c r="G5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3" s="164"/>
      <c r="J593" s="164"/>
      <c r="K593" s="165"/>
      <c r="L593" s="165"/>
      <c r="M593" s="85" t="str">
        <f>IF(TblDetailBudget[[#This Row],[Level]]=LvlBottomHdr, IFERROR(INDEX(TblUnitCost[Unit], MATCH(TblDetailBudget[[#This Row],[Row Title]], TblUnitCost[Resource], 0)), "Invalid Resource"), "")</f>
        <v/>
      </c>
      <c r="N593" s="126" t="str">
        <f>IF(TblDetailBudget[[#This Row],[Level]]=LvlBottomHdr, IFERROR(INDEX(TblUnitCost[LCU], MATCH(TblDetailBudget[[#This Row],[Row Title]], TblUnitCost[Resource], 0)), "Invalid Resource"), "")</f>
        <v/>
      </c>
      <c r="O593" s="130"/>
      <c r="P593" s="109"/>
      <c r="Q593" s="131"/>
      <c r="R593" s="109" t="s">
        <v>66</v>
      </c>
      <c r="S593" s="109" t="s">
        <v>66</v>
      </c>
      <c r="T593" s="109" t="s">
        <v>66</v>
      </c>
      <c r="U593" s="109" t="s">
        <v>66</v>
      </c>
      <c r="V593" s="109" t="s">
        <v>66</v>
      </c>
      <c r="W593" s="126" t="str">
        <f>IF(TblDetailBudget[[#This Row],[Level]]=LvlBottomHdr, IF(SUM(TblDetailBudget[[#This Row],[2021 Quant]:[2025 Quant]])&gt;0, SUM(TblDetailBudget[[#This Row],[2021 Quant]:[2025 Quant]]), ""), "")</f>
        <v/>
      </c>
      <c r="X5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3" s="142">
        <f>SUM(TblDetailBudget[[#This Row],[2021 Cost (LCU)]:[2025 Cost (LCU)]])</f>
        <v>0</v>
      </c>
      <c r="AD593" s="135">
        <f>IFERROR(SUM(TblDetailBudget[[#This Row],[2021 Cost (LCU)]])/FX_Rate, "")</f>
        <v>0</v>
      </c>
      <c r="AE593" s="86">
        <f>IFERROR(SUM(TblDetailBudget[[#This Row],[2022 Cost (LCU)]])/FX_Rate, "")</f>
        <v>0</v>
      </c>
      <c r="AF593" s="86">
        <f>IFERROR(SUM(TblDetailBudget[[#This Row],[2023 Cost (LCU)]])/FX_Rate, "")</f>
        <v>0</v>
      </c>
      <c r="AG593" s="86">
        <f>IFERROR(SUM(TblDetailBudget[[#This Row],[2024 Cost (LCU)]])/FX_Rate, "")</f>
        <v>0</v>
      </c>
      <c r="AH593" s="86">
        <f>IFERROR(SUM(TblDetailBudget[[#This Row],[2025 Cost (LCU)]])/FX_Rate, "")</f>
        <v>0</v>
      </c>
      <c r="AI593" s="126">
        <f>SUM(TblDetailBudget[[#This Row],[2021 Cost (USD)]:[2025 Cost (USD)]])</f>
        <v>0</v>
      </c>
      <c r="AJ593" s="180"/>
    </row>
    <row r="594" spans="2:36" ht="12.75" customHeight="1">
      <c r="B594" s="123"/>
      <c r="C5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4" s="85" t="str">
        <f>IF(TblDetailBudget[[#This Row],[Level]]="", "", COUNTIFS($B$8:TblDetailBudget[[#This Row],[Level]], Lvl1Hdr))</f>
        <v/>
      </c>
      <c r="E594" s="85" t="str">
        <f>IF(TblDetailBudget[[#This Row],[Level]]="", "", COUNTIFS($B$8:TblDetailBudget[[#This Row],[Level]], Lvl2Hdr, $D$8:TblDetailBudget[[#This Row],[Lvl 1 Header]], TblDetailBudget[[#This Row],[Lvl 1 Header]]))</f>
        <v/>
      </c>
      <c r="F594" s="85" t="str">
        <f>IF(TblDetailBudget[[#This Row],[Level]]="", "", COUNTIFS($B$8:TblDetailBudget[[#This Row],[Level]], Lvl3Hdr, $D$8:TblDetailBudget[[#This Row],[Lvl 1 Header]], TblDetailBudget[[#This Row],[Lvl 1 Header]], $E$8:TblDetailBudget[[#This Row],[Lvl 2 Header]], TblDetailBudget[[#This Row],[Lvl 2 Header]]))</f>
        <v/>
      </c>
      <c r="G5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4" s="164"/>
      <c r="J594" s="164"/>
      <c r="K594" s="165"/>
      <c r="L594" s="165"/>
      <c r="M594" s="85" t="str">
        <f>IF(TblDetailBudget[[#This Row],[Level]]=LvlBottomHdr, IFERROR(INDEX(TblUnitCost[Unit], MATCH(TblDetailBudget[[#This Row],[Row Title]], TblUnitCost[Resource], 0)), "Invalid Resource"), "")</f>
        <v/>
      </c>
      <c r="N594" s="126" t="str">
        <f>IF(TblDetailBudget[[#This Row],[Level]]=LvlBottomHdr, IFERROR(INDEX(TblUnitCost[LCU], MATCH(TblDetailBudget[[#This Row],[Row Title]], TblUnitCost[Resource], 0)), "Invalid Resource"), "")</f>
        <v/>
      </c>
      <c r="O594" s="130"/>
      <c r="P594" s="109"/>
      <c r="Q594" s="131"/>
      <c r="R594" s="109" t="s">
        <v>66</v>
      </c>
      <c r="S594" s="109" t="s">
        <v>66</v>
      </c>
      <c r="T594" s="109" t="s">
        <v>66</v>
      </c>
      <c r="U594" s="109" t="s">
        <v>66</v>
      </c>
      <c r="V594" s="109" t="s">
        <v>66</v>
      </c>
      <c r="W594" s="126" t="str">
        <f>IF(TblDetailBudget[[#This Row],[Level]]=LvlBottomHdr, IF(SUM(TblDetailBudget[[#This Row],[2021 Quant]:[2025 Quant]])&gt;0, SUM(TblDetailBudget[[#This Row],[2021 Quant]:[2025 Quant]]), ""), "")</f>
        <v/>
      </c>
      <c r="X5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4" s="142">
        <f>SUM(TblDetailBudget[[#This Row],[2021 Cost (LCU)]:[2025 Cost (LCU)]])</f>
        <v>0</v>
      </c>
      <c r="AD594" s="135">
        <f>IFERROR(SUM(TblDetailBudget[[#This Row],[2021 Cost (LCU)]])/FX_Rate, "")</f>
        <v>0</v>
      </c>
      <c r="AE594" s="86">
        <f>IFERROR(SUM(TblDetailBudget[[#This Row],[2022 Cost (LCU)]])/FX_Rate, "")</f>
        <v>0</v>
      </c>
      <c r="AF594" s="86">
        <f>IFERROR(SUM(TblDetailBudget[[#This Row],[2023 Cost (LCU)]])/FX_Rate, "")</f>
        <v>0</v>
      </c>
      <c r="AG594" s="86">
        <f>IFERROR(SUM(TblDetailBudget[[#This Row],[2024 Cost (LCU)]])/FX_Rate, "")</f>
        <v>0</v>
      </c>
      <c r="AH594" s="86">
        <f>IFERROR(SUM(TblDetailBudget[[#This Row],[2025 Cost (LCU)]])/FX_Rate, "")</f>
        <v>0</v>
      </c>
      <c r="AI594" s="126">
        <f>SUM(TblDetailBudget[[#This Row],[2021 Cost (USD)]:[2025 Cost (USD)]])</f>
        <v>0</v>
      </c>
      <c r="AJ594" s="180"/>
    </row>
    <row r="595" spans="2:36" ht="12.75" customHeight="1">
      <c r="B595" s="123"/>
      <c r="C5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5" s="85" t="str">
        <f>IF(TblDetailBudget[[#This Row],[Level]]="", "", COUNTIFS($B$8:TblDetailBudget[[#This Row],[Level]], Lvl1Hdr))</f>
        <v/>
      </c>
      <c r="E595" s="85" t="str">
        <f>IF(TblDetailBudget[[#This Row],[Level]]="", "", COUNTIFS($B$8:TblDetailBudget[[#This Row],[Level]], Lvl2Hdr, $D$8:TblDetailBudget[[#This Row],[Lvl 1 Header]], TblDetailBudget[[#This Row],[Lvl 1 Header]]))</f>
        <v/>
      </c>
      <c r="F595" s="85" t="str">
        <f>IF(TblDetailBudget[[#This Row],[Level]]="", "", COUNTIFS($B$8:TblDetailBudget[[#This Row],[Level]], Lvl3Hdr, $D$8:TblDetailBudget[[#This Row],[Lvl 1 Header]], TblDetailBudget[[#This Row],[Lvl 1 Header]], $E$8:TblDetailBudget[[#This Row],[Lvl 2 Header]], TblDetailBudget[[#This Row],[Lvl 2 Header]]))</f>
        <v/>
      </c>
      <c r="G5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5" s="164"/>
      <c r="J595" s="164"/>
      <c r="K595" s="165"/>
      <c r="L595" s="165"/>
      <c r="M595" s="85" t="str">
        <f>IF(TblDetailBudget[[#This Row],[Level]]=LvlBottomHdr, IFERROR(INDEX(TblUnitCost[Unit], MATCH(TblDetailBudget[[#This Row],[Row Title]], TblUnitCost[Resource], 0)), "Invalid Resource"), "")</f>
        <v/>
      </c>
      <c r="N595" s="126" t="str">
        <f>IF(TblDetailBudget[[#This Row],[Level]]=LvlBottomHdr, IFERROR(INDEX(TblUnitCost[LCU], MATCH(TblDetailBudget[[#This Row],[Row Title]], TblUnitCost[Resource], 0)), "Invalid Resource"), "")</f>
        <v/>
      </c>
      <c r="O595" s="130"/>
      <c r="P595" s="109"/>
      <c r="Q595" s="131"/>
      <c r="R595" s="109" t="s">
        <v>66</v>
      </c>
      <c r="S595" s="109" t="s">
        <v>66</v>
      </c>
      <c r="T595" s="109" t="s">
        <v>66</v>
      </c>
      <c r="U595" s="109" t="s">
        <v>66</v>
      </c>
      <c r="V595" s="109" t="s">
        <v>66</v>
      </c>
      <c r="W595" s="126" t="str">
        <f>IF(TblDetailBudget[[#This Row],[Level]]=LvlBottomHdr, IF(SUM(TblDetailBudget[[#This Row],[2021 Quant]:[2025 Quant]])&gt;0, SUM(TblDetailBudget[[#This Row],[2021 Quant]:[2025 Quant]]), ""), "")</f>
        <v/>
      </c>
      <c r="X5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5" s="142">
        <f>SUM(TblDetailBudget[[#This Row],[2021 Cost (LCU)]:[2025 Cost (LCU)]])</f>
        <v>0</v>
      </c>
      <c r="AD595" s="135">
        <f>IFERROR(SUM(TblDetailBudget[[#This Row],[2021 Cost (LCU)]])/FX_Rate, "")</f>
        <v>0</v>
      </c>
      <c r="AE595" s="86">
        <f>IFERROR(SUM(TblDetailBudget[[#This Row],[2022 Cost (LCU)]])/FX_Rate, "")</f>
        <v>0</v>
      </c>
      <c r="AF595" s="86">
        <f>IFERROR(SUM(TblDetailBudget[[#This Row],[2023 Cost (LCU)]])/FX_Rate, "")</f>
        <v>0</v>
      </c>
      <c r="AG595" s="86">
        <f>IFERROR(SUM(TblDetailBudget[[#This Row],[2024 Cost (LCU)]])/FX_Rate, "")</f>
        <v>0</v>
      </c>
      <c r="AH595" s="86">
        <f>IFERROR(SUM(TblDetailBudget[[#This Row],[2025 Cost (LCU)]])/FX_Rate, "")</f>
        <v>0</v>
      </c>
      <c r="AI595" s="126">
        <f>SUM(TblDetailBudget[[#This Row],[2021 Cost (USD)]:[2025 Cost (USD)]])</f>
        <v>0</v>
      </c>
      <c r="AJ595" s="180"/>
    </row>
    <row r="596" spans="2:36" ht="12.75" customHeight="1">
      <c r="B596" s="123"/>
      <c r="C5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6" s="85" t="str">
        <f>IF(TblDetailBudget[[#This Row],[Level]]="", "", COUNTIFS($B$8:TblDetailBudget[[#This Row],[Level]], Lvl1Hdr))</f>
        <v/>
      </c>
      <c r="E596" s="85" t="str">
        <f>IF(TblDetailBudget[[#This Row],[Level]]="", "", COUNTIFS($B$8:TblDetailBudget[[#This Row],[Level]], Lvl2Hdr, $D$8:TblDetailBudget[[#This Row],[Lvl 1 Header]], TblDetailBudget[[#This Row],[Lvl 1 Header]]))</f>
        <v/>
      </c>
      <c r="F596" s="85" t="str">
        <f>IF(TblDetailBudget[[#This Row],[Level]]="", "", COUNTIFS($B$8:TblDetailBudget[[#This Row],[Level]], Lvl3Hdr, $D$8:TblDetailBudget[[#This Row],[Lvl 1 Header]], TblDetailBudget[[#This Row],[Lvl 1 Header]], $E$8:TblDetailBudget[[#This Row],[Lvl 2 Header]], TblDetailBudget[[#This Row],[Lvl 2 Header]]))</f>
        <v/>
      </c>
      <c r="G5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6" s="164"/>
      <c r="J596" s="164"/>
      <c r="K596" s="165"/>
      <c r="L596" s="165"/>
      <c r="M596" s="85" t="str">
        <f>IF(TblDetailBudget[[#This Row],[Level]]=LvlBottomHdr, IFERROR(INDEX(TblUnitCost[Unit], MATCH(TblDetailBudget[[#This Row],[Row Title]], TblUnitCost[Resource], 0)), "Invalid Resource"), "")</f>
        <v/>
      </c>
      <c r="N596" s="126" t="str">
        <f>IF(TblDetailBudget[[#This Row],[Level]]=LvlBottomHdr, IFERROR(INDEX(TblUnitCost[LCU], MATCH(TblDetailBudget[[#This Row],[Row Title]], TblUnitCost[Resource], 0)), "Invalid Resource"), "")</f>
        <v/>
      </c>
      <c r="O596" s="130"/>
      <c r="P596" s="109"/>
      <c r="Q596" s="131"/>
      <c r="R596" s="109" t="s">
        <v>66</v>
      </c>
      <c r="S596" s="109" t="s">
        <v>66</v>
      </c>
      <c r="T596" s="109" t="s">
        <v>66</v>
      </c>
      <c r="U596" s="109" t="s">
        <v>66</v>
      </c>
      <c r="V596" s="109" t="s">
        <v>66</v>
      </c>
      <c r="W596" s="126" t="str">
        <f>IF(TblDetailBudget[[#This Row],[Level]]=LvlBottomHdr, IF(SUM(TblDetailBudget[[#This Row],[2021 Quant]:[2025 Quant]])&gt;0, SUM(TblDetailBudget[[#This Row],[2021 Quant]:[2025 Quant]]), ""), "")</f>
        <v/>
      </c>
      <c r="X5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6" s="142">
        <f>SUM(TblDetailBudget[[#This Row],[2021 Cost (LCU)]:[2025 Cost (LCU)]])</f>
        <v>0</v>
      </c>
      <c r="AD596" s="135">
        <f>IFERROR(SUM(TblDetailBudget[[#This Row],[2021 Cost (LCU)]])/FX_Rate, "")</f>
        <v>0</v>
      </c>
      <c r="AE596" s="86">
        <f>IFERROR(SUM(TblDetailBudget[[#This Row],[2022 Cost (LCU)]])/FX_Rate, "")</f>
        <v>0</v>
      </c>
      <c r="AF596" s="86">
        <f>IFERROR(SUM(TblDetailBudget[[#This Row],[2023 Cost (LCU)]])/FX_Rate, "")</f>
        <v>0</v>
      </c>
      <c r="AG596" s="86">
        <f>IFERROR(SUM(TblDetailBudget[[#This Row],[2024 Cost (LCU)]])/FX_Rate, "")</f>
        <v>0</v>
      </c>
      <c r="AH596" s="86">
        <f>IFERROR(SUM(TblDetailBudget[[#This Row],[2025 Cost (LCU)]])/FX_Rate, "")</f>
        <v>0</v>
      </c>
      <c r="AI596" s="126">
        <f>SUM(TblDetailBudget[[#This Row],[2021 Cost (USD)]:[2025 Cost (USD)]])</f>
        <v>0</v>
      </c>
      <c r="AJ596" s="180"/>
    </row>
    <row r="597" spans="2:36" ht="12.75" customHeight="1">
      <c r="B597" s="123"/>
      <c r="C5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7" s="85" t="str">
        <f>IF(TblDetailBudget[[#This Row],[Level]]="", "", COUNTIFS($B$8:TblDetailBudget[[#This Row],[Level]], Lvl1Hdr))</f>
        <v/>
      </c>
      <c r="E597" s="85" t="str">
        <f>IF(TblDetailBudget[[#This Row],[Level]]="", "", COUNTIFS($B$8:TblDetailBudget[[#This Row],[Level]], Lvl2Hdr, $D$8:TblDetailBudget[[#This Row],[Lvl 1 Header]], TblDetailBudget[[#This Row],[Lvl 1 Header]]))</f>
        <v/>
      </c>
      <c r="F597" s="85" t="str">
        <f>IF(TblDetailBudget[[#This Row],[Level]]="", "", COUNTIFS($B$8:TblDetailBudget[[#This Row],[Level]], Lvl3Hdr, $D$8:TblDetailBudget[[#This Row],[Lvl 1 Header]], TblDetailBudget[[#This Row],[Lvl 1 Header]], $E$8:TblDetailBudget[[#This Row],[Lvl 2 Header]], TblDetailBudget[[#This Row],[Lvl 2 Header]]))</f>
        <v/>
      </c>
      <c r="G5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7" s="164"/>
      <c r="J597" s="164"/>
      <c r="K597" s="165"/>
      <c r="L597" s="165"/>
      <c r="M597" s="85" t="str">
        <f>IF(TblDetailBudget[[#This Row],[Level]]=LvlBottomHdr, IFERROR(INDEX(TblUnitCost[Unit], MATCH(TblDetailBudget[[#This Row],[Row Title]], TblUnitCost[Resource], 0)), "Invalid Resource"), "")</f>
        <v/>
      </c>
      <c r="N597" s="126" t="str">
        <f>IF(TblDetailBudget[[#This Row],[Level]]=LvlBottomHdr, IFERROR(INDEX(TblUnitCost[LCU], MATCH(TblDetailBudget[[#This Row],[Row Title]], TblUnitCost[Resource], 0)), "Invalid Resource"), "")</f>
        <v/>
      </c>
      <c r="O597" s="130"/>
      <c r="P597" s="109"/>
      <c r="Q597" s="131"/>
      <c r="R597" s="109" t="s">
        <v>66</v>
      </c>
      <c r="S597" s="109" t="s">
        <v>66</v>
      </c>
      <c r="T597" s="109" t="s">
        <v>66</v>
      </c>
      <c r="U597" s="109" t="s">
        <v>66</v>
      </c>
      <c r="V597" s="109" t="s">
        <v>66</v>
      </c>
      <c r="W597" s="126" t="str">
        <f>IF(TblDetailBudget[[#This Row],[Level]]=LvlBottomHdr, IF(SUM(TblDetailBudget[[#This Row],[2021 Quant]:[2025 Quant]])&gt;0, SUM(TblDetailBudget[[#This Row],[2021 Quant]:[2025 Quant]]), ""), "")</f>
        <v/>
      </c>
      <c r="X5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7" s="142">
        <f>SUM(TblDetailBudget[[#This Row],[2021 Cost (LCU)]:[2025 Cost (LCU)]])</f>
        <v>0</v>
      </c>
      <c r="AD597" s="135">
        <f>IFERROR(SUM(TblDetailBudget[[#This Row],[2021 Cost (LCU)]])/FX_Rate, "")</f>
        <v>0</v>
      </c>
      <c r="AE597" s="86">
        <f>IFERROR(SUM(TblDetailBudget[[#This Row],[2022 Cost (LCU)]])/FX_Rate, "")</f>
        <v>0</v>
      </c>
      <c r="AF597" s="86">
        <f>IFERROR(SUM(TblDetailBudget[[#This Row],[2023 Cost (LCU)]])/FX_Rate, "")</f>
        <v>0</v>
      </c>
      <c r="AG597" s="86">
        <f>IFERROR(SUM(TblDetailBudget[[#This Row],[2024 Cost (LCU)]])/FX_Rate, "")</f>
        <v>0</v>
      </c>
      <c r="AH597" s="86">
        <f>IFERROR(SUM(TblDetailBudget[[#This Row],[2025 Cost (LCU)]])/FX_Rate, "")</f>
        <v>0</v>
      </c>
      <c r="AI597" s="126">
        <f>SUM(TblDetailBudget[[#This Row],[2021 Cost (USD)]:[2025 Cost (USD)]])</f>
        <v>0</v>
      </c>
      <c r="AJ597" s="180"/>
    </row>
    <row r="598" spans="2:36" ht="12.75" customHeight="1">
      <c r="B598" s="123"/>
      <c r="C5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8" s="85" t="str">
        <f>IF(TblDetailBudget[[#This Row],[Level]]="", "", COUNTIFS($B$8:TblDetailBudget[[#This Row],[Level]], Lvl1Hdr))</f>
        <v/>
      </c>
      <c r="E598" s="85" t="str">
        <f>IF(TblDetailBudget[[#This Row],[Level]]="", "", COUNTIFS($B$8:TblDetailBudget[[#This Row],[Level]], Lvl2Hdr, $D$8:TblDetailBudget[[#This Row],[Lvl 1 Header]], TblDetailBudget[[#This Row],[Lvl 1 Header]]))</f>
        <v/>
      </c>
      <c r="F598" s="85" t="str">
        <f>IF(TblDetailBudget[[#This Row],[Level]]="", "", COUNTIFS($B$8:TblDetailBudget[[#This Row],[Level]], Lvl3Hdr, $D$8:TblDetailBudget[[#This Row],[Lvl 1 Header]], TblDetailBudget[[#This Row],[Lvl 1 Header]], $E$8:TblDetailBudget[[#This Row],[Lvl 2 Header]], TblDetailBudget[[#This Row],[Lvl 2 Header]]))</f>
        <v/>
      </c>
      <c r="G5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8" s="164"/>
      <c r="J598" s="164"/>
      <c r="K598" s="165"/>
      <c r="L598" s="165"/>
      <c r="M598" s="85" t="str">
        <f>IF(TblDetailBudget[[#This Row],[Level]]=LvlBottomHdr, IFERROR(INDEX(TblUnitCost[Unit], MATCH(TblDetailBudget[[#This Row],[Row Title]], TblUnitCost[Resource], 0)), "Invalid Resource"), "")</f>
        <v/>
      </c>
      <c r="N598" s="126" t="str">
        <f>IF(TblDetailBudget[[#This Row],[Level]]=LvlBottomHdr, IFERROR(INDEX(TblUnitCost[LCU], MATCH(TblDetailBudget[[#This Row],[Row Title]], TblUnitCost[Resource], 0)), "Invalid Resource"), "")</f>
        <v/>
      </c>
      <c r="O598" s="130"/>
      <c r="P598" s="109"/>
      <c r="Q598" s="131"/>
      <c r="R598" s="109" t="s">
        <v>66</v>
      </c>
      <c r="S598" s="109" t="s">
        <v>66</v>
      </c>
      <c r="T598" s="109" t="s">
        <v>66</v>
      </c>
      <c r="U598" s="109" t="s">
        <v>66</v>
      </c>
      <c r="V598" s="109" t="s">
        <v>66</v>
      </c>
      <c r="W598" s="126" t="str">
        <f>IF(TblDetailBudget[[#This Row],[Level]]=LvlBottomHdr, IF(SUM(TblDetailBudget[[#This Row],[2021 Quant]:[2025 Quant]])&gt;0, SUM(TblDetailBudget[[#This Row],[2021 Quant]:[2025 Quant]]), ""), "")</f>
        <v/>
      </c>
      <c r="X5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8" s="142">
        <f>SUM(TblDetailBudget[[#This Row],[2021 Cost (LCU)]:[2025 Cost (LCU)]])</f>
        <v>0</v>
      </c>
      <c r="AD598" s="135">
        <f>IFERROR(SUM(TblDetailBudget[[#This Row],[2021 Cost (LCU)]])/FX_Rate, "")</f>
        <v>0</v>
      </c>
      <c r="AE598" s="86">
        <f>IFERROR(SUM(TblDetailBudget[[#This Row],[2022 Cost (LCU)]])/FX_Rate, "")</f>
        <v>0</v>
      </c>
      <c r="AF598" s="86">
        <f>IFERROR(SUM(TblDetailBudget[[#This Row],[2023 Cost (LCU)]])/FX_Rate, "")</f>
        <v>0</v>
      </c>
      <c r="AG598" s="86">
        <f>IFERROR(SUM(TblDetailBudget[[#This Row],[2024 Cost (LCU)]])/FX_Rate, "")</f>
        <v>0</v>
      </c>
      <c r="AH598" s="86">
        <f>IFERROR(SUM(TblDetailBudget[[#This Row],[2025 Cost (LCU)]])/FX_Rate, "")</f>
        <v>0</v>
      </c>
      <c r="AI598" s="126">
        <f>SUM(TblDetailBudget[[#This Row],[2021 Cost (USD)]:[2025 Cost (USD)]])</f>
        <v>0</v>
      </c>
      <c r="AJ598" s="180"/>
    </row>
    <row r="599" spans="2:36" ht="12.75" customHeight="1">
      <c r="B599" s="123"/>
      <c r="C5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9" s="85" t="str">
        <f>IF(TblDetailBudget[[#This Row],[Level]]="", "", COUNTIFS($B$8:TblDetailBudget[[#This Row],[Level]], Lvl1Hdr))</f>
        <v/>
      </c>
      <c r="E599" s="85" t="str">
        <f>IF(TblDetailBudget[[#This Row],[Level]]="", "", COUNTIFS($B$8:TblDetailBudget[[#This Row],[Level]], Lvl2Hdr, $D$8:TblDetailBudget[[#This Row],[Lvl 1 Header]], TblDetailBudget[[#This Row],[Lvl 1 Header]]))</f>
        <v/>
      </c>
      <c r="F599" s="85" t="str">
        <f>IF(TblDetailBudget[[#This Row],[Level]]="", "", COUNTIFS($B$8:TblDetailBudget[[#This Row],[Level]], Lvl3Hdr, $D$8:TblDetailBudget[[#This Row],[Lvl 1 Header]], TblDetailBudget[[#This Row],[Lvl 1 Header]], $E$8:TblDetailBudget[[#This Row],[Lvl 2 Header]], TblDetailBudget[[#This Row],[Lvl 2 Header]]))</f>
        <v/>
      </c>
      <c r="G5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9" s="164"/>
      <c r="J599" s="164"/>
      <c r="K599" s="165"/>
      <c r="L599" s="165"/>
      <c r="M599" s="85" t="str">
        <f>IF(TblDetailBudget[[#This Row],[Level]]=LvlBottomHdr, IFERROR(INDEX(TblUnitCost[Unit], MATCH(TblDetailBudget[[#This Row],[Row Title]], TblUnitCost[Resource], 0)), "Invalid Resource"), "")</f>
        <v/>
      </c>
      <c r="N599" s="126" t="str">
        <f>IF(TblDetailBudget[[#This Row],[Level]]=LvlBottomHdr, IFERROR(INDEX(TblUnitCost[LCU], MATCH(TblDetailBudget[[#This Row],[Row Title]], TblUnitCost[Resource], 0)), "Invalid Resource"), "")</f>
        <v/>
      </c>
      <c r="O599" s="130"/>
      <c r="P599" s="109"/>
      <c r="Q599" s="131"/>
      <c r="R599" s="109" t="s">
        <v>66</v>
      </c>
      <c r="S599" s="109" t="s">
        <v>66</v>
      </c>
      <c r="T599" s="109" t="s">
        <v>66</v>
      </c>
      <c r="U599" s="109" t="s">
        <v>66</v>
      </c>
      <c r="V599" s="109" t="s">
        <v>66</v>
      </c>
      <c r="W599" s="126" t="str">
        <f>IF(TblDetailBudget[[#This Row],[Level]]=LvlBottomHdr, IF(SUM(TblDetailBudget[[#This Row],[2021 Quant]:[2025 Quant]])&gt;0, SUM(TblDetailBudget[[#This Row],[2021 Quant]:[2025 Quant]]), ""), "")</f>
        <v/>
      </c>
      <c r="X5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9" s="142">
        <f>SUM(TblDetailBudget[[#This Row],[2021 Cost (LCU)]:[2025 Cost (LCU)]])</f>
        <v>0</v>
      </c>
      <c r="AD599" s="135">
        <f>IFERROR(SUM(TblDetailBudget[[#This Row],[2021 Cost (LCU)]])/FX_Rate, "")</f>
        <v>0</v>
      </c>
      <c r="AE599" s="86">
        <f>IFERROR(SUM(TblDetailBudget[[#This Row],[2022 Cost (LCU)]])/FX_Rate, "")</f>
        <v>0</v>
      </c>
      <c r="AF599" s="86">
        <f>IFERROR(SUM(TblDetailBudget[[#This Row],[2023 Cost (LCU)]])/FX_Rate, "")</f>
        <v>0</v>
      </c>
      <c r="AG599" s="86">
        <f>IFERROR(SUM(TblDetailBudget[[#This Row],[2024 Cost (LCU)]])/FX_Rate, "")</f>
        <v>0</v>
      </c>
      <c r="AH599" s="86">
        <f>IFERROR(SUM(TblDetailBudget[[#This Row],[2025 Cost (LCU)]])/FX_Rate, "")</f>
        <v>0</v>
      </c>
      <c r="AI599" s="126">
        <f>SUM(TblDetailBudget[[#This Row],[2021 Cost (USD)]:[2025 Cost (USD)]])</f>
        <v>0</v>
      </c>
      <c r="AJ599" s="180"/>
    </row>
    <row r="600" spans="2:36" ht="12.75" customHeight="1">
      <c r="B600" s="123"/>
      <c r="C6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0" s="85" t="str">
        <f>IF(TblDetailBudget[[#This Row],[Level]]="", "", COUNTIFS($B$8:TblDetailBudget[[#This Row],[Level]], Lvl1Hdr))</f>
        <v/>
      </c>
      <c r="E600" s="85" t="str">
        <f>IF(TblDetailBudget[[#This Row],[Level]]="", "", COUNTIFS($B$8:TblDetailBudget[[#This Row],[Level]], Lvl2Hdr, $D$8:TblDetailBudget[[#This Row],[Lvl 1 Header]], TblDetailBudget[[#This Row],[Lvl 1 Header]]))</f>
        <v/>
      </c>
      <c r="F600" s="85" t="str">
        <f>IF(TblDetailBudget[[#This Row],[Level]]="", "", COUNTIFS($B$8:TblDetailBudget[[#This Row],[Level]], Lvl3Hdr, $D$8:TblDetailBudget[[#This Row],[Lvl 1 Header]], TblDetailBudget[[#This Row],[Lvl 1 Header]], $E$8:TblDetailBudget[[#This Row],[Lvl 2 Header]], TblDetailBudget[[#This Row],[Lvl 2 Header]]))</f>
        <v/>
      </c>
      <c r="G6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0" s="164"/>
      <c r="J600" s="164"/>
      <c r="K600" s="165"/>
      <c r="L600" s="165"/>
      <c r="M600" s="85" t="str">
        <f>IF(TblDetailBudget[[#This Row],[Level]]=LvlBottomHdr, IFERROR(INDEX(TblUnitCost[Unit], MATCH(TblDetailBudget[[#This Row],[Row Title]], TblUnitCost[Resource], 0)), "Invalid Resource"), "")</f>
        <v/>
      </c>
      <c r="N600" s="126" t="str">
        <f>IF(TblDetailBudget[[#This Row],[Level]]=LvlBottomHdr, IFERROR(INDEX(TblUnitCost[LCU], MATCH(TblDetailBudget[[#This Row],[Row Title]], TblUnitCost[Resource], 0)), "Invalid Resource"), "")</f>
        <v/>
      </c>
      <c r="O600" s="130"/>
      <c r="P600" s="109"/>
      <c r="Q600" s="131"/>
      <c r="R600" s="109" t="s">
        <v>66</v>
      </c>
      <c r="S600" s="109" t="s">
        <v>66</v>
      </c>
      <c r="T600" s="109" t="s">
        <v>66</v>
      </c>
      <c r="U600" s="109" t="s">
        <v>66</v>
      </c>
      <c r="V600" s="109" t="s">
        <v>66</v>
      </c>
      <c r="W600" s="126" t="str">
        <f>IF(TblDetailBudget[[#This Row],[Level]]=LvlBottomHdr, IF(SUM(TblDetailBudget[[#This Row],[2021 Quant]:[2025 Quant]])&gt;0, SUM(TblDetailBudget[[#This Row],[2021 Quant]:[2025 Quant]]), ""), "")</f>
        <v/>
      </c>
      <c r="X6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0" s="142">
        <f>SUM(TblDetailBudget[[#This Row],[2021 Cost (LCU)]:[2025 Cost (LCU)]])</f>
        <v>0</v>
      </c>
      <c r="AD600" s="135">
        <f>IFERROR(SUM(TblDetailBudget[[#This Row],[2021 Cost (LCU)]])/FX_Rate, "")</f>
        <v>0</v>
      </c>
      <c r="AE600" s="86">
        <f>IFERROR(SUM(TblDetailBudget[[#This Row],[2022 Cost (LCU)]])/FX_Rate, "")</f>
        <v>0</v>
      </c>
      <c r="AF600" s="86">
        <f>IFERROR(SUM(TblDetailBudget[[#This Row],[2023 Cost (LCU)]])/FX_Rate, "")</f>
        <v>0</v>
      </c>
      <c r="AG600" s="86">
        <f>IFERROR(SUM(TblDetailBudget[[#This Row],[2024 Cost (LCU)]])/FX_Rate, "")</f>
        <v>0</v>
      </c>
      <c r="AH600" s="86">
        <f>IFERROR(SUM(TblDetailBudget[[#This Row],[2025 Cost (LCU)]])/FX_Rate, "")</f>
        <v>0</v>
      </c>
      <c r="AI600" s="126">
        <f>SUM(TblDetailBudget[[#This Row],[2021 Cost (USD)]:[2025 Cost (USD)]])</f>
        <v>0</v>
      </c>
      <c r="AJ600" s="180"/>
    </row>
    <row r="601" spans="2:36" ht="12.75" customHeight="1">
      <c r="B601" s="123"/>
      <c r="C6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1" s="85" t="str">
        <f>IF(TblDetailBudget[[#This Row],[Level]]="", "", COUNTIFS($B$8:TblDetailBudget[[#This Row],[Level]], Lvl1Hdr))</f>
        <v/>
      </c>
      <c r="E601" s="85" t="str">
        <f>IF(TblDetailBudget[[#This Row],[Level]]="", "", COUNTIFS($B$8:TblDetailBudget[[#This Row],[Level]], Lvl2Hdr, $D$8:TblDetailBudget[[#This Row],[Lvl 1 Header]], TblDetailBudget[[#This Row],[Lvl 1 Header]]))</f>
        <v/>
      </c>
      <c r="F601" s="85" t="str">
        <f>IF(TblDetailBudget[[#This Row],[Level]]="", "", COUNTIFS($B$8:TblDetailBudget[[#This Row],[Level]], Lvl3Hdr, $D$8:TblDetailBudget[[#This Row],[Lvl 1 Header]], TblDetailBudget[[#This Row],[Lvl 1 Header]], $E$8:TblDetailBudget[[#This Row],[Lvl 2 Header]], TblDetailBudget[[#This Row],[Lvl 2 Header]]))</f>
        <v/>
      </c>
      <c r="G6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1" s="164"/>
      <c r="J601" s="164"/>
      <c r="K601" s="165"/>
      <c r="L601" s="165"/>
      <c r="M601" s="85" t="str">
        <f>IF(TblDetailBudget[[#This Row],[Level]]=LvlBottomHdr, IFERROR(INDEX(TblUnitCost[Unit], MATCH(TblDetailBudget[[#This Row],[Row Title]], TblUnitCost[Resource], 0)), "Invalid Resource"), "")</f>
        <v/>
      </c>
      <c r="N601" s="126" t="str">
        <f>IF(TblDetailBudget[[#This Row],[Level]]=LvlBottomHdr, IFERROR(INDEX(TblUnitCost[LCU], MATCH(TblDetailBudget[[#This Row],[Row Title]], TblUnitCost[Resource], 0)), "Invalid Resource"), "")</f>
        <v/>
      </c>
      <c r="O601" s="130"/>
      <c r="P601" s="109"/>
      <c r="Q601" s="131"/>
      <c r="R601" s="109" t="s">
        <v>66</v>
      </c>
      <c r="S601" s="109" t="s">
        <v>66</v>
      </c>
      <c r="T601" s="109" t="s">
        <v>66</v>
      </c>
      <c r="U601" s="109" t="s">
        <v>66</v>
      </c>
      <c r="V601" s="109" t="s">
        <v>66</v>
      </c>
      <c r="W601" s="126" t="str">
        <f>IF(TblDetailBudget[[#This Row],[Level]]=LvlBottomHdr, IF(SUM(TblDetailBudget[[#This Row],[2021 Quant]:[2025 Quant]])&gt;0, SUM(TblDetailBudget[[#This Row],[2021 Quant]:[2025 Quant]]), ""), "")</f>
        <v/>
      </c>
      <c r="X6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1" s="142">
        <f>SUM(TblDetailBudget[[#This Row],[2021 Cost (LCU)]:[2025 Cost (LCU)]])</f>
        <v>0</v>
      </c>
      <c r="AD601" s="135">
        <f>IFERROR(SUM(TblDetailBudget[[#This Row],[2021 Cost (LCU)]])/FX_Rate, "")</f>
        <v>0</v>
      </c>
      <c r="AE601" s="86">
        <f>IFERROR(SUM(TblDetailBudget[[#This Row],[2022 Cost (LCU)]])/FX_Rate, "")</f>
        <v>0</v>
      </c>
      <c r="AF601" s="86">
        <f>IFERROR(SUM(TblDetailBudget[[#This Row],[2023 Cost (LCU)]])/FX_Rate, "")</f>
        <v>0</v>
      </c>
      <c r="AG601" s="86">
        <f>IFERROR(SUM(TblDetailBudget[[#This Row],[2024 Cost (LCU)]])/FX_Rate, "")</f>
        <v>0</v>
      </c>
      <c r="AH601" s="86">
        <f>IFERROR(SUM(TblDetailBudget[[#This Row],[2025 Cost (LCU)]])/FX_Rate, "")</f>
        <v>0</v>
      </c>
      <c r="AI601" s="126">
        <f>SUM(TblDetailBudget[[#This Row],[2021 Cost (USD)]:[2025 Cost (USD)]])</f>
        <v>0</v>
      </c>
      <c r="AJ601" s="180"/>
    </row>
    <row r="602" spans="2:36" ht="12.75" customHeight="1">
      <c r="B602" s="123"/>
      <c r="C6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2" s="85" t="str">
        <f>IF(TblDetailBudget[[#This Row],[Level]]="", "", COUNTIFS($B$8:TblDetailBudget[[#This Row],[Level]], Lvl1Hdr))</f>
        <v/>
      </c>
      <c r="E602" s="85" t="str">
        <f>IF(TblDetailBudget[[#This Row],[Level]]="", "", COUNTIFS($B$8:TblDetailBudget[[#This Row],[Level]], Lvl2Hdr, $D$8:TblDetailBudget[[#This Row],[Lvl 1 Header]], TblDetailBudget[[#This Row],[Lvl 1 Header]]))</f>
        <v/>
      </c>
      <c r="F602" s="85" t="str">
        <f>IF(TblDetailBudget[[#This Row],[Level]]="", "", COUNTIFS($B$8:TblDetailBudget[[#This Row],[Level]], Lvl3Hdr, $D$8:TblDetailBudget[[#This Row],[Lvl 1 Header]], TblDetailBudget[[#This Row],[Lvl 1 Header]], $E$8:TblDetailBudget[[#This Row],[Lvl 2 Header]], TblDetailBudget[[#This Row],[Lvl 2 Header]]))</f>
        <v/>
      </c>
      <c r="G6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2" s="164"/>
      <c r="J602" s="164"/>
      <c r="K602" s="165"/>
      <c r="L602" s="165"/>
      <c r="M602" s="85" t="str">
        <f>IF(TblDetailBudget[[#This Row],[Level]]=LvlBottomHdr, IFERROR(INDEX(TblUnitCost[Unit], MATCH(TblDetailBudget[[#This Row],[Row Title]], TblUnitCost[Resource], 0)), "Invalid Resource"), "")</f>
        <v/>
      </c>
      <c r="N602" s="126" t="str">
        <f>IF(TblDetailBudget[[#This Row],[Level]]=LvlBottomHdr, IFERROR(INDEX(TblUnitCost[LCU], MATCH(TblDetailBudget[[#This Row],[Row Title]], TblUnitCost[Resource], 0)), "Invalid Resource"), "")</f>
        <v/>
      </c>
      <c r="O602" s="130"/>
      <c r="P602" s="109"/>
      <c r="Q602" s="131"/>
      <c r="R602" s="109" t="s">
        <v>66</v>
      </c>
      <c r="S602" s="109" t="s">
        <v>66</v>
      </c>
      <c r="T602" s="109" t="s">
        <v>66</v>
      </c>
      <c r="U602" s="109" t="s">
        <v>66</v>
      </c>
      <c r="V602" s="109" t="s">
        <v>66</v>
      </c>
      <c r="W602" s="126" t="str">
        <f>IF(TblDetailBudget[[#This Row],[Level]]=LvlBottomHdr, IF(SUM(TblDetailBudget[[#This Row],[2021 Quant]:[2025 Quant]])&gt;0, SUM(TblDetailBudget[[#This Row],[2021 Quant]:[2025 Quant]]), ""), "")</f>
        <v/>
      </c>
      <c r="X6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2" s="142">
        <f>SUM(TblDetailBudget[[#This Row],[2021 Cost (LCU)]:[2025 Cost (LCU)]])</f>
        <v>0</v>
      </c>
      <c r="AD602" s="135">
        <f>IFERROR(SUM(TblDetailBudget[[#This Row],[2021 Cost (LCU)]])/FX_Rate, "")</f>
        <v>0</v>
      </c>
      <c r="AE602" s="86">
        <f>IFERROR(SUM(TblDetailBudget[[#This Row],[2022 Cost (LCU)]])/FX_Rate, "")</f>
        <v>0</v>
      </c>
      <c r="AF602" s="86">
        <f>IFERROR(SUM(TblDetailBudget[[#This Row],[2023 Cost (LCU)]])/FX_Rate, "")</f>
        <v>0</v>
      </c>
      <c r="AG602" s="86">
        <f>IFERROR(SUM(TblDetailBudget[[#This Row],[2024 Cost (LCU)]])/FX_Rate, "")</f>
        <v>0</v>
      </c>
      <c r="AH602" s="86">
        <f>IFERROR(SUM(TblDetailBudget[[#This Row],[2025 Cost (LCU)]])/FX_Rate, "")</f>
        <v>0</v>
      </c>
      <c r="AI602" s="126">
        <f>SUM(TblDetailBudget[[#This Row],[2021 Cost (USD)]:[2025 Cost (USD)]])</f>
        <v>0</v>
      </c>
      <c r="AJ602" s="180"/>
    </row>
    <row r="603" spans="2:36" ht="12.75" customHeight="1">
      <c r="B603" s="123"/>
      <c r="C6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3" s="85" t="str">
        <f>IF(TblDetailBudget[[#This Row],[Level]]="", "", COUNTIFS($B$8:TblDetailBudget[[#This Row],[Level]], Lvl1Hdr))</f>
        <v/>
      </c>
      <c r="E603" s="85" t="str">
        <f>IF(TblDetailBudget[[#This Row],[Level]]="", "", COUNTIFS($B$8:TblDetailBudget[[#This Row],[Level]], Lvl2Hdr, $D$8:TblDetailBudget[[#This Row],[Lvl 1 Header]], TblDetailBudget[[#This Row],[Lvl 1 Header]]))</f>
        <v/>
      </c>
      <c r="F603" s="85" t="str">
        <f>IF(TblDetailBudget[[#This Row],[Level]]="", "", COUNTIFS($B$8:TblDetailBudget[[#This Row],[Level]], Lvl3Hdr, $D$8:TblDetailBudget[[#This Row],[Lvl 1 Header]], TblDetailBudget[[#This Row],[Lvl 1 Header]], $E$8:TblDetailBudget[[#This Row],[Lvl 2 Header]], TblDetailBudget[[#This Row],[Lvl 2 Header]]))</f>
        <v/>
      </c>
      <c r="G6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3" s="164"/>
      <c r="J603" s="164"/>
      <c r="K603" s="165"/>
      <c r="L603" s="165"/>
      <c r="M603" s="85" t="str">
        <f>IF(TblDetailBudget[[#This Row],[Level]]=LvlBottomHdr, IFERROR(INDEX(TblUnitCost[Unit], MATCH(TblDetailBudget[[#This Row],[Row Title]], TblUnitCost[Resource], 0)), "Invalid Resource"), "")</f>
        <v/>
      </c>
      <c r="N603" s="126" t="str">
        <f>IF(TblDetailBudget[[#This Row],[Level]]=LvlBottomHdr, IFERROR(INDEX(TblUnitCost[LCU], MATCH(TblDetailBudget[[#This Row],[Row Title]], TblUnitCost[Resource], 0)), "Invalid Resource"), "")</f>
        <v/>
      </c>
      <c r="O603" s="130"/>
      <c r="P603" s="109"/>
      <c r="Q603" s="131"/>
      <c r="R603" s="109" t="s">
        <v>66</v>
      </c>
      <c r="S603" s="109" t="s">
        <v>66</v>
      </c>
      <c r="T603" s="109" t="s">
        <v>66</v>
      </c>
      <c r="U603" s="109" t="s">
        <v>66</v>
      </c>
      <c r="V603" s="109" t="s">
        <v>66</v>
      </c>
      <c r="W603" s="126" t="str">
        <f>IF(TblDetailBudget[[#This Row],[Level]]=LvlBottomHdr, IF(SUM(TblDetailBudget[[#This Row],[2021 Quant]:[2025 Quant]])&gt;0, SUM(TblDetailBudget[[#This Row],[2021 Quant]:[2025 Quant]]), ""), "")</f>
        <v/>
      </c>
      <c r="X6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3" s="142">
        <f>SUM(TblDetailBudget[[#This Row],[2021 Cost (LCU)]:[2025 Cost (LCU)]])</f>
        <v>0</v>
      </c>
      <c r="AD603" s="135">
        <f>IFERROR(SUM(TblDetailBudget[[#This Row],[2021 Cost (LCU)]])/FX_Rate, "")</f>
        <v>0</v>
      </c>
      <c r="AE603" s="86">
        <f>IFERROR(SUM(TblDetailBudget[[#This Row],[2022 Cost (LCU)]])/FX_Rate, "")</f>
        <v>0</v>
      </c>
      <c r="AF603" s="86">
        <f>IFERROR(SUM(TblDetailBudget[[#This Row],[2023 Cost (LCU)]])/FX_Rate, "")</f>
        <v>0</v>
      </c>
      <c r="AG603" s="86">
        <f>IFERROR(SUM(TblDetailBudget[[#This Row],[2024 Cost (LCU)]])/FX_Rate, "")</f>
        <v>0</v>
      </c>
      <c r="AH603" s="86">
        <f>IFERROR(SUM(TblDetailBudget[[#This Row],[2025 Cost (LCU)]])/FX_Rate, "")</f>
        <v>0</v>
      </c>
      <c r="AI603" s="126">
        <f>SUM(TblDetailBudget[[#This Row],[2021 Cost (USD)]:[2025 Cost (USD)]])</f>
        <v>0</v>
      </c>
      <c r="AJ603" s="180"/>
    </row>
    <row r="604" spans="2:36" ht="12.75" customHeight="1">
      <c r="B604" s="123"/>
      <c r="C6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4" s="85" t="str">
        <f>IF(TblDetailBudget[[#This Row],[Level]]="", "", COUNTIFS($B$8:TblDetailBudget[[#This Row],[Level]], Lvl1Hdr))</f>
        <v/>
      </c>
      <c r="E604" s="85" t="str">
        <f>IF(TblDetailBudget[[#This Row],[Level]]="", "", COUNTIFS($B$8:TblDetailBudget[[#This Row],[Level]], Lvl2Hdr, $D$8:TblDetailBudget[[#This Row],[Lvl 1 Header]], TblDetailBudget[[#This Row],[Lvl 1 Header]]))</f>
        <v/>
      </c>
      <c r="F604" s="85" t="str">
        <f>IF(TblDetailBudget[[#This Row],[Level]]="", "", COUNTIFS($B$8:TblDetailBudget[[#This Row],[Level]], Lvl3Hdr, $D$8:TblDetailBudget[[#This Row],[Lvl 1 Header]], TblDetailBudget[[#This Row],[Lvl 1 Header]], $E$8:TblDetailBudget[[#This Row],[Lvl 2 Header]], TblDetailBudget[[#This Row],[Lvl 2 Header]]))</f>
        <v/>
      </c>
      <c r="G6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4" s="164"/>
      <c r="J604" s="164"/>
      <c r="K604" s="165"/>
      <c r="L604" s="165"/>
      <c r="M604" s="85" t="str">
        <f>IF(TblDetailBudget[[#This Row],[Level]]=LvlBottomHdr, IFERROR(INDEX(TblUnitCost[Unit], MATCH(TblDetailBudget[[#This Row],[Row Title]], TblUnitCost[Resource], 0)), "Invalid Resource"), "")</f>
        <v/>
      </c>
      <c r="N604" s="126" t="str">
        <f>IF(TblDetailBudget[[#This Row],[Level]]=LvlBottomHdr, IFERROR(INDEX(TblUnitCost[LCU], MATCH(TblDetailBudget[[#This Row],[Row Title]], TblUnitCost[Resource], 0)), "Invalid Resource"), "")</f>
        <v/>
      </c>
      <c r="O604" s="130"/>
      <c r="P604" s="109"/>
      <c r="Q604" s="131"/>
      <c r="R604" s="109" t="s">
        <v>66</v>
      </c>
      <c r="S604" s="109" t="s">
        <v>66</v>
      </c>
      <c r="T604" s="109" t="s">
        <v>66</v>
      </c>
      <c r="U604" s="109" t="s">
        <v>66</v>
      </c>
      <c r="V604" s="109" t="s">
        <v>66</v>
      </c>
      <c r="W604" s="126" t="str">
        <f>IF(TblDetailBudget[[#This Row],[Level]]=LvlBottomHdr, IF(SUM(TblDetailBudget[[#This Row],[2021 Quant]:[2025 Quant]])&gt;0, SUM(TblDetailBudget[[#This Row],[2021 Quant]:[2025 Quant]]), ""), "")</f>
        <v/>
      </c>
      <c r="X6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4" s="142">
        <f>SUM(TblDetailBudget[[#This Row],[2021 Cost (LCU)]:[2025 Cost (LCU)]])</f>
        <v>0</v>
      </c>
      <c r="AD604" s="135">
        <f>IFERROR(SUM(TblDetailBudget[[#This Row],[2021 Cost (LCU)]])/FX_Rate, "")</f>
        <v>0</v>
      </c>
      <c r="AE604" s="86">
        <f>IFERROR(SUM(TblDetailBudget[[#This Row],[2022 Cost (LCU)]])/FX_Rate, "")</f>
        <v>0</v>
      </c>
      <c r="AF604" s="86">
        <f>IFERROR(SUM(TblDetailBudget[[#This Row],[2023 Cost (LCU)]])/FX_Rate, "")</f>
        <v>0</v>
      </c>
      <c r="AG604" s="86">
        <f>IFERROR(SUM(TblDetailBudget[[#This Row],[2024 Cost (LCU)]])/FX_Rate, "")</f>
        <v>0</v>
      </c>
      <c r="AH604" s="86">
        <f>IFERROR(SUM(TblDetailBudget[[#This Row],[2025 Cost (LCU)]])/FX_Rate, "")</f>
        <v>0</v>
      </c>
      <c r="AI604" s="126">
        <f>SUM(TblDetailBudget[[#This Row],[2021 Cost (USD)]:[2025 Cost (USD)]])</f>
        <v>0</v>
      </c>
      <c r="AJ604" s="180"/>
    </row>
    <row r="605" spans="2:36" ht="12.75" customHeight="1">
      <c r="B605" s="123"/>
      <c r="C6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5" s="85" t="str">
        <f>IF(TblDetailBudget[[#This Row],[Level]]="", "", COUNTIFS($B$8:TblDetailBudget[[#This Row],[Level]], Lvl1Hdr))</f>
        <v/>
      </c>
      <c r="E605" s="85" t="str">
        <f>IF(TblDetailBudget[[#This Row],[Level]]="", "", COUNTIFS($B$8:TblDetailBudget[[#This Row],[Level]], Lvl2Hdr, $D$8:TblDetailBudget[[#This Row],[Lvl 1 Header]], TblDetailBudget[[#This Row],[Lvl 1 Header]]))</f>
        <v/>
      </c>
      <c r="F605" s="85" t="str">
        <f>IF(TblDetailBudget[[#This Row],[Level]]="", "", COUNTIFS($B$8:TblDetailBudget[[#This Row],[Level]], Lvl3Hdr, $D$8:TblDetailBudget[[#This Row],[Lvl 1 Header]], TblDetailBudget[[#This Row],[Lvl 1 Header]], $E$8:TblDetailBudget[[#This Row],[Lvl 2 Header]], TblDetailBudget[[#This Row],[Lvl 2 Header]]))</f>
        <v/>
      </c>
      <c r="G6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5" s="164"/>
      <c r="J605" s="164"/>
      <c r="K605" s="165"/>
      <c r="L605" s="165"/>
      <c r="M605" s="85" t="str">
        <f>IF(TblDetailBudget[[#This Row],[Level]]=LvlBottomHdr, IFERROR(INDEX(TblUnitCost[Unit], MATCH(TblDetailBudget[[#This Row],[Row Title]], TblUnitCost[Resource], 0)), "Invalid Resource"), "")</f>
        <v/>
      </c>
      <c r="N605" s="126" t="str">
        <f>IF(TblDetailBudget[[#This Row],[Level]]=LvlBottomHdr, IFERROR(INDEX(TblUnitCost[LCU], MATCH(TblDetailBudget[[#This Row],[Row Title]], TblUnitCost[Resource], 0)), "Invalid Resource"), "")</f>
        <v/>
      </c>
      <c r="O605" s="130"/>
      <c r="P605" s="109"/>
      <c r="Q605" s="131"/>
      <c r="R605" s="109" t="s">
        <v>66</v>
      </c>
      <c r="S605" s="109" t="s">
        <v>66</v>
      </c>
      <c r="T605" s="109" t="s">
        <v>66</v>
      </c>
      <c r="U605" s="109" t="s">
        <v>66</v>
      </c>
      <c r="V605" s="109" t="s">
        <v>66</v>
      </c>
      <c r="W605" s="126" t="str">
        <f>IF(TblDetailBudget[[#This Row],[Level]]=LvlBottomHdr, IF(SUM(TblDetailBudget[[#This Row],[2021 Quant]:[2025 Quant]])&gt;0, SUM(TblDetailBudget[[#This Row],[2021 Quant]:[2025 Quant]]), ""), "")</f>
        <v/>
      </c>
      <c r="X6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5" s="142">
        <f>SUM(TblDetailBudget[[#This Row],[2021 Cost (LCU)]:[2025 Cost (LCU)]])</f>
        <v>0</v>
      </c>
      <c r="AD605" s="135">
        <f>IFERROR(SUM(TblDetailBudget[[#This Row],[2021 Cost (LCU)]])/FX_Rate, "")</f>
        <v>0</v>
      </c>
      <c r="AE605" s="86">
        <f>IFERROR(SUM(TblDetailBudget[[#This Row],[2022 Cost (LCU)]])/FX_Rate, "")</f>
        <v>0</v>
      </c>
      <c r="AF605" s="86">
        <f>IFERROR(SUM(TblDetailBudget[[#This Row],[2023 Cost (LCU)]])/FX_Rate, "")</f>
        <v>0</v>
      </c>
      <c r="AG605" s="86">
        <f>IFERROR(SUM(TblDetailBudget[[#This Row],[2024 Cost (LCU)]])/FX_Rate, "")</f>
        <v>0</v>
      </c>
      <c r="AH605" s="86">
        <f>IFERROR(SUM(TblDetailBudget[[#This Row],[2025 Cost (LCU)]])/FX_Rate, "")</f>
        <v>0</v>
      </c>
      <c r="AI605" s="126">
        <f>SUM(TblDetailBudget[[#This Row],[2021 Cost (USD)]:[2025 Cost (USD)]])</f>
        <v>0</v>
      </c>
      <c r="AJ605" s="180"/>
    </row>
    <row r="606" spans="2:36" ht="12.75" customHeight="1">
      <c r="B606" s="123"/>
      <c r="C6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6" s="85" t="str">
        <f>IF(TblDetailBudget[[#This Row],[Level]]="", "", COUNTIFS($B$8:TblDetailBudget[[#This Row],[Level]], Lvl1Hdr))</f>
        <v/>
      </c>
      <c r="E606" s="85" t="str">
        <f>IF(TblDetailBudget[[#This Row],[Level]]="", "", COUNTIFS($B$8:TblDetailBudget[[#This Row],[Level]], Lvl2Hdr, $D$8:TblDetailBudget[[#This Row],[Lvl 1 Header]], TblDetailBudget[[#This Row],[Lvl 1 Header]]))</f>
        <v/>
      </c>
      <c r="F606" s="85" t="str">
        <f>IF(TblDetailBudget[[#This Row],[Level]]="", "", COUNTIFS($B$8:TblDetailBudget[[#This Row],[Level]], Lvl3Hdr, $D$8:TblDetailBudget[[#This Row],[Lvl 1 Header]], TblDetailBudget[[#This Row],[Lvl 1 Header]], $E$8:TblDetailBudget[[#This Row],[Lvl 2 Header]], TblDetailBudget[[#This Row],[Lvl 2 Header]]))</f>
        <v/>
      </c>
      <c r="G6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6" s="164"/>
      <c r="J606" s="164"/>
      <c r="K606" s="165"/>
      <c r="L606" s="165"/>
      <c r="M606" s="85" t="str">
        <f>IF(TblDetailBudget[[#This Row],[Level]]=LvlBottomHdr, IFERROR(INDEX(TblUnitCost[Unit], MATCH(TblDetailBudget[[#This Row],[Row Title]], TblUnitCost[Resource], 0)), "Invalid Resource"), "")</f>
        <v/>
      </c>
      <c r="N606" s="126" t="str">
        <f>IF(TblDetailBudget[[#This Row],[Level]]=LvlBottomHdr, IFERROR(INDEX(TblUnitCost[LCU], MATCH(TblDetailBudget[[#This Row],[Row Title]], TblUnitCost[Resource], 0)), "Invalid Resource"), "")</f>
        <v/>
      </c>
      <c r="O606" s="130"/>
      <c r="P606" s="109"/>
      <c r="Q606" s="131"/>
      <c r="R606" s="109" t="s">
        <v>66</v>
      </c>
      <c r="S606" s="109" t="s">
        <v>66</v>
      </c>
      <c r="T606" s="109" t="s">
        <v>66</v>
      </c>
      <c r="U606" s="109" t="s">
        <v>66</v>
      </c>
      <c r="V606" s="109" t="s">
        <v>66</v>
      </c>
      <c r="W606" s="126" t="str">
        <f>IF(TblDetailBudget[[#This Row],[Level]]=LvlBottomHdr, IF(SUM(TblDetailBudget[[#This Row],[2021 Quant]:[2025 Quant]])&gt;0, SUM(TblDetailBudget[[#This Row],[2021 Quant]:[2025 Quant]]), ""), "")</f>
        <v/>
      </c>
      <c r="X6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6" s="142">
        <f>SUM(TblDetailBudget[[#This Row],[2021 Cost (LCU)]:[2025 Cost (LCU)]])</f>
        <v>0</v>
      </c>
      <c r="AD606" s="135">
        <f>IFERROR(SUM(TblDetailBudget[[#This Row],[2021 Cost (LCU)]])/FX_Rate, "")</f>
        <v>0</v>
      </c>
      <c r="AE606" s="86">
        <f>IFERROR(SUM(TblDetailBudget[[#This Row],[2022 Cost (LCU)]])/FX_Rate, "")</f>
        <v>0</v>
      </c>
      <c r="AF606" s="86">
        <f>IFERROR(SUM(TblDetailBudget[[#This Row],[2023 Cost (LCU)]])/FX_Rate, "")</f>
        <v>0</v>
      </c>
      <c r="AG606" s="86">
        <f>IFERROR(SUM(TblDetailBudget[[#This Row],[2024 Cost (LCU)]])/FX_Rate, "")</f>
        <v>0</v>
      </c>
      <c r="AH606" s="86">
        <f>IFERROR(SUM(TblDetailBudget[[#This Row],[2025 Cost (LCU)]])/FX_Rate, "")</f>
        <v>0</v>
      </c>
      <c r="AI606" s="126">
        <f>SUM(TblDetailBudget[[#This Row],[2021 Cost (USD)]:[2025 Cost (USD)]])</f>
        <v>0</v>
      </c>
      <c r="AJ606" s="180"/>
    </row>
    <row r="607" spans="2:36" ht="12.75" customHeight="1">
      <c r="B607" s="123"/>
      <c r="C6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7" s="85" t="str">
        <f>IF(TblDetailBudget[[#This Row],[Level]]="", "", COUNTIFS($B$8:TblDetailBudget[[#This Row],[Level]], Lvl1Hdr))</f>
        <v/>
      </c>
      <c r="E607" s="85" t="str">
        <f>IF(TblDetailBudget[[#This Row],[Level]]="", "", COUNTIFS($B$8:TblDetailBudget[[#This Row],[Level]], Lvl2Hdr, $D$8:TblDetailBudget[[#This Row],[Lvl 1 Header]], TblDetailBudget[[#This Row],[Lvl 1 Header]]))</f>
        <v/>
      </c>
      <c r="F607" s="85" t="str">
        <f>IF(TblDetailBudget[[#This Row],[Level]]="", "", COUNTIFS($B$8:TblDetailBudget[[#This Row],[Level]], Lvl3Hdr, $D$8:TblDetailBudget[[#This Row],[Lvl 1 Header]], TblDetailBudget[[#This Row],[Lvl 1 Header]], $E$8:TblDetailBudget[[#This Row],[Lvl 2 Header]], TblDetailBudget[[#This Row],[Lvl 2 Header]]))</f>
        <v/>
      </c>
      <c r="G6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7" s="164"/>
      <c r="J607" s="164"/>
      <c r="K607" s="165"/>
      <c r="L607" s="165"/>
      <c r="M607" s="85" t="str">
        <f>IF(TblDetailBudget[[#This Row],[Level]]=LvlBottomHdr, IFERROR(INDEX(TblUnitCost[Unit], MATCH(TblDetailBudget[[#This Row],[Row Title]], TblUnitCost[Resource], 0)), "Invalid Resource"), "")</f>
        <v/>
      </c>
      <c r="N607" s="126" t="str">
        <f>IF(TblDetailBudget[[#This Row],[Level]]=LvlBottomHdr, IFERROR(INDEX(TblUnitCost[LCU], MATCH(TblDetailBudget[[#This Row],[Row Title]], TblUnitCost[Resource], 0)), "Invalid Resource"), "")</f>
        <v/>
      </c>
      <c r="O607" s="130"/>
      <c r="P607" s="109"/>
      <c r="Q607" s="131"/>
      <c r="R607" s="109" t="s">
        <v>66</v>
      </c>
      <c r="S607" s="109" t="s">
        <v>66</v>
      </c>
      <c r="T607" s="109" t="s">
        <v>66</v>
      </c>
      <c r="U607" s="109" t="s">
        <v>66</v>
      </c>
      <c r="V607" s="109" t="s">
        <v>66</v>
      </c>
      <c r="W607" s="126" t="str">
        <f>IF(TblDetailBudget[[#This Row],[Level]]=LvlBottomHdr, IF(SUM(TblDetailBudget[[#This Row],[2021 Quant]:[2025 Quant]])&gt;0, SUM(TblDetailBudget[[#This Row],[2021 Quant]:[2025 Quant]]), ""), "")</f>
        <v/>
      </c>
      <c r="X6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7" s="142">
        <f>SUM(TblDetailBudget[[#This Row],[2021 Cost (LCU)]:[2025 Cost (LCU)]])</f>
        <v>0</v>
      </c>
      <c r="AD607" s="135">
        <f>IFERROR(SUM(TblDetailBudget[[#This Row],[2021 Cost (LCU)]])/FX_Rate, "")</f>
        <v>0</v>
      </c>
      <c r="AE607" s="86">
        <f>IFERROR(SUM(TblDetailBudget[[#This Row],[2022 Cost (LCU)]])/FX_Rate, "")</f>
        <v>0</v>
      </c>
      <c r="AF607" s="86">
        <f>IFERROR(SUM(TblDetailBudget[[#This Row],[2023 Cost (LCU)]])/FX_Rate, "")</f>
        <v>0</v>
      </c>
      <c r="AG607" s="86">
        <f>IFERROR(SUM(TblDetailBudget[[#This Row],[2024 Cost (LCU)]])/FX_Rate, "")</f>
        <v>0</v>
      </c>
      <c r="AH607" s="86">
        <f>IFERROR(SUM(TblDetailBudget[[#This Row],[2025 Cost (LCU)]])/FX_Rate, "")</f>
        <v>0</v>
      </c>
      <c r="AI607" s="126">
        <f>SUM(TblDetailBudget[[#This Row],[2021 Cost (USD)]:[2025 Cost (USD)]])</f>
        <v>0</v>
      </c>
      <c r="AJ607" s="180"/>
    </row>
    <row r="608" spans="2:36" ht="12.75" customHeight="1">
      <c r="B608" s="123"/>
      <c r="C6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8" s="85" t="str">
        <f>IF(TblDetailBudget[[#This Row],[Level]]="", "", COUNTIFS($B$8:TblDetailBudget[[#This Row],[Level]], Lvl1Hdr))</f>
        <v/>
      </c>
      <c r="E608" s="85" t="str">
        <f>IF(TblDetailBudget[[#This Row],[Level]]="", "", COUNTIFS($B$8:TblDetailBudget[[#This Row],[Level]], Lvl2Hdr, $D$8:TblDetailBudget[[#This Row],[Lvl 1 Header]], TblDetailBudget[[#This Row],[Lvl 1 Header]]))</f>
        <v/>
      </c>
      <c r="F608" s="85" t="str">
        <f>IF(TblDetailBudget[[#This Row],[Level]]="", "", COUNTIFS($B$8:TblDetailBudget[[#This Row],[Level]], Lvl3Hdr, $D$8:TblDetailBudget[[#This Row],[Lvl 1 Header]], TblDetailBudget[[#This Row],[Lvl 1 Header]], $E$8:TblDetailBudget[[#This Row],[Lvl 2 Header]], TblDetailBudget[[#This Row],[Lvl 2 Header]]))</f>
        <v/>
      </c>
      <c r="G6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8" s="164"/>
      <c r="J608" s="164"/>
      <c r="K608" s="165"/>
      <c r="L608" s="165"/>
      <c r="M608" s="85" t="str">
        <f>IF(TblDetailBudget[[#This Row],[Level]]=LvlBottomHdr, IFERROR(INDEX(TblUnitCost[Unit], MATCH(TblDetailBudget[[#This Row],[Row Title]], TblUnitCost[Resource], 0)), "Invalid Resource"), "")</f>
        <v/>
      </c>
      <c r="N608" s="126" t="str">
        <f>IF(TblDetailBudget[[#This Row],[Level]]=LvlBottomHdr, IFERROR(INDEX(TblUnitCost[LCU], MATCH(TblDetailBudget[[#This Row],[Row Title]], TblUnitCost[Resource], 0)), "Invalid Resource"), "")</f>
        <v/>
      </c>
      <c r="O608" s="130"/>
      <c r="P608" s="109"/>
      <c r="Q608" s="131"/>
      <c r="R608" s="109" t="s">
        <v>66</v>
      </c>
      <c r="S608" s="109" t="s">
        <v>66</v>
      </c>
      <c r="T608" s="109" t="s">
        <v>66</v>
      </c>
      <c r="U608" s="109" t="s">
        <v>66</v>
      </c>
      <c r="V608" s="109" t="s">
        <v>66</v>
      </c>
      <c r="W608" s="126" t="str">
        <f>IF(TblDetailBudget[[#This Row],[Level]]=LvlBottomHdr, IF(SUM(TblDetailBudget[[#This Row],[2021 Quant]:[2025 Quant]])&gt;0, SUM(TblDetailBudget[[#This Row],[2021 Quant]:[2025 Quant]]), ""), "")</f>
        <v/>
      </c>
      <c r="X6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8" s="142">
        <f>SUM(TblDetailBudget[[#This Row],[2021 Cost (LCU)]:[2025 Cost (LCU)]])</f>
        <v>0</v>
      </c>
      <c r="AD608" s="135">
        <f>IFERROR(SUM(TblDetailBudget[[#This Row],[2021 Cost (LCU)]])/FX_Rate, "")</f>
        <v>0</v>
      </c>
      <c r="AE608" s="86">
        <f>IFERROR(SUM(TblDetailBudget[[#This Row],[2022 Cost (LCU)]])/FX_Rate, "")</f>
        <v>0</v>
      </c>
      <c r="AF608" s="86">
        <f>IFERROR(SUM(TblDetailBudget[[#This Row],[2023 Cost (LCU)]])/FX_Rate, "")</f>
        <v>0</v>
      </c>
      <c r="AG608" s="86">
        <f>IFERROR(SUM(TblDetailBudget[[#This Row],[2024 Cost (LCU)]])/FX_Rate, "")</f>
        <v>0</v>
      </c>
      <c r="AH608" s="86">
        <f>IFERROR(SUM(TblDetailBudget[[#This Row],[2025 Cost (LCU)]])/FX_Rate, "")</f>
        <v>0</v>
      </c>
      <c r="AI608" s="126">
        <f>SUM(TblDetailBudget[[#This Row],[2021 Cost (USD)]:[2025 Cost (USD)]])</f>
        <v>0</v>
      </c>
      <c r="AJ608" s="180"/>
    </row>
    <row r="609" spans="2:36" ht="12.75" customHeight="1">
      <c r="B609" s="123"/>
      <c r="C6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9" s="85" t="str">
        <f>IF(TblDetailBudget[[#This Row],[Level]]="", "", COUNTIFS($B$8:TblDetailBudget[[#This Row],[Level]], Lvl1Hdr))</f>
        <v/>
      </c>
      <c r="E609" s="85" t="str">
        <f>IF(TblDetailBudget[[#This Row],[Level]]="", "", COUNTIFS($B$8:TblDetailBudget[[#This Row],[Level]], Lvl2Hdr, $D$8:TblDetailBudget[[#This Row],[Lvl 1 Header]], TblDetailBudget[[#This Row],[Lvl 1 Header]]))</f>
        <v/>
      </c>
      <c r="F609" s="85" t="str">
        <f>IF(TblDetailBudget[[#This Row],[Level]]="", "", COUNTIFS($B$8:TblDetailBudget[[#This Row],[Level]], Lvl3Hdr, $D$8:TblDetailBudget[[#This Row],[Lvl 1 Header]], TblDetailBudget[[#This Row],[Lvl 1 Header]], $E$8:TblDetailBudget[[#This Row],[Lvl 2 Header]], TblDetailBudget[[#This Row],[Lvl 2 Header]]))</f>
        <v/>
      </c>
      <c r="G6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9" s="164"/>
      <c r="J609" s="164"/>
      <c r="K609" s="165"/>
      <c r="L609" s="165"/>
      <c r="M609" s="85" t="str">
        <f>IF(TblDetailBudget[[#This Row],[Level]]=LvlBottomHdr, IFERROR(INDEX(TblUnitCost[Unit], MATCH(TblDetailBudget[[#This Row],[Row Title]], TblUnitCost[Resource], 0)), "Invalid Resource"), "")</f>
        <v/>
      </c>
      <c r="N609" s="126" t="str">
        <f>IF(TblDetailBudget[[#This Row],[Level]]=LvlBottomHdr, IFERROR(INDEX(TblUnitCost[LCU], MATCH(TblDetailBudget[[#This Row],[Row Title]], TblUnitCost[Resource], 0)), "Invalid Resource"), "")</f>
        <v/>
      </c>
      <c r="O609" s="130"/>
      <c r="P609" s="109"/>
      <c r="Q609" s="131"/>
      <c r="R609" s="109" t="s">
        <v>66</v>
      </c>
      <c r="S609" s="109" t="s">
        <v>66</v>
      </c>
      <c r="T609" s="109" t="s">
        <v>66</v>
      </c>
      <c r="U609" s="109" t="s">
        <v>66</v>
      </c>
      <c r="V609" s="109" t="s">
        <v>66</v>
      </c>
      <c r="W609" s="126" t="str">
        <f>IF(TblDetailBudget[[#This Row],[Level]]=LvlBottomHdr, IF(SUM(TblDetailBudget[[#This Row],[2021 Quant]:[2025 Quant]])&gt;0, SUM(TblDetailBudget[[#This Row],[2021 Quant]:[2025 Quant]]), ""), "")</f>
        <v/>
      </c>
      <c r="X6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9" s="142">
        <f>SUM(TblDetailBudget[[#This Row],[2021 Cost (LCU)]:[2025 Cost (LCU)]])</f>
        <v>0</v>
      </c>
      <c r="AD609" s="135">
        <f>IFERROR(SUM(TblDetailBudget[[#This Row],[2021 Cost (LCU)]])/FX_Rate, "")</f>
        <v>0</v>
      </c>
      <c r="AE609" s="86">
        <f>IFERROR(SUM(TblDetailBudget[[#This Row],[2022 Cost (LCU)]])/FX_Rate, "")</f>
        <v>0</v>
      </c>
      <c r="AF609" s="86">
        <f>IFERROR(SUM(TblDetailBudget[[#This Row],[2023 Cost (LCU)]])/FX_Rate, "")</f>
        <v>0</v>
      </c>
      <c r="AG609" s="86">
        <f>IFERROR(SUM(TblDetailBudget[[#This Row],[2024 Cost (LCU)]])/FX_Rate, "")</f>
        <v>0</v>
      </c>
      <c r="AH609" s="86">
        <f>IFERROR(SUM(TblDetailBudget[[#This Row],[2025 Cost (LCU)]])/FX_Rate, "")</f>
        <v>0</v>
      </c>
      <c r="AI609" s="126">
        <f>SUM(TblDetailBudget[[#This Row],[2021 Cost (USD)]:[2025 Cost (USD)]])</f>
        <v>0</v>
      </c>
      <c r="AJ609" s="180"/>
    </row>
    <row r="610" spans="2:36" ht="12.75" customHeight="1">
      <c r="B610" s="123"/>
      <c r="C6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0" s="85" t="str">
        <f>IF(TblDetailBudget[[#This Row],[Level]]="", "", COUNTIFS($B$8:TblDetailBudget[[#This Row],[Level]], Lvl1Hdr))</f>
        <v/>
      </c>
      <c r="E610" s="85" t="str">
        <f>IF(TblDetailBudget[[#This Row],[Level]]="", "", COUNTIFS($B$8:TblDetailBudget[[#This Row],[Level]], Lvl2Hdr, $D$8:TblDetailBudget[[#This Row],[Lvl 1 Header]], TblDetailBudget[[#This Row],[Lvl 1 Header]]))</f>
        <v/>
      </c>
      <c r="F610" s="85" t="str">
        <f>IF(TblDetailBudget[[#This Row],[Level]]="", "", COUNTIFS($B$8:TblDetailBudget[[#This Row],[Level]], Lvl3Hdr, $D$8:TblDetailBudget[[#This Row],[Lvl 1 Header]], TblDetailBudget[[#This Row],[Lvl 1 Header]], $E$8:TblDetailBudget[[#This Row],[Lvl 2 Header]], TblDetailBudget[[#This Row],[Lvl 2 Header]]))</f>
        <v/>
      </c>
      <c r="G6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0" s="164"/>
      <c r="J610" s="164"/>
      <c r="K610" s="165"/>
      <c r="L610" s="165"/>
      <c r="M610" s="85" t="str">
        <f>IF(TblDetailBudget[[#This Row],[Level]]=LvlBottomHdr, IFERROR(INDEX(TblUnitCost[Unit], MATCH(TblDetailBudget[[#This Row],[Row Title]], TblUnitCost[Resource], 0)), "Invalid Resource"), "")</f>
        <v/>
      </c>
      <c r="N610" s="126" t="str">
        <f>IF(TblDetailBudget[[#This Row],[Level]]=LvlBottomHdr, IFERROR(INDEX(TblUnitCost[LCU], MATCH(TblDetailBudget[[#This Row],[Row Title]], TblUnitCost[Resource], 0)), "Invalid Resource"), "")</f>
        <v/>
      </c>
      <c r="O610" s="130"/>
      <c r="P610" s="109"/>
      <c r="Q610" s="131"/>
      <c r="R610" s="109" t="s">
        <v>66</v>
      </c>
      <c r="S610" s="109" t="s">
        <v>66</v>
      </c>
      <c r="T610" s="109" t="s">
        <v>66</v>
      </c>
      <c r="U610" s="109" t="s">
        <v>66</v>
      </c>
      <c r="V610" s="109" t="s">
        <v>66</v>
      </c>
      <c r="W610" s="126" t="str">
        <f>IF(TblDetailBudget[[#This Row],[Level]]=LvlBottomHdr, IF(SUM(TblDetailBudget[[#This Row],[2021 Quant]:[2025 Quant]])&gt;0, SUM(TblDetailBudget[[#This Row],[2021 Quant]:[2025 Quant]]), ""), "")</f>
        <v/>
      </c>
      <c r="X6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0" s="142">
        <f>SUM(TblDetailBudget[[#This Row],[2021 Cost (LCU)]:[2025 Cost (LCU)]])</f>
        <v>0</v>
      </c>
      <c r="AD610" s="135">
        <f>IFERROR(SUM(TblDetailBudget[[#This Row],[2021 Cost (LCU)]])/FX_Rate, "")</f>
        <v>0</v>
      </c>
      <c r="AE610" s="86">
        <f>IFERROR(SUM(TblDetailBudget[[#This Row],[2022 Cost (LCU)]])/FX_Rate, "")</f>
        <v>0</v>
      </c>
      <c r="AF610" s="86">
        <f>IFERROR(SUM(TblDetailBudget[[#This Row],[2023 Cost (LCU)]])/FX_Rate, "")</f>
        <v>0</v>
      </c>
      <c r="AG610" s="86">
        <f>IFERROR(SUM(TblDetailBudget[[#This Row],[2024 Cost (LCU)]])/FX_Rate, "")</f>
        <v>0</v>
      </c>
      <c r="AH610" s="86">
        <f>IFERROR(SUM(TblDetailBudget[[#This Row],[2025 Cost (LCU)]])/FX_Rate, "")</f>
        <v>0</v>
      </c>
      <c r="AI610" s="126">
        <f>SUM(TblDetailBudget[[#This Row],[2021 Cost (USD)]:[2025 Cost (USD)]])</f>
        <v>0</v>
      </c>
      <c r="AJ610" s="180"/>
    </row>
    <row r="611" spans="2:36" ht="12.75" customHeight="1">
      <c r="B611" s="123"/>
      <c r="C6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1" s="85" t="str">
        <f>IF(TblDetailBudget[[#This Row],[Level]]="", "", COUNTIFS($B$8:TblDetailBudget[[#This Row],[Level]], Lvl1Hdr))</f>
        <v/>
      </c>
      <c r="E611" s="85" t="str">
        <f>IF(TblDetailBudget[[#This Row],[Level]]="", "", COUNTIFS($B$8:TblDetailBudget[[#This Row],[Level]], Lvl2Hdr, $D$8:TblDetailBudget[[#This Row],[Lvl 1 Header]], TblDetailBudget[[#This Row],[Lvl 1 Header]]))</f>
        <v/>
      </c>
      <c r="F611" s="85" t="str">
        <f>IF(TblDetailBudget[[#This Row],[Level]]="", "", COUNTIFS($B$8:TblDetailBudget[[#This Row],[Level]], Lvl3Hdr, $D$8:TblDetailBudget[[#This Row],[Lvl 1 Header]], TblDetailBudget[[#This Row],[Lvl 1 Header]], $E$8:TblDetailBudget[[#This Row],[Lvl 2 Header]], TblDetailBudget[[#This Row],[Lvl 2 Header]]))</f>
        <v/>
      </c>
      <c r="G6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1" s="164"/>
      <c r="J611" s="164"/>
      <c r="K611" s="165"/>
      <c r="L611" s="165"/>
      <c r="M611" s="85" t="str">
        <f>IF(TblDetailBudget[[#This Row],[Level]]=LvlBottomHdr, IFERROR(INDEX(TblUnitCost[Unit], MATCH(TblDetailBudget[[#This Row],[Row Title]], TblUnitCost[Resource], 0)), "Invalid Resource"), "")</f>
        <v/>
      </c>
      <c r="N611" s="126" t="str">
        <f>IF(TblDetailBudget[[#This Row],[Level]]=LvlBottomHdr, IFERROR(INDEX(TblUnitCost[LCU], MATCH(TblDetailBudget[[#This Row],[Row Title]], TblUnitCost[Resource], 0)), "Invalid Resource"), "")</f>
        <v/>
      </c>
      <c r="O611" s="130"/>
      <c r="P611" s="109"/>
      <c r="Q611" s="131"/>
      <c r="R611" s="109" t="s">
        <v>66</v>
      </c>
      <c r="S611" s="109" t="s">
        <v>66</v>
      </c>
      <c r="T611" s="109" t="s">
        <v>66</v>
      </c>
      <c r="U611" s="109" t="s">
        <v>66</v>
      </c>
      <c r="V611" s="109" t="s">
        <v>66</v>
      </c>
      <c r="W611" s="126" t="str">
        <f>IF(TblDetailBudget[[#This Row],[Level]]=LvlBottomHdr, IF(SUM(TblDetailBudget[[#This Row],[2021 Quant]:[2025 Quant]])&gt;0, SUM(TblDetailBudget[[#This Row],[2021 Quant]:[2025 Quant]]), ""), "")</f>
        <v/>
      </c>
      <c r="X6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1" s="142">
        <f>SUM(TblDetailBudget[[#This Row],[2021 Cost (LCU)]:[2025 Cost (LCU)]])</f>
        <v>0</v>
      </c>
      <c r="AD611" s="135">
        <f>IFERROR(SUM(TblDetailBudget[[#This Row],[2021 Cost (LCU)]])/FX_Rate, "")</f>
        <v>0</v>
      </c>
      <c r="AE611" s="86">
        <f>IFERROR(SUM(TblDetailBudget[[#This Row],[2022 Cost (LCU)]])/FX_Rate, "")</f>
        <v>0</v>
      </c>
      <c r="AF611" s="86">
        <f>IFERROR(SUM(TblDetailBudget[[#This Row],[2023 Cost (LCU)]])/FX_Rate, "")</f>
        <v>0</v>
      </c>
      <c r="AG611" s="86">
        <f>IFERROR(SUM(TblDetailBudget[[#This Row],[2024 Cost (LCU)]])/FX_Rate, "")</f>
        <v>0</v>
      </c>
      <c r="AH611" s="86">
        <f>IFERROR(SUM(TblDetailBudget[[#This Row],[2025 Cost (LCU)]])/FX_Rate, "")</f>
        <v>0</v>
      </c>
      <c r="AI611" s="126">
        <f>SUM(TblDetailBudget[[#This Row],[2021 Cost (USD)]:[2025 Cost (USD)]])</f>
        <v>0</v>
      </c>
      <c r="AJ611" s="180"/>
    </row>
    <row r="612" spans="2:36" ht="12.75" customHeight="1">
      <c r="B612" s="123"/>
      <c r="C6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2" s="85" t="str">
        <f>IF(TblDetailBudget[[#This Row],[Level]]="", "", COUNTIFS($B$8:TblDetailBudget[[#This Row],[Level]], Lvl1Hdr))</f>
        <v/>
      </c>
      <c r="E612" s="85" t="str">
        <f>IF(TblDetailBudget[[#This Row],[Level]]="", "", COUNTIFS($B$8:TblDetailBudget[[#This Row],[Level]], Lvl2Hdr, $D$8:TblDetailBudget[[#This Row],[Lvl 1 Header]], TblDetailBudget[[#This Row],[Lvl 1 Header]]))</f>
        <v/>
      </c>
      <c r="F612" s="85" t="str">
        <f>IF(TblDetailBudget[[#This Row],[Level]]="", "", COUNTIFS($B$8:TblDetailBudget[[#This Row],[Level]], Lvl3Hdr, $D$8:TblDetailBudget[[#This Row],[Lvl 1 Header]], TblDetailBudget[[#This Row],[Lvl 1 Header]], $E$8:TblDetailBudget[[#This Row],[Lvl 2 Header]], TblDetailBudget[[#This Row],[Lvl 2 Header]]))</f>
        <v/>
      </c>
      <c r="G6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2" s="164"/>
      <c r="J612" s="164"/>
      <c r="K612" s="165"/>
      <c r="L612" s="165"/>
      <c r="M612" s="85" t="str">
        <f>IF(TblDetailBudget[[#This Row],[Level]]=LvlBottomHdr, IFERROR(INDEX(TblUnitCost[Unit], MATCH(TblDetailBudget[[#This Row],[Row Title]], TblUnitCost[Resource], 0)), "Invalid Resource"), "")</f>
        <v/>
      </c>
      <c r="N612" s="126" t="str">
        <f>IF(TblDetailBudget[[#This Row],[Level]]=LvlBottomHdr, IFERROR(INDEX(TblUnitCost[LCU], MATCH(TblDetailBudget[[#This Row],[Row Title]], TblUnitCost[Resource], 0)), "Invalid Resource"), "")</f>
        <v/>
      </c>
      <c r="O612" s="130"/>
      <c r="P612" s="109"/>
      <c r="Q612" s="131"/>
      <c r="R612" s="109" t="s">
        <v>66</v>
      </c>
      <c r="S612" s="109" t="s">
        <v>66</v>
      </c>
      <c r="T612" s="109" t="s">
        <v>66</v>
      </c>
      <c r="U612" s="109" t="s">
        <v>66</v>
      </c>
      <c r="V612" s="109" t="s">
        <v>66</v>
      </c>
      <c r="W612" s="126" t="str">
        <f>IF(TblDetailBudget[[#This Row],[Level]]=LvlBottomHdr, IF(SUM(TblDetailBudget[[#This Row],[2021 Quant]:[2025 Quant]])&gt;0, SUM(TblDetailBudget[[#This Row],[2021 Quant]:[2025 Quant]]), ""), "")</f>
        <v/>
      </c>
      <c r="X6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2" s="142">
        <f>SUM(TblDetailBudget[[#This Row],[2021 Cost (LCU)]:[2025 Cost (LCU)]])</f>
        <v>0</v>
      </c>
      <c r="AD612" s="135">
        <f>IFERROR(SUM(TblDetailBudget[[#This Row],[2021 Cost (LCU)]])/FX_Rate, "")</f>
        <v>0</v>
      </c>
      <c r="AE612" s="86">
        <f>IFERROR(SUM(TblDetailBudget[[#This Row],[2022 Cost (LCU)]])/FX_Rate, "")</f>
        <v>0</v>
      </c>
      <c r="AF612" s="86">
        <f>IFERROR(SUM(TblDetailBudget[[#This Row],[2023 Cost (LCU)]])/FX_Rate, "")</f>
        <v>0</v>
      </c>
      <c r="AG612" s="86">
        <f>IFERROR(SUM(TblDetailBudget[[#This Row],[2024 Cost (LCU)]])/FX_Rate, "")</f>
        <v>0</v>
      </c>
      <c r="AH612" s="86">
        <f>IFERROR(SUM(TblDetailBudget[[#This Row],[2025 Cost (LCU)]])/FX_Rate, "")</f>
        <v>0</v>
      </c>
      <c r="AI612" s="126">
        <f>SUM(TblDetailBudget[[#This Row],[2021 Cost (USD)]:[2025 Cost (USD)]])</f>
        <v>0</v>
      </c>
      <c r="AJ612" s="180"/>
    </row>
    <row r="613" spans="2:36" ht="12.75" customHeight="1">
      <c r="B613" s="123"/>
      <c r="C6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3" s="85" t="str">
        <f>IF(TblDetailBudget[[#This Row],[Level]]="", "", COUNTIFS($B$8:TblDetailBudget[[#This Row],[Level]], Lvl1Hdr))</f>
        <v/>
      </c>
      <c r="E613" s="85" t="str">
        <f>IF(TblDetailBudget[[#This Row],[Level]]="", "", COUNTIFS($B$8:TblDetailBudget[[#This Row],[Level]], Lvl2Hdr, $D$8:TblDetailBudget[[#This Row],[Lvl 1 Header]], TblDetailBudget[[#This Row],[Lvl 1 Header]]))</f>
        <v/>
      </c>
      <c r="F613" s="85" t="str">
        <f>IF(TblDetailBudget[[#This Row],[Level]]="", "", COUNTIFS($B$8:TblDetailBudget[[#This Row],[Level]], Lvl3Hdr, $D$8:TblDetailBudget[[#This Row],[Lvl 1 Header]], TblDetailBudget[[#This Row],[Lvl 1 Header]], $E$8:TblDetailBudget[[#This Row],[Lvl 2 Header]], TblDetailBudget[[#This Row],[Lvl 2 Header]]))</f>
        <v/>
      </c>
      <c r="G6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3" s="164"/>
      <c r="J613" s="164"/>
      <c r="K613" s="165"/>
      <c r="L613" s="165"/>
      <c r="M613" s="85" t="str">
        <f>IF(TblDetailBudget[[#This Row],[Level]]=LvlBottomHdr, IFERROR(INDEX(TblUnitCost[Unit], MATCH(TblDetailBudget[[#This Row],[Row Title]], TblUnitCost[Resource], 0)), "Invalid Resource"), "")</f>
        <v/>
      </c>
      <c r="N613" s="126" t="str">
        <f>IF(TblDetailBudget[[#This Row],[Level]]=LvlBottomHdr, IFERROR(INDEX(TblUnitCost[LCU], MATCH(TblDetailBudget[[#This Row],[Row Title]], TblUnitCost[Resource], 0)), "Invalid Resource"), "")</f>
        <v/>
      </c>
      <c r="O613" s="130"/>
      <c r="P613" s="109"/>
      <c r="Q613" s="131"/>
      <c r="R613" s="109" t="s">
        <v>66</v>
      </c>
      <c r="S613" s="109" t="s">
        <v>66</v>
      </c>
      <c r="T613" s="109" t="s">
        <v>66</v>
      </c>
      <c r="U613" s="109" t="s">
        <v>66</v>
      </c>
      <c r="V613" s="109" t="s">
        <v>66</v>
      </c>
      <c r="W613" s="126" t="str">
        <f>IF(TblDetailBudget[[#This Row],[Level]]=LvlBottomHdr, IF(SUM(TblDetailBudget[[#This Row],[2021 Quant]:[2025 Quant]])&gt;0, SUM(TblDetailBudget[[#This Row],[2021 Quant]:[2025 Quant]]), ""), "")</f>
        <v/>
      </c>
      <c r="X6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3" s="142">
        <f>SUM(TblDetailBudget[[#This Row],[2021 Cost (LCU)]:[2025 Cost (LCU)]])</f>
        <v>0</v>
      </c>
      <c r="AD613" s="135">
        <f>IFERROR(SUM(TblDetailBudget[[#This Row],[2021 Cost (LCU)]])/FX_Rate, "")</f>
        <v>0</v>
      </c>
      <c r="AE613" s="86">
        <f>IFERROR(SUM(TblDetailBudget[[#This Row],[2022 Cost (LCU)]])/FX_Rate, "")</f>
        <v>0</v>
      </c>
      <c r="AF613" s="86">
        <f>IFERROR(SUM(TblDetailBudget[[#This Row],[2023 Cost (LCU)]])/FX_Rate, "")</f>
        <v>0</v>
      </c>
      <c r="AG613" s="86">
        <f>IFERROR(SUM(TblDetailBudget[[#This Row],[2024 Cost (LCU)]])/FX_Rate, "")</f>
        <v>0</v>
      </c>
      <c r="AH613" s="86">
        <f>IFERROR(SUM(TblDetailBudget[[#This Row],[2025 Cost (LCU)]])/FX_Rate, "")</f>
        <v>0</v>
      </c>
      <c r="AI613" s="126">
        <f>SUM(TblDetailBudget[[#This Row],[2021 Cost (USD)]:[2025 Cost (USD)]])</f>
        <v>0</v>
      </c>
      <c r="AJ613" s="180"/>
    </row>
    <row r="614" spans="2:36" ht="12.75" customHeight="1" thickBot="1">
      <c r="B614" s="166"/>
      <c r="C614" s="167"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4" s="167" t="str">
        <f>IF(TblDetailBudget[[#This Row],[Level]]="", "", COUNTIFS($B$8:TblDetailBudget[[#This Row],[Level]], Lvl1Hdr))</f>
        <v/>
      </c>
      <c r="E614" s="167" t="str">
        <f>IF(TblDetailBudget[[#This Row],[Level]]="", "", COUNTIFS($B$8:TblDetailBudget[[#This Row],[Level]], Lvl2Hdr, $D$8:TblDetailBudget[[#This Row],[Lvl 1 Header]], TblDetailBudget[[#This Row],[Lvl 1 Header]]))</f>
        <v/>
      </c>
      <c r="F614" s="167" t="str">
        <f>IF(TblDetailBudget[[#This Row],[Level]]="", "", COUNTIFS($B$8:TblDetailBudget[[#This Row],[Level]], Lvl3Hdr, $D$8:TblDetailBudget[[#This Row],[Lvl 1 Header]], TblDetailBudget[[#This Row],[Lvl 1 Header]], $E$8:TblDetailBudget[[#This Row],[Lvl 2 Header]], TblDetailBudget[[#This Row],[Lvl 2 Header]]))</f>
        <v/>
      </c>
      <c r="G614" s="167"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4" s="167"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4" s="168"/>
      <c r="J614" s="168"/>
      <c r="K614" s="169"/>
      <c r="L614" s="169"/>
      <c r="M614" s="167" t="str">
        <f>IF(TblDetailBudget[[#This Row],[Level]]=LvlBottomHdr, IFERROR(INDEX(TblUnitCost[Unit], MATCH(TblDetailBudget[[#This Row],[Row Title]], TblUnitCost[Resource], 0)), "Invalid Resource"), "")</f>
        <v/>
      </c>
      <c r="N614" s="170" t="str">
        <f>IF(TblDetailBudget[[#This Row],[Level]]=LvlBottomHdr, IFERROR(INDEX(TblUnitCost[LCU], MATCH(TblDetailBudget[[#This Row],[Row Title]], TblUnitCost[Resource], 0)), "Invalid Resource"), "")</f>
        <v/>
      </c>
      <c r="O614" s="132"/>
      <c r="P614" s="124"/>
      <c r="Q614" s="133"/>
      <c r="R614" s="124" t="s">
        <v>66</v>
      </c>
      <c r="S614" s="124" t="s">
        <v>66</v>
      </c>
      <c r="T614" s="124" t="s">
        <v>66</v>
      </c>
      <c r="U614" s="124" t="s">
        <v>66</v>
      </c>
      <c r="V614" s="124" t="s">
        <v>66</v>
      </c>
      <c r="W614" s="170" t="str">
        <f>IF(TblDetailBudget[[#This Row],[Level]]=LvlBottomHdr, IF(SUM(TblDetailBudget[[#This Row],[2021 Quant]:[2025 Quant]])&gt;0, SUM(TblDetailBudget[[#This Row],[2021 Quant]:[2025 Quant]]), ""), "")</f>
        <v/>
      </c>
      <c r="X614" s="172"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4" s="171"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4" s="171"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4" s="171"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4" s="171"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4" s="173">
        <f>SUM(TblDetailBudget[[#This Row],[2021 Cost (LCU)]:[2025 Cost (LCU)]])</f>
        <v>0</v>
      </c>
      <c r="AD614" s="174">
        <f>IFERROR(SUM(TblDetailBudget[[#This Row],[2021 Cost (LCU)]])/FX_Rate, "")</f>
        <v>0</v>
      </c>
      <c r="AE614" s="171">
        <f>IFERROR(SUM(TblDetailBudget[[#This Row],[2022 Cost (LCU)]])/FX_Rate, "")</f>
        <v>0</v>
      </c>
      <c r="AF614" s="171">
        <f>IFERROR(SUM(TblDetailBudget[[#This Row],[2023 Cost (LCU)]])/FX_Rate, "")</f>
        <v>0</v>
      </c>
      <c r="AG614" s="171">
        <f>IFERROR(SUM(TblDetailBudget[[#This Row],[2024 Cost (LCU)]])/FX_Rate, "")</f>
        <v>0</v>
      </c>
      <c r="AH614" s="171">
        <f>IFERROR(SUM(TblDetailBudget[[#This Row],[2025 Cost (LCU)]])/FX_Rate, "")</f>
        <v>0</v>
      </c>
      <c r="AI614" s="170">
        <f>SUM(TblDetailBudget[[#This Row],[2021 Cost (USD)]:[2025 Cost (USD)]])</f>
        <v>0</v>
      </c>
      <c r="AJ614" s="182"/>
    </row>
    <row r="615" spans="2:36" ht="12.75" customHeight="1"/>
    <row r="616" spans="2:36" ht="12.75" customHeight="1"/>
  </sheetData>
  <sheetProtection insertRows="0" deleteRows="0"/>
  <mergeCells count="3">
    <mergeCell ref="AD5:AH5"/>
    <mergeCell ref="O5:Q5"/>
    <mergeCell ref="O4:Q4"/>
  </mergeCells>
  <conditionalFormatting sqref="B8:AJ81 B82:H82 J82:AJ82 B83:AJ85 B86:H86 J86:AJ86 B87:AJ105 B106:H106 J106:AJ106 B107:AJ111 B112:H112 J112:AJ112 B113:AJ614">
    <cfRule type="expression" dxfId="73" priority="8">
      <formula>$B8=LvlTopHdr</formula>
    </cfRule>
    <cfRule type="expression" dxfId="72" priority="9">
      <formula>$B8=Lvl1Hdr</formula>
    </cfRule>
    <cfRule type="expression" dxfId="71" priority="10">
      <formula>$B8=Lvl2Hdr</formula>
    </cfRule>
    <cfRule type="expression" dxfId="70" priority="11">
      <formula>$B8=Lvl3Hdr</formula>
    </cfRule>
    <cfRule type="expression" dxfId="69" priority="12">
      <formula>$B8=Lvl4Hdr</formula>
    </cfRule>
    <cfRule type="expression" dxfId="68" priority="13">
      <formula>$B8=LvlBottomHdr</formula>
    </cfRule>
  </conditionalFormatting>
  <conditionalFormatting sqref="I82">
    <cfRule type="expression" dxfId="67" priority="73">
      <formula>$B86=LvlTopHdr</formula>
    </cfRule>
    <cfRule type="expression" dxfId="66" priority="74">
      <formula>$B86=Lvl1Hdr</formula>
    </cfRule>
    <cfRule type="expression" dxfId="65" priority="75">
      <formula>$B86=Lvl2Hdr</formula>
    </cfRule>
    <cfRule type="expression" dxfId="64" priority="76">
      <formula>$B86=Lvl3Hdr</formula>
    </cfRule>
    <cfRule type="expression" dxfId="63" priority="77">
      <formula>$B86=Lvl4Hdr</formula>
    </cfRule>
    <cfRule type="expression" dxfId="62" priority="78">
      <formula>$B86=LvlBottomHdr</formula>
    </cfRule>
  </conditionalFormatting>
  <conditionalFormatting sqref="I106">
    <cfRule type="expression" dxfId="61" priority="20">
      <formula>$B112=LvlTopHdr</formula>
    </cfRule>
    <cfRule type="expression" dxfId="60" priority="21">
      <formula>$B112=Lvl1Hdr</formula>
    </cfRule>
    <cfRule type="expression" dxfId="59" priority="22">
      <formula>$B112=Lvl2Hdr</formula>
    </cfRule>
    <cfRule type="expression" dxfId="58" priority="23">
      <formula>$B112=Lvl3Hdr</formula>
    </cfRule>
    <cfRule type="expression" dxfId="57" priority="24">
      <formula>$B112=Lvl4Hdr</formula>
    </cfRule>
    <cfRule type="expression" dxfId="56" priority="25">
      <formula>$B112=LvlBottomHdr</formula>
    </cfRule>
  </conditionalFormatting>
  <dataValidations count="1">
    <dataValidation type="list" allowBlank="1" showInputMessage="1" sqref="I100:I111 I223:I224 I218:I219 I18:I23 I213:I214 I196:I198 I159:I160 I174:I180 I170 I163:I167 I182:I192 I194 I8:I16 I25 I208:I209 I211 I216 I221 I206 I202:I204 I200 I27:I85 I87:I98 I150:I154 I270 I265:I266 I237:I249 I260:I261 I263 I254:I255 I251:I252 I257:I258 I268 I272 I274 I278:I279 I113:I148 I226:I229 I234 I232 I288:I614 I283:I286 J8:J614 I156:I157" xr:uid="{00000000-0002-0000-0500-000000000000}">
      <formula1>INDIRECT("TblUnitCost[Resource]")</formula1>
    </dataValidation>
  </dataValidations>
  <pageMargins left="0.7" right="0.7" top="0.75" bottom="0.75" header="0.3" footer="0.3"/>
  <pageSetup orientation="portrait" horizontalDpi="300" verticalDpi="300" r:id="rId1"/>
  <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1000000}">
          <x14:formula1>
            <xm:f>'Data Validation'!$F$2:$F$7</xm:f>
          </x14:formula1>
          <xm:sqref>B8:B614</xm:sqref>
        </x14:dataValidation>
        <x14:dataValidation type="list" allowBlank="1" showInputMessage="1" showErrorMessage="1" xr:uid="{00000000-0002-0000-0500-000002000000}">
          <x14:formula1>
            <xm:f>'Data Validation'!$A$2:$A$5</xm:f>
          </x14:formula1>
          <xm:sqref>AJ8:AJ614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D074F-5C0F-4B50-BE71-78843200B4C6}">
  <dimension ref="A1:GD864"/>
  <sheetViews>
    <sheetView tabSelected="1" topLeftCell="FB1" zoomScale="82" zoomScaleNormal="85" workbookViewId="0">
      <selection activeCell="FF6" sqref="FF6"/>
    </sheetView>
  </sheetViews>
  <sheetFormatPr defaultRowHeight="15" outlineLevelRow="1"/>
  <cols>
    <col min="1" max="1" width="6.140625" style="240" customWidth="1"/>
    <col min="2" max="2" width="31.28515625" style="241" customWidth="1"/>
    <col min="3" max="3" width="23.7109375" style="242" hidden="1" customWidth="1"/>
    <col min="4" max="4" width="21.28515625" style="243" hidden="1" customWidth="1"/>
    <col min="5" max="8" width="22.85546875" style="242" hidden="1" customWidth="1"/>
    <col min="9" max="10" width="14.85546875" style="243" hidden="1" customWidth="1"/>
    <col min="11" max="12" width="22.85546875" style="242" hidden="1" customWidth="1"/>
    <col min="13" max="13" width="14.85546875" style="243" hidden="1" customWidth="1"/>
    <col min="14" max="14" width="22.85546875" style="242" customWidth="1"/>
    <col min="15" max="15" width="14.85546875" style="243" customWidth="1"/>
    <col min="16" max="16" width="22.85546875" style="242" customWidth="1"/>
    <col min="17" max="18" width="12.85546875" style="243" customWidth="1"/>
    <col min="19" max="20" width="9" style="243" customWidth="1"/>
    <col min="21" max="21" width="15.7109375" style="243" customWidth="1"/>
    <col min="22" max="22" width="26" style="243" customWidth="1"/>
    <col min="23" max="23" width="11" customWidth="1"/>
    <col min="24" max="24" width="10.28515625" customWidth="1"/>
    <col min="25" max="25" width="7.140625" hidden="1" customWidth="1"/>
    <col min="26" max="26" width="5.28515625" hidden="1" customWidth="1"/>
    <col min="27" max="27" width="8.28515625" hidden="1" customWidth="1"/>
    <col min="28" max="28" width="11" style="196" customWidth="1"/>
    <col min="29" max="29" width="9" customWidth="1"/>
    <col min="30" max="30" width="10.140625" style="196" customWidth="1"/>
    <col min="31" max="31" width="12.5703125" style="196" customWidth="1"/>
    <col min="32" max="32" width="10.42578125" style="196" customWidth="1"/>
    <col min="33" max="33" width="13.7109375" style="589" hidden="1" customWidth="1"/>
    <col min="34" max="34" width="10.28515625" style="196" customWidth="1"/>
    <col min="35" max="35" width="10.140625" style="248" hidden="1" customWidth="1"/>
    <col min="36" max="36" width="9.85546875" style="248" customWidth="1"/>
    <col min="37" max="37" width="11.28515625" style="248" customWidth="1"/>
    <col min="38" max="39" width="9.85546875" style="248" customWidth="1"/>
    <col min="40" max="40" width="9.85546875" style="627" hidden="1" customWidth="1"/>
    <col min="41" max="41" width="16.42578125" style="627" customWidth="1"/>
    <col min="42" max="42" width="10" style="627" hidden="1" customWidth="1"/>
    <col min="43" max="43" width="10" style="627" customWidth="1"/>
    <col min="44" max="44" width="10" style="627" hidden="1" customWidth="1"/>
    <col min="45" max="45" width="6.5703125" style="627" customWidth="1"/>
    <col min="46" max="46" width="10" style="627" hidden="1" customWidth="1"/>
    <col min="47" max="47" width="8.85546875" style="196" customWidth="1"/>
    <col min="48" max="48" width="10" style="196" hidden="1" customWidth="1"/>
    <col min="49" max="49" width="12" style="196" customWidth="1"/>
    <col min="50" max="51" width="12.42578125" style="196" customWidth="1"/>
    <col min="52" max="52" width="10" style="196" customWidth="1"/>
    <col min="53" max="53" width="10" style="196" hidden="1" customWidth="1"/>
    <col min="54" max="55" width="11.140625" style="196" customWidth="1"/>
    <col min="56" max="56" width="14" style="196" customWidth="1"/>
    <col min="57" max="57" width="11.140625" style="196" hidden="1" customWidth="1"/>
    <col min="58" max="58" width="11.140625" style="196" customWidth="1"/>
    <col min="59" max="59" width="11.140625" style="196" hidden="1" customWidth="1"/>
    <col min="60" max="60" width="11.140625" style="1080" customWidth="1"/>
    <col min="61" max="61" width="7.42578125" style="196" hidden="1" customWidth="1"/>
    <col min="62" max="62" width="13" style="196" customWidth="1"/>
    <col min="63" max="63" width="9.85546875" style="245" hidden="1" customWidth="1"/>
    <col min="64" max="64" width="13" style="245" customWidth="1"/>
    <col min="65" max="65" width="9.85546875" style="245" hidden="1" customWidth="1"/>
    <col min="66" max="66" width="7.140625" style="245" hidden="1" customWidth="1"/>
    <col min="67" max="68" width="16.28515625" style="196" customWidth="1"/>
    <col min="69" max="69" width="11.140625" style="196" hidden="1" customWidth="1"/>
    <col min="70" max="70" width="11.85546875" style="196" customWidth="1"/>
    <col min="71" max="71" width="10.5703125" style="196" customWidth="1"/>
    <col min="72" max="72" width="8" customWidth="1"/>
    <col min="73" max="73" width="17.28515625" style="196" bestFit="1" customWidth="1"/>
    <col min="74" max="74" width="11.85546875" hidden="1" customWidth="1"/>
    <col min="75" max="75" width="16.28515625" style="196" customWidth="1"/>
    <col min="76" max="76" width="16.28515625" hidden="1" customWidth="1"/>
    <col min="77" max="77" width="15.85546875" customWidth="1"/>
    <col min="78" max="78" width="6.85546875" customWidth="1"/>
    <col min="79" max="79" width="10.7109375" bestFit="1" customWidth="1"/>
    <col min="80" max="80" width="11.28515625" customWidth="1"/>
    <col min="81" max="81" width="12.28515625" customWidth="1"/>
    <col min="82" max="82" width="12.28515625" hidden="1" customWidth="1"/>
    <col min="83" max="83" width="11.7109375" style="196" customWidth="1"/>
    <col min="84" max="84" width="10.5703125" style="196" hidden="1" customWidth="1"/>
    <col min="85" max="85" width="11" customWidth="1"/>
    <col min="86" max="86" width="11" hidden="1" customWidth="1"/>
    <col min="87" max="87" width="13.28515625" customWidth="1"/>
    <col min="88" max="88" width="13.28515625" hidden="1" customWidth="1"/>
    <col min="89" max="89" width="10.5703125" customWidth="1"/>
    <col min="90" max="90" width="10.5703125" hidden="1" customWidth="1"/>
    <col min="91" max="91" width="10" customWidth="1"/>
    <col min="92" max="92" width="10" hidden="1" customWidth="1"/>
    <col min="93" max="93" width="12.28515625" customWidth="1"/>
    <col min="94" max="94" width="9.85546875" customWidth="1"/>
    <col min="95" max="95" width="17" customWidth="1"/>
    <col min="96" max="96" width="16.5703125" style="196" customWidth="1"/>
    <col min="97" max="97" width="14" style="196" hidden="1" customWidth="1"/>
    <col min="98" max="98" width="16.5703125" style="196" customWidth="1"/>
    <col min="99" max="99" width="13.42578125" style="196" hidden="1" customWidth="1"/>
    <col min="100" max="101" width="15.85546875" style="196" customWidth="1"/>
    <col min="102" max="102" width="16.42578125" customWidth="1"/>
    <col min="103" max="103" width="8.7109375" hidden="1" customWidth="1"/>
    <col min="104" max="104" width="16.28515625" style="269" customWidth="1"/>
    <col min="105" max="105" width="11" style="269" hidden="1" customWidth="1"/>
    <col min="106" max="106" width="17" style="269" customWidth="1"/>
    <col min="107" max="107" width="16.7109375" customWidth="1"/>
    <col min="108" max="108" width="12.28515625" style="196" hidden="1" customWidth="1"/>
    <col min="109" max="109" width="12.28515625" style="196" customWidth="1"/>
    <col min="110" max="110" width="19.28515625" bestFit="1" customWidth="1"/>
    <col min="111" max="111" width="20" customWidth="1"/>
    <col min="112" max="112" width="11" hidden="1" customWidth="1"/>
    <col min="113" max="113" width="16.7109375" customWidth="1"/>
    <col min="114" max="114" width="13.28515625" hidden="1" customWidth="1"/>
    <col min="115" max="116" width="16.7109375" customWidth="1"/>
    <col min="117" max="117" width="13.85546875" hidden="1" customWidth="1"/>
    <col min="118" max="118" width="15.5703125" customWidth="1"/>
    <col min="119" max="119" width="14.7109375" hidden="1" customWidth="1"/>
    <col min="120" max="120" width="19" customWidth="1"/>
    <col min="121" max="121" width="16.85546875" customWidth="1"/>
    <col min="122" max="122" width="17.42578125" hidden="1" customWidth="1"/>
    <col min="123" max="123" width="15.85546875" customWidth="1"/>
    <col min="124" max="124" width="16.7109375" customWidth="1"/>
    <col min="125" max="125" width="12" hidden="1" customWidth="1"/>
    <col min="126" max="126" width="15.7109375" style="196" customWidth="1"/>
    <col min="127" max="127" width="9.5703125" hidden="1" customWidth="1"/>
    <col min="128" max="128" width="14.7109375" bestFit="1" customWidth="1"/>
    <col min="129" max="129" width="16.85546875" customWidth="1"/>
    <col min="130" max="130" width="7.42578125" hidden="1" customWidth="1"/>
    <col min="131" max="131" width="14.85546875" customWidth="1"/>
    <col min="132" max="132" width="10.5703125" hidden="1" customWidth="1"/>
    <col min="133" max="133" width="15.7109375" style="269" customWidth="1"/>
    <col min="134" max="134" width="15.5703125" customWidth="1"/>
    <col min="135" max="135" width="10.140625" hidden="1" customWidth="1"/>
    <col min="136" max="136" width="16.42578125" style="269" customWidth="1"/>
    <col min="137" max="137" width="10" hidden="1" customWidth="1"/>
    <col min="138" max="138" width="15" style="269" customWidth="1"/>
    <col min="139" max="139" width="17.5703125" customWidth="1"/>
    <col min="140" max="140" width="10.140625" hidden="1" customWidth="1"/>
    <col min="141" max="141" width="17.7109375" style="269" customWidth="1"/>
    <col min="142" max="142" width="11.140625" hidden="1" customWidth="1"/>
    <col min="143" max="143" width="15.85546875" style="269" bestFit="1" customWidth="1"/>
    <col min="144" max="144" width="15.85546875" bestFit="1" customWidth="1"/>
    <col min="145" max="145" width="11.140625" hidden="1" customWidth="1"/>
    <col min="146" max="146" width="18.28515625" style="269" customWidth="1"/>
    <col min="147" max="147" width="11.7109375" hidden="1" customWidth="1"/>
    <col min="148" max="148" width="15.85546875" style="269" bestFit="1" customWidth="1"/>
    <col min="149" max="149" width="17.85546875" customWidth="1"/>
    <col min="150" max="150" width="12" hidden="1" customWidth="1"/>
    <col min="151" max="151" width="15.85546875" style="269" bestFit="1" customWidth="1"/>
    <col min="152" max="152" width="9.28515625" hidden="1" customWidth="1"/>
    <col min="153" max="153" width="17.28515625" style="269" customWidth="1"/>
    <col min="154" max="154" width="15.85546875" customWidth="1"/>
    <col min="155" max="155" width="9.28515625" hidden="1" customWidth="1"/>
    <col min="156" max="156" width="13" style="269" bestFit="1" customWidth="1"/>
    <col min="157" max="157" width="8.28515625" hidden="1" customWidth="1"/>
    <col min="158" max="158" width="12" style="269" bestFit="1" customWidth="1"/>
    <col min="159" max="160" width="13.85546875" customWidth="1"/>
    <col min="161" max="161" width="18.7109375" customWidth="1"/>
    <col min="162" max="162" width="15.140625" bestFit="1" customWidth="1"/>
    <col min="163" max="163" width="16.85546875" bestFit="1" customWidth="1"/>
    <col min="164" max="164" width="15.42578125" style="269" customWidth="1"/>
    <col min="165" max="165" width="15.85546875" style="269" customWidth="1"/>
    <col min="166" max="166" width="8.28515625" style="269" hidden="1" customWidth="1"/>
    <col min="167" max="167" width="13.85546875" style="269" customWidth="1"/>
    <col min="168" max="168" width="14.28515625" style="269" customWidth="1"/>
    <col min="169" max="169" width="11.140625" style="269" customWidth="1"/>
    <col min="170" max="170" width="9.7109375" style="269" hidden="1" customWidth="1"/>
    <col min="171" max="171" width="16.140625" style="269" customWidth="1"/>
    <col min="172" max="172" width="11.85546875" style="269" hidden="1" customWidth="1"/>
    <col min="173" max="173" width="15" style="269" customWidth="1"/>
    <col min="174" max="174" width="10.85546875" style="269" hidden="1" customWidth="1"/>
    <col min="175" max="175" width="17.42578125" style="269" customWidth="1"/>
    <col min="176" max="176" width="17.28515625" customWidth="1"/>
    <col min="177" max="177" width="15" customWidth="1"/>
    <col min="178" max="178" width="12.28515625" hidden="1" customWidth="1"/>
    <col min="179" max="179" width="15" customWidth="1"/>
    <col min="180" max="180" width="10.140625" hidden="1" customWidth="1"/>
    <col min="181" max="181" width="15" customWidth="1"/>
    <col min="182" max="182" width="14.28515625" customWidth="1"/>
    <col min="183" max="183" width="13.42578125" customWidth="1"/>
    <col min="184" max="184" width="18.28515625" customWidth="1"/>
    <col min="185" max="185" width="14.5703125" style="887" bestFit="1" customWidth="1"/>
  </cols>
  <sheetData>
    <row r="1" spans="1:186" ht="18.75">
      <c r="A1" s="1135" t="s">
        <v>170</v>
      </c>
      <c r="B1" s="1135"/>
      <c r="C1" s="1135"/>
      <c r="D1" s="1135"/>
      <c r="E1" s="1135"/>
      <c r="F1" s="1135"/>
      <c r="G1" s="1135"/>
      <c r="H1" s="1135"/>
      <c r="I1" s="1135"/>
      <c r="J1" s="1135"/>
      <c r="K1" s="1135"/>
      <c r="L1" s="1135"/>
      <c r="M1" s="1135"/>
      <c r="N1" s="1135"/>
      <c r="O1" s="1135"/>
      <c r="P1" s="1135"/>
      <c r="Q1" s="1135"/>
      <c r="R1" s="1135"/>
      <c r="S1" s="1135"/>
      <c r="T1" s="1135"/>
      <c r="U1" s="1135"/>
      <c r="V1" s="1135"/>
      <c r="W1" s="1135"/>
      <c r="X1" s="1135"/>
      <c r="Y1" s="1135"/>
      <c r="Z1" s="1135"/>
      <c r="AA1" s="1135"/>
      <c r="AB1" s="1135"/>
      <c r="AC1" s="1135"/>
      <c r="AD1" s="1135"/>
      <c r="AE1" s="1135"/>
      <c r="AF1" s="1135"/>
      <c r="AG1" s="1135"/>
      <c r="AH1" s="1135"/>
      <c r="AI1" s="1135"/>
      <c r="AJ1" s="1135"/>
      <c r="AK1" s="1135"/>
      <c r="AL1" s="1135"/>
      <c r="AM1" s="1135"/>
      <c r="AN1" s="1135"/>
      <c r="AO1" s="1135"/>
      <c r="AP1" s="1135"/>
      <c r="AQ1" s="1135"/>
      <c r="AR1" s="1135"/>
      <c r="AS1" s="1135"/>
      <c r="AT1" s="1135"/>
      <c r="AU1" s="1135"/>
      <c r="AV1" s="1135"/>
      <c r="AW1" s="1135"/>
      <c r="AX1" s="1135"/>
      <c r="AY1" s="1135"/>
      <c r="AZ1" s="1135"/>
      <c r="BA1" s="1135"/>
      <c r="BB1" s="1135"/>
      <c r="BC1" s="1135"/>
      <c r="BD1" s="1135"/>
      <c r="BE1" s="1135"/>
      <c r="BF1" s="1135"/>
      <c r="BG1" s="1135"/>
      <c r="BH1" s="1135"/>
      <c r="BI1" s="1135"/>
      <c r="BJ1" s="1135"/>
      <c r="BK1" s="1135"/>
      <c r="BL1" s="1135"/>
      <c r="BM1" s="1135"/>
      <c r="BN1" s="1135"/>
      <c r="BO1" s="1135"/>
      <c r="BP1" s="1135"/>
      <c r="BQ1" s="1135"/>
      <c r="BR1" s="1135"/>
      <c r="BS1" s="1135"/>
      <c r="BT1" s="1135"/>
      <c r="BU1" s="1135"/>
      <c r="BV1" s="1135"/>
      <c r="BW1" s="1135"/>
      <c r="BX1" s="1135"/>
      <c r="BY1" s="1135"/>
      <c r="BZ1" s="1135"/>
      <c r="CA1" s="1135"/>
      <c r="CB1" s="1135"/>
      <c r="CC1" s="1135"/>
      <c r="CD1" s="1135"/>
      <c r="CE1" s="1135"/>
      <c r="CF1" s="1135"/>
      <c r="CG1" s="1135"/>
      <c r="CH1" s="1135"/>
      <c r="CI1" s="1135"/>
      <c r="CJ1" s="1135"/>
      <c r="CK1" s="1135"/>
      <c r="CL1" s="1135"/>
      <c r="CM1" s="1135"/>
      <c r="CN1" s="1135"/>
      <c r="CO1" s="1135"/>
      <c r="CP1" s="1135"/>
      <c r="CQ1" s="1135"/>
      <c r="CR1" s="1135"/>
      <c r="CS1" s="1135"/>
      <c r="CT1" s="1135"/>
      <c r="CU1" s="1135"/>
      <c r="CV1" s="1135"/>
      <c r="CW1" s="1135"/>
      <c r="CX1" s="1135"/>
      <c r="CY1" s="1135"/>
      <c r="CZ1" s="1135"/>
      <c r="DA1" s="1135"/>
      <c r="DB1" s="1135"/>
      <c r="DC1" s="1135"/>
      <c r="DD1" s="1135"/>
      <c r="DE1" s="1135"/>
      <c r="DF1" s="1135"/>
      <c r="DG1" s="1135"/>
      <c r="DH1" s="1135"/>
      <c r="DI1" s="1135"/>
      <c r="DJ1" s="1135"/>
      <c r="DK1" s="1135"/>
      <c r="DL1" s="1135"/>
      <c r="DM1" s="1135"/>
      <c r="DN1" s="1135"/>
      <c r="DO1" s="1135"/>
      <c r="DP1" s="1135"/>
      <c r="DQ1" s="1135"/>
      <c r="DR1" s="1135"/>
      <c r="DS1" s="1135"/>
      <c r="DT1" s="1135"/>
      <c r="DU1" s="1135"/>
      <c r="DV1" s="1135"/>
      <c r="DW1" s="1135"/>
      <c r="DX1" s="1135"/>
      <c r="DY1" s="1135"/>
      <c r="DZ1" s="1135"/>
      <c r="EA1" s="1135"/>
      <c r="EB1" s="1135"/>
      <c r="EC1" s="1135"/>
      <c r="ED1" s="1135"/>
      <c r="EE1" s="1135"/>
      <c r="EF1" s="1135"/>
      <c r="EG1" s="1135"/>
      <c r="EH1" s="1135"/>
      <c r="EI1" s="1135"/>
      <c r="EJ1" s="1135"/>
      <c r="EK1" s="1135"/>
      <c r="EL1" s="1135"/>
      <c r="EM1" s="1135"/>
      <c r="EN1" s="1135"/>
      <c r="EO1" s="1135"/>
      <c r="EP1" s="1135"/>
      <c r="EQ1" s="1135"/>
      <c r="ER1" s="1135"/>
      <c r="ES1" s="1135"/>
      <c r="ET1" s="1135"/>
      <c r="EU1" s="1135"/>
      <c r="EV1" s="1135"/>
      <c r="EW1" s="1135"/>
      <c r="EX1" s="1135"/>
      <c r="EY1" s="1135"/>
      <c r="EZ1" s="1135"/>
      <c r="FA1" s="1135"/>
      <c r="FB1" s="1135"/>
      <c r="FC1" s="1135"/>
      <c r="FD1" s="1135"/>
      <c r="FE1" s="1135"/>
      <c r="FF1" s="1135"/>
      <c r="FG1" s="1135"/>
      <c r="FH1" s="1135"/>
      <c r="FI1" s="1135"/>
      <c r="FJ1" s="1135"/>
      <c r="FK1" s="1135"/>
      <c r="FL1" s="1135"/>
      <c r="FM1" s="1135"/>
      <c r="FN1" s="1135"/>
      <c r="FO1" s="1135"/>
      <c r="FP1" s="1135"/>
      <c r="FQ1" s="1135"/>
      <c r="FR1" s="1135"/>
      <c r="FS1" s="1135"/>
      <c r="FT1" s="1135"/>
      <c r="FU1" s="1135"/>
      <c r="FV1" s="1135"/>
      <c r="FW1" s="1135"/>
      <c r="FX1" s="1135"/>
      <c r="FY1" s="1135"/>
      <c r="FZ1" s="1135"/>
      <c r="GA1" s="1135"/>
      <c r="GB1" s="1135"/>
    </row>
    <row r="2" spans="1:186" ht="17.25" customHeight="1">
      <c r="A2" s="1142" t="s">
        <v>2428</v>
      </c>
      <c r="B2" s="1142"/>
      <c r="C2" s="1142"/>
      <c r="D2" s="1142"/>
      <c r="E2" s="1142"/>
      <c r="F2" s="1142"/>
      <c r="G2" s="1142"/>
      <c r="H2" s="1142"/>
      <c r="I2" s="1142"/>
      <c r="J2" s="1142"/>
      <c r="K2" s="1142"/>
      <c r="L2" s="1142"/>
      <c r="M2" s="1142"/>
      <c r="N2" s="1142"/>
      <c r="O2" s="1142"/>
      <c r="P2" s="1142"/>
      <c r="Q2" s="1142"/>
      <c r="R2" s="1142"/>
      <c r="S2" s="1142"/>
      <c r="T2" s="1142"/>
      <c r="U2" s="1142"/>
      <c r="V2" s="1142"/>
      <c r="W2" s="1142"/>
      <c r="X2" s="1142"/>
      <c r="Y2" s="1142"/>
      <c r="Z2" s="1142"/>
      <c r="AA2" s="1142"/>
      <c r="AB2" s="1142"/>
      <c r="AC2" s="1142"/>
      <c r="AD2" s="1142"/>
      <c r="AE2" s="1142"/>
      <c r="AF2" s="1142"/>
      <c r="AG2" s="1142"/>
      <c r="AH2" s="1142"/>
      <c r="AI2" s="1142"/>
      <c r="AJ2" s="1142"/>
      <c r="AK2" s="1142"/>
      <c r="AL2" s="1142"/>
      <c r="AM2" s="1142"/>
      <c r="AN2" s="1142"/>
      <c r="AO2" s="1142"/>
      <c r="AP2" s="1142"/>
      <c r="AQ2" s="1142"/>
      <c r="AR2" s="1142"/>
      <c r="AS2" s="1142"/>
      <c r="AT2" s="1142"/>
      <c r="AU2" s="1142"/>
      <c r="AV2" s="1142"/>
      <c r="AW2" s="1142"/>
      <c r="AX2" s="1142"/>
      <c r="AY2" s="1142"/>
      <c r="AZ2" s="1142"/>
      <c r="BA2" s="1142"/>
      <c r="BB2" s="1142"/>
      <c r="BC2" s="1142"/>
      <c r="BD2" s="1142"/>
      <c r="BE2" s="1142"/>
      <c r="BF2" s="1142"/>
      <c r="BG2" s="1142"/>
      <c r="BH2" s="1142"/>
      <c r="BI2" s="1142"/>
      <c r="BJ2" s="1142"/>
      <c r="BK2" s="1142"/>
      <c r="BL2" s="1142"/>
      <c r="BM2" s="1142"/>
      <c r="BN2" s="1142"/>
      <c r="BO2" s="1142"/>
      <c r="BP2" s="1142"/>
      <c r="BQ2" s="1142"/>
      <c r="BR2" s="1142"/>
      <c r="BS2" s="1142"/>
      <c r="BT2" s="1142"/>
      <c r="BU2" s="1142"/>
      <c r="BV2" s="1142"/>
      <c r="BW2" s="1142"/>
      <c r="BX2" s="1142"/>
      <c r="BY2" s="1142"/>
      <c r="BZ2" s="1142"/>
      <c r="CA2" s="1142"/>
      <c r="CB2" s="1142"/>
      <c r="CC2" s="1142"/>
      <c r="CD2" s="1142"/>
      <c r="CE2" s="1142"/>
      <c r="CF2" s="1142"/>
      <c r="CG2" s="1142"/>
      <c r="CH2" s="1142"/>
      <c r="CI2" s="1142"/>
      <c r="CJ2" s="1142"/>
      <c r="CK2" s="1142"/>
      <c r="CL2" s="1142"/>
      <c r="CM2" s="1142"/>
      <c r="CN2" s="1142"/>
      <c r="CO2" s="1142"/>
      <c r="CP2" s="1142"/>
      <c r="CQ2" s="1142"/>
      <c r="CR2" s="1142"/>
      <c r="CS2" s="1142"/>
      <c r="CT2" s="1142"/>
      <c r="CU2" s="1142"/>
      <c r="CV2" s="1142"/>
      <c r="CW2" s="1142"/>
      <c r="CX2" s="1142"/>
      <c r="CY2" s="1142"/>
      <c r="CZ2" s="1142"/>
      <c r="DA2" s="1142"/>
      <c r="DB2" s="1142"/>
      <c r="DC2" s="1142"/>
      <c r="DD2" s="1142"/>
      <c r="DE2" s="1142"/>
      <c r="DF2" s="1142"/>
      <c r="DG2" s="1142"/>
      <c r="DH2" s="1142"/>
      <c r="DI2" s="1142"/>
      <c r="DJ2" s="1142"/>
      <c r="DK2" s="1142"/>
      <c r="DL2" s="1142"/>
      <c r="DM2" s="1142"/>
      <c r="DN2" s="1142"/>
      <c r="DO2" s="1142"/>
      <c r="DP2" s="1142"/>
      <c r="DQ2" s="1142"/>
      <c r="DR2" s="1142"/>
      <c r="DS2" s="1142"/>
      <c r="DT2" s="1142"/>
      <c r="DU2" s="1142"/>
      <c r="DV2" s="1142"/>
      <c r="DW2" s="1142"/>
      <c r="DX2" s="1142"/>
      <c r="DY2" s="1142"/>
      <c r="DZ2" s="1142"/>
      <c r="EA2" s="1142"/>
      <c r="EB2" s="1142"/>
      <c r="EC2" s="1142"/>
      <c r="ED2" s="1142"/>
      <c r="EE2" s="1142"/>
      <c r="EF2" s="1142"/>
      <c r="EG2" s="1142"/>
      <c r="EH2" s="1142"/>
      <c r="EI2" s="1142"/>
      <c r="EJ2" s="1142"/>
      <c r="EK2" s="1142"/>
      <c r="EL2" s="1142"/>
      <c r="EM2" s="1142"/>
      <c r="EN2" s="1142"/>
      <c r="EO2" s="1142"/>
      <c r="EP2" s="1142"/>
      <c r="EQ2" s="1142"/>
      <c r="ER2" s="1142"/>
      <c r="ES2" s="1142"/>
      <c r="ET2" s="1142"/>
      <c r="EU2" s="1142"/>
      <c r="EV2" s="1142"/>
      <c r="EW2" s="1142"/>
      <c r="EX2" s="1142"/>
      <c r="EY2" s="1142"/>
      <c r="EZ2" s="1142"/>
      <c r="FA2" s="1142"/>
      <c r="FB2" s="1142"/>
      <c r="FC2" s="1142"/>
      <c r="FD2" s="1142"/>
      <c r="FE2" s="1142"/>
      <c r="FF2" s="1142"/>
      <c r="FG2" s="1142"/>
      <c r="FH2" s="1142"/>
      <c r="FI2" s="1142"/>
      <c r="FJ2" s="1142"/>
      <c r="FK2" s="1142"/>
      <c r="FL2" s="1142"/>
      <c r="FM2" s="1142"/>
      <c r="FN2" s="1142"/>
      <c r="FO2" s="1142"/>
      <c r="FP2" s="1142"/>
      <c r="FQ2" s="1142"/>
      <c r="FR2" s="1142"/>
      <c r="FS2" s="1142"/>
      <c r="FT2" s="1142"/>
      <c r="FU2" s="1142"/>
      <c r="FV2" s="1142"/>
      <c r="FW2" s="1142"/>
      <c r="FX2" s="1142"/>
      <c r="FY2" s="1142"/>
      <c r="FZ2" s="1142"/>
      <c r="GA2" s="1142"/>
      <c r="GB2" s="1142"/>
    </row>
    <row r="3" spans="1:186" s="3" customFormat="1" ht="15" customHeight="1">
      <c r="A3" s="267"/>
      <c r="B3" s="267"/>
      <c r="C3" s="253"/>
      <c r="D3" s="253"/>
      <c r="E3" s="253"/>
      <c r="F3" s="253"/>
      <c r="G3" s="253"/>
      <c r="H3" s="253"/>
      <c r="I3" s="253"/>
      <c r="J3" s="253"/>
      <c r="K3" s="253"/>
      <c r="L3" s="253"/>
      <c r="M3" s="253"/>
      <c r="N3" s="253"/>
      <c r="O3" s="253"/>
      <c r="P3" s="253"/>
      <c r="Q3" s="253"/>
      <c r="R3" s="253"/>
      <c r="S3" s="253"/>
      <c r="T3" s="253"/>
      <c r="U3" s="253"/>
      <c r="V3" s="1150" t="s">
        <v>202</v>
      </c>
      <c r="W3" s="1098" t="s">
        <v>2526</v>
      </c>
      <c r="X3" s="1099"/>
      <c r="Y3" s="1099"/>
      <c r="Z3" s="1099"/>
      <c r="AA3" s="1099"/>
      <c r="AB3" s="1099"/>
      <c r="AC3" s="1099"/>
      <c r="AD3" s="1099"/>
      <c r="AE3" s="1099"/>
      <c r="AF3" s="1099"/>
      <c r="AG3" s="1099"/>
      <c r="AH3" s="1099"/>
      <c r="AI3" s="1099"/>
      <c r="AJ3" s="1099"/>
      <c r="AK3" s="1099"/>
      <c r="AL3" s="1099"/>
      <c r="AM3" s="1099"/>
      <c r="AN3" s="1100"/>
      <c r="AO3" s="852"/>
      <c r="AP3" s="852"/>
      <c r="AQ3" s="1106" t="s">
        <v>2818</v>
      </c>
      <c r="AR3" s="1107"/>
      <c r="AS3" s="1107"/>
      <c r="AT3" s="1107"/>
      <c r="AU3" s="1107"/>
      <c r="AV3" s="1107"/>
      <c r="AW3" s="1059"/>
      <c r="AX3" s="1059"/>
      <c r="AY3" s="1059"/>
      <c r="AZ3" s="1131" t="s">
        <v>2819</v>
      </c>
      <c r="BA3" s="1131"/>
      <c r="BB3" s="1131"/>
      <c r="BC3" s="1131"/>
      <c r="BD3" s="1131"/>
      <c r="BE3" s="1131"/>
      <c r="BF3" s="1132"/>
      <c r="BG3" s="847"/>
      <c r="BH3" s="1112" t="s">
        <v>2896</v>
      </c>
      <c r="BI3" s="1055"/>
      <c r="BJ3" s="1143" t="s">
        <v>1816</v>
      </c>
      <c r="BK3" s="1144"/>
      <c r="BL3" s="1144"/>
      <c r="BM3" s="1144"/>
      <c r="BN3" s="1144"/>
      <c r="BO3" s="1144"/>
      <c r="BP3" s="1144"/>
      <c r="BQ3" s="1144"/>
      <c r="BR3" s="1144"/>
      <c r="BS3" s="1144"/>
      <c r="BT3" s="1144"/>
      <c r="BU3" s="1144"/>
      <c r="BV3" s="1144"/>
      <c r="BW3" s="1144"/>
      <c r="BX3" s="1144"/>
      <c r="BY3" s="1144"/>
      <c r="BZ3" s="1144"/>
      <c r="CA3" s="1144"/>
      <c r="CB3" s="1144"/>
      <c r="CC3" s="1144"/>
      <c r="CD3" s="1144"/>
      <c r="CE3" s="1144"/>
      <c r="CF3" s="1144"/>
      <c r="CG3" s="1144"/>
      <c r="CH3" s="1144"/>
      <c r="CI3" s="1144"/>
      <c r="CJ3" s="1144"/>
      <c r="CK3" s="1144"/>
      <c r="CL3" s="1144"/>
      <c r="CM3" s="1144"/>
      <c r="CN3" s="1144"/>
      <c r="CO3" s="1145"/>
      <c r="CP3" s="868"/>
      <c r="CQ3" s="875"/>
      <c r="CR3" s="1114" t="s">
        <v>1815</v>
      </c>
      <c r="CS3" s="1115"/>
      <c r="CT3" s="1115"/>
      <c r="CU3" s="1115"/>
      <c r="CV3" s="1115"/>
      <c r="CW3" s="1115"/>
      <c r="CX3" s="1115"/>
      <c r="CY3" s="1115"/>
      <c r="CZ3" s="1115"/>
      <c r="DA3" s="1115"/>
      <c r="DB3" s="1115"/>
      <c r="DC3" s="1115"/>
      <c r="DD3" s="1115"/>
      <c r="DE3" s="1115"/>
      <c r="DF3" s="1115"/>
      <c r="DG3" s="1115"/>
      <c r="DH3" s="1115"/>
      <c r="DI3" s="1115"/>
      <c r="DJ3" s="1115"/>
      <c r="DK3" s="1115"/>
      <c r="DL3" s="1115"/>
      <c r="DM3" s="1115"/>
      <c r="DN3" s="1115"/>
      <c r="DO3" s="1115"/>
      <c r="DP3" s="1115"/>
      <c r="DQ3" s="1115"/>
      <c r="DR3" s="1115"/>
      <c r="DS3" s="1115"/>
      <c r="DT3" s="1115"/>
      <c r="DU3" s="1115"/>
      <c r="DV3" s="1115"/>
      <c r="DW3" s="1115"/>
      <c r="DX3" s="1115"/>
      <c r="DY3" s="1115"/>
      <c r="DZ3" s="1115"/>
      <c r="EA3" s="1115"/>
      <c r="EB3" s="1115"/>
      <c r="EC3" s="1115"/>
      <c r="ED3" s="1115"/>
      <c r="EE3" s="1115"/>
      <c r="EF3" s="1115"/>
      <c r="EG3" s="1115"/>
      <c r="EH3" s="1115"/>
      <c r="EI3" s="1115"/>
      <c r="EJ3" s="1115"/>
      <c r="EK3" s="1115"/>
      <c r="EL3" s="1115"/>
      <c r="EM3" s="1115"/>
      <c r="EN3" s="1115"/>
      <c r="EO3" s="1115"/>
      <c r="EP3" s="1115"/>
      <c r="EQ3" s="1115"/>
      <c r="ER3" s="1115"/>
      <c r="ES3" s="1115"/>
      <c r="ET3" s="1115"/>
      <c r="EU3" s="1115"/>
      <c r="EV3" s="1115"/>
      <c r="EW3" s="1115"/>
      <c r="EX3" s="1115"/>
      <c r="EY3" s="1115"/>
      <c r="EZ3" s="1115"/>
      <c r="FA3" s="1115"/>
      <c r="FB3" s="1115"/>
      <c r="FC3" s="1115"/>
      <c r="FD3" s="1115"/>
      <c r="FE3" s="1115"/>
      <c r="FF3" s="1115"/>
      <c r="FG3" s="1115"/>
      <c r="FH3" s="1115"/>
      <c r="FI3" s="1115"/>
      <c r="FJ3" s="1115"/>
      <c r="FK3" s="1115"/>
      <c r="FL3" s="1115"/>
      <c r="FM3" s="1115"/>
      <c r="FN3" s="1115"/>
      <c r="FO3" s="1115"/>
      <c r="FP3" s="1115"/>
      <c r="FQ3" s="1115"/>
      <c r="FR3" s="1115"/>
      <c r="FS3" s="1115"/>
      <c r="FT3" s="1115"/>
      <c r="FU3" s="1115"/>
      <c r="FV3" s="1115"/>
      <c r="FW3" s="1115"/>
      <c r="FX3" s="1115"/>
      <c r="FY3" s="1115"/>
      <c r="FZ3" s="1115"/>
      <c r="GA3" s="1115"/>
      <c r="GB3" s="1115"/>
      <c r="GC3" s="1115"/>
      <c r="GD3" s="1116"/>
    </row>
    <row r="4" spans="1:186" s="252" customFormat="1" ht="15.4" customHeight="1">
      <c r="A4" s="1136" t="s">
        <v>171</v>
      </c>
      <c r="B4" s="1137" t="s">
        <v>172</v>
      </c>
      <c r="C4" s="1138" t="s">
        <v>173</v>
      </c>
      <c r="D4" s="1139" t="s">
        <v>174</v>
      </c>
      <c r="E4" s="1139"/>
      <c r="F4" s="1139"/>
      <c r="G4" s="1139"/>
      <c r="H4" s="1139"/>
      <c r="I4" s="1139"/>
      <c r="J4" s="1139"/>
      <c r="K4" s="1139"/>
      <c r="L4" s="1139"/>
      <c r="M4" s="1139"/>
      <c r="N4" s="1139"/>
      <c r="O4" s="1139"/>
      <c r="P4" s="1139"/>
      <c r="Q4" s="1139"/>
      <c r="R4" s="251"/>
      <c r="S4" s="1140" t="s">
        <v>175</v>
      </c>
      <c r="T4" s="1140"/>
      <c r="U4" s="1141" t="s">
        <v>176</v>
      </c>
      <c r="V4" s="1151"/>
      <c r="W4" s="1101"/>
      <c r="X4" s="1102"/>
      <c r="Y4" s="1102"/>
      <c r="Z4" s="1102"/>
      <c r="AA4" s="1102"/>
      <c r="AB4" s="1102"/>
      <c r="AC4" s="1102"/>
      <c r="AD4" s="1102"/>
      <c r="AE4" s="1102"/>
      <c r="AF4" s="1102"/>
      <c r="AG4" s="1102"/>
      <c r="AH4" s="1102"/>
      <c r="AI4" s="1102"/>
      <c r="AJ4" s="1102"/>
      <c r="AK4" s="1102"/>
      <c r="AL4" s="1102"/>
      <c r="AM4" s="1102"/>
      <c r="AN4" s="1103"/>
      <c r="AO4" s="853"/>
      <c r="AP4" s="853"/>
      <c r="AQ4" s="1108"/>
      <c r="AR4" s="1109"/>
      <c r="AS4" s="1109"/>
      <c r="AT4" s="1109"/>
      <c r="AU4" s="1109"/>
      <c r="AV4" s="1109"/>
      <c r="AW4" s="1060"/>
      <c r="AX4" s="1060"/>
      <c r="AY4" s="1060"/>
      <c r="AZ4" s="1133"/>
      <c r="BA4" s="1133"/>
      <c r="BB4" s="1133"/>
      <c r="BC4" s="1133"/>
      <c r="BD4" s="1133"/>
      <c r="BE4" s="1133"/>
      <c r="BF4" s="1134"/>
      <c r="BG4" s="1056"/>
      <c r="BH4" s="1113"/>
      <c r="BI4" s="1129" t="s">
        <v>2275</v>
      </c>
      <c r="BJ4" s="1130"/>
      <c r="BK4" s="1130"/>
      <c r="BL4" s="1130"/>
      <c r="BM4" s="1130"/>
      <c r="BN4" s="1130"/>
      <c r="BO4" s="1130"/>
      <c r="BP4" s="1130"/>
      <c r="BQ4" s="628"/>
      <c r="BR4" s="1110" t="s">
        <v>192</v>
      </c>
      <c r="BS4" s="1111"/>
      <c r="BT4" s="1125" t="s">
        <v>177</v>
      </c>
      <c r="BU4" s="1110"/>
      <c r="BV4" s="1110"/>
      <c r="BW4" s="1110"/>
      <c r="BX4" s="1110"/>
      <c r="BY4" s="1111"/>
      <c r="BZ4" s="849"/>
      <c r="CA4" s="1107" t="s">
        <v>178</v>
      </c>
      <c r="CB4" s="1107"/>
      <c r="CC4" s="1107"/>
      <c r="CD4" s="1107"/>
      <c r="CE4" s="850" t="s">
        <v>179</v>
      </c>
      <c r="CF4" s="623"/>
      <c r="CG4" s="876" t="s">
        <v>1850</v>
      </c>
      <c r="CH4" s="854"/>
      <c r="CI4" s="1125" t="s">
        <v>173</v>
      </c>
      <c r="CJ4" s="1110"/>
      <c r="CK4" s="1110"/>
      <c r="CL4" s="1110"/>
      <c r="CM4" s="1110"/>
      <c r="CN4" s="1110"/>
      <c r="CO4" s="1111"/>
      <c r="CP4" s="869"/>
      <c r="CQ4" s="623"/>
      <c r="CR4" s="1117" t="s">
        <v>2897</v>
      </c>
      <c r="CS4" s="1118"/>
      <c r="CT4" s="1118"/>
      <c r="CU4" s="1118"/>
      <c r="CV4" s="1118"/>
      <c r="CW4" s="1118"/>
      <c r="CX4" s="1119"/>
      <c r="CY4" s="629"/>
      <c r="CZ4" s="1126" t="s">
        <v>2277</v>
      </c>
      <c r="DA4" s="1127"/>
      <c r="DB4" s="1127"/>
      <c r="DC4" s="1128"/>
      <c r="DD4" s="970"/>
      <c r="DE4" s="970"/>
      <c r="DF4" s="969"/>
      <c r="DG4" s="969" t="s">
        <v>2693</v>
      </c>
      <c r="DH4" s="937"/>
      <c r="DI4" s="1127" t="s">
        <v>2694</v>
      </c>
      <c r="DJ4" s="1127"/>
      <c r="DK4" s="1127"/>
      <c r="DL4" s="1128"/>
      <c r="DM4" s="874"/>
      <c r="DN4" s="1104" t="s">
        <v>1811</v>
      </c>
      <c r="DO4" s="1104"/>
      <c r="DP4" s="1104"/>
      <c r="DQ4" s="1104"/>
      <c r="DR4" s="1104"/>
      <c r="DS4" s="1104"/>
      <c r="DT4" s="1105"/>
      <c r="DU4" s="851"/>
      <c r="DV4" s="1147" t="s">
        <v>1810</v>
      </c>
      <c r="DW4" s="1148"/>
      <c r="DX4" s="1148"/>
      <c r="DY4" s="1149"/>
      <c r="DZ4" s="874" t="s">
        <v>1809</v>
      </c>
      <c r="EA4" s="1104" t="s">
        <v>1809</v>
      </c>
      <c r="EB4" s="1104"/>
      <c r="EC4" s="1104"/>
      <c r="ED4" s="1105"/>
      <c r="EE4" s="851"/>
      <c r="EF4" s="1120" t="s">
        <v>1814</v>
      </c>
      <c r="EG4" s="1121"/>
      <c r="EH4" s="1121"/>
      <c r="EI4" s="1122"/>
      <c r="EJ4" s="870"/>
      <c r="EK4" s="1146" t="s">
        <v>1813</v>
      </c>
      <c r="EL4" s="1104"/>
      <c r="EM4" s="1104"/>
      <c r="EN4" s="1104"/>
      <c r="EO4" s="1104"/>
      <c r="EP4" s="1104"/>
      <c r="EQ4" s="1104"/>
      <c r="ER4" s="1104"/>
      <c r="ES4" s="1104"/>
      <c r="ET4" s="1104"/>
      <c r="EU4" s="1104"/>
      <c r="EV4" s="1104"/>
      <c r="EW4" s="1104"/>
      <c r="EX4" s="1104"/>
      <c r="EY4" s="1104"/>
      <c r="EZ4" s="1104"/>
      <c r="FA4" s="1104"/>
      <c r="FB4" s="1104"/>
      <c r="FC4" s="1104"/>
      <c r="FD4" s="1104"/>
      <c r="FE4" s="1105"/>
      <c r="FF4" s="723"/>
      <c r="FG4" s="1088"/>
      <c r="FH4" s="950"/>
      <c r="FI4" s="981"/>
      <c r="FJ4" s="872"/>
      <c r="FK4" s="950"/>
      <c r="FL4" s="981"/>
      <c r="FM4" s="928"/>
      <c r="FN4" s="928"/>
      <c r="FO4" s="928"/>
      <c r="FP4" s="928"/>
      <c r="FQ4" s="928"/>
      <c r="FR4" s="928"/>
      <c r="FS4" s="928"/>
      <c r="FT4" s="872"/>
      <c r="FU4" s="872"/>
      <c r="FV4" s="872"/>
      <c r="FW4" s="872"/>
      <c r="FX4" s="872"/>
      <c r="FY4" s="872"/>
      <c r="FZ4" s="963"/>
      <c r="GA4" s="873"/>
      <c r="GB4" s="1123" t="s">
        <v>96</v>
      </c>
      <c r="GC4" s="1124"/>
      <c r="GD4" s="1076" t="s">
        <v>2895</v>
      </c>
    </row>
    <row r="5" spans="1:186" s="252" customFormat="1" ht="33.75" customHeight="1">
      <c r="A5" s="1136"/>
      <c r="B5" s="1137"/>
      <c r="C5" s="1138"/>
      <c r="D5" s="254" t="s">
        <v>177</v>
      </c>
      <c r="E5" s="255" t="s">
        <v>180</v>
      </c>
      <c r="F5" s="256" t="s">
        <v>181</v>
      </c>
      <c r="G5" s="257" t="s">
        <v>178</v>
      </c>
      <c r="H5" s="258" t="s">
        <v>179</v>
      </c>
      <c r="I5" s="259" t="s">
        <v>182</v>
      </c>
      <c r="J5" s="259" t="s">
        <v>183</v>
      </c>
      <c r="K5" s="260" t="s">
        <v>184</v>
      </c>
      <c r="L5" s="260" t="s">
        <v>185</v>
      </c>
      <c r="M5" s="259" t="s">
        <v>186</v>
      </c>
      <c r="N5" s="260" t="s">
        <v>187</v>
      </c>
      <c r="O5" s="259" t="s">
        <v>188</v>
      </c>
      <c r="P5" s="260" t="s">
        <v>189</v>
      </c>
      <c r="Q5" s="251" t="s">
        <v>190</v>
      </c>
      <c r="R5" s="251" t="s">
        <v>191</v>
      </c>
      <c r="S5" s="261" t="s">
        <v>158</v>
      </c>
      <c r="T5" s="262" t="s">
        <v>192</v>
      </c>
      <c r="U5" s="1141"/>
      <c r="V5" s="1152"/>
      <c r="W5" s="611" t="s">
        <v>193</v>
      </c>
      <c r="X5" s="848" t="s">
        <v>194</v>
      </c>
      <c r="Y5" s="590"/>
      <c r="Z5" s="590"/>
      <c r="AA5" s="590"/>
      <c r="AB5" s="1046" t="s">
        <v>195</v>
      </c>
      <c r="AC5" s="1047" t="s">
        <v>196</v>
      </c>
      <c r="AD5" s="1048" t="s">
        <v>197</v>
      </c>
      <c r="AE5" s="1049" t="s">
        <v>2298</v>
      </c>
      <c r="AF5" s="1049" t="s">
        <v>2637</v>
      </c>
      <c r="AG5" s="1050" t="s">
        <v>1798</v>
      </c>
      <c r="AH5" s="1048" t="s">
        <v>2295</v>
      </c>
      <c r="AI5" s="1051" t="s">
        <v>1798</v>
      </c>
      <c r="AJ5" s="1048" t="s">
        <v>2299</v>
      </c>
      <c r="AK5" s="1046" t="s">
        <v>2531</v>
      </c>
      <c r="AL5" s="1046" t="s">
        <v>2532</v>
      </c>
      <c r="AM5" s="1046" t="s">
        <v>2533</v>
      </c>
      <c r="AN5" s="1052" t="s">
        <v>2534</v>
      </c>
      <c r="AO5" s="1046" t="s">
        <v>2592</v>
      </c>
      <c r="AP5" s="1046" t="s">
        <v>1798</v>
      </c>
      <c r="AQ5" s="615" t="s">
        <v>2659</v>
      </c>
      <c r="AR5" s="614" t="s">
        <v>2660</v>
      </c>
      <c r="AS5" s="615" t="s">
        <v>2636</v>
      </c>
      <c r="AT5" s="615" t="s">
        <v>1798</v>
      </c>
      <c r="AU5" s="615" t="s">
        <v>198</v>
      </c>
      <c r="AV5" s="614" t="s">
        <v>1798</v>
      </c>
      <c r="AW5" s="614" t="s">
        <v>2881</v>
      </c>
      <c r="AX5" s="614" t="s">
        <v>2883</v>
      </c>
      <c r="AY5" s="614" t="s">
        <v>2882</v>
      </c>
      <c r="AZ5" s="1046" t="s">
        <v>2665</v>
      </c>
      <c r="BA5" s="1053" t="s">
        <v>2664</v>
      </c>
      <c r="BB5" s="1053" t="s">
        <v>199</v>
      </c>
      <c r="BC5" s="1053" t="s">
        <v>200</v>
      </c>
      <c r="BD5" s="1054" t="s">
        <v>2666</v>
      </c>
      <c r="BE5" s="1054" t="s">
        <v>1798</v>
      </c>
      <c r="BF5" s="1048" t="s">
        <v>201</v>
      </c>
      <c r="BG5" s="1057" t="s">
        <v>1798</v>
      </c>
      <c r="BH5" s="1113"/>
      <c r="BI5" s="266" t="s">
        <v>1799</v>
      </c>
      <c r="BJ5" s="266" t="s">
        <v>2276</v>
      </c>
      <c r="BK5" s="275" t="s">
        <v>1798</v>
      </c>
      <c r="BL5" s="266" t="s">
        <v>2562</v>
      </c>
      <c r="BM5" s="275" t="s">
        <v>1798</v>
      </c>
      <c r="BN5" s="275" t="s">
        <v>2297</v>
      </c>
      <c r="BO5" s="266" t="s">
        <v>203</v>
      </c>
      <c r="BP5" s="266" t="s">
        <v>2300</v>
      </c>
      <c r="BQ5" s="268" t="s">
        <v>1798</v>
      </c>
      <c r="BR5" s="1071" t="s">
        <v>2884</v>
      </c>
      <c r="BS5" s="1071" t="s">
        <v>2885</v>
      </c>
      <c r="BT5" s="265" t="s">
        <v>1799</v>
      </c>
      <c r="BU5" s="631" t="s">
        <v>1801</v>
      </c>
      <c r="BV5" s="265" t="s">
        <v>1806</v>
      </c>
      <c r="BW5" s="631" t="s">
        <v>2308</v>
      </c>
      <c r="BX5" s="265" t="s">
        <v>1798</v>
      </c>
      <c r="BY5" s="265" t="s">
        <v>1802</v>
      </c>
      <c r="BZ5" s="619" t="s">
        <v>1799</v>
      </c>
      <c r="CA5" s="268" t="s">
        <v>2527</v>
      </c>
      <c r="CB5" s="268" t="s">
        <v>2528</v>
      </c>
      <c r="CC5" s="268" t="s">
        <v>2529</v>
      </c>
      <c r="CD5" s="268" t="s">
        <v>2530</v>
      </c>
      <c r="CE5" s="268" t="s">
        <v>204</v>
      </c>
      <c r="CF5" s="268" t="s">
        <v>2296</v>
      </c>
      <c r="CG5" s="268" t="s">
        <v>1817</v>
      </c>
      <c r="CH5" s="268" t="s">
        <v>1798</v>
      </c>
      <c r="CI5" s="265" t="s">
        <v>1818</v>
      </c>
      <c r="CJ5" s="265" t="s">
        <v>1798</v>
      </c>
      <c r="CK5" s="265" t="s">
        <v>1819</v>
      </c>
      <c r="CL5" s="265" t="s">
        <v>1798</v>
      </c>
      <c r="CM5" s="265" t="s">
        <v>205</v>
      </c>
      <c r="CN5" s="265" t="s">
        <v>1798</v>
      </c>
      <c r="CO5" s="265" t="s">
        <v>2548</v>
      </c>
      <c r="CP5" s="265" t="s">
        <v>1798</v>
      </c>
      <c r="CQ5" s="273" t="s">
        <v>2260</v>
      </c>
      <c r="CR5" s="268" t="s">
        <v>206</v>
      </c>
      <c r="CS5" s="268" t="s">
        <v>2546</v>
      </c>
      <c r="CT5" s="268" t="s">
        <v>2561</v>
      </c>
      <c r="CU5" s="268" t="s">
        <v>2827</v>
      </c>
      <c r="CV5" s="268" t="s">
        <v>2278</v>
      </c>
      <c r="CW5" s="268" t="s">
        <v>2554</v>
      </c>
      <c r="CX5" s="268" t="s">
        <v>209</v>
      </c>
      <c r="CY5" s="265" t="s">
        <v>2260</v>
      </c>
      <c r="CZ5" s="630" t="s">
        <v>2301</v>
      </c>
      <c r="DA5" s="630" t="s">
        <v>2563</v>
      </c>
      <c r="DB5" s="630" t="s">
        <v>208</v>
      </c>
      <c r="DC5" s="265" t="s">
        <v>209</v>
      </c>
      <c r="DD5" s="268" t="s">
        <v>2696</v>
      </c>
      <c r="DE5" s="268" t="s">
        <v>1798</v>
      </c>
      <c r="DF5" s="268" t="s">
        <v>2695</v>
      </c>
      <c r="DG5" s="268" t="s">
        <v>158</v>
      </c>
      <c r="DH5" s="265" t="s">
        <v>2886</v>
      </c>
      <c r="DI5" s="265" t="s">
        <v>2887</v>
      </c>
      <c r="DJ5" s="265" t="s">
        <v>2888</v>
      </c>
      <c r="DK5" s="265" t="s">
        <v>2746</v>
      </c>
      <c r="DL5" s="265" t="s">
        <v>209</v>
      </c>
      <c r="DM5" s="268" t="s">
        <v>1800</v>
      </c>
      <c r="DN5" s="609" t="s">
        <v>2414</v>
      </c>
      <c r="DO5" s="268" t="s">
        <v>1800</v>
      </c>
      <c r="DP5" s="608" t="s">
        <v>2265</v>
      </c>
      <c r="DQ5" s="266" t="s">
        <v>1820</v>
      </c>
      <c r="DR5" s="266" t="s">
        <v>1800</v>
      </c>
      <c r="DS5" s="610" t="s">
        <v>2307</v>
      </c>
      <c r="DT5" s="622" t="s">
        <v>209</v>
      </c>
      <c r="DU5" s="263" t="s">
        <v>2538</v>
      </c>
      <c r="DV5" s="263" t="s">
        <v>206</v>
      </c>
      <c r="DW5" s="263" t="s">
        <v>2537</v>
      </c>
      <c r="DX5" s="263" t="s">
        <v>207</v>
      </c>
      <c r="DY5" s="263" t="s">
        <v>209</v>
      </c>
      <c r="DZ5" s="266" t="s">
        <v>2260</v>
      </c>
      <c r="EA5" s="266" t="s">
        <v>206</v>
      </c>
      <c r="EB5" s="266" t="s">
        <v>2546</v>
      </c>
      <c r="EC5" s="871" t="s">
        <v>2553</v>
      </c>
      <c r="ED5" s="266" t="s">
        <v>1854</v>
      </c>
      <c r="EE5" s="263" t="s">
        <v>2545</v>
      </c>
      <c r="EF5" s="885" t="s">
        <v>206</v>
      </c>
      <c r="EG5" s="263" t="s">
        <v>2563</v>
      </c>
      <c r="EH5" s="885" t="s">
        <v>208</v>
      </c>
      <c r="EI5" s="263" t="s">
        <v>209</v>
      </c>
      <c r="EJ5" s="266" t="s">
        <v>2545</v>
      </c>
      <c r="EK5" s="871" t="s">
        <v>1807</v>
      </c>
      <c r="EL5" s="266" t="s">
        <v>2546</v>
      </c>
      <c r="EM5" s="871" t="s">
        <v>1808</v>
      </c>
      <c r="EN5" s="266" t="s">
        <v>2552</v>
      </c>
      <c r="EO5" s="266" t="s">
        <v>2545</v>
      </c>
      <c r="EP5" s="871" t="s">
        <v>2549</v>
      </c>
      <c r="EQ5" s="266" t="s">
        <v>2546</v>
      </c>
      <c r="ER5" s="871" t="s">
        <v>2539</v>
      </c>
      <c r="ES5" s="266" t="s">
        <v>2551</v>
      </c>
      <c r="ET5" s="266" t="s">
        <v>2545</v>
      </c>
      <c r="EU5" s="871" t="s">
        <v>2542</v>
      </c>
      <c r="EV5" s="266" t="s">
        <v>2546</v>
      </c>
      <c r="EW5" s="871" t="s">
        <v>2543</v>
      </c>
      <c r="EX5" s="266" t="s">
        <v>2550</v>
      </c>
      <c r="EY5" s="266" t="s">
        <v>2545</v>
      </c>
      <c r="EZ5" s="871" t="s">
        <v>2541</v>
      </c>
      <c r="FA5" s="266" t="s">
        <v>2546</v>
      </c>
      <c r="FB5" s="871" t="s">
        <v>2540</v>
      </c>
      <c r="FC5" s="266" t="s">
        <v>2397</v>
      </c>
      <c r="FD5" s="266" t="s">
        <v>2814</v>
      </c>
      <c r="FE5" s="266" t="s">
        <v>2544</v>
      </c>
      <c r="FF5" s="274" t="s">
        <v>2413</v>
      </c>
      <c r="FG5" s="266" t="s">
        <v>2898</v>
      </c>
      <c r="FH5" s="886" t="s">
        <v>210</v>
      </c>
      <c r="FI5" s="886" t="s">
        <v>2718</v>
      </c>
      <c r="FJ5" s="886" t="s">
        <v>2635</v>
      </c>
      <c r="FK5" s="886" t="s">
        <v>2719</v>
      </c>
      <c r="FL5" s="886" t="s">
        <v>2720</v>
      </c>
      <c r="FM5" s="951" t="s">
        <v>2667</v>
      </c>
      <c r="FN5" s="951" t="s">
        <v>2658</v>
      </c>
      <c r="FO5" s="951" t="s">
        <v>2686</v>
      </c>
      <c r="FP5" s="951" t="s">
        <v>2657</v>
      </c>
      <c r="FQ5" s="951" t="s">
        <v>2687</v>
      </c>
      <c r="FR5" s="951" t="s">
        <v>2657</v>
      </c>
      <c r="FS5" s="951" t="s">
        <v>2820</v>
      </c>
      <c r="FT5" s="886" t="s">
        <v>2668</v>
      </c>
      <c r="FU5" s="951" t="s">
        <v>2688</v>
      </c>
      <c r="FV5" s="951" t="s">
        <v>2692</v>
      </c>
      <c r="FW5" s="951" t="s">
        <v>2691</v>
      </c>
      <c r="FX5" s="951" t="s">
        <v>2690</v>
      </c>
      <c r="FY5" s="951" t="s">
        <v>2689</v>
      </c>
      <c r="FZ5" s="274" t="s">
        <v>1849</v>
      </c>
      <c r="GA5" s="274" t="s">
        <v>211</v>
      </c>
      <c r="GB5" s="890" t="s">
        <v>141</v>
      </c>
      <c r="GC5" s="891" t="s">
        <v>111</v>
      </c>
      <c r="GD5" s="1077"/>
    </row>
    <row r="6" spans="1:186" s="4" customFormat="1" ht="15.75" customHeight="1">
      <c r="A6" s="612"/>
      <c r="B6" s="613" t="s">
        <v>2266</v>
      </c>
      <c r="C6" s="249">
        <f t="shared" ref="C6:T6" si="0">SUM(C8,C144,C270,C471,C577,C713)</f>
        <v>774</v>
      </c>
      <c r="D6" s="249">
        <f t="shared" si="0"/>
        <v>339</v>
      </c>
      <c r="E6" s="249">
        <f t="shared" si="0"/>
        <v>0</v>
      </c>
      <c r="F6" s="249">
        <f t="shared" si="0"/>
        <v>0</v>
      </c>
      <c r="G6" s="249">
        <f t="shared" si="0"/>
        <v>363</v>
      </c>
      <c r="H6" s="249">
        <f t="shared" si="0"/>
        <v>774</v>
      </c>
      <c r="I6" s="249">
        <f t="shared" si="0"/>
        <v>750</v>
      </c>
      <c r="J6" s="249">
        <f t="shared" si="0"/>
        <v>22</v>
      </c>
      <c r="K6" s="249">
        <f t="shared" si="0"/>
        <v>377</v>
      </c>
      <c r="L6" s="249">
        <f t="shared" si="0"/>
        <v>22</v>
      </c>
      <c r="M6" s="249">
        <f t="shared" si="0"/>
        <v>217</v>
      </c>
      <c r="N6" s="249">
        <f t="shared" si="0"/>
        <v>104</v>
      </c>
      <c r="O6" s="249">
        <f t="shared" si="0"/>
        <v>43</v>
      </c>
      <c r="P6" s="249">
        <f t="shared" si="0"/>
        <v>9</v>
      </c>
      <c r="Q6" s="249">
        <f t="shared" si="0"/>
        <v>86</v>
      </c>
      <c r="R6" s="249">
        <f t="shared" si="0"/>
        <v>688</v>
      </c>
      <c r="S6" s="249">
        <f t="shared" si="0"/>
        <v>17</v>
      </c>
      <c r="T6" s="249">
        <f t="shared" si="0"/>
        <v>0</v>
      </c>
      <c r="U6" s="250">
        <f>SUM(C6:T6)</f>
        <v>4585</v>
      </c>
      <c r="V6" s="843"/>
      <c r="W6" s="201">
        <f>SUM(W8,W144,W270,W471,W577,W713)</f>
        <v>140431790</v>
      </c>
      <c r="X6" s="202">
        <f>AVERAGE(X8,X144,X270,X471,X577,X713)</f>
        <v>3.2554047619047615</v>
      </c>
      <c r="Y6" s="202"/>
      <c r="Z6" s="202"/>
      <c r="AA6" s="202"/>
      <c r="AB6" s="201">
        <f>SUM(AB8,AB144,AB270,AB471,AB577,AB713)</f>
        <v>258169500.52052012</v>
      </c>
      <c r="AC6" s="617">
        <f>AVERAGE(AC8,AC144,AC270,AC471,AC577,AC713)</f>
        <v>15.676190476190477</v>
      </c>
      <c r="AD6" s="201">
        <f>SUM(AD8,AD144,AD270,AD471,AD577,AD713)</f>
        <v>41534537.682685092</v>
      </c>
      <c r="AE6" s="201">
        <f>SUM(AE8,AE144,AE270,AE471,AE577,AE713)</f>
        <v>39457810.798550844</v>
      </c>
      <c r="AF6" s="201">
        <f>SUM(AF8,AF144,AF270,AF471,AF577,AF713)</f>
        <v>23913978.785420693</v>
      </c>
      <c r="AG6" s="606">
        <v>1</v>
      </c>
      <c r="AH6" s="201">
        <f>SUM(AH8,AH144,AH270,AH471,AH577,AH713)</f>
        <v>12908475.026026007</v>
      </c>
      <c r="AI6" s="247">
        <v>1</v>
      </c>
      <c r="AJ6" s="201">
        <f>AD6+AH6</f>
        <v>54443012.708711103</v>
      </c>
      <c r="AK6" s="201">
        <f>AB6*0.04</f>
        <v>10326780.020820806</v>
      </c>
      <c r="AL6" s="201">
        <f>AB6*0.04</f>
        <v>10326780.020820806</v>
      </c>
      <c r="AM6" s="201">
        <f>AK6+AL6</f>
        <v>20653560.041641612</v>
      </c>
      <c r="AN6" s="264">
        <v>1</v>
      </c>
      <c r="AO6" s="201">
        <f>AB6*0.038</f>
        <v>9810441.0197797641</v>
      </c>
      <c r="AP6" s="606">
        <v>1</v>
      </c>
      <c r="AQ6" s="201">
        <f>SUM(AQ8,AQ144,AQ270,AQ471,AQ577,AQ713)</f>
        <v>37</v>
      </c>
      <c r="AR6" s="606">
        <v>1</v>
      </c>
      <c r="AS6" s="201">
        <f>SUM(AS8,AS144,AS270,AS471,AS577,AS713)</f>
        <v>774</v>
      </c>
      <c r="AT6" s="606">
        <v>1</v>
      </c>
      <c r="AU6" s="201">
        <f>SUM(AU8,AU144,AU270,AU471,AU577,AU713)</f>
        <v>8801</v>
      </c>
      <c r="AV6" s="246">
        <v>1</v>
      </c>
      <c r="AW6" s="201">
        <f>SUM(AW8,AW144,AW270,AW471,AW577,AW713)</f>
        <v>921338</v>
      </c>
      <c r="AX6" s="201">
        <f t="shared" ref="AX6:AY6" si="1">SUM(AX8,AX144,AX270,AX471,AX577,AX713)</f>
        <v>1842.6759999999999</v>
      </c>
      <c r="AY6" s="201">
        <f t="shared" si="1"/>
        <v>184267.6</v>
      </c>
      <c r="AZ6" s="201">
        <f>SUM(AZ8,AZ144,AZ270,AZ471,AZ577,AZ713)</f>
        <v>27291</v>
      </c>
      <c r="BA6" s="606">
        <v>1</v>
      </c>
      <c r="BB6" s="201">
        <f>SUM(BB8,BB144,BB270,BB471,BB577,BB713)</f>
        <v>1217</v>
      </c>
      <c r="BC6" s="201">
        <f>SUM(BC8,BC144,BC270,BC471,BC577,BC713)</f>
        <v>89</v>
      </c>
      <c r="BD6" s="201">
        <f>SUM(BD8,BD144,BD270,BD471,BD577,BD713)</f>
        <v>1306</v>
      </c>
      <c r="BE6" s="606">
        <v>1</v>
      </c>
      <c r="BF6" s="201">
        <f>SUM(BF8,BF144,BF270,BF471,BF577,BF713)</f>
        <v>28597</v>
      </c>
      <c r="BG6" s="246">
        <v>1</v>
      </c>
      <c r="BH6" s="1083">
        <v>36.200000000000003</v>
      </c>
      <c r="BI6" s="201"/>
      <c r="BJ6" s="201">
        <f>SUM(BJ8,BJ144,BJ270,BJ471,BJ577,BJ713)</f>
        <v>52440044</v>
      </c>
      <c r="BK6" s="246">
        <v>1</v>
      </c>
      <c r="BL6" s="201">
        <f>SUM(BL8,BL144,BL270,BL471,BL577,BL713)</f>
        <v>1048800.8800000001</v>
      </c>
      <c r="BM6" s="246">
        <v>1</v>
      </c>
      <c r="BN6" s="201"/>
      <c r="BO6" s="201">
        <f>SUM(BO8,BO144,BO270,BO471,BO577,BO713)</f>
        <v>16870210.965226788</v>
      </c>
      <c r="BP6" s="201">
        <f>SUM(BP8,BP144,BP270,BP471,BP577,BP713)</f>
        <v>10690002.685825936</v>
      </c>
      <c r="BQ6" s="247">
        <v>1</v>
      </c>
      <c r="BR6" s="201">
        <f>SUM(BR8,BR144,BR270,BR471,BR577,BR713)</f>
        <v>2211211.2000000002</v>
      </c>
      <c r="BS6" s="606">
        <v>1</v>
      </c>
      <c r="BT6" s="272">
        <v>1</v>
      </c>
      <c r="BU6" s="201">
        <f>SUM(BU8,BU144,BU270,BU471,BU577,BU713)</f>
        <v>14417137.850315139</v>
      </c>
      <c r="BV6" s="264">
        <v>1</v>
      </c>
      <c r="BW6" s="201">
        <f>SUM(BW8,BW144,BW270,BW471,BW577,BW713)</f>
        <v>61673311.915236995</v>
      </c>
      <c r="BX6" s="247">
        <v>1</v>
      </c>
      <c r="BY6" s="201">
        <f>SUM(BY8,BY144,BY270,BY471,BY577,BY713)</f>
        <v>76090449.765552133</v>
      </c>
      <c r="BZ6" s="201">
        <v>1</v>
      </c>
      <c r="CA6" s="201">
        <f>AK6*0.85*0.75*12</f>
        <v>78999867.159279168</v>
      </c>
      <c r="CB6" s="201">
        <f>AL6*0.85*0.75*2*12</f>
        <v>157999734.31855834</v>
      </c>
      <c r="CC6" s="201">
        <f>CA6+CB6</f>
        <v>236999601.4778375</v>
      </c>
      <c r="CD6" s="247">
        <v>1</v>
      </c>
      <c r="CE6" s="201">
        <f>SUM(CE8,CE144,CE270,CE471,CE577,CE713)</f>
        <v>23157197.167060696</v>
      </c>
      <c r="CF6" s="247">
        <v>1</v>
      </c>
      <c r="CG6" s="201">
        <f>AO6*4</f>
        <v>39241764.079119056</v>
      </c>
      <c r="CH6" s="606">
        <v>1</v>
      </c>
      <c r="CI6" s="201">
        <f>SUM(CI8,CI144,CI270,CI471,CI577,CI713)</f>
        <v>60827260.145313479</v>
      </c>
      <c r="CJ6" s="201">
        <v>1</v>
      </c>
      <c r="CK6" s="201">
        <f>SUM(CK8,CK144,CK270,CK471,CK577,CK713)</f>
        <v>69564222.170875087</v>
      </c>
      <c r="CL6" s="201">
        <v>1</v>
      </c>
      <c r="CM6" s="201">
        <f>SUM(CM8,CM144,CM270,CM471,CM577,CM713)</f>
        <v>6939078.1729176603</v>
      </c>
      <c r="CN6" s="201">
        <v>1</v>
      </c>
      <c r="CO6" s="201">
        <f>SUM(CO8,CO144,CO270,CO471,CO577,CO713)</f>
        <v>530266.00936230889</v>
      </c>
      <c r="CP6" s="201">
        <v>1</v>
      </c>
      <c r="CQ6" s="201">
        <f>'Detailed Budget'!$AC$12</f>
        <v>292876014141.44696</v>
      </c>
      <c r="CR6" s="607">
        <f>BK6*CQ6</f>
        <v>292876014141.44696</v>
      </c>
      <c r="CS6" s="607">
        <f>'Detailed Budget'!$AC$16</f>
        <v>10488008800.000002</v>
      </c>
      <c r="CT6" s="607">
        <f>BM6*CS6</f>
        <v>10488008800.000002</v>
      </c>
      <c r="CU6" s="607">
        <f>'Detailed Budget'!$AC$24</f>
        <v>30624985696</v>
      </c>
      <c r="CV6" s="607">
        <f>BK6*CU6</f>
        <v>30624985696</v>
      </c>
      <c r="CW6" s="961">
        <f>'Detailed Budget'!$AC$25</f>
        <v>8000000</v>
      </c>
      <c r="CX6" s="607">
        <f>CR6+CT6+CV6+CW6</f>
        <v>333997008637.44696</v>
      </c>
      <c r="CY6" s="201">
        <f>'Detailed Budget'!$AC$97</f>
        <v>74629165494.837845</v>
      </c>
      <c r="CZ6" s="607">
        <f>BQ6*CY6</f>
        <v>74629165494.837845</v>
      </c>
      <c r="DA6" s="607">
        <f>'Detailed Budget'!$AC$100</f>
        <v>14925833098.967569</v>
      </c>
      <c r="DB6" s="607">
        <f>BQ6*DA6</f>
        <v>14925833098.967569</v>
      </c>
      <c r="DC6" s="607">
        <f>CZ6+DB6</f>
        <v>89554998593.80542</v>
      </c>
      <c r="DD6" s="201">
        <f>SUM(DD8,DD144,DD270,DD471,DD577,DD713)</f>
        <v>17</v>
      </c>
      <c r="DE6" s="606">
        <v>0</v>
      </c>
      <c r="DF6" s="607">
        <f>'Detailed Budget'!$AC$147</f>
        <v>5913600671000</v>
      </c>
      <c r="DG6" s="607">
        <f>DE6*DF6</f>
        <v>0</v>
      </c>
      <c r="DH6" s="607">
        <f>'Detailed Budget'!$AC$153</f>
        <v>226428026880.00003</v>
      </c>
      <c r="DI6" s="607">
        <f>BS6*DH6</f>
        <v>226428026880.00003</v>
      </c>
      <c r="DJ6" s="607">
        <f>'Detailed Budget'!$AC$156</f>
        <v>27713070000</v>
      </c>
      <c r="DK6" s="607">
        <f>AT6*DJ6</f>
        <v>27713070000</v>
      </c>
      <c r="DL6" s="607">
        <f>DI6+DK6</f>
        <v>254141096880.00003</v>
      </c>
      <c r="DM6" s="201">
        <f>'Detailed Budget'!$AC$178</f>
        <v>5622683761.6229038</v>
      </c>
      <c r="DN6" s="607">
        <f>BT6*BV6*DM6</f>
        <v>5622683761.6229038</v>
      </c>
      <c r="DO6" s="201">
        <f>'Detailed Budget'!$AC$179</f>
        <v>26827890683.128094</v>
      </c>
      <c r="DP6" s="607">
        <f>BT6*BX6*DO6</f>
        <v>26827890683.128094</v>
      </c>
      <c r="DQ6" s="607">
        <f>DN6+DP6</f>
        <v>32450574444.750999</v>
      </c>
      <c r="DR6" s="607">
        <f>'Detailed Budget'!$AC$181</f>
        <v>50888946855.375237</v>
      </c>
      <c r="DS6" s="607">
        <f>BT6*AG6*DR6</f>
        <v>50888946855.375237</v>
      </c>
      <c r="DT6" s="607">
        <f>DQ6+DS6</f>
        <v>83339521300.126236</v>
      </c>
      <c r="DU6" s="272">
        <f>'Detailed Budget'!$AC$192</f>
        <v>77498869683.252869</v>
      </c>
      <c r="DV6" s="607">
        <f>BZ6*CD6*DU6</f>
        <v>77498869683.252869</v>
      </c>
      <c r="DW6" s="929">
        <f>'Detailed Budget'!$AC$194</f>
        <v>2684962805.4134097</v>
      </c>
      <c r="DX6" s="607">
        <f>BZ6*AN6*DW6</f>
        <v>2684962805.4134097</v>
      </c>
      <c r="DY6" s="607">
        <f>DV6+DX6</f>
        <v>80183832488.666275</v>
      </c>
      <c r="DZ6" s="201">
        <f>'Detailed Budget'!$AC$198</f>
        <v>18732540018.380611</v>
      </c>
      <c r="EA6" s="607">
        <f>CF6*DZ6</f>
        <v>18732540018.380611</v>
      </c>
      <c r="EB6" s="201">
        <f>'Detailed Budget'!$AC$200</f>
        <v>4683135004.5951529</v>
      </c>
      <c r="EC6" s="607">
        <f>CF6*EB6</f>
        <v>4683135004.5951529</v>
      </c>
      <c r="ED6" s="607">
        <f>EA6+EC6</f>
        <v>23415675022.975765</v>
      </c>
      <c r="EE6" s="201">
        <f>'Detailed Budget'!$AC$161</f>
        <v>251147290106.36197</v>
      </c>
      <c r="EF6" s="607">
        <f>CH6*EE6</f>
        <v>251147290106.36197</v>
      </c>
      <c r="EG6" s="201">
        <f>'Detailed Budget'!$AC$163</f>
        <v>15696705631.647623</v>
      </c>
      <c r="EH6" s="607">
        <f>AP6*EG6</f>
        <v>15696705631.647623</v>
      </c>
      <c r="EI6" s="607">
        <f>EF6+EH6</f>
        <v>266843995738.00958</v>
      </c>
      <c r="EJ6" s="201">
        <f>'Detailed Budget'!$AC$204</f>
        <v>45012172507.531975</v>
      </c>
      <c r="EK6" s="607">
        <f>CJ6*EJ6</f>
        <v>45012172507.531975</v>
      </c>
      <c r="EL6" s="201">
        <f>'Detailed Budget'!$AC$206</f>
        <v>11253043126.882994</v>
      </c>
      <c r="EM6" s="607">
        <f>CJ6*EL6</f>
        <v>11253043126.882994</v>
      </c>
      <c r="EN6" s="607">
        <f>EK6+EM6</f>
        <v>56265215634.41497</v>
      </c>
      <c r="EO6" s="929">
        <f>'Detailed Budget'!$AC$209</f>
        <v>135789361677.54817</v>
      </c>
      <c r="EP6" s="607">
        <f>CL6*EO6</f>
        <v>135789361677.54817</v>
      </c>
      <c r="EQ6" s="201">
        <f>'Detailed Budget'!$AC$211</f>
        <v>33947340419.387043</v>
      </c>
      <c r="ER6" s="607">
        <f>CL6*EQ6</f>
        <v>33947340419.387043</v>
      </c>
      <c r="ES6" s="607">
        <f>EP6+ER6</f>
        <v>169736702096.93521</v>
      </c>
      <c r="ET6" s="201">
        <f>'Detailed Budget'!$AC$214</f>
        <v>22239745544.201103</v>
      </c>
      <c r="EU6" s="607">
        <f>CN6*ET6</f>
        <v>22239745544.201103</v>
      </c>
      <c r="EV6" s="929">
        <f>'Detailed Budget'!$AC$217</f>
        <v>5559936386.0502758</v>
      </c>
      <c r="EW6" s="607">
        <f>CN6*EV6</f>
        <v>5559936386.0502758</v>
      </c>
      <c r="EX6" s="607">
        <f>EU6+EW6</f>
        <v>27799681930.251381</v>
      </c>
      <c r="EY6" s="201">
        <f>'Detailed Budget'!$AC$219</f>
        <v>372777004.58170313</v>
      </c>
      <c r="EZ6" s="607">
        <f>CP6*EY6</f>
        <v>372777004.58170313</v>
      </c>
      <c r="FA6" s="201">
        <f>'Detailed Budget'!$AC$222</f>
        <v>93194251.145425782</v>
      </c>
      <c r="FB6" s="607">
        <f>CP6*FA6</f>
        <v>93194251.145425782</v>
      </c>
      <c r="FC6" s="607">
        <f>EZ6+FB6</f>
        <v>465971255.72712892</v>
      </c>
      <c r="FD6" s="607">
        <f>'Detailed Budget'!$AC$223</f>
        <v>134033351</v>
      </c>
      <c r="FE6" s="607">
        <f>EN6+ES6+EX6+FC6+FD6</f>
        <v>254401604268.3287</v>
      </c>
      <c r="FF6" s="929">
        <f>'Detailed Budget'!$AC$165</f>
        <v>14927760000</v>
      </c>
      <c r="FG6" s="1085">
        <f>FE6/0.423*0.577</f>
        <v>347020628044.50513</v>
      </c>
      <c r="FH6" s="607">
        <f>AV6*FF6</f>
        <v>14927760000</v>
      </c>
      <c r="FI6" s="990">
        <f>'Detailed Budget'!$AC$228</f>
        <v>5494446762</v>
      </c>
      <c r="FJ6" s="929">
        <f>'Detailed Budget'!$AC$235</f>
        <v>3623696172</v>
      </c>
      <c r="FK6" s="607">
        <f>AT6*FJ6</f>
        <v>3623696172</v>
      </c>
      <c r="FL6" s="607">
        <f>FI6+FK6</f>
        <v>9118142934</v>
      </c>
      <c r="FM6" s="961">
        <f>'Detailed Budget'!$AC$248</f>
        <v>82340100</v>
      </c>
      <c r="FN6" s="607">
        <f>'Detailed Budget'!$AC$251</f>
        <v>1047595800</v>
      </c>
      <c r="FO6" s="607">
        <f>AR6*FN6</f>
        <v>1047595800</v>
      </c>
      <c r="FP6" s="607">
        <f>'Detailed Budget'!$AB$254</f>
        <v>2773297530</v>
      </c>
      <c r="FQ6" s="607">
        <f>BE6*FP6</f>
        <v>2773297530</v>
      </c>
      <c r="FR6" s="607">
        <f>'Detailed Budget'!$AC$257</f>
        <v>13636439388</v>
      </c>
      <c r="FS6" s="607">
        <f>BA6*FR6</f>
        <v>13636439388</v>
      </c>
      <c r="FT6" s="607">
        <f>FM6+FO6+FQ6+FS6</f>
        <v>17539672818</v>
      </c>
      <c r="FU6" s="962">
        <f>'Detailed Budget'!$AB$260</f>
        <v>131744160</v>
      </c>
      <c r="FV6" s="607">
        <f>'Detailed Budget'!$AC$265</f>
        <v>6277805540</v>
      </c>
      <c r="FW6" s="607">
        <f>AR6*FV6</f>
        <v>6277805540</v>
      </c>
      <c r="FX6" s="929">
        <f>'Detailed Budget'!$AC$278</f>
        <v>1114560000</v>
      </c>
      <c r="FY6" s="607">
        <f>AT6*FX6</f>
        <v>1114560000</v>
      </c>
      <c r="FZ6" s="607">
        <f>FU6+FW6+FY6</f>
        <v>7524109700</v>
      </c>
      <c r="GA6" s="607">
        <f>'Detailed Budget'!$AC$284</f>
        <v>105450000</v>
      </c>
      <c r="GB6" s="607">
        <f>SUM(CX6,DC6,DG6,DL6,DT6,DY6,ED6,EI6,FE6,FG6,FH6,FL6,FT6,FZ6,GA6)</f>
        <v>1782113496425.864</v>
      </c>
      <c r="GC6" s="888">
        <f>GB6/1600</f>
        <v>1113820935.266165</v>
      </c>
      <c r="GD6" s="1072">
        <f>GB6/1782113496426</f>
        <v>0.99999999999992373</v>
      </c>
    </row>
    <row r="7" spans="1:186" s="4" customFormat="1" ht="15.75" customHeight="1">
      <c r="A7" s="612"/>
      <c r="B7" s="958"/>
      <c r="C7" s="249"/>
      <c r="D7" s="249"/>
      <c r="E7" s="249"/>
      <c r="F7" s="249"/>
      <c r="G7" s="249"/>
      <c r="H7" s="249"/>
      <c r="I7" s="249"/>
      <c r="J7" s="249"/>
      <c r="K7" s="249"/>
      <c r="L7" s="249"/>
      <c r="M7" s="249"/>
      <c r="N7" s="249"/>
      <c r="O7" s="249"/>
      <c r="P7" s="249"/>
      <c r="Q7" s="249"/>
      <c r="R7" s="249"/>
      <c r="S7" s="249"/>
      <c r="T7" s="249"/>
      <c r="U7" s="250"/>
      <c r="V7" s="843"/>
      <c r="W7" s="201"/>
      <c r="X7" s="202"/>
      <c r="Y7" s="202"/>
      <c r="Z7" s="202"/>
      <c r="AA7" s="202"/>
      <c r="AB7" s="201"/>
      <c r="AC7" s="617"/>
      <c r="AD7" s="201"/>
      <c r="AE7" s="201"/>
      <c r="AF7" s="201"/>
      <c r="AG7" s="606"/>
      <c r="AH7" s="201"/>
      <c r="AI7" s="247"/>
      <c r="AJ7" s="201"/>
      <c r="AK7" s="201"/>
      <c r="AL7" s="201"/>
      <c r="AM7" s="201"/>
      <c r="AN7" s="264"/>
      <c r="AO7" s="201"/>
      <c r="AP7" s="606"/>
      <c r="AQ7" s="201"/>
      <c r="AR7" s="606"/>
      <c r="AS7" s="201"/>
      <c r="AT7" s="606"/>
      <c r="AU7" s="201"/>
      <c r="AV7" s="246"/>
      <c r="AW7" s="201"/>
      <c r="AX7" s="246"/>
      <c r="AY7" s="246"/>
      <c r="AZ7" s="201"/>
      <c r="BA7" s="606"/>
      <c r="BB7" s="201"/>
      <c r="BC7" s="201"/>
      <c r="BD7" s="201"/>
      <c r="BE7" s="606"/>
      <c r="BF7" s="201"/>
      <c r="BG7" s="201"/>
      <c r="BH7" s="1079"/>
      <c r="BI7" s="201"/>
      <c r="BJ7" s="201"/>
      <c r="BK7" s="246"/>
      <c r="BL7" s="201"/>
      <c r="BM7" s="246"/>
      <c r="BN7" s="201"/>
      <c r="BO7" s="201"/>
      <c r="BP7" s="201"/>
      <c r="BQ7" s="247"/>
      <c r="BR7" s="247"/>
      <c r="BS7" s="247"/>
      <c r="BT7" s="272"/>
      <c r="BU7" s="201"/>
      <c r="BV7" s="264"/>
      <c r="BW7" s="201"/>
      <c r="BX7" s="247"/>
      <c r="BY7" s="196"/>
      <c r="BZ7" s="201"/>
      <c r="CA7" s="201"/>
      <c r="CB7" s="201"/>
      <c r="CC7" s="201"/>
      <c r="CD7" s="247"/>
      <c r="CE7" s="201"/>
      <c r="CF7" s="247"/>
      <c r="CG7" s="201"/>
      <c r="CH7" s="606"/>
      <c r="CI7" s="201"/>
      <c r="CJ7" s="201"/>
      <c r="CK7" s="201"/>
      <c r="CL7" s="201"/>
      <c r="CM7" s="201"/>
      <c r="CN7" s="201"/>
      <c r="CO7" s="201"/>
      <c r="CP7" s="201"/>
      <c r="CQ7" s="201"/>
      <c r="CR7" s="1073"/>
      <c r="CS7" s="1073"/>
      <c r="CT7" s="1073"/>
      <c r="CU7" s="1073"/>
      <c r="CV7" s="1073"/>
      <c r="CW7" s="1073"/>
      <c r="CX7" s="1075">
        <f>CX6/GB6</f>
        <v>0.18741623881267835</v>
      </c>
      <c r="CY7" s="201"/>
      <c r="CZ7" s="607"/>
      <c r="DA7" s="607"/>
      <c r="DB7" s="607"/>
      <c r="DC7" s="1075">
        <f>DC6/GB6</f>
        <v>5.0252129717559157E-2</v>
      </c>
      <c r="DD7" s="201"/>
      <c r="DE7" s="606">
        <v>0</v>
      </c>
      <c r="DF7" s="607"/>
      <c r="DG7" s="1075">
        <f>DG6/GB6</f>
        <v>0</v>
      </c>
      <c r="DH7" s="607"/>
      <c r="DI7" s="607"/>
      <c r="DJ7" s="607"/>
      <c r="DK7" s="607"/>
      <c r="DL7" s="1075">
        <f>DL6/GB6</f>
        <v>0.14260657213454436</v>
      </c>
      <c r="DM7" s="201"/>
      <c r="DN7" s="607"/>
      <c r="DO7" s="201"/>
      <c r="DP7" s="607"/>
      <c r="DQ7" s="607"/>
      <c r="DR7" s="607"/>
      <c r="DS7" s="607"/>
      <c r="DT7" s="1075">
        <f>DT6/GB6</f>
        <v>4.6764429688271068E-2</v>
      </c>
      <c r="DU7" s="272"/>
      <c r="DV7" s="607"/>
      <c r="DW7" s="929"/>
      <c r="DX7" s="607"/>
      <c r="DY7" s="1075">
        <f>DY6/GB6</f>
        <v>4.4993673326350868E-2</v>
      </c>
      <c r="DZ7" s="201"/>
      <c r="EA7" s="607"/>
      <c r="EB7" s="201"/>
      <c r="EC7" s="607"/>
      <c r="ED7" s="1075">
        <f>ED6/GB6</f>
        <v>1.3139272593994328E-2</v>
      </c>
      <c r="EE7" s="201"/>
      <c r="EF7" s="607"/>
      <c r="EG7" s="201"/>
      <c r="EH7" s="607"/>
      <c r="EI7" s="1075">
        <f>EI6/GB6</f>
        <v>0.14973456868666407</v>
      </c>
      <c r="EJ7" s="201"/>
      <c r="EK7" s="607"/>
      <c r="EL7" s="201"/>
      <c r="EM7" s="607"/>
      <c r="EN7" s="607"/>
      <c r="EO7" s="929"/>
      <c r="EP7" s="607"/>
      <c r="EQ7" s="201"/>
      <c r="ER7" s="607"/>
      <c r="ES7" s="607"/>
      <c r="ET7" s="201"/>
      <c r="EU7" s="607"/>
      <c r="EV7" s="929"/>
      <c r="EW7" s="607"/>
      <c r="EX7" s="607"/>
      <c r="EY7" s="201"/>
      <c r="EZ7" s="607"/>
      <c r="FA7" s="201"/>
      <c r="FB7" s="607"/>
      <c r="FC7" s="607"/>
      <c r="FD7" s="607"/>
      <c r="FE7" s="1075">
        <f>FE6/GB6</f>
        <v>0.14275275103327956</v>
      </c>
      <c r="FF7" s="929"/>
      <c r="FG7" s="1075">
        <f>FG6/GB6</f>
        <v>0.19472420176407165</v>
      </c>
      <c r="FH7" s="1075">
        <f>FH6/GB6</f>
        <v>8.3764361977722076E-3</v>
      </c>
      <c r="FI7" s="607"/>
      <c r="FJ7" s="929"/>
      <c r="FK7" s="607"/>
      <c r="FL7" s="1075">
        <f>FL6/GB6</f>
        <v>5.1164771224094232E-3</v>
      </c>
      <c r="FM7" s="959"/>
      <c r="FN7" s="607"/>
      <c r="FO7" s="607"/>
      <c r="FP7" s="607"/>
      <c r="FQ7" s="607"/>
      <c r="FR7" s="607"/>
      <c r="FS7" s="607"/>
      <c r="FT7" s="1075">
        <f>FT6/GB6</f>
        <v>9.8420627267437628E-3</v>
      </c>
      <c r="FU7" s="960"/>
      <c r="FV7" s="607"/>
      <c r="FW7" s="607"/>
      <c r="FX7" s="140">
        <f>'Detailed Budget'!$AC$278</f>
        <v>1114560000</v>
      </c>
      <c r="FY7" s="607"/>
      <c r="FZ7" s="1075">
        <f>FZ6/GB6</f>
        <v>4.2220148801353314E-3</v>
      </c>
      <c r="GA7" s="1074">
        <f>GA6/GB6</f>
        <v>5.9171315525911415E-5</v>
      </c>
      <c r="GB7" s="1072">
        <f>GB6/GB6</f>
        <v>1</v>
      </c>
      <c r="GC7" s="888"/>
      <c r="GD7"/>
    </row>
    <row r="8" spans="1:186" s="4" customFormat="1">
      <c r="A8" s="612">
        <v>1</v>
      </c>
      <c r="B8" s="613" t="s">
        <v>2267</v>
      </c>
      <c r="C8" s="249">
        <f t="shared" ref="C8:T8" si="2">SUM(C9,C34,C42,C65,C83,C98,C125)</f>
        <v>121</v>
      </c>
      <c r="D8" s="249">
        <f t="shared" si="2"/>
        <v>89</v>
      </c>
      <c r="E8" s="249">
        <f t="shared" si="2"/>
        <v>0</v>
      </c>
      <c r="F8" s="249">
        <f t="shared" si="2"/>
        <v>0</v>
      </c>
      <c r="G8" s="249">
        <f t="shared" si="2"/>
        <v>32</v>
      </c>
      <c r="H8" s="249">
        <f t="shared" si="2"/>
        <v>121</v>
      </c>
      <c r="I8" s="249">
        <f t="shared" si="2"/>
        <v>121</v>
      </c>
      <c r="J8" s="249">
        <f t="shared" si="2"/>
        <v>0</v>
      </c>
      <c r="K8" s="249">
        <f t="shared" si="2"/>
        <v>75</v>
      </c>
      <c r="L8" s="249">
        <f t="shared" si="2"/>
        <v>0</v>
      </c>
      <c r="M8" s="249">
        <f t="shared" si="2"/>
        <v>30</v>
      </c>
      <c r="N8" s="249">
        <f t="shared" si="2"/>
        <v>16</v>
      </c>
      <c r="O8" s="249">
        <f t="shared" si="2"/>
        <v>0</v>
      </c>
      <c r="P8" s="249">
        <f t="shared" si="2"/>
        <v>0</v>
      </c>
      <c r="Q8" s="249">
        <f t="shared" si="2"/>
        <v>11</v>
      </c>
      <c r="R8" s="249">
        <f t="shared" si="2"/>
        <v>110</v>
      </c>
      <c r="S8" s="249">
        <f t="shared" si="2"/>
        <v>2</v>
      </c>
      <c r="T8" s="249">
        <f t="shared" si="2"/>
        <v>0</v>
      </c>
      <c r="U8" s="250">
        <f>SUM(C8:T8)</f>
        <v>728</v>
      </c>
      <c r="V8" s="843"/>
      <c r="W8" s="201">
        <f>SUM(W9,W34,W42,W65,W83,W98,W125)</f>
        <v>20369956</v>
      </c>
      <c r="X8" s="202">
        <f>AVERAGE(X9,X35,X43,X66,X84,X99,X126)</f>
        <v>3.9600000000000004</v>
      </c>
      <c r="Y8" s="202"/>
      <c r="Z8" s="202"/>
      <c r="AA8" s="202"/>
      <c r="AB8" s="201">
        <f>SUM(AB9,AB34,AB42,AB65,AB83,AB98,AB125)</f>
        <v>41427459.732225426</v>
      </c>
      <c r="AC8" s="617">
        <f>AVERAGE(AC9,AC34,AC42,AC65,AC83,AC98,AC125)</f>
        <v>18.057142857142853</v>
      </c>
      <c r="AD8" s="201">
        <f>SUM(AD9,AD34,AD42,AD65,AD83,AD98,AD125)</f>
        <v>7463132.9481669022</v>
      </c>
      <c r="AE8" s="201">
        <f>SUM(AE9,AE34,AE42,AE65,AE83,AE98,AE125)</f>
        <v>7089976.3007585565</v>
      </c>
      <c r="AF8" s="201">
        <f>SUM(AF9,AF34,AF42,AF65,AF83,AF98,AF125)</f>
        <v>5531044.162151956</v>
      </c>
      <c r="AG8" s="606">
        <f>AE8/21628351</f>
        <v>0.32780937856790637</v>
      </c>
      <c r="AH8" s="201">
        <f>SUM(AH9,AH34,AH42,AH65,AH83,AH98,AH125)</f>
        <v>2071372.986611271</v>
      </c>
      <c r="AI8" s="247">
        <f>AH8/12908475</f>
        <v>0.16046612683614997</v>
      </c>
      <c r="AJ8" s="201">
        <f>SUM(AJ9,AJ34,AJ42,AJ65,AJ83,AJ98,AJ125)</f>
        <v>9534505.9347781725</v>
      </c>
      <c r="AK8" s="201">
        <f t="shared" ref="AK8:AK15" si="3">AB8*0.04</f>
        <v>1657098.3892890171</v>
      </c>
      <c r="AL8" s="201">
        <f t="shared" ref="AL8:AL15" si="4">AB8*0.04</f>
        <v>1657098.3892890171</v>
      </c>
      <c r="AM8" s="201">
        <f t="shared" ref="AM8:AM66" si="5">AK8+AL8</f>
        <v>3314196.7785780341</v>
      </c>
      <c r="AN8" s="264">
        <f t="shared" ref="AN8:AN66" si="6">AM8/20653560</f>
        <v>0.16046612683615</v>
      </c>
      <c r="AO8" s="201">
        <f t="shared" ref="AO8:AO66" si="7">AB8*0.038</f>
        <v>1574243.469824566</v>
      </c>
      <c r="AP8" s="606">
        <f>AO8/9810441</f>
        <v>0.16046612683614997</v>
      </c>
      <c r="AQ8" s="201">
        <f>SUM(AQ9,AQ34,AQ42,AQ65,AQ83,AQ98,AQ125)</f>
        <v>7</v>
      </c>
      <c r="AR8" s="606">
        <f>AQ8/37</f>
        <v>0.1891891891891892</v>
      </c>
      <c r="AS8" s="201">
        <f>SUM(AS9,AS34,AS42,AS65,AS83,AS98,AS125)</f>
        <v>121</v>
      </c>
      <c r="AT8" s="606">
        <f>AS8/774</f>
        <v>0.15633074935400518</v>
      </c>
      <c r="AU8" s="201">
        <f>SUM(AU9,AU34,AU42,AU65,AU83,AU98,AU125)</f>
        <v>1391</v>
      </c>
      <c r="AV8" s="246">
        <f t="shared" ref="AV8:AV66" si="8">AU8/8801</f>
        <v>0.15805022156573117</v>
      </c>
      <c r="AW8" s="201">
        <f>SUM(AW9,AW34,AW42,AW65,AW83,AW98,AW125)</f>
        <v>210591</v>
      </c>
      <c r="AX8" s="201">
        <f t="shared" ref="AX8:AY8" si="9">SUM(AX9,AX34,AX42,AX65,AX83,AX98,AX125)</f>
        <v>421.18200000000002</v>
      </c>
      <c r="AY8" s="201">
        <f t="shared" si="9"/>
        <v>42118.2</v>
      </c>
      <c r="AZ8" s="201">
        <f>SUM(AZ9,AZ34,AZ42,AZ65,AZ83,AZ98,AZ125)</f>
        <v>6043</v>
      </c>
      <c r="BA8" s="606">
        <f>AZ8/27291</f>
        <v>0.22142830969916821</v>
      </c>
      <c r="BB8" s="201">
        <f>SUM(BB9,BB34,BB42,BB65,BB83,BB98,BB125)</f>
        <v>228</v>
      </c>
      <c r="BC8" s="201">
        <f>SUM(BC9,BC34,BC42,BC65,BC83,BC98,BC125)</f>
        <v>17</v>
      </c>
      <c r="BD8" s="201">
        <f>SUM(BD9,BD34,BD42,BD65,BD83,BD98,BD125)</f>
        <v>245</v>
      </c>
      <c r="BE8" s="247">
        <f>BD8/1306</f>
        <v>0.18759571209800918</v>
      </c>
      <c r="BF8" s="201">
        <f>SUM(BF9,BF34,BF42,BF65,BF83,BF98,BF125)</f>
        <v>6288</v>
      </c>
      <c r="BG8" s="606">
        <f>BF8/28597</f>
        <v>0.2198832045319439</v>
      </c>
      <c r="BH8" s="1083">
        <v>3.7</v>
      </c>
      <c r="BI8" s="201"/>
      <c r="BJ8" s="201">
        <f>SUM(BJ9,BJ34,BJ42,BJ65,BJ83,BJ98,BJ125)</f>
        <v>6000277</v>
      </c>
      <c r="BK8" s="246">
        <f>BJ8/52440044</f>
        <v>0.11442166219387612</v>
      </c>
      <c r="BL8" s="201">
        <f>SUM(BL9,BL34,BL42,BL65,BL83,BL98,BL125)</f>
        <v>120005.54000000001</v>
      </c>
      <c r="BM8" s="246">
        <f>BL8/1048801</f>
        <v>0.11442164910216525</v>
      </c>
      <c r="BN8" s="201"/>
      <c r="BO8" s="201">
        <f>SUM(BO9,BO34,BO42,BO65,BO83,BO98,BO125)</f>
        <v>3056555</v>
      </c>
      <c r="BP8" s="201">
        <f>SUM(BP9,BP34,BP42,BP65,BP83,BP98,BP125)</f>
        <v>2236878.0821555494</v>
      </c>
      <c r="BQ8" s="247">
        <f>BP8/10690003</f>
        <v>0.2092495280081352</v>
      </c>
      <c r="BR8" s="201">
        <f>SUM(BR9,BR34,BR42,BR65,BR83,BR98,BR125)</f>
        <v>505418.39999999997</v>
      </c>
      <c r="BS8" s="247">
        <f>BR8/2211211</f>
        <v>0.2285708600400414</v>
      </c>
      <c r="BT8" s="272"/>
      <c r="BU8" s="201">
        <f>SUM(BU9,BU35,BU43,BU66,BU84,BU99,BU126)</f>
        <v>571311.66054251767</v>
      </c>
      <c r="BV8" s="264">
        <f>BU8/14417138</f>
        <v>3.9627258929096583E-2</v>
      </c>
      <c r="BW8" s="201">
        <f>SUM(BW9,BW35,BW43,BW66,BW84,BW99,BW126)</f>
        <v>2443944.3256541039</v>
      </c>
      <c r="BX8" s="247">
        <f>BW8/61673312</f>
        <v>3.9627259286060458E-2</v>
      </c>
      <c r="BY8" s="201">
        <f>SUM(BY9,BY35,BY43,BY66,BY84,BY99,BY126)</f>
        <v>3015255.9861966223</v>
      </c>
      <c r="BZ8" s="201"/>
      <c r="CA8" s="201">
        <f t="shared" ref="CA8:CA32" si="10">AK8*0.85*0.75*12</f>
        <v>12676802.678060979</v>
      </c>
      <c r="CB8" s="201">
        <f t="shared" ref="CB8:CB32" si="11">AL8*0.85*0.75*2*12</f>
        <v>25353605.356121957</v>
      </c>
      <c r="CC8" s="201">
        <f t="shared" ref="CC8:CC67" si="12">CA8+CB8</f>
        <v>38030408.034182936</v>
      </c>
      <c r="CD8" s="247">
        <f t="shared" ref="CD8:CD66" si="13">CC8/236999601</f>
        <v>0.16046612683614997</v>
      </c>
      <c r="CE8" s="201">
        <f>SUM(CE9,CE34,CE42,CE65,CE83,CE98,CE125)</f>
        <v>4092467</v>
      </c>
      <c r="CF8" s="247">
        <f t="shared" ref="CF8:CF66" si="14">CE8/23157202</f>
        <v>0.1767254524100105</v>
      </c>
      <c r="CG8" s="201">
        <f t="shared" ref="CG8:CG32" si="15">AO8*4</f>
        <v>6296973.8792982642</v>
      </c>
      <c r="CH8" s="606">
        <f>CG8/39241764</f>
        <v>0.16046612683614997</v>
      </c>
      <c r="CI8" s="201">
        <f>SUM(CI9,CI34,CI42,CI65,CI83,CI98,CI125)</f>
        <v>8927259.8600956723</v>
      </c>
      <c r="CJ8" s="247">
        <f>CI8/60827260</f>
        <v>0.14676412943959127</v>
      </c>
      <c r="CK8" s="201">
        <f>SUM(CK9,CK34,CK42,CK65,CK83,CK98,CK125)</f>
        <v>8904420.0578807443</v>
      </c>
      <c r="CL8" s="606">
        <f>CK8/69564222</f>
        <v>0.12800286989310028</v>
      </c>
      <c r="CM8" s="201">
        <f>SUM(CM9,CM34,CM42,CM65,CM83,CM98,CM125)</f>
        <v>862616.0056071924</v>
      </c>
      <c r="CN8" s="606">
        <f>CM8/6939078</f>
        <v>0.12431276973788051</v>
      </c>
      <c r="CO8" s="201">
        <f>SUM(CO9,CO34,CO42,CO65,CO83,CO98,CO125)</f>
        <v>69009.000447966217</v>
      </c>
      <c r="CP8" s="606">
        <f>CO8/530266</f>
        <v>0.13014034550200507</v>
      </c>
      <c r="CQ8" s="201">
        <f>'Detailed Budget'!$AC$12</f>
        <v>292876014141.44696</v>
      </c>
      <c r="CR8" s="607">
        <f t="shared" ref="CR8:CR39" si="16">BK8*CQ8</f>
        <v>33511360354.781528</v>
      </c>
      <c r="CS8" s="605">
        <f>'Detailed Budget'!$AC$16</f>
        <v>10488008800.000002</v>
      </c>
      <c r="CT8" s="607">
        <f t="shared" ref="CT8:CT32" si="17">BM8*CS8</f>
        <v>1200055262.6940215</v>
      </c>
      <c r="CU8" s="607">
        <f>'Detailed Budget'!$AC$24</f>
        <v>30624985696</v>
      </c>
      <c r="CV8" s="607">
        <f t="shared" ref="CV8:CV71" si="18">BK8*CU8</f>
        <v>3504161768</v>
      </c>
      <c r="CW8" s="605"/>
      <c r="CX8" s="605">
        <f t="shared" ref="CX8:CX67" si="19">CR8+CT8+CV8+CW8</f>
        <v>38215577385.475548</v>
      </c>
      <c r="CY8" s="201">
        <f>'Detailed Budget'!$AC$97</f>
        <v>74629165494.837845</v>
      </c>
      <c r="CZ8" s="607">
        <f t="shared" ref="CZ8:CZ32" si="20">BQ8*CY8</f>
        <v>15616117655.435829</v>
      </c>
      <c r="DA8" s="607">
        <f>'Detailed Budget'!$AC$100</f>
        <v>14925833098.967569</v>
      </c>
      <c r="DB8" s="607">
        <f t="shared" ref="DB8:DB32" si="21">BQ8*DA8</f>
        <v>3123223531.0871658</v>
      </c>
      <c r="DC8" s="607">
        <f t="shared" ref="DC8:DC66" si="22">CZ8+DB8</f>
        <v>18739341186.522995</v>
      </c>
      <c r="DD8" s="201">
        <f>SUM(DD9,DD34,DD42,DD65,DD83,DD98,DD125)</f>
        <v>2</v>
      </c>
      <c r="DE8" s="606">
        <v>0</v>
      </c>
      <c r="DF8" s="607">
        <f>'Detailed Budget'!$AC$147</f>
        <v>5913600671000</v>
      </c>
      <c r="DG8" s="607">
        <f t="shared" ref="DG8:DG70" si="23">DE8*DF8</f>
        <v>0</v>
      </c>
      <c r="DH8" s="607">
        <f>'Detailed Budget'!$AC$153</f>
        <v>226428026880.00003</v>
      </c>
      <c r="DI8" s="607">
        <f>BS8*DH8</f>
        <v>51754848841.131218</v>
      </c>
      <c r="DJ8" s="607">
        <f>'Detailed Budget'!$AC$156</f>
        <v>27713070000</v>
      </c>
      <c r="DK8" s="607">
        <f>AT8*DJ8</f>
        <v>4332405000</v>
      </c>
      <c r="DL8" s="607">
        <f>DI8+DK8</f>
        <v>56087253841.131218</v>
      </c>
      <c r="DM8" s="201">
        <f>'Detailed Budget'!$AC$178</f>
        <v>5622683761.6229038</v>
      </c>
      <c r="DN8" s="607">
        <f t="shared" ref="DN8:DN32" si="24">BT8*BV8*DM8</f>
        <v>0</v>
      </c>
      <c r="DO8" s="201">
        <f>'Detailed Budget'!$AC$179</f>
        <v>26827890683.128094</v>
      </c>
      <c r="DP8" s="607">
        <f t="shared" ref="DP8:DP32" si="25">BT8*BX8*DO8</f>
        <v>0</v>
      </c>
      <c r="DQ8" s="607">
        <f>DN8+DP8</f>
        <v>0</v>
      </c>
      <c r="DR8" s="607">
        <f>'Detailed Budget'!$AC$181</f>
        <v>50888946855.375237</v>
      </c>
      <c r="DS8" s="607">
        <f>SUM(DS10,DS35,DS43,DS66,DS84,DS99,DS126)</f>
        <v>671494601.37210298</v>
      </c>
      <c r="DT8" s="607">
        <f>SUM(DT10,DT35,DT43,DT66,DT84,DT99,DT126)</f>
        <v>1207029015.4127743</v>
      </c>
      <c r="DU8" s="272">
        <f>'Detailed Budget'!$AC$192</f>
        <v>77498869683.252869</v>
      </c>
      <c r="DV8" s="607">
        <f>SUM(DV9,DV35,DV43,DV66,DV84,DV99,DV126)</f>
        <v>1568860980.6912236</v>
      </c>
      <c r="DW8" s="929">
        <f>'Detailed Budget'!$AC$194</f>
        <v>2684962805.4134097</v>
      </c>
      <c r="DX8" s="607">
        <f>SUM(DX9,DX35,DX43,DX66,DX84,DX99,DX126)</f>
        <v>54353481.505429059</v>
      </c>
      <c r="DY8" s="607">
        <f t="shared" ref="DY8:DY66" si="26">DV8+DX8</f>
        <v>1623214462.1966527</v>
      </c>
      <c r="DZ8" s="201">
        <f>'Detailed Budget'!$AC$198</f>
        <v>18732540018.380611</v>
      </c>
      <c r="EA8" s="607">
        <f t="shared" ref="EA8:EA32" si="27">CF8*DZ8</f>
        <v>3310516609.5369401</v>
      </c>
      <c r="EB8" s="201">
        <f>'Detailed Budget'!$AC$200</f>
        <v>4683135004.5951529</v>
      </c>
      <c r="EC8" s="607">
        <f t="shared" ref="EC8:EC32" si="28">CF8*EB8</f>
        <v>827629152.38423502</v>
      </c>
      <c r="ED8" s="607">
        <f t="shared" ref="ED8:ED66" si="29">EA8+EC8</f>
        <v>4138145761.921175</v>
      </c>
      <c r="EE8" s="201">
        <f>'Detailed Budget'!$AC$161</f>
        <v>251147290106.36197</v>
      </c>
      <c r="EF8" s="607">
        <f t="shared" ref="EF8:EF32" si="30">CH8*EE8</f>
        <v>40300632908.762833</v>
      </c>
      <c r="EG8" s="201">
        <f>'Detailed Budget'!$AC$163</f>
        <v>15696705631.647623</v>
      </c>
      <c r="EH8" s="607">
        <f t="shared" ref="EH8:EH32" si="31">AP8*EG8</f>
        <v>2518789556.797677</v>
      </c>
      <c r="EI8" s="607">
        <f t="shared" ref="EI8:EI66" si="32">EF8+EH8</f>
        <v>42819422465.560509</v>
      </c>
      <c r="EJ8" s="201">
        <f>'Detailed Budget'!$AC$204</f>
        <v>45012172507.531975</v>
      </c>
      <c r="EK8" s="607">
        <f t="shared" ref="EK8:EK32" si="33">CJ8*EJ8</f>
        <v>6606172312.252634</v>
      </c>
      <c r="EL8" s="201">
        <f>'Detailed Budget'!$AC$206</f>
        <v>11253043126.882994</v>
      </c>
      <c r="EM8" s="607">
        <f t="shared" ref="EM8:EM32" si="34">CJ8*EL8</f>
        <v>1651543078.0631585</v>
      </c>
      <c r="EN8" s="607">
        <f t="shared" ref="EN8:EN66" si="35">EK8+EM8</f>
        <v>8257715390.3157921</v>
      </c>
      <c r="EO8" s="929">
        <f>'Detailed Budget'!$AC$209</f>
        <v>135789361677.54817</v>
      </c>
      <c r="EP8" s="607">
        <f t="shared" ref="EP8:EP32" si="36">CL8*EO8</f>
        <v>17381427995.678337</v>
      </c>
      <c r="EQ8" s="201">
        <f>'Detailed Budget'!$AC$211</f>
        <v>33947340419.387043</v>
      </c>
      <c r="ER8" s="607">
        <f t="shared" ref="ER8:ER32" si="37">CL8*EQ8</f>
        <v>4345356998.9195843</v>
      </c>
      <c r="ES8" s="607">
        <f t="shared" ref="ES8:ES66" si="38">EP8+ER8</f>
        <v>21726784994.597923</v>
      </c>
      <c r="ET8" s="201">
        <f>'Detailed Budget'!$AC$214</f>
        <v>22239745544.201103</v>
      </c>
      <c r="EU8" s="607">
        <f t="shared" ref="EU8:EU32" si="39">CN8*ET8</f>
        <v>2764684366.8653259</v>
      </c>
      <c r="EV8" s="929">
        <f>'Detailed Budget'!$AC$217</f>
        <v>5559936386.0502758</v>
      </c>
      <c r="EW8" s="607">
        <f t="shared" ref="EW8:EW32" si="40">CN8*EV8</f>
        <v>691171091.71633148</v>
      </c>
      <c r="EX8" s="607">
        <f t="shared" ref="EX8:EX66" si="41">EU8+EW8</f>
        <v>3455855458.5816574</v>
      </c>
      <c r="EY8" s="201">
        <f>'Detailed Budget'!$AC$219</f>
        <v>372777004.58170313</v>
      </c>
      <c r="EZ8" s="607">
        <f t="shared" ref="EZ8:EZ32" si="42">CP8*EY8</f>
        <v>48513328.171465367</v>
      </c>
      <c r="FA8" s="201">
        <f>'Detailed Budget'!$AC$222</f>
        <v>93194251.145425782</v>
      </c>
      <c r="FB8" s="607">
        <f t="shared" ref="FB8:FB32" si="43">CP8*FA8</f>
        <v>12128332.042866342</v>
      </c>
      <c r="FC8" s="607">
        <f t="shared" ref="FC8:FC66" si="44">EZ8+FB8</f>
        <v>60641660.214331709</v>
      </c>
      <c r="FD8" s="607"/>
      <c r="FE8" s="607">
        <f t="shared" ref="FE8:FE66" si="45">EN8+ES8+EX8+FC8</f>
        <v>33500997503.709705</v>
      </c>
      <c r="FF8" s="929">
        <f>'Detailed Budget'!$AC$165</f>
        <v>14927760000</v>
      </c>
      <c r="FG8" s="1085">
        <f t="shared" ref="FG8:FG70" si="46">FE8/0.423*0.577</f>
        <v>45697578155.17849</v>
      </c>
      <c r="FH8" s="607">
        <f t="shared" ref="FH8:FH32" si="47">AV8*FF8</f>
        <v>2359335775.4800591</v>
      </c>
      <c r="FI8" s="607"/>
      <c r="FJ8" s="929">
        <f>'Detailed Budget'!$AC$235</f>
        <v>3623696172</v>
      </c>
      <c r="FK8" s="607">
        <f t="shared" ref="FK8:FK32" si="48">AT8*FJ8</f>
        <v>566495138</v>
      </c>
      <c r="FL8" s="607">
        <f t="shared" ref="FL8:FL70" si="49">FI8+FK8</f>
        <v>566495138</v>
      </c>
      <c r="FM8" s="607"/>
      <c r="FN8" s="607">
        <f>'Detailed Budget'!$AC$251</f>
        <v>1047595800</v>
      </c>
      <c r="FO8" s="607">
        <f>AR8*FN8</f>
        <v>198193800</v>
      </c>
      <c r="FP8" s="607">
        <f>'Detailed Budget'!$AB$254</f>
        <v>2773297530</v>
      </c>
      <c r="FQ8" s="607">
        <f>BE8*FP8</f>
        <v>520258725</v>
      </c>
      <c r="FR8" s="607">
        <f>'Detailed Budget'!$AC$257</f>
        <v>13636439388</v>
      </c>
      <c r="FS8" s="607">
        <f t="shared" ref="FS8:FS32" si="50">BA8*FR8</f>
        <v>3019493724</v>
      </c>
      <c r="FT8" s="607">
        <f t="shared" ref="FT8:FT70" si="51">FM8+FO8+FQ8+FS8</f>
        <v>3737946249</v>
      </c>
      <c r="FU8" s="607"/>
      <c r="FV8" s="607">
        <f>'Detailed Budget'!$AC$265</f>
        <v>6277805540</v>
      </c>
      <c r="FW8" s="607">
        <f t="shared" ref="FW8:FW32" si="52">AR8*FV8</f>
        <v>1187692940</v>
      </c>
      <c r="FX8" s="929">
        <f>'Detailed Budget'!$AC$278</f>
        <v>1114560000</v>
      </c>
      <c r="FY8" s="607">
        <f t="shared" ref="FY8:FY32" si="53">AT8*FX8</f>
        <v>174240000</v>
      </c>
      <c r="FZ8" s="607">
        <f t="shared" ref="FZ8:FZ70" si="54">FU8+FW8+FY8</f>
        <v>1361932940</v>
      </c>
      <c r="GB8" s="607">
        <f>SUM(CX8,DC8,DG8,DL8,DT8,DY8,ED8,EI8,FE8,FG8,FH8,FL8,FT8,FZ8,GA8)</f>
        <v>250054269879.58917</v>
      </c>
      <c r="GC8" s="888">
        <f t="shared" ref="GC8:GC66" si="55">GB8/1600</f>
        <v>156283918.67474324</v>
      </c>
      <c r="GD8" s="1078">
        <f>GB8/1782113496426</f>
        <v>0.14031332481408676</v>
      </c>
    </row>
    <row r="9" spans="1:186" s="210" customFormat="1" collapsed="1">
      <c r="A9" s="203">
        <v>1.1000000000000001</v>
      </c>
      <c r="B9" s="204" t="s">
        <v>212</v>
      </c>
      <c r="C9" s="205">
        <f t="shared" ref="C9:T9" si="56">COUNTA(C10:C32)</f>
        <v>23</v>
      </c>
      <c r="D9" s="205">
        <f t="shared" si="56"/>
        <v>8</v>
      </c>
      <c r="E9" s="205">
        <f t="shared" si="56"/>
        <v>0</v>
      </c>
      <c r="F9" s="205">
        <f t="shared" si="56"/>
        <v>0</v>
      </c>
      <c r="G9" s="205">
        <f t="shared" si="56"/>
        <v>15</v>
      </c>
      <c r="H9" s="205">
        <f t="shared" si="56"/>
        <v>23</v>
      </c>
      <c r="I9" s="205">
        <f t="shared" si="56"/>
        <v>23</v>
      </c>
      <c r="J9" s="205">
        <f t="shared" si="56"/>
        <v>0</v>
      </c>
      <c r="K9" s="205">
        <f t="shared" si="56"/>
        <v>23</v>
      </c>
      <c r="L9" s="205">
        <f t="shared" si="56"/>
        <v>0</v>
      </c>
      <c r="M9" s="205">
        <f t="shared" si="56"/>
        <v>0</v>
      </c>
      <c r="N9" s="205">
        <f t="shared" si="56"/>
        <v>0</v>
      </c>
      <c r="O9" s="205">
        <f t="shared" si="56"/>
        <v>0</v>
      </c>
      <c r="P9" s="205">
        <f t="shared" si="56"/>
        <v>0</v>
      </c>
      <c r="Q9" s="205">
        <f t="shared" si="56"/>
        <v>0</v>
      </c>
      <c r="R9" s="205">
        <f t="shared" si="56"/>
        <v>23</v>
      </c>
      <c r="S9" s="205">
        <f t="shared" si="56"/>
        <v>0</v>
      </c>
      <c r="T9" s="205">
        <f t="shared" si="56"/>
        <v>0</v>
      </c>
      <c r="U9" s="206">
        <f>SUM(C9:T9)</f>
        <v>138</v>
      </c>
      <c r="V9" s="844"/>
      <c r="W9" s="207">
        <f>SUM(W10:W32)</f>
        <v>4253641</v>
      </c>
      <c r="X9" s="208">
        <v>3.04</v>
      </c>
      <c r="Y9" s="209">
        <f t="shared" ref="Y9:Y76" si="57">1+X9/100</f>
        <v>1.0304</v>
      </c>
      <c r="Z9" s="207">
        <v>19</v>
      </c>
      <c r="AA9" s="209">
        <f>POWER(Y9,Z9)</f>
        <v>1.7664898659259882</v>
      </c>
      <c r="AB9" s="207">
        <f>SUM(AB10:AB32)</f>
        <v>7514013.7197872866</v>
      </c>
      <c r="AC9" s="210">
        <v>18.399999999999999</v>
      </c>
      <c r="AD9" s="207">
        <f>SUM(AD10:AD32)</f>
        <v>1382578.5244408608</v>
      </c>
      <c r="AE9" s="207">
        <f>SUM(AE10:AE32)</f>
        <v>1313449.5982188175</v>
      </c>
      <c r="AF9" s="207">
        <f>SUM(AF10:AF32)</f>
        <v>399893.00706563029</v>
      </c>
      <c r="AG9" s="588">
        <f t="shared" ref="AG9:AG68" si="58">AE9/21628351</f>
        <v>6.0728143269859897E-2</v>
      </c>
      <c r="AH9" s="207">
        <f>SUM(AH10:AH32)</f>
        <v>375700.68598936434</v>
      </c>
      <c r="AI9" s="633">
        <f t="shared" ref="AI9:AI65" si="59">AH9/12908475</f>
        <v>2.9104962901455388E-2</v>
      </c>
      <c r="AJ9" s="207">
        <f>SUM(AJ10:AJ32)</f>
        <v>1758279.2104302249</v>
      </c>
      <c r="AK9" s="207">
        <f t="shared" si="3"/>
        <v>300560.54879149148</v>
      </c>
      <c r="AL9" s="207">
        <f t="shared" si="4"/>
        <v>300560.54879149148</v>
      </c>
      <c r="AM9" s="207">
        <f t="shared" si="5"/>
        <v>601121.09758298297</v>
      </c>
      <c r="AN9" s="632">
        <f t="shared" si="6"/>
        <v>2.9104962901455388E-2</v>
      </c>
      <c r="AO9" s="207">
        <f t="shared" si="7"/>
        <v>285532.52135191689</v>
      </c>
      <c r="AP9" s="588">
        <f t="shared" ref="AP9:AP68" si="60">AO9/9810441</f>
        <v>2.9104962901455388E-2</v>
      </c>
      <c r="AQ9" s="207">
        <v>1</v>
      </c>
      <c r="AR9" s="588">
        <f>AQ9/37</f>
        <v>2.7027027027027029E-2</v>
      </c>
      <c r="AS9" s="207">
        <f>SUM(AS10:AS32)</f>
        <v>23</v>
      </c>
      <c r="AT9" s="588">
        <f t="shared" ref="AT9:AT68" si="61">AS9/774</f>
        <v>2.9715762273901807E-2</v>
      </c>
      <c r="AU9" s="207">
        <f>SUM(AU10:AU32)</f>
        <v>276</v>
      </c>
      <c r="AV9" s="892">
        <f t="shared" si="8"/>
        <v>3.1360072719009202E-2</v>
      </c>
      <c r="AW9" s="207">
        <v>34059</v>
      </c>
      <c r="AX9" s="208">
        <f>AW9*0.002</f>
        <v>68.117999999999995</v>
      </c>
      <c r="AY9" s="207">
        <f>AX9*100</f>
        <v>6811.7999999999993</v>
      </c>
      <c r="AZ9" s="207">
        <f>SUM(AZ10:AZ32)</f>
        <v>1098</v>
      </c>
      <c r="BA9" s="588">
        <f t="shared" ref="BA9:BA72" si="62">AZ9/27291</f>
        <v>4.0233043860613389E-2</v>
      </c>
      <c r="BB9" s="207">
        <v>25</v>
      </c>
      <c r="BC9" s="207">
        <v>3</v>
      </c>
      <c r="BD9" s="207">
        <f>BB9+BC9</f>
        <v>28</v>
      </c>
      <c r="BE9" s="633">
        <f>BD9/1306</f>
        <v>2.1439509954058193E-2</v>
      </c>
      <c r="BF9" s="207">
        <f>AZ9+BD9</f>
        <v>1126</v>
      </c>
      <c r="BG9" s="588">
        <f>BF9/28597</f>
        <v>3.93747595901668E-2</v>
      </c>
      <c r="BH9" s="1084">
        <v>26</v>
      </c>
      <c r="BI9" s="207"/>
      <c r="BJ9" s="207"/>
      <c r="BK9" s="892">
        <f t="shared" ref="BK9:BK72" si="63">BJ9/52440044</f>
        <v>0</v>
      </c>
      <c r="BL9" s="892"/>
      <c r="BM9" s="892">
        <f t="shared" ref="BM9:BM72" si="64">BL9/1048801</f>
        <v>0</v>
      </c>
      <c r="BN9" s="207"/>
      <c r="BO9" s="207">
        <v>619008</v>
      </c>
      <c r="BP9" s="207">
        <f>SUM(BP10:BP32)</f>
        <v>619008.07408266421</v>
      </c>
      <c r="BQ9" s="633">
        <f t="shared" ref="BQ9:BQ72" si="65">BP9/10690003</f>
        <v>5.7905322765827494E-2</v>
      </c>
      <c r="BR9" s="207">
        <f>AY9*0.5*24</f>
        <v>81741.599999999991</v>
      </c>
      <c r="BS9" s="633">
        <f>BR9/2211211</f>
        <v>3.6966892802179435E-2</v>
      </c>
      <c r="BT9" s="634"/>
      <c r="BU9" s="207">
        <f>SUM(BU10:BU32)</f>
        <v>333384.48589050438</v>
      </c>
      <c r="BV9" s="264">
        <f t="shared" ref="BV9:BV72" si="66">BU9/14417138</f>
        <v>2.3124179423856826E-2</v>
      </c>
      <c r="BW9" s="207">
        <f>SUM(BW10:BW32)</f>
        <v>1426144.7451982691</v>
      </c>
      <c r="BX9" s="247">
        <f t="shared" ref="BX9:BX72" si="67">BW9/61673312</f>
        <v>2.3124179632160329E-2</v>
      </c>
      <c r="BY9" s="207">
        <f>SUM(BY10:BY32)</f>
        <v>1759529.2310887736</v>
      </c>
      <c r="BZ9" s="207"/>
      <c r="CA9" s="207">
        <f t="shared" si="10"/>
        <v>2299288.1982549098</v>
      </c>
      <c r="CB9" s="207">
        <f t="shared" si="11"/>
        <v>4598576.3965098197</v>
      </c>
      <c r="CC9" s="207">
        <f t="shared" si="12"/>
        <v>6897864.59476473</v>
      </c>
      <c r="CD9" s="633">
        <f t="shared" si="13"/>
        <v>2.9104962901455391E-2</v>
      </c>
      <c r="CE9" s="207">
        <v>910321</v>
      </c>
      <c r="CF9" s="633">
        <f t="shared" si="14"/>
        <v>3.931049182884875E-2</v>
      </c>
      <c r="CG9" s="207">
        <f t="shared" si="15"/>
        <v>1142130.0854076676</v>
      </c>
      <c r="CH9" s="588">
        <f t="shared" ref="CH9:CH68" si="68">CG9/39241764</f>
        <v>2.9104962901455388E-2</v>
      </c>
      <c r="CI9" s="207">
        <f t="shared" ref="CI9:CO9" si="69">SUM(CI10:CI32)</f>
        <v>2210920.2395199924</v>
      </c>
      <c r="CJ9" s="633">
        <f t="shared" ref="CJ9:CJ68" si="70">CI9/60827260</f>
        <v>3.6347523125651107E-2</v>
      </c>
      <c r="CK9" s="207">
        <f t="shared" si="69"/>
        <v>1717676.4091787913</v>
      </c>
      <c r="CL9" s="588">
        <f t="shared" ref="CL9:CL68" si="71">CK9/69564222</f>
        <v>2.4691951692908911E-2</v>
      </c>
      <c r="CM9" s="207">
        <f t="shared" si="69"/>
        <v>166399.94276418144</v>
      </c>
      <c r="CN9" s="588">
        <f t="shared" ref="CN9:CN68" si="72">CM9/6939078</f>
        <v>2.3980122829600912E-2</v>
      </c>
      <c r="CO9" s="207">
        <f t="shared" si="69"/>
        <v>13312.99542079055</v>
      </c>
      <c r="CP9" s="588">
        <f t="shared" ref="CP9:CP68" si="73">CO9/530266</f>
        <v>2.510625878481847E-2</v>
      </c>
      <c r="CQ9" s="207">
        <f>'Detailed Budget'!$AC$12</f>
        <v>292876014141.44696</v>
      </c>
      <c r="CR9" s="605">
        <f t="shared" si="16"/>
        <v>0</v>
      </c>
      <c r="CS9" s="605">
        <f>'Detailed Budget'!$AC$16</f>
        <v>10488008800.000002</v>
      </c>
      <c r="CT9" s="605">
        <f t="shared" si="17"/>
        <v>0</v>
      </c>
      <c r="CU9" s="605">
        <f>'Detailed Budget'!$AC$24</f>
        <v>30624985696</v>
      </c>
      <c r="CV9" s="605">
        <f t="shared" si="18"/>
        <v>0</v>
      </c>
      <c r="CW9" s="605"/>
      <c r="CX9" s="605">
        <f t="shared" si="19"/>
        <v>0</v>
      </c>
      <c r="CY9" s="207">
        <f>'Detailed Budget'!$AC$97</f>
        <v>74629165494.837845</v>
      </c>
      <c r="CZ9" s="605">
        <f t="shared" si="20"/>
        <v>4321425915.7229414</v>
      </c>
      <c r="DA9" s="605">
        <f>'Detailed Budget'!$AC$100</f>
        <v>14925833098.967569</v>
      </c>
      <c r="DB9" s="605">
        <f t="shared" si="21"/>
        <v>864285183.14458835</v>
      </c>
      <c r="DC9" s="605">
        <f t="shared" si="22"/>
        <v>5185711098.8675299</v>
      </c>
      <c r="DD9" s="207">
        <f>SUM(DD10:DD32)</f>
        <v>0</v>
      </c>
      <c r="DE9" s="606">
        <v>0</v>
      </c>
      <c r="DF9" s="605">
        <f>'Detailed Budget'!$AC$147</f>
        <v>5913600671000</v>
      </c>
      <c r="DG9" s="605">
        <f t="shared" si="23"/>
        <v>0</v>
      </c>
      <c r="DH9" s="605">
        <f>'Detailed Budget'!$AC$153</f>
        <v>226428026880.00003</v>
      </c>
      <c r="DI9" s="605">
        <f>BS9*DH9</f>
        <v>8370340597.0819645</v>
      </c>
      <c r="DJ9" s="605">
        <f>'Detailed Budget'!$AC$156</f>
        <v>27713070000</v>
      </c>
      <c r="DK9" s="605">
        <f>AT9*DJ9</f>
        <v>823515000</v>
      </c>
      <c r="DL9" s="605">
        <f>DI9+DK9</f>
        <v>9193855597.0819645</v>
      </c>
      <c r="DM9" s="207">
        <f>'Detailed Budget'!$AC$178</f>
        <v>5622683761.6229038</v>
      </c>
      <c r="DN9" s="605">
        <f t="shared" si="24"/>
        <v>0</v>
      </c>
      <c r="DO9" s="207">
        <f>'Detailed Budget'!$AC$179</f>
        <v>26827890683.128094</v>
      </c>
      <c r="DP9" s="605">
        <f t="shared" si="25"/>
        <v>0</v>
      </c>
      <c r="DQ9" s="605">
        <f>SUM(DQ10:DQ32)</f>
        <v>750392911.45598876</v>
      </c>
      <c r="DR9" s="605">
        <f>'Detailed Budget'!$AC$181</f>
        <v>50888946855.375237</v>
      </c>
      <c r="DS9" s="605">
        <f>SUM(DS10:DS32)</f>
        <v>940900856.67645466</v>
      </c>
      <c r="DT9" s="605">
        <f>SUM(DT10:DT32)</f>
        <v>1691293768.1324432</v>
      </c>
      <c r="DU9" s="634">
        <f>'Detailed Budget'!$AC$192</f>
        <v>77498869683.252869</v>
      </c>
      <c r="DV9" s="605">
        <f>SUM(DV10:DV32)</f>
        <v>1568860980.6912236</v>
      </c>
      <c r="DW9" s="930">
        <f>'Detailed Budget'!$AC$194</f>
        <v>2684962805.4134097</v>
      </c>
      <c r="DX9" s="605">
        <f>SUM(DX10:DX32)</f>
        <v>54353481.505429059</v>
      </c>
      <c r="DY9" s="605">
        <f t="shared" si="26"/>
        <v>1623214462.1966527</v>
      </c>
      <c r="DZ9" s="207">
        <f>'Detailed Budget'!$AC$198</f>
        <v>18732540018.380611</v>
      </c>
      <c r="EA9" s="605">
        <f t="shared" si="27"/>
        <v>736385361.32613325</v>
      </c>
      <c r="EB9" s="207">
        <f>'Detailed Budget'!$AC$200</f>
        <v>4683135004.5951529</v>
      </c>
      <c r="EC9" s="605">
        <f t="shared" si="28"/>
        <v>184096340.33153331</v>
      </c>
      <c r="ED9" s="605">
        <f t="shared" si="29"/>
        <v>920481701.65766656</v>
      </c>
      <c r="EE9" s="207">
        <f>'Detailed Budget'!$AC$161</f>
        <v>251147290106.36197</v>
      </c>
      <c r="EF9" s="605">
        <f t="shared" si="30"/>
        <v>7309632561.3467188</v>
      </c>
      <c r="EG9" s="207">
        <f>'Detailed Budget'!$AC$163</f>
        <v>15696705631.647623</v>
      </c>
      <c r="EH9" s="605">
        <f t="shared" si="31"/>
        <v>456852035.08416992</v>
      </c>
      <c r="EI9" s="605">
        <f t="shared" si="32"/>
        <v>7766484596.4308891</v>
      </c>
      <c r="EJ9" s="207">
        <f>'Detailed Budget'!$AC$204</f>
        <v>45012172507.531975</v>
      </c>
      <c r="EK9" s="605">
        <f t="shared" si="33"/>
        <v>1636080981.1533155</v>
      </c>
      <c r="EL9" s="207">
        <f>'Detailed Budget'!$AC$206</f>
        <v>11253043126.882994</v>
      </c>
      <c r="EM9" s="605">
        <f t="shared" si="34"/>
        <v>409020245.28832889</v>
      </c>
      <c r="EN9" s="605">
        <f t="shared" si="35"/>
        <v>2045101226.4416444</v>
      </c>
      <c r="EO9" s="930">
        <f>'Detailed Budget'!$AC$209</f>
        <v>135789361677.54817</v>
      </c>
      <c r="EP9" s="605">
        <f t="shared" si="36"/>
        <v>3352904358.9529562</v>
      </c>
      <c r="EQ9" s="207">
        <f>'Detailed Budget'!$AC$211</f>
        <v>33947340419.387043</v>
      </c>
      <c r="ER9" s="605">
        <f t="shared" si="37"/>
        <v>838226089.73823905</v>
      </c>
      <c r="ES9" s="605">
        <f t="shared" si="38"/>
        <v>4191130448.6911955</v>
      </c>
      <c r="ET9" s="207">
        <f>'Detailed Budget'!$AC$214</f>
        <v>22239745544.201103</v>
      </c>
      <c r="EU9" s="605">
        <f t="shared" si="39"/>
        <v>533311829.84901202</v>
      </c>
      <c r="EV9" s="930">
        <f>'Detailed Budget'!$AC$217</f>
        <v>5559936386.0502758</v>
      </c>
      <c r="EW9" s="605">
        <f t="shared" si="40"/>
        <v>133327957.462253</v>
      </c>
      <c r="EX9" s="605">
        <f t="shared" si="41"/>
        <v>666639787.31126499</v>
      </c>
      <c r="EY9" s="207">
        <f>'Detailed Budget'!$AC$219</f>
        <v>372777004.58170313</v>
      </c>
      <c r="EZ9" s="605">
        <f t="shared" si="42"/>
        <v>9359035.9460576996</v>
      </c>
      <c r="FA9" s="207">
        <f>'Detailed Budget'!$AC$222</f>
        <v>93194251.145425782</v>
      </c>
      <c r="FB9" s="605">
        <f t="shared" si="43"/>
        <v>2339758.9865144249</v>
      </c>
      <c r="FC9" s="605">
        <f t="shared" si="44"/>
        <v>11698794.932572125</v>
      </c>
      <c r="FD9" s="605"/>
      <c r="FE9" s="605">
        <f t="shared" si="45"/>
        <v>6914570257.3766775</v>
      </c>
      <c r="FF9" s="930">
        <f>'Detailed Budget'!$AC$165</f>
        <v>14927760000</v>
      </c>
      <c r="FG9" s="1086">
        <f t="shared" si="46"/>
        <v>9431931533.1119213</v>
      </c>
      <c r="FH9" s="605">
        <f t="shared" si="47"/>
        <v>468135639.13191682</v>
      </c>
      <c r="FI9" s="605"/>
      <c r="FJ9" s="930">
        <f>'Detailed Budget'!$AC$235</f>
        <v>3623696172</v>
      </c>
      <c r="FK9" s="605">
        <f t="shared" si="48"/>
        <v>107680894</v>
      </c>
      <c r="FL9" s="605">
        <f t="shared" si="49"/>
        <v>107680894</v>
      </c>
      <c r="FM9" s="605"/>
      <c r="FN9" s="605">
        <f>'Detailed Budget'!$AC$251</f>
        <v>1047595800</v>
      </c>
      <c r="FO9" s="605">
        <f>AR9*FN9</f>
        <v>28313400</v>
      </c>
      <c r="FP9" s="605">
        <f>'Detailed Budget'!$AB$254</f>
        <v>2773297530</v>
      </c>
      <c r="FQ9" s="605">
        <f>BE9*FP9</f>
        <v>59458140</v>
      </c>
      <c r="FR9" s="605">
        <f>'Detailed Budget'!$AC$257</f>
        <v>13636439388</v>
      </c>
      <c r="FS9" s="605">
        <f t="shared" si="50"/>
        <v>548635464</v>
      </c>
      <c r="FT9" s="605">
        <f t="shared" si="51"/>
        <v>636407004</v>
      </c>
      <c r="FU9" s="605"/>
      <c r="FV9" s="605">
        <f>'Detailed Budget'!$AC$265</f>
        <v>6277805540</v>
      </c>
      <c r="FW9" s="605">
        <f t="shared" si="52"/>
        <v>169670420</v>
      </c>
      <c r="FX9" s="930">
        <f>'Detailed Budget'!$AC$278</f>
        <v>1114560000</v>
      </c>
      <c r="FY9" s="605">
        <f t="shared" si="53"/>
        <v>33120000</v>
      </c>
      <c r="FZ9" s="605">
        <f t="shared" si="54"/>
        <v>202790420</v>
      </c>
      <c r="GB9" s="605">
        <f t="shared" ref="GB9:GB72" si="74">SUM(CX9,DC9,DG9,DL9,DT9,DY9,ED9,EI9,FE9,FG9,FH9,FL9,FT9,FZ9,GA9)</f>
        <v>44142556971.987663</v>
      </c>
      <c r="GC9" s="889">
        <f t="shared" si="55"/>
        <v>27589098.10749229</v>
      </c>
      <c r="GD9" s="1078">
        <f t="shared" ref="GD9:GD72" si="75">GB9/1782113496426</f>
        <v>2.4769778726503589E-2</v>
      </c>
    </row>
    <row r="10" spans="1:186" ht="14.25" hidden="1" customHeight="1" outlineLevel="1">
      <c r="A10" s="211" t="s">
        <v>213</v>
      </c>
      <c r="B10" s="212" t="s">
        <v>214</v>
      </c>
      <c r="C10" s="213" t="s">
        <v>215</v>
      </c>
      <c r="D10" s="214"/>
      <c r="E10" s="213"/>
      <c r="F10" s="213"/>
      <c r="G10" s="213" t="s">
        <v>215</v>
      </c>
      <c r="H10" s="213" t="s">
        <v>215</v>
      </c>
      <c r="I10" s="214" t="s">
        <v>215</v>
      </c>
      <c r="J10" s="214"/>
      <c r="K10" s="213" t="s">
        <v>215</v>
      </c>
      <c r="L10" s="213"/>
      <c r="M10" s="214"/>
      <c r="N10" s="213"/>
      <c r="O10" s="214"/>
      <c r="P10" s="213"/>
      <c r="Q10" s="214"/>
      <c r="R10" s="214" t="s">
        <v>215</v>
      </c>
      <c r="S10" s="214"/>
      <c r="T10" s="214"/>
      <c r="U10" s="215">
        <f t="shared" ref="U10:U32" si="76">COUNTA(C10:T10)</f>
        <v>6</v>
      </c>
      <c r="V10" s="845" t="s">
        <v>216</v>
      </c>
      <c r="W10" s="216">
        <v>184389</v>
      </c>
      <c r="X10" s="217">
        <v>3.04</v>
      </c>
      <c r="Y10" s="218">
        <f t="shared" si="57"/>
        <v>1.0304</v>
      </c>
      <c r="Z10" s="196">
        <v>19</v>
      </c>
      <c r="AA10" s="218">
        <f>POWER(Y10,Z10)</f>
        <v>1.7664898659259882</v>
      </c>
      <c r="AB10" s="196">
        <f t="shared" ref="AB10:AB40" si="77">W10*AA10</f>
        <v>325721.29988822702</v>
      </c>
      <c r="AC10">
        <v>18.399999999999999</v>
      </c>
      <c r="AD10" s="196">
        <f t="shared" ref="AD10:AD40" si="78">AB10*AC10/100</f>
        <v>59932.71917943377</v>
      </c>
      <c r="AE10" s="196">
        <f>AD10*0.95</f>
        <v>56936.083220462082</v>
      </c>
      <c r="AF10" s="196">
        <f t="shared" ref="AF10:AF32" si="79">AE10*BT10</f>
        <v>0</v>
      </c>
      <c r="AG10" s="606">
        <f t="shared" si="58"/>
        <v>2.632474534025367E-3</v>
      </c>
      <c r="AH10" s="196">
        <f>AB10*0.05</f>
        <v>16286.064994411352</v>
      </c>
      <c r="AI10" s="248">
        <f t="shared" si="59"/>
        <v>1.2616567793183433E-3</v>
      </c>
      <c r="AJ10" s="196">
        <f t="shared" ref="AJ10:AJ66" si="80">AD10+AH10</f>
        <v>76218.784173845124</v>
      </c>
      <c r="AK10" s="196">
        <f t="shared" si="3"/>
        <v>13028.851995529081</v>
      </c>
      <c r="AL10" s="196">
        <f t="shared" si="4"/>
        <v>13028.851995529081</v>
      </c>
      <c r="AM10" s="196">
        <f t="shared" si="5"/>
        <v>26057.703991058163</v>
      </c>
      <c r="AN10" s="627">
        <f t="shared" si="6"/>
        <v>1.2616567793183433E-3</v>
      </c>
      <c r="AO10" s="196">
        <f t="shared" si="7"/>
        <v>12377.409395752626</v>
      </c>
      <c r="AP10" s="589">
        <f t="shared" si="60"/>
        <v>1.261656779318343E-3</v>
      </c>
      <c r="AQ10" s="196"/>
      <c r="AR10" s="589"/>
      <c r="AS10">
        <v>1</v>
      </c>
      <c r="AT10" s="589">
        <f t="shared" si="61"/>
        <v>1.2919896640826874E-3</v>
      </c>
      <c r="AU10" s="196">
        <v>10</v>
      </c>
      <c r="AV10" s="245">
        <f t="shared" si="8"/>
        <v>1.1362345188046814E-3</v>
      </c>
      <c r="AX10" s="245"/>
      <c r="AY10" s="245"/>
      <c r="AZ10">
        <v>31</v>
      </c>
      <c r="BA10" s="589">
        <f t="shared" si="62"/>
        <v>1.1359056099080284E-3</v>
      </c>
      <c r="BI10" s="196">
        <v>0</v>
      </c>
      <c r="BK10" s="246">
        <f t="shared" si="63"/>
        <v>0</v>
      </c>
      <c r="BL10" s="246"/>
      <c r="BM10" s="246">
        <f t="shared" si="64"/>
        <v>0</v>
      </c>
      <c r="BN10" s="196">
        <v>1</v>
      </c>
      <c r="BO10" s="196">
        <f t="shared" ref="BO10:BO32" si="81">AJ10/1758279*619008</f>
        <v>26833.077773142672</v>
      </c>
      <c r="BP10" s="196">
        <f t="shared" ref="BP10:BP66" si="82">BN10*BO10</f>
        <v>26833.077773142672</v>
      </c>
      <c r="BQ10" s="248">
        <f t="shared" si="65"/>
        <v>2.5101094707964695E-3</v>
      </c>
      <c r="BR10" s="248"/>
      <c r="BS10" s="248"/>
      <c r="BT10" s="276">
        <v>0</v>
      </c>
      <c r="BU10" s="196">
        <f>AD10*BT10*0.18*4*1.1</f>
        <v>0</v>
      </c>
      <c r="BV10" s="264">
        <f t="shared" si="66"/>
        <v>0</v>
      </c>
      <c r="BW10" s="196">
        <f>AD10*BT10*0.77*4*1.1</f>
        <v>0</v>
      </c>
      <c r="BX10" s="247">
        <f t="shared" si="67"/>
        <v>0</v>
      </c>
      <c r="BY10" s="196">
        <f t="shared" ref="BY10:BY75" si="83">BU10+BW10</f>
        <v>0</v>
      </c>
      <c r="BZ10" s="620">
        <v>1</v>
      </c>
      <c r="CA10" s="196">
        <f t="shared" si="10"/>
        <v>99670.717765797468</v>
      </c>
      <c r="CB10" s="196">
        <f t="shared" si="11"/>
        <v>199341.43553159494</v>
      </c>
      <c r="CC10" s="196">
        <f t="shared" si="12"/>
        <v>299012.15329739242</v>
      </c>
      <c r="CD10" s="247">
        <f t="shared" si="13"/>
        <v>1.2616567793183433E-3</v>
      </c>
      <c r="CE10" s="196">
        <f t="shared" ref="CE10:CE32" si="84">AH10/375701*910321</f>
        <v>39461.026113259046</v>
      </c>
      <c r="CF10" s="247">
        <f t="shared" si="14"/>
        <v>1.7040498292176683E-3</v>
      </c>
      <c r="CG10" s="196">
        <f t="shared" si="15"/>
        <v>49509.637583010503</v>
      </c>
      <c r="CH10" s="589">
        <f t="shared" si="68"/>
        <v>1.261656779318343E-3</v>
      </c>
      <c r="CI10" s="196">
        <f t="shared" ref="CI10:CI32" si="85">AD10/1382579*2210921</f>
        <v>95840.098410950028</v>
      </c>
      <c r="CJ10" s="248">
        <f t="shared" si="70"/>
        <v>1.5756109746016839E-3</v>
      </c>
      <c r="CK10" s="196">
        <f t="shared" ref="CK10:CK32" si="86">AD10/1382579*1717677</f>
        <v>74458.713232279857</v>
      </c>
      <c r="CL10" s="589">
        <f t="shared" si="71"/>
        <v>1.0703593182179174E-3</v>
      </c>
      <c r="CM10" s="196">
        <f t="shared" ref="CM10:CM32" si="87">AD10/1382579*166400</f>
        <v>7213.1896054097297</v>
      </c>
      <c r="CN10" s="589">
        <f t="shared" si="72"/>
        <v>1.0395025975222833E-3</v>
      </c>
      <c r="CO10" s="196">
        <f t="shared" ref="CO10:CO32" si="88">AD10/1382579*13313</f>
        <v>577.09851692800316</v>
      </c>
      <c r="CP10" s="589">
        <f t="shared" si="73"/>
        <v>1.0883189133906439E-3</v>
      </c>
      <c r="CQ10" s="196">
        <f>'Detailed Budget'!$AC$12</f>
        <v>292876014141.44696</v>
      </c>
      <c r="CR10" s="269">
        <f t="shared" si="16"/>
        <v>0</v>
      </c>
      <c r="CS10" s="269">
        <f>'Detailed Budget'!$AC$16</f>
        <v>10488008800.000002</v>
      </c>
      <c r="CT10" s="607">
        <f t="shared" si="17"/>
        <v>0</v>
      </c>
      <c r="CU10" s="269">
        <f>'Detailed Budget'!$AC$24</f>
        <v>30624985696</v>
      </c>
      <c r="CV10" s="269">
        <f t="shared" si="18"/>
        <v>0</v>
      </c>
      <c r="CW10" s="269"/>
      <c r="CX10" s="269">
        <f t="shared" si="19"/>
        <v>0</v>
      </c>
      <c r="CY10" s="196">
        <f>'Detailed Budget'!$AC$97</f>
        <v>74629165494.837845</v>
      </c>
      <c r="CZ10" s="269">
        <f t="shared" si="20"/>
        <v>187327375.10622957</v>
      </c>
      <c r="DA10" s="269">
        <f>'Detailed Budget'!$AC$100</f>
        <v>14925833098.967569</v>
      </c>
      <c r="DB10" s="269">
        <f t="shared" si="21"/>
        <v>37465475.021245912</v>
      </c>
      <c r="DC10" s="269">
        <f t="shared" si="22"/>
        <v>224792850.1274755</v>
      </c>
      <c r="DD10" s="207">
        <v>0</v>
      </c>
      <c r="DE10" s="606">
        <v>0</v>
      </c>
      <c r="DF10" s="269">
        <f>'Detailed Budget'!$AC$147</f>
        <v>5913600671000</v>
      </c>
      <c r="DG10" s="269">
        <f t="shared" si="23"/>
        <v>0</v>
      </c>
      <c r="DH10" s="269">
        <f>'Detailed Budget'!$AC$153</f>
        <v>226428026880.00003</v>
      </c>
      <c r="DI10" s="269"/>
      <c r="DJ10" s="269">
        <f>'Detailed Budget'!$AC$156</f>
        <v>27713070000</v>
      </c>
      <c r="DK10" s="269"/>
      <c r="DL10" s="269"/>
      <c r="DM10" s="196">
        <f>'Detailed Budget'!$AC$178</f>
        <v>5622683761.6229038</v>
      </c>
      <c r="DN10" s="269">
        <f t="shared" si="24"/>
        <v>0</v>
      </c>
      <c r="DO10" s="196">
        <f>'Detailed Budget'!$AC$179</f>
        <v>26827890683.128094</v>
      </c>
      <c r="DP10" s="269">
        <f t="shared" si="25"/>
        <v>0</v>
      </c>
      <c r="DQ10" s="269">
        <f t="shared" ref="DQ10:DQ74" si="89">DN10+DP10</f>
        <v>0</v>
      </c>
      <c r="DR10" s="269">
        <f>'Detailed Budget'!$AC$181</f>
        <v>50888946855.375237</v>
      </c>
      <c r="DS10" s="269">
        <f t="shared" ref="DS10:DS32" si="90">BT10*AG10*DR10</f>
        <v>0</v>
      </c>
      <c r="DT10" s="269">
        <f t="shared" ref="DT10:DT32" si="91">DQ10+DS10</f>
        <v>0</v>
      </c>
      <c r="DU10" s="272">
        <f>'Detailed Budget'!$AC$192</f>
        <v>77498869683.252869</v>
      </c>
      <c r="DV10" s="269">
        <f t="shared" ref="DV10:DV32" si="92">BZ10*CD10*DU10</f>
        <v>97776974.325384811</v>
      </c>
      <c r="DW10" s="140">
        <f>'Detailed Budget'!$AC$194</f>
        <v>2684962805.4134097</v>
      </c>
      <c r="DX10" s="269">
        <f t="shared" ref="DX10:DX32" si="93">BZ10*AN10*DW10</f>
        <v>3387501.5256674262</v>
      </c>
      <c r="DY10" s="607">
        <f t="shared" si="26"/>
        <v>101164475.85105224</v>
      </c>
      <c r="DZ10" s="196">
        <f>'Detailed Budget'!$AC$198</f>
        <v>18732540018.380611</v>
      </c>
      <c r="EA10" s="269">
        <f t="shared" si="27"/>
        <v>31921181.619134616</v>
      </c>
      <c r="EB10" s="196">
        <f>'Detailed Budget'!$AC$200</f>
        <v>4683135004.5951529</v>
      </c>
      <c r="EC10" s="269">
        <f t="shared" si="28"/>
        <v>7980295.404783654</v>
      </c>
      <c r="ED10" s="269">
        <f t="shared" si="29"/>
        <v>39901477.023918271</v>
      </c>
      <c r="EE10" s="196">
        <f>'Detailed Budget'!$AC$161</f>
        <v>251147290106.36197</v>
      </c>
      <c r="EF10" s="269">
        <f t="shared" si="30"/>
        <v>316861681.17012221</v>
      </c>
      <c r="EG10" s="196">
        <f>'Detailed Budget'!$AC$163</f>
        <v>15696705631.647623</v>
      </c>
      <c r="EH10" s="269">
        <f t="shared" si="31"/>
        <v>19803855.073132638</v>
      </c>
      <c r="EI10" s="269">
        <f t="shared" si="32"/>
        <v>336665536.24325484</v>
      </c>
      <c r="EJ10" s="196">
        <f>'Detailed Budget'!$AC$204</f>
        <v>45012172507.531975</v>
      </c>
      <c r="EK10" s="269">
        <f t="shared" si="33"/>
        <v>70921672.993531585</v>
      </c>
      <c r="EL10" s="201">
        <f>'Detailed Budget'!$AC$206</f>
        <v>11253043126.882994</v>
      </c>
      <c r="EM10" s="269">
        <f t="shared" si="34"/>
        <v>17730418.248382896</v>
      </c>
      <c r="EN10" s="269">
        <f t="shared" si="35"/>
        <v>88652091.241914481</v>
      </c>
      <c r="EO10" s="140">
        <f>'Detailed Budget'!$AC$209</f>
        <v>135789361677.54817</v>
      </c>
      <c r="EP10" s="269">
        <f t="shared" si="36"/>
        <v>145343408.58642668</v>
      </c>
      <c r="EQ10" s="196">
        <f>'Detailed Budget'!$AC$211</f>
        <v>33947340419.387043</v>
      </c>
      <c r="ER10" s="269">
        <f t="shared" si="37"/>
        <v>36335852.146606669</v>
      </c>
      <c r="ES10" s="269">
        <f t="shared" si="38"/>
        <v>181679260.73303336</v>
      </c>
      <c r="ET10" s="196">
        <f>'Detailed Budget'!$AC$214</f>
        <v>22239745544.201103</v>
      </c>
      <c r="EU10" s="269">
        <f t="shared" si="39"/>
        <v>23118273.261431672</v>
      </c>
      <c r="EV10" s="140">
        <f>'Detailed Budget'!$AC$217</f>
        <v>5559936386.0502758</v>
      </c>
      <c r="EW10" s="269">
        <f t="shared" si="40"/>
        <v>5779568.3153579179</v>
      </c>
      <c r="EX10" s="269">
        <f t="shared" si="41"/>
        <v>28897841.576789588</v>
      </c>
      <c r="EY10" s="196">
        <f>'Detailed Budget'!$AC$219</f>
        <v>372777004.58170313</v>
      </c>
      <c r="EZ10" s="269">
        <f t="shared" si="42"/>
        <v>405700.26456337824</v>
      </c>
      <c r="FA10" s="196">
        <f>'Detailed Budget'!$AC$222</f>
        <v>93194251.145425782</v>
      </c>
      <c r="FB10" s="269">
        <f t="shared" si="43"/>
        <v>101425.06614084456</v>
      </c>
      <c r="FC10" s="269">
        <f t="shared" si="44"/>
        <v>507125.33070422278</v>
      </c>
      <c r="FD10" s="269"/>
      <c r="FE10" s="269">
        <f>EN10+ES10+EX10+FC10</f>
        <v>299736318.88244164</v>
      </c>
      <c r="FF10" s="140">
        <f>'Detailed Budget'!$AC$165</f>
        <v>14927760000</v>
      </c>
      <c r="FG10" s="1087">
        <f t="shared" si="46"/>
        <v>408860179.65760952</v>
      </c>
      <c r="FH10" s="269">
        <f t="shared" si="47"/>
        <v>16961436.200431772</v>
      </c>
      <c r="FJ10" s="140">
        <f>'Detailed Budget'!$AC$235</f>
        <v>3623696172</v>
      </c>
      <c r="FK10" s="269">
        <f t="shared" si="48"/>
        <v>4681778</v>
      </c>
      <c r="FL10" s="269">
        <f t="shared" si="49"/>
        <v>4681778</v>
      </c>
      <c r="FO10" s="607"/>
      <c r="FP10" s="607"/>
      <c r="FQ10" s="607"/>
      <c r="FR10" s="269">
        <f>'Detailed Budget'!$AC$257</f>
        <v>13636439388</v>
      </c>
      <c r="FS10" s="269">
        <f t="shared" si="50"/>
        <v>15489708.000000002</v>
      </c>
      <c r="FT10" s="269">
        <f t="shared" si="51"/>
        <v>15489708.000000002</v>
      </c>
      <c r="FU10" s="269"/>
      <c r="FV10" s="269"/>
      <c r="FW10" s="605">
        <f t="shared" si="52"/>
        <v>0</v>
      </c>
      <c r="FX10" s="140">
        <f>'Detailed Budget'!$AC$278</f>
        <v>1114560000</v>
      </c>
      <c r="FY10" s="269">
        <f t="shared" si="53"/>
        <v>1440000</v>
      </c>
      <c r="FZ10" s="269">
        <f t="shared" si="54"/>
        <v>1440000</v>
      </c>
      <c r="GB10" s="269">
        <f t="shared" si="74"/>
        <v>1449693759.9861839</v>
      </c>
      <c r="GC10" s="887">
        <f t="shared" si="55"/>
        <v>906058.59999136487</v>
      </c>
      <c r="GD10" s="1078">
        <f t="shared" si="75"/>
        <v>8.1346881828431327E-4</v>
      </c>
    </row>
    <row r="11" spans="1:186" ht="14.25" hidden="1" customHeight="1" outlineLevel="1">
      <c r="A11" s="211" t="s">
        <v>217</v>
      </c>
      <c r="B11" s="212" t="s">
        <v>218</v>
      </c>
      <c r="C11" s="213" t="s">
        <v>215</v>
      </c>
      <c r="D11" s="214" t="s">
        <v>215</v>
      </c>
      <c r="E11" s="213"/>
      <c r="F11" s="213"/>
      <c r="G11" s="213"/>
      <c r="H11" s="213" t="s">
        <v>215</v>
      </c>
      <c r="I11" s="214" t="s">
        <v>215</v>
      </c>
      <c r="J11" s="214"/>
      <c r="K11" s="213" t="s">
        <v>215</v>
      </c>
      <c r="L11" s="213"/>
      <c r="M11" s="214"/>
      <c r="N11" s="213"/>
      <c r="O11" s="214"/>
      <c r="P11" s="213"/>
      <c r="Q11" s="214"/>
      <c r="R11" s="214" t="s">
        <v>215</v>
      </c>
      <c r="S11" s="214"/>
      <c r="T11" s="214"/>
      <c r="U11" s="215">
        <f t="shared" si="76"/>
        <v>6</v>
      </c>
      <c r="V11" s="845" t="s">
        <v>219</v>
      </c>
      <c r="W11" s="216">
        <v>115597</v>
      </c>
      <c r="X11" s="217">
        <v>3.04</v>
      </c>
      <c r="Y11" s="218">
        <f t="shared" si="57"/>
        <v>1.0304</v>
      </c>
      <c r="Z11" s="196">
        <v>19</v>
      </c>
      <c r="AA11" s="218">
        <f t="shared" ref="AA11:AA34" si="94">POWER(Y11,Z11)</f>
        <v>1.7664898659259882</v>
      </c>
      <c r="AB11" s="196">
        <f t="shared" si="77"/>
        <v>204200.92903144646</v>
      </c>
      <c r="AC11">
        <v>18.399999999999999</v>
      </c>
      <c r="AD11" s="196">
        <f t="shared" si="78"/>
        <v>37572.970941786145</v>
      </c>
      <c r="AE11" s="196">
        <f t="shared" ref="AE11:AE77" si="95">AD11*0.95</f>
        <v>35694.322394696836</v>
      </c>
      <c r="AF11" s="196">
        <f t="shared" si="79"/>
        <v>35694.322394696836</v>
      </c>
      <c r="AG11" s="606">
        <f t="shared" si="58"/>
        <v>1.650348766519317E-3</v>
      </c>
      <c r="AH11" s="196">
        <f t="shared" ref="AH11:AH32" si="96">AB11*0.05</f>
        <v>10210.046451572323</v>
      </c>
      <c r="AI11" s="248">
        <f t="shared" si="59"/>
        <v>7.9095682887190958E-4</v>
      </c>
      <c r="AJ11" s="196">
        <f t="shared" si="80"/>
        <v>47783.017393358467</v>
      </c>
      <c r="AK11" s="196">
        <f t="shared" si="3"/>
        <v>8168.0371612578583</v>
      </c>
      <c r="AL11" s="196">
        <f t="shared" si="4"/>
        <v>8168.0371612578583</v>
      </c>
      <c r="AM11" s="196">
        <f t="shared" si="5"/>
        <v>16336.074322515717</v>
      </c>
      <c r="AN11" s="627">
        <f t="shared" si="6"/>
        <v>7.9095682887190958E-4</v>
      </c>
      <c r="AO11" s="196">
        <f t="shared" si="7"/>
        <v>7759.6353031949657</v>
      </c>
      <c r="AP11" s="589">
        <f t="shared" si="60"/>
        <v>7.9095682887190958E-4</v>
      </c>
      <c r="AQ11" s="196"/>
      <c r="AR11" s="589"/>
      <c r="AS11">
        <v>1</v>
      </c>
      <c r="AT11" s="589">
        <f t="shared" si="61"/>
        <v>1.2919896640826874E-3</v>
      </c>
      <c r="AU11" s="196">
        <v>10</v>
      </c>
      <c r="AV11" s="245">
        <f t="shared" si="8"/>
        <v>1.1362345188046814E-3</v>
      </c>
      <c r="AX11" s="245"/>
      <c r="AY11" s="245"/>
      <c r="AZ11">
        <v>53</v>
      </c>
      <c r="BA11" s="589">
        <f t="shared" si="62"/>
        <v>1.9420321717782418E-3</v>
      </c>
      <c r="BI11" s="196">
        <v>0</v>
      </c>
      <c r="BK11" s="246">
        <f t="shared" si="63"/>
        <v>0</v>
      </c>
      <c r="BL11" s="246"/>
      <c r="BM11" s="246">
        <f t="shared" si="64"/>
        <v>0</v>
      </c>
      <c r="BN11" s="196">
        <v>1</v>
      </c>
      <c r="BO11" s="196">
        <f t="shared" si="81"/>
        <v>16822.171015309879</v>
      </c>
      <c r="BP11" s="196">
        <f t="shared" si="82"/>
        <v>16822.171015309879</v>
      </c>
      <c r="BQ11" s="248">
        <f t="shared" si="65"/>
        <v>1.57363576187115E-3</v>
      </c>
      <c r="BR11" s="248"/>
      <c r="BS11" s="248"/>
      <c r="BT11" s="276">
        <v>1</v>
      </c>
      <c r="BU11" s="196">
        <f t="shared" ref="BU11:BU32" si="97">AD11*BT11*0.18*4*1.1</f>
        <v>29757.792985894626</v>
      </c>
      <c r="BV11" s="264">
        <f t="shared" si="66"/>
        <v>2.0640568874276313E-3</v>
      </c>
      <c r="BW11" s="196">
        <f t="shared" ref="BW11:BW32" si="98">AD11*BT11*0.77*4*1.1</f>
        <v>127297.22555077147</v>
      </c>
      <c r="BX11" s="247">
        <f t="shared" si="67"/>
        <v>2.0640569060207349E-3</v>
      </c>
      <c r="BY11" s="196">
        <f t="shared" si="83"/>
        <v>157055.01853666609</v>
      </c>
      <c r="BZ11" s="620">
        <v>0</v>
      </c>
      <c r="CA11" s="196">
        <f t="shared" si="10"/>
        <v>62485.484283622616</v>
      </c>
      <c r="CB11" s="196">
        <f t="shared" si="11"/>
        <v>124970.96856724523</v>
      </c>
      <c r="CC11" s="196">
        <f t="shared" si="12"/>
        <v>187456.45285086785</v>
      </c>
      <c r="CD11" s="247">
        <f t="shared" si="13"/>
        <v>7.9095682887190958E-4</v>
      </c>
      <c r="CE11" s="196">
        <f t="shared" si="84"/>
        <v>24738.873987138093</v>
      </c>
      <c r="CF11" s="247">
        <f t="shared" si="14"/>
        <v>1.0683015153185645E-3</v>
      </c>
      <c r="CG11" s="196">
        <f t="shared" si="15"/>
        <v>31038.541212779863</v>
      </c>
      <c r="CH11" s="589">
        <f t="shared" si="68"/>
        <v>7.9095682887190958E-4</v>
      </c>
      <c r="CI11" s="196">
        <f t="shared" si="85"/>
        <v>60083.995552937486</v>
      </c>
      <c r="CJ11" s="248">
        <f t="shared" si="70"/>
        <v>9.8778073437694679E-4</v>
      </c>
      <c r="CK11" s="196">
        <f t="shared" si="86"/>
        <v>46679.595168431166</v>
      </c>
      <c r="CL11" s="589">
        <f t="shared" si="71"/>
        <v>6.7102878212928435E-4</v>
      </c>
      <c r="CM11" s="196">
        <f t="shared" si="87"/>
        <v>4522.0868859668881</v>
      </c>
      <c r="CN11" s="589">
        <f t="shared" si="72"/>
        <v>6.5168411220725404E-4</v>
      </c>
      <c r="CO11" s="196">
        <f t="shared" si="88"/>
        <v>361.79412688027151</v>
      </c>
      <c r="CP11" s="589">
        <f t="shared" si="73"/>
        <v>6.8228799674177013E-4</v>
      </c>
      <c r="CQ11" s="196">
        <f>'Detailed Budget'!$AC$12</f>
        <v>292876014141.44696</v>
      </c>
      <c r="CR11" s="269">
        <f t="shared" si="16"/>
        <v>0</v>
      </c>
      <c r="CS11" s="269">
        <f>'Detailed Budget'!$AC$16</f>
        <v>10488008800.000002</v>
      </c>
      <c r="CT11" s="607">
        <f t="shared" si="17"/>
        <v>0</v>
      </c>
      <c r="CU11" s="269">
        <f>'Detailed Budget'!$AC$24</f>
        <v>30624985696</v>
      </c>
      <c r="CV11" s="269">
        <f t="shared" si="18"/>
        <v>0</v>
      </c>
      <c r="CW11" s="269"/>
      <c r="CX11" s="269">
        <f t="shared" si="19"/>
        <v>0</v>
      </c>
      <c r="CY11" s="196">
        <f>'Detailed Budget'!$AC$97</f>
        <v>74629165494.837845</v>
      </c>
      <c r="CZ11" s="269">
        <f t="shared" si="20"/>
        <v>117439123.7012773</v>
      </c>
      <c r="DA11" s="269">
        <f>'Detailed Budget'!$AC$100</f>
        <v>14925833098.967569</v>
      </c>
      <c r="DB11" s="269">
        <f t="shared" si="21"/>
        <v>23487824.74025546</v>
      </c>
      <c r="DC11" s="269">
        <f t="shared" si="22"/>
        <v>140926948.44153276</v>
      </c>
      <c r="DD11" s="207">
        <v>0</v>
      </c>
      <c r="DE11" s="606">
        <v>0</v>
      </c>
      <c r="DF11" s="269">
        <f>'Detailed Budget'!$AC$147</f>
        <v>5913600671000</v>
      </c>
      <c r="DG11" s="269">
        <f t="shared" si="23"/>
        <v>0</v>
      </c>
      <c r="DH11" s="269">
        <f>'Detailed Budget'!$AC$153</f>
        <v>226428026880.00003</v>
      </c>
      <c r="DI11" s="269"/>
      <c r="DJ11" s="269">
        <f>'Detailed Budget'!$AC$156</f>
        <v>27713070000</v>
      </c>
      <c r="DK11" s="269"/>
      <c r="DL11" s="269"/>
      <c r="DM11" s="196">
        <f>'Detailed Budget'!$AC$178</f>
        <v>5622683761.6229038</v>
      </c>
      <c r="DN11" s="269">
        <f t="shared" si="24"/>
        <v>11605539.144005256</v>
      </c>
      <c r="DO11" s="196">
        <f>'Detailed Budget'!$AC$179</f>
        <v>26827890683.128094</v>
      </c>
      <c r="DP11" s="269">
        <f t="shared" si="25"/>
        <v>55374293.038479872</v>
      </c>
      <c r="DQ11" s="269">
        <f t="shared" si="89"/>
        <v>66979832.182485126</v>
      </c>
      <c r="DR11" s="269">
        <f>'Detailed Budget'!$AC$181</f>
        <v>50888946855.375237</v>
      </c>
      <c r="DS11" s="269">
        <f t="shared" si="90"/>
        <v>83984510.672235593</v>
      </c>
      <c r="DT11" s="269">
        <f t="shared" si="91"/>
        <v>150964342.85472071</v>
      </c>
      <c r="DU11" s="272">
        <f>'Detailed Budget'!$AC$192</f>
        <v>77498869683.252869</v>
      </c>
      <c r="DV11" s="269">
        <f t="shared" si="92"/>
        <v>0</v>
      </c>
      <c r="DW11" s="140">
        <f>'Detailed Budget'!$AC$194</f>
        <v>2684962805.4134097</v>
      </c>
      <c r="DX11" s="269">
        <f t="shared" si="93"/>
        <v>0</v>
      </c>
      <c r="DY11" s="607">
        <f t="shared" si="26"/>
        <v>0</v>
      </c>
      <c r="DZ11" s="196">
        <f>'Detailed Budget'!$AC$198</f>
        <v>18732540018.380611</v>
      </c>
      <c r="EA11" s="269">
        <f t="shared" si="27"/>
        <v>20012000.887401659</v>
      </c>
      <c r="EB11" s="196">
        <f>'Detailed Budget'!$AC$200</f>
        <v>4683135004.5951529</v>
      </c>
      <c r="EC11" s="269">
        <f t="shared" si="28"/>
        <v>5003000.2218504148</v>
      </c>
      <c r="ED11" s="269">
        <f t="shared" si="29"/>
        <v>25015001.109252073</v>
      </c>
      <c r="EE11" s="196">
        <f>'Detailed Budget'!$AC$161</f>
        <v>251147290106.36197</v>
      </c>
      <c r="EF11" s="269">
        <f t="shared" si="30"/>
        <v>198646664.16230157</v>
      </c>
      <c r="EG11" s="196">
        <f>'Detailed Budget'!$AC$163</f>
        <v>15696705631.647623</v>
      </c>
      <c r="EH11" s="269">
        <f t="shared" si="31"/>
        <v>12415416.510143848</v>
      </c>
      <c r="EI11" s="269">
        <f t="shared" si="32"/>
        <v>211062080.67244542</v>
      </c>
      <c r="EJ11" s="196">
        <f>'Detailed Budget'!$AC$204</f>
        <v>45012172507.531975</v>
      </c>
      <c r="EK11" s="269">
        <f t="shared" si="33"/>
        <v>44462156.815391749</v>
      </c>
      <c r="EL11" s="201">
        <f>'Detailed Budget'!$AC$206</f>
        <v>11253043126.882994</v>
      </c>
      <c r="EM11" s="269">
        <f t="shared" si="34"/>
        <v>11115539.203847937</v>
      </c>
      <c r="EN11" s="269">
        <f t="shared" si="35"/>
        <v>55577696.019239686</v>
      </c>
      <c r="EO11" s="140">
        <f>'Detailed Budget'!$AC$209</f>
        <v>135789361677.54817</v>
      </c>
      <c r="EP11" s="269">
        <f t="shared" si="36"/>
        <v>91118569.992598072</v>
      </c>
      <c r="EQ11" s="196">
        <f>'Detailed Budget'!$AC$211</f>
        <v>33947340419.387043</v>
      </c>
      <c r="ER11" s="269">
        <f t="shared" si="37"/>
        <v>22779642.498149518</v>
      </c>
      <c r="ES11" s="269">
        <f t="shared" si="38"/>
        <v>113898212.49074759</v>
      </c>
      <c r="ET11" s="196">
        <f>'Detailed Budget'!$AC$214</f>
        <v>22239745544.201103</v>
      </c>
      <c r="EU11" s="269">
        <f t="shared" si="39"/>
        <v>14493288.830687931</v>
      </c>
      <c r="EV11" s="140">
        <f>'Detailed Budget'!$AC$217</f>
        <v>5559936386.0502758</v>
      </c>
      <c r="EW11" s="269">
        <f t="shared" si="40"/>
        <v>3623322.2076719827</v>
      </c>
      <c r="EX11" s="269">
        <f t="shared" si="41"/>
        <v>18116611.038359914</v>
      </c>
      <c r="EY11" s="196">
        <f>'Detailed Budget'!$AC$219</f>
        <v>372777004.58170313</v>
      </c>
      <c r="EZ11" s="269">
        <f t="shared" si="42"/>
        <v>254341.27568744789</v>
      </c>
      <c r="FA11" s="196">
        <f>'Detailed Budget'!$AC$222</f>
        <v>93194251.145425782</v>
      </c>
      <c r="FB11" s="269">
        <f t="shared" si="43"/>
        <v>63585.318921861974</v>
      </c>
      <c r="FC11" s="269">
        <f t="shared" si="44"/>
        <v>317926.59460930986</v>
      </c>
      <c r="FD11" s="269"/>
      <c r="FE11" s="269">
        <f t="shared" si="45"/>
        <v>187910446.1429565</v>
      </c>
      <c r="FF11" s="140">
        <f>'Detailed Budget'!$AC$165</f>
        <v>14927760000</v>
      </c>
      <c r="FG11" s="1087">
        <f t="shared" si="46"/>
        <v>256322287.0555222</v>
      </c>
      <c r="FH11" s="269">
        <f t="shared" si="47"/>
        <v>16961436.200431772</v>
      </c>
      <c r="FJ11" s="140">
        <f>'Detailed Budget'!$AC$235</f>
        <v>3623696172</v>
      </c>
      <c r="FK11" s="269">
        <f t="shared" si="48"/>
        <v>4681778</v>
      </c>
      <c r="FL11" s="269">
        <f t="shared" si="49"/>
        <v>4681778</v>
      </c>
      <c r="FO11" s="607"/>
      <c r="FP11" s="607"/>
      <c r="FQ11" s="607"/>
      <c r="FR11" s="269">
        <f>'Detailed Budget'!$AC$257</f>
        <v>13636439388</v>
      </c>
      <c r="FS11" s="269">
        <f t="shared" si="50"/>
        <v>26482404</v>
      </c>
      <c r="FT11" s="269">
        <f t="shared" si="51"/>
        <v>26482404</v>
      </c>
      <c r="FU11" s="269"/>
      <c r="FV11" s="269"/>
      <c r="FW11" s="605">
        <f t="shared" si="52"/>
        <v>0</v>
      </c>
      <c r="FX11" s="140">
        <f>'Detailed Budget'!$AC$278</f>
        <v>1114560000</v>
      </c>
      <c r="FY11" s="269">
        <f t="shared" si="53"/>
        <v>1440000</v>
      </c>
      <c r="FZ11" s="269">
        <f t="shared" si="54"/>
        <v>1440000</v>
      </c>
      <c r="GB11" s="269">
        <f t="shared" si="74"/>
        <v>1021766724.4768615</v>
      </c>
      <c r="GC11" s="887">
        <f t="shared" si="55"/>
        <v>638604.20279803837</v>
      </c>
      <c r="GD11" s="1078">
        <f t="shared" si="75"/>
        <v>5.7334548362155281E-4</v>
      </c>
    </row>
    <row r="12" spans="1:186" ht="14.25" hidden="1" customHeight="1" outlineLevel="1">
      <c r="A12" s="211" t="s">
        <v>220</v>
      </c>
      <c r="B12" s="212" t="s">
        <v>221</v>
      </c>
      <c r="C12" s="213" t="s">
        <v>215</v>
      </c>
      <c r="D12" s="214" t="s">
        <v>215</v>
      </c>
      <c r="E12" s="213"/>
      <c r="F12" s="213"/>
      <c r="G12" s="213"/>
      <c r="H12" s="213" t="s">
        <v>215</v>
      </c>
      <c r="I12" s="214" t="s">
        <v>215</v>
      </c>
      <c r="J12" s="214"/>
      <c r="K12" s="213" t="s">
        <v>215</v>
      </c>
      <c r="L12" s="213"/>
      <c r="M12" s="214"/>
      <c r="N12" s="213"/>
      <c r="O12" s="214"/>
      <c r="P12" s="213"/>
      <c r="Q12" s="214"/>
      <c r="R12" s="214" t="s">
        <v>215</v>
      </c>
      <c r="S12" s="214"/>
      <c r="T12" s="214"/>
      <c r="U12" s="215">
        <f t="shared" si="76"/>
        <v>6</v>
      </c>
      <c r="V12" s="845" t="s">
        <v>219</v>
      </c>
      <c r="W12" s="216">
        <v>96780</v>
      </c>
      <c r="X12" s="217">
        <v>3.04</v>
      </c>
      <c r="Y12" s="218">
        <f t="shared" si="57"/>
        <v>1.0304</v>
      </c>
      <c r="Z12" s="196">
        <v>19</v>
      </c>
      <c r="AA12" s="218">
        <f t="shared" si="94"/>
        <v>1.7664898659259882</v>
      </c>
      <c r="AB12" s="196">
        <f t="shared" si="77"/>
        <v>170960.88922431713</v>
      </c>
      <c r="AC12">
        <v>18.399999999999999</v>
      </c>
      <c r="AD12" s="196">
        <f t="shared" si="78"/>
        <v>31456.803617274352</v>
      </c>
      <c r="AE12" s="196">
        <f t="shared" si="95"/>
        <v>29883.963436410635</v>
      </c>
      <c r="AF12" s="196">
        <f t="shared" si="79"/>
        <v>29883.963436410635</v>
      </c>
      <c r="AG12" s="606">
        <f t="shared" si="58"/>
        <v>1.3817032762419399E-3</v>
      </c>
      <c r="AH12" s="196">
        <f t="shared" si="96"/>
        <v>8548.0444612158572</v>
      </c>
      <c r="AI12" s="248">
        <f t="shared" si="59"/>
        <v>6.622040528579756E-4</v>
      </c>
      <c r="AJ12" s="196">
        <f t="shared" si="80"/>
        <v>40004.848078490206</v>
      </c>
      <c r="AK12" s="196">
        <f t="shared" si="3"/>
        <v>6838.4355689726854</v>
      </c>
      <c r="AL12" s="196">
        <f t="shared" si="4"/>
        <v>6838.4355689726854</v>
      </c>
      <c r="AM12" s="196">
        <f t="shared" si="5"/>
        <v>13676.871137945371</v>
      </c>
      <c r="AN12" s="627">
        <f t="shared" si="6"/>
        <v>6.622040528579756E-4</v>
      </c>
      <c r="AO12" s="196">
        <f t="shared" si="7"/>
        <v>6496.5137905240508</v>
      </c>
      <c r="AP12" s="589">
        <f t="shared" si="60"/>
        <v>6.622040528579756E-4</v>
      </c>
      <c r="AQ12" s="196"/>
      <c r="AR12" s="589"/>
      <c r="AS12">
        <v>1</v>
      </c>
      <c r="AT12" s="589">
        <f t="shared" si="61"/>
        <v>1.2919896640826874E-3</v>
      </c>
      <c r="AU12" s="196">
        <v>11</v>
      </c>
      <c r="AV12" s="245">
        <f t="shared" si="8"/>
        <v>1.2498579706851495E-3</v>
      </c>
      <c r="AX12" s="245"/>
      <c r="AY12" s="245"/>
      <c r="AZ12">
        <v>45</v>
      </c>
      <c r="BA12" s="589">
        <f t="shared" si="62"/>
        <v>1.6488952401890733E-3</v>
      </c>
      <c r="BI12" s="196">
        <v>0</v>
      </c>
      <c r="BK12" s="246">
        <f t="shared" si="63"/>
        <v>0</v>
      </c>
      <c r="BL12" s="246"/>
      <c r="BM12" s="246">
        <f t="shared" si="64"/>
        <v>0</v>
      </c>
      <c r="BN12" s="196">
        <v>1</v>
      </c>
      <c r="BO12" s="196">
        <f t="shared" si="81"/>
        <v>14083.840505045026</v>
      </c>
      <c r="BP12" s="196">
        <f t="shared" si="82"/>
        <v>14083.840505045026</v>
      </c>
      <c r="BQ12" s="248">
        <f t="shared" si="65"/>
        <v>1.3174776943509769E-3</v>
      </c>
      <c r="BR12" s="248"/>
      <c r="BS12" s="248"/>
      <c r="BT12" s="276">
        <v>1</v>
      </c>
      <c r="BU12" s="196">
        <f t="shared" si="97"/>
        <v>24913.788464881291</v>
      </c>
      <c r="BV12" s="264">
        <f t="shared" si="66"/>
        <v>1.7280675585460367E-3</v>
      </c>
      <c r="BW12" s="196">
        <f t="shared" si="98"/>
        <v>106575.65065532552</v>
      </c>
      <c r="BX12" s="247">
        <f t="shared" si="67"/>
        <v>1.7280675741125353E-3</v>
      </c>
      <c r="BY12" s="196">
        <f t="shared" si="83"/>
        <v>131489.43912020681</v>
      </c>
      <c r="BZ12" s="620">
        <v>0</v>
      </c>
      <c r="CA12" s="196">
        <f t="shared" si="10"/>
        <v>52314.032102641038</v>
      </c>
      <c r="CB12" s="196">
        <f t="shared" si="11"/>
        <v>104628.06420528208</v>
      </c>
      <c r="CC12" s="196">
        <f t="shared" si="12"/>
        <v>156942.09630792312</v>
      </c>
      <c r="CD12" s="247">
        <f t="shared" si="13"/>
        <v>6.622040528579756E-4</v>
      </c>
      <c r="CE12" s="196">
        <f t="shared" si="84"/>
        <v>20711.854325589975</v>
      </c>
      <c r="CF12" s="247">
        <f t="shared" si="14"/>
        <v>8.9440228252057289E-4</v>
      </c>
      <c r="CG12" s="196">
        <f t="shared" si="15"/>
        <v>25986.055162096203</v>
      </c>
      <c r="CH12" s="589">
        <f t="shared" si="68"/>
        <v>6.622040528579756E-4</v>
      </c>
      <c r="CI12" s="196">
        <f t="shared" si="85"/>
        <v>50303.460207559801</v>
      </c>
      <c r="CJ12" s="248">
        <f t="shared" si="70"/>
        <v>8.2698875812521892E-4</v>
      </c>
      <c r="CK12" s="196">
        <f t="shared" si="86"/>
        <v>39081.042072032746</v>
      </c>
      <c r="CL12" s="589">
        <f t="shared" si="71"/>
        <v>5.6179801841286668E-4</v>
      </c>
      <c r="CM12" s="196">
        <f t="shared" si="87"/>
        <v>3785.9768750389326</v>
      </c>
      <c r="CN12" s="589">
        <f t="shared" si="72"/>
        <v>5.4560229399913543E-4</v>
      </c>
      <c r="CO12" s="196">
        <f t="shared" si="88"/>
        <v>302.90090226798861</v>
      </c>
      <c r="CP12" s="589">
        <f t="shared" si="73"/>
        <v>5.7122444634954647E-4</v>
      </c>
      <c r="CQ12" s="196">
        <f>'Detailed Budget'!$AC$12</f>
        <v>292876014141.44696</v>
      </c>
      <c r="CR12" s="269">
        <f t="shared" si="16"/>
        <v>0</v>
      </c>
      <c r="CS12" s="269">
        <f>'Detailed Budget'!$AC$16</f>
        <v>10488008800.000002</v>
      </c>
      <c r="CT12" s="607">
        <f t="shared" si="17"/>
        <v>0</v>
      </c>
      <c r="CU12" s="269">
        <f>'Detailed Budget'!$AC$24</f>
        <v>30624985696</v>
      </c>
      <c r="CV12" s="269">
        <f t="shared" si="18"/>
        <v>0</v>
      </c>
      <c r="CW12" s="269"/>
      <c r="CX12" s="269">
        <f t="shared" si="19"/>
        <v>0</v>
      </c>
      <c r="CY12" s="196">
        <f>'Detailed Budget'!$AC$97</f>
        <v>74629165494.837845</v>
      </c>
      <c r="CZ12" s="269">
        <f t="shared" si="20"/>
        <v>98322260.887476444</v>
      </c>
      <c r="DA12" s="269">
        <f>'Detailed Budget'!$AC$100</f>
        <v>14925833098.967569</v>
      </c>
      <c r="DB12" s="269">
        <f t="shared" si="21"/>
        <v>19664452.17749529</v>
      </c>
      <c r="DC12" s="269">
        <f t="shared" si="22"/>
        <v>117986713.06497173</v>
      </c>
      <c r="DD12" s="207">
        <v>0</v>
      </c>
      <c r="DE12" s="606">
        <v>0</v>
      </c>
      <c r="DF12" s="269">
        <f>'Detailed Budget'!$AC$147</f>
        <v>5913600671000</v>
      </c>
      <c r="DG12" s="269">
        <f t="shared" si="23"/>
        <v>0</v>
      </c>
      <c r="DH12" s="269">
        <f>'Detailed Budget'!$AC$153</f>
        <v>226428026880.00003</v>
      </c>
      <c r="DI12" s="269"/>
      <c r="DJ12" s="269">
        <f>'Detailed Budget'!$AC$156</f>
        <v>27713070000</v>
      </c>
      <c r="DK12" s="269"/>
      <c r="DL12" s="269"/>
      <c r="DM12" s="196">
        <f>'Detailed Budget'!$AC$178</f>
        <v>5622683761.6229038</v>
      </c>
      <c r="DN12" s="269">
        <f t="shared" si="24"/>
        <v>9716377.4004241377</v>
      </c>
      <c r="DO12" s="196">
        <f>'Detailed Budget'!$AC$179</f>
        <v>26827890683.128094</v>
      </c>
      <c r="DP12" s="269">
        <f t="shared" si="25"/>
        <v>46360407.971349455</v>
      </c>
      <c r="DQ12" s="269">
        <f t="shared" si="89"/>
        <v>56076785.371773593</v>
      </c>
      <c r="DR12" s="269">
        <f>'Detailed Budget'!$AC$181</f>
        <v>50888946855.375237</v>
      </c>
      <c r="DS12" s="269">
        <f t="shared" si="90"/>
        <v>70313424.59457393</v>
      </c>
      <c r="DT12" s="269">
        <f t="shared" si="91"/>
        <v>126390209.96634752</v>
      </c>
      <c r="DU12" s="272">
        <f>'Detailed Budget'!$AC$192</f>
        <v>77498869683.252869</v>
      </c>
      <c r="DV12" s="269">
        <f t="shared" si="92"/>
        <v>0</v>
      </c>
      <c r="DW12" s="140">
        <f>'Detailed Budget'!$AC$194</f>
        <v>2684962805.4134097</v>
      </c>
      <c r="DX12" s="269">
        <f t="shared" si="93"/>
        <v>0</v>
      </c>
      <c r="DY12" s="607">
        <f t="shared" si="26"/>
        <v>0</v>
      </c>
      <c r="DZ12" s="196">
        <f>'Detailed Budget'!$AC$198</f>
        <v>18732540018.380611</v>
      </c>
      <c r="EA12" s="269">
        <f t="shared" si="27"/>
        <v>16754426.549847594</v>
      </c>
      <c r="EB12" s="196">
        <f>'Detailed Budget'!$AC$200</f>
        <v>4683135004.5951529</v>
      </c>
      <c r="EC12" s="269">
        <f t="shared" si="28"/>
        <v>4188606.6374618984</v>
      </c>
      <c r="ED12" s="269">
        <f t="shared" si="29"/>
        <v>20943033.187309492</v>
      </c>
      <c r="EE12" s="196">
        <f>'Detailed Budget'!$AC$161</f>
        <v>251147290106.36197</v>
      </c>
      <c r="EF12" s="269">
        <f t="shared" si="30"/>
        <v>166310753.37273064</v>
      </c>
      <c r="EG12" s="196">
        <f>'Detailed Budget'!$AC$163</f>
        <v>15696705631.647623</v>
      </c>
      <c r="EH12" s="269">
        <f t="shared" si="31"/>
        <v>10394422.085795665</v>
      </c>
      <c r="EI12" s="269">
        <f t="shared" si="32"/>
        <v>176705175.45852631</v>
      </c>
      <c r="EJ12" s="196">
        <f>'Detailed Budget'!$AC$204</f>
        <v>45012172507.531975</v>
      </c>
      <c r="EK12" s="269">
        <f t="shared" si="33"/>
        <v>37224560.642521992</v>
      </c>
      <c r="EL12" s="201">
        <f>'Detailed Budget'!$AC$206</f>
        <v>11253043126.882994</v>
      </c>
      <c r="EM12" s="269">
        <f t="shared" si="34"/>
        <v>9306140.1606304981</v>
      </c>
      <c r="EN12" s="269">
        <f t="shared" si="35"/>
        <v>46530700.803152487</v>
      </c>
      <c r="EO12" s="140">
        <f>'Detailed Budget'!$AC$209</f>
        <v>135789361677.54817</v>
      </c>
      <c r="EP12" s="269">
        <f t="shared" si="36"/>
        <v>76286194.311994627</v>
      </c>
      <c r="EQ12" s="196">
        <f>'Detailed Budget'!$AC$211</f>
        <v>33947340419.387043</v>
      </c>
      <c r="ER12" s="269">
        <f t="shared" si="37"/>
        <v>19071548.577998657</v>
      </c>
      <c r="ES12" s="269">
        <f t="shared" si="38"/>
        <v>95357742.88999328</v>
      </c>
      <c r="ET12" s="196">
        <f>'Detailed Budget'!$AC$214</f>
        <v>22239745544.201103</v>
      </c>
      <c r="EU12" s="269">
        <f t="shared" si="39"/>
        <v>12134056.186873173</v>
      </c>
      <c r="EV12" s="140">
        <f>'Detailed Budget'!$AC$217</f>
        <v>5559936386.0502758</v>
      </c>
      <c r="EW12" s="269">
        <f t="shared" si="40"/>
        <v>3033514.0467182933</v>
      </c>
      <c r="EX12" s="269">
        <f t="shared" si="41"/>
        <v>15167570.233591467</v>
      </c>
      <c r="EY12" s="196">
        <f>'Detailed Budget'!$AC$219</f>
        <v>372777004.58170313</v>
      </c>
      <c r="EZ12" s="269">
        <f t="shared" si="42"/>
        <v>212939.33805402572</v>
      </c>
      <c r="FA12" s="196">
        <f>'Detailed Budget'!$AC$222</f>
        <v>93194251.145425782</v>
      </c>
      <c r="FB12" s="269">
        <f t="shared" si="43"/>
        <v>53234.83451350643</v>
      </c>
      <c r="FC12" s="269">
        <f t="shared" si="44"/>
        <v>266174.17256753216</v>
      </c>
      <c r="FD12" s="269"/>
      <c r="FE12" s="269">
        <f t="shared" si="45"/>
        <v>157322188.09930477</v>
      </c>
      <c r="FF12" s="140">
        <f>'Detailed Budget'!$AC$165</f>
        <v>14927760000</v>
      </c>
      <c r="FG12" s="1087">
        <f t="shared" si="46"/>
        <v>214597878.3293117</v>
      </c>
      <c r="FH12" s="269">
        <f t="shared" si="47"/>
        <v>18657579.820474949</v>
      </c>
      <c r="FJ12" s="140">
        <f>'Detailed Budget'!$AC$235</f>
        <v>3623696172</v>
      </c>
      <c r="FK12" s="269">
        <f t="shared" si="48"/>
        <v>4681778</v>
      </c>
      <c r="FL12" s="269">
        <f t="shared" si="49"/>
        <v>4681778</v>
      </c>
      <c r="FO12" s="607"/>
      <c r="FP12" s="607"/>
      <c r="FQ12" s="607"/>
      <c r="FR12" s="269">
        <f>'Detailed Budget'!$AC$257</f>
        <v>13636439388</v>
      </c>
      <c r="FS12" s="269">
        <f t="shared" si="50"/>
        <v>22485060</v>
      </c>
      <c r="FT12" s="269">
        <f t="shared" si="51"/>
        <v>22485060</v>
      </c>
      <c r="FU12" s="269"/>
      <c r="FV12" s="269"/>
      <c r="FW12" s="605">
        <f t="shared" si="52"/>
        <v>0</v>
      </c>
      <c r="FX12" s="140">
        <f>'Detailed Budget'!$AC$278</f>
        <v>1114560000</v>
      </c>
      <c r="FY12" s="269">
        <f t="shared" si="53"/>
        <v>1440000</v>
      </c>
      <c r="FZ12" s="269">
        <f t="shared" si="54"/>
        <v>1440000</v>
      </c>
      <c r="GB12" s="269">
        <f t="shared" si="74"/>
        <v>861209615.92624652</v>
      </c>
      <c r="GC12" s="887">
        <f t="shared" si="55"/>
        <v>538256.00995390408</v>
      </c>
      <c r="GD12" s="1078">
        <f t="shared" si="75"/>
        <v>4.8325183421448105E-4</v>
      </c>
    </row>
    <row r="13" spans="1:186" ht="14.25" hidden="1" customHeight="1" outlineLevel="1">
      <c r="A13" s="211" t="s">
        <v>222</v>
      </c>
      <c r="B13" s="212" t="s">
        <v>223</v>
      </c>
      <c r="C13" s="213" t="s">
        <v>215</v>
      </c>
      <c r="D13" s="214"/>
      <c r="E13" s="213"/>
      <c r="F13" s="213"/>
      <c r="G13" s="213" t="s">
        <v>215</v>
      </c>
      <c r="H13" s="213" t="s">
        <v>215</v>
      </c>
      <c r="I13" s="214" t="s">
        <v>215</v>
      </c>
      <c r="J13" s="214"/>
      <c r="K13" s="213" t="s">
        <v>215</v>
      </c>
      <c r="L13" s="213"/>
      <c r="M13" s="214"/>
      <c r="N13" s="213"/>
      <c r="O13" s="214"/>
      <c r="P13" s="213"/>
      <c r="Q13" s="214"/>
      <c r="R13" s="214" t="s">
        <v>215</v>
      </c>
      <c r="S13" s="214"/>
      <c r="T13" s="214"/>
      <c r="U13" s="215">
        <f t="shared" si="76"/>
        <v>6</v>
      </c>
      <c r="V13" s="845" t="s">
        <v>216</v>
      </c>
      <c r="W13" s="216">
        <v>206215</v>
      </c>
      <c r="X13" s="217">
        <v>3.04</v>
      </c>
      <c r="Y13" s="218">
        <f t="shared" si="57"/>
        <v>1.0304</v>
      </c>
      <c r="Z13" s="196">
        <v>19</v>
      </c>
      <c r="AA13" s="218">
        <f t="shared" si="94"/>
        <v>1.7664898659259882</v>
      </c>
      <c r="AB13" s="196">
        <f t="shared" si="77"/>
        <v>364276.70770192763</v>
      </c>
      <c r="AC13">
        <v>18.399999999999999</v>
      </c>
      <c r="AD13" s="196">
        <f t="shared" si="78"/>
        <v>67026.914217154685</v>
      </c>
      <c r="AE13" s="196">
        <f t="shared" si="95"/>
        <v>63675.56850629695</v>
      </c>
      <c r="AF13" s="196">
        <f t="shared" si="79"/>
        <v>0</v>
      </c>
      <c r="AG13" s="606">
        <f t="shared" si="58"/>
        <v>2.9440787467475884E-3</v>
      </c>
      <c r="AH13" s="196">
        <f t="shared" si="96"/>
        <v>18213.835385096383</v>
      </c>
      <c r="AI13" s="248">
        <f t="shared" si="59"/>
        <v>1.4109982306272726E-3</v>
      </c>
      <c r="AJ13" s="196">
        <f t="shared" si="80"/>
        <v>85240.749602251075</v>
      </c>
      <c r="AK13" s="196">
        <f t="shared" si="3"/>
        <v>14571.068308077105</v>
      </c>
      <c r="AL13" s="196">
        <f t="shared" si="4"/>
        <v>14571.068308077105</v>
      </c>
      <c r="AM13" s="196">
        <f t="shared" si="5"/>
        <v>29142.13661615421</v>
      </c>
      <c r="AN13" s="627">
        <f t="shared" si="6"/>
        <v>1.4109982306272724E-3</v>
      </c>
      <c r="AO13" s="196">
        <f t="shared" si="7"/>
        <v>13842.514892673249</v>
      </c>
      <c r="AP13" s="589">
        <f t="shared" si="60"/>
        <v>1.4109982306272724E-3</v>
      </c>
      <c r="AQ13" s="196"/>
      <c r="AR13" s="589"/>
      <c r="AS13">
        <v>1</v>
      </c>
      <c r="AT13" s="589">
        <f t="shared" si="61"/>
        <v>1.2919896640826874E-3</v>
      </c>
      <c r="AU13" s="196">
        <v>13</v>
      </c>
      <c r="AV13" s="245">
        <f t="shared" si="8"/>
        <v>1.4771048744460858E-3</v>
      </c>
      <c r="AX13" s="245"/>
      <c r="AY13" s="245"/>
      <c r="AZ13">
        <v>40</v>
      </c>
      <c r="BA13" s="589">
        <f t="shared" si="62"/>
        <v>1.4656846579458429E-3</v>
      </c>
      <c r="BI13" s="196">
        <v>0</v>
      </c>
      <c r="BK13" s="246">
        <f t="shared" si="63"/>
        <v>0</v>
      </c>
      <c r="BL13" s="246"/>
      <c r="BM13" s="246">
        <f t="shared" si="64"/>
        <v>0</v>
      </c>
      <c r="BN13" s="196">
        <v>1</v>
      </c>
      <c r="BO13" s="196">
        <f t="shared" si="81"/>
        <v>30009.290863276099</v>
      </c>
      <c r="BP13" s="196">
        <f t="shared" si="82"/>
        <v>30009.290863276099</v>
      </c>
      <c r="BQ13" s="248">
        <f t="shared" si="65"/>
        <v>2.8072294145545236E-3</v>
      </c>
      <c r="BR13" s="248"/>
      <c r="BS13" s="248"/>
      <c r="BT13" s="276">
        <v>0</v>
      </c>
      <c r="BU13" s="196">
        <f t="shared" si="97"/>
        <v>0</v>
      </c>
      <c r="BV13" s="264">
        <f t="shared" si="66"/>
        <v>0</v>
      </c>
      <c r="BW13" s="196">
        <f t="shared" si="98"/>
        <v>0</v>
      </c>
      <c r="BX13" s="247">
        <f t="shared" si="67"/>
        <v>0</v>
      </c>
      <c r="BY13" s="196">
        <f t="shared" si="83"/>
        <v>0</v>
      </c>
      <c r="BZ13" s="620">
        <v>1</v>
      </c>
      <c r="CA13" s="196">
        <f t="shared" si="10"/>
        <v>111468.67255678984</v>
      </c>
      <c r="CB13" s="196">
        <f t="shared" si="11"/>
        <v>222937.34511357968</v>
      </c>
      <c r="CC13" s="196">
        <f t="shared" si="12"/>
        <v>334406.01767036953</v>
      </c>
      <c r="CD13" s="247">
        <f t="shared" si="13"/>
        <v>1.4109982306272724E-3</v>
      </c>
      <c r="CE13" s="196">
        <f t="shared" si="84"/>
        <v>44132.000824049777</v>
      </c>
      <c r="CF13" s="247">
        <f t="shared" si="14"/>
        <v>1.9057570437071706E-3</v>
      </c>
      <c r="CG13" s="196">
        <f t="shared" si="15"/>
        <v>55370.059570692996</v>
      </c>
      <c r="CH13" s="589">
        <f t="shared" si="68"/>
        <v>1.4109982306272724E-3</v>
      </c>
      <c r="CI13" s="196">
        <f t="shared" si="85"/>
        <v>107184.62540506247</v>
      </c>
      <c r="CJ13" s="248">
        <f t="shared" si="70"/>
        <v>1.7621149695886758E-3</v>
      </c>
      <c r="CK13" s="196">
        <f t="shared" si="86"/>
        <v>83272.340265387815</v>
      </c>
      <c r="CL13" s="589">
        <f t="shared" si="71"/>
        <v>1.1970570197045805E-3</v>
      </c>
      <c r="CM13" s="196">
        <f t="shared" si="87"/>
        <v>8067.0099326942909</v>
      </c>
      <c r="CN13" s="589">
        <f t="shared" si="72"/>
        <v>1.1625478100540578E-3</v>
      </c>
      <c r="CO13" s="196">
        <f t="shared" si="88"/>
        <v>645.40927424254266</v>
      </c>
      <c r="CP13" s="589">
        <f t="shared" si="73"/>
        <v>1.2171424798922477E-3</v>
      </c>
      <c r="CQ13" s="196">
        <f>'Detailed Budget'!$AC$12</f>
        <v>292876014141.44696</v>
      </c>
      <c r="CR13" s="269">
        <f t="shared" si="16"/>
        <v>0</v>
      </c>
      <c r="CS13" s="269">
        <f>'Detailed Budget'!$AC$16</f>
        <v>10488008800.000002</v>
      </c>
      <c r="CT13" s="607">
        <f t="shared" si="17"/>
        <v>0</v>
      </c>
      <c r="CU13" s="269">
        <f>'Detailed Budget'!$AC$24</f>
        <v>30624985696</v>
      </c>
      <c r="CV13" s="269">
        <f t="shared" si="18"/>
        <v>0</v>
      </c>
      <c r="CW13" s="269"/>
      <c r="CX13" s="269">
        <f t="shared" si="19"/>
        <v>0</v>
      </c>
      <c r="CY13" s="196">
        <f>'Detailed Budget'!$AC$97</f>
        <v>74629165494.837845</v>
      </c>
      <c r="CZ13" s="269">
        <f t="shared" si="20"/>
        <v>209501188.56076631</v>
      </c>
      <c r="DA13" s="269">
        <f>'Detailed Budget'!$AC$100</f>
        <v>14925833098.967569</v>
      </c>
      <c r="DB13" s="269">
        <f t="shared" si="21"/>
        <v>41900237.712153263</v>
      </c>
      <c r="DC13" s="269">
        <f t="shared" si="22"/>
        <v>251401426.27291957</v>
      </c>
      <c r="DD13" s="207">
        <v>0</v>
      </c>
      <c r="DE13" s="606">
        <v>0</v>
      </c>
      <c r="DF13" s="269">
        <f>'Detailed Budget'!$AC$147</f>
        <v>5913600671000</v>
      </c>
      <c r="DG13" s="269">
        <f t="shared" si="23"/>
        <v>0</v>
      </c>
      <c r="DH13" s="269">
        <f>'Detailed Budget'!$AC$153</f>
        <v>226428026880.00003</v>
      </c>
      <c r="DI13" s="269"/>
      <c r="DJ13" s="269">
        <f>'Detailed Budget'!$AC$156</f>
        <v>27713070000</v>
      </c>
      <c r="DK13" s="269"/>
      <c r="DL13" s="269"/>
      <c r="DM13" s="196">
        <f>'Detailed Budget'!$AC$178</f>
        <v>5622683761.6229038</v>
      </c>
      <c r="DN13" s="269">
        <f t="shared" si="24"/>
        <v>0</v>
      </c>
      <c r="DO13" s="196">
        <f>'Detailed Budget'!$AC$179</f>
        <v>26827890683.128094</v>
      </c>
      <c r="DP13" s="269">
        <f t="shared" si="25"/>
        <v>0</v>
      </c>
      <c r="DQ13" s="269">
        <f t="shared" si="89"/>
        <v>0</v>
      </c>
      <c r="DR13" s="269">
        <f>'Detailed Budget'!$AC$181</f>
        <v>50888946855.375237</v>
      </c>
      <c r="DS13" s="269">
        <f t="shared" si="90"/>
        <v>0</v>
      </c>
      <c r="DT13" s="269">
        <f t="shared" si="91"/>
        <v>0</v>
      </c>
      <c r="DU13" s="272">
        <f>'Detailed Budget'!$AC$192</f>
        <v>77498869683.252869</v>
      </c>
      <c r="DV13" s="269">
        <f t="shared" si="92"/>
        <v>109350767.99868336</v>
      </c>
      <c r="DW13" s="140">
        <f>'Detailed Budget'!$AC$194</f>
        <v>2684962805.4134097</v>
      </c>
      <c r="DX13" s="269">
        <f t="shared" si="93"/>
        <v>3788477.7677383586</v>
      </c>
      <c r="DY13" s="607">
        <f t="shared" si="26"/>
        <v>113139245.76642172</v>
      </c>
      <c r="DZ13" s="196">
        <f>'Detailed Budget'!$AC$198</f>
        <v>18732540018.380611</v>
      </c>
      <c r="EA13" s="269">
        <f t="shared" si="27"/>
        <v>35699670.086555302</v>
      </c>
      <c r="EB13" s="196">
        <f>'Detailed Budget'!$AC$200</f>
        <v>4683135004.5951529</v>
      </c>
      <c r="EC13" s="269">
        <f t="shared" si="28"/>
        <v>8924917.5216388255</v>
      </c>
      <c r="ED13" s="269">
        <f t="shared" si="29"/>
        <v>44624587.608194128</v>
      </c>
      <c r="EE13" s="196">
        <f>'Detailed Budget'!$AC$161</f>
        <v>251147290106.36197</v>
      </c>
      <c r="EF13" s="269">
        <f t="shared" si="30"/>
        <v>354368381.96691102</v>
      </c>
      <c r="EG13" s="196">
        <f>'Detailed Budget'!$AC$163</f>
        <v>15696705631.647623</v>
      </c>
      <c r="EH13" s="269">
        <f t="shared" si="31"/>
        <v>22148023.872931939</v>
      </c>
      <c r="EI13" s="269">
        <f t="shared" si="32"/>
        <v>376516405.83984298</v>
      </c>
      <c r="EJ13" s="196">
        <f>'Detailed Budget'!$AC$204</f>
        <v>45012172507.531975</v>
      </c>
      <c r="EK13" s="269">
        <f t="shared" si="33"/>
        <v>79316622.989229932</v>
      </c>
      <c r="EL13" s="201">
        <f>'Detailed Budget'!$AC$206</f>
        <v>11253043126.882994</v>
      </c>
      <c r="EM13" s="269">
        <f t="shared" si="34"/>
        <v>19829155.747307483</v>
      </c>
      <c r="EN13" s="269">
        <f t="shared" si="35"/>
        <v>99145778.736537412</v>
      </c>
      <c r="EO13" s="140">
        <f>'Detailed Budget'!$AC$209</f>
        <v>135789361677.54817</v>
      </c>
      <c r="EP13" s="269">
        <f t="shared" si="36"/>
        <v>162547608.5973132</v>
      </c>
      <c r="EQ13" s="196">
        <f>'Detailed Budget'!$AC$211</f>
        <v>33947340419.387043</v>
      </c>
      <c r="ER13" s="269">
        <f t="shared" si="37"/>
        <v>40636902.149328299</v>
      </c>
      <c r="ES13" s="269">
        <f t="shared" si="38"/>
        <v>203184510.74664149</v>
      </c>
      <c r="ET13" s="196">
        <f>'Detailed Budget'!$AC$214</f>
        <v>22239745544.201103</v>
      </c>
      <c r="EU13" s="269">
        <f t="shared" si="39"/>
        <v>25854767.478570484</v>
      </c>
      <c r="EV13" s="140">
        <f>'Detailed Budget'!$AC$217</f>
        <v>5559936386.0502758</v>
      </c>
      <c r="EW13" s="269">
        <f t="shared" si="40"/>
        <v>6463691.8696426209</v>
      </c>
      <c r="EX13" s="269">
        <f t="shared" si="41"/>
        <v>32318459.348213106</v>
      </c>
      <c r="EY13" s="196">
        <f>'Detailed Budget'!$AC$219</f>
        <v>372777004.58170313</v>
      </c>
      <c r="EZ13" s="269">
        <f t="shared" si="42"/>
        <v>453722.72780337796</v>
      </c>
      <c r="FA13" s="196">
        <f>'Detailed Budget'!$AC$222</f>
        <v>93194251.145425782</v>
      </c>
      <c r="FB13" s="269">
        <f t="shared" si="43"/>
        <v>113430.68195084449</v>
      </c>
      <c r="FC13" s="269">
        <f t="shared" si="44"/>
        <v>567153.40975422249</v>
      </c>
      <c r="FD13" s="269"/>
      <c r="FE13" s="269">
        <f t="shared" si="45"/>
        <v>335215902.24114627</v>
      </c>
      <c r="FF13" s="140">
        <f>'Detailed Budget'!$AC$165</f>
        <v>14927760000</v>
      </c>
      <c r="FG13" s="1087">
        <f t="shared" si="46"/>
        <v>457256679.8892231</v>
      </c>
      <c r="FH13" s="269">
        <f t="shared" si="47"/>
        <v>22049867.060561303</v>
      </c>
      <c r="FJ13" s="140">
        <f>'Detailed Budget'!$AC$235</f>
        <v>3623696172</v>
      </c>
      <c r="FK13" s="269">
        <f t="shared" si="48"/>
        <v>4681778</v>
      </c>
      <c r="FL13" s="269">
        <f t="shared" si="49"/>
        <v>4681778</v>
      </c>
      <c r="FO13" s="607"/>
      <c r="FP13" s="607"/>
      <c r="FQ13" s="607"/>
      <c r="FR13" s="269">
        <f>'Detailed Budget'!$AC$257</f>
        <v>13636439388</v>
      </c>
      <c r="FS13" s="269">
        <f t="shared" si="50"/>
        <v>19986720</v>
      </c>
      <c r="FT13" s="269">
        <f t="shared" si="51"/>
        <v>19986720</v>
      </c>
      <c r="FU13" s="269"/>
      <c r="FV13" s="269"/>
      <c r="FW13" s="605">
        <f t="shared" si="52"/>
        <v>0</v>
      </c>
      <c r="FX13" s="140">
        <f>'Detailed Budget'!$AC$278</f>
        <v>1114560000</v>
      </c>
      <c r="FY13" s="269">
        <f t="shared" si="53"/>
        <v>1440000</v>
      </c>
      <c r="FZ13" s="269">
        <f t="shared" si="54"/>
        <v>1440000</v>
      </c>
      <c r="GB13" s="269">
        <f t="shared" si="74"/>
        <v>1626312612.6783092</v>
      </c>
      <c r="GC13" s="887">
        <f t="shared" si="55"/>
        <v>1016445.3829239432</v>
      </c>
      <c r="GD13" s="1078">
        <f t="shared" si="75"/>
        <v>9.1257521809910149E-4</v>
      </c>
    </row>
    <row r="14" spans="1:186" ht="14.25" hidden="1" customHeight="1" outlineLevel="1">
      <c r="A14" s="211" t="s">
        <v>224</v>
      </c>
      <c r="B14" s="212" t="s">
        <v>225</v>
      </c>
      <c r="C14" s="213" t="s">
        <v>215</v>
      </c>
      <c r="D14" s="214"/>
      <c r="E14" s="213"/>
      <c r="F14" s="213"/>
      <c r="G14" s="213" t="s">
        <v>215</v>
      </c>
      <c r="H14" s="213" t="s">
        <v>215</v>
      </c>
      <c r="I14" s="214" t="s">
        <v>215</v>
      </c>
      <c r="J14" s="214"/>
      <c r="K14" s="213" t="s">
        <v>215</v>
      </c>
      <c r="L14" s="213"/>
      <c r="M14" s="214"/>
      <c r="N14" s="213"/>
      <c r="O14" s="214"/>
      <c r="P14" s="213"/>
      <c r="Q14" s="214"/>
      <c r="R14" s="214" t="s">
        <v>215</v>
      </c>
      <c r="S14" s="214"/>
      <c r="T14" s="214"/>
      <c r="U14" s="215">
        <f t="shared" si="76"/>
        <v>6</v>
      </c>
      <c r="V14" s="845" t="s">
        <v>216</v>
      </c>
      <c r="W14" s="216">
        <v>361325</v>
      </c>
      <c r="X14" s="217">
        <v>3.04</v>
      </c>
      <c r="Y14" s="218">
        <f t="shared" si="57"/>
        <v>1.0304</v>
      </c>
      <c r="Z14" s="196">
        <v>19</v>
      </c>
      <c r="AA14" s="218">
        <f t="shared" si="94"/>
        <v>1.7664898659259882</v>
      </c>
      <c r="AB14" s="196">
        <f t="shared" si="77"/>
        <v>638276.95080570772</v>
      </c>
      <c r="AC14">
        <v>18.399999999999999</v>
      </c>
      <c r="AD14" s="196">
        <f t="shared" si="78"/>
        <v>117442.95894825021</v>
      </c>
      <c r="AE14" s="196">
        <f t="shared" si="95"/>
        <v>111570.81100083768</v>
      </c>
      <c r="AF14" s="196">
        <f t="shared" si="79"/>
        <v>0</v>
      </c>
      <c r="AG14" s="606">
        <f t="shared" si="58"/>
        <v>5.1585444956408228E-3</v>
      </c>
      <c r="AH14" s="196">
        <f t="shared" si="96"/>
        <v>31913.847540285387</v>
      </c>
      <c r="AI14" s="248">
        <f t="shared" si="59"/>
        <v>2.4723174147438321E-3</v>
      </c>
      <c r="AJ14" s="196">
        <f t="shared" si="80"/>
        <v>149356.8064885356</v>
      </c>
      <c r="AK14" s="196">
        <f t="shared" si="3"/>
        <v>25531.07803222831</v>
      </c>
      <c r="AL14" s="196">
        <f t="shared" si="4"/>
        <v>25531.07803222831</v>
      </c>
      <c r="AM14" s="196">
        <f t="shared" si="5"/>
        <v>51062.15606445662</v>
      </c>
      <c r="AN14" s="627">
        <f t="shared" si="6"/>
        <v>2.4723174147438321E-3</v>
      </c>
      <c r="AO14" s="196">
        <f t="shared" si="7"/>
        <v>24254.524130616894</v>
      </c>
      <c r="AP14" s="589">
        <f t="shared" si="60"/>
        <v>2.4723174147438321E-3</v>
      </c>
      <c r="AQ14" s="196"/>
      <c r="AR14" s="589"/>
      <c r="AS14">
        <v>1</v>
      </c>
      <c r="AT14" s="589">
        <f t="shared" si="61"/>
        <v>1.2919896640826874E-3</v>
      </c>
      <c r="AU14" s="196">
        <v>17</v>
      </c>
      <c r="AV14" s="245">
        <f t="shared" si="8"/>
        <v>1.9315986819679581E-3</v>
      </c>
      <c r="AX14" s="245"/>
      <c r="AY14" s="245"/>
      <c r="AZ14">
        <v>47</v>
      </c>
      <c r="BA14" s="589">
        <f t="shared" si="62"/>
        <v>1.7221794730863656E-3</v>
      </c>
      <c r="BI14" s="196">
        <v>0</v>
      </c>
      <c r="BK14" s="246">
        <f t="shared" si="63"/>
        <v>0</v>
      </c>
      <c r="BL14" s="246"/>
      <c r="BM14" s="246">
        <f t="shared" si="64"/>
        <v>0</v>
      </c>
      <c r="BN14" s="196">
        <v>1</v>
      </c>
      <c r="BO14" s="196">
        <f t="shared" si="81"/>
        <v>52581.563034567007</v>
      </c>
      <c r="BP14" s="196">
        <f t="shared" si="82"/>
        <v>52581.563034567007</v>
      </c>
      <c r="BQ14" s="248">
        <f t="shared" si="65"/>
        <v>4.9187603627956896E-3</v>
      </c>
      <c r="BR14" s="248"/>
      <c r="BS14" s="248"/>
      <c r="BT14" s="276">
        <v>0</v>
      </c>
      <c r="BU14" s="196">
        <f t="shared" si="97"/>
        <v>0</v>
      </c>
      <c r="BV14" s="264">
        <f t="shared" si="66"/>
        <v>0</v>
      </c>
      <c r="BW14" s="196">
        <f t="shared" si="98"/>
        <v>0</v>
      </c>
      <c r="BX14" s="247">
        <f t="shared" si="67"/>
        <v>0</v>
      </c>
      <c r="BY14" s="196">
        <f t="shared" si="83"/>
        <v>0</v>
      </c>
      <c r="BZ14" s="620">
        <v>1</v>
      </c>
      <c r="CA14" s="196">
        <f t="shared" si="10"/>
        <v>195312.74694654654</v>
      </c>
      <c r="CB14" s="196">
        <f t="shared" si="11"/>
        <v>390625.49389309308</v>
      </c>
      <c r="CC14" s="196">
        <f t="shared" si="12"/>
        <v>585938.24083963968</v>
      </c>
      <c r="CD14" s="247">
        <f t="shared" si="13"/>
        <v>2.4723174147438321E-3</v>
      </c>
      <c r="CE14" s="196">
        <f t="shared" si="84"/>
        <v>77327.038274372797</v>
      </c>
      <c r="CF14" s="247">
        <f t="shared" si="14"/>
        <v>3.3392219955749747E-3</v>
      </c>
      <c r="CG14" s="196">
        <f t="shared" si="15"/>
        <v>97018.096522467575</v>
      </c>
      <c r="CH14" s="589">
        <f t="shared" si="68"/>
        <v>2.4723174147438321E-3</v>
      </c>
      <c r="CI14" s="196">
        <f t="shared" si="85"/>
        <v>187806.34180095626</v>
      </c>
      <c r="CJ14" s="248">
        <f t="shared" si="70"/>
        <v>3.0875357824921962E-3</v>
      </c>
      <c r="CK14" s="196">
        <f t="shared" si="86"/>
        <v>145907.80664059962</v>
      </c>
      <c r="CL14" s="589">
        <f t="shared" si="71"/>
        <v>2.0974547324140221E-3</v>
      </c>
      <c r="CM14" s="196">
        <f t="shared" si="87"/>
        <v>14134.822219192418</v>
      </c>
      <c r="CN14" s="589">
        <f t="shared" si="72"/>
        <v>2.0369885191076418E-3</v>
      </c>
      <c r="CO14" s="196">
        <f t="shared" si="88"/>
        <v>1130.8707223804608</v>
      </c>
      <c r="CP14" s="589">
        <f t="shared" si="73"/>
        <v>2.1326479962518073E-3</v>
      </c>
      <c r="CQ14" s="196">
        <f>'Detailed Budget'!$AC$12</f>
        <v>292876014141.44696</v>
      </c>
      <c r="CR14" s="269">
        <f t="shared" si="16"/>
        <v>0</v>
      </c>
      <c r="CS14" s="269">
        <f>'Detailed Budget'!$AC$16</f>
        <v>10488008800.000002</v>
      </c>
      <c r="CT14" s="607">
        <f t="shared" si="17"/>
        <v>0</v>
      </c>
      <c r="CU14" s="269">
        <f>'Detailed Budget'!$AC$24</f>
        <v>30624985696</v>
      </c>
      <c r="CV14" s="269">
        <f t="shared" si="18"/>
        <v>0</v>
      </c>
      <c r="CW14" s="269"/>
      <c r="CX14" s="269">
        <f t="shared" si="19"/>
        <v>0</v>
      </c>
      <c r="CY14" s="196">
        <f>'Detailed Budget'!$AC$97</f>
        <v>74629165494.837845</v>
      </c>
      <c r="CZ14" s="269">
        <f t="shared" si="20"/>
        <v>367082981.14452815</v>
      </c>
      <c r="DA14" s="269">
        <f>'Detailed Budget'!$AC$100</f>
        <v>14925833098.967569</v>
      </c>
      <c r="DB14" s="269">
        <f t="shared" si="21"/>
        <v>73416596.228905633</v>
      </c>
      <c r="DC14" s="269">
        <f t="shared" si="22"/>
        <v>440499577.37343377</v>
      </c>
      <c r="DD14" s="207">
        <v>0</v>
      </c>
      <c r="DE14" s="606">
        <v>0</v>
      </c>
      <c r="DF14" s="269">
        <f>'Detailed Budget'!$AC$147</f>
        <v>5913600671000</v>
      </c>
      <c r="DG14" s="269">
        <f t="shared" si="23"/>
        <v>0</v>
      </c>
      <c r="DH14" s="269">
        <f>'Detailed Budget'!$AC$153</f>
        <v>226428026880.00003</v>
      </c>
      <c r="DI14" s="269"/>
      <c r="DJ14" s="269">
        <f>'Detailed Budget'!$AC$156</f>
        <v>27713070000</v>
      </c>
      <c r="DK14" s="269"/>
      <c r="DL14" s="269"/>
      <c r="DM14" s="196">
        <f>'Detailed Budget'!$AC$178</f>
        <v>5622683761.6229038</v>
      </c>
      <c r="DN14" s="269">
        <f t="shared" si="24"/>
        <v>0</v>
      </c>
      <c r="DO14" s="196">
        <f>'Detailed Budget'!$AC$179</f>
        <v>26827890683.128094</v>
      </c>
      <c r="DP14" s="269">
        <f t="shared" si="25"/>
        <v>0</v>
      </c>
      <c r="DQ14" s="269">
        <f t="shared" si="89"/>
        <v>0</v>
      </c>
      <c r="DR14" s="269">
        <f>'Detailed Budget'!$AC$181</f>
        <v>50888946855.375237</v>
      </c>
      <c r="DS14" s="269">
        <f t="shared" si="90"/>
        <v>0</v>
      </c>
      <c r="DT14" s="269">
        <f t="shared" si="91"/>
        <v>0</v>
      </c>
      <c r="DU14" s="272">
        <f>'Detailed Budget'!$AC$192</f>
        <v>77498869683.252869</v>
      </c>
      <c r="DV14" s="269">
        <f t="shared" si="92"/>
        <v>191601805.14086887</v>
      </c>
      <c r="DW14" s="140">
        <f>'Detailed Budget'!$AC$194</f>
        <v>2684962805.4134097</v>
      </c>
      <c r="DX14" s="269">
        <f t="shared" si="93"/>
        <v>6638080.3017630279</v>
      </c>
      <c r="DY14" s="607">
        <f t="shared" si="26"/>
        <v>198239885.4426319</v>
      </c>
      <c r="DZ14" s="196">
        <f>'Detailed Budget'!$AC$198</f>
        <v>18732540018.380611</v>
      </c>
      <c r="EA14" s="269">
        <f t="shared" si="27"/>
        <v>62552109.662364982</v>
      </c>
      <c r="EB14" s="196">
        <f>'Detailed Budget'!$AC$200</f>
        <v>4683135004.5951529</v>
      </c>
      <c r="EC14" s="269">
        <f t="shared" si="28"/>
        <v>15638027.415591246</v>
      </c>
      <c r="ED14" s="269">
        <f t="shared" si="29"/>
        <v>78190137.077956229</v>
      </c>
      <c r="EE14" s="196">
        <f>'Detailed Budget'!$AC$161</f>
        <v>251147290106.36197</v>
      </c>
      <c r="EF14" s="269">
        <f t="shared" si="30"/>
        <v>620915818.99567997</v>
      </c>
      <c r="EG14" s="196">
        <f>'Detailed Budget'!$AC$163</f>
        <v>15696705631.647623</v>
      </c>
      <c r="EH14" s="269">
        <f t="shared" si="31"/>
        <v>38807238.687229998</v>
      </c>
      <c r="EI14" s="269">
        <f t="shared" si="32"/>
        <v>659723057.68290997</v>
      </c>
      <c r="EJ14" s="196">
        <f>'Detailed Budget'!$AC$204</f>
        <v>45012172507.531975</v>
      </c>
      <c r="EK14" s="269">
        <f t="shared" si="33"/>
        <v>138976693.26471645</v>
      </c>
      <c r="EL14" s="201">
        <f>'Detailed Budget'!$AC$206</f>
        <v>11253043126.882994</v>
      </c>
      <c r="EM14" s="269">
        <f t="shared" si="34"/>
        <v>34744173.316179112</v>
      </c>
      <c r="EN14" s="269">
        <f t="shared" si="35"/>
        <v>173720866.58089554</v>
      </c>
      <c r="EO14" s="140">
        <f>'Detailed Budget'!$AC$209</f>
        <v>135789361677.54817</v>
      </c>
      <c r="EP14" s="269">
        <f t="shared" si="36"/>
        <v>284812039.26205266</v>
      </c>
      <c r="EQ14" s="196">
        <f>'Detailed Budget'!$AC$211</f>
        <v>33947340419.387043</v>
      </c>
      <c r="ER14" s="269">
        <f t="shared" si="37"/>
        <v>71203009.815513164</v>
      </c>
      <c r="ES14" s="269">
        <f t="shared" si="38"/>
        <v>356015049.07756579</v>
      </c>
      <c r="ET14" s="196">
        <f>'Detailed Budget'!$AC$214</f>
        <v>22239745544.201103</v>
      </c>
      <c r="EU14" s="269">
        <f t="shared" si="39"/>
        <v>45302106.341412984</v>
      </c>
      <c r="EV14" s="140">
        <f>'Detailed Budget'!$AC$217</f>
        <v>5559936386.0502758</v>
      </c>
      <c r="EW14" s="269">
        <f t="shared" si="40"/>
        <v>11325526.585353246</v>
      </c>
      <c r="EX14" s="269">
        <f t="shared" si="41"/>
        <v>56627632.926766232</v>
      </c>
      <c r="EY14" s="196">
        <f>'Detailed Budget'!$AC$219</f>
        <v>372777004.58170313</v>
      </c>
      <c r="EZ14" s="269">
        <f t="shared" si="42"/>
        <v>795002.13186991995</v>
      </c>
      <c r="FA14" s="196">
        <f>'Detailed Budget'!$AC$222</f>
        <v>93194251.145425782</v>
      </c>
      <c r="FB14" s="269">
        <f t="shared" si="43"/>
        <v>198750.53296747999</v>
      </c>
      <c r="FC14" s="269">
        <f t="shared" si="44"/>
        <v>993752.66483739996</v>
      </c>
      <c r="FD14" s="269"/>
      <c r="FE14" s="269">
        <f t="shared" si="45"/>
        <v>587357301.25006497</v>
      </c>
      <c r="FF14" s="140">
        <f>'Detailed Budget'!$AC$165</f>
        <v>14927760000</v>
      </c>
      <c r="FG14" s="1087">
        <f t="shared" si="46"/>
        <v>801194238.34819734</v>
      </c>
      <c r="FH14" s="269">
        <f t="shared" si="47"/>
        <v>28834441.540734008</v>
      </c>
      <c r="FJ14" s="140">
        <f>'Detailed Budget'!$AC$235</f>
        <v>3623696172</v>
      </c>
      <c r="FK14" s="269">
        <f t="shared" si="48"/>
        <v>4681778</v>
      </c>
      <c r="FL14" s="269">
        <f t="shared" si="49"/>
        <v>4681778</v>
      </c>
      <c r="FO14" s="607"/>
      <c r="FP14" s="607"/>
      <c r="FQ14" s="607"/>
      <c r="FR14" s="269">
        <f>'Detailed Budget'!$AC$257</f>
        <v>13636439388</v>
      </c>
      <c r="FS14" s="269">
        <f t="shared" si="50"/>
        <v>23484396</v>
      </c>
      <c r="FT14" s="269">
        <f t="shared" si="51"/>
        <v>23484396</v>
      </c>
      <c r="FU14" s="269"/>
      <c r="FV14" s="269"/>
      <c r="FW14" s="605">
        <f t="shared" si="52"/>
        <v>0</v>
      </c>
      <c r="FX14" s="140">
        <f>'Detailed Budget'!$AC$278</f>
        <v>1114560000</v>
      </c>
      <c r="FY14" s="269">
        <f t="shared" si="53"/>
        <v>1440000</v>
      </c>
      <c r="FZ14" s="269">
        <f t="shared" si="54"/>
        <v>1440000</v>
      </c>
      <c r="GB14" s="269">
        <f t="shared" si="74"/>
        <v>2823644812.7159281</v>
      </c>
      <c r="GC14" s="887">
        <f t="shared" si="55"/>
        <v>1764778.0079474552</v>
      </c>
      <c r="GD14" s="1078">
        <f t="shared" si="75"/>
        <v>1.5844360184571311E-3</v>
      </c>
    </row>
    <row r="15" spans="1:186" ht="14.25" hidden="1" customHeight="1" outlineLevel="1">
      <c r="A15" s="211" t="s">
        <v>226</v>
      </c>
      <c r="B15" s="212" t="s">
        <v>227</v>
      </c>
      <c r="C15" s="213" t="s">
        <v>215</v>
      </c>
      <c r="D15" s="214" t="s">
        <v>215</v>
      </c>
      <c r="E15" s="213"/>
      <c r="F15" s="213"/>
      <c r="G15" s="213"/>
      <c r="H15" s="213" t="s">
        <v>215</v>
      </c>
      <c r="I15" s="214" t="s">
        <v>215</v>
      </c>
      <c r="J15" s="214"/>
      <c r="K15" s="213" t="s">
        <v>215</v>
      </c>
      <c r="L15" s="213"/>
      <c r="M15" s="214"/>
      <c r="N15" s="213"/>
      <c r="O15" s="214"/>
      <c r="P15" s="213"/>
      <c r="Q15" s="214"/>
      <c r="R15" s="214" t="s">
        <v>215</v>
      </c>
      <c r="S15" s="214"/>
      <c r="T15" s="214"/>
      <c r="U15" s="215">
        <f t="shared" si="76"/>
        <v>6</v>
      </c>
      <c r="V15" s="845" t="s">
        <v>219</v>
      </c>
      <c r="W15" s="216">
        <v>194164</v>
      </c>
      <c r="X15" s="217">
        <v>3.04</v>
      </c>
      <c r="Y15" s="218">
        <f t="shared" si="57"/>
        <v>1.0304</v>
      </c>
      <c r="Z15" s="196">
        <v>19</v>
      </c>
      <c r="AA15" s="218">
        <f t="shared" si="94"/>
        <v>1.7664898659259882</v>
      </c>
      <c r="AB15" s="196">
        <f t="shared" si="77"/>
        <v>342988.73832765355</v>
      </c>
      <c r="AC15">
        <v>18.399999999999999</v>
      </c>
      <c r="AD15" s="196">
        <f t="shared" si="78"/>
        <v>63109.927852288252</v>
      </c>
      <c r="AE15" s="196">
        <f t="shared" si="95"/>
        <v>59954.43145967384</v>
      </c>
      <c r="AF15" s="196">
        <f t="shared" si="79"/>
        <v>59954.43145967384</v>
      </c>
      <c r="AG15" s="606">
        <f t="shared" si="58"/>
        <v>2.7720297058094648E-3</v>
      </c>
      <c r="AH15" s="196">
        <f t="shared" si="96"/>
        <v>17149.436916382678</v>
      </c>
      <c r="AI15" s="248">
        <f t="shared" si="59"/>
        <v>1.3285408939772265E-3</v>
      </c>
      <c r="AJ15" s="196">
        <f t="shared" si="80"/>
        <v>80259.36476867093</v>
      </c>
      <c r="AK15" s="196">
        <f t="shared" si="3"/>
        <v>13719.549533106143</v>
      </c>
      <c r="AL15" s="196">
        <f t="shared" si="4"/>
        <v>13719.549533106143</v>
      </c>
      <c r="AM15" s="196">
        <f t="shared" si="5"/>
        <v>27439.099066212286</v>
      </c>
      <c r="AN15" s="627">
        <f t="shared" si="6"/>
        <v>1.3285408939772265E-3</v>
      </c>
      <c r="AO15" s="196">
        <f t="shared" si="7"/>
        <v>13033.572056450836</v>
      </c>
      <c r="AP15" s="589">
        <f t="shared" si="60"/>
        <v>1.3285408939772265E-3</v>
      </c>
      <c r="AQ15" s="196"/>
      <c r="AR15" s="589"/>
      <c r="AS15">
        <v>1</v>
      </c>
      <c r="AT15" s="589">
        <f t="shared" si="61"/>
        <v>1.2919896640826874E-3</v>
      </c>
      <c r="AU15" s="196">
        <v>10</v>
      </c>
      <c r="AV15" s="245">
        <f t="shared" si="8"/>
        <v>1.1362345188046814E-3</v>
      </c>
      <c r="AX15" s="245"/>
      <c r="AY15" s="245"/>
      <c r="AZ15">
        <v>39</v>
      </c>
      <c r="BA15" s="589">
        <f t="shared" si="62"/>
        <v>1.4290425414971969E-3</v>
      </c>
      <c r="BI15" s="196">
        <v>0</v>
      </c>
      <c r="BK15" s="246">
        <f t="shared" si="63"/>
        <v>0</v>
      </c>
      <c r="BL15" s="246"/>
      <c r="BM15" s="246">
        <f t="shared" si="64"/>
        <v>0</v>
      </c>
      <c r="BN15" s="196">
        <v>1</v>
      </c>
      <c r="BO15" s="196">
        <f t="shared" si="81"/>
        <v>28255.577679495378</v>
      </c>
      <c r="BP15" s="196">
        <f t="shared" si="82"/>
        <v>28255.577679495378</v>
      </c>
      <c r="BQ15" s="248">
        <f t="shared" si="65"/>
        <v>2.6431777128121834E-3</v>
      </c>
      <c r="BR15" s="248"/>
      <c r="BS15" s="248"/>
      <c r="BT15" s="276">
        <v>1</v>
      </c>
      <c r="BU15" s="196">
        <f t="shared" si="97"/>
        <v>49983.062859012301</v>
      </c>
      <c r="BV15" s="264">
        <f t="shared" si="66"/>
        <v>3.4669199156595644E-3</v>
      </c>
      <c r="BW15" s="196">
        <f t="shared" si="98"/>
        <v>213816.43556355263</v>
      </c>
      <c r="BX15" s="247">
        <f t="shared" si="67"/>
        <v>3.4669199468897118E-3</v>
      </c>
      <c r="BY15" s="196">
        <f t="shared" si="83"/>
        <v>263799.49842256494</v>
      </c>
      <c r="BZ15" s="620">
        <v>0</v>
      </c>
      <c r="CA15" s="196">
        <f t="shared" si="10"/>
        <v>104954.553928262</v>
      </c>
      <c r="CB15" s="196">
        <f t="shared" si="11"/>
        <v>209909.107856524</v>
      </c>
      <c r="CC15" s="196">
        <f t="shared" si="12"/>
        <v>314863.66178478603</v>
      </c>
      <c r="CD15" s="247">
        <f t="shared" si="13"/>
        <v>1.3285408939772267E-3</v>
      </c>
      <c r="CE15" s="196">
        <f t="shared" si="84"/>
        <v>41552.970482267534</v>
      </c>
      <c r="CF15" s="247">
        <f t="shared" si="14"/>
        <v>1.7943864929047791E-3</v>
      </c>
      <c r="CG15" s="196">
        <f t="shared" si="15"/>
        <v>52134.288225803342</v>
      </c>
      <c r="CH15" s="589">
        <f t="shared" si="68"/>
        <v>1.3285408939772265E-3</v>
      </c>
      <c r="CI15" s="196">
        <f t="shared" si="85"/>
        <v>100920.86224158548</v>
      </c>
      <c r="CJ15" s="248">
        <f t="shared" si="70"/>
        <v>1.6591387190806469E-3</v>
      </c>
      <c r="CK15" s="196">
        <f t="shared" si="86"/>
        <v>78405.987320460481</v>
      </c>
      <c r="CL15" s="589">
        <f t="shared" si="71"/>
        <v>1.1271021951551542E-3</v>
      </c>
      <c r="CM15" s="196">
        <f t="shared" si="87"/>
        <v>7595.5818760597158</v>
      </c>
      <c r="CN15" s="589">
        <f t="shared" si="72"/>
        <v>1.094609669477662E-3</v>
      </c>
      <c r="CO15" s="196">
        <f t="shared" si="88"/>
        <v>607.69219661047475</v>
      </c>
      <c r="CP15" s="589">
        <f t="shared" si="73"/>
        <v>1.1460138809776127E-3</v>
      </c>
      <c r="CQ15" s="196">
        <f>'Detailed Budget'!$AC$12</f>
        <v>292876014141.44696</v>
      </c>
      <c r="CR15" s="269">
        <f t="shared" si="16"/>
        <v>0</v>
      </c>
      <c r="CS15" s="269">
        <f>'Detailed Budget'!$AC$16</f>
        <v>10488008800.000002</v>
      </c>
      <c r="CT15" s="607">
        <f t="shared" si="17"/>
        <v>0</v>
      </c>
      <c r="CU15" s="269">
        <f>'Detailed Budget'!$AC$24</f>
        <v>30624985696</v>
      </c>
      <c r="CV15" s="269">
        <f t="shared" si="18"/>
        <v>0</v>
      </c>
      <c r="CW15" s="269"/>
      <c r="CX15" s="269">
        <f t="shared" si="19"/>
        <v>0</v>
      </c>
      <c r="CY15" s="196">
        <f>'Detailed Budget'!$AC$97</f>
        <v>74629165494.837845</v>
      </c>
      <c r="CZ15" s="269">
        <f t="shared" si="20"/>
        <v>197258146.96172741</v>
      </c>
      <c r="DA15" s="269">
        <f>'Detailed Budget'!$AC$100</f>
        <v>14925833098.967569</v>
      </c>
      <c r="DB15" s="269">
        <f t="shared" si="21"/>
        <v>39451629.392345481</v>
      </c>
      <c r="DC15" s="269">
        <f t="shared" si="22"/>
        <v>236709776.3540729</v>
      </c>
      <c r="DD15" s="207">
        <v>0</v>
      </c>
      <c r="DE15" s="606">
        <v>0</v>
      </c>
      <c r="DF15" s="269">
        <f>'Detailed Budget'!$AC$147</f>
        <v>5913600671000</v>
      </c>
      <c r="DG15" s="269">
        <f t="shared" si="23"/>
        <v>0</v>
      </c>
      <c r="DH15" s="269">
        <f>'Detailed Budget'!$AC$153</f>
        <v>226428026880.00003</v>
      </c>
      <c r="DI15" s="269"/>
      <c r="DJ15" s="269">
        <f>'Detailed Budget'!$AC$156</f>
        <v>27713070000</v>
      </c>
      <c r="DK15" s="269"/>
      <c r="DL15" s="269"/>
      <c r="DM15" s="196">
        <f>'Detailed Budget'!$AC$178</f>
        <v>5622683761.6229038</v>
      </c>
      <c r="DN15" s="269">
        <f t="shared" si="24"/>
        <v>19493394.312626079</v>
      </c>
      <c r="DO15" s="196">
        <f>'Detailed Budget'!$AC$179</f>
        <v>26827890683.128094</v>
      </c>
      <c r="DP15" s="269">
        <f t="shared" si="25"/>
        <v>93010149.342313439</v>
      </c>
      <c r="DQ15" s="269">
        <f t="shared" si="89"/>
        <v>112503543.65493952</v>
      </c>
      <c r="DR15" s="269">
        <f>'Detailed Budget'!$AC$181</f>
        <v>50888946855.375237</v>
      </c>
      <c r="DS15" s="269">
        <f t="shared" si="90"/>
        <v>141065672.38045931</v>
      </c>
      <c r="DT15" s="269">
        <f t="shared" si="91"/>
        <v>253569216.03539884</v>
      </c>
      <c r="DU15" s="272">
        <f>'Detailed Budget'!$AC$192</f>
        <v>77498869683.252869</v>
      </c>
      <c r="DV15" s="269">
        <f t="shared" si="92"/>
        <v>0</v>
      </c>
      <c r="DW15" s="140">
        <f>'Detailed Budget'!$AC$194</f>
        <v>2684962805.4134097</v>
      </c>
      <c r="DX15" s="269">
        <f t="shared" si="93"/>
        <v>0</v>
      </c>
      <c r="DY15" s="607">
        <f t="shared" si="26"/>
        <v>0</v>
      </c>
      <c r="DZ15" s="196">
        <f>'Detailed Budget'!$AC$198</f>
        <v>18732540018.380611</v>
      </c>
      <c r="EA15" s="269">
        <f t="shared" si="27"/>
        <v>33613416.78678041</v>
      </c>
      <c r="EB15" s="196">
        <f>'Detailed Budget'!$AC$200</f>
        <v>4683135004.5951529</v>
      </c>
      <c r="EC15" s="269">
        <f t="shared" si="28"/>
        <v>8403354.1966951024</v>
      </c>
      <c r="ED15" s="269">
        <f t="shared" si="29"/>
        <v>42016770.983475514</v>
      </c>
      <c r="EE15" s="196">
        <f>'Detailed Budget'!$AC$161</f>
        <v>251147290106.36197</v>
      </c>
      <c r="EF15" s="269">
        <f t="shared" si="30"/>
        <v>333659445.317864</v>
      </c>
      <c r="EG15" s="196">
        <f>'Detailed Budget'!$AC$163</f>
        <v>15696705631.647623</v>
      </c>
      <c r="EH15" s="269">
        <f t="shared" si="31"/>
        <v>20853715.3323665</v>
      </c>
      <c r="EI15" s="269">
        <f t="shared" si="32"/>
        <v>354513160.65023053</v>
      </c>
      <c r="EJ15" s="196">
        <f>'Detailed Budget'!$AC$204</f>
        <v>45012172507.531975</v>
      </c>
      <c r="EK15" s="269">
        <f t="shared" si="33"/>
        <v>74681438.237183705</v>
      </c>
      <c r="EL15" s="201">
        <f>'Detailed Budget'!$AC$206</f>
        <v>11253043126.882994</v>
      </c>
      <c r="EM15" s="269">
        <f t="shared" si="34"/>
        <v>18670359.559295926</v>
      </c>
      <c r="EN15" s="269">
        <f t="shared" si="35"/>
        <v>93351797.796479627</v>
      </c>
      <c r="EO15" s="140">
        <f>'Detailed Budget'!$AC$209</f>
        <v>135789361677.54817</v>
      </c>
      <c r="EP15" s="269">
        <f t="shared" si="36"/>
        <v>153048487.62548172</v>
      </c>
      <c r="EQ15" s="196">
        <f>'Detailed Budget'!$AC$211</f>
        <v>33947340419.387043</v>
      </c>
      <c r="ER15" s="269">
        <f t="shared" si="37"/>
        <v>38262121.906370431</v>
      </c>
      <c r="ES15" s="269">
        <f t="shared" si="38"/>
        <v>191310609.53185216</v>
      </c>
      <c r="ET15" s="196">
        <f>'Detailed Budget'!$AC$214</f>
        <v>22239745544.201103</v>
      </c>
      <c r="EU15" s="269">
        <f t="shared" si="39"/>
        <v>24343840.519405276</v>
      </c>
      <c r="EV15" s="140">
        <f>'Detailed Budget'!$AC$217</f>
        <v>5559936386.0502758</v>
      </c>
      <c r="EW15" s="269">
        <f t="shared" si="40"/>
        <v>6085960.1298513189</v>
      </c>
      <c r="EX15" s="269">
        <f t="shared" si="41"/>
        <v>30429800.649256594</v>
      </c>
      <c r="EY15" s="196">
        <f>'Detailed Budget'!$AC$219</f>
        <v>372777004.58170313</v>
      </c>
      <c r="EZ15" s="269">
        <f t="shared" si="42"/>
        <v>427207.62175988691</v>
      </c>
      <c r="FA15" s="196">
        <f>'Detailed Budget'!$AC$222</f>
        <v>93194251.145425782</v>
      </c>
      <c r="FB15" s="269">
        <f t="shared" si="43"/>
        <v>106801.90543997173</v>
      </c>
      <c r="FC15" s="269">
        <f t="shared" si="44"/>
        <v>534009.52719985868</v>
      </c>
      <c r="FD15" s="269"/>
      <c r="FE15" s="269">
        <f t="shared" si="45"/>
        <v>315626217.50478822</v>
      </c>
      <c r="FF15" s="140">
        <f>'Detailed Budget'!$AC$165</f>
        <v>14927760000</v>
      </c>
      <c r="FG15" s="1087">
        <f t="shared" si="46"/>
        <v>430535053.19211066</v>
      </c>
      <c r="FH15" s="269">
        <f t="shared" si="47"/>
        <v>16961436.200431772</v>
      </c>
      <c r="FJ15" s="140">
        <f>'Detailed Budget'!$AC$235</f>
        <v>3623696172</v>
      </c>
      <c r="FK15" s="269">
        <f t="shared" si="48"/>
        <v>4681778</v>
      </c>
      <c r="FL15" s="269">
        <f t="shared" si="49"/>
        <v>4681778</v>
      </c>
      <c r="FO15" s="607"/>
      <c r="FP15" s="607"/>
      <c r="FQ15" s="607"/>
      <c r="FR15" s="269">
        <f>'Detailed Budget'!$AC$257</f>
        <v>13636439388</v>
      </c>
      <c r="FS15" s="269">
        <f t="shared" si="50"/>
        <v>19487052</v>
      </c>
      <c r="FT15" s="269">
        <f t="shared" si="51"/>
        <v>19487052</v>
      </c>
      <c r="FU15" s="269"/>
      <c r="FV15" s="269"/>
      <c r="FW15" s="605">
        <f t="shared" si="52"/>
        <v>0</v>
      </c>
      <c r="FX15" s="140">
        <f>'Detailed Budget'!$AC$278</f>
        <v>1114560000</v>
      </c>
      <c r="FY15" s="269">
        <f t="shared" si="53"/>
        <v>1440000</v>
      </c>
      <c r="FZ15" s="269">
        <f t="shared" si="54"/>
        <v>1440000</v>
      </c>
      <c r="GB15" s="269">
        <f t="shared" si="74"/>
        <v>1675540460.9205084</v>
      </c>
      <c r="GC15" s="887">
        <f t="shared" si="55"/>
        <v>1047212.7880753177</v>
      </c>
      <c r="GD15" s="1078">
        <f t="shared" si="75"/>
        <v>9.4019851388858105E-4</v>
      </c>
    </row>
    <row r="16" spans="1:186" ht="14.25" hidden="1" customHeight="1" outlineLevel="1">
      <c r="A16" s="211" t="s">
        <v>228</v>
      </c>
      <c r="B16" s="212" t="s">
        <v>229</v>
      </c>
      <c r="C16" s="213" t="s">
        <v>215</v>
      </c>
      <c r="D16" s="214"/>
      <c r="E16" s="213"/>
      <c r="F16" s="213"/>
      <c r="G16" s="213" t="s">
        <v>215</v>
      </c>
      <c r="H16" s="213" t="s">
        <v>215</v>
      </c>
      <c r="I16" s="214" t="s">
        <v>215</v>
      </c>
      <c r="J16" s="214"/>
      <c r="K16" s="213" t="s">
        <v>215</v>
      </c>
      <c r="L16" s="213"/>
      <c r="M16" s="214"/>
      <c r="N16" s="213"/>
      <c r="O16" s="214"/>
      <c r="P16" s="213"/>
      <c r="Q16" s="214"/>
      <c r="R16" s="214" t="s">
        <v>215</v>
      </c>
      <c r="S16" s="214"/>
      <c r="T16" s="214"/>
      <c r="U16" s="215">
        <f t="shared" si="76"/>
        <v>6</v>
      </c>
      <c r="V16" s="845" t="s">
        <v>216</v>
      </c>
      <c r="W16" s="216">
        <v>168660</v>
      </c>
      <c r="X16" s="217">
        <v>3.04</v>
      </c>
      <c r="Y16" s="218">
        <f t="shared" si="57"/>
        <v>1.0304</v>
      </c>
      <c r="Z16" s="196">
        <v>19</v>
      </c>
      <c r="AA16" s="218">
        <f t="shared" si="94"/>
        <v>1.7664898659259882</v>
      </c>
      <c r="AB16" s="196">
        <f t="shared" si="77"/>
        <v>297936.18078707717</v>
      </c>
      <c r="AC16">
        <v>18.399999999999999</v>
      </c>
      <c r="AD16" s="196">
        <f t="shared" si="78"/>
        <v>54820.257264822198</v>
      </c>
      <c r="AE16" s="196">
        <f t="shared" si="95"/>
        <v>52079.244401581083</v>
      </c>
      <c r="AF16" s="196">
        <f t="shared" si="79"/>
        <v>0</v>
      </c>
      <c r="AG16" s="606">
        <f t="shared" si="58"/>
        <v>2.4079156289622396E-3</v>
      </c>
      <c r="AH16" s="196">
        <f t="shared" si="96"/>
        <v>14896.809039353859</v>
      </c>
      <c r="AI16" s="248">
        <f t="shared" si="59"/>
        <v>1.1540332254084127E-3</v>
      </c>
      <c r="AJ16" s="196">
        <f t="shared" si="80"/>
        <v>69717.066304176056</v>
      </c>
      <c r="AK16" s="196">
        <f t="shared" ref="AK16:AK76" si="99">AB16*0.04</f>
        <v>11917.447231483087</v>
      </c>
      <c r="AL16" s="196">
        <f t="shared" ref="AL16:AL76" si="100">AB16*0.04</f>
        <v>11917.447231483087</v>
      </c>
      <c r="AM16" s="196">
        <f t="shared" si="5"/>
        <v>23834.894462966175</v>
      </c>
      <c r="AN16" s="627">
        <f t="shared" si="6"/>
        <v>1.1540332254084127E-3</v>
      </c>
      <c r="AO16" s="196">
        <f t="shared" si="7"/>
        <v>11321.574869908933</v>
      </c>
      <c r="AP16" s="589">
        <f t="shared" si="60"/>
        <v>1.1540332254084127E-3</v>
      </c>
      <c r="AQ16" s="196"/>
      <c r="AR16" s="589"/>
      <c r="AS16">
        <v>1</v>
      </c>
      <c r="AT16" s="589">
        <f t="shared" si="61"/>
        <v>1.2919896640826874E-3</v>
      </c>
      <c r="AU16" s="196">
        <v>14</v>
      </c>
      <c r="AV16" s="245">
        <f t="shared" si="8"/>
        <v>1.5907283263265539E-3</v>
      </c>
      <c r="AX16" s="245"/>
      <c r="AY16" s="245"/>
      <c r="AZ16">
        <v>32</v>
      </c>
      <c r="BA16" s="589">
        <f t="shared" si="62"/>
        <v>1.1725477263566744E-3</v>
      </c>
      <c r="BI16" s="196">
        <v>0</v>
      </c>
      <c r="BK16" s="246">
        <f t="shared" si="63"/>
        <v>0</v>
      </c>
      <c r="BL16" s="246"/>
      <c r="BM16" s="246">
        <f t="shared" si="64"/>
        <v>0</v>
      </c>
      <c r="BN16" s="196">
        <v>1</v>
      </c>
      <c r="BO16" s="196">
        <f t="shared" si="81"/>
        <v>24544.126261426889</v>
      </c>
      <c r="BP16" s="196">
        <f t="shared" si="82"/>
        <v>24544.126261426889</v>
      </c>
      <c r="BQ16" s="248">
        <f t="shared" si="65"/>
        <v>2.2959887159458132E-3</v>
      </c>
      <c r="BR16" s="248"/>
      <c r="BS16" s="248"/>
      <c r="BT16" s="276">
        <v>0</v>
      </c>
      <c r="BU16" s="196">
        <f t="shared" si="97"/>
        <v>0</v>
      </c>
      <c r="BV16" s="264">
        <f t="shared" si="66"/>
        <v>0</v>
      </c>
      <c r="BW16" s="196">
        <f t="shared" si="98"/>
        <v>0</v>
      </c>
      <c r="BX16" s="247">
        <f t="shared" si="67"/>
        <v>0</v>
      </c>
      <c r="BY16" s="196">
        <f t="shared" si="83"/>
        <v>0</v>
      </c>
      <c r="BZ16" s="620">
        <v>1</v>
      </c>
      <c r="CA16" s="196">
        <f t="shared" si="10"/>
        <v>91168.471320845623</v>
      </c>
      <c r="CB16" s="196">
        <f t="shared" si="11"/>
        <v>182336.94264169125</v>
      </c>
      <c r="CC16" s="196">
        <f t="shared" si="12"/>
        <v>273505.41396253684</v>
      </c>
      <c r="CD16" s="247">
        <f t="shared" si="13"/>
        <v>1.1540332254084125E-3</v>
      </c>
      <c r="CE16" s="196">
        <f t="shared" si="84"/>
        <v>36094.868263628909</v>
      </c>
      <c r="CF16" s="247">
        <f t="shared" si="14"/>
        <v>1.5586886647026229E-3</v>
      </c>
      <c r="CG16" s="196">
        <f t="shared" si="15"/>
        <v>45286.299479635731</v>
      </c>
      <c r="CH16" s="589">
        <f t="shared" si="68"/>
        <v>1.1540332254084127E-3</v>
      </c>
      <c r="CI16" s="196">
        <f t="shared" si="85"/>
        <v>87664.616641940855</v>
      </c>
      <c r="CJ16" s="248">
        <f t="shared" si="70"/>
        <v>1.4412060750712897E-3</v>
      </c>
      <c r="CK16" s="196">
        <f t="shared" si="86"/>
        <v>68107.135315861146</v>
      </c>
      <c r="CL16" s="589">
        <f t="shared" si="71"/>
        <v>9.790540792055599E-4</v>
      </c>
      <c r="CM16" s="196">
        <f t="shared" si="87"/>
        <v>6597.8803445346794</v>
      </c>
      <c r="CN16" s="589">
        <f t="shared" si="72"/>
        <v>9.5082954025515771E-4</v>
      </c>
      <c r="CO16" s="196">
        <f t="shared" si="88"/>
        <v>527.87007828599872</v>
      </c>
      <c r="CP16" s="589">
        <f t="shared" si="73"/>
        <v>9.9548166068727539E-4</v>
      </c>
      <c r="CQ16" s="196">
        <f>'Detailed Budget'!$AC$12</f>
        <v>292876014141.44696</v>
      </c>
      <c r="CR16" s="269">
        <f t="shared" si="16"/>
        <v>0</v>
      </c>
      <c r="CS16" s="269">
        <f>'Detailed Budget'!$AC$16</f>
        <v>10488008800.000002</v>
      </c>
      <c r="CT16" s="607">
        <f t="shared" si="17"/>
        <v>0</v>
      </c>
      <c r="CU16" s="269">
        <f>'Detailed Budget'!$AC$24</f>
        <v>30624985696</v>
      </c>
      <c r="CV16" s="269">
        <f t="shared" si="18"/>
        <v>0</v>
      </c>
      <c r="CW16" s="269"/>
      <c r="CX16" s="269">
        <f t="shared" si="19"/>
        <v>0</v>
      </c>
      <c r="CY16" s="196">
        <f>'Detailed Budget'!$AC$97</f>
        <v>74629165494.837845</v>
      </c>
      <c r="CZ16" s="269">
        <f t="shared" si="20"/>
        <v>171347721.85660034</v>
      </c>
      <c r="DA16" s="269">
        <f>'Detailed Budget'!$AC$100</f>
        <v>14925833098.967569</v>
      </c>
      <c r="DB16" s="269">
        <f t="shared" si="21"/>
        <v>34269544.371320069</v>
      </c>
      <c r="DC16" s="269">
        <f t="shared" si="22"/>
        <v>205617266.22792041</v>
      </c>
      <c r="DD16" s="207">
        <v>0</v>
      </c>
      <c r="DE16" s="606">
        <v>0</v>
      </c>
      <c r="DF16" s="269">
        <f>'Detailed Budget'!$AC$147</f>
        <v>5913600671000</v>
      </c>
      <c r="DG16" s="269">
        <f t="shared" si="23"/>
        <v>0</v>
      </c>
      <c r="DH16" s="269">
        <f>'Detailed Budget'!$AC$153</f>
        <v>226428026880.00003</v>
      </c>
      <c r="DI16" s="269"/>
      <c r="DJ16" s="269">
        <f>'Detailed Budget'!$AC$156</f>
        <v>27713070000</v>
      </c>
      <c r="DK16" s="269"/>
      <c r="DL16" s="269"/>
      <c r="DM16" s="196">
        <f>'Detailed Budget'!$AC$178</f>
        <v>5622683761.6229038</v>
      </c>
      <c r="DN16" s="269">
        <f t="shared" si="24"/>
        <v>0</v>
      </c>
      <c r="DO16" s="196">
        <f>'Detailed Budget'!$AC$179</f>
        <v>26827890683.128094</v>
      </c>
      <c r="DP16" s="269">
        <f t="shared" si="25"/>
        <v>0</v>
      </c>
      <c r="DQ16" s="269">
        <f t="shared" si="89"/>
        <v>0</v>
      </c>
      <c r="DR16" s="269">
        <f>'Detailed Budget'!$AC$181</f>
        <v>50888946855.375237</v>
      </c>
      <c r="DS16" s="269">
        <f t="shared" si="90"/>
        <v>0</v>
      </c>
      <c r="DT16" s="269">
        <f t="shared" si="91"/>
        <v>0</v>
      </c>
      <c r="DU16" s="272">
        <f>'Detailed Budget'!$AC$192</f>
        <v>77498869683.252869</v>
      </c>
      <c r="DV16" s="269">
        <f t="shared" si="92"/>
        <v>89436270.546070546</v>
      </c>
      <c r="DW16" s="140">
        <f>'Detailed Budget'!$AC$194</f>
        <v>2684962805.4134097</v>
      </c>
      <c r="DX16" s="269">
        <f t="shared" si="93"/>
        <v>3098536.2864328576</v>
      </c>
      <c r="DY16" s="607">
        <f t="shared" si="26"/>
        <v>92534806.832503408</v>
      </c>
      <c r="DZ16" s="196">
        <f>'Detailed Budget'!$AC$198</f>
        <v>18732540018.380611</v>
      </c>
      <c r="EA16" s="269">
        <f t="shared" si="27"/>
        <v>29198197.787738122</v>
      </c>
      <c r="EB16" s="196">
        <f>'Detailed Budget'!$AC$200</f>
        <v>4683135004.5951529</v>
      </c>
      <c r="EC16" s="269">
        <f t="shared" si="28"/>
        <v>7299549.4469345305</v>
      </c>
      <c r="ED16" s="269">
        <f t="shared" si="29"/>
        <v>36497747.234672651</v>
      </c>
      <c r="EE16" s="196">
        <f>'Detailed Budget'!$AC$161</f>
        <v>251147290106.36197</v>
      </c>
      <c r="EF16" s="269">
        <f t="shared" si="30"/>
        <v>289832317.25402725</v>
      </c>
      <c r="EG16" s="196">
        <f>'Detailed Budget'!$AC$163</f>
        <v>15696705631.647623</v>
      </c>
      <c r="EH16" s="269">
        <f t="shared" si="31"/>
        <v>18114519.828376703</v>
      </c>
      <c r="EI16" s="269">
        <f t="shared" si="32"/>
        <v>307946837.08240396</v>
      </c>
      <c r="EJ16" s="196">
        <f>'Detailed Budget'!$AC$204</f>
        <v>45012172507.531975</v>
      </c>
      <c r="EK16" s="269">
        <f t="shared" si="33"/>
        <v>64871816.470011972</v>
      </c>
      <c r="EL16" s="201">
        <f>'Detailed Budget'!$AC$206</f>
        <v>11253043126.882994</v>
      </c>
      <c r="EM16" s="269">
        <f t="shared" si="34"/>
        <v>16217954.117502993</v>
      </c>
      <c r="EN16" s="269">
        <f t="shared" si="35"/>
        <v>81089770.587514967</v>
      </c>
      <c r="EO16" s="140">
        <f>'Detailed Budget'!$AC$209</f>
        <v>135789361677.54817</v>
      </c>
      <c r="EP16" s="269">
        <f t="shared" si="36"/>
        <v>132945128.46312267</v>
      </c>
      <c r="EQ16" s="196">
        <f>'Detailed Budget'!$AC$211</f>
        <v>33947340419.387043</v>
      </c>
      <c r="ER16" s="269">
        <f t="shared" si="37"/>
        <v>33236282.115780666</v>
      </c>
      <c r="ES16" s="269">
        <f t="shared" si="38"/>
        <v>166181410.57890332</v>
      </c>
      <c r="ET16" s="196">
        <f>'Detailed Budget'!$AC$214</f>
        <v>22239745544.201103</v>
      </c>
      <c r="EU16" s="269">
        <f t="shared" si="39"/>
        <v>21146207.031184427</v>
      </c>
      <c r="EV16" s="140">
        <f>'Detailed Budget'!$AC$217</f>
        <v>5559936386.0502758</v>
      </c>
      <c r="EW16" s="269">
        <f t="shared" si="40"/>
        <v>5286551.7577961069</v>
      </c>
      <c r="EX16" s="269">
        <f t="shared" si="41"/>
        <v>26432758.788980536</v>
      </c>
      <c r="EY16" s="196">
        <f>'Detailed Budget'!$AC$219</f>
        <v>372777004.58170313</v>
      </c>
      <c r="EZ16" s="269">
        <f t="shared" si="42"/>
        <v>371092.6715870219</v>
      </c>
      <c r="FA16" s="196">
        <f>'Detailed Budget'!$AC$222</f>
        <v>93194251.145425782</v>
      </c>
      <c r="FB16" s="269">
        <f t="shared" si="43"/>
        <v>92773.167896755476</v>
      </c>
      <c r="FC16" s="269">
        <f t="shared" si="44"/>
        <v>463865.83948377741</v>
      </c>
      <c r="FD16" s="269"/>
      <c r="FE16" s="269">
        <f t="shared" si="45"/>
        <v>274167805.7948826</v>
      </c>
      <c r="FF16" s="140">
        <f>'Detailed Budget'!$AC$165</f>
        <v>14927760000</v>
      </c>
      <c r="FG16" s="1087">
        <f t="shared" si="46"/>
        <v>373983035.32777131</v>
      </c>
      <c r="FH16" s="269">
        <f t="shared" si="47"/>
        <v>23746010.68060448</v>
      </c>
      <c r="FJ16" s="140">
        <f>'Detailed Budget'!$AC$235</f>
        <v>3623696172</v>
      </c>
      <c r="FK16" s="269">
        <f t="shared" si="48"/>
        <v>4681778</v>
      </c>
      <c r="FL16" s="269">
        <f t="shared" si="49"/>
        <v>4681778</v>
      </c>
      <c r="FO16" s="607"/>
      <c r="FP16" s="607"/>
      <c r="FQ16" s="607"/>
      <c r="FR16" s="269">
        <f>'Detailed Budget'!$AC$257</f>
        <v>13636439388</v>
      </c>
      <c r="FS16" s="269">
        <f t="shared" si="50"/>
        <v>15989376</v>
      </c>
      <c r="FT16" s="269">
        <f t="shared" si="51"/>
        <v>15989376</v>
      </c>
      <c r="FU16" s="269"/>
      <c r="FV16" s="269"/>
      <c r="FW16" s="605">
        <f t="shared" si="52"/>
        <v>0</v>
      </c>
      <c r="FX16" s="140">
        <f>'Detailed Budget'!$AC$278</f>
        <v>1114560000</v>
      </c>
      <c r="FY16" s="269">
        <f t="shared" si="53"/>
        <v>1440000</v>
      </c>
      <c r="FZ16" s="269">
        <f t="shared" si="54"/>
        <v>1440000</v>
      </c>
      <c r="GB16" s="269">
        <f t="shared" si="74"/>
        <v>1336604663.180759</v>
      </c>
      <c r="GC16" s="887">
        <f t="shared" si="55"/>
        <v>835377.91448797437</v>
      </c>
      <c r="GD16" s="1078">
        <f t="shared" si="75"/>
        <v>7.5001096499257658E-4</v>
      </c>
    </row>
    <row r="17" spans="1:186" ht="14.25" hidden="1" customHeight="1" outlineLevel="1">
      <c r="A17" s="211" t="s">
        <v>230</v>
      </c>
      <c r="B17" s="212" t="s">
        <v>231</v>
      </c>
      <c r="C17" s="213" t="s">
        <v>215</v>
      </c>
      <c r="D17" s="214" t="s">
        <v>215</v>
      </c>
      <c r="E17" s="213"/>
      <c r="F17" s="213"/>
      <c r="G17" s="213"/>
      <c r="H17" s="213" t="s">
        <v>215</v>
      </c>
      <c r="I17" s="214" t="s">
        <v>215</v>
      </c>
      <c r="J17" s="214"/>
      <c r="K17" s="213" t="s">
        <v>215</v>
      </c>
      <c r="L17" s="213"/>
      <c r="M17" s="214"/>
      <c r="N17" s="213"/>
      <c r="O17" s="214"/>
      <c r="P17" s="213"/>
      <c r="Q17" s="214"/>
      <c r="R17" s="214" t="s">
        <v>215</v>
      </c>
      <c r="S17" s="214"/>
      <c r="T17" s="214"/>
      <c r="U17" s="215">
        <f t="shared" si="76"/>
        <v>6</v>
      </c>
      <c r="V17" s="845" t="s">
        <v>219</v>
      </c>
      <c r="W17" s="216">
        <v>122313</v>
      </c>
      <c r="X17" s="217">
        <v>3.04</v>
      </c>
      <c r="Y17" s="218">
        <f t="shared" si="57"/>
        <v>1.0304</v>
      </c>
      <c r="Z17" s="196">
        <v>19</v>
      </c>
      <c r="AA17" s="218">
        <f t="shared" si="94"/>
        <v>1.7664898659259882</v>
      </c>
      <c r="AB17" s="196">
        <f t="shared" si="77"/>
        <v>216064.67497100538</v>
      </c>
      <c r="AC17">
        <v>18.399999999999999</v>
      </c>
      <c r="AD17" s="196">
        <f t="shared" si="78"/>
        <v>39755.900194664988</v>
      </c>
      <c r="AE17" s="196">
        <f t="shared" si="95"/>
        <v>37768.105184931737</v>
      </c>
      <c r="AF17" s="196">
        <f t="shared" si="79"/>
        <v>37768.105184931737</v>
      </c>
      <c r="AG17" s="606">
        <f t="shared" si="58"/>
        <v>1.746231378662744E-3</v>
      </c>
      <c r="AH17" s="196">
        <f t="shared" si="96"/>
        <v>10803.23374855027</v>
      </c>
      <c r="AI17" s="248">
        <f t="shared" si="59"/>
        <v>8.3691015000224821E-4</v>
      </c>
      <c r="AJ17" s="196">
        <f t="shared" si="80"/>
        <v>50559.13394321526</v>
      </c>
      <c r="AK17" s="196">
        <f t="shared" si="99"/>
        <v>8642.5869988402155</v>
      </c>
      <c r="AL17" s="196">
        <f t="shared" si="100"/>
        <v>8642.5869988402155</v>
      </c>
      <c r="AM17" s="196">
        <f t="shared" si="5"/>
        <v>17285.173997680431</v>
      </c>
      <c r="AN17" s="627">
        <f t="shared" si="6"/>
        <v>8.369101500022481E-4</v>
      </c>
      <c r="AO17" s="196">
        <f t="shared" si="7"/>
        <v>8210.4576488982038</v>
      </c>
      <c r="AP17" s="589">
        <f t="shared" si="60"/>
        <v>8.3691015000224799E-4</v>
      </c>
      <c r="AQ17" s="196"/>
      <c r="AR17" s="589"/>
      <c r="AS17">
        <v>1</v>
      </c>
      <c r="AT17" s="589">
        <f t="shared" si="61"/>
        <v>1.2919896640826874E-3</v>
      </c>
      <c r="AU17" s="196">
        <v>15</v>
      </c>
      <c r="AV17" s="245">
        <f t="shared" si="8"/>
        <v>1.7043517782070218E-3</v>
      </c>
      <c r="AX17" s="245"/>
      <c r="AY17" s="245"/>
      <c r="AZ17">
        <v>39</v>
      </c>
      <c r="BA17" s="589">
        <f t="shared" si="62"/>
        <v>1.4290425414971969E-3</v>
      </c>
      <c r="BI17" s="196">
        <v>0</v>
      </c>
      <c r="BK17" s="246">
        <f t="shared" si="63"/>
        <v>0</v>
      </c>
      <c r="BL17" s="246"/>
      <c r="BM17" s="246">
        <f t="shared" si="64"/>
        <v>0</v>
      </c>
      <c r="BN17" s="196">
        <v>1</v>
      </c>
      <c r="BO17" s="196">
        <f t="shared" si="81"/>
        <v>17799.51212743927</v>
      </c>
      <c r="BP17" s="196">
        <f t="shared" si="82"/>
        <v>17799.51212743927</v>
      </c>
      <c r="BQ17" s="248">
        <f t="shared" si="65"/>
        <v>1.6650614716795934E-3</v>
      </c>
      <c r="BR17" s="248"/>
      <c r="BS17" s="248"/>
      <c r="BT17" s="276">
        <v>1</v>
      </c>
      <c r="BU17" s="196">
        <f t="shared" si="97"/>
        <v>31486.672954174672</v>
      </c>
      <c r="BV17" s="264">
        <f t="shared" si="66"/>
        <v>2.1839752767972859E-3</v>
      </c>
      <c r="BW17" s="196">
        <f t="shared" si="98"/>
        <v>134692.989859525</v>
      </c>
      <c r="BX17" s="247">
        <f t="shared" si="67"/>
        <v>2.1839752964706192E-3</v>
      </c>
      <c r="BY17" s="196">
        <f t="shared" si="83"/>
        <v>166179.66281369966</v>
      </c>
      <c r="BZ17" s="620">
        <v>0</v>
      </c>
      <c r="CA17" s="196">
        <f t="shared" si="10"/>
        <v>66115.790541127644</v>
      </c>
      <c r="CB17" s="196">
        <f t="shared" si="11"/>
        <v>132231.58108225529</v>
      </c>
      <c r="CC17" s="196">
        <f t="shared" si="12"/>
        <v>198347.37162338293</v>
      </c>
      <c r="CD17" s="247">
        <f t="shared" si="13"/>
        <v>8.3691015000224799E-4</v>
      </c>
      <c r="CE17" s="196">
        <f t="shared" si="84"/>
        <v>26176.162824198047</v>
      </c>
      <c r="CF17" s="247">
        <f t="shared" si="14"/>
        <v>1.1303681171930032E-3</v>
      </c>
      <c r="CG17" s="196">
        <f t="shared" si="15"/>
        <v>32841.830595592815</v>
      </c>
      <c r="CH17" s="589">
        <f t="shared" si="68"/>
        <v>8.3691015000224799E-4</v>
      </c>
      <c r="CI17" s="196">
        <f t="shared" si="85"/>
        <v>63574.779173044655</v>
      </c>
      <c r="CJ17" s="248">
        <f t="shared" si="70"/>
        <v>1.0451692082307283E-3</v>
      </c>
      <c r="CK17" s="196">
        <f t="shared" si="86"/>
        <v>49391.604659604673</v>
      </c>
      <c r="CL17" s="589">
        <f t="shared" si="71"/>
        <v>7.1001447640145639E-4</v>
      </c>
      <c r="CM17" s="196">
        <f t="shared" si="87"/>
        <v>4784.8128695664072</v>
      </c>
      <c r="CN17" s="589">
        <f t="shared" si="72"/>
        <v>6.8954591223306715E-4</v>
      </c>
      <c r="CO17" s="196">
        <f t="shared" si="88"/>
        <v>382.81378445034602</v>
      </c>
      <c r="CP17" s="589">
        <f t="shared" si="73"/>
        <v>7.2192783329564031E-4</v>
      </c>
      <c r="CQ17" s="196">
        <f>'Detailed Budget'!$AC$12</f>
        <v>292876014141.44696</v>
      </c>
      <c r="CR17" s="269">
        <f t="shared" si="16"/>
        <v>0</v>
      </c>
      <c r="CS17" s="269">
        <f>'Detailed Budget'!$AC$16</f>
        <v>10488008800.000002</v>
      </c>
      <c r="CT17" s="607">
        <f t="shared" si="17"/>
        <v>0</v>
      </c>
      <c r="CU17" s="269">
        <f>'Detailed Budget'!$AC$24</f>
        <v>30624985696</v>
      </c>
      <c r="CV17" s="269">
        <f t="shared" si="18"/>
        <v>0</v>
      </c>
      <c r="CW17" s="269"/>
      <c r="CX17" s="269">
        <f t="shared" si="19"/>
        <v>0</v>
      </c>
      <c r="CY17" s="196">
        <f>'Detailed Budget'!$AC$97</f>
        <v>74629165494.837845</v>
      </c>
      <c r="CZ17" s="269">
        <f t="shared" si="20"/>
        <v>124262148.12905464</v>
      </c>
      <c r="DA17" s="269">
        <f>'Detailed Budget'!$AC$100</f>
        <v>14925833098.967569</v>
      </c>
      <c r="DB17" s="269">
        <f t="shared" si="21"/>
        <v>24852429.625810929</v>
      </c>
      <c r="DC17" s="269">
        <f t="shared" si="22"/>
        <v>149114577.75486556</v>
      </c>
      <c r="DD17" s="207">
        <v>0</v>
      </c>
      <c r="DE17" s="606">
        <v>0</v>
      </c>
      <c r="DF17" s="269">
        <f>'Detailed Budget'!$AC$147</f>
        <v>5913600671000</v>
      </c>
      <c r="DG17" s="269">
        <f t="shared" si="23"/>
        <v>0</v>
      </c>
      <c r="DH17" s="269">
        <f>'Detailed Budget'!$AC$153</f>
        <v>226428026880.00003</v>
      </c>
      <c r="DI17" s="269"/>
      <c r="DJ17" s="269">
        <f>'Detailed Budget'!$AC$156</f>
        <v>27713070000</v>
      </c>
      <c r="DK17" s="269"/>
      <c r="DL17" s="269"/>
      <c r="DM17" s="196">
        <f>'Detailed Budget'!$AC$178</f>
        <v>5622683761.6229038</v>
      </c>
      <c r="DN17" s="269">
        <f t="shared" si="24"/>
        <v>12279802.324633986</v>
      </c>
      <c r="DO17" s="196">
        <f>'Detailed Budget'!$AC$179</f>
        <v>26827890683.128094</v>
      </c>
      <c r="DP17" s="269">
        <f t="shared" si="25"/>
        <v>58591450.508366041</v>
      </c>
      <c r="DQ17" s="269">
        <f t="shared" si="89"/>
        <v>70871252.833000034</v>
      </c>
      <c r="DR17" s="269">
        <f>'Detailed Budget'!$AC$181</f>
        <v>50888946855.375237</v>
      </c>
      <c r="DS17" s="269">
        <f t="shared" si="90"/>
        <v>88863875.825957015</v>
      </c>
      <c r="DT17" s="269">
        <f t="shared" si="91"/>
        <v>159735128.65895706</v>
      </c>
      <c r="DU17" s="272">
        <f>'Detailed Budget'!$AC$192</f>
        <v>77498869683.252869</v>
      </c>
      <c r="DV17" s="269">
        <f t="shared" si="92"/>
        <v>0</v>
      </c>
      <c r="DW17" s="140">
        <f>'Detailed Budget'!$AC$194</f>
        <v>2684962805.4134097</v>
      </c>
      <c r="DX17" s="269">
        <f t="shared" si="93"/>
        <v>0</v>
      </c>
      <c r="DY17" s="607">
        <f t="shared" si="26"/>
        <v>0</v>
      </c>
      <c r="DZ17" s="196">
        <f>'Detailed Budget'!$AC$198</f>
        <v>18732540018.380611</v>
      </c>
      <c r="EA17" s="269">
        <f t="shared" si="27"/>
        <v>21174665.990819477</v>
      </c>
      <c r="EB17" s="196">
        <f>'Detailed Budget'!$AC$200</f>
        <v>4683135004.5951529</v>
      </c>
      <c r="EC17" s="269">
        <f t="shared" si="28"/>
        <v>5293666.4977048691</v>
      </c>
      <c r="ED17" s="269">
        <f t="shared" si="29"/>
        <v>26468332.488524348</v>
      </c>
      <c r="EE17" s="196">
        <f>'Detailed Budget'!$AC$161</f>
        <v>251147290106.36197</v>
      </c>
      <c r="EF17" s="269">
        <f t="shared" si="30"/>
        <v>210187716.2355735</v>
      </c>
      <c r="EG17" s="196">
        <f>'Detailed Budget'!$AC$163</f>
        <v>15696705631.647623</v>
      </c>
      <c r="EH17" s="269">
        <f t="shared" si="31"/>
        <v>13136732.264723344</v>
      </c>
      <c r="EI17" s="269">
        <f t="shared" si="32"/>
        <v>223324448.50029683</v>
      </c>
      <c r="EJ17" s="196">
        <f>'Detailed Budget'!$AC$204</f>
        <v>45012172507.531975</v>
      </c>
      <c r="EK17" s="269">
        <f t="shared" si="33"/>
        <v>47045336.70044215</v>
      </c>
      <c r="EL17" s="201">
        <f>'Detailed Budget'!$AC$206</f>
        <v>11253043126.882994</v>
      </c>
      <c r="EM17" s="269">
        <f t="shared" si="34"/>
        <v>11761334.175110538</v>
      </c>
      <c r="EN17" s="269">
        <f t="shared" si="35"/>
        <v>58806670.875552684</v>
      </c>
      <c r="EO17" s="140">
        <f>'Detailed Budget'!$AC$209</f>
        <v>135789361677.54817</v>
      </c>
      <c r="EP17" s="269">
        <f t="shared" si="36"/>
        <v>96412412.532372355</v>
      </c>
      <c r="EQ17" s="196">
        <f>'Detailed Budget'!$AC$211</f>
        <v>33947340419.387043</v>
      </c>
      <c r="ER17" s="269">
        <f t="shared" si="37"/>
        <v>24103103.133093089</v>
      </c>
      <c r="ES17" s="269">
        <f t="shared" si="38"/>
        <v>120515515.66546544</v>
      </c>
      <c r="ET17" s="196">
        <f>'Detailed Budget'!$AC$214</f>
        <v>22239745544.201103</v>
      </c>
      <c r="EU17" s="269">
        <f t="shared" si="39"/>
        <v>15335325.62910744</v>
      </c>
      <c r="EV17" s="140">
        <f>'Detailed Budget'!$AC$217</f>
        <v>5559936386.0502758</v>
      </c>
      <c r="EW17" s="269">
        <f t="shared" si="40"/>
        <v>3833831.40727686</v>
      </c>
      <c r="EX17" s="269">
        <f t="shared" si="41"/>
        <v>19169157.036384299</v>
      </c>
      <c r="EY17" s="196">
        <f>'Detailed Budget'!$AC$219</f>
        <v>372777004.58170313</v>
      </c>
      <c r="EZ17" s="269">
        <f t="shared" si="42"/>
        <v>269118.09522010793</v>
      </c>
      <c r="FA17" s="196">
        <f>'Detailed Budget'!$AC$222</f>
        <v>93194251.145425782</v>
      </c>
      <c r="FB17" s="269">
        <f t="shared" si="43"/>
        <v>67279.523805026984</v>
      </c>
      <c r="FC17" s="269">
        <f t="shared" si="44"/>
        <v>336397.61902513495</v>
      </c>
      <c r="FD17" s="269"/>
      <c r="FE17" s="269">
        <f t="shared" si="45"/>
        <v>198827741.19642755</v>
      </c>
      <c r="FF17" s="140">
        <f>'Detailed Budget'!$AC$165</f>
        <v>14927760000</v>
      </c>
      <c r="FG17" s="1087">
        <f t="shared" si="46"/>
        <v>271214200.16628534</v>
      </c>
      <c r="FH17" s="269">
        <f t="shared" si="47"/>
        <v>25442154.300647654</v>
      </c>
      <c r="FJ17" s="140">
        <f>'Detailed Budget'!$AC$235</f>
        <v>3623696172</v>
      </c>
      <c r="FK17" s="269">
        <f t="shared" si="48"/>
        <v>4681778</v>
      </c>
      <c r="FL17" s="269">
        <f t="shared" si="49"/>
        <v>4681778</v>
      </c>
      <c r="FO17" s="607"/>
      <c r="FP17" s="607"/>
      <c r="FQ17" s="607"/>
      <c r="FR17" s="269">
        <f>'Detailed Budget'!$AC$257</f>
        <v>13636439388</v>
      </c>
      <c r="FS17" s="269">
        <f t="shared" si="50"/>
        <v>19487052</v>
      </c>
      <c r="FT17" s="269">
        <f t="shared" si="51"/>
        <v>19487052</v>
      </c>
      <c r="FU17" s="269"/>
      <c r="FV17" s="269"/>
      <c r="FW17" s="605">
        <f t="shared" si="52"/>
        <v>0</v>
      </c>
      <c r="FX17" s="140">
        <f>'Detailed Budget'!$AC$278</f>
        <v>1114560000</v>
      </c>
      <c r="FY17" s="269">
        <f t="shared" si="53"/>
        <v>1440000</v>
      </c>
      <c r="FZ17" s="269">
        <f t="shared" si="54"/>
        <v>1440000</v>
      </c>
      <c r="GB17" s="269">
        <f t="shared" si="74"/>
        <v>1079735413.0660043</v>
      </c>
      <c r="GC17" s="887">
        <f t="shared" si="55"/>
        <v>674834.63316625264</v>
      </c>
      <c r="GD17" s="1078">
        <f t="shared" si="75"/>
        <v>6.058735401709242E-4</v>
      </c>
    </row>
    <row r="18" spans="1:186" ht="14.25" hidden="1" customHeight="1" outlineLevel="1">
      <c r="A18" s="211" t="s">
        <v>232</v>
      </c>
      <c r="B18" s="212" t="s">
        <v>233</v>
      </c>
      <c r="C18" s="213" t="s">
        <v>215</v>
      </c>
      <c r="D18" s="214"/>
      <c r="E18" s="213"/>
      <c r="F18" s="213"/>
      <c r="G18" s="213" t="s">
        <v>215</v>
      </c>
      <c r="H18" s="213" t="s">
        <v>215</v>
      </c>
      <c r="I18" s="214" t="s">
        <v>215</v>
      </c>
      <c r="J18" s="214"/>
      <c r="K18" s="213" t="s">
        <v>215</v>
      </c>
      <c r="L18" s="213"/>
      <c r="M18" s="214"/>
      <c r="N18" s="213"/>
      <c r="O18" s="214"/>
      <c r="P18" s="213"/>
      <c r="Q18" s="214"/>
      <c r="R18" s="214" t="s">
        <v>215</v>
      </c>
      <c r="S18" s="214"/>
      <c r="T18" s="214"/>
      <c r="U18" s="215">
        <f t="shared" si="76"/>
        <v>6</v>
      </c>
      <c r="V18" s="845" t="s">
        <v>216</v>
      </c>
      <c r="W18" s="216">
        <v>225471</v>
      </c>
      <c r="X18" s="217">
        <v>3.04</v>
      </c>
      <c r="Y18" s="218">
        <f t="shared" si="57"/>
        <v>1.0304</v>
      </c>
      <c r="Z18" s="196">
        <v>19</v>
      </c>
      <c r="AA18" s="218">
        <f t="shared" si="94"/>
        <v>1.7664898659259882</v>
      </c>
      <c r="AB18" s="196">
        <f t="shared" si="77"/>
        <v>398292.23656019848</v>
      </c>
      <c r="AC18">
        <v>18.399999999999999</v>
      </c>
      <c r="AD18" s="196">
        <f t="shared" si="78"/>
        <v>73285.771527076518</v>
      </c>
      <c r="AE18" s="196">
        <f t="shared" si="95"/>
        <v>69621.482950722682</v>
      </c>
      <c r="AF18" s="196">
        <f t="shared" si="79"/>
        <v>0</v>
      </c>
      <c r="AG18" s="606">
        <f t="shared" si="58"/>
        <v>3.2189917276043228E-3</v>
      </c>
      <c r="AH18" s="196">
        <f t="shared" si="96"/>
        <v>19914.611828009925</v>
      </c>
      <c r="AI18" s="248">
        <f t="shared" si="59"/>
        <v>1.5427548047317692E-3</v>
      </c>
      <c r="AJ18" s="196">
        <f t="shared" si="80"/>
        <v>93200.383355086436</v>
      </c>
      <c r="AK18" s="196">
        <f t="shared" si="99"/>
        <v>15931.68946240794</v>
      </c>
      <c r="AL18" s="196">
        <f t="shared" si="100"/>
        <v>15931.68946240794</v>
      </c>
      <c r="AM18" s="196">
        <f t="shared" si="5"/>
        <v>31863.378924815879</v>
      </c>
      <c r="AN18" s="627">
        <f t="shared" si="6"/>
        <v>1.5427548047317692E-3</v>
      </c>
      <c r="AO18" s="196">
        <f t="shared" si="7"/>
        <v>15135.104989287542</v>
      </c>
      <c r="AP18" s="589">
        <f t="shared" si="60"/>
        <v>1.5427548047317692E-3</v>
      </c>
      <c r="AQ18" s="196"/>
      <c r="AR18" s="589"/>
      <c r="AS18">
        <v>1</v>
      </c>
      <c r="AT18" s="589">
        <f t="shared" si="61"/>
        <v>1.2919896640826874E-3</v>
      </c>
      <c r="AU18" s="196">
        <v>12</v>
      </c>
      <c r="AV18" s="245">
        <f t="shared" si="8"/>
        <v>1.3634814225656176E-3</v>
      </c>
      <c r="AX18" s="245"/>
      <c r="AY18" s="245"/>
      <c r="AZ18">
        <v>73</v>
      </c>
      <c r="BA18" s="589">
        <f t="shared" si="62"/>
        <v>2.6748745007511635E-3</v>
      </c>
      <c r="BI18" s="196">
        <v>0</v>
      </c>
      <c r="BK18" s="246">
        <f t="shared" si="63"/>
        <v>0</v>
      </c>
      <c r="BL18" s="246"/>
      <c r="BM18" s="246">
        <f t="shared" si="64"/>
        <v>0</v>
      </c>
      <c r="BN18" s="196">
        <v>1</v>
      </c>
      <c r="BO18" s="196">
        <f t="shared" si="81"/>
        <v>32811.506535575609</v>
      </c>
      <c r="BP18" s="196">
        <f t="shared" si="82"/>
        <v>32811.506535575609</v>
      </c>
      <c r="BQ18" s="248">
        <f t="shared" si="65"/>
        <v>3.0693636414859385E-3</v>
      </c>
      <c r="BR18" s="248"/>
      <c r="BS18" s="248"/>
      <c r="BT18" s="276">
        <v>0</v>
      </c>
      <c r="BU18" s="196">
        <f t="shared" si="97"/>
        <v>0</v>
      </c>
      <c r="BV18" s="264">
        <f t="shared" si="66"/>
        <v>0</v>
      </c>
      <c r="BW18" s="196">
        <f t="shared" si="98"/>
        <v>0</v>
      </c>
      <c r="BX18" s="247">
        <f t="shared" si="67"/>
        <v>0</v>
      </c>
      <c r="BY18" s="196">
        <f t="shared" si="83"/>
        <v>0</v>
      </c>
      <c r="BZ18" s="620">
        <v>1</v>
      </c>
      <c r="CA18" s="196">
        <f t="shared" si="10"/>
        <v>121877.42438742073</v>
      </c>
      <c r="CB18" s="196">
        <f t="shared" si="11"/>
        <v>243754.84877484146</v>
      </c>
      <c r="CC18" s="196">
        <f t="shared" si="12"/>
        <v>365632.27316226216</v>
      </c>
      <c r="CD18" s="247">
        <f t="shared" si="13"/>
        <v>1.542754804731769E-3</v>
      </c>
      <c r="CE18" s="196">
        <f t="shared" si="84"/>
        <v>48252.970723755927</v>
      </c>
      <c r="CF18" s="247">
        <f t="shared" si="14"/>
        <v>2.0837133399689619E-3</v>
      </c>
      <c r="CG18" s="196">
        <f t="shared" si="15"/>
        <v>60540.419957150167</v>
      </c>
      <c r="CH18" s="589">
        <f t="shared" si="68"/>
        <v>1.5427548047317692E-3</v>
      </c>
      <c r="CI18" s="196">
        <f t="shared" si="85"/>
        <v>117193.34032298735</v>
      </c>
      <c r="CJ18" s="248">
        <f t="shared" si="70"/>
        <v>1.9266582174338833E-3</v>
      </c>
      <c r="CK18" s="196">
        <f t="shared" si="86"/>
        <v>91048.167359199157</v>
      </c>
      <c r="CL18" s="589">
        <f t="shared" si="71"/>
        <v>1.3088361335975144E-3</v>
      </c>
      <c r="CM18" s="196">
        <f t="shared" si="87"/>
        <v>8820.293366314354</v>
      </c>
      <c r="CN18" s="589">
        <f t="shared" si="72"/>
        <v>1.2711045136420652E-3</v>
      </c>
      <c r="CO18" s="196">
        <f t="shared" si="88"/>
        <v>705.6764758758593</v>
      </c>
      <c r="CP18" s="589">
        <f t="shared" si="73"/>
        <v>1.33079713931472E-3</v>
      </c>
      <c r="CQ18" s="196">
        <f>'Detailed Budget'!$AC$12</f>
        <v>292876014141.44696</v>
      </c>
      <c r="CR18" s="269">
        <f t="shared" si="16"/>
        <v>0</v>
      </c>
      <c r="CS18" s="269">
        <f>'Detailed Budget'!$AC$16</f>
        <v>10488008800.000002</v>
      </c>
      <c r="CT18" s="607">
        <f t="shared" si="17"/>
        <v>0</v>
      </c>
      <c r="CU18" s="269">
        <f>'Detailed Budget'!$AC$24</f>
        <v>30624985696</v>
      </c>
      <c r="CV18" s="269">
        <f t="shared" si="18"/>
        <v>0</v>
      </c>
      <c r="CW18" s="269"/>
      <c r="CX18" s="269">
        <f t="shared" si="19"/>
        <v>0</v>
      </c>
      <c r="CY18" s="196">
        <f>'Detailed Budget'!$AC$97</f>
        <v>74629165494.837845</v>
      </c>
      <c r="CZ18" s="269">
        <f t="shared" si="20"/>
        <v>229064047.16429225</v>
      </c>
      <c r="DA18" s="269">
        <f>'Detailed Budget'!$AC$100</f>
        <v>14925833098.967569</v>
      </c>
      <c r="DB18" s="269">
        <f t="shared" si="21"/>
        <v>45812809.432858445</v>
      </c>
      <c r="DC18" s="269">
        <f t="shared" si="22"/>
        <v>274876856.59715068</v>
      </c>
      <c r="DD18" s="207">
        <v>0</v>
      </c>
      <c r="DE18" s="606">
        <v>0</v>
      </c>
      <c r="DF18" s="269">
        <f>'Detailed Budget'!$AC$147</f>
        <v>5913600671000</v>
      </c>
      <c r="DG18" s="269">
        <f t="shared" si="23"/>
        <v>0</v>
      </c>
      <c r="DH18" s="269">
        <f>'Detailed Budget'!$AC$153</f>
        <v>226428026880.00003</v>
      </c>
      <c r="DI18" s="269"/>
      <c r="DJ18" s="269">
        <f>'Detailed Budget'!$AC$156</f>
        <v>27713070000</v>
      </c>
      <c r="DK18" s="269"/>
      <c r="DL18" s="269"/>
      <c r="DM18" s="196">
        <f>'Detailed Budget'!$AC$178</f>
        <v>5622683761.6229038</v>
      </c>
      <c r="DN18" s="269">
        <f t="shared" si="24"/>
        <v>0</v>
      </c>
      <c r="DO18" s="196">
        <f>'Detailed Budget'!$AC$179</f>
        <v>26827890683.128094</v>
      </c>
      <c r="DP18" s="269">
        <f t="shared" si="25"/>
        <v>0</v>
      </c>
      <c r="DQ18" s="269">
        <f t="shared" si="89"/>
        <v>0</v>
      </c>
      <c r="DR18" s="269">
        <f>'Detailed Budget'!$AC$181</f>
        <v>50888946855.375237</v>
      </c>
      <c r="DS18" s="269">
        <f t="shared" si="90"/>
        <v>0</v>
      </c>
      <c r="DT18" s="269">
        <f t="shared" si="91"/>
        <v>0</v>
      </c>
      <c r="DU18" s="272">
        <f>'Detailed Budget'!$AC$192</f>
        <v>77498869683.252869</v>
      </c>
      <c r="DV18" s="269">
        <f t="shared" si="92"/>
        <v>119561753.56511959</v>
      </c>
      <c r="DW18" s="140">
        <f>'Detailed Budget'!$AC$194</f>
        <v>2684962805.4134097</v>
      </c>
      <c r="DX18" s="269">
        <f t="shared" si="93"/>
        <v>4142239.2685776283</v>
      </c>
      <c r="DY18" s="607">
        <f t="shared" si="26"/>
        <v>123703992.83369723</v>
      </c>
      <c r="DZ18" s="196">
        <f>'Detailed Budget'!$AC$198</f>
        <v>18732540018.380611</v>
      </c>
      <c r="EA18" s="269">
        <f t="shared" si="27"/>
        <v>39033243.527802102</v>
      </c>
      <c r="EB18" s="196">
        <f>'Detailed Budget'!$AC$200</f>
        <v>4683135004.5951529</v>
      </c>
      <c r="EC18" s="269">
        <f t="shared" si="28"/>
        <v>9758310.8819505256</v>
      </c>
      <c r="ED18" s="269">
        <f t="shared" si="29"/>
        <v>48791554.40975263</v>
      </c>
      <c r="EE18" s="196">
        <f>'Detailed Budget'!$AC$161</f>
        <v>251147290106.36197</v>
      </c>
      <c r="EF18" s="269">
        <f t="shared" si="30"/>
        <v>387458688.50695348</v>
      </c>
      <c r="EG18" s="196">
        <f>'Detailed Budget'!$AC$163</f>
        <v>15696705631.647623</v>
      </c>
      <c r="EH18" s="269">
        <f t="shared" si="31"/>
        <v>24216168.031684592</v>
      </c>
      <c r="EI18" s="269">
        <f t="shared" si="32"/>
        <v>411674856.53863806</v>
      </c>
      <c r="EJ18" s="196">
        <f>'Detailed Budget'!$AC$204</f>
        <v>45012172507.531975</v>
      </c>
      <c r="EK18" s="269">
        <f t="shared" si="33"/>
        <v>86723072.046188012</v>
      </c>
      <c r="EL18" s="201">
        <f>'Detailed Budget'!$AC$206</f>
        <v>11253043126.882994</v>
      </c>
      <c r="EM18" s="269">
        <f t="shared" si="34"/>
        <v>21680768.011547003</v>
      </c>
      <c r="EN18" s="269">
        <f t="shared" si="35"/>
        <v>108403840.05773501</v>
      </c>
      <c r="EO18" s="140">
        <f>'Detailed Budget'!$AC$209</f>
        <v>135789361677.54817</v>
      </c>
      <c r="EP18" s="269">
        <f t="shared" si="36"/>
        <v>177726023.12171665</v>
      </c>
      <c r="EQ18" s="196">
        <f>'Detailed Budget'!$AC$211</f>
        <v>33947340419.387043</v>
      </c>
      <c r="ER18" s="269">
        <f t="shared" si="37"/>
        <v>44431505.780429162</v>
      </c>
      <c r="ES18" s="269">
        <f t="shared" si="38"/>
        <v>222157528.9021458</v>
      </c>
      <c r="ET18" s="196">
        <f>'Detailed Budget'!$AC$214</f>
        <v>22239745544.201103</v>
      </c>
      <c r="EU18" s="269">
        <f t="shared" si="39"/>
        <v>28269040.943485029</v>
      </c>
      <c r="EV18" s="140">
        <f>'Detailed Budget'!$AC$217</f>
        <v>5559936386.0502758</v>
      </c>
      <c r="EW18" s="269">
        <f t="shared" si="40"/>
        <v>7067260.2358712573</v>
      </c>
      <c r="EX18" s="269">
        <f t="shared" si="41"/>
        <v>35336301.179356284</v>
      </c>
      <c r="EY18" s="196">
        <f>'Detailed Budget'!$AC$219</f>
        <v>372777004.58170313</v>
      </c>
      <c r="EZ18" s="269">
        <f t="shared" si="42"/>
        <v>496090.57129964081</v>
      </c>
      <c r="FA18" s="196">
        <f>'Detailed Budget'!$AC$222</f>
        <v>93194251.145425782</v>
      </c>
      <c r="FB18" s="269">
        <f t="shared" si="43"/>
        <v>124022.6428249102</v>
      </c>
      <c r="FC18" s="269">
        <f t="shared" si="44"/>
        <v>620113.21412455104</v>
      </c>
      <c r="FD18" s="269"/>
      <c r="FE18" s="269">
        <f t="shared" si="45"/>
        <v>366517783.35336167</v>
      </c>
      <c r="FF18" s="140">
        <f>'Detailed Budget'!$AC$165</f>
        <v>14927760000</v>
      </c>
      <c r="FG18" s="1087">
        <f t="shared" si="46"/>
        <v>499954517.71841526</v>
      </c>
      <c r="FH18" s="269">
        <f t="shared" si="47"/>
        <v>20353723.440518126</v>
      </c>
      <c r="FJ18" s="140">
        <f>'Detailed Budget'!$AC$235</f>
        <v>3623696172</v>
      </c>
      <c r="FK18" s="269">
        <f t="shared" si="48"/>
        <v>4681778</v>
      </c>
      <c r="FL18" s="269">
        <f t="shared" si="49"/>
        <v>4681778</v>
      </c>
      <c r="FO18" s="607"/>
      <c r="FP18" s="607"/>
      <c r="FQ18" s="607"/>
      <c r="FR18" s="269">
        <f>'Detailed Budget'!$AC$257</f>
        <v>13636439388</v>
      </c>
      <c r="FS18" s="269">
        <f t="shared" si="50"/>
        <v>36475764</v>
      </c>
      <c r="FT18" s="269">
        <f t="shared" si="51"/>
        <v>36475764</v>
      </c>
      <c r="FU18" s="269"/>
      <c r="FV18" s="269"/>
      <c r="FW18" s="605">
        <f t="shared" si="52"/>
        <v>0</v>
      </c>
      <c r="FX18" s="140">
        <f>'Detailed Budget'!$AC$278</f>
        <v>1114560000</v>
      </c>
      <c r="FY18" s="269">
        <f t="shared" si="53"/>
        <v>1440000</v>
      </c>
      <c r="FZ18" s="269">
        <f t="shared" si="54"/>
        <v>1440000</v>
      </c>
      <c r="GB18" s="269">
        <f t="shared" si="74"/>
        <v>1788470826.8915336</v>
      </c>
      <c r="GC18" s="887">
        <f t="shared" si="55"/>
        <v>1117794.2668072085</v>
      </c>
      <c r="GD18" s="1078">
        <f t="shared" si="75"/>
        <v>1.0035672983108445E-3</v>
      </c>
    </row>
    <row r="19" spans="1:186" ht="14.25" hidden="1" customHeight="1" outlineLevel="1">
      <c r="A19" s="211" t="s">
        <v>234</v>
      </c>
      <c r="B19" s="212" t="s">
        <v>235</v>
      </c>
      <c r="C19" s="213" t="s">
        <v>215</v>
      </c>
      <c r="D19" s="214"/>
      <c r="E19" s="213"/>
      <c r="F19" s="213"/>
      <c r="G19" s="213" t="s">
        <v>215</v>
      </c>
      <c r="H19" s="213" t="s">
        <v>215</v>
      </c>
      <c r="I19" s="214" t="s">
        <v>215</v>
      </c>
      <c r="J19" s="214"/>
      <c r="K19" s="213" t="s">
        <v>215</v>
      </c>
      <c r="L19" s="213"/>
      <c r="M19" s="214"/>
      <c r="N19" s="213"/>
      <c r="O19" s="214"/>
      <c r="P19" s="213"/>
      <c r="Q19" s="214"/>
      <c r="R19" s="214" t="s">
        <v>215</v>
      </c>
      <c r="S19" s="214"/>
      <c r="T19" s="214"/>
      <c r="U19" s="215">
        <f t="shared" si="76"/>
        <v>6</v>
      </c>
      <c r="V19" s="845" t="s">
        <v>216</v>
      </c>
      <c r="W19" s="216">
        <v>226492</v>
      </c>
      <c r="X19" s="217">
        <v>3.04</v>
      </c>
      <c r="Y19" s="218">
        <f t="shared" si="57"/>
        <v>1.0304</v>
      </c>
      <c r="Z19" s="196">
        <v>19</v>
      </c>
      <c r="AA19" s="218">
        <f t="shared" si="94"/>
        <v>1.7664898659259882</v>
      </c>
      <c r="AB19" s="196">
        <f t="shared" si="77"/>
        <v>400095.82271330891</v>
      </c>
      <c r="AC19">
        <v>18.399999999999999</v>
      </c>
      <c r="AD19" s="196">
        <f t="shared" si="78"/>
        <v>73617.631379248836</v>
      </c>
      <c r="AE19" s="196">
        <f t="shared" si="95"/>
        <v>69936.74981028639</v>
      </c>
      <c r="AF19" s="196">
        <f t="shared" si="79"/>
        <v>0</v>
      </c>
      <c r="AG19" s="606">
        <f t="shared" si="58"/>
        <v>3.2335682831431019E-3</v>
      </c>
      <c r="AH19" s="196">
        <f t="shared" si="96"/>
        <v>20004.791135665448</v>
      </c>
      <c r="AI19" s="248">
        <f t="shared" si="59"/>
        <v>1.5497408590608454E-3</v>
      </c>
      <c r="AJ19" s="196">
        <f t="shared" si="80"/>
        <v>93622.422514914288</v>
      </c>
      <c r="AK19" s="196">
        <f t="shared" si="99"/>
        <v>16003.832908532357</v>
      </c>
      <c r="AL19" s="196">
        <f t="shared" si="100"/>
        <v>16003.832908532357</v>
      </c>
      <c r="AM19" s="196">
        <f t="shared" si="5"/>
        <v>32007.665817064713</v>
      </c>
      <c r="AN19" s="627">
        <f t="shared" si="6"/>
        <v>1.5497408590608454E-3</v>
      </c>
      <c r="AO19" s="196">
        <f t="shared" si="7"/>
        <v>15203.641263105737</v>
      </c>
      <c r="AP19" s="589">
        <f t="shared" si="60"/>
        <v>1.5497408590608452E-3</v>
      </c>
      <c r="AQ19" s="196"/>
      <c r="AR19" s="589"/>
      <c r="AS19">
        <v>1</v>
      </c>
      <c r="AT19" s="589">
        <f t="shared" si="61"/>
        <v>1.2919896640826874E-3</v>
      </c>
      <c r="AU19" s="196">
        <v>11</v>
      </c>
      <c r="AV19" s="245">
        <f t="shared" si="8"/>
        <v>1.2498579706851495E-3</v>
      </c>
      <c r="AX19" s="245"/>
      <c r="AY19" s="245"/>
      <c r="AZ19">
        <v>49</v>
      </c>
      <c r="BA19" s="589">
        <f t="shared" si="62"/>
        <v>1.7954637059836576E-3</v>
      </c>
      <c r="BI19" s="196">
        <v>0</v>
      </c>
      <c r="BK19" s="246">
        <f t="shared" si="63"/>
        <v>0</v>
      </c>
      <c r="BL19" s="246"/>
      <c r="BM19" s="246">
        <f t="shared" si="64"/>
        <v>0</v>
      </c>
      <c r="BN19" s="196">
        <v>1</v>
      </c>
      <c r="BO19" s="196">
        <f t="shared" si="81"/>
        <v>32960.086832699511</v>
      </c>
      <c r="BP19" s="196">
        <f t="shared" si="82"/>
        <v>32960.086832699511</v>
      </c>
      <c r="BQ19" s="248">
        <f t="shared" si="65"/>
        <v>3.0832626363808797E-3</v>
      </c>
      <c r="BR19" s="248"/>
      <c r="BS19" s="248"/>
      <c r="BT19" s="276">
        <v>0</v>
      </c>
      <c r="BU19" s="196">
        <f t="shared" si="97"/>
        <v>0</v>
      </c>
      <c r="BV19" s="264">
        <f t="shared" si="66"/>
        <v>0</v>
      </c>
      <c r="BW19" s="196">
        <f t="shared" si="98"/>
        <v>0</v>
      </c>
      <c r="BX19" s="247">
        <f t="shared" si="67"/>
        <v>0</v>
      </c>
      <c r="BY19" s="196">
        <f t="shared" si="83"/>
        <v>0</v>
      </c>
      <c r="BZ19" s="620">
        <v>1</v>
      </c>
      <c r="CA19" s="196">
        <f t="shared" si="10"/>
        <v>122429.32175027252</v>
      </c>
      <c r="CB19" s="196">
        <f t="shared" si="11"/>
        <v>244858.64350054503</v>
      </c>
      <c r="CC19" s="196">
        <f t="shared" si="12"/>
        <v>367287.96525081753</v>
      </c>
      <c r="CD19" s="247">
        <f t="shared" si="13"/>
        <v>1.5497408590608452E-3</v>
      </c>
      <c r="CE19" s="196">
        <f t="shared" si="84"/>
        <v>48471.474580610928</v>
      </c>
      <c r="CF19" s="247">
        <f t="shared" si="14"/>
        <v>2.0931490160430834E-3</v>
      </c>
      <c r="CG19" s="196">
        <f t="shared" si="15"/>
        <v>60814.56505242295</v>
      </c>
      <c r="CH19" s="589">
        <f t="shared" si="68"/>
        <v>1.5497408590608452E-3</v>
      </c>
      <c r="CI19" s="196">
        <f t="shared" si="85"/>
        <v>117724.02675481128</v>
      </c>
      <c r="CJ19" s="248">
        <f t="shared" si="70"/>
        <v>1.9353827010260083E-3</v>
      </c>
      <c r="CK19" s="196">
        <f t="shared" si="86"/>
        <v>91460.46064247613</v>
      </c>
      <c r="CL19" s="589">
        <f t="shared" si="71"/>
        <v>1.3147629343497312E-3</v>
      </c>
      <c r="CM19" s="196">
        <f t="shared" si="87"/>
        <v>8860.2342878830113</v>
      </c>
      <c r="CN19" s="589">
        <f t="shared" si="72"/>
        <v>1.2768604543547445E-3</v>
      </c>
      <c r="CO19" s="196">
        <f t="shared" si="88"/>
        <v>708.87198963092862</v>
      </c>
      <c r="CP19" s="589">
        <f t="shared" si="73"/>
        <v>1.3368233860570518E-3</v>
      </c>
      <c r="CQ19" s="196">
        <f>'Detailed Budget'!$AC$12</f>
        <v>292876014141.44696</v>
      </c>
      <c r="CR19" s="269">
        <f t="shared" si="16"/>
        <v>0</v>
      </c>
      <c r="CS19" s="269">
        <f>'Detailed Budget'!$AC$16</f>
        <v>10488008800.000002</v>
      </c>
      <c r="CT19" s="607">
        <f t="shared" si="17"/>
        <v>0</v>
      </c>
      <c r="CU19" s="269">
        <f>'Detailed Budget'!$AC$24</f>
        <v>30624985696</v>
      </c>
      <c r="CV19" s="269">
        <f t="shared" si="18"/>
        <v>0</v>
      </c>
      <c r="CW19" s="269"/>
      <c r="CX19" s="269">
        <f t="shared" si="19"/>
        <v>0</v>
      </c>
      <c r="CY19" s="196">
        <f>'Detailed Budget'!$AC$97</f>
        <v>74629165494.837845</v>
      </c>
      <c r="CZ19" s="269">
        <f t="shared" si="20"/>
        <v>230101317.5545187</v>
      </c>
      <c r="DA19" s="269">
        <f>'Detailed Budget'!$AC$100</f>
        <v>14925833098.967569</v>
      </c>
      <c r="DB19" s="269">
        <f t="shared" si="21"/>
        <v>46020263.510903746</v>
      </c>
      <c r="DC19" s="269">
        <f t="shared" si="22"/>
        <v>276121581.06542242</v>
      </c>
      <c r="DD19" s="207">
        <v>0</v>
      </c>
      <c r="DE19" s="606">
        <v>0</v>
      </c>
      <c r="DF19" s="269">
        <f>'Detailed Budget'!$AC$147</f>
        <v>5913600671000</v>
      </c>
      <c r="DG19" s="269">
        <f t="shared" si="23"/>
        <v>0</v>
      </c>
      <c r="DH19" s="269">
        <f>'Detailed Budget'!$AC$153</f>
        <v>226428026880.00003</v>
      </c>
      <c r="DI19" s="269"/>
      <c r="DJ19" s="269">
        <f>'Detailed Budget'!$AC$156</f>
        <v>27713070000</v>
      </c>
      <c r="DK19" s="269"/>
      <c r="DL19" s="269"/>
      <c r="DM19" s="196">
        <f>'Detailed Budget'!$AC$178</f>
        <v>5622683761.6229038</v>
      </c>
      <c r="DN19" s="269">
        <f t="shared" si="24"/>
        <v>0</v>
      </c>
      <c r="DO19" s="196">
        <f>'Detailed Budget'!$AC$179</f>
        <v>26827890683.128094</v>
      </c>
      <c r="DP19" s="269">
        <f t="shared" si="25"/>
        <v>0</v>
      </c>
      <c r="DQ19" s="269">
        <f t="shared" si="89"/>
        <v>0</v>
      </c>
      <c r="DR19" s="269">
        <f>'Detailed Budget'!$AC$181</f>
        <v>50888946855.375237</v>
      </c>
      <c r="DS19" s="269">
        <f t="shared" si="90"/>
        <v>0</v>
      </c>
      <c r="DT19" s="269">
        <f t="shared" si="91"/>
        <v>0</v>
      </c>
      <c r="DU19" s="272">
        <f>'Detailed Budget'!$AC$192</f>
        <v>77498869683.252869</v>
      </c>
      <c r="DV19" s="269">
        <f t="shared" si="92"/>
        <v>120103164.87916879</v>
      </c>
      <c r="DW19" s="140">
        <f>'Detailed Budget'!$AC$194</f>
        <v>2684962805.4134097</v>
      </c>
      <c r="DX19" s="269">
        <f t="shared" si="93"/>
        <v>4160996.5646077953</v>
      </c>
      <c r="DY19" s="607">
        <f t="shared" si="26"/>
        <v>124264161.44377659</v>
      </c>
      <c r="DZ19" s="196">
        <f>'Detailed Budget'!$AC$198</f>
        <v>18732540018.380611</v>
      </c>
      <c r="EA19" s="269">
        <f t="shared" si="27"/>
        <v>39209997.707461059</v>
      </c>
      <c r="EB19" s="196">
        <f>'Detailed Budget'!$AC$200</f>
        <v>4683135004.5951529</v>
      </c>
      <c r="EC19" s="269">
        <f t="shared" si="28"/>
        <v>9802499.4268652648</v>
      </c>
      <c r="ED19" s="269">
        <f t="shared" si="29"/>
        <v>49012497.134326324</v>
      </c>
      <c r="EE19" s="196">
        <f>'Detailed Budget'!$AC$161</f>
        <v>251147290106.36197</v>
      </c>
      <c r="EF19" s="269">
        <f t="shared" si="30"/>
        <v>389213217.12023669</v>
      </c>
      <c r="EG19" s="196">
        <f>'Detailed Budget'!$AC$163</f>
        <v>15696705631.647623</v>
      </c>
      <c r="EH19" s="269">
        <f t="shared" si="31"/>
        <v>24325826.070014793</v>
      </c>
      <c r="EI19" s="269">
        <f t="shared" si="32"/>
        <v>413539043.19025147</v>
      </c>
      <c r="EJ19" s="196">
        <f>'Detailed Budget'!$AC$204</f>
        <v>45012172507.531975</v>
      </c>
      <c r="EK19" s="269">
        <f t="shared" si="33"/>
        <v>87115780.006675869</v>
      </c>
      <c r="EL19" s="201">
        <f>'Detailed Budget'!$AC$206</f>
        <v>11253043126.882994</v>
      </c>
      <c r="EM19" s="269">
        <f t="shared" si="34"/>
        <v>21778945.001668967</v>
      </c>
      <c r="EN19" s="269">
        <f t="shared" si="35"/>
        <v>108894725.00834483</v>
      </c>
      <c r="EO19" s="140">
        <f>'Detailed Budget'!$AC$209</f>
        <v>135789361677.54817</v>
      </c>
      <c r="EP19" s="269">
        <f t="shared" si="36"/>
        <v>178530819.61265016</v>
      </c>
      <c r="EQ19" s="196">
        <f>'Detailed Budget'!$AC$211</f>
        <v>33947340419.387043</v>
      </c>
      <c r="ER19" s="269">
        <f t="shared" si="37"/>
        <v>44632704.903162539</v>
      </c>
      <c r="ES19" s="269">
        <f t="shared" si="38"/>
        <v>223163524.5158127</v>
      </c>
      <c r="ET19" s="196">
        <f>'Detailed Budget'!$AC$214</f>
        <v>22239745544.201103</v>
      </c>
      <c r="EU19" s="269">
        <f t="shared" si="39"/>
        <v>28397051.600302525</v>
      </c>
      <c r="EV19" s="140">
        <f>'Detailed Budget'!$AC$217</f>
        <v>5559936386.0502758</v>
      </c>
      <c r="EW19" s="269">
        <f t="shared" si="40"/>
        <v>7099262.9000756312</v>
      </c>
      <c r="EX19" s="269">
        <f t="shared" si="41"/>
        <v>35496314.500378154</v>
      </c>
      <c r="EY19" s="196">
        <f>'Detailed Budget'!$AC$219</f>
        <v>372777004.58170313</v>
      </c>
      <c r="EZ19" s="269">
        <f t="shared" si="42"/>
        <v>498337.01750911749</v>
      </c>
      <c r="FA19" s="196">
        <f>'Detailed Budget'!$AC$222</f>
        <v>93194251.145425782</v>
      </c>
      <c r="FB19" s="269">
        <f t="shared" si="43"/>
        <v>124584.25437727937</v>
      </c>
      <c r="FC19" s="269">
        <f t="shared" si="44"/>
        <v>622921.27188639692</v>
      </c>
      <c r="FD19" s="269"/>
      <c r="FE19" s="269">
        <f t="shared" si="45"/>
        <v>368177485.29642206</v>
      </c>
      <c r="FF19" s="140">
        <f>'Detailed Budget'!$AC$165</f>
        <v>14927760000</v>
      </c>
      <c r="FG19" s="1087">
        <f t="shared" si="46"/>
        <v>502218461.03081679</v>
      </c>
      <c r="FH19" s="269">
        <f t="shared" si="47"/>
        <v>18657579.820474949</v>
      </c>
      <c r="FJ19" s="140">
        <f>'Detailed Budget'!$AC$235</f>
        <v>3623696172</v>
      </c>
      <c r="FK19" s="269">
        <f t="shared" si="48"/>
        <v>4681778</v>
      </c>
      <c r="FL19" s="269">
        <f t="shared" si="49"/>
        <v>4681778</v>
      </c>
      <c r="FO19" s="607"/>
      <c r="FP19" s="607"/>
      <c r="FQ19" s="607"/>
      <c r="FR19" s="269">
        <f>'Detailed Budget'!$AC$257</f>
        <v>13636439388</v>
      </c>
      <c r="FS19" s="269">
        <f t="shared" si="50"/>
        <v>24483732</v>
      </c>
      <c r="FT19" s="269">
        <f t="shared" si="51"/>
        <v>24483732</v>
      </c>
      <c r="FU19" s="269"/>
      <c r="FV19" s="269"/>
      <c r="FW19" s="605">
        <f t="shared" si="52"/>
        <v>0</v>
      </c>
      <c r="FX19" s="140">
        <f>'Detailed Budget'!$AC$278</f>
        <v>1114560000</v>
      </c>
      <c r="FY19" s="269">
        <f t="shared" si="53"/>
        <v>1440000</v>
      </c>
      <c r="FZ19" s="269">
        <f t="shared" si="54"/>
        <v>1440000</v>
      </c>
      <c r="GB19" s="269">
        <f t="shared" si="74"/>
        <v>1782596318.9814906</v>
      </c>
      <c r="GC19" s="887">
        <f t="shared" si="55"/>
        <v>1114122.6993634317</v>
      </c>
      <c r="GD19" s="1078">
        <f t="shared" si="75"/>
        <v>1.000270926939535E-3</v>
      </c>
    </row>
    <row r="20" spans="1:186" ht="14.25" hidden="1" customHeight="1" outlineLevel="1">
      <c r="A20" s="211" t="s">
        <v>236</v>
      </c>
      <c r="B20" s="212" t="s">
        <v>237</v>
      </c>
      <c r="C20" s="213" t="s">
        <v>215</v>
      </c>
      <c r="D20" s="214"/>
      <c r="E20" s="213"/>
      <c r="F20" s="213"/>
      <c r="G20" s="213" t="s">
        <v>215</v>
      </c>
      <c r="H20" s="213" t="s">
        <v>215</v>
      </c>
      <c r="I20" s="214" t="s">
        <v>215</v>
      </c>
      <c r="J20" s="214"/>
      <c r="K20" s="213" t="s">
        <v>215</v>
      </c>
      <c r="L20" s="213"/>
      <c r="M20" s="214"/>
      <c r="N20" s="213"/>
      <c r="O20" s="214"/>
      <c r="P20" s="213"/>
      <c r="Q20" s="214"/>
      <c r="R20" s="214" t="s">
        <v>215</v>
      </c>
      <c r="S20" s="214"/>
      <c r="T20" s="214"/>
      <c r="U20" s="215">
        <f t="shared" si="76"/>
        <v>6</v>
      </c>
      <c r="V20" s="845" t="s">
        <v>216</v>
      </c>
      <c r="W20" s="216">
        <v>248642</v>
      </c>
      <c r="X20" s="217">
        <v>3.04</v>
      </c>
      <c r="Y20" s="218">
        <f t="shared" si="57"/>
        <v>1.0304</v>
      </c>
      <c r="Z20" s="196">
        <v>19</v>
      </c>
      <c r="AA20" s="218">
        <f t="shared" si="94"/>
        <v>1.7664898659259882</v>
      </c>
      <c r="AB20" s="196">
        <f t="shared" si="77"/>
        <v>439223.57324356958</v>
      </c>
      <c r="AC20">
        <v>18.399999999999999</v>
      </c>
      <c r="AD20" s="196">
        <f t="shared" si="78"/>
        <v>80817.137476816803</v>
      </c>
      <c r="AE20" s="196">
        <f t="shared" si="95"/>
        <v>76776.280602975952</v>
      </c>
      <c r="AF20" s="196">
        <f t="shared" si="79"/>
        <v>0</v>
      </c>
      <c r="AG20" s="606">
        <f t="shared" si="58"/>
        <v>3.5497981608942795E-3</v>
      </c>
      <c r="AH20" s="196">
        <f t="shared" si="96"/>
        <v>21961.178662178481</v>
      </c>
      <c r="AI20" s="248">
        <f t="shared" si="59"/>
        <v>1.7012992365231742E-3</v>
      </c>
      <c r="AJ20" s="196">
        <f t="shared" si="80"/>
        <v>102778.31613899529</v>
      </c>
      <c r="AK20" s="196">
        <f t="shared" si="99"/>
        <v>17568.942929742785</v>
      </c>
      <c r="AL20" s="196">
        <f t="shared" si="100"/>
        <v>17568.942929742785</v>
      </c>
      <c r="AM20" s="196">
        <f t="shared" si="5"/>
        <v>35137.88585948557</v>
      </c>
      <c r="AN20" s="627">
        <f t="shared" si="6"/>
        <v>1.7012992365231742E-3</v>
      </c>
      <c r="AO20" s="196">
        <f t="shared" si="7"/>
        <v>16690.495783255643</v>
      </c>
      <c r="AP20" s="589">
        <f t="shared" si="60"/>
        <v>1.701299236523174E-3</v>
      </c>
      <c r="AQ20" s="196"/>
      <c r="AR20" s="589"/>
      <c r="AS20">
        <v>1</v>
      </c>
      <c r="AT20" s="589">
        <f t="shared" si="61"/>
        <v>1.2919896640826874E-3</v>
      </c>
      <c r="AU20" s="196">
        <v>15</v>
      </c>
      <c r="AV20" s="245">
        <f t="shared" si="8"/>
        <v>1.7043517782070218E-3</v>
      </c>
      <c r="AX20" s="245"/>
      <c r="AY20" s="245"/>
      <c r="AZ20">
        <v>44</v>
      </c>
      <c r="BA20" s="589">
        <f t="shared" si="62"/>
        <v>1.6122531237404273E-3</v>
      </c>
      <c r="BI20" s="196">
        <v>0</v>
      </c>
      <c r="BK20" s="246">
        <f t="shared" si="63"/>
        <v>0</v>
      </c>
      <c r="BL20" s="246"/>
      <c r="BM20" s="246">
        <f t="shared" si="64"/>
        <v>0</v>
      </c>
      <c r="BN20" s="196">
        <v>1</v>
      </c>
      <c r="BO20" s="196">
        <f t="shared" si="81"/>
        <v>36183.449791851686</v>
      </c>
      <c r="BP20" s="196">
        <f t="shared" si="82"/>
        <v>36183.449791851686</v>
      </c>
      <c r="BQ20" s="248">
        <f t="shared" si="65"/>
        <v>3.3847932308205793E-3</v>
      </c>
      <c r="BR20" s="248"/>
      <c r="BS20" s="248"/>
      <c r="BT20" s="276">
        <v>0</v>
      </c>
      <c r="BU20" s="196">
        <f t="shared" si="97"/>
        <v>0</v>
      </c>
      <c r="BV20" s="264">
        <f t="shared" si="66"/>
        <v>0</v>
      </c>
      <c r="BW20" s="196">
        <f t="shared" si="98"/>
        <v>0</v>
      </c>
      <c r="BX20" s="247">
        <f t="shared" si="67"/>
        <v>0</v>
      </c>
      <c r="BY20" s="196">
        <f t="shared" si="83"/>
        <v>0</v>
      </c>
      <c r="BZ20" s="620">
        <v>1</v>
      </c>
      <c r="CA20" s="196">
        <f t="shared" si="10"/>
        <v>134402.4134125323</v>
      </c>
      <c r="CB20" s="196">
        <f t="shared" si="11"/>
        <v>268804.82682506461</v>
      </c>
      <c r="CC20" s="196">
        <f t="shared" si="12"/>
        <v>403207.24023759691</v>
      </c>
      <c r="CD20" s="247">
        <f t="shared" si="13"/>
        <v>1.7012992365231742E-3</v>
      </c>
      <c r="CE20" s="196">
        <f t="shared" si="84"/>
        <v>53211.788419336066</v>
      </c>
      <c r="CF20" s="247">
        <f t="shared" si="14"/>
        <v>2.2978505097177139E-3</v>
      </c>
      <c r="CG20" s="196">
        <f t="shared" si="15"/>
        <v>66761.983133022572</v>
      </c>
      <c r="CH20" s="589">
        <f t="shared" si="68"/>
        <v>1.701299236523174E-3</v>
      </c>
      <c r="CI20" s="196">
        <f t="shared" si="85"/>
        <v>129236.95962934579</v>
      </c>
      <c r="CJ20" s="248">
        <f t="shared" si="70"/>
        <v>2.1246552882596683E-3</v>
      </c>
      <c r="CK20" s="196">
        <f t="shared" si="86"/>
        <v>100404.92315431252</v>
      </c>
      <c r="CL20" s="589">
        <f t="shared" si="71"/>
        <v>1.4433414227548254E-3</v>
      </c>
      <c r="CM20" s="196">
        <f t="shared" si="87"/>
        <v>9726.7293052637979</v>
      </c>
      <c r="CN20" s="589">
        <f t="shared" si="72"/>
        <v>1.4017322337728151E-3</v>
      </c>
      <c r="CO20" s="196">
        <f t="shared" si="88"/>
        <v>778.19679832317865</v>
      </c>
      <c r="CP20" s="589">
        <f t="shared" si="73"/>
        <v>1.4675592972643516E-3</v>
      </c>
      <c r="CQ20" s="196">
        <f>'Detailed Budget'!$AC$12</f>
        <v>292876014141.44696</v>
      </c>
      <c r="CR20" s="269">
        <f t="shared" si="16"/>
        <v>0</v>
      </c>
      <c r="CS20" s="269">
        <f>'Detailed Budget'!$AC$16</f>
        <v>10488008800.000002</v>
      </c>
      <c r="CT20" s="607">
        <f t="shared" si="17"/>
        <v>0</v>
      </c>
      <c r="CU20" s="269">
        <f>'Detailed Budget'!$AC$24</f>
        <v>30624985696</v>
      </c>
      <c r="CV20" s="269">
        <f t="shared" si="18"/>
        <v>0</v>
      </c>
      <c r="CW20" s="269"/>
      <c r="CX20" s="269">
        <f t="shared" si="19"/>
        <v>0</v>
      </c>
      <c r="CY20" s="196">
        <f>'Detailed Budget'!$AC$97</f>
        <v>74629165494.837845</v>
      </c>
      <c r="CZ20" s="269">
        <f t="shared" si="20"/>
        <v>252604294.18871588</v>
      </c>
      <c r="DA20" s="269">
        <f>'Detailed Budget'!$AC$100</f>
        <v>14925833098.967569</v>
      </c>
      <c r="DB20" s="269">
        <f t="shared" si="21"/>
        <v>50520858.837743178</v>
      </c>
      <c r="DC20" s="269">
        <f t="shared" si="22"/>
        <v>303125153.02645904</v>
      </c>
      <c r="DD20" s="207">
        <v>0</v>
      </c>
      <c r="DE20" s="606">
        <v>0</v>
      </c>
      <c r="DF20" s="269">
        <f>'Detailed Budget'!$AC$147</f>
        <v>5913600671000</v>
      </c>
      <c r="DG20" s="269">
        <f t="shared" si="23"/>
        <v>0</v>
      </c>
      <c r="DH20" s="269">
        <f>'Detailed Budget'!$AC$153</f>
        <v>226428026880.00003</v>
      </c>
      <c r="DI20" s="269"/>
      <c r="DJ20" s="269">
        <f>'Detailed Budget'!$AC$156</f>
        <v>27713070000</v>
      </c>
      <c r="DK20" s="269"/>
      <c r="DL20" s="269"/>
      <c r="DM20" s="196">
        <f>'Detailed Budget'!$AC$178</f>
        <v>5622683761.6229038</v>
      </c>
      <c r="DN20" s="269">
        <f t="shared" si="24"/>
        <v>0</v>
      </c>
      <c r="DO20" s="196">
        <f>'Detailed Budget'!$AC$179</f>
        <v>26827890683.128094</v>
      </c>
      <c r="DP20" s="269">
        <f t="shared" si="25"/>
        <v>0</v>
      </c>
      <c r="DQ20" s="269">
        <f t="shared" si="89"/>
        <v>0</v>
      </c>
      <c r="DR20" s="269">
        <f>'Detailed Budget'!$AC$181</f>
        <v>50888946855.375237</v>
      </c>
      <c r="DS20" s="269">
        <f t="shared" si="90"/>
        <v>0</v>
      </c>
      <c r="DT20" s="269">
        <f t="shared" si="91"/>
        <v>0</v>
      </c>
      <c r="DU20" s="272">
        <f>'Detailed Budget'!$AC$192</f>
        <v>77498869683.252869</v>
      </c>
      <c r="DV20" s="269">
        <f t="shared" si="92"/>
        <v>131848767.82352707</v>
      </c>
      <c r="DW20" s="140">
        <f>'Detailed Budget'!$AC$194</f>
        <v>2684962805.4134097</v>
      </c>
      <c r="DX20" s="269">
        <f t="shared" si="93"/>
        <v>4567925.1709429538</v>
      </c>
      <c r="DY20" s="607">
        <f t="shared" si="26"/>
        <v>136416692.99447003</v>
      </c>
      <c r="DZ20" s="196">
        <f>'Detailed Budget'!$AC$198</f>
        <v>18732540018.380611</v>
      </c>
      <c r="EA20" s="269">
        <f t="shared" si="27"/>
        <v>43044576.629543364</v>
      </c>
      <c r="EB20" s="196">
        <f>'Detailed Budget'!$AC$200</f>
        <v>4683135004.5951529</v>
      </c>
      <c r="EC20" s="269">
        <f t="shared" si="28"/>
        <v>10761144.157385841</v>
      </c>
      <c r="ED20" s="269">
        <f t="shared" si="29"/>
        <v>53805720.786929205</v>
      </c>
      <c r="EE20" s="196">
        <f>'Detailed Budget'!$AC$161</f>
        <v>251147290106.36197</v>
      </c>
      <c r="EF20" s="269">
        <f t="shared" si="30"/>
        <v>427276692.91281772</v>
      </c>
      <c r="EG20" s="196">
        <f>'Detailed Budget'!$AC$163</f>
        <v>15696705631.647623</v>
      </c>
      <c r="EH20" s="269">
        <f t="shared" si="31"/>
        <v>26704793.307051107</v>
      </c>
      <c r="EI20" s="269">
        <f t="shared" si="32"/>
        <v>453981486.21986884</v>
      </c>
      <c r="EJ20" s="196">
        <f>'Detailed Budget'!$AC$204</f>
        <v>45012172507.531975</v>
      </c>
      <c r="EK20" s="269">
        <f t="shared" si="33"/>
        <v>95635350.35418427</v>
      </c>
      <c r="EL20" s="201">
        <f>'Detailed Budget'!$AC$206</f>
        <v>11253043126.882994</v>
      </c>
      <c r="EM20" s="269">
        <f t="shared" si="34"/>
        <v>23908837.588546067</v>
      </c>
      <c r="EN20" s="269">
        <f t="shared" si="35"/>
        <v>119544187.94273034</v>
      </c>
      <c r="EO20" s="140">
        <f>'Detailed Budget'!$AC$209</f>
        <v>135789361677.54817</v>
      </c>
      <c r="EP20" s="269">
        <f t="shared" si="36"/>
        <v>195990410.47864196</v>
      </c>
      <c r="EQ20" s="196">
        <f>'Detailed Budget'!$AC$211</f>
        <v>33947340419.387043</v>
      </c>
      <c r="ER20" s="269">
        <f t="shared" si="37"/>
        <v>48997602.619660489</v>
      </c>
      <c r="ES20" s="269">
        <f t="shared" si="38"/>
        <v>244988013.09830245</v>
      </c>
      <c r="ET20" s="196">
        <f>'Detailed Budget'!$AC$214</f>
        <v>22239745544.201103</v>
      </c>
      <c r="EU20" s="269">
        <f t="shared" si="39"/>
        <v>31174168.200212024</v>
      </c>
      <c r="EV20" s="140">
        <f>'Detailed Budget'!$AC$217</f>
        <v>5559936386.0502758</v>
      </c>
      <c r="EW20" s="269">
        <f t="shared" si="40"/>
        <v>7793542.050053006</v>
      </c>
      <c r="EX20" s="269">
        <f t="shared" si="41"/>
        <v>38967710.250265032</v>
      </c>
      <c r="EY20" s="196">
        <f>'Detailed Budget'!$AC$219</f>
        <v>372777004.58170313</v>
      </c>
      <c r="EZ20" s="269">
        <f t="shared" si="42"/>
        <v>547072.35888023418</v>
      </c>
      <c r="FA20" s="196">
        <f>'Detailed Budget'!$AC$222</f>
        <v>93194251.145425782</v>
      </c>
      <c r="FB20" s="269">
        <f t="shared" si="43"/>
        <v>136768.08972005855</v>
      </c>
      <c r="FC20" s="269">
        <f t="shared" si="44"/>
        <v>683840.44860029267</v>
      </c>
      <c r="FD20" s="269"/>
      <c r="FE20" s="269">
        <f t="shared" si="45"/>
        <v>404183751.73989809</v>
      </c>
      <c r="FF20" s="140">
        <f>'Detailed Budget'!$AC$165</f>
        <v>14927760000</v>
      </c>
      <c r="FG20" s="1087">
        <f t="shared" si="46"/>
        <v>551333391.85324156</v>
      </c>
      <c r="FH20" s="269">
        <f t="shared" si="47"/>
        <v>25442154.300647654</v>
      </c>
      <c r="FJ20" s="140">
        <f>'Detailed Budget'!$AC$235</f>
        <v>3623696172</v>
      </c>
      <c r="FK20" s="269">
        <f t="shared" si="48"/>
        <v>4681778</v>
      </c>
      <c r="FL20" s="269">
        <f t="shared" si="49"/>
        <v>4681778</v>
      </c>
      <c r="FO20" s="607"/>
      <c r="FP20" s="607"/>
      <c r="FQ20" s="607"/>
      <c r="FR20" s="269">
        <f>'Detailed Budget'!$AC$257</f>
        <v>13636439388</v>
      </c>
      <c r="FS20" s="269">
        <f t="shared" si="50"/>
        <v>21985392</v>
      </c>
      <c r="FT20" s="269">
        <f t="shared" si="51"/>
        <v>21985392</v>
      </c>
      <c r="FU20" s="269"/>
      <c r="FV20" s="269"/>
      <c r="FW20" s="605">
        <f t="shared" si="52"/>
        <v>0</v>
      </c>
      <c r="FX20" s="140">
        <f>'Detailed Budget'!$AC$278</f>
        <v>1114560000</v>
      </c>
      <c r="FY20" s="269">
        <f t="shared" si="53"/>
        <v>1440000</v>
      </c>
      <c r="FZ20" s="269">
        <f t="shared" si="54"/>
        <v>1440000</v>
      </c>
      <c r="GB20" s="269">
        <f t="shared" si="74"/>
        <v>1956395520.9215145</v>
      </c>
      <c r="GC20" s="887">
        <f t="shared" si="55"/>
        <v>1222747.2005759466</v>
      </c>
      <c r="GD20" s="1078">
        <f t="shared" si="75"/>
        <v>1.0977951319290462E-3</v>
      </c>
    </row>
    <row r="21" spans="1:186" ht="14.25" hidden="1" customHeight="1" outlineLevel="1">
      <c r="A21" s="211" t="s">
        <v>238</v>
      </c>
      <c r="B21" s="212" t="s">
        <v>239</v>
      </c>
      <c r="C21" s="213" t="s">
        <v>215</v>
      </c>
      <c r="D21" s="214" t="s">
        <v>215</v>
      </c>
      <c r="E21" s="213"/>
      <c r="F21" s="213"/>
      <c r="G21" s="213"/>
      <c r="H21" s="213" t="s">
        <v>215</v>
      </c>
      <c r="I21" s="214" t="s">
        <v>215</v>
      </c>
      <c r="J21" s="214"/>
      <c r="K21" s="213" t="s">
        <v>215</v>
      </c>
      <c r="L21" s="213"/>
      <c r="M21" s="214"/>
      <c r="N21" s="213"/>
      <c r="O21" s="214"/>
      <c r="P21" s="213"/>
      <c r="Q21" s="214"/>
      <c r="R21" s="214" t="s">
        <v>215</v>
      </c>
      <c r="S21" s="214"/>
      <c r="T21" s="214"/>
      <c r="U21" s="215">
        <f t="shared" si="76"/>
        <v>6</v>
      </c>
      <c r="V21" s="845" t="s">
        <v>219</v>
      </c>
      <c r="W21" s="216">
        <v>169570</v>
      </c>
      <c r="X21" s="217">
        <v>3.04</v>
      </c>
      <c r="Y21" s="218">
        <f t="shared" si="57"/>
        <v>1.0304</v>
      </c>
      <c r="Z21" s="196">
        <v>19</v>
      </c>
      <c r="AA21" s="218">
        <f t="shared" si="94"/>
        <v>1.7664898659259882</v>
      </c>
      <c r="AB21" s="196">
        <f t="shared" si="77"/>
        <v>299543.68656506983</v>
      </c>
      <c r="AC21">
        <v>18.399999999999999</v>
      </c>
      <c r="AD21" s="196">
        <f t="shared" si="78"/>
        <v>55116.038327972841</v>
      </c>
      <c r="AE21" s="196">
        <f t="shared" si="95"/>
        <v>52360.236411574195</v>
      </c>
      <c r="AF21" s="196">
        <f t="shared" si="79"/>
        <v>52360.236411574195</v>
      </c>
      <c r="AG21" s="606">
        <f t="shared" si="58"/>
        <v>2.4209074659262832E-3</v>
      </c>
      <c r="AH21" s="196">
        <f t="shared" si="96"/>
        <v>14977.184328253492</v>
      </c>
      <c r="AI21" s="248">
        <f t="shared" si="59"/>
        <v>1.1602597772590094E-3</v>
      </c>
      <c r="AJ21" s="196">
        <f t="shared" si="80"/>
        <v>70093.222656226339</v>
      </c>
      <c r="AK21" s="196">
        <f t="shared" si="99"/>
        <v>11981.747462602794</v>
      </c>
      <c r="AL21" s="196">
        <f t="shared" si="100"/>
        <v>11981.747462602794</v>
      </c>
      <c r="AM21" s="196">
        <f t="shared" si="5"/>
        <v>23963.494925205589</v>
      </c>
      <c r="AN21" s="627">
        <f t="shared" si="6"/>
        <v>1.1602597772590096E-3</v>
      </c>
      <c r="AO21" s="196">
        <f t="shared" si="7"/>
        <v>11382.660089472653</v>
      </c>
      <c r="AP21" s="589">
        <f t="shared" si="60"/>
        <v>1.1602597772590094E-3</v>
      </c>
      <c r="AQ21" s="196"/>
      <c r="AR21" s="589"/>
      <c r="AS21">
        <v>1</v>
      </c>
      <c r="AT21" s="589">
        <f t="shared" si="61"/>
        <v>1.2919896640826874E-3</v>
      </c>
      <c r="AU21" s="196">
        <v>10</v>
      </c>
      <c r="AV21" s="245">
        <f t="shared" si="8"/>
        <v>1.1362345188046814E-3</v>
      </c>
      <c r="AX21" s="245"/>
      <c r="AY21" s="245"/>
      <c r="AZ21">
        <v>34</v>
      </c>
      <c r="BA21" s="589">
        <f t="shared" si="62"/>
        <v>1.2458319592539666E-3</v>
      </c>
      <c r="BI21" s="196">
        <v>0</v>
      </c>
      <c r="BK21" s="246">
        <f t="shared" si="63"/>
        <v>0</v>
      </c>
      <c r="BL21" s="246"/>
      <c r="BM21" s="246">
        <f t="shared" si="64"/>
        <v>0</v>
      </c>
      <c r="BN21" s="196">
        <v>1</v>
      </c>
      <c r="BO21" s="196">
        <f t="shared" si="81"/>
        <v>24676.553362683255</v>
      </c>
      <c r="BP21" s="196">
        <f t="shared" si="82"/>
        <v>24676.553362683255</v>
      </c>
      <c r="BQ21" s="248">
        <f t="shared" si="65"/>
        <v>2.3083766545887083E-3</v>
      </c>
      <c r="BR21" s="248"/>
      <c r="BS21" s="248"/>
      <c r="BT21" s="276">
        <v>1</v>
      </c>
      <c r="BU21" s="196">
        <f t="shared" si="97"/>
        <v>43651.902355754493</v>
      </c>
      <c r="BV21" s="264">
        <f t="shared" si="66"/>
        <v>3.0277786309428744E-3</v>
      </c>
      <c r="BW21" s="196">
        <f t="shared" si="98"/>
        <v>186733.13785517201</v>
      </c>
      <c r="BX21" s="247">
        <f t="shared" si="67"/>
        <v>3.0277786582172208E-3</v>
      </c>
      <c r="BY21" s="196">
        <f t="shared" si="83"/>
        <v>230385.0402109265</v>
      </c>
      <c r="BZ21" s="620">
        <v>0</v>
      </c>
      <c r="CA21" s="196">
        <f t="shared" si="10"/>
        <v>91660.368088911375</v>
      </c>
      <c r="CB21" s="196">
        <f t="shared" si="11"/>
        <v>183320.73617782275</v>
      </c>
      <c r="CC21" s="196">
        <f t="shared" si="12"/>
        <v>274981.1042667341</v>
      </c>
      <c r="CD21" s="247">
        <f t="shared" si="13"/>
        <v>1.1602597772590094E-3</v>
      </c>
      <c r="CE21" s="196">
        <f t="shared" si="84"/>
        <v>36289.61704887676</v>
      </c>
      <c r="CF21" s="247">
        <f t="shared" si="14"/>
        <v>1.5670985229077658E-3</v>
      </c>
      <c r="CG21" s="196">
        <f t="shared" si="15"/>
        <v>45530.64035789061</v>
      </c>
      <c r="CH21" s="589">
        <f t="shared" si="68"/>
        <v>1.1602597772590094E-3</v>
      </c>
      <c r="CI21" s="196">
        <f t="shared" si="85"/>
        <v>88137.608466583129</v>
      </c>
      <c r="CJ21" s="248">
        <f t="shared" si="70"/>
        <v>1.4489820594677967E-3</v>
      </c>
      <c r="CK21" s="196">
        <f t="shared" si="86"/>
        <v>68474.605333277446</v>
      </c>
      <c r="CL21" s="589">
        <f t="shared" si="71"/>
        <v>9.8433653629127695E-4</v>
      </c>
      <c r="CM21" s="196">
        <f t="shared" si="87"/>
        <v>6633.4790111629645</v>
      </c>
      <c r="CN21" s="589">
        <f t="shared" si="72"/>
        <v>9.5595971268271724E-4</v>
      </c>
      <c r="CO21" s="196">
        <f t="shared" si="88"/>
        <v>530.7181855505562</v>
      </c>
      <c r="CP21" s="589">
        <f t="shared" si="73"/>
        <v>1.0008527522989523E-3</v>
      </c>
      <c r="CQ21" s="196">
        <f>'Detailed Budget'!$AC$12</f>
        <v>292876014141.44696</v>
      </c>
      <c r="CR21" s="269">
        <f t="shared" si="16"/>
        <v>0</v>
      </c>
      <c r="CS21" s="269">
        <f>'Detailed Budget'!$AC$16</f>
        <v>10488008800.000002</v>
      </c>
      <c r="CT21" s="607">
        <f t="shared" si="17"/>
        <v>0</v>
      </c>
      <c r="CU21" s="269">
        <f>'Detailed Budget'!$AC$24</f>
        <v>30624985696</v>
      </c>
      <c r="CV21" s="269">
        <f t="shared" si="18"/>
        <v>0</v>
      </c>
      <c r="CW21" s="269"/>
      <c r="CX21" s="269">
        <f t="shared" si="19"/>
        <v>0</v>
      </c>
      <c r="CY21" s="196">
        <f>'Detailed Budget'!$AC$97</f>
        <v>74629165494.837845</v>
      </c>
      <c r="CZ21" s="269">
        <f t="shared" si="20"/>
        <v>172272223.37972084</v>
      </c>
      <c r="DA21" s="269">
        <f>'Detailed Budget'!$AC$100</f>
        <v>14925833098.967569</v>
      </c>
      <c r="DB21" s="269">
        <f t="shared" si="21"/>
        <v>34454444.675944172</v>
      </c>
      <c r="DC21" s="269">
        <f t="shared" si="22"/>
        <v>206726668.05566502</v>
      </c>
      <c r="DD21" s="207">
        <v>0</v>
      </c>
      <c r="DE21" s="606">
        <v>0</v>
      </c>
      <c r="DF21" s="269">
        <f>'Detailed Budget'!$AC$147</f>
        <v>5913600671000</v>
      </c>
      <c r="DG21" s="269">
        <f t="shared" si="23"/>
        <v>0</v>
      </c>
      <c r="DH21" s="269">
        <f>'Detailed Budget'!$AC$153</f>
        <v>226428026880.00003</v>
      </c>
      <c r="DI21" s="269"/>
      <c r="DJ21" s="269">
        <f>'Detailed Budget'!$AC$156</f>
        <v>27713070000</v>
      </c>
      <c r="DK21" s="269"/>
      <c r="DL21" s="269"/>
      <c r="DM21" s="196">
        <f>'Detailed Budget'!$AC$178</f>
        <v>5622683761.6229038</v>
      </c>
      <c r="DN21" s="269">
        <f t="shared" si="24"/>
        <v>17024241.741991326</v>
      </c>
      <c r="DO21" s="196">
        <f>'Detailed Budget'!$AC$179</f>
        <v>26827890683.128094</v>
      </c>
      <c r="DP21" s="269">
        <f t="shared" si="25"/>
        <v>81228914.855359852</v>
      </c>
      <c r="DQ21" s="269">
        <f t="shared" si="89"/>
        <v>98253156.597351179</v>
      </c>
      <c r="DR21" s="269">
        <f>'Detailed Budget'!$AC$181</f>
        <v>50888946855.375237</v>
      </c>
      <c r="DS21" s="269">
        <f t="shared" si="90"/>
        <v>123197431.37530376</v>
      </c>
      <c r="DT21" s="269">
        <f t="shared" si="91"/>
        <v>221450587.97265494</v>
      </c>
      <c r="DU21" s="272">
        <f>'Detailed Budget'!$AC$192</f>
        <v>77498869683.252869</v>
      </c>
      <c r="DV21" s="269">
        <f t="shared" si="92"/>
        <v>0</v>
      </c>
      <c r="DW21" s="140">
        <f>'Detailed Budget'!$AC$194</f>
        <v>2684962805.4134097</v>
      </c>
      <c r="DX21" s="269">
        <f t="shared" si="93"/>
        <v>0</v>
      </c>
      <c r="DY21" s="607">
        <f t="shared" si="26"/>
        <v>0</v>
      </c>
      <c r="DZ21" s="196">
        <f>'Detailed Budget'!$AC$198</f>
        <v>18732540018.380611</v>
      </c>
      <c r="EA21" s="269">
        <f t="shared" si="27"/>
        <v>29355735.793114867</v>
      </c>
      <c r="EB21" s="196">
        <f>'Detailed Budget'!$AC$200</f>
        <v>4683135004.5951529</v>
      </c>
      <c r="EC21" s="269">
        <f t="shared" si="28"/>
        <v>7338933.9482787168</v>
      </c>
      <c r="ED21" s="269">
        <f t="shared" si="29"/>
        <v>36694669.741393581</v>
      </c>
      <c r="EE21" s="196">
        <f>'Detailed Budget'!$AC$161</f>
        <v>251147290106.36197</v>
      </c>
      <c r="EF21" s="269">
        <f t="shared" si="30"/>
        <v>291396098.87801135</v>
      </c>
      <c r="EG21" s="196">
        <f>'Detailed Budget'!$AC$163</f>
        <v>15696705631.647623</v>
      </c>
      <c r="EH21" s="269">
        <f t="shared" si="31"/>
        <v>18212256.179875709</v>
      </c>
      <c r="EI21" s="269">
        <f t="shared" si="32"/>
        <v>309608355.05788708</v>
      </c>
      <c r="EJ21" s="196">
        <f>'Detailed Budget'!$AC$204</f>
        <v>45012172507.531975</v>
      </c>
      <c r="EK21" s="269">
        <f t="shared" si="33"/>
        <v>65221830.421083421</v>
      </c>
      <c r="EL21" s="201">
        <f>'Detailed Budget'!$AC$206</f>
        <v>11253043126.882994</v>
      </c>
      <c r="EM21" s="269">
        <f t="shared" si="34"/>
        <v>16305457.605270855</v>
      </c>
      <c r="EN21" s="269">
        <f t="shared" si="35"/>
        <v>81527288.026354283</v>
      </c>
      <c r="EO21" s="140">
        <f>'Detailed Budget'!$AC$209</f>
        <v>135789361677.54817</v>
      </c>
      <c r="EP21" s="269">
        <f t="shared" si="36"/>
        <v>133662429.93888123</v>
      </c>
      <c r="EQ21" s="196">
        <f>'Detailed Budget'!$AC$211</f>
        <v>33947340419.387043</v>
      </c>
      <c r="ER21" s="269">
        <f t="shared" si="37"/>
        <v>33415607.484720308</v>
      </c>
      <c r="ES21" s="269">
        <f t="shared" si="38"/>
        <v>167078037.42360154</v>
      </c>
      <c r="ET21" s="196">
        <f>'Detailed Budget'!$AC$214</f>
        <v>22239745544.201103</v>
      </c>
      <c r="EU21" s="269">
        <f t="shared" si="39"/>
        <v>21260300.760571226</v>
      </c>
      <c r="EV21" s="140">
        <f>'Detailed Budget'!$AC$217</f>
        <v>5559936386.0502758</v>
      </c>
      <c r="EW21" s="269">
        <f t="shared" si="40"/>
        <v>5315075.1901428066</v>
      </c>
      <c r="EX21" s="269">
        <f t="shared" si="41"/>
        <v>26575375.950714033</v>
      </c>
      <c r="EY21" s="196">
        <f>'Detailed Budget'!$AC$219</f>
        <v>372777004.58170313</v>
      </c>
      <c r="EZ21" s="269">
        <f t="shared" si="42"/>
        <v>373094.89102935675</v>
      </c>
      <c r="FA21" s="196">
        <f>'Detailed Budget'!$AC$222</f>
        <v>93194251.145425782</v>
      </c>
      <c r="FB21" s="269">
        <f t="shared" si="43"/>
        <v>93273.722757339187</v>
      </c>
      <c r="FC21" s="269">
        <f t="shared" si="44"/>
        <v>466368.61378669593</v>
      </c>
      <c r="FD21" s="269"/>
      <c r="FE21" s="269">
        <f t="shared" si="45"/>
        <v>275647070.01445657</v>
      </c>
      <c r="FF21" s="140">
        <f>'Detailed Budget'!$AC$165</f>
        <v>14927760000</v>
      </c>
      <c r="FG21" s="1087">
        <f t="shared" si="46"/>
        <v>376000849.64146912</v>
      </c>
      <c r="FH21" s="269">
        <f t="shared" si="47"/>
        <v>16961436.200431772</v>
      </c>
      <c r="FJ21" s="140">
        <f>'Detailed Budget'!$AC$235</f>
        <v>3623696172</v>
      </c>
      <c r="FK21" s="269">
        <f t="shared" si="48"/>
        <v>4681778</v>
      </c>
      <c r="FL21" s="269">
        <f t="shared" si="49"/>
        <v>4681778</v>
      </c>
      <c r="FO21" s="607"/>
      <c r="FP21" s="607"/>
      <c r="FQ21" s="607"/>
      <c r="FR21" s="269">
        <f>'Detailed Budget'!$AC$257</f>
        <v>13636439388</v>
      </c>
      <c r="FS21" s="269">
        <f t="shared" si="50"/>
        <v>16988712</v>
      </c>
      <c r="FT21" s="269">
        <f t="shared" si="51"/>
        <v>16988712</v>
      </c>
      <c r="FU21" s="269"/>
      <c r="FV21" s="269"/>
      <c r="FW21" s="605">
        <f t="shared" si="52"/>
        <v>0</v>
      </c>
      <c r="FX21" s="140">
        <f>'Detailed Budget'!$AC$278</f>
        <v>1114560000</v>
      </c>
      <c r="FY21" s="269">
        <f t="shared" si="53"/>
        <v>1440000</v>
      </c>
      <c r="FZ21" s="269">
        <f t="shared" si="54"/>
        <v>1440000</v>
      </c>
      <c r="GB21" s="269">
        <f t="shared" si="74"/>
        <v>1466200126.6839581</v>
      </c>
      <c r="GC21" s="887">
        <f t="shared" si="55"/>
        <v>916375.07917747379</v>
      </c>
      <c r="GD21" s="1078">
        <f t="shared" si="75"/>
        <v>8.2273106040911472E-4</v>
      </c>
    </row>
    <row r="22" spans="1:186" ht="14.25" hidden="1" customHeight="1" outlineLevel="1">
      <c r="A22" s="211" t="s">
        <v>240</v>
      </c>
      <c r="B22" s="212" t="s">
        <v>241</v>
      </c>
      <c r="C22" s="213" t="s">
        <v>215</v>
      </c>
      <c r="D22" s="214" t="s">
        <v>215</v>
      </c>
      <c r="E22" s="213"/>
      <c r="F22" s="213"/>
      <c r="G22" s="213"/>
      <c r="H22" s="213" t="s">
        <v>215</v>
      </c>
      <c r="I22" s="214" t="s">
        <v>215</v>
      </c>
      <c r="J22" s="214"/>
      <c r="K22" s="213" t="s">
        <v>215</v>
      </c>
      <c r="L22" s="213"/>
      <c r="M22" s="214"/>
      <c r="N22" s="213"/>
      <c r="O22" s="214"/>
      <c r="P22" s="213"/>
      <c r="Q22" s="214"/>
      <c r="R22" s="214" t="s">
        <v>215</v>
      </c>
      <c r="S22" s="214"/>
      <c r="T22" s="214"/>
      <c r="U22" s="215">
        <f t="shared" si="76"/>
        <v>6</v>
      </c>
      <c r="V22" s="845" t="s">
        <v>219</v>
      </c>
      <c r="W22" s="216">
        <v>300377</v>
      </c>
      <c r="X22" s="217">
        <v>3.04</v>
      </c>
      <c r="Y22" s="218">
        <f t="shared" si="57"/>
        <v>1.0304</v>
      </c>
      <c r="Z22" s="196">
        <v>19</v>
      </c>
      <c r="AA22" s="218">
        <f t="shared" si="94"/>
        <v>1.7664898659259882</v>
      </c>
      <c r="AB22" s="196">
        <f t="shared" si="77"/>
        <v>530612.92645725061</v>
      </c>
      <c r="AC22">
        <v>18.399999999999999</v>
      </c>
      <c r="AD22" s="196">
        <f t="shared" si="78"/>
        <v>97632.7784681341</v>
      </c>
      <c r="AE22" s="196">
        <f t="shared" si="95"/>
        <v>92751.139544727397</v>
      </c>
      <c r="AF22" s="196">
        <f t="shared" si="79"/>
        <v>92751.139544727397</v>
      </c>
      <c r="AG22" s="606">
        <f t="shared" si="58"/>
        <v>4.2884055074160488E-3</v>
      </c>
      <c r="AH22" s="196">
        <f t="shared" si="96"/>
        <v>26530.646322862533</v>
      </c>
      <c r="AI22" s="248">
        <f t="shared" si="59"/>
        <v>2.0552889727766086E-3</v>
      </c>
      <c r="AJ22" s="196">
        <f t="shared" si="80"/>
        <v>124163.42479099664</v>
      </c>
      <c r="AK22" s="196">
        <f t="shared" si="99"/>
        <v>21224.517058290025</v>
      </c>
      <c r="AL22" s="196">
        <f t="shared" si="100"/>
        <v>21224.517058290025</v>
      </c>
      <c r="AM22" s="196">
        <f t="shared" si="5"/>
        <v>42449.034116580049</v>
      </c>
      <c r="AN22" s="627">
        <f t="shared" si="6"/>
        <v>2.0552889727766086E-3</v>
      </c>
      <c r="AO22" s="196">
        <f t="shared" si="7"/>
        <v>20163.291205375521</v>
      </c>
      <c r="AP22" s="589">
        <f t="shared" si="60"/>
        <v>2.0552889727766081E-3</v>
      </c>
      <c r="AQ22" s="196"/>
      <c r="AR22" s="589"/>
      <c r="AS22">
        <v>1</v>
      </c>
      <c r="AT22" s="589">
        <f t="shared" si="61"/>
        <v>1.2919896640826874E-3</v>
      </c>
      <c r="AU22" s="196">
        <v>11</v>
      </c>
      <c r="AV22" s="245">
        <f t="shared" si="8"/>
        <v>1.2498579706851495E-3</v>
      </c>
      <c r="AX22" s="245"/>
      <c r="AY22" s="245"/>
      <c r="AZ22">
        <v>30</v>
      </c>
      <c r="BA22" s="589">
        <f t="shared" si="62"/>
        <v>1.0992634934593821E-3</v>
      </c>
      <c r="BI22" s="196">
        <v>0</v>
      </c>
      <c r="BK22" s="246">
        <f t="shared" si="63"/>
        <v>0</v>
      </c>
      <c r="BL22" s="246"/>
      <c r="BM22" s="246">
        <f t="shared" si="64"/>
        <v>0</v>
      </c>
      <c r="BN22" s="196">
        <v>1</v>
      </c>
      <c r="BO22" s="196">
        <f t="shared" si="81"/>
        <v>43712.148784706667</v>
      </c>
      <c r="BP22" s="196">
        <f t="shared" si="82"/>
        <v>43712.148784706667</v>
      </c>
      <c r="BQ22" s="248">
        <f t="shared" si="65"/>
        <v>4.0890679623482489E-3</v>
      </c>
      <c r="BR22" s="248"/>
      <c r="BS22" s="248"/>
      <c r="BT22" s="276">
        <v>1</v>
      </c>
      <c r="BU22" s="196">
        <f t="shared" si="97"/>
        <v>77325.160546762214</v>
      </c>
      <c r="BV22" s="264">
        <f t="shared" si="66"/>
        <v>5.3634196015021991E-3</v>
      </c>
      <c r="BW22" s="196">
        <f t="shared" si="98"/>
        <v>330779.85345003835</v>
      </c>
      <c r="BX22" s="247">
        <f t="shared" si="67"/>
        <v>5.3634196498160884E-3</v>
      </c>
      <c r="BY22" s="196">
        <f t="shared" si="83"/>
        <v>408105.01399680058</v>
      </c>
      <c r="BZ22" s="620">
        <v>0</v>
      </c>
      <c r="CA22" s="196">
        <f t="shared" si="10"/>
        <v>162367.55549591867</v>
      </c>
      <c r="CB22" s="196">
        <f t="shared" si="11"/>
        <v>324735.11099183734</v>
      </c>
      <c r="CC22" s="196">
        <f t="shared" si="12"/>
        <v>487102.66648775601</v>
      </c>
      <c r="CD22" s="247">
        <f t="shared" si="13"/>
        <v>2.0552889727766081E-3</v>
      </c>
      <c r="CE22" s="196">
        <f t="shared" si="84"/>
        <v>64283.577875157491</v>
      </c>
      <c r="CF22" s="247">
        <f t="shared" si="14"/>
        <v>2.7759648110837177E-3</v>
      </c>
      <c r="CG22" s="196">
        <f t="shared" si="15"/>
        <v>80653.164821502083</v>
      </c>
      <c r="CH22" s="589">
        <f t="shared" si="68"/>
        <v>2.0552889727766081E-3</v>
      </c>
      <c r="CI22" s="196">
        <f t="shared" si="85"/>
        <v>156127.32451711298</v>
      </c>
      <c r="CJ22" s="248">
        <f t="shared" si="70"/>
        <v>2.5667328187577903E-3</v>
      </c>
      <c r="CK22" s="196">
        <f t="shared" si="86"/>
        <v>121296.19936423827</v>
      </c>
      <c r="CL22" s="589">
        <f t="shared" si="71"/>
        <v>1.7436578154246915E-3</v>
      </c>
      <c r="CM22" s="196">
        <f t="shared" si="87"/>
        <v>11750.572182202619</v>
      </c>
      <c r="CN22" s="589">
        <f t="shared" si="72"/>
        <v>1.6933909926077526E-3</v>
      </c>
      <c r="CO22" s="196">
        <f t="shared" si="88"/>
        <v>940.11639099557374</v>
      </c>
      <c r="CP22" s="589">
        <f t="shared" si="73"/>
        <v>1.7729147088358932E-3</v>
      </c>
      <c r="CQ22" s="196">
        <f>'Detailed Budget'!$AC$12</f>
        <v>292876014141.44696</v>
      </c>
      <c r="CR22" s="269">
        <f t="shared" si="16"/>
        <v>0</v>
      </c>
      <c r="CS22" s="269">
        <f>'Detailed Budget'!$AC$16</f>
        <v>10488008800.000002</v>
      </c>
      <c r="CT22" s="607">
        <f t="shared" si="17"/>
        <v>0</v>
      </c>
      <c r="CU22" s="269">
        <f>'Detailed Budget'!$AC$24</f>
        <v>30624985696</v>
      </c>
      <c r="CV22" s="269">
        <f t="shared" si="18"/>
        <v>0</v>
      </c>
      <c r="CW22" s="269"/>
      <c r="CX22" s="269">
        <f t="shared" si="19"/>
        <v>0</v>
      </c>
      <c r="CY22" s="196">
        <f>'Detailed Budget'!$AC$97</f>
        <v>74629165494.837845</v>
      </c>
      <c r="CZ22" s="269">
        <f t="shared" si="20"/>
        <v>305163729.68172681</v>
      </c>
      <c r="DA22" s="269">
        <f>'Detailed Budget'!$AC$100</f>
        <v>14925833098.967569</v>
      </c>
      <c r="DB22" s="269">
        <f t="shared" si="21"/>
        <v>61032745.936345369</v>
      </c>
      <c r="DC22" s="269">
        <f t="shared" si="22"/>
        <v>366196475.61807215</v>
      </c>
      <c r="DD22" s="207">
        <v>0</v>
      </c>
      <c r="DE22" s="606">
        <v>0</v>
      </c>
      <c r="DF22" s="269">
        <f>'Detailed Budget'!$AC$147</f>
        <v>5913600671000</v>
      </c>
      <c r="DG22" s="269">
        <f t="shared" si="23"/>
        <v>0</v>
      </c>
      <c r="DH22" s="269">
        <f>'Detailed Budget'!$AC$153</f>
        <v>226428026880.00003</v>
      </c>
      <c r="DI22" s="269"/>
      <c r="DJ22" s="269">
        <f>'Detailed Budget'!$AC$156</f>
        <v>27713070000</v>
      </c>
      <c r="DK22" s="269"/>
      <c r="DL22" s="269"/>
      <c r="DM22" s="196">
        <f>'Detailed Budget'!$AC$178</f>
        <v>5622683761.6229038</v>
      </c>
      <c r="DN22" s="269">
        <f t="shared" si="24"/>
        <v>30156812.300136402</v>
      </c>
      <c r="DO22" s="196">
        <f>'Detailed Budget'!$AC$179</f>
        <v>26827890683.128094</v>
      </c>
      <c r="DP22" s="269">
        <f t="shared" si="25"/>
        <v>143889236.05300719</v>
      </c>
      <c r="DQ22" s="269">
        <f t="shared" si="89"/>
        <v>174046048.35314357</v>
      </c>
      <c r="DR22" s="269">
        <f>'Detailed Budget'!$AC$181</f>
        <v>50888946855.375237</v>
      </c>
      <c r="DS22" s="269">
        <f t="shared" si="90"/>
        <v>218232439.96119377</v>
      </c>
      <c r="DT22" s="269">
        <f t="shared" si="91"/>
        <v>392278488.31433737</v>
      </c>
      <c r="DU22" s="272">
        <f>'Detailed Budget'!$AC$192</f>
        <v>77498869683.252869</v>
      </c>
      <c r="DV22" s="269">
        <f t="shared" si="92"/>
        <v>0</v>
      </c>
      <c r="DW22" s="140">
        <f>'Detailed Budget'!$AC$194</f>
        <v>2684962805.4134097</v>
      </c>
      <c r="DX22" s="269">
        <f t="shared" si="93"/>
        <v>0</v>
      </c>
      <c r="DY22" s="607">
        <f t="shared" si="26"/>
        <v>0</v>
      </c>
      <c r="DZ22" s="196">
        <f>'Detailed Budget'!$AC$198</f>
        <v>18732540018.380611</v>
      </c>
      <c r="EA22" s="269">
        <f t="shared" si="27"/>
        <v>52000871.913242117</v>
      </c>
      <c r="EB22" s="196">
        <f>'Detailed Budget'!$AC$200</f>
        <v>4683135004.5951529</v>
      </c>
      <c r="EC22" s="269">
        <f t="shared" si="28"/>
        <v>13000217.978310529</v>
      </c>
      <c r="ED22" s="269">
        <f t="shared" si="29"/>
        <v>65001089.891552642</v>
      </c>
      <c r="EE22" s="196">
        <f>'Detailed Budget'!$AC$161</f>
        <v>251147290106.36197</v>
      </c>
      <c r="EF22" s="269">
        <f t="shared" si="30"/>
        <v>516180255.89833349</v>
      </c>
      <c r="EG22" s="196">
        <f>'Detailed Budget'!$AC$163</f>
        <v>15696705631.647623</v>
      </c>
      <c r="EH22" s="269">
        <f t="shared" si="31"/>
        <v>32261265.993645843</v>
      </c>
      <c r="EI22" s="269">
        <f t="shared" si="32"/>
        <v>548441521.89197934</v>
      </c>
      <c r="EJ22" s="196">
        <f>'Detailed Budget'!$AC$204</f>
        <v>45012172507.531975</v>
      </c>
      <c r="EK22" s="269">
        <f t="shared" si="33"/>
        <v>115534220.41866946</v>
      </c>
      <c r="EL22" s="201">
        <f>'Detailed Budget'!$AC$206</f>
        <v>11253043126.882994</v>
      </c>
      <c r="EM22" s="269">
        <f t="shared" si="34"/>
        <v>28883555.104667366</v>
      </c>
      <c r="EN22" s="269">
        <f t="shared" si="35"/>
        <v>144417775.52333683</v>
      </c>
      <c r="EO22" s="140">
        <f>'Detailed Budget'!$AC$209</f>
        <v>135789361677.54817</v>
      </c>
      <c r="EP22" s="269">
        <f t="shared" si="36"/>
        <v>236770181.74058697</v>
      </c>
      <c r="EQ22" s="196">
        <f>'Detailed Budget'!$AC$211</f>
        <v>33947340419.387043</v>
      </c>
      <c r="ER22" s="269">
        <f t="shared" si="37"/>
        <v>59192545.435146742</v>
      </c>
      <c r="ES22" s="269">
        <f t="shared" si="38"/>
        <v>295962727.17573369</v>
      </c>
      <c r="ET22" s="196">
        <f>'Detailed Budget'!$AC$214</f>
        <v>22239745544.201103</v>
      </c>
      <c r="EU22" s="269">
        <f t="shared" si="39"/>
        <v>37660584.782438546</v>
      </c>
      <c r="EV22" s="140">
        <f>'Detailed Budget'!$AC$217</f>
        <v>5559936386.0502758</v>
      </c>
      <c r="EW22" s="269">
        <f t="shared" si="40"/>
        <v>9415146.1956096366</v>
      </c>
      <c r="EX22" s="269">
        <f t="shared" si="41"/>
        <v>47075730.978048183</v>
      </c>
      <c r="EY22" s="196">
        <f>'Detailed Budget'!$AC$219</f>
        <v>372777004.58170313</v>
      </c>
      <c r="EZ22" s="269">
        <f t="shared" si="42"/>
        <v>660901.83453868667</v>
      </c>
      <c r="FA22" s="196">
        <f>'Detailed Budget'!$AC$222</f>
        <v>93194251.145425782</v>
      </c>
      <c r="FB22" s="269">
        <f t="shared" si="43"/>
        <v>165225.45863467167</v>
      </c>
      <c r="FC22" s="269">
        <f t="shared" si="44"/>
        <v>826127.29317335831</v>
      </c>
      <c r="FD22" s="269"/>
      <c r="FE22" s="269">
        <f t="shared" si="45"/>
        <v>488282360.97029209</v>
      </c>
      <c r="FF22" s="140">
        <f>'Detailed Budget'!$AC$165</f>
        <v>14927760000</v>
      </c>
      <c r="FG22" s="1087">
        <f t="shared" si="46"/>
        <v>666049461.65451193</v>
      </c>
      <c r="FH22" s="269">
        <f t="shared" si="47"/>
        <v>18657579.820474949</v>
      </c>
      <c r="FJ22" s="140">
        <f>'Detailed Budget'!$AC$235</f>
        <v>3623696172</v>
      </c>
      <c r="FK22" s="269">
        <f t="shared" si="48"/>
        <v>4681778</v>
      </c>
      <c r="FL22" s="269">
        <f t="shared" si="49"/>
        <v>4681778</v>
      </c>
      <c r="FO22" s="607"/>
      <c r="FP22" s="607"/>
      <c r="FQ22" s="607"/>
      <c r="FR22" s="269">
        <f>'Detailed Budget'!$AC$257</f>
        <v>13636439388</v>
      </c>
      <c r="FS22" s="269">
        <f t="shared" si="50"/>
        <v>14990039.999999998</v>
      </c>
      <c r="FT22" s="269">
        <f t="shared" si="51"/>
        <v>14990039.999999998</v>
      </c>
      <c r="FU22" s="269"/>
      <c r="FV22" s="269"/>
      <c r="FW22" s="605">
        <f t="shared" si="52"/>
        <v>0</v>
      </c>
      <c r="FX22" s="140">
        <f>'Detailed Budget'!$AC$278</f>
        <v>1114560000</v>
      </c>
      <c r="FY22" s="269">
        <f t="shared" si="53"/>
        <v>1440000</v>
      </c>
      <c r="FZ22" s="269">
        <f t="shared" si="54"/>
        <v>1440000</v>
      </c>
      <c r="GB22" s="269">
        <f t="shared" si="74"/>
        <v>2566018796.1612206</v>
      </c>
      <c r="GC22" s="887">
        <f t="shared" si="55"/>
        <v>1603761.7476007629</v>
      </c>
      <c r="GD22" s="1078">
        <f t="shared" si="75"/>
        <v>1.4398739481561247E-3</v>
      </c>
    </row>
    <row r="23" spans="1:186" ht="14.25" hidden="1" customHeight="1" outlineLevel="1">
      <c r="A23" s="211" t="s">
        <v>242</v>
      </c>
      <c r="B23" s="212" t="s">
        <v>243</v>
      </c>
      <c r="C23" s="213" t="s">
        <v>215</v>
      </c>
      <c r="D23" s="214"/>
      <c r="E23" s="213"/>
      <c r="F23" s="213"/>
      <c r="G23" s="213" t="s">
        <v>215</v>
      </c>
      <c r="H23" s="213" t="s">
        <v>215</v>
      </c>
      <c r="I23" s="214" t="s">
        <v>215</v>
      </c>
      <c r="J23" s="214"/>
      <c r="K23" s="213" t="s">
        <v>215</v>
      </c>
      <c r="L23" s="213"/>
      <c r="M23" s="214"/>
      <c r="N23" s="213"/>
      <c r="O23" s="214"/>
      <c r="P23" s="213"/>
      <c r="Q23" s="214"/>
      <c r="R23" s="214" t="s">
        <v>215</v>
      </c>
      <c r="S23" s="214"/>
      <c r="T23" s="214"/>
      <c r="U23" s="215">
        <f t="shared" si="76"/>
        <v>6</v>
      </c>
      <c r="V23" s="845" t="s">
        <v>216</v>
      </c>
      <c r="W23" s="216">
        <v>98707</v>
      </c>
      <c r="X23" s="217">
        <v>3.04</v>
      </c>
      <c r="Y23" s="218">
        <f t="shared" si="57"/>
        <v>1.0304</v>
      </c>
      <c r="Z23" s="196">
        <v>19</v>
      </c>
      <c r="AA23" s="218">
        <f t="shared" si="94"/>
        <v>1.7664898659259882</v>
      </c>
      <c r="AB23" s="196">
        <f t="shared" si="77"/>
        <v>174364.91519595651</v>
      </c>
      <c r="AC23">
        <v>18.399999999999999</v>
      </c>
      <c r="AD23" s="196">
        <f t="shared" si="78"/>
        <v>32083.144396055992</v>
      </c>
      <c r="AE23" s="196">
        <f t="shared" si="95"/>
        <v>30478.987176253191</v>
      </c>
      <c r="AF23" s="196">
        <f t="shared" si="79"/>
        <v>0</v>
      </c>
      <c r="AG23" s="606">
        <f t="shared" si="58"/>
        <v>1.4092145617690961E-3</v>
      </c>
      <c r="AH23" s="196">
        <f t="shared" si="96"/>
        <v>8718.2457597978264</v>
      </c>
      <c r="AI23" s="248">
        <f t="shared" si="59"/>
        <v>6.7538928957896474E-4</v>
      </c>
      <c r="AJ23" s="196">
        <f t="shared" si="80"/>
        <v>40801.39015585382</v>
      </c>
      <c r="AK23" s="196">
        <f t="shared" si="99"/>
        <v>6974.5966078382608</v>
      </c>
      <c r="AL23" s="196">
        <f t="shared" si="100"/>
        <v>6974.5966078382608</v>
      </c>
      <c r="AM23" s="196">
        <f t="shared" si="5"/>
        <v>13949.193215676522</v>
      </c>
      <c r="AN23" s="627">
        <f t="shared" si="6"/>
        <v>6.7538928957896463E-4</v>
      </c>
      <c r="AO23" s="196">
        <f t="shared" si="7"/>
        <v>6625.8667774463474</v>
      </c>
      <c r="AP23" s="589">
        <f t="shared" si="60"/>
        <v>6.7538928957896463E-4</v>
      </c>
      <c r="AQ23" s="196"/>
      <c r="AR23" s="589"/>
      <c r="AS23">
        <v>1</v>
      </c>
      <c r="AT23" s="589">
        <f t="shared" si="61"/>
        <v>1.2919896640826874E-3</v>
      </c>
      <c r="AU23" s="196">
        <v>12</v>
      </c>
      <c r="AV23" s="245">
        <f t="shared" si="8"/>
        <v>1.3634814225656176E-3</v>
      </c>
      <c r="AX23" s="245"/>
      <c r="AY23" s="245"/>
      <c r="AZ23">
        <v>47</v>
      </c>
      <c r="BA23" s="589">
        <f t="shared" si="62"/>
        <v>1.7221794730863656E-3</v>
      </c>
      <c r="BI23" s="196">
        <v>0</v>
      </c>
      <c r="BK23" s="246">
        <f t="shared" si="63"/>
        <v>0</v>
      </c>
      <c r="BL23" s="246"/>
      <c r="BM23" s="246">
        <f t="shared" si="64"/>
        <v>0</v>
      </c>
      <c r="BN23" s="196">
        <v>1</v>
      </c>
      <c r="BO23" s="196">
        <f t="shared" si="81"/>
        <v>14364.265806276911</v>
      </c>
      <c r="BP23" s="196">
        <f t="shared" si="82"/>
        <v>14364.265806276911</v>
      </c>
      <c r="BQ23" s="248">
        <f t="shared" si="65"/>
        <v>1.3437101754112614E-3</v>
      </c>
      <c r="BR23" s="248"/>
      <c r="BS23" s="248"/>
      <c r="BT23" s="276">
        <v>0</v>
      </c>
      <c r="BU23" s="196">
        <f t="shared" si="97"/>
        <v>0</v>
      </c>
      <c r="BV23" s="264">
        <f t="shared" si="66"/>
        <v>0</v>
      </c>
      <c r="BW23" s="196">
        <f t="shared" si="98"/>
        <v>0</v>
      </c>
      <c r="BX23" s="247">
        <f t="shared" si="67"/>
        <v>0</v>
      </c>
      <c r="BY23" s="196">
        <f t="shared" si="83"/>
        <v>0</v>
      </c>
      <c r="BZ23" s="620">
        <v>1</v>
      </c>
      <c r="CA23" s="196">
        <f t="shared" si="10"/>
        <v>53355.664049962696</v>
      </c>
      <c r="CB23" s="196">
        <f t="shared" si="11"/>
        <v>106711.32809992539</v>
      </c>
      <c r="CC23" s="196">
        <f t="shared" si="12"/>
        <v>160066.99214988807</v>
      </c>
      <c r="CD23" s="247">
        <f t="shared" si="13"/>
        <v>6.7538928957896463E-4</v>
      </c>
      <c r="CE23" s="196">
        <f t="shared" si="84"/>
        <v>21124.250929076359</v>
      </c>
      <c r="CF23" s="247">
        <f t="shared" si="14"/>
        <v>9.1221085039014469E-4</v>
      </c>
      <c r="CG23" s="196">
        <f t="shared" si="15"/>
        <v>26503.46710978539</v>
      </c>
      <c r="CH23" s="589">
        <f t="shared" si="68"/>
        <v>6.7538928957896463E-4</v>
      </c>
      <c r="CI23" s="196">
        <f t="shared" si="85"/>
        <v>51305.059379082508</v>
      </c>
      <c r="CJ23" s="248">
        <f t="shared" si="70"/>
        <v>8.434550459626573E-4</v>
      </c>
      <c r="CK23" s="196">
        <f t="shared" si="86"/>
        <v>39859.190119902203</v>
      </c>
      <c r="CL23" s="589">
        <f t="shared" si="71"/>
        <v>5.7298405665921488E-4</v>
      </c>
      <c r="CM23" s="196">
        <f t="shared" si="87"/>
        <v>3861.3599855803664</v>
      </c>
      <c r="CN23" s="589">
        <f t="shared" si="72"/>
        <v>5.5646585693090158E-4</v>
      </c>
      <c r="CO23" s="196">
        <f t="shared" si="88"/>
        <v>308.93200413480417</v>
      </c>
      <c r="CP23" s="589">
        <f t="shared" si="73"/>
        <v>5.8259817550965773E-4</v>
      </c>
      <c r="CQ23" s="196">
        <f>'Detailed Budget'!$AC$12</f>
        <v>292876014141.44696</v>
      </c>
      <c r="CR23" s="269">
        <f t="shared" si="16"/>
        <v>0</v>
      </c>
      <c r="CS23" s="269">
        <f>'Detailed Budget'!$AC$16</f>
        <v>10488008800.000002</v>
      </c>
      <c r="CT23" s="607">
        <f t="shared" si="17"/>
        <v>0</v>
      </c>
      <c r="CU23" s="269">
        <f>'Detailed Budget'!$AC$24</f>
        <v>30624985696</v>
      </c>
      <c r="CV23" s="269">
        <f t="shared" si="18"/>
        <v>0</v>
      </c>
      <c r="CW23" s="269"/>
      <c r="CX23" s="269">
        <f t="shared" si="19"/>
        <v>0</v>
      </c>
      <c r="CY23" s="196">
        <f>'Detailed Budget'!$AC$97</f>
        <v>74629165494.837845</v>
      </c>
      <c r="CZ23" s="269">
        <f t="shared" si="20"/>
        <v>100279969.05786462</v>
      </c>
      <c r="DA23" s="269">
        <f>'Detailed Budget'!$AC$100</f>
        <v>14925833098.967569</v>
      </c>
      <c r="DB23" s="269">
        <f t="shared" si="21"/>
        <v>20055993.811572924</v>
      </c>
      <c r="DC23" s="269">
        <f t="shared" si="22"/>
        <v>120335962.86943755</v>
      </c>
      <c r="DD23" s="207">
        <v>0</v>
      </c>
      <c r="DE23" s="606">
        <v>0</v>
      </c>
      <c r="DF23" s="269">
        <f>'Detailed Budget'!$AC$147</f>
        <v>5913600671000</v>
      </c>
      <c r="DG23" s="269">
        <f t="shared" si="23"/>
        <v>0</v>
      </c>
      <c r="DH23" s="269">
        <f>'Detailed Budget'!$AC$153</f>
        <v>226428026880.00003</v>
      </c>
      <c r="DI23" s="269"/>
      <c r="DJ23" s="269">
        <f>'Detailed Budget'!$AC$156</f>
        <v>27713070000</v>
      </c>
      <c r="DK23" s="269"/>
      <c r="DL23" s="269"/>
      <c r="DM23" s="196">
        <f>'Detailed Budget'!$AC$178</f>
        <v>5622683761.6229038</v>
      </c>
      <c r="DN23" s="269">
        <f t="shared" si="24"/>
        <v>0</v>
      </c>
      <c r="DO23" s="196">
        <f>'Detailed Budget'!$AC$179</f>
        <v>26827890683.128094</v>
      </c>
      <c r="DP23" s="269">
        <f t="shared" si="25"/>
        <v>0</v>
      </c>
      <c r="DQ23" s="269">
        <f t="shared" si="89"/>
        <v>0</v>
      </c>
      <c r="DR23" s="269">
        <f>'Detailed Budget'!$AC$181</f>
        <v>50888946855.375237</v>
      </c>
      <c r="DS23" s="269">
        <f t="shared" si="90"/>
        <v>0</v>
      </c>
      <c r="DT23" s="269">
        <f t="shared" si="91"/>
        <v>0</v>
      </c>
      <c r="DU23" s="272">
        <f>'Detailed Budget'!$AC$192</f>
        <v>77498869683.252869</v>
      </c>
      <c r="DV23" s="269">
        <f t="shared" si="92"/>
        <v>52341906.538544916</v>
      </c>
      <c r="DW23" s="140">
        <f>'Detailed Budget'!$AC$194</f>
        <v>2684962805.4134097</v>
      </c>
      <c r="DX23" s="269">
        <f t="shared" si="93"/>
        <v>1813395.1216941066</v>
      </c>
      <c r="DY23" s="607">
        <f t="shared" si="26"/>
        <v>54155301.660239026</v>
      </c>
      <c r="DZ23" s="196">
        <f>'Detailed Budget'!$AC$198</f>
        <v>18732540018.380611</v>
      </c>
      <c r="EA23" s="269">
        <f t="shared" si="27"/>
        <v>17088026.260134395</v>
      </c>
      <c r="EB23" s="196">
        <f>'Detailed Budget'!$AC$200</f>
        <v>4683135004.5951529</v>
      </c>
      <c r="EC23" s="269">
        <f t="shared" si="28"/>
        <v>4272006.5650335988</v>
      </c>
      <c r="ED23" s="269">
        <f t="shared" si="29"/>
        <v>21360032.825167995</v>
      </c>
      <c r="EE23" s="196">
        <f>'Detailed Budget'!$AC$161</f>
        <v>251147290106.36197</v>
      </c>
      <c r="EF23" s="269">
        <f t="shared" si="30"/>
        <v>169622189.84461793</v>
      </c>
      <c r="EG23" s="196">
        <f>'Detailed Budget'!$AC$163</f>
        <v>15696705631.647623</v>
      </c>
      <c r="EH23" s="269">
        <f t="shared" si="31"/>
        <v>10601386.865288621</v>
      </c>
      <c r="EI23" s="269">
        <f t="shared" si="32"/>
        <v>180223576.70990655</v>
      </c>
      <c r="EJ23" s="196">
        <f>'Detailed Budget'!$AC$204</f>
        <v>45012172507.531975</v>
      </c>
      <c r="EK23" s="269">
        <f t="shared" si="33"/>
        <v>37965744.031219438</v>
      </c>
      <c r="EL23" s="201">
        <f>'Detailed Budget'!$AC$206</f>
        <v>11253043126.882994</v>
      </c>
      <c r="EM23" s="269">
        <f t="shared" si="34"/>
        <v>9491436.0078048594</v>
      </c>
      <c r="EN23" s="269">
        <f t="shared" si="35"/>
        <v>47457180.039024293</v>
      </c>
      <c r="EO23" s="140">
        <f>'Detailed Budget'!$AC$209</f>
        <v>135789361677.54817</v>
      </c>
      <c r="EP23" s="269">
        <f t="shared" si="36"/>
        <v>77805139.305166885</v>
      </c>
      <c r="EQ23" s="196">
        <f>'Detailed Budget'!$AC$211</f>
        <v>33947340419.387043</v>
      </c>
      <c r="ER23" s="269">
        <f t="shared" si="37"/>
        <v>19451284.826291721</v>
      </c>
      <c r="ES23" s="269">
        <f t="shared" si="38"/>
        <v>97256424.13145861</v>
      </c>
      <c r="ET23" s="196">
        <f>'Detailed Budget'!$AC$214</f>
        <v>22239745544.201103</v>
      </c>
      <c r="EU23" s="269">
        <f t="shared" si="39"/>
        <v>12375659.062179066</v>
      </c>
      <c r="EV23" s="140">
        <f>'Detailed Budget'!$AC$217</f>
        <v>5559936386.0502758</v>
      </c>
      <c r="EW23" s="269">
        <f t="shared" si="40"/>
        <v>3093914.7655447666</v>
      </c>
      <c r="EX23" s="269">
        <f t="shared" si="41"/>
        <v>15469573.827723833</v>
      </c>
      <c r="EY23" s="196">
        <f>'Detailed Budget'!$AC$219</f>
        <v>372777004.58170313</v>
      </c>
      <c r="EZ23" s="269">
        <f t="shared" si="42"/>
        <v>217179.20274125558</v>
      </c>
      <c r="FA23" s="196">
        <f>'Detailed Budget'!$AC$222</f>
        <v>93194251.145425782</v>
      </c>
      <c r="FB23" s="269">
        <f t="shared" si="43"/>
        <v>54294.800685313894</v>
      </c>
      <c r="FC23" s="269">
        <f t="shared" si="44"/>
        <v>271474.00342656946</v>
      </c>
      <c r="FD23" s="269"/>
      <c r="FE23" s="269">
        <f t="shared" si="45"/>
        <v>160454652.00163332</v>
      </c>
      <c r="FF23" s="140">
        <f>'Detailed Budget'!$AC$165</f>
        <v>14927760000</v>
      </c>
      <c r="FG23" s="1087">
        <f t="shared" si="46"/>
        <v>218870766.44194424</v>
      </c>
      <c r="FH23" s="269">
        <f t="shared" si="47"/>
        <v>20353723.440518126</v>
      </c>
      <c r="FJ23" s="140">
        <f>'Detailed Budget'!$AC$235</f>
        <v>3623696172</v>
      </c>
      <c r="FK23" s="269">
        <f t="shared" si="48"/>
        <v>4681778</v>
      </c>
      <c r="FL23" s="269">
        <f t="shared" si="49"/>
        <v>4681778</v>
      </c>
      <c r="FO23" s="607"/>
      <c r="FP23" s="607"/>
      <c r="FQ23" s="607"/>
      <c r="FR23" s="269">
        <f>'Detailed Budget'!$AC$257</f>
        <v>13636439388</v>
      </c>
      <c r="FS23" s="269">
        <f t="shared" si="50"/>
        <v>23484396</v>
      </c>
      <c r="FT23" s="269">
        <f t="shared" si="51"/>
        <v>23484396</v>
      </c>
      <c r="FU23" s="269"/>
      <c r="FV23" s="269"/>
      <c r="FW23" s="605">
        <f t="shared" si="52"/>
        <v>0</v>
      </c>
      <c r="FX23" s="140">
        <f>'Detailed Budget'!$AC$278</f>
        <v>1114560000</v>
      </c>
      <c r="FY23" s="269">
        <f t="shared" si="53"/>
        <v>1440000</v>
      </c>
      <c r="FZ23" s="269">
        <f t="shared" si="54"/>
        <v>1440000</v>
      </c>
      <c r="GB23" s="269">
        <f t="shared" si="74"/>
        <v>805360189.94884682</v>
      </c>
      <c r="GC23" s="887">
        <f t="shared" si="55"/>
        <v>503350.11871802923</v>
      </c>
      <c r="GD23" s="1078">
        <f t="shared" si="75"/>
        <v>4.5191296265023736E-4</v>
      </c>
    </row>
    <row r="24" spans="1:186" ht="14.25" hidden="1" customHeight="1" outlineLevel="1">
      <c r="A24" s="211" t="s">
        <v>244</v>
      </c>
      <c r="B24" s="212" t="s">
        <v>245</v>
      </c>
      <c r="C24" s="213" t="s">
        <v>215</v>
      </c>
      <c r="D24" s="214"/>
      <c r="E24" s="213"/>
      <c r="F24" s="213"/>
      <c r="G24" s="213" t="s">
        <v>215</v>
      </c>
      <c r="H24" s="213" t="s">
        <v>215</v>
      </c>
      <c r="I24" s="214" t="s">
        <v>215</v>
      </c>
      <c r="J24" s="214"/>
      <c r="K24" s="213" t="s">
        <v>215</v>
      </c>
      <c r="L24" s="213"/>
      <c r="M24" s="214"/>
      <c r="N24" s="213"/>
      <c r="O24" s="214"/>
      <c r="P24" s="213"/>
      <c r="Q24" s="214"/>
      <c r="R24" s="214" t="s">
        <v>215</v>
      </c>
      <c r="S24" s="214"/>
      <c r="T24" s="214"/>
      <c r="U24" s="215">
        <f t="shared" si="76"/>
        <v>6</v>
      </c>
      <c r="V24" s="845" t="s">
        <v>216</v>
      </c>
      <c r="W24" s="216">
        <v>130988</v>
      </c>
      <c r="X24" s="217">
        <v>3.04</v>
      </c>
      <c r="Y24" s="218">
        <f t="shared" si="57"/>
        <v>1.0304</v>
      </c>
      <c r="Z24" s="196">
        <v>19</v>
      </c>
      <c r="AA24" s="218">
        <f t="shared" si="94"/>
        <v>1.7664898659259882</v>
      </c>
      <c r="AB24" s="196">
        <f t="shared" si="77"/>
        <v>231388.97455791335</v>
      </c>
      <c r="AC24">
        <v>18.399999999999999</v>
      </c>
      <c r="AD24" s="196">
        <f t="shared" si="78"/>
        <v>42575.571318656046</v>
      </c>
      <c r="AE24" s="196">
        <f t="shared" si="95"/>
        <v>40446.792752723239</v>
      </c>
      <c r="AF24" s="196">
        <f t="shared" si="79"/>
        <v>0</v>
      </c>
      <c r="AG24" s="606">
        <f t="shared" si="58"/>
        <v>1.8700821321386563E-3</v>
      </c>
      <c r="AH24" s="196">
        <f t="shared" si="96"/>
        <v>11569.448727895668</v>
      </c>
      <c r="AI24" s="248">
        <f t="shared" si="59"/>
        <v>8.9626766352304723E-4</v>
      </c>
      <c r="AJ24" s="196">
        <f t="shared" si="80"/>
        <v>54145.020046551712</v>
      </c>
      <c r="AK24" s="196">
        <f t="shared" si="99"/>
        <v>9255.5589823165337</v>
      </c>
      <c r="AL24" s="196">
        <f t="shared" si="100"/>
        <v>9255.5589823165337</v>
      </c>
      <c r="AM24" s="196">
        <f t="shared" si="5"/>
        <v>18511.117964633067</v>
      </c>
      <c r="AN24" s="627">
        <f t="shared" si="6"/>
        <v>8.9626766352304723E-4</v>
      </c>
      <c r="AO24" s="196">
        <f t="shared" si="7"/>
        <v>8792.7810332007066</v>
      </c>
      <c r="AP24" s="589">
        <f t="shared" si="60"/>
        <v>8.9626766352304723E-4</v>
      </c>
      <c r="AQ24" s="196"/>
      <c r="AR24" s="589"/>
      <c r="AS24">
        <v>1</v>
      </c>
      <c r="AT24" s="589">
        <f t="shared" si="61"/>
        <v>1.2919896640826874E-3</v>
      </c>
      <c r="AU24" s="196">
        <v>13</v>
      </c>
      <c r="AV24" s="245">
        <f t="shared" si="8"/>
        <v>1.4771048744460858E-3</v>
      </c>
      <c r="AX24" s="245"/>
      <c r="AY24" s="245"/>
      <c r="AZ24">
        <v>44</v>
      </c>
      <c r="BA24" s="589">
        <f t="shared" si="62"/>
        <v>1.6122531237404273E-3</v>
      </c>
      <c r="BI24" s="196">
        <v>0</v>
      </c>
      <c r="BK24" s="246">
        <f t="shared" si="63"/>
        <v>0</v>
      </c>
      <c r="BL24" s="246"/>
      <c r="BM24" s="246">
        <f t="shared" si="64"/>
        <v>0</v>
      </c>
      <c r="BN24" s="196">
        <v>1</v>
      </c>
      <c r="BO24" s="196">
        <f t="shared" si="81"/>
        <v>19061.93531798758</v>
      </c>
      <c r="BP24" s="196">
        <f t="shared" si="82"/>
        <v>19061.93531798758</v>
      </c>
      <c r="BQ24" s="248">
        <f t="shared" si="65"/>
        <v>1.7831552823687309E-3</v>
      </c>
      <c r="BR24" s="248"/>
      <c r="BS24" s="248"/>
      <c r="BT24" s="276">
        <v>0</v>
      </c>
      <c r="BU24" s="196">
        <f t="shared" si="97"/>
        <v>0</v>
      </c>
      <c r="BV24" s="264">
        <f t="shared" si="66"/>
        <v>0</v>
      </c>
      <c r="BW24" s="196">
        <f t="shared" si="98"/>
        <v>0</v>
      </c>
      <c r="BX24" s="247">
        <f t="shared" si="67"/>
        <v>0</v>
      </c>
      <c r="BY24" s="196">
        <f t="shared" si="83"/>
        <v>0</v>
      </c>
      <c r="BZ24" s="620">
        <v>1</v>
      </c>
      <c r="CA24" s="196">
        <f t="shared" si="10"/>
        <v>70805.026214721482</v>
      </c>
      <c r="CB24" s="196">
        <f t="shared" si="11"/>
        <v>141610.05242944296</v>
      </c>
      <c r="CC24" s="196">
        <f t="shared" si="12"/>
        <v>212415.07864416443</v>
      </c>
      <c r="CD24" s="247">
        <f t="shared" si="13"/>
        <v>8.9626766352304712E-4</v>
      </c>
      <c r="CE24" s="196">
        <f t="shared" si="84"/>
        <v>28032.696573676174</v>
      </c>
      <c r="CF24" s="247">
        <f t="shared" si="14"/>
        <v>1.2105390182145569E-3</v>
      </c>
      <c r="CG24" s="196">
        <f t="shared" si="15"/>
        <v>35171.124132802826</v>
      </c>
      <c r="CH24" s="589">
        <f t="shared" si="68"/>
        <v>8.9626766352304723E-4</v>
      </c>
      <c r="CI24" s="196">
        <f t="shared" si="85"/>
        <v>68083.794644222391</v>
      </c>
      <c r="CJ24" s="248">
        <f t="shared" si="70"/>
        <v>1.1192974111314958E-3</v>
      </c>
      <c r="CK24" s="196">
        <f t="shared" si="86"/>
        <v>52894.684221238109</v>
      </c>
      <c r="CL24" s="589">
        <f t="shared" si="71"/>
        <v>7.6037196565266138E-4</v>
      </c>
      <c r="CM24" s="196">
        <f t="shared" si="87"/>
        <v>5124.173784951432</v>
      </c>
      <c r="CN24" s="589">
        <f t="shared" si="72"/>
        <v>7.3845167685842878E-4</v>
      </c>
      <c r="CO24" s="196">
        <f t="shared" si="88"/>
        <v>409.96469710972605</v>
      </c>
      <c r="CP24" s="589">
        <f t="shared" si="73"/>
        <v>7.7313027256080164E-4</v>
      </c>
      <c r="CQ24" s="196">
        <f>'Detailed Budget'!$AC$12</f>
        <v>292876014141.44696</v>
      </c>
      <c r="CR24" s="269">
        <f t="shared" si="16"/>
        <v>0</v>
      </c>
      <c r="CS24" s="269">
        <f>'Detailed Budget'!$AC$16</f>
        <v>10488008800.000002</v>
      </c>
      <c r="CT24" s="607">
        <f t="shared" si="17"/>
        <v>0</v>
      </c>
      <c r="CU24" s="269">
        <f>'Detailed Budget'!$AC$24</f>
        <v>30624985696</v>
      </c>
      <c r="CV24" s="269">
        <f t="shared" si="18"/>
        <v>0</v>
      </c>
      <c r="CW24" s="269"/>
      <c r="CX24" s="269">
        <f t="shared" si="19"/>
        <v>0</v>
      </c>
      <c r="CY24" s="196">
        <f>'Detailed Budget'!$AC$97</f>
        <v>74629165494.837845</v>
      </c>
      <c r="CZ24" s="269">
        <f t="shared" si="20"/>
        <v>133075390.67089032</v>
      </c>
      <c r="DA24" s="269">
        <f>'Detailed Budget'!$AC$100</f>
        <v>14925833098.967569</v>
      </c>
      <c r="DB24" s="269">
        <f t="shared" si="21"/>
        <v>26615078.134178065</v>
      </c>
      <c r="DC24" s="269">
        <f t="shared" si="22"/>
        <v>159690468.80506837</v>
      </c>
      <c r="DD24" s="207">
        <v>0</v>
      </c>
      <c r="DE24" s="606">
        <v>0</v>
      </c>
      <c r="DF24" s="269">
        <f>'Detailed Budget'!$AC$147</f>
        <v>5913600671000</v>
      </c>
      <c r="DG24" s="269">
        <f t="shared" si="23"/>
        <v>0</v>
      </c>
      <c r="DH24" s="269">
        <f>'Detailed Budget'!$AC$153</f>
        <v>226428026880.00003</v>
      </c>
      <c r="DI24" s="269"/>
      <c r="DJ24" s="269">
        <f>'Detailed Budget'!$AC$156</f>
        <v>27713070000</v>
      </c>
      <c r="DK24" s="269"/>
      <c r="DL24" s="269"/>
      <c r="DM24" s="196">
        <f>'Detailed Budget'!$AC$178</f>
        <v>5622683761.6229038</v>
      </c>
      <c r="DN24" s="269">
        <f t="shared" si="24"/>
        <v>0</v>
      </c>
      <c r="DO24" s="196">
        <f>'Detailed Budget'!$AC$179</f>
        <v>26827890683.128094</v>
      </c>
      <c r="DP24" s="269">
        <f t="shared" si="25"/>
        <v>0</v>
      </c>
      <c r="DQ24" s="269">
        <f t="shared" si="89"/>
        <v>0</v>
      </c>
      <c r="DR24" s="269">
        <f>'Detailed Budget'!$AC$181</f>
        <v>50888946855.375237</v>
      </c>
      <c r="DS24" s="269">
        <f t="shared" si="90"/>
        <v>0</v>
      </c>
      <c r="DT24" s="269">
        <f t="shared" si="91"/>
        <v>0</v>
      </c>
      <c r="DU24" s="272">
        <f>'Detailed Budget'!$AC$192</f>
        <v>77498869683.252869</v>
      </c>
      <c r="DV24" s="269">
        <f t="shared" si="92"/>
        <v>69459730.85668616</v>
      </c>
      <c r="DW24" s="140">
        <f>'Detailed Budget'!$AC$194</f>
        <v>2684962805.4134097</v>
      </c>
      <c r="DX24" s="269">
        <f t="shared" si="93"/>
        <v>2406445.3402541629</v>
      </c>
      <c r="DY24" s="607">
        <f t="shared" si="26"/>
        <v>71866176.196940318</v>
      </c>
      <c r="DZ24" s="196">
        <f>'Detailed Budget'!$AC$198</f>
        <v>18732540018.380611</v>
      </c>
      <c r="EA24" s="269">
        <f t="shared" si="27"/>
        <v>22676470.602515362</v>
      </c>
      <c r="EB24" s="196">
        <f>'Detailed Budget'!$AC$200</f>
        <v>4683135004.5951529</v>
      </c>
      <c r="EC24" s="269">
        <f t="shared" si="28"/>
        <v>5669117.6506288406</v>
      </c>
      <c r="ED24" s="269">
        <f t="shared" si="29"/>
        <v>28345588.253144205</v>
      </c>
      <c r="EE24" s="196">
        <f>'Detailed Budget'!$AC$161</f>
        <v>251147290106.36197</v>
      </c>
      <c r="EF24" s="269">
        <f t="shared" si="30"/>
        <v>225095194.90377396</v>
      </c>
      <c r="EG24" s="196">
        <f>'Detailed Budget'!$AC$163</f>
        <v>15696705631.647623</v>
      </c>
      <c r="EH24" s="269">
        <f t="shared" si="31"/>
        <v>14068449.681485873</v>
      </c>
      <c r="EI24" s="269">
        <f t="shared" si="32"/>
        <v>239163644.58525982</v>
      </c>
      <c r="EJ24" s="196">
        <f>'Detailed Budget'!$AC$204</f>
        <v>45012172507.531975</v>
      </c>
      <c r="EK24" s="269">
        <f t="shared" si="33"/>
        <v>50382008.15708483</v>
      </c>
      <c r="EL24" s="201">
        <f>'Detailed Budget'!$AC$206</f>
        <v>11253043126.882994</v>
      </c>
      <c r="EM24" s="269">
        <f t="shared" si="34"/>
        <v>12595502.039271208</v>
      </c>
      <c r="EN24" s="269">
        <f t="shared" si="35"/>
        <v>62977510.196356036</v>
      </c>
      <c r="EO24" s="140">
        <f>'Detailed Budget'!$AC$209</f>
        <v>135789361677.54817</v>
      </c>
      <c r="EP24" s="269">
        <f t="shared" si="36"/>
        <v>103250423.85347748</v>
      </c>
      <c r="EQ24" s="196">
        <f>'Detailed Budget'!$AC$211</f>
        <v>33947340419.387043</v>
      </c>
      <c r="ER24" s="269">
        <f t="shared" si="37"/>
        <v>25812605.96336937</v>
      </c>
      <c r="ES24" s="269">
        <f t="shared" si="38"/>
        <v>129063029.81684685</v>
      </c>
      <c r="ET24" s="196">
        <f>'Detailed Budget'!$AC$214</f>
        <v>22239745544.201103</v>
      </c>
      <c r="EU24" s="269">
        <f t="shared" si="39"/>
        <v>16422977.390020074</v>
      </c>
      <c r="EV24" s="140">
        <f>'Detailed Budget'!$AC$217</f>
        <v>5559936386.0502758</v>
      </c>
      <c r="EW24" s="269">
        <f t="shared" si="40"/>
        <v>4105744.3475050186</v>
      </c>
      <c r="EX24" s="269">
        <f t="shared" si="41"/>
        <v>20528721.737525094</v>
      </c>
      <c r="EY24" s="196">
        <f>'Detailed Budget'!$AC$219</f>
        <v>372777004.58170313</v>
      </c>
      <c r="EZ24" s="269">
        <f t="shared" si="42"/>
        <v>288205.18715665134</v>
      </c>
      <c r="FA24" s="196">
        <f>'Detailed Budget'!$AC$222</f>
        <v>93194251.145425782</v>
      </c>
      <c r="FB24" s="269">
        <f t="shared" si="43"/>
        <v>72051.296789162836</v>
      </c>
      <c r="FC24" s="269">
        <f t="shared" si="44"/>
        <v>360256.48394581419</v>
      </c>
      <c r="FD24" s="269"/>
      <c r="FE24" s="269">
        <f t="shared" si="45"/>
        <v>212929518.2346738</v>
      </c>
      <c r="FF24" s="140">
        <f>'Detailed Budget'!$AC$165</f>
        <v>14927760000</v>
      </c>
      <c r="FG24" s="1087">
        <f t="shared" si="46"/>
        <v>290449957.49741554</v>
      </c>
      <c r="FH24" s="269">
        <f t="shared" si="47"/>
        <v>22049867.060561303</v>
      </c>
      <c r="FJ24" s="140">
        <f>'Detailed Budget'!$AC$235</f>
        <v>3623696172</v>
      </c>
      <c r="FK24" s="269">
        <f t="shared" si="48"/>
        <v>4681778</v>
      </c>
      <c r="FL24" s="269">
        <f t="shared" si="49"/>
        <v>4681778</v>
      </c>
      <c r="FO24" s="607"/>
      <c r="FP24" s="607"/>
      <c r="FQ24" s="607"/>
      <c r="FR24" s="269">
        <f>'Detailed Budget'!$AC$257</f>
        <v>13636439388</v>
      </c>
      <c r="FS24" s="269">
        <f t="shared" si="50"/>
        <v>21985392</v>
      </c>
      <c r="FT24" s="269">
        <f t="shared" si="51"/>
        <v>21985392</v>
      </c>
      <c r="FU24" s="269"/>
      <c r="FV24" s="269"/>
      <c r="FW24" s="605">
        <f t="shared" si="52"/>
        <v>0</v>
      </c>
      <c r="FX24" s="140">
        <f>'Detailed Budget'!$AC$278</f>
        <v>1114560000</v>
      </c>
      <c r="FY24" s="269">
        <f t="shared" si="53"/>
        <v>1440000</v>
      </c>
      <c r="FZ24" s="269">
        <f t="shared" si="54"/>
        <v>1440000</v>
      </c>
      <c r="GB24" s="269">
        <f t="shared" si="74"/>
        <v>1052602390.6330634</v>
      </c>
      <c r="GC24" s="887">
        <f t="shared" si="55"/>
        <v>657876.49414566462</v>
      </c>
      <c r="GD24" s="1078">
        <f t="shared" si="75"/>
        <v>5.906483468892641E-4</v>
      </c>
    </row>
    <row r="25" spans="1:186" ht="14.25" hidden="1" customHeight="1" outlineLevel="1">
      <c r="A25" s="211" t="s">
        <v>246</v>
      </c>
      <c r="B25" s="212" t="s">
        <v>247</v>
      </c>
      <c r="C25" s="213" t="s">
        <v>215</v>
      </c>
      <c r="D25" s="214"/>
      <c r="E25" s="213"/>
      <c r="F25" s="213"/>
      <c r="G25" s="213" t="s">
        <v>215</v>
      </c>
      <c r="H25" s="213" t="s">
        <v>215</v>
      </c>
      <c r="I25" s="214" t="s">
        <v>215</v>
      </c>
      <c r="J25" s="214"/>
      <c r="K25" s="213" t="s">
        <v>215</v>
      </c>
      <c r="L25" s="213"/>
      <c r="M25" s="214"/>
      <c r="N25" s="213"/>
      <c r="O25" s="214"/>
      <c r="P25" s="213"/>
      <c r="Q25" s="214"/>
      <c r="R25" s="214" t="s">
        <v>215</v>
      </c>
      <c r="S25" s="214"/>
      <c r="T25" s="214"/>
      <c r="U25" s="215">
        <f t="shared" si="76"/>
        <v>6</v>
      </c>
      <c r="V25" s="845" t="s">
        <v>216</v>
      </c>
      <c r="W25" s="216">
        <v>70688</v>
      </c>
      <c r="X25" s="217">
        <v>3.04</v>
      </c>
      <c r="Y25" s="218">
        <f t="shared" si="57"/>
        <v>1.0304</v>
      </c>
      <c r="Z25" s="196">
        <v>19</v>
      </c>
      <c r="AA25" s="218">
        <f t="shared" si="94"/>
        <v>1.7664898659259882</v>
      </c>
      <c r="AB25" s="196">
        <f t="shared" si="77"/>
        <v>124869.63564257625</v>
      </c>
      <c r="AC25">
        <v>18.399999999999999</v>
      </c>
      <c r="AD25" s="196">
        <f t="shared" si="78"/>
        <v>22976.012958234027</v>
      </c>
      <c r="AE25" s="196">
        <f t="shared" si="95"/>
        <v>21827.212310322324</v>
      </c>
      <c r="AF25" s="196">
        <f t="shared" si="79"/>
        <v>0</v>
      </c>
      <c r="AG25" s="606">
        <f t="shared" si="58"/>
        <v>1.009194473971794E-3</v>
      </c>
      <c r="AH25" s="196">
        <f t="shared" si="96"/>
        <v>6243.4817821288125</v>
      </c>
      <c r="AI25" s="248">
        <f t="shared" si="59"/>
        <v>4.8367307386262224E-4</v>
      </c>
      <c r="AJ25" s="196">
        <f t="shared" si="80"/>
        <v>29219.494740362839</v>
      </c>
      <c r="AK25" s="196">
        <f t="shared" si="99"/>
        <v>4994.7854257030504</v>
      </c>
      <c r="AL25" s="196">
        <f t="shared" si="100"/>
        <v>4994.7854257030504</v>
      </c>
      <c r="AM25" s="196">
        <f t="shared" si="5"/>
        <v>9989.5708514061007</v>
      </c>
      <c r="AN25" s="627">
        <f t="shared" si="6"/>
        <v>4.8367307386262224E-4</v>
      </c>
      <c r="AO25" s="196">
        <f t="shared" si="7"/>
        <v>4745.046154417897</v>
      </c>
      <c r="AP25" s="589">
        <f t="shared" si="60"/>
        <v>4.8367307386262218E-4</v>
      </c>
      <c r="AQ25" s="196"/>
      <c r="AR25" s="589"/>
      <c r="AS25">
        <v>1</v>
      </c>
      <c r="AT25" s="589">
        <f t="shared" si="61"/>
        <v>1.2919896640826874E-3</v>
      </c>
      <c r="AU25" s="196">
        <v>11</v>
      </c>
      <c r="AV25" s="245">
        <f t="shared" si="8"/>
        <v>1.2498579706851495E-3</v>
      </c>
      <c r="AX25" s="245"/>
      <c r="AY25" s="245"/>
      <c r="AZ25">
        <v>29</v>
      </c>
      <c r="BA25" s="589">
        <f t="shared" si="62"/>
        <v>1.0626213770107361E-3</v>
      </c>
      <c r="BI25" s="196">
        <v>0</v>
      </c>
      <c r="BK25" s="246">
        <f t="shared" si="63"/>
        <v>0</v>
      </c>
      <c r="BL25" s="246"/>
      <c r="BM25" s="246">
        <f t="shared" si="64"/>
        <v>0</v>
      </c>
      <c r="BN25" s="196">
        <v>1</v>
      </c>
      <c r="BO25" s="196">
        <f t="shared" si="81"/>
        <v>10286.820806164733</v>
      </c>
      <c r="BP25" s="196">
        <f t="shared" si="82"/>
        <v>10286.820806164733</v>
      </c>
      <c r="BQ25" s="248">
        <f t="shared" si="65"/>
        <v>9.6228418328458216E-4</v>
      </c>
      <c r="BR25" s="248"/>
      <c r="BS25" s="248"/>
      <c r="BT25" s="276">
        <v>0</v>
      </c>
      <c r="BU25" s="196">
        <f t="shared" si="97"/>
        <v>0</v>
      </c>
      <c r="BV25" s="264">
        <f t="shared" si="66"/>
        <v>0</v>
      </c>
      <c r="BW25" s="196">
        <f t="shared" si="98"/>
        <v>0</v>
      </c>
      <c r="BX25" s="247">
        <f t="shared" si="67"/>
        <v>0</v>
      </c>
      <c r="BY25" s="196">
        <f t="shared" si="83"/>
        <v>0</v>
      </c>
      <c r="BZ25" s="620">
        <v>1</v>
      </c>
      <c r="CA25" s="196">
        <f t="shared" si="10"/>
        <v>38210.108506628341</v>
      </c>
      <c r="CB25" s="196">
        <f t="shared" si="11"/>
        <v>76420.217013256683</v>
      </c>
      <c r="CC25" s="196">
        <f t="shared" si="12"/>
        <v>114630.32551988502</v>
      </c>
      <c r="CD25" s="247">
        <f t="shared" si="13"/>
        <v>4.8367307386262235E-4</v>
      </c>
      <c r="CE25" s="196">
        <f t="shared" si="84"/>
        <v>15127.914430329658</v>
      </c>
      <c r="CF25" s="247">
        <f t="shared" si="14"/>
        <v>6.5327039209355506E-4</v>
      </c>
      <c r="CG25" s="196">
        <f t="shared" si="15"/>
        <v>18980.184617671588</v>
      </c>
      <c r="CH25" s="589">
        <f t="shared" si="68"/>
        <v>4.8367307386262218E-4</v>
      </c>
      <c r="CI25" s="196">
        <f t="shared" si="85"/>
        <v>36741.58912122326</v>
      </c>
      <c r="CJ25" s="248">
        <f t="shared" si="70"/>
        <v>6.0403163189042648E-4</v>
      </c>
      <c r="CK25" s="196">
        <f t="shared" si="86"/>
        <v>28544.747902333645</v>
      </c>
      <c r="CL25" s="589">
        <f t="shared" si="71"/>
        <v>4.1033662250019334E-4</v>
      </c>
      <c r="CM25" s="196">
        <f t="shared" si="87"/>
        <v>2765.2731281540819</v>
      </c>
      <c r="CN25" s="589">
        <f t="shared" si="72"/>
        <v>3.9850728413113126E-4</v>
      </c>
      <c r="CO25" s="196">
        <f t="shared" si="88"/>
        <v>221.23846848026014</v>
      </c>
      <c r="CP25" s="589">
        <f t="shared" si="73"/>
        <v>4.1722167455627955E-4</v>
      </c>
      <c r="CQ25" s="196">
        <f>'Detailed Budget'!$AC$12</f>
        <v>292876014141.44696</v>
      </c>
      <c r="CR25" s="269">
        <f t="shared" si="16"/>
        <v>0</v>
      </c>
      <c r="CS25" s="269">
        <f>'Detailed Budget'!$AC$16</f>
        <v>10488008800.000002</v>
      </c>
      <c r="CT25" s="607">
        <f t="shared" si="17"/>
        <v>0</v>
      </c>
      <c r="CU25" s="269">
        <f>'Detailed Budget'!$AC$24</f>
        <v>30624985696</v>
      </c>
      <c r="CV25" s="269">
        <f t="shared" si="18"/>
        <v>0</v>
      </c>
      <c r="CW25" s="269"/>
      <c r="CX25" s="269">
        <f t="shared" si="19"/>
        <v>0</v>
      </c>
      <c r="CY25" s="196">
        <f>'Detailed Budget'!$AC$97</f>
        <v>74629165494.837845</v>
      </c>
      <c r="CZ25" s="269">
        <f t="shared" si="20"/>
        <v>71814465.567409962</v>
      </c>
      <c r="DA25" s="269">
        <f>'Detailed Budget'!$AC$100</f>
        <v>14925833098.967569</v>
      </c>
      <c r="DB25" s="269">
        <f t="shared" si="21"/>
        <v>14362893.113481991</v>
      </c>
      <c r="DC25" s="269">
        <f t="shared" si="22"/>
        <v>86177358.680891961</v>
      </c>
      <c r="DD25" s="207">
        <v>0</v>
      </c>
      <c r="DE25" s="606">
        <v>0</v>
      </c>
      <c r="DF25" s="269">
        <f>'Detailed Budget'!$AC$147</f>
        <v>5913600671000</v>
      </c>
      <c r="DG25" s="269">
        <f t="shared" si="23"/>
        <v>0</v>
      </c>
      <c r="DH25" s="269">
        <f>'Detailed Budget'!$AC$153</f>
        <v>226428026880.00003</v>
      </c>
      <c r="DI25" s="269"/>
      <c r="DJ25" s="269">
        <f>'Detailed Budget'!$AC$156</f>
        <v>27713070000</v>
      </c>
      <c r="DK25" s="269"/>
      <c r="DL25" s="269"/>
      <c r="DM25" s="196">
        <f>'Detailed Budget'!$AC$178</f>
        <v>5622683761.6229038</v>
      </c>
      <c r="DN25" s="269">
        <f t="shared" si="24"/>
        <v>0</v>
      </c>
      <c r="DO25" s="196">
        <f>'Detailed Budget'!$AC$179</f>
        <v>26827890683.128094</v>
      </c>
      <c r="DP25" s="269">
        <f t="shared" si="25"/>
        <v>0</v>
      </c>
      <c r="DQ25" s="269">
        <f t="shared" si="89"/>
        <v>0</v>
      </c>
      <c r="DR25" s="269">
        <f>'Detailed Budget'!$AC$181</f>
        <v>50888946855.375237</v>
      </c>
      <c r="DS25" s="269">
        <f t="shared" si="90"/>
        <v>0</v>
      </c>
      <c r="DT25" s="269">
        <f t="shared" si="91"/>
        <v>0</v>
      </c>
      <c r="DU25" s="272">
        <f>'Detailed Budget'!$AC$192</f>
        <v>77498869683.252869</v>
      </c>
      <c r="DV25" s="269">
        <f t="shared" si="92"/>
        <v>37484116.520577706</v>
      </c>
      <c r="DW25" s="140">
        <f>'Detailed Budget'!$AC$194</f>
        <v>2684962805.4134097</v>
      </c>
      <c r="DX25" s="269">
        <f t="shared" si="93"/>
        <v>1298644.2133011136</v>
      </c>
      <c r="DY25" s="607">
        <f t="shared" si="26"/>
        <v>38782760.733878821</v>
      </c>
      <c r="DZ25" s="196">
        <f>'Detailed Budget'!$AC$198</f>
        <v>18732540018.380611</v>
      </c>
      <c r="EA25" s="269">
        <f t="shared" si="27"/>
        <v>12237413.762715714</v>
      </c>
      <c r="EB25" s="196">
        <f>'Detailed Budget'!$AC$200</f>
        <v>4683135004.5951529</v>
      </c>
      <c r="EC25" s="269">
        <f t="shared" si="28"/>
        <v>3059353.4406789285</v>
      </c>
      <c r="ED25" s="269">
        <f t="shared" si="29"/>
        <v>15296767.203394642</v>
      </c>
      <c r="EE25" s="196">
        <f>'Detailed Budget'!$AC$161</f>
        <v>251147290106.36197</v>
      </c>
      <c r="EF25" s="269">
        <f t="shared" si="30"/>
        <v>121473181.79801181</v>
      </c>
      <c r="EG25" s="196">
        <f>'Detailed Budget'!$AC$163</f>
        <v>15696705631.647623</v>
      </c>
      <c r="EH25" s="269">
        <f t="shared" si="31"/>
        <v>7592073.8623757381</v>
      </c>
      <c r="EI25" s="269">
        <f t="shared" si="32"/>
        <v>129065255.66038755</v>
      </c>
      <c r="EJ25" s="196">
        <f>'Detailed Budget'!$AC$204</f>
        <v>45012172507.531975</v>
      </c>
      <c r="EK25" s="269">
        <f t="shared" si="33"/>
        <v>27188776.01465793</v>
      </c>
      <c r="EL25" s="201">
        <f>'Detailed Budget'!$AC$206</f>
        <v>11253043126.882994</v>
      </c>
      <c r="EM25" s="269">
        <f t="shared" si="34"/>
        <v>6797194.0036644824</v>
      </c>
      <c r="EN25" s="269">
        <f t="shared" si="35"/>
        <v>33985970.018322408</v>
      </c>
      <c r="EO25" s="140">
        <f>'Detailed Budget'!$AC$209</f>
        <v>135789361677.54817</v>
      </c>
      <c r="EP25" s="269">
        <f t="shared" si="36"/>
        <v>55719348.042222306</v>
      </c>
      <c r="EQ25" s="196">
        <f>'Detailed Budget'!$AC$211</f>
        <v>33947340419.387043</v>
      </c>
      <c r="ER25" s="269">
        <f t="shared" si="37"/>
        <v>13929837.010555577</v>
      </c>
      <c r="ES25" s="269">
        <f t="shared" si="38"/>
        <v>69649185.052777886</v>
      </c>
      <c r="ET25" s="196">
        <f>'Detailed Budget'!$AC$214</f>
        <v>22239745544.201103</v>
      </c>
      <c r="EU25" s="269">
        <f t="shared" si="39"/>
        <v>8862700.5965870097</v>
      </c>
      <c r="EV25" s="140">
        <f>'Detailed Budget'!$AC$217</f>
        <v>5559936386.0502758</v>
      </c>
      <c r="EW25" s="269">
        <f t="shared" si="40"/>
        <v>2215675.1491467524</v>
      </c>
      <c r="EX25" s="269">
        <f t="shared" si="41"/>
        <v>11078375.745733762</v>
      </c>
      <c r="EY25" s="196">
        <f>'Detailed Budget'!$AC$219</f>
        <v>372777004.58170313</v>
      </c>
      <c r="EZ25" s="269">
        <f t="shared" si="42"/>
        <v>155530.64608765207</v>
      </c>
      <c r="FA25" s="196">
        <f>'Detailed Budget'!$AC$222</f>
        <v>93194251.145425782</v>
      </c>
      <c r="FB25" s="269">
        <f t="shared" si="43"/>
        <v>38882.661521913018</v>
      </c>
      <c r="FC25" s="269">
        <f t="shared" si="44"/>
        <v>194413.30760956509</v>
      </c>
      <c r="FD25" s="269"/>
      <c r="FE25" s="269">
        <f t="shared" si="45"/>
        <v>114907944.12444362</v>
      </c>
      <c r="FF25" s="140">
        <f>'Detailed Budget'!$AC$165</f>
        <v>14927760000</v>
      </c>
      <c r="FG25" s="1087">
        <f t="shared" si="46"/>
        <v>156742041.98535216</v>
      </c>
      <c r="FH25" s="269">
        <f t="shared" si="47"/>
        <v>18657579.820474949</v>
      </c>
      <c r="FJ25" s="140">
        <f>'Detailed Budget'!$AC$235</f>
        <v>3623696172</v>
      </c>
      <c r="FK25" s="269">
        <f t="shared" si="48"/>
        <v>4681778</v>
      </c>
      <c r="FL25" s="269">
        <f t="shared" si="49"/>
        <v>4681778</v>
      </c>
      <c r="FO25" s="607"/>
      <c r="FP25" s="607"/>
      <c r="FQ25" s="607"/>
      <c r="FR25" s="269">
        <f>'Detailed Budget'!$AC$257</f>
        <v>13636439388</v>
      </c>
      <c r="FS25" s="269">
        <f t="shared" si="50"/>
        <v>14490372</v>
      </c>
      <c r="FT25" s="269">
        <f t="shared" si="51"/>
        <v>14490372</v>
      </c>
      <c r="FU25" s="269"/>
      <c r="FV25" s="269"/>
      <c r="FW25" s="605">
        <f t="shared" si="52"/>
        <v>0</v>
      </c>
      <c r="FX25" s="140">
        <f>'Detailed Budget'!$AC$278</f>
        <v>1114560000</v>
      </c>
      <c r="FY25" s="269">
        <f t="shared" si="53"/>
        <v>1440000</v>
      </c>
      <c r="FZ25" s="269">
        <f t="shared" si="54"/>
        <v>1440000</v>
      </c>
      <c r="GB25" s="269">
        <f t="shared" si="74"/>
        <v>580241858.2088238</v>
      </c>
      <c r="GC25" s="887">
        <f t="shared" si="55"/>
        <v>362651.16138051485</v>
      </c>
      <c r="GD25" s="1078">
        <f t="shared" si="75"/>
        <v>3.255919779365846E-4</v>
      </c>
    </row>
    <row r="26" spans="1:186" ht="14.25" hidden="1" customHeight="1" outlineLevel="1">
      <c r="A26" s="211" t="s">
        <v>248</v>
      </c>
      <c r="B26" s="212" t="s">
        <v>249</v>
      </c>
      <c r="C26" s="213" t="s">
        <v>215</v>
      </c>
      <c r="D26" s="214"/>
      <c r="E26" s="213"/>
      <c r="F26" s="213"/>
      <c r="G26" s="213" t="s">
        <v>215</v>
      </c>
      <c r="H26" s="213" t="s">
        <v>215</v>
      </c>
      <c r="I26" s="214" t="s">
        <v>215</v>
      </c>
      <c r="J26" s="214"/>
      <c r="K26" s="213" t="s">
        <v>215</v>
      </c>
      <c r="L26" s="213"/>
      <c r="M26" s="214"/>
      <c r="N26" s="213"/>
      <c r="O26" s="214"/>
      <c r="P26" s="213"/>
      <c r="Q26" s="214"/>
      <c r="R26" s="214" t="s">
        <v>215</v>
      </c>
      <c r="S26" s="214"/>
      <c r="T26" s="214"/>
      <c r="U26" s="215">
        <f t="shared" si="76"/>
        <v>6</v>
      </c>
      <c r="V26" s="845" t="s">
        <v>216</v>
      </c>
      <c r="W26" s="216">
        <v>168491</v>
      </c>
      <c r="X26" s="217">
        <v>3.04</v>
      </c>
      <c r="Y26" s="218">
        <f t="shared" si="57"/>
        <v>1.0304</v>
      </c>
      <c r="Z26" s="196">
        <v>19</v>
      </c>
      <c r="AA26" s="218">
        <f t="shared" si="94"/>
        <v>1.7664898659259882</v>
      </c>
      <c r="AB26" s="196">
        <f t="shared" si="77"/>
        <v>297637.64399973571</v>
      </c>
      <c r="AC26">
        <v>18.399999999999999</v>
      </c>
      <c r="AD26" s="196">
        <f t="shared" si="78"/>
        <v>54765.326495951369</v>
      </c>
      <c r="AE26" s="196">
        <f t="shared" si="95"/>
        <v>52027.060171153797</v>
      </c>
      <c r="AF26" s="196">
        <f t="shared" si="79"/>
        <v>0</v>
      </c>
      <c r="AG26" s="606">
        <f t="shared" si="58"/>
        <v>2.4055028592403459E-3</v>
      </c>
      <c r="AH26" s="196">
        <f t="shared" si="96"/>
        <v>14881.882199986787</v>
      </c>
      <c r="AI26" s="248">
        <f t="shared" si="59"/>
        <v>1.1528768657790163E-3</v>
      </c>
      <c r="AJ26" s="196">
        <f t="shared" si="80"/>
        <v>69647.208695938156</v>
      </c>
      <c r="AK26" s="196">
        <f t="shared" si="99"/>
        <v>11905.505759989428</v>
      </c>
      <c r="AL26" s="196">
        <f t="shared" si="100"/>
        <v>11905.505759989428</v>
      </c>
      <c r="AM26" s="196">
        <f t="shared" si="5"/>
        <v>23811.011519978856</v>
      </c>
      <c r="AN26" s="627">
        <f t="shared" si="6"/>
        <v>1.1528768657790161E-3</v>
      </c>
      <c r="AO26" s="196">
        <f t="shared" si="7"/>
        <v>11310.230471989957</v>
      </c>
      <c r="AP26" s="589">
        <f t="shared" si="60"/>
        <v>1.1528768657790161E-3</v>
      </c>
      <c r="AQ26" s="196"/>
      <c r="AR26" s="589"/>
      <c r="AS26">
        <v>1</v>
      </c>
      <c r="AT26" s="589">
        <f t="shared" si="61"/>
        <v>1.2919896640826874E-3</v>
      </c>
      <c r="AU26" s="196">
        <v>10</v>
      </c>
      <c r="AV26" s="245">
        <f t="shared" si="8"/>
        <v>1.1362345188046814E-3</v>
      </c>
      <c r="AX26" s="245"/>
      <c r="AY26" s="245"/>
      <c r="AZ26">
        <v>63</v>
      </c>
      <c r="BA26" s="589">
        <f t="shared" si="62"/>
        <v>2.3084533362647025E-3</v>
      </c>
      <c r="BI26" s="196">
        <v>0</v>
      </c>
      <c r="BK26" s="246">
        <f t="shared" si="63"/>
        <v>0</v>
      </c>
      <c r="BL26" s="246"/>
      <c r="BM26" s="246">
        <f t="shared" si="64"/>
        <v>0</v>
      </c>
      <c r="BN26" s="196">
        <v>1</v>
      </c>
      <c r="BO26" s="196">
        <f t="shared" si="81"/>
        <v>24519.532656907857</v>
      </c>
      <c r="BP26" s="196">
        <f t="shared" si="82"/>
        <v>24519.532656907857</v>
      </c>
      <c r="BQ26" s="248">
        <f t="shared" si="65"/>
        <v>2.2936880987692761E-3</v>
      </c>
      <c r="BR26" s="248"/>
      <c r="BS26" s="248"/>
      <c r="BT26" s="276">
        <v>0</v>
      </c>
      <c r="BU26" s="196">
        <f t="shared" si="97"/>
        <v>0</v>
      </c>
      <c r="BV26" s="264">
        <f t="shared" si="66"/>
        <v>0</v>
      </c>
      <c r="BW26" s="196">
        <f t="shared" si="98"/>
        <v>0</v>
      </c>
      <c r="BX26" s="247">
        <f t="shared" si="67"/>
        <v>0</v>
      </c>
      <c r="BY26" s="196">
        <f t="shared" si="83"/>
        <v>0</v>
      </c>
      <c r="BZ26" s="620">
        <v>1</v>
      </c>
      <c r="CA26" s="196">
        <f t="shared" si="10"/>
        <v>91077.119063919119</v>
      </c>
      <c r="CB26" s="196">
        <f t="shared" si="11"/>
        <v>182154.23812783824</v>
      </c>
      <c r="CC26" s="196">
        <f t="shared" si="12"/>
        <v>273231.35719175736</v>
      </c>
      <c r="CD26" s="247">
        <f t="shared" si="13"/>
        <v>1.1528768657790161E-3</v>
      </c>
      <c r="CE26" s="196">
        <f t="shared" si="84"/>
        <v>36058.700632082888</v>
      </c>
      <c r="CF26" s="247">
        <f t="shared" si="14"/>
        <v>1.5571268338930968E-3</v>
      </c>
      <c r="CG26" s="196">
        <f t="shared" si="15"/>
        <v>45240.921887959827</v>
      </c>
      <c r="CH26" s="589">
        <f t="shared" si="68"/>
        <v>1.1528768657790161E-3</v>
      </c>
      <c r="CI26" s="196">
        <f t="shared" si="85"/>
        <v>87576.775303078743</v>
      </c>
      <c r="CJ26" s="248">
        <f t="shared" si="70"/>
        <v>1.4397619636833674E-3</v>
      </c>
      <c r="CK26" s="196">
        <f t="shared" si="86"/>
        <v>68038.890884055276</v>
      </c>
      <c r="CL26" s="589">
        <f t="shared" si="71"/>
        <v>9.7807305146106966E-4</v>
      </c>
      <c r="CM26" s="196">
        <f t="shared" si="87"/>
        <v>6591.269163589428</v>
      </c>
      <c r="CN26" s="589">
        <f t="shared" si="72"/>
        <v>9.4987679394718263E-4</v>
      </c>
      <c r="CO26" s="196">
        <f t="shared" si="88"/>
        <v>527.3411440797239</v>
      </c>
      <c r="CP26" s="589">
        <f t="shared" si="73"/>
        <v>9.9448417224510697E-4</v>
      </c>
      <c r="CQ26" s="196">
        <f>'Detailed Budget'!$AC$12</f>
        <v>292876014141.44696</v>
      </c>
      <c r="CR26" s="269">
        <f t="shared" si="16"/>
        <v>0</v>
      </c>
      <c r="CS26" s="269">
        <f>'Detailed Budget'!$AC$16</f>
        <v>10488008800.000002</v>
      </c>
      <c r="CT26" s="607">
        <f t="shared" si="17"/>
        <v>0</v>
      </c>
      <c r="CU26" s="269">
        <f>'Detailed Budget'!$AC$24</f>
        <v>30624985696</v>
      </c>
      <c r="CV26" s="269">
        <f t="shared" si="18"/>
        <v>0</v>
      </c>
      <c r="CW26" s="269"/>
      <c r="CX26" s="269">
        <f t="shared" si="19"/>
        <v>0</v>
      </c>
      <c r="CY26" s="196">
        <f>'Detailed Budget'!$AC$97</f>
        <v>74629165494.837845</v>
      </c>
      <c r="CZ26" s="269">
        <f t="shared" si="20"/>
        <v>171176028.71659228</v>
      </c>
      <c r="DA26" s="269">
        <f>'Detailed Budget'!$AC$100</f>
        <v>14925833098.967569</v>
      </c>
      <c r="DB26" s="269">
        <f t="shared" si="21"/>
        <v>34235205.743318453</v>
      </c>
      <c r="DC26" s="269">
        <f t="shared" si="22"/>
        <v>205411234.45991075</v>
      </c>
      <c r="DD26" s="207">
        <v>0</v>
      </c>
      <c r="DE26" s="606">
        <v>0</v>
      </c>
      <c r="DF26" s="269">
        <f>'Detailed Budget'!$AC$147</f>
        <v>5913600671000</v>
      </c>
      <c r="DG26" s="269">
        <f t="shared" si="23"/>
        <v>0</v>
      </c>
      <c r="DH26" s="269">
        <f>'Detailed Budget'!$AC$153</f>
        <v>226428026880.00003</v>
      </c>
      <c r="DI26" s="269"/>
      <c r="DJ26" s="269">
        <f>'Detailed Budget'!$AC$156</f>
        <v>27713070000</v>
      </c>
      <c r="DK26" s="269"/>
      <c r="DL26" s="269"/>
      <c r="DM26" s="196">
        <f>'Detailed Budget'!$AC$178</f>
        <v>5622683761.6229038</v>
      </c>
      <c r="DN26" s="269">
        <f t="shared" si="24"/>
        <v>0</v>
      </c>
      <c r="DO26" s="196">
        <f>'Detailed Budget'!$AC$179</f>
        <v>26827890683.128094</v>
      </c>
      <c r="DP26" s="269">
        <f t="shared" si="25"/>
        <v>0</v>
      </c>
      <c r="DQ26" s="269">
        <f t="shared" si="89"/>
        <v>0</v>
      </c>
      <c r="DR26" s="269">
        <f>'Detailed Budget'!$AC$181</f>
        <v>50888946855.375237</v>
      </c>
      <c r="DS26" s="269">
        <f t="shared" si="90"/>
        <v>0</v>
      </c>
      <c r="DT26" s="269">
        <f t="shared" si="91"/>
        <v>0</v>
      </c>
      <c r="DU26" s="272">
        <f>'Detailed Budget'!$AC$192</f>
        <v>77498869683.252869</v>
      </c>
      <c r="DV26" s="269">
        <f t="shared" si="92"/>
        <v>89346653.981844977</v>
      </c>
      <c r="DW26" s="140">
        <f>'Detailed Budget'!$AC$194</f>
        <v>2684962805.4134097</v>
      </c>
      <c r="DX26" s="269">
        <f t="shared" si="93"/>
        <v>3095431.5038382462</v>
      </c>
      <c r="DY26" s="607">
        <f t="shared" si="26"/>
        <v>92442085.485683218</v>
      </c>
      <c r="DZ26" s="196">
        <f>'Detailed Budget'!$AC$198</f>
        <v>18732540018.380611</v>
      </c>
      <c r="EA26" s="269">
        <f t="shared" si="27"/>
        <v>29168940.729596734</v>
      </c>
      <c r="EB26" s="196">
        <f>'Detailed Budget'!$AC$200</f>
        <v>4683135004.5951529</v>
      </c>
      <c r="EC26" s="269">
        <f t="shared" si="28"/>
        <v>7292235.1823991835</v>
      </c>
      <c r="ED26" s="269">
        <f t="shared" si="29"/>
        <v>36461175.911995918</v>
      </c>
      <c r="EE26" s="196">
        <f>'Detailed Budget'!$AC$161</f>
        <v>251147290106.36197</v>
      </c>
      <c r="EF26" s="269">
        <f t="shared" si="30"/>
        <v>289541900.66671592</v>
      </c>
      <c r="EG26" s="196">
        <f>'Detailed Budget'!$AC$163</f>
        <v>15696705631.647623</v>
      </c>
      <c r="EH26" s="269">
        <f t="shared" si="31"/>
        <v>18096368.791669745</v>
      </c>
      <c r="EI26" s="269">
        <f t="shared" si="32"/>
        <v>307638269.45838565</v>
      </c>
      <c r="EJ26" s="196">
        <f>'Detailed Budget'!$AC$204</f>
        <v>45012172507.531975</v>
      </c>
      <c r="EK26" s="269">
        <f t="shared" si="33"/>
        <v>64806813.879098721</v>
      </c>
      <c r="EL26" s="201">
        <f>'Detailed Budget'!$AC$206</f>
        <v>11253043126.882994</v>
      </c>
      <c r="EM26" s="269">
        <f t="shared" si="34"/>
        <v>16201703.46977468</v>
      </c>
      <c r="EN26" s="269">
        <f t="shared" si="35"/>
        <v>81008517.348873407</v>
      </c>
      <c r="EO26" s="140">
        <f>'Detailed Budget'!$AC$209</f>
        <v>135789361677.54817</v>
      </c>
      <c r="EP26" s="269">
        <f t="shared" si="36"/>
        <v>132811915.33191037</v>
      </c>
      <c r="EQ26" s="196">
        <f>'Detailed Budget'!$AC$211</f>
        <v>33947340419.387043</v>
      </c>
      <c r="ER26" s="269">
        <f t="shared" si="37"/>
        <v>33202978.832977593</v>
      </c>
      <c r="ES26" s="269">
        <f t="shared" si="38"/>
        <v>166014894.16488796</v>
      </c>
      <c r="ET26" s="196">
        <f>'Detailed Budget'!$AC$214</f>
        <v>22239745544.201103</v>
      </c>
      <c r="EU26" s="269">
        <f t="shared" si="39"/>
        <v>21125018.195726883</v>
      </c>
      <c r="EV26" s="140">
        <f>'Detailed Budget'!$AC$217</f>
        <v>5559936386.0502758</v>
      </c>
      <c r="EW26" s="269">
        <f t="shared" si="40"/>
        <v>5281254.5489317207</v>
      </c>
      <c r="EX26" s="269">
        <f t="shared" si="41"/>
        <v>26406272.744658604</v>
      </c>
      <c r="EY26" s="196">
        <f>'Detailed Budget'!$AC$219</f>
        <v>372777004.58170313</v>
      </c>
      <c r="EZ26" s="269">
        <f t="shared" si="42"/>
        <v>370720.83083344548</v>
      </c>
      <c r="FA26" s="196">
        <f>'Detailed Budget'!$AC$222</f>
        <v>93194251.145425782</v>
      </c>
      <c r="FB26" s="269">
        <f t="shared" si="43"/>
        <v>92680.207708361369</v>
      </c>
      <c r="FC26" s="269">
        <f t="shared" si="44"/>
        <v>463401.03854180686</v>
      </c>
      <c r="FD26" s="269"/>
      <c r="FE26" s="269">
        <f t="shared" si="45"/>
        <v>273893085.29696178</v>
      </c>
      <c r="FF26" s="140">
        <f>'Detailed Budget'!$AC$165</f>
        <v>14927760000</v>
      </c>
      <c r="FG26" s="1087">
        <f t="shared" si="46"/>
        <v>373608298.3837989</v>
      </c>
      <c r="FH26" s="269">
        <f t="shared" si="47"/>
        <v>16961436.200431772</v>
      </c>
      <c r="FJ26" s="140">
        <f>'Detailed Budget'!$AC$235</f>
        <v>3623696172</v>
      </c>
      <c r="FK26" s="269">
        <f t="shared" si="48"/>
        <v>4681778</v>
      </c>
      <c r="FL26" s="269">
        <f t="shared" si="49"/>
        <v>4681778</v>
      </c>
      <c r="FO26" s="607"/>
      <c r="FP26" s="607"/>
      <c r="FQ26" s="607"/>
      <c r="FR26" s="269">
        <f>'Detailed Budget'!$AC$257</f>
        <v>13636439388</v>
      </c>
      <c r="FS26" s="269">
        <f t="shared" si="50"/>
        <v>31479084</v>
      </c>
      <c r="FT26" s="269">
        <f t="shared" si="51"/>
        <v>31479084</v>
      </c>
      <c r="FU26" s="269"/>
      <c r="FV26" s="269"/>
      <c r="FW26" s="605">
        <f t="shared" si="52"/>
        <v>0</v>
      </c>
      <c r="FX26" s="140">
        <f>'Detailed Budget'!$AC$278</f>
        <v>1114560000</v>
      </c>
      <c r="FY26" s="269">
        <f t="shared" si="53"/>
        <v>1440000</v>
      </c>
      <c r="FZ26" s="269">
        <f t="shared" si="54"/>
        <v>1440000</v>
      </c>
      <c r="GB26" s="269">
        <f t="shared" si="74"/>
        <v>1344016447.1971679</v>
      </c>
      <c r="GC26" s="887">
        <f t="shared" si="55"/>
        <v>840010.27949822997</v>
      </c>
      <c r="GD26" s="1078">
        <f t="shared" si="75"/>
        <v>7.5416995039461366E-4</v>
      </c>
    </row>
    <row r="27" spans="1:186" ht="14.25" hidden="1" customHeight="1" outlineLevel="1">
      <c r="A27" s="211" t="s">
        <v>250</v>
      </c>
      <c r="B27" s="212" t="s">
        <v>251</v>
      </c>
      <c r="C27" s="213" t="s">
        <v>215</v>
      </c>
      <c r="D27" s="214"/>
      <c r="E27" s="213"/>
      <c r="F27" s="213"/>
      <c r="G27" s="213" t="s">
        <v>215</v>
      </c>
      <c r="H27" s="213" t="s">
        <v>215</v>
      </c>
      <c r="I27" s="214" t="s">
        <v>215</v>
      </c>
      <c r="J27" s="214"/>
      <c r="K27" s="213" t="s">
        <v>215</v>
      </c>
      <c r="L27" s="213"/>
      <c r="M27" s="214"/>
      <c r="N27" s="213"/>
      <c r="O27" s="214"/>
      <c r="P27" s="213"/>
      <c r="Q27" s="214"/>
      <c r="R27" s="214" t="s">
        <v>215</v>
      </c>
      <c r="S27" s="214"/>
      <c r="T27" s="214"/>
      <c r="U27" s="215">
        <f t="shared" si="76"/>
        <v>6</v>
      </c>
      <c r="V27" s="845" t="s">
        <v>216</v>
      </c>
      <c r="W27" s="216">
        <v>175596</v>
      </c>
      <c r="X27" s="217">
        <v>3.04</v>
      </c>
      <c r="Y27" s="218">
        <f t="shared" si="57"/>
        <v>1.0304</v>
      </c>
      <c r="Z27" s="196">
        <v>19</v>
      </c>
      <c r="AA27" s="218">
        <f t="shared" si="94"/>
        <v>1.7664898659259882</v>
      </c>
      <c r="AB27" s="196">
        <f t="shared" si="77"/>
        <v>310188.55449713982</v>
      </c>
      <c r="AC27">
        <v>18.399999999999999</v>
      </c>
      <c r="AD27" s="196">
        <f t="shared" si="78"/>
        <v>57074.694027473721</v>
      </c>
      <c r="AE27" s="196">
        <f t="shared" si="95"/>
        <v>54220.959326100034</v>
      </c>
      <c r="AF27" s="196">
        <f t="shared" si="79"/>
        <v>0</v>
      </c>
      <c r="AG27" s="606">
        <f t="shared" si="58"/>
        <v>2.5069391247673034E-3</v>
      </c>
      <c r="AH27" s="196">
        <f t="shared" si="96"/>
        <v>15509.427724856992</v>
      </c>
      <c r="AI27" s="248">
        <f t="shared" si="59"/>
        <v>1.2014918667663679E-3</v>
      </c>
      <c r="AJ27" s="196">
        <f t="shared" si="80"/>
        <v>72584.121752330713</v>
      </c>
      <c r="AK27" s="196">
        <f t="shared" si="99"/>
        <v>12407.542179885593</v>
      </c>
      <c r="AL27" s="196">
        <f t="shared" si="100"/>
        <v>12407.542179885593</v>
      </c>
      <c r="AM27" s="196">
        <f t="shared" si="5"/>
        <v>24815.084359771186</v>
      </c>
      <c r="AN27" s="627">
        <f t="shared" si="6"/>
        <v>1.2014918667663679E-3</v>
      </c>
      <c r="AO27" s="196">
        <f t="shared" si="7"/>
        <v>11787.165070891313</v>
      </c>
      <c r="AP27" s="589">
        <f t="shared" si="60"/>
        <v>1.2014918667663679E-3</v>
      </c>
      <c r="AQ27" s="196"/>
      <c r="AR27" s="589"/>
      <c r="AS27">
        <v>1</v>
      </c>
      <c r="AT27" s="589">
        <f t="shared" si="61"/>
        <v>1.2919896640826874E-3</v>
      </c>
      <c r="AU27" s="196">
        <v>12</v>
      </c>
      <c r="AV27" s="245">
        <f t="shared" si="8"/>
        <v>1.3634814225656176E-3</v>
      </c>
      <c r="AX27" s="245"/>
      <c r="AY27" s="245"/>
      <c r="AZ27">
        <v>54</v>
      </c>
      <c r="BA27" s="589">
        <f t="shared" si="62"/>
        <v>1.9786742882268878E-3</v>
      </c>
      <c r="BI27" s="196">
        <v>0</v>
      </c>
      <c r="BK27" s="246">
        <f t="shared" si="63"/>
        <v>0</v>
      </c>
      <c r="BL27" s="246"/>
      <c r="BM27" s="246">
        <f t="shared" si="64"/>
        <v>0</v>
      </c>
      <c r="BN27" s="196">
        <v>1</v>
      </c>
      <c r="BO27" s="196">
        <f t="shared" si="81"/>
        <v>25553.482716717161</v>
      </c>
      <c r="BP27" s="196">
        <f t="shared" si="82"/>
        <v>25553.482716717161</v>
      </c>
      <c r="BQ27" s="248">
        <f t="shared" si="65"/>
        <v>2.3904093120195721E-3</v>
      </c>
      <c r="BR27" s="248"/>
      <c r="BS27" s="248"/>
      <c r="BT27" s="276">
        <v>0</v>
      </c>
      <c r="BU27" s="196">
        <f t="shared" si="97"/>
        <v>0</v>
      </c>
      <c r="BV27" s="264">
        <f t="shared" si="66"/>
        <v>0</v>
      </c>
      <c r="BW27" s="196">
        <f t="shared" si="98"/>
        <v>0</v>
      </c>
      <c r="BX27" s="247">
        <f t="shared" si="67"/>
        <v>0</v>
      </c>
      <c r="BY27" s="196">
        <f t="shared" si="83"/>
        <v>0</v>
      </c>
      <c r="BZ27" s="620">
        <v>1</v>
      </c>
      <c r="CA27" s="196">
        <f t="shared" si="10"/>
        <v>94917.697676124793</v>
      </c>
      <c r="CB27" s="196">
        <f t="shared" si="11"/>
        <v>189835.39535224959</v>
      </c>
      <c r="CC27" s="196">
        <f t="shared" si="12"/>
        <v>284753.09302837437</v>
      </c>
      <c r="CD27" s="247">
        <f t="shared" si="13"/>
        <v>1.2014918667663679E-3</v>
      </c>
      <c r="CE27" s="196">
        <f t="shared" si="84"/>
        <v>37579.239224594938</v>
      </c>
      <c r="CF27" s="247">
        <f t="shared" si="14"/>
        <v>1.622788419110173E-3</v>
      </c>
      <c r="CG27" s="196">
        <f t="shared" si="15"/>
        <v>47148.660283565252</v>
      </c>
      <c r="CH27" s="589">
        <f t="shared" si="68"/>
        <v>1.2014918667663679E-3</v>
      </c>
      <c r="CI27" s="196">
        <f t="shared" si="85"/>
        <v>91269.749933939558</v>
      </c>
      <c r="CJ27" s="248">
        <f t="shared" si="70"/>
        <v>1.50047445724071E-3</v>
      </c>
      <c r="CK27" s="196">
        <f t="shared" si="86"/>
        <v>70907.983712344096</v>
      </c>
      <c r="CL27" s="589">
        <f t="shared" si="71"/>
        <v>1.0193168510149384E-3</v>
      </c>
      <c r="CM27" s="196">
        <f t="shared" si="87"/>
        <v>6869.2125991871908</v>
      </c>
      <c r="CN27" s="589">
        <f t="shared" si="72"/>
        <v>9.8993160174697418E-4</v>
      </c>
      <c r="CO27" s="196">
        <f t="shared" si="88"/>
        <v>549.57828926069158</v>
      </c>
      <c r="CP27" s="589">
        <f t="shared" si="73"/>
        <v>1.0364200029055069E-3</v>
      </c>
      <c r="CQ27" s="196">
        <f>'Detailed Budget'!$AC$12</f>
        <v>292876014141.44696</v>
      </c>
      <c r="CR27" s="269">
        <f t="shared" si="16"/>
        <v>0</v>
      </c>
      <c r="CS27" s="269">
        <f>'Detailed Budget'!$AC$16</f>
        <v>10488008800.000002</v>
      </c>
      <c r="CT27" s="607">
        <f t="shared" si="17"/>
        <v>0</v>
      </c>
      <c r="CU27" s="269">
        <f>'Detailed Budget'!$AC$24</f>
        <v>30624985696</v>
      </c>
      <c r="CV27" s="269">
        <f t="shared" si="18"/>
        <v>0</v>
      </c>
      <c r="CW27" s="269"/>
      <c r="CX27" s="269">
        <f t="shared" si="19"/>
        <v>0</v>
      </c>
      <c r="CY27" s="196">
        <f>'Detailed Budget'!$AC$97</f>
        <v>74629165494.837845</v>
      </c>
      <c r="CZ27" s="269">
        <f t="shared" si="20"/>
        <v>178394252.14711013</v>
      </c>
      <c r="DA27" s="269">
        <f>'Detailed Budget'!$AC$100</f>
        <v>14925833098.967569</v>
      </c>
      <c r="DB27" s="269">
        <f t="shared" si="21"/>
        <v>35678850.429422028</v>
      </c>
      <c r="DC27" s="269">
        <f t="shared" si="22"/>
        <v>214073102.57653216</v>
      </c>
      <c r="DD27" s="207">
        <v>0</v>
      </c>
      <c r="DE27" s="606">
        <v>0</v>
      </c>
      <c r="DF27" s="269">
        <f>'Detailed Budget'!$AC$147</f>
        <v>5913600671000</v>
      </c>
      <c r="DG27" s="269">
        <f t="shared" si="23"/>
        <v>0</v>
      </c>
      <c r="DH27" s="269">
        <f>'Detailed Budget'!$AC$153</f>
        <v>226428026880.00003</v>
      </c>
      <c r="DI27" s="269"/>
      <c r="DJ27" s="269">
        <f>'Detailed Budget'!$AC$156</f>
        <v>27713070000</v>
      </c>
      <c r="DK27" s="269"/>
      <c r="DL27" s="269"/>
      <c r="DM27" s="196">
        <f>'Detailed Budget'!$AC$178</f>
        <v>5622683761.6229038</v>
      </c>
      <c r="DN27" s="269">
        <f t="shared" si="24"/>
        <v>0</v>
      </c>
      <c r="DO27" s="196">
        <f>'Detailed Budget'!$AC$179</f>
        <v>26827890683.128094</v>
      </c>
      <c r="DP27" s="269">
        <f t="shared" si="25"/>
        <v>0</v>
      </c>
      <c r="DQ27" s="269">
        <f t="shared" si="89"/>
        <v>0</v>
      </c>
      <c r="DR27" s="269">
        <f>'Detailed Budget'!$AC$181</f>
        <v>50888946855.375237</v>
      </c>
      <c r="DS27" s="269">
        <f t="shared" si="90"/>
        <v>0</v>
      </c>
      <c r="DT27" s="269">
        <f t="shared" si="91"/>
        <v>0</v>
      </c>
      <c r="DU27" s="272">
        <f>'Detailed Budget'!$AC$192</f>
        <v>77498869683.252869</v>
      </c>
      <c r="DV27" s="269">
        <f t="shared" si="92"/>
        <v>93114261.608014971</v>
      </c>
      <c r="DW27" s="140">
        <f>'Detailed Budget'!$AC$194</f>
        <v>2684962805.4134097</v>
      </c>
      <c r="DX27" s="269">
        <f t="shared" si="93"/>
        <v>3225960.9732744219</v>
      </c>
      <c r="DY27" s="607">
        <f t="shared" si="26"/>
        <v>96340222.581289396</v>
      </c>
      <c r="DZ27" s="196">
        <f>'Detailed Budget'!$AC$198</f>
        <v>18732540018.380611</v>
      </c>
      <c r="EA27" s="269">
        <f t="shared" si="27"/>
        <v>30398949.002345923</v>
      </c>
      <c r="EB27" s="196">
        <f>'Detailed Budget'!$AC$200</f>
        <v>4683135004.5951529</v>
      </c>
      <c r="EC27" s="269">
        <f t="shared" si="28"/>
        <v>7599737.2505864808</v>
      </c>
      <c r="ED27" s="269">
        <f t="shared" si="29"/>
        <v>37998686.252932407</v>
      </c>
      <c r="EE27" s="196">
        <f>'Detailed Budget'!$AC$161</f>
        <v>251147290106.36197</v>
      </c>
      <c r="EF27" s="269">
        <f t="shared" si="30"/>
        <v>301751426.4232074</v>
      </c>
      <c r="EG27" s="196">
        <f>'Detailed Budget'!$AC$163</f>
        <v>15696705631.647623</v>
      </c>
      <c r="EH27" s="269">
        <f t="shared" si="31"/>
        <v>18859464.151450463</v>
      </c>
      <c r="EI27" s="269">
        <f t="shared" si="32"/>
        <v>320610890.57465786</v>
      </c>
      <c r="EJ27" s="196">
        <f>'Detailed Budget'!$AC$204</f>
        <v>45012172507.531975</v>
      </c>
      <c r="EK27" s="269">
        <f t="shared" si="33"/>
        <v>67539615.112464249</v>
      </c>
      <c r="EL27" s="201">
        <f>'Detailed Budget'!$AC$206</f>
        <v>11253043126.882994</v>
      </c>
      <c r="EM27" s="269">
        <f t="shared" si="34"/>
        <v>16884903.778116062</v>
      </c>
      <c r="EN27" s="269">
        <f t="shared" si="35"/>
        <v>84424518.890580311</v>
      </c>
      <c r="EO27" s="140">
        <f>'Detailed Budget'!$AC$209</f>
        <v>135789361677.54817</v>
      </c>
      <c r="EP27" s="269">
        <f t="shared" si="36"/>
        <v>138412384.54648694</v>
      </c>
      <c r="EQ27" s="196">
        <f>'Detailed Budget'!$AC$211</f>
        <v>33947340419.387043</v>
      </c>
      <c r="ER27" s="269">
        <f t="shared" si="37"/>
        <v>34603096.136621736</v>
      </c>
      <c r="ES27" s="269">
        <f t="shared" si="38"/>
        <v>173015480.68310869</v>
      </c>
      <c r="ET27" s="196">
        <f>'Detailed Budget'!$AC$214</f>
        <v>22239745544.201103</v>
      </c>
      <c r="EU27" s="269">
        <f t="shared" si="39"/>
        <v>22015826.929016132</v>
      </c>
      <c r="EV27" s="140">
        <f>'Detailed Budget'!$AC$217</f>
        <v>5559936386.0502758</v>
      </c>
      <c r="EW27" s="269">
        <f t="shared" si="40"/>
        <v>5503956.732254033</v>
      </c>
      <c r="EX27" s="269">
        <f t="shared" si="41"/>
        <v>27519783.661270164</v>
      </c>
      <c r="EY27" s="196">
        <f>'Detailed Budget'!$AC$219</f>
        <v>372777004.58170313</v>
      </c>
      <c r="EZ27" s="269">
        <f t="shared" si="42"/>
        <v>386353.54417167493</v>
      </c>
      <c r="FA27" s="196">
        <f>'Detailed Budget'!$AC$222</f>
        <v>93194251.145425782</v>
      </c>
      <c r="FB27" s="269">
        <f t="shared" si="43"/>
        <v>96588.386042918733</v>
      </c>
      <c r="FC27" s="269">
        <f t="shared" si="44"/>
        <v>482941.93021459365</v>
      </c>
      <c r="FD27" s="269"/>
      <c r="FE27" s="269">
        <f t="shared" si="45"/>
        <v>285442725.16517371</v>
      </c>
      <c r="FF27" s="140">
        <f>'Detailed Budget'!$AC$165</f>
        <v>14927760000</v>
      </c>
      <c r="FG27" s="1087">
        <f t="shared" si="46"/>
        <v>389362771.67920858</v>
      </c>
      <c r="FH27" s="269">
        <f t="shared" si="47"/>
        <v>20353723.440518126</v>
      </c>
      <c r="FJ27" s="140">
        <f>'Detailed Budget'!$AC$235</f>
        <v>3623696172</v>
      </c>
      <c r="FK27" s="269">
        <f t="shared" si="48"/>
        <v>4681778</v>
      </c>
      <c r="FL27" s="269">
        <f t="shared" si="49"/>
        <v>4681778</v>
      </c>
      <c r="FO27" s="607"/>
      <c r="FP27" s="607"/>
      <c r="FQ27" s="607"/>
      <c r="FR27" s="269">
        <f>'Detailed Budget'!$AC$257</f>
        <v>13636439388</v>
      </c>
      <c r="FS27" s="269">
        <f t="shared" si="50"/>
        <v>26982071.999999996</v>
      </c>
      <c r="FT27" s="269">
        <f t="shared" si="51"/>
        <v>26982071.999999996</v>
      </c>
      <c r="FU27" s="269"/>
      <c r="FV27" s="269"/>
      <c r="FW27" s="605">
        <f t="shared" si="52"/>
        <v>0</v>
      </c>
      <c r="FX27" s="140">
        <f>'Detailed Budget'!$AC$278</f>
        <v>1114560000</v>
      </c>
      <c r="FY27" s="269">
        <f t="shared" si="53"/>
        <v>1440000</v>
      </c>
      <c r="FZ27" s="269">
        <f t="shared" si="54"/>
        <v>1440000</v>
      </c>
      <c r="GB27" s="269">
        <f t="shared" si="74"/>
        <v>1397285972.2703123</v>
      </c>
      <c r="GC27" s="887">
        <f t="shared" si="55"/>
        <v>873303.73266894522</v>
      </c>
      <c r="GD27" s="1078">
        <f t="shared" si="75"/>
        <v>7.8406115832271449E-4</v>
      </c>
    </row>
    <row r="28" spans="1:186" ht="14.25" hidden="1" customHeight="1" outlineLevel="1">
      <c r="A28" s="211" t="s">
        <v>252</v>
      </c>
      <c r="B28" s="212" t="s">
        <v>253</v>
      </c>
      <c r="C28" s="213" t="s">
        <v>215</v>
      </c>
      <c r="D28" s="214"/>
      <c r="E28" s="213"/>
      <c r="F28" s="213"/>
      <c r="G28" s="213" t="s">
        <v>215</v>
      </c>
      <c r="H28" s="213" t="s">
        <v>215</v>
      </c>
      <c r="I28" s="214" t="s">
        <v>215</v>
      </c>
      <c r="J28" s="214"/>
      <c r="K28" s="213" t="s">
        <v>215</v>
      </c>
      <c r="L28" s="213"/>
      <c r="M28" s="214"/>
      <c r="N28" s="213"/>
      <c r="O28" s="214"/>
      <c r="P28" s="213"/>
      <c r="Q28" s="214"/>
      <c r="R28" s="214" t="s">
        <v>215</v>
      </c>
      <c r="S28" s="214"/>
      <c r="T28" s="214"/>
      <c r="U28" s="215">
        <f t="shared" si="76"/>
        <v>6</v>
      </c>
      <c r="V28" s="845" t="s">
        <v>216</v>
      </c>
      <c r="W28" s="216">
        <v>266411</v>
      </c>
      <c r="X28" s="217">
        <v>3.04</v>
      </c>
      <c r="Y28" s="218">
        <f t="shared" si="57"/>
        <v>1.0304</v>
      </c>
      <c r="Z28" s="196">
        <v>19</v>
      </c>
      <c r="AA28" s="218">
        <f t="shared" si="94"/>
        <v>1.7664898659259882</v>
      </c>
      <c r="AB28" s="196">
        <f t="shared" si="77"/>
        <v>470612.33167120843</v>
      </c>
      <c r="AC28">
        <v>18.399999999999999</v>
      </c>
      <c r="AD28" s="196">
        <f t="shared" si="78"/>
        <v>86592.669027502357</v>
      </c>
      <c r="AE28" s="196">
        <f t="shared" si="95"/>
        <v>82263.035576127237</v>
      </c>
      <c r="AF28" s="196">
        <f t="shared" si="79"/>
        <v>0</v>
      </c>
      <c r="AG28" s="606">
        <f t="shared" si="58"/>
        <v>3.8034816235471319E-3</v>
      </c>
      <c r="AH28" s="196">
        <f t="shared" si="96"/>
        <v>23530.616583560422</v>
      </c>
      <c r="AI28" s="248">
        <f t="shared" si="59"/>
        <v>1.8228812143619151E-3</v>
      </c>
      <c r="AJ28" s="196">
        <f t="shared" si="80"/>
        <v>110123.28561106278</v>
      </c>
      <c r="AK28" s="196">
        <f t="shared" si="99"/>
        <v>18824.493266848338</v>
      </c>
      <c r="AL28" s="196">
        <f t="shared" si="100"/>
        <v>18824.493266848338</v>
      </c>
      <c r="AM28" s="196">
        <f t="shared" si="5"/>
        <v>37648.986533696676</v>
      </c>
      <c r="AN28" s="627">
        <f t="shared" si="6"/>
        <v>1.8228812143619151E-3</v>
      </c>
      <c r="AO28" s="196">
        <f t="shared" si="7"/>
        <v>17883.26860350592</v>
      </c>
      <c r="AP28" s="589">
        <f t="shared" si="60"/>
        <v>1.8228812143619151E-3</v>
      </c>
      <c r="AQ28" s="196"/>
      <c r="AR28" s="589"/>
      <c r="AS28">
        <v>1</v>
      </c>
      <c r="AT28" s="589">
        <f t="shared" si="61"/>
        <v>1.2919896640826874E-3</v>
      </c>
      <c r="AU28" s="196">
        <v>13</v>
      </c>
      <c r="AV28" s="245">
        <f t="shared" si="8"/>
        <v>1.4771048744460858E-3</v>
      </c>
      <c r="AX28" s="245"/>
      <c r="AY28" s="245"/>
      <c r="AZ28">
        <v>46</v>
      </c>
      <c r="BA28" s="589">
        <f t="shared" si="62"/>
        <v>1.6855373566377193E-3</v>
      </c>
      <c r="BI28" s="196">
        <v>0</v>
      </c>
      <c r="BK28" s="246">
        <f t="shared" si="63"/>
        <v>0</v>
      </c>
      <c r="BL28" s="246"/>
      <c r="BM28" s="246">
        <f t="shared" si="64"/>
        <v>0</v>
      </c>
      <c r="BN28" s="196">
        <v>1</v>
      </c>
      <c r="BO28" s="196">
        <f t="shared" si="81"/>
        <v>38769.270849241075</v>
      </c>
      <c r="BP28" s="196">
        <f t="shared" si="82"/>
        <v>38769.270849241075</v>
      </c>
      <c r="BQ28" s="248">
        <f t="shared" si="65"/>
        <v>3.6266847492223411E-3</v>
      </c>
      <c r="BR28" s="248"/>
      <c r="BS28" s="248"/>
      <c r="BT28" s="276">
        <v>0</v>
      </c>
      <c r="BU28" s="196">
        <f t="shared" si="97"/>
        <v>0</v>
      </c>
      <c r="BV28" s="264">
        <f t="shared" si="66"/>
        <v>0</v>
      </c>
      <c r="BW28" s="196">
        <f t="shared" si="98"/>
        <v>0</v>
      </c>
      <c r="BX28" s="247">
        <f t="shared" si="67"/>
        <v>0</v>
      </c>
      <c r="BY28" s="196">
        <f t="shared" si="83"/>
        <v>0</v>
      </c>
      <c r="BZ28" s="620">
        <v>1</v>
      </c>
      <c r="CA28" s="196">
        <f t="shared" si="10"/>
        <v>144007.37349138979</v>
      </c>
      <c r="CB28" s="196">
        <f t="shared" si="11"/>
        <v>288014.74698277959</v>
      </c>
      <c r="CC28" s="196">
        <f t="shared" si="12"/>
        <v>432022.12047416938</v>
      </c>
      <c r="CD28" s="247">
        <f t="shared" si="13"/>
        <v>1.8228812143619153E-3</v>
      </c>
      <c r="CE28" s="196">
        <f t="shared" si="84"/>
        <v>57014.52596336796</v>
      </c>
      <c r="CF28" s="247">
        <f t="shared" si="14"/>
        <v>2.4620645431761559E-3</v>
      </c>
      <c r="CG28" s="196">
        <f t="shared" si="15"/>
        <v>71533.074414023678</v>
      </c>
      <c r="CH28" s="589">
        <f t="shared" si="68"/>
        <v>1.8228812143619151E-3</v>
      </c>
      <c r="CI28" s="196">
        <f t="shared" si="85"/>
        <v>138472.77471953107</v>
      </c>
      <c r="CJ28" s="248">
        <f t="shared" si="70"/>
        <v>2.2764920648987159E-3</v>
      </c>
      <c r="CK28" s="196">
        <f t="shared" si="86"/>
        <v>107580.28001087329</v>
      </c>
      <c r="CL28" s="589">
        <f t="shared" si="71"/>
        <v>1.546488653475824E-3</v>
      </c>
      <c r="CM28" s="196">
        <f t="shared" si="87"/>
        <v>10421.842170448412</v>
      </c>
      <c r="CN28" s="589">
        <f t="shared" si="72"/>
        <v>1.5019058973610633E-3</v>
      </c>
      <c r="CO28" s="196">
        <f t="shared" si="88"/>
        <v>833.81000489891642</v>
      </c>
      <c r="CP28" s="589">
        <f t="shared" si="73"/>
        <v>1.5724372388554355E-3</v>
      </c>
      <c r="CQ28" s="196">
        <f>'Detailed Budget'!$AC$12</f>
        <v>292876014141.44696</v>
      </c>
      <c r="CR28" s="269">
        <f t="shared" si="16"/>
        <v>0</v>
      </c>
      <c r="CS28" s="269">
        <f>'Detailed Budget'!$AC$16</f>
        <v>10488008800.000002</v>
      </c>
      <c r="CT28" s="607">
        <f t="shared" si="17"/>
        <v>0</v>
      </c>
      <c r="CU28" s="269">
        <f>'Detailed Budget'!$AC$24</f>
        <v>30624985696</v>
      </c>
      <c r="CV28" s="269">
        <f t="shared" si="18"/>
        <v>0</v>
      </c>
      <c r="CW28" s="269"/>
      <c r="CX28" s="269">
        <f t="shared" si="19"/>
        <v>0</v>
      </c>
      <c r="CY28" s="196">
        <f>'Detailed Budget'!$AC$97</f>
        <v>74629165494.837845</v>
      </c>
      <c r="CZ28" s="269">
        <f t="shared" si="20"/>
        <v>270656456.34731859</v>
      </c>
      <c r="DA28" s="269">
        <f>'Detailed Budget'!$AC$100</f>
        <v>14925833098.967569</v>
      </c>
      <c r="DB28" s="269">
        <f t="shared" si="21"/>
        <v>54131291.269463718</v>
      </c>
      <c r="DC28" s="269">
        <f t="shared" si="22"/>
        <v>324787747.61678231</v>
      </c>
      <c r="DD28" s="207">
        <v>0</v>
      </c>
      <c r="DE28" s="606">
        <v>0</v>
      </c>
      <c r="DF28" s="269">
        <f>'Detailed Budget'!$AC$147</f>
        <v>5913600671000</v>
      </c>
      <c r="DG28" s="269">
        <f t="shared" si="23"/>
        <v>0</v>
      </c>
      <c r="DH28" s="269">
        <f>'Detailed Budget'!$AC$153</f>
        <v>226428026880.00003</v>
      </c>
      <c r="DI28" s="269"/>
      <c r="DJ28" s="269">
        <f>'Detailed Budget'!$AC$156</f>
        <v>27713070000</v>
      </c>
      <c r="DK28" s="269"/>
      <c r="DL28" s="269"/>
      <c r="DM28" s="196">
        <f>'Detailed Budget'!$AC$178</f>
        <v>5622683761.6229038</v>
      </c>
      <c r="DN28" s="269">
        <f t="shared" si="24"/>
        <v>0</v>
      </c>
      <c r="DO28" s="196">
        <f>'Detailed Budget'!$AC$179</f>
        <v>26827890683.128094</v>
      </c>
      <c r="DP28" s="269">
        <f t="shared" si="25"/>
        <v>0</v>
      </c>
      <c r="DQ28" s="269">
        <f t="shared" si="89"/>
        <v>0</v>
      </c>
      <c r="DR28" s="269">
        <f>'Detailed Budget'!$AC$181</f>
        <v>50888946855.375237</v>
      </c>
      <c r="DS28" s="269">
        <f t="shared" si="90"/>
        <v>0</v>
      </c>
      <c r="DT28" s="269">
        <f t="shared" si="91"/>
        <v>0</v>
      </c>
      <c r="DU28" s="272">
        <f>'Detailed Budget'!$AC$192</f>
        <v>77498869683.252869</v>
      </c>
      <c r="DV28" s="269">
        <f t="shared" si="92"/>
        <v>141271233.67988381</v>
      </c>
      <c r="DW28" s="140">
        <f>'Detailed Budget'!$AC$194</f>
        <v>2684962805.4134097</v>
      </c>
      <c r="DX28" s="269">
        <f t="shared" si="93"/>
        <v>4894368.2592485705</v>
      </c>
      <c r="DY28" s="607">
        <f t="shared" si="26"/>
        <v>146165601.93913239</v>
      </c>
      <c r="DZ28" s="196">
        <f>'Detailed Budget'!$AC$198</f>
        <v>18732540018.380611</v>
      </c>
      <c r="EA28" s="269">
        <f t="shared" si="27"/>
        <v>46120722.582883321</v>
      </c>
      <c r="EB28" s="196">
        <f>'Detailed Budget'!$AC$200</f>
        <v>4683135004.5951529</v>
      </c>
      <c r="EC28" s="269">
        <f t="shared" si="28"/>
        <v>11530180.64572083</v>
      </c>
      <c r="ED28" s="269">
        <f t="shared" si="29"/>
        <v>57650903.228604153</v>
      </c>
      <c r="EE28" s="196">
        <f>'Detailed Budget'!$AC$161</f>
        <v>251147290106.36197</v>
      </c>
      <c r="EF28" s="269">
        <f t="shared" si="30"/>
        <v>457811677.17278928</v>
      </c>
      <c r="EG28" s="196">
        <f>'Detailed Budget'!$AC$163</f>
        <v>15696705631.647623</v>
      </c>
      <c r="EH28" s="269">
        <f t="shared" si="31"/>
        <v>28613229.82329933</v>
      </c>
      <c r="EI28" s="269">
        <f t="shared" si="32"/>
        <v>486424906.99608862</v>
      </c>
      <c r="EJ28" s="196">
        <f>'Detailed Budget'!$AC$204</f>
        <v>45012172507.531975</v>
      </c>
      <c r="EK28" s="269">
        <f t="shared" si="33"/>
        <v>102469853.53724867</v>
      </c>
      <c r="EL28" s="201">
        <f>'Detailed Budget'!$AC$206</f>
        <v>11253043126.882994</v>
      </c>
      <c r="EM28" s="269">
        <f t="shared" si="34"/>
        <v>25617463.384312168</v>
      </c>
      <c r="EN28" s="269">
        <f t="shared" si="35"/>
        <v>128087316.92156084</v>
      </c>
      <c r="EO28" s="140">
        <f>'Detailed Budget'!$AC$209</f>
        <v>135789361677.54817</v>
      </c>
      <c r="EP28" s="269">
        <f t="shared" si="36"/>
        <v>209996707.09705311</v>
      </c>
      <c r="EQ28" s="196">
        <f>'Detailed Budget'!$AC$211</f>
        <v>33947340419.387043</v>
      </c>
      <c r="ER28" s="269">
        <f t="shared" si="37"/>
        <v>52499176.774263278</v>
      </c>
      <c r="ES28" s="269">
        <f t="shared" si="38"/>
        <v>262495883.87131637</v>
      </c>
      <c r="ET28" s="196">
        <f>'Detailed Budget'!$AC$214</f>
        <v>22239745544.201103</v>
      </c>
      <c r="EU28" s="269">
        <f t="shared" si="39"/>
        <v>33402004.988645066</v>
      </c>
      <c r="EV28" s="140">
        <f>'Detailed Budget'!$AC$217</f>
        <v>5559936386.0502758</v>
      </c>
      <c r="EW28" s="269">
        <f t="shared" si="40"/>
        <v>8350501.2471612664</v>
      </c>
      <c r="EX28" s="269">
        <f t="shared" si="41"/>
        <v>41752506.235806331</v>
      </c>
      <c r="EY28" s="196">
        <f>'Detailed Budget'!$AC$219</f>
        <v>372777004.58170313</v>
      </c>
      <c r="EZ28" s="269">
        <f t="shared" si="42"/>
        <v>586168.44379325327</v>
      </c>
      <c r="FA28" s="196">
        <f>'Detailed Budget'!$AC$222</f>
        <v>93194251.145425782</v>
      </c>
      <c r="FB28" s="269">
        <f t="shared" si="43"/>
        <v>146542.11094831332</v>
      </c>
      <c r="FC28" s="269">
        <f t="shared" si="44"/>
        <v>732710.55474156654</v>
      </c>
      <c r="FD28" s="269"/>
      <c r="FE28" s="269">
        <f t="shared" si="45"/>
        <v>433068417.5834251</v>
      </c>
      <c r="FF28" s="140">
        <f>'Detailed Budget'!$AC$165</f>
        <v>14927760000</v>
      </c>
      <c r="FG28" s="1087">
        <f t="shared" si="46"/>
        <v>590733988.05114961</v>
      </c>
      <c r="FH28" s="269">
        <f t="shared" si="47"/>
        <v>22049867.060561303</v>
      </c>
      <c r="FJ28" s="140">
        <f>'Detailed Budget'!$AC$235</f>
        <v>3623696172</v>
      </c>
      <c r="FK28" s="269">
        <f t="shared" si="48"/>
        <v>4681778</v>
      </c>
      <c r="FL28" s="269">
        <f t="shared" si="49"/>
        <v>4681778</v>
      </c>
      <c r="FO28" s="607"/>
      <c r="FP28" s="607"/>
      <c r="FQ28" s="607"/>
      <c r="FR28" s="269">
        <f>'Detailed Budget'!$AC$257</f>
        <v>13636439388</v>
      </c>
      <c r="FS28" s="269">
        <f t="shared" si="50"/>
        <v>22984728</v>
      </c>
      <c r="FT28" s="269">
        <f t="shared" si="51"/>
        <v>22984728</v>
      </c>
      <c r="FU28" s="269"/>
      <c r="FV28" s="269"/>
      <c r="FW28" s="605">
        <f t="shared" si="52"/>
        <v>0</v>
      </c>
      <c r="FX28" s="140">
        <f>'Detailed Budget'!$AC$278</f>
        <v>1114560000</v>
      </c>
      <c r="FY28" s="269">
        <f t="shared" si="53"/>
        <v>1440000</v>
      </c>
      <c r="FZ28" s="269">
        <f t="shared" si="54"/>
        <v>1440000</v>
      </c>
      <c r="GB28" s="269">
        <f t="shared" si="74"/>
        <v>2089987938.4757435</v>
      </c>
      <c r="GC28" s="887">
        <f t="shared" si="55"/>
        <v>1306242.4615473398</v>
      </c>
      <c r="GD28" s="1078">
        <f t="shared" si="75"/>
        <v>1.1727580441241148E-3</v>
      </c>
    </row>
    <row r="29" spans="1:186" ht="14.25" hidden="1" customHeight="1" outlineLevel="1">
      <c r="A29" s="211" t="s">
        <v>254</v>
      </c>
      <c r="B29" s="212" t="s">
        <v>255</v>
      </c>
      <c r="C29" s="213" t="s">
        <v>215</v>
      </c>
      <c r="D29" s="214" t="s">
        <v>215</v>
      </c>
      <c r="E29" s="213"/>
      <c r="F29" s="213"/>
      <c r="G29" s="213"/>
      <c r="H29" s="213" t="s">
        <v>215</v>
      </c>
      <c r="I29" s="214" t="s">
        <v>215</v>
      </c>
      <c r="J29" s="214"/>
      <c r="K29" s="213" t="s">
        <v>215</v>
      </c>
      <c r="L29" s="213"/>
      <c r="M29" s="214"/>
      <c r="N29" s="213"/>
      <c r="O29" s="214"/>
      <c r="P29" s="213"/>
      <c r="Q29" s="214"/>
      <c r="R29" s="214" t="s">
        <v>215</v>
      </c>
      <c r="S29" s="214"/>
      <c r="T29" s="214"/>
      <c r="U29" s="215">
        <f t="shared" si="76"/>
        <v>6</v>
      </c>
      <c r="V29" s="845" t="s">
        <v>219</v>
      </c>
      <c r="W29" s="216">
        <v>79280</v>
      </c>
      <c r="X29" s="217">
        <v>3.04</v>
      </c>
      <c r="Y29" s="218">
        <f t="shared" si="57"/>
        <v>1.0304</v>
      </c>
      <c r="Z29" s="196">
        <v>19</v>
      </c>
      <c r="AA29" s="218">
        <f t="shared" si="94"/>
        <v>1.7664898659259882</v>
      </c>
      <c r="AB29" s="196">
        <f t="shared" si="77"/>
        <v>140047.31657061234</v>
      </c>
      <c r="AC29">
        <v>18.399999999999999</v>
      </c>
      <c r="AD29" s="196">
        <f t="shared" si="78"/>
        <v>25768.706248992668</v>
      </c>
      <c r="AE29" s="196">
        <f t="shared" si="95"/>
        <v>24480.270936543035</v>
      </c>
      <c r="AF29" s="196">
        <f t="shared" si="79"/>
        <v>24480.270936543035</v>
      </c>
      <c r="AG29" s="606">
        <f t="shared" si="58"/>
        <v>1.1318602577026346E-3</v>
      </c>
      <c r="AH29" s="196">
        <f t="shared" si="96"/>
        <v>7002.3658285306174</v>
      </c>
      <c r="AI29" s="248">
        <f t="shared" si="59"/>
        <v>5.4246267111572957E-4</v>
      </c>
      <c r="AJ29" s="196">
        <f t="shared" si="80"/>
        <v>32771.072077523284</v>
      </c>
      <c r="AK29" s="196">
        <f t="shared" si="99"/>
        <v>5601.8926628244935</v>
      </c>
      <c r="AL29" s="196">
        <f t="shared" si="100"/>
        <v>5601.8926628244935</v>
      </c>
      <c r="AM29" s="196">
        <f t="shared" si="5"/>
        <v>11203.785325648987</v>
      </c>
      <c r="AN29" s="627">
        <f t="shared" si="6"/>
        <v>5.4246267111572957E-4</v>
      </c>
      <c r="AO29" s="196">
        <f t="shared" si="7"/>
        <v>5321.7980296832684</v>
      </c>
      <c r="AP29" s="589">
        <f t="shared" si="60"/>
        <v>5.4246267111572946E-4</v>
      </c>
      <c r="AQ29" s="196"/>
      <c r="AR29" s="589"/>
      <c r="AS29">
        <v>1</v>
      </c>
      <c r="AT29" s="589">
        <f t="shared" si="61"/>
        <v>1.2919896640826874E-3</v>
      </c>
      <c r="AU29" s="196">
        <v>10</v>
      </c>
      <c r="AV29" s="245">
        <f t="shared" si="8"/>
        <v>1.1362345188046814E-3</v>
      </c>
      <c r="AX29" s="245"/>
      <c r="AY29" s="245"/>
      <c r="AZ29">
        <v>27</v>
      </c>
      <c r="BA29" s="589">
        <f t="shared" si="62"/>
        <v>9.8933714411344391E-4</v>
      </c>
      <c r="BI29" s="196">
        <v>0</v>
      </c>
      <c r="BK29" s="246">
        <f t="shared" si="63"/>
        <v>0</v>
      </c>
      <c r="BL29" s="246"/>
      <c r="BM29" s="246">
        <f t="shared" si="64"/>
        <v>0</v>
      </c>
      <c r="BN29" s="196">
        <v>1</v>
      </c>
      <c r="BO29" s="196">
        <f t="shared" si="81"/>
        <v>11537.165480884169</v>
      </c>
      <c r="BP29" s="196">
        <f t="shared" si="82"/>
        <v>11537.165480884169</v>
      </c>
      <c r="BQ29" s="248">
        <f t="shared" si="65"/>
        <v>1.0792481050645327E-3</v>
      </c>
      <c r="BR29" s="248"/>
      <c r="BS29" s="248"/>
      <c r="BT29" s="276">
        <v>1</v>
      </c>
      <c r="BU29" s="196">
        <f t="shared" si="97"/>
        <v>20408.815349202196</v>
      </c>
      <c r="BV29" s="264">
        <f t="shared" si="66"/>
        <v>1.4155940901170673E-3</v>
      </c>
      <c r="BW29" s="196">
        <f t="shared" si="98"/>
        <v>87304.376771587165</v>
      </c>
      <c r="BX29" s="247">
        <f t="shared" si="67"/>
        <v>1.415594102868793E-3</v>
      </c>
      <c r="BY29" s="196">
        <f t="shared" si="83"/>
        <v>107713.19212078936</v>
      </c>
      <c r="BZ29" s="620">
        <v>0</v>
      </c>
      <c r="CA29" s="196">
        <f t="shared" si="10"/>
        <v>42854.478870607374</v>
      </c>
      <c r="CB29" s="196">
        <f t="shared" si="11"/>
        <v>85708.957741214748</v>
      </c>
      <c r="CC29" s="196">
        <f t="shared" si="12"/>
        <v>128563.43661182212</v>
      </c>
      <c r="CD29" s="247">
        <f t="shared" si="13"/>
        <v>5.4246267111572957E-4</v>
      </c>
      <c r="CE29" s="196">
        <f t="shared" si="84"/>
        <v>16966.685378515947</v>
      </c>
      <c r="CF29" s="247">
        <f t="shared" si="14"/>
        <v>7.3267424011398046E-4</v>
      </c>
      <c r="CG29" s="196">
        <f t="shared" si="15"/>
        <v>21287.192118733074</v>
      </c>
      <c r="CH29" s="589">
        <f t="shared" si="68"/>
        <v>5.4246267111572946E-4</v>
      </c>
      <c r="CI29" s="196">
        <f t="shared" si="85"/>
        <v>41207.463579823736</v>
      </c>
      <c r="CJ29" s="248">
        <f t="shared" si="70"/>
        <v>6.7745059665393005E-4</v>
      </c>
      <c r="CK29" s="196">
        <f t="shared" si="86"/>
        <v>32014.310967873069</v>
      </c>
      <c r="CL29" s="589">
        <f t="shared" si="71"/>
        <v>4.6021230522599779E-4</v>
      </c>
      <c r="CM29" s="196">
        <f t="shared" si="87"/>
        <v>3101.3871321872966</v>
      </c>
      <c r="CN29" s="589">
        <f t="shared" si="72"/>
        <v>4.4694513193068255E-4</v>
      </c>
      <c r="CO29" s="196">
        <f t="shared" si="88"/>
        <v>248.12960871880696</v>
      </c>
      <c r="CP29" s="589">
        <f t="shared" si="73"/>
        <v>4.6793422304806828E-4</v>
      </c>
      <c r="CQ29" s="196">
        <f>'Detailed Budget'!$AC$12</f>
        <v>292876014141.44696</v>
      </c>
      <c r="CR29" s="269">
        <f t="shared" si="16"/>
        <v>0</v>
      </c>
      <c r="CS29" s="269">
        <f>'Detailed Budget'!$AC$16</f>
        <v>10488008800.000002</v>
      </c>
      <c r="CT29" s="607">
        <f t="shared" si="17"/>
        <v>0</v>
      </c>
      <c r="CU29" s="269">
        <f>'Detailed Budget'!$AC$24</f>
        <v>30624985696</v>
      </c>
      <c r="CV29" s="269">
        <f t="shared" si="18"/>
        <v>0</v>
      </c>
      <c r="CW29" s="269"/>
      <c r="CX29" s="269">
        <f t="shared" si="19"/>
        <v>0</v>
      </c>
      <c r="CY29" s="196">
        <f>'Detailed Budget'!$AC$97</f>
        <v>74629165494.837845</v>
      </c>
      <c r="CZ29" s="269">
        <f t="shared" si="20"/>
        <v>80543385.442851156</v>
      </c>
      <c r="DA29" s="269">
        <f>'Detailed Budget'!$AC$100</f>
        <v>14925833098.967569</v>
      </c>
      <c r="DB29" s="269">
        <f t="shared" si="21"/>
        <v>16108677.088570232</v>
      </c>
      <c r="DC29" s="269">
        <f t="shared" si="22"/>
        <v>96652062.531421393</v>
      </c>
      <c r="DD29" s="207">
        <v>0</v>
      </c>
      <c r="DE29" s="606">
        <v>0</v>
      </c>
      <c r="DF29" s="269">
        <f>'Detailed Budget'!$AC$147</f>
        <v>5913600671000</v>
      </c>
      <c r="DG29" s="269">
        <f t="shared" si="23"/>
        <v>0</v>
      </c>
      <c r="DH29" s="269">
        <f>'Detailed Budget'!$AC$153</f>
        <v>226428026880.00003</v>
      </c>
      <c r="DI29" s="269"/>
      <c r="DJ29" s="269">
        <f>'Detailed Budget'!$AC$156</f>
        <v>27713070000</v>
      </c>
      <c r="DK29" s="269"/>
      <c r="DL29" s="269"/>
      <c r="DM29" s="196">
        <f>'Detailed Budget'!$AC$178</f>
        <v>5622683761.6229038</v>
      </c>
      <c r="DN29" s="269">
        <f t="shared" si="24"/>
        <v>7959437.9035505839</v>
      </c>
      <c r="DO29" s="196">
        <f>'Detailed Budget'!$AC$179</f>
        <v>26827890683.128094</v>
      </c>
      <c r="DP29" s="269">
        <f t="shared" si="25"/>
        <v>37977403.843444765</v>
      </c>
      <c r="DQ29" s="269">
        <f t="shared" si="89"/>
        <v>45936841.746995345</v>
      </c>
      <c r="DR29" s="269">
        <f>'Detailed Budget'!$AC$181</f>
        <v>50888946855.375237</v>
      </c>
      <c r="DS29" s="269">
        <f t="shared" si="90"/>
        <v>57599176.50194069</v>
      </c>
      <c r="DT29" s="269">
        <f t="shared" si="91"/>
        <v>103536018.24893603</v>
      </c>
      <c r="DU29" s="272">
        <f>'Detailed Budget'!$AC$192</f>
        <v>77498869683.252869</v>
      </c>
      <c r="DV29" s="269">
        <f t="shared" si="92"/>
        <v>0</v>
      </c>
      <c r="DW29" s="140">
        <f>'Detailed Budget'!$AC$194</f>
        <v>2684962805.4134097</v>
      </c>
      <c r="DX29" s="269">
        <f t="shared" si="93"/>
        <v>0</v>
      </c>
      <c r="DY29" s="607">
        <f t="shared" si="26"/>
        <v>0</v>
      </c>
      <c r="DZ29" s="196">
        <f>'Detailed Budget'!$AC$198</f>
        <v>18732540018.380611</v>
      </c>
      <c r="EA29" s="269">
        <f t="shared" si="27"/>
        <v>13724849.523371743</v>
      </c>
      <c r="EB29" s="196">
        <f>'Detailed Budget'!$AC$200</f>
        <v>4683135004.5951529</v>
      </c>
      <c r="EC29" s="269">
        <f t="shared" si="28"/>
        <v>3431212.3808429358</v>
      </c>
      <c r="ED29" s="269">
        <f t="shared" si="29"/>
        <v>17156061.90421468</v>
      </c>
      <c r="EE29" s="196">
        <f>'Detailed Budget'!$AC$161</f>
        <v>251147290106.36197</v>
      </c>
      <c r="EF29" s="269">
        <f t="shared" si="30"/>
        <v>136238029.83457413</v>
      </c>
      <c r="EG29" s="196">
        <f>'Detailed Budget'!$AC$163</f>
        <v>15696705631.647623</v>
      </c>
      <c r="EH29" s="269">
        <f t="shared" si="31"/>
        <v>8514876.8646608833</v>
      </c>
      <c r="EI29" s="269">
        <f t="shared" si="32"/>
        <v>144752906.69923502</v>
      </c>
      <c r="EJ29" s="196">
        <f>'Detailed Budget'!$AC$204</f>
        <v>45012172507.531975</v>
      </c>
      <c r="EK29" s="269">
        <f t="shared" si="33"/>
        <v>30493523.121917162</v>
      </c>
      <c r="EL29" s="201">
        <f>'Detailed Budget'!$AC$206</f>
        <v>11253043126.882994</v>
      </c>
      <c r="EM29" s="269">
        <f t="shared" si="34"/>
        <v>7623380.7804792905</v>
      </c>
      <c r="EN29" s="269">
        <f t="shared" si="35"/>
        <v>38116903.902396455</v>
      </c>
      <c r="EO29" s="140">
        <f>'Detailed Budget'!$AC$209</f>
        <v>135789361677.54817</v>
      </c>
      <c r="EP29" s="269">
        <f t="shared" si="36"/>
        <v>62491935.162791207</v>
      </c>
      <c r="EQ29" s="196">
        <f>'Detailed Budget'!$AC$211</f>
        <v>33947340419.387043</v>
      </c>
      <c r="ER29" s="269">
        <f t="shared" si="37"/>
        <v>15622983.790697802</v>
      </c>
      <c r="ES29" s="269">
        <f t="shared" si="38"/>
        <v>78114918.953489006</v>
      </c>
      <c r="ET29" s="196">
        <f>'Detailed Budget'!$AC$214</f>
        <v>22239745544.201103</v>
      </c>
      <c r="EU29" s="269">
        <f t="shared" si="39"/>
        <v>9939946.0063577723</v>
      </c>
      <c r="EV29" s="140">
        <f>'Detailed Budget'!$AC$217</f>
        <v>5559936386.0502758</v>
      </c>
      <c r="EW29" s="269">
        <f t="shared" si="40"/>
        <v>2484986.5015894431</v>
      </c>
      <c r="EX29" s="269">
        <f t="shared" si="41"/>
        <v>12424932.507947216</v>
      </c>
      <c r="EY29" s="196">
        <f>'Detailed Budget'!$AC$219</f>
        <v>372777004.58170313</v>
      </c>
      <c r="EZ29" s="269">
        <f t="shared" si="42"/>
        <v>174435.11800912544</v>
      </c>
      <c r="FA29" s="196">
        <f>'Detailed Budget'!$AC$222</f>
        <v>93194251.145425782</v>
      </c>
      <c r="FB29" s="269">
        <f t="shared" si="43"/>
        <v>43608.779502281359</v>
      </c>
      <c r="FC29" s="269">
        <f t="shared" si="44"/>
        <v>218043.8975114068</v>
      </c>
      <c r="FD29" s="269"/>
      <c r="FE29" s="269">
        <f t="shared" si="45"/>
        <v>128874799.26134409</v>
      </c>
      <c r="FF29" s="140">
        <f>'Detailed Budget'!$AC$165</f>
        <v>14927760000</v>
      </c>
      <c r="FG29" s="1087">
        <f t="shared" si="46"/>
        <v>175793756.91204616</v>
      </c>
      <c r="FH29" s="269">
        <f t="shared" si="47"/>
        <v>16961436.200431772</v>
      </c>
      <c r="FJ29" s="140">
        <f>'Detailed Budget'!$AC$235</f>
        <v>3623696172</v>
      </c>
      <c r="FK29" s="269">
        <f t="shared" si="48"/>
        <v>4681778</v>
      </c>
      <c r="FL29" s="269">
        <f t="shared" si="49"/>
        <v>4681778</v>
      </c>
      <c r="FO29" s="607"/>
      <c r="FP29" s="607"/>
      <c r="FQ29" s="607"/>
      <c r="FR29" s="269">
        <f>'Detailed Budget'!$AC$257</f>
        <v>13636439388</v>
      </c>
      <c r="FS29" s="269">
        <f t="shared" si="50"/>
        <v>13491035.999999998</v>
      </c>
      <c r="FT29" s="269">
        <f t="shared" si="51"/>
        <v>13491035.999999998</v>
      </c>
      <c r="FU29" s="269"/>
      <c r="FV29" s="269"/>
      <c r="FW29" s="605">
        <f t="shared" si="52"/>
        <v>0</v>
      </c>
      <c r="FX29" s="140">
        <f>'Detailed Budget'!$AC$278</f>
        <v>1114560000</v>
      </c>
      <c r="FY29" s="269">
        <f t="shared" si="53"/>
        <v>1440000</v>
      </c>
      <c r="FZ29" s="269">
        <f t="shared" si="54"/>
        <v>1440000</v>
      </c>
      <c r="GB29" s="269">
        <f t="shared" si="74"/>
        <v>703339855.75762916</v>
      </c>
      <c r="GC29" s="887">
        <f t="shared" si="55"/>
        <v>439587.4098485182</v>
      </c>
      <c r="GD29" s="1078">
        <f t="shared" si="75"/>
        <v>3.9466614060673796E-4</v>
      </c>
    </row>
    <row r="30" spans="1:186" ht="14.25" hidden="1" customHeight="1" outlineLevel="1">
      <c r="A30" s="211" t="s">
        <v>256</v>
      </c>
      <c r="B30" s="212" t="s">
        <v>257</v>
      </c>
      <c r="C30" s="213" t="s">
        <v>215</v>
      </c>
      <c r="D30" s="214" t="s">
        <v>215</v>
      </c>
      <c r="E30" s="213"/>
      <c r="F30" s="213"/>
      <c r="G30" s="213"/>
      <c r="H30" s="213" t="s">
        <v>215</v>
      </c>
      <c r="I30" s="214" t="s">
        <v>215</v>
      </c>
      <c r="J30" s="214"/>
      <c r="K30" s="213" t="s">
        <v>215</v>
      </c>
      <c r="L30" s="213"/>
      <c r="M30" s="214"/>
      <c r="N30" s="213"/>
      <c r="O30" s="214"/>
      <c r="P30" s="213"/>
      <c r="Q30" s="214"/>
      <c r="R30" s="214" t="s">
        <v>215</v>
      </c>
      <c r="S30" s="214"/>
      <c r="T30" s="214"/>
      <c r="U30" s="215">
        <f t="shared" si="76"/>
        <v>6</v>
      </c>
      <c r="V30" s="845" t="s">
        <v>219</v>
      </c>
      <c r="W30" s="216">
        <v>216983</v>
      </c>
      <c r="X30" s="217">
        <v>3.04</v>
      </c>
      <c r="Y30" s="218">
        <f t="shared" si="57"/>
        <v>1.0304</v>
      </c>
      <c r="Z30" s="196">
        <v>19</v>
      </c>
      <c r="AA30" s="218">
        <f t="shared" si="94"/>
        <v>1.7664898659259882</v>
      </c>
      <c r="AB30" s="196">
        <f t="shared" si="77"/>
        <v>383298.27057821868</v>
      </c>
      <c r="AC30">
        <v>18.399999999999999</v>
      </c>
      <c r="AD30" s="196">
        <f t="shared" si="78"/>
        <v>70526.88178639223</v>
      </c>
      <c r="AE30" s="196">
        <f t="shared" si="95"/>
        <v>67000.537697072621</v>
      </c>
      <c r="AF30" s="196">
        <f t="shared" si="79"/>
        <v>67000.537697072621</v>
      </c>
      <c r="AG30" s="606">
        <f t="shared" si="58"/>
        <v>3.0978107252408018E-3</v>
      </c>
      <c r="AH30" s="196">
        <f t="shared" si="96"/>
        <v>19164.913528910936</v>
      </c>
      <c r="AI30" s="248">
        <f t="shared" si="59"/>
        <v>1.4846768134044444E-3</v>
      </c>
      <c r="AJ30" s="196">
        <f t="shared" si="80"/>
        <v>89691.79531530317</v>
      </c>
      <c r="AK30" s="196">
        <f t="shared" si="99"/>
        <v>15331.930823128747</v>
      </c>
      <c r="AL30" s="196">
        <f t="shared" si="100"/>
        <v>15331.930823128747</v>
      </c>
      <c r="AM30" s="196">
        <f t="shared" si="5"/>
        <v>30663.861646257494</v>
      </c>
      <c r="AN30" s="627">
        <f t="shared" si="6"/>
        <v>1.4846768134044442E-3</v>
      </c>
      <c r="AO30" s="196">
        <f t="shared" si="7"/>
        <v>14565.334281972309</v>
      </c>
      <c r="AP30" s="589">
        <f t="shared" si="60"/>
        <v>1.4846768134044442E-3</v>
      </c>
      <c r="AQ30" s="196"/>
      <c r="AR30" s="589"/>
      <c r="AS30">
        <v>1</v>
      </c>
      <c r="AT30" s="589">
        <f t="shared" si="61"/>
        <v>1.2919896640826874E-3</v>
      </c>
      <c r="AU30" s="196">
        <v>13</v>
      </c>
      <c r="AV30" s="245">
        <f t="shared" si="8"/>
        <v>1.4771048744460858E-3</v>
      </c>
      <c r="AX30" s="245"/>
      <c r="AY30" s="245"/>
      <c r="AZ30">
        <v>131</v>
      </c>
      <c r="BA30" s="589">
        <f t="shared" si="62"/>
        <v>4.8001172547726357E-3</v>
      </c>
      <c r="BI30" s="196">
        <v>0</v>
      </c>
      <c r="BK30" s="246">
        <f t="shared" si="63"/>
        <v>0</v>
      </c>
      <c r="BL30" s="246"/>
      <c r="BM30" s="246">
        <f t="shared" si="64"/>
        <v>0</v>
      </c>
      <c r="BN30" s="196">
        <v>1</v>
      </c>
      <c r="BO30" s="196">
        <f t="shared" si="81"/>
        <v>31576.296386714046</v>
      </c>
      <c r="BP30" s="196">
        <f t="shared" si="82"/>
        <v>31576.296386714046</v>
      </c>
      <c r="BQ30" s="248">
        <f t="shared" si="65"/>
        <v>2.9538154841223193E-3</v>
      </c>
      <c r="BR30" s="248"/>
      <c r="BS30" s="248"/>
      <c r="BT30" s="276">
        <v>1</v>
      </c>
      <c r="BU30" s="196">
        <f t="shared" si="97"/>
        <v>55857.290374822645</v>
      </c>
      <c r="BV30" s="264">
        <f t="shared" si="66"/>
        <v>3.874367462864172E-3</v>
      </c>
      <c r="BW30" s="196">
        <f t="shared" si="98"/>
        <v>238945.07549229692</v>
      </c>
      <c r="BX30" s="247">
        <f t="shared" si="67"/>
        <v>3.8743674977646234E-3</v>
      </c>
      <c r="BY30" s="196">
        <f t="shared" si="83"/>
        <v>294802.36586711957</v>
      </c>
      <c r="BZ30" s="620">
        <v>0</v>
      </c>
      <c r="CA30" s="196">
        <f t="shared" si="10"/>
        <v>117289.27079693491</v>
      </c>
      <c r="CB30" s="196">
        <f t="shared" si="11"/>
        <v>234578.54159386983</v>
      </c>
      <c r="CC30" s="196">
        <f t="shared" si="12"/>
        <v>351867.81239080476</v>
      </c>
      <c r="CD30" s="247">
        <f t="shared" si="13"/>
        <v>1.4846768134044444E-3</v>
      </c>
      <c r="CE30" s="196">
        <f t="shared" si="84"/>
        <v>46436.45677959796</v>
      </c>
      <c r="CF30" s="247">
        <f t="shared" si="14"/>
        <v>2.0052706186005527E-3</v>
      </c>
      <c r="CG30" s="196">
        <f t="shared" si="15"/>
        <v>58261.337127889237</v>
      </c>
      <c r="CH30" s="589">
        <f t="shared" si="68"/>
        <v>1.4846768134044442E-3</v>
      </c>
      <c r="CI30" s="196">
        <f t="shared" si="85"/>
        <v>112781.52207291742</v>
      </c>
      <c r="CJ30" s="248">
        <f t="shared" si="70"/>
        <v>1.854127936601409E-3</v>
      </c>
      <c r="CK30" s="196">
        <f t="shared" si="86"/>
        <v>87620.600867078727</v>
      </c>
      <c r="CL30" s="589">
        <f t="shared" si="71"/>
        <v>1.2595641602529347E-3</v>
      </c>
      <c r="CM30" s="196">
        <f t="shared" si="87"/>
        <v>8488.2477813243695</v>
      </c>
      <c r="CN30" s="589">
        <f t="shared" si="72"/>
        <v>1.2232529712628061E-3</v>
      </c>
      <c r="CO30" s="196">
        <f t="shared" si="88"/>
        <v>679.11083361040471</v>
      </c>
      <c r="CP30" s="589">
        <f t="shared" si="73"/>
        <v>1.2806984298642657E-3</v>
      </c>
      <c r="CQ30" s="196">
        <f>'Detailed Budget'!$AC$12</f>
        <v>292876014141.44696</v>
      </c>
      <c r="CR30" s="269">
        <f t="shared" si="16"/>
        <v>0</v>
      </c>
      <c r="CS30" s="269">
        <f>'Detailed Budget'!$AC$16</f>
        <v>10488008800.000002</v>
      </c>
      <c r="CT30" s="607">
        <f t="shared" si="17"/>
        <v>0</v>
      </c>
      <c r="CU30" s="269">
        <f>'Detailed Budget'!$AC$24</f>
        <v>30624985696</v>
      </c>
      <c r="CV30" s="269">
        <f t="shared" si="18"/>
        <v>0</v>
      </c>
      <c r="CW30" s="269"/>
      <c r="CX30" s="269">
        <f t="shared" si="19"/>
        <v>0</v>
      </c>
      <c r="CY30" s="196">
        <f>'Detailed Budget'!$AC$97</f>
        <v>74629165494.837845</v>
      </c>
      <c r="CZ30" s="269">
        <f t="shared" si="20"/>
        <v>220440784.60577914</v>
      </c>
      <c r="DA30" s="269">
        <f>'Detailed Budget'!$AC$100</f>
        <v>14925833098.967569</v>
      </c>
      <c r="DB30" s="269">
        <f t="shared" si="21"/>
        <v>44088156.921155825</v>
      </c>
      <c r="DC30" s="269">
        <f t="shared" si="22"/>
        <v>264528941.52693498</v>
      </c>
      <c r="DD30" s="207">
        <v>0</v>
      </c>
      <c r="DE30" s="606">
        <v>0</v>
      </c>
      <c r="DF30" s="269">
        <f>'Detailed Budget'!$AC$147</f>
        <v>5913600671000</v>
      </c>
      <c r="DG30" s="269">
        <f t="shared" si="23"/>
        <v>0</v>
      </c>
      <c r="DH30" s="269">
        <f>'Detailed Budget'!$AC$153</f>
        <v>226428026880.00003</v>
      </c>
      <c r="DI30" s="269"/>
      <c r="DJ30" s="269">
        <f>'Detailed Budget'!$AC$156</f>
        <v>27713070000</v>
      </c>
      <c r="DK30" s="269"/>
      <c r="DL30" s="269"/>
      <c r="DM30" s="196">
        <f>'Detailed Budget'!$AC$178</f>
        <v>5622683761.6229038</v>
      </c>
      <c r="DN30" s="269">
        <f t="shared" si="24"/>
        <v>21784343.020006508</v>
      </c>
      <c r="DO30" s="196">
        <f>'Detailed Budget'!$AC$179</f>
        <v>26827890683.128094</v>
      </c>
      <c r="DP30" s="269">
        <f t="shared" si="25"/>
        <v>103941107.69629385</v>
      </c>
      <c r="DQ30" s="269">
        <f t="shared" si="89"/>
        <v>125725450.71630035</v>
      </c>
      <c r="DR30" s="269">
        <f>'Detailed Budget'!$AC$181</f>
        <v>50888946855.375237</v>
      </c>
      <c r="DS30" s="269">
        <f t="shared" si="90"/>
        <v>157644325.36479059</v>
      </c>
      <c r="DT30" s="269">
        <f t="shared" si="91"/>
        <v>283369776.08109093</v>
      </c>
      <c r="DU30" s="272">
        <f>'Detailed Budget'!$AC$192</f>
        <v>77498869683.252869</v>
      </c>
      <c r="DV30" s="269">
        <f t="shared" si="92"/>
        <v>0</v>
      </c>
      <c r="DW30" s="140">
        <f>'Detailed Budget'!$AC$194</f>
        <v>2684962805.4134097</v>
      </c>
      <c r="DX30" s="269">
        <f t="shared" si="93"/>
        <v>0</v>
      </c>
      <c r="DY30" s="607">
        <f t="shared" si="26"/>
        <v>0</v>
      </c>
      <c r="DZ30" s="196">
        <f>'Detailed Budget'!$AC$198</f>
        <v>18732540018.380611</v>
      </c>
      <c r="EA30" s="269">
        <f t="shared" si="27"/>
        <v>37563812.110617697</v>
      </c>
      <c r="EB30" s="196">
        <f>'Detailed Budget'!$AC$200</f>
        <v>4683135004.5951529</v>
      </c>
      <c r="EC30" s="269">
        <f t="shared" si="28"/>
        <v>9390953.0276544243</v>
      </c>
      <c r="ED30" s="269">
        <f t="shared" si="29"/>
        <v>46954765.138272122</v>
      </c>
      <c r="EE30" s="196">
        <f>'Detailed Budget'!$AC$161</f>
        <v>251147290106.36197</v>
      </c>
      <c r="EF30" s="269">
        <f t="shared" si="30"/>
        <v>372872558.37027496</v>
      </c>
      <c r="EG30" s="196">
        <f>'Detailed Budget'!$AC$163</f>
        <v>15696705631.647623</v>
      </c>
      <c r="EH30" s="269">
        <f t="shared" si="31"/>
        <v>23304534.898142185</v>
      </c>
      <c r="EI30" s="269">
        <f t="shared" si="32"/>
        <v>396177093.26841712</v>
      </c>
      <c r="EJ30" s="196">
        <f>'Detailed Budget'!$AC$204</f>
        <v>45012172507.531975</v>
      </c>
      <c r="EK30" s="269">
        <f t="shared" si="33"/>
        <v>83458326.533336923</v>
      </c>
      <c r="EL30" s="201">
        <f>'Detailed Budget'!$AC$206</f>
        <v>11253043126.882994</v>
      </c>
      <c r="EM30" s="269">
        <f t="shared" si="34"/>
        <v>20864581.633334231</v>
      </c>
      <c r="EN30" s="269">
        <f t="shared" si="35"/>
        <v>104322908.16667116</v>
      </c>
      <c r="EO30" s="140">
        <f>'Detailed Budget'!$AC$209</f>
        <v>135789361677.54817</v>
      </c>
      <c r="EP30" s="269">
        <f t="shared" si="36"/>
        <v>171035413.31266299</v>
      </c>
      <c r="EQ30" s="196">
        <f>'Detailed Budget'!$AC$211</f>
        <v>33947340419.387043</v>
      </c>
      <c r="ER30" s="269">
        <f t="shared" si="37"/>
        <v>42758853.328165747</v>
      </c>
      <c r="ES30" s="269">
        <f t="shared" si="38"/>
        <v>213794266.64082873</v>
      </c>
      <c r="ET30" s="196">
        <f>'Detailed Budget'!$AC$214</f>
        <v>22239745544.201103</v>
      </c>
      <c r="EU30" s="269">
        <f t="shared" si="39"/>
        <v>27204834.817072753</v>
      </c>
      <c r="EV30" s="140">
        <f>'Detailed Budget'!$AC$217</f>
        <v>5559936386.0502758</v>
      </c>
      <c r="EW30" s="269">
        <f t="shared" si="40"/>
        <v>6801208.7042681882</v>
      </c>
      <c r="EX30" s="269">
        <f t="shared" si="41"/>
        <v>34006043.521340944</v>
      </c>
      <c r="EY30" s="196">
        <f>'Detailed Budget'!$AC$219</f>
        <v>372777004.58170313</v>
      </c>
      <c r="EZ30" s="269">
        <f t="shared" si="42"/>
        <v>477414.92445729137</v>
      </c>
      <c r="FA30" s="196">
        <f>'Detailed Budget'!$AC$222</f>
        <v>93194251.145425782</v>
      </c>
      <c r="FB30" s="269">
        <f t="shared" si="43"/>
        <v>119353.73111432284</v>
      </c>
      <c r="FC30" s="269">
        <f t="shared" si="44"/>
        <v>596768.65557161416</v>
      </c>
      <c r="FD30" s="269"/>
      <c r="FE30" s="269">
        <f t="shared" si="45"/>
        <v>352719986.98441249</v>
      </c>
      <c r="FF30" s="140">
        <f>'Detailed Budget'!$AC$165</f>
        <v>14927760000</v>
      </c>
      <c r="FG30" s="1087">
        <f t="shared" si="46"/>
        <v>481133410.1418581</v>
      </c>
      <c r="FH30" s="269">
        <f t="shared" si="47"/>
        <v>22049867.060561303</v>
      </c>
      <c r="FJ30" s="140">
        <f>'Detailed Budget'!$AC$235</f>
        <v>3623696172</v>
      </c>
      <c r="FK30" s="269">
        <f t="shared" si="48"/>
        <v>4681778</v>
      </c>
      <c r="FL30" s="269">
        <f t="shared" si="49"/>
        <v>4681778</v>
      </c>
      <c r="FO30" s="607"/>
      <c r="FP30" s="607"/>
      <c r="FQ30" s="607"/>
      <c r="FR30" s="269">
        <f>'Detailed Budget'!$AC$257</f>
        <v>13636439388</v>
      </c>
      <c r="FS30" s="269">
        <f t="shared" si="50"/>
        <v>65456508</v>
      </c>
      <c r="FT30" s="269">
        <f t="shared" si="51"/>
        <v>65456508</v>
      </c>
      <c r="FU30" s="269"/>
      <c r="FV30" s="269"/>
      <c r="FW30" s="605">
        <f t="shared" si="52"/>
        <v>0</v>
      </c>
      <c r="FX30" s="140">
        <f>'Detailed Budget'!$AC$278</f>
        <v>1114560000</v>
      </c>
      <c r="FY30" s="269">
        <f t="shared" si="53"/>
        <v>1440000</v>
      </c>
      <c r="FZ30" s="269">
        <f t="shared" si="54"/>
        <v>1440000</v>
      </c>
      <c r="GB30" s="269">
        <f t="shared" si="74"/>
        <v>1918512126.2015471</v>
      </c>
      <c r="GC30" s="887">
        <f t="shared" si="55"/>
        <v>1199070.0788759671</v>
      </c>
      <c r="GD30" s="1078">
        <f t="shared" si="75"/>
        <v>1.0765375662375558E-3</v>
      </c>
    </row>
    <row r="31" spans="1:186" ht="14.25" hidden="1" customHeight="1" outlineLevel="1">
      <c r="A31" s="211" t="s">
        <v>258</v>
      </c>
      <c r="B31" s="212" t="s">
        <v>259</v>
      </c>
      <c r="C31" s="213" t="s">
        <v>215</v>
      </c>
      <c r="D31" s="214"/>
      <c r="E31" s="213"/>
      <c r="F31" s="213"/>
      <c r="G31" s="213" t="s">
        <v>215</v>
      </c>
      <c r="H31" s="213" t="s">
        <v>215</v>
      </c>
      <c r="I31" s="214" t="s">
        <v>215</v>
      </c>
      <c r="J31" s="214"/>
      <c r="K31" s="213" t="s">
        <v>215</v>
      </c>
      <c r="L31" s="213"/>
      <c r="M31" s="214"/>
      <c r="N31" s="213"/>
      <c r="O31" s="214"/>
      <c r="P31" s="213"/>
      <c r="Q31" s="214"/>
      <c r="R31" s="214" t="s">
        <v>215</v>
      </c>
      <c r="S31" s="214"/>
      <c r="T31" s="214"/>
      <c r="U31" s="215">
        <f t="shared" si="76"/>
        <v>6</v>
      </c>
      <c r="V31" s="845" t="s">
        <v>216</v>
      </c>
      <c r="W31" s="216">
        <v>191935</v>
      </c>
      <c r="X31" s="217">
        <v>3.04</v>
      </c>
      <c r="Y31" s="218">
        <f t="shared" si="57"/>
        <v>1.0304</v>
      </c>
      <c r="Z31" s="196">
        <v>19</v>
      </c>
      <c r="AA31" s="218">
        <f t="shared" si="94"/>
        <v>1.7664898659259882</v>
      </c>
      <c r="AB31" s="196">
        <f t="shared" si="77"/>
        <v>339051.23241650453</v>
      </c>
      <c r="AC31">
        <v>18.399999999999999</v>
      </c>
      <c r="AD31" s="196">
        <f t="shared" si="78"/>
        <v>62385.426764636832</v>
      </c>
      <c r="AE31" s="196">
        <f t="shared" si="95"/>
        <v>59266.155426404985</v>
      </c>
      <c r="AF31" s="196">
        <f t="shared" si="79"/>
        <v>0</v>
      </c>
      <c r="AG31" s="606">
        <f t="shared" si="58"/>
        <v>2.7402068436195152E-3</v>
      </c>
      <c r="AH31" s="196">
        <f t="shared" si="96"/>
        <v>16952.561620825229</v>
      </c>
      <c r="AI31" s="248">
        <f t="shared" si="59"/>
        <v>1.3132892631255999E-3</v>
      </c>
      <c r="AJ31" s="196">
        <f t="shared" si="80"/>
        <v>79337.988385462057</v>
      </c>
      <c r="AK31" s="196">
        <f t="shared" si="99"/>
        <v>13562.049296660181</v>
      </c>
      <c r="AL31" s="196">
        <f t="shared" si="100"/>
        <v>13562.049296660181</v>
      </c>
      <c r="AM31" s="196">
        <f t="shared" si="5"/>
        <v>27124.098593320363</v>
      </c>
      <c r="AN31" s="627">
        <f t="shared" si="6"/>
        <v>1.3132892631255997E-3</v>
      </c>
      <c r="AO31" s="196">
        <f t="shared" si="7"/>
        <v>12883.946831827172</v>
      </c>
      <c r="AP31" s="589">
        <f t="shared" si="60"/>
        <v>1.3132892631255997E-3</v>
      </c>
      <c r="AQ31" s="196"/>
      <c r="AR31" s="589"/>
      <c r="AS31">
        <v>1</v>
      </c>
      <c r="AT31" s="589">
        <f t="shared" si="61"/>
        <v>1.2919896640826874E-3</v>
      </c>
      <c r="AU31" s="196">
        <v>11</v>
      </c>
      <c r="AV31" s="245">
        <f t="shared" si="8"/>
        <v>1.2498579706851495E-3</v>
      </c>
      <c r="AX31" s="245"/>
      <c r="AY31" s="245"/>
      <c r="AZ31">
        <v>69</v>
      </c>
      <c r="BA31" s="589">
        <f t="shared" si="62"/>
        <v>2.528306034956579E-3</v>
      </c>
      <c r="BI31" s="196">
        <v>0</v>
      </c>
      <c r="BK31" s="246">
        <f t="shared" si="63"/>
        <v>0</v>
      </c>
      <c r="BL31" s="246"/>
      <c r="BM31" s="246">
        <f t="shared" si="64"/>
        <v>0</v>
      </c>
      <c r="BN31" s="196">
        <v>1</v>
      </c>
      <c r="BO31" s="196">
        <f t="shared" si="81"/>
        <v>27931.204043560832</v>
      </c>
      <c r="BP31" s="196">
        <f t="shared" si="82"/>
        <v>27931.204043560832</v>
      </c>
      <c r="BQ31" s="248">
        <f t="shared" si="65"/>
        <v>2.612834069696784E-3</v>
      </c>
      <c r="BR31" s="248"/>
      <c r="BS31" s="248"/>
      <c r="BT31" s="276">
        <v>0</v>
      </c>
      <c r="BU31" s="196">
        <f t="shared" si="97"/>
        <v>0</v>
      </c>
      <c r="BV31" s="264">
        <f t="shared" si="66"/>
        <v>0</v>
      </c>
      <c r="BW31" s="196">
        <f t="shared" si="98"/>
        <v>0</v>
      </c>
      <c r="BX31" s="247">
        <f t="shared" si="67"/>
        <v>0</v>
      </c>
      <c r="BY31" s="196">
        <f t="shared" si="83"/>
        <v>0</v>
      </c>
      <c r="BZ31" s="620">
        <v>1</v>
      </c>
      <c r="CA31" s="196">
        <f t="shared" si="10"/>
        <v>103749.67711945037</v>
      </c>
      <c r="CB31" s="196">
        <f t="shared" si="11"/>
        <v>207499.35423890073</v>
      </c>
      <c r="CC31" s="196">
        <f t="shared" si="12"/>
        <v>311249.03135835112</v>
      </c>
      <c r="CD31" s="247">
        <f t="shared" si="13"/>
        <v>1.3132892631255997E-3</v>
      </c>
      <c r="CE31" s="196">
        <f t="shared" si="84"/>
        <v>41075.942963237365</v>
      </c>
      <c r="CF31" s="247">
        <f t="shared" si="14"/>
        <v>1.773786961103391E-3</v>
      </c>
      <c r="CG31" s="196">
        <f t="shared" si="15"/>
        <v>51535.787327308688</v>
      </c>
      <c r="CH31" s="589">
        <f t="shared" si="68"/>
        <v>1.3132892631255997E-3</v>
      </c>
      <c r="CI31" s="196">
        <f t="shared" si="85"/>
        <v>99762.292156829833</v>
      </c>
      <c r="CJ31" s="248">
        <f t="shared" si="70"/>
        <v>1.640091829828104E-3</v>
      </c>
      <c r="CK31" s="196">
        <f t="shared" si="86"/>
        <v>77505.887684393514</v>
      </c>
      <c r="CL31" s="589">
        <f t="shared" si="71"/>
        <v>1.1141630777440955E-3</v>
      </c>
      <c r="CM31" s="196">
        <f t="shared" si="87"/>
        <v>7508.3847025273562</v>
      </c>
      <c r="CN31" s="589">
        <f t="shared" si="72"/>
        <v>1.0820435658062003E-3</v>
      </c>
      <c r="CO31" s="196">
        <f t="shared" si="88"/>
        <v>600.71589870641037</v>
      </c>
      <c r="CP31" s="589">
        <f t="shared" si="73"/>
        <v>1.1328576576782414E-3</v>
      </c>
      <c r="CQ31" s="196">
        <f>'Detailed Budget'!$AC$12</f>
        <v>292876014141.44696</v>
      </c>
      <c r="CR31" s="269">
        <f t="shared" si="16"/>
        <v>0</v>
      </c>
      <c r="CS31" s="269">
        <f>'Detailed Budget'!$AC$16</f>
        <v>10488008800.000002</v>
      </c>
      <c r="CT31" s="607">
        <f t="shared" si="17"/>
        <v>0</v>
      </c>
      <c r="CU31" s="269">
        <f>'Detailed Budget'!$AC$24</f>
        <v>30624985696</v>
      </c>
      <c r="CV31" s="269">
        <f t="shared" si="18"/>
        <v>0</v>
      </c>
      <c r="CW31" s="269"/>
      <c r="CX31" s="269">
        <f t="shared" si="19"/>
        <v>0</v>
      </c>
      <c r="CY31" s="196">
        <f>'Detailed Budget'!$AC$97</f>
        <v>74629165494.837845</v>
      </c>
      <c r="CZ31" s="269">
        <f t="shared" si="20"/>
        <v>194993626.19795197</v>
      </c>
      <c r="DA31" s="269">
        <f>'Detailed Budget'!$AC$100</f>
        <v>14925833098.967569</v>
      </c>
      <c r="DB31" s="269">
        <f t="shared" si="21"/>
        <v>38998725.239590399</v>
      </c>
      <c r="DC31" s="269">
        <f t="shared" si="22"/>
        <v>233992351.43754238</v>
      </c>
      <c r="DD31" s="207">
        <v>0</v>
      </c>
      <c r="DE31" s="606">
        <v>0</v>
      </c>
      <c r="DF31" s="269">
        <f>'Detailed Budget'!$AC$147</f>
        <v>5913600671000</v>
      </c>
      <c r="DG31" s="269">
        <f t="shared" si="23"/>
        <v>0</v>
      </c>
      <c r="DH31" s="269">
        <f>'Detailed Budget'!$AC$153</f>
        <v>226428026880.00003</v>
      </c>
      <c r="DI31" s="269"/>
      <c r="DJ31" s="269">
        <f>'Detailed Budget'!$AC$156</f>
        <v>27713070000</v>
      </c>
      <c r="DK31" s="269"/>
      <c r="DL31" s="269"/>
      <c r="DM31" s="196">
        <f>'Detailed Budget'!$AC$178</f>
        <v>5622683761.6229038</v>
      </c>
      <c r="DN31" s="269">
        <f t="shared" si="24"/>
        <v>0</v>
      </c>
      <c r="DO31" s="196">
        <f>'Detailed Budget'!$AC$179</f>
        <v>26827890683.128094</v>
      </c>
      <c r="DP31" s="269">
        <f t="shared" si="25"/>
        <v>0</v>
      </c>
      <c r="DQ31" s="269">
        <f t="shared" si="89"/>
        <v>0</v>
      </c>
      <c r="DR31" s="269">
        <f>'Detailed Budget'!$AC$181</f>
        <v>50888946855.375237</v>
      </c>
      <c r="DS31" s="269">
        <f t="shared" si="90"/>
        <v>0</v>
      </c>
      <c r="DT31" s="269">
        <f t="shared" si="91"/>
        <v>0</v>
      </c>
      <c r="DU31" s="272">
        <f>'Detailed Budget'!$AC$192</f>
        <v>77498869683.252869</v>
      </c>
      <c r="DV31" s="269">
        <f t="shared" si="92"/>
        <v>101778433.45938604</v>
      </c>
      <c r="DW31" s="140">
        <f>'Detailed Budget'!$AC$194</f>
        <v>2684962805.4134097</v>
      </c>
      <c r="DX31" s="269">
        <f t="shared" si="93"/>
        <v>3526132.8242410198</v>
      </c>
      <c r="DY31" s="607">
        <f t="shared" si="26"/>
        <v>105304566.28362706</v>
      </c>
      <c r="DZ31" s="196">
        <f>'Detailed Budget'!$AC$198</f>
        <v>18732540018.380611</v>
      </c>
      <c r="EA31" s="269">
        <f t="shared" si="27"/>
        <v>33227535.232951004</v>
      </c>
      <c r="EB31" s="196">
        <f>'Detailed Budget'!$AC$200</f>
        <v>4683135004.5951529</v>
      </c>
      <c r="EC31" s="269">
        <f t="shared" si="28"/>
        <v>8306883.808237751</v>
      </c>
      <c r="ED31" s="269">
        <f t="shared" si="29"/>
        <v>41534419.041188754</v>
      </c>
      <c r="EE31" s="196">
        <f>'Detailed Budget'!$AC$161</f>
        <v>251147290106.36197</v>
      </c>
      <c r="EF31" s="269">
        <f t="shared" si="30"/>
        <v>329829039.55977535</v>
      </c>
      <c r="EG31" s="196">
        <f>'Detailed Budget'!$AC$163</f>
        <v>15696705631.647623</v>
      </c>
      <c r="EH31" s="269">
        <f t="shared" si="31"/>
        <v>20614314.97248596</v>
      </c>
      <c r="EI31" s="269">
        <f t="shared" si="32"/>
        <v>350443354.53226131</v>
      </c>
      <c r="EJ31" s="196">
        <f>'Detailed Budget'!$AC$204</f>
        <v>45012172507.531975</v>
      </c>
      <c r="EK31" s="269">
        <f t="shared" si="33"/>
        <v>73824096.372416392</v>
      </c>
      <c r="EL31" s="201">
        <f>'Detailed Budget'!$AC$206</f>
        <v>11253043126.882994</v>
      </c>
      <c r="EM31" s="269">
        <f t="shared" si="34"/>
        <v>18456024.093104098</v>
      </c>
      <c r="EN31" s="269">
        <f t="shared" si="35"/>
        <v>92280120.465520486</v>
      </c>
      <c r="EO31" s="140">
        <f>'Detailed Budget'!$AC$209</f>
        <v>135789361677.54817</v>
      </c>
      <c r="EP31" s="269">
        <f t="shared" si="36"/>
        <v>151291493.13156322</v>
      </c>
      <c r="EQ31" s="196">
        <f>'Detailed Budget'!$AC$211</f>
        <v>33947340419.387043</v>
      </c>
      <c r="ER31" s="269">
        <f t="shared" si="37"/>
        <v>37822873.282890804</v>
      </c>
      <c r="ES31" s="269">
        <f t="shared" si="38"/>
        <v>189114366.41445401</v>
      </c>
      <c r="ET31" s="196">
        <f>'Detailed Budget'!$AC$214</f>
        <v>22239745544.201103</v>
      </c>
      <c r="EU31" s="269">
        <f t="shared" si="39"/>
        <v>24064373.571269915</v>
      </c>
      <c r="EV31" s="140">
        <f>'Detailed Budget'!$AC$217</f>
        <v>5559936386.0502758</v>
      </c>
      <c r="EW31" s="269">
        <f t="shared" si="40"/>
        <v>6016093.3928174786</v>
      </c>
      <c r="EX31" s="269">
        <f t="shared" si="41"/>
        <v>30080466.964087393</v>
      </c>
      <c r="EY31" s="196">
        <f>'Detailed Budget'!$AC$219</f>
        <v>372777004.58170313</v>
      </c>
      <c r="EZ31" s="269">
        <f t="shared" si="42"/>
        <v>422303.28424673929</v>
      </c>
      <c r="FA31" s="196">
        <f>'Detailed Budget'!$AC$222</f>
        <v>93194251.145425782</v>
      </c>
      <c r="FB31" s="269">
        <f t="shared" si="43"/>
        <v>105575.82106168482</v>
      </c>
      <c r="FC31" s="269">
        <f t="shared" si="44"/>
        <v>527879.1053084241</v>
      </c>
      <c r="FD31" s="269"/>
      <c r="FE31" s="269">
        <f t="shared" si="45"/>
        <v>312002832.94937027</v>
      </c>
      <c r="FF31" s="140">
        <f>'Detailed Budget'!$AC$165</f>
        <v>14927760000</v>
      </c>
      <c r="FG31" s="1087">
        <f t="shared" si="46"/>
        <v>425592516.81273437</v>
      </c>
      <c r="FH31" s="269">
        <f t="shared" si="47"/>
        <v>18657579.820474949</v>
      </c>
      <c r="FJ31" s="140">
        <f>'Detailed Budget'!$AC$235</f>
        <v>3623696172</v>
      </c>
      <c r="FK31" s="269">
        <f t="shared" si="48"/>
        <v>4681778</v>
      </c>
      <c r="FL31" s="269">
        <f t="shared" si="49"/>
        <v>4681778</v>
      </c>
      <c r="FO31" s="607"/>
      <c r="FP31" s="607"/>
      <c r="FQ31" s="607"/>
      <c r="FR31" s="269">
        <f>'Detailed Budget'!$AC$257</f>
        <v>13636439388</v>
      </c>
      <c r="FS31" s="269">
        <f t="shared" si="50"/>
        <v>34477092</v>
      </c>
      <c r="FT31" s="269">
        <f t="shared" si="51"/>
        <v>34477092</v>
      </c>
      <c r="FU31" s="269"/>
      <c r="FV31" s="269"/>
      <c r="FW31" s="605">
        <f t="shared" si="52"/>
        <v>0</v>
      </c>
      <c r="FX31" s="140">
        <f>'Detailed Budget'!$AC$278</f>
        <v>1114560000</v>
      </c>
      <c r="FY31" s="269">
        <f t="shared" si="53"/>
        <v>1440000</v>
      </c>
      <c r="FZ31" s="269">
        <f t="shared" si="54"/>
        <v>1440000</v>
      </c>
      <c r="GB31" s="269">
        <f t="shared" si="74"/>
        <v>1528126490.8771989</v>
      </c>
      <c r="GC31" s="887">
        <f t="shared" si="55"/>
        <v>955079.05679824937</v>
      </c>
      <c r="GD31" s="1078">
        <f t="shared" si="75"/>
        <v>8.5747989336360008E-4</v>
      </c>
    </row>
    <row r="32" spans="1:186" ht="14.25" hidden="1" customHeight="1" outlineLevel="1">
      <c r="A32" s="211" t="s">
        <v>260</v>
      </c>
      <c r="B32" s="212" t="s">
        <v>261</v>
      </c>
      <c r="C32" s="213" t="s">
        <v>215</v>
      </c>
      <c r="D32" s="214"/>
      <c r="E32" s="213"/>
      <c r="F32" s="213"/>
      <c r="G32" s="213" t="s">
        <v>215</v>
      </c>
      <c r="H32" s="213" t="s">
        <v>215</v>
      </c>
      <c r="I32" s="214" t="s">
        <v>215</v>
      </c>
      <c r="J32" s="214"/>
      <c r="K32" s="213" t="s">
        <v>215</v>
      </c>
      <c r="L32" s="213"/>
      <c r="M32" s="214"/>
      <c r="N32" s="213"/>
      <c r="O32" s="214"/>
      <c r="P32" s="213"/>
      <c r="Q32" s="214"/>
      <c r="R32" s="214" t="s">
        <v>215</v>
      </c>
      <c r="S32" s="214"/>
      <c r="T32" s="214"/>
      <c r="U32" s="215">
        <f t="shared" si="76"/>
        <v>6</v>
      </c>
      <c r="V32" s="845" t="s">
        <v>216</v>
      </c>
      <c r="W32" s="216">
        <v>234567</v>
      </c>
      <c r="X32" s="217">
        <v>3.04</v>
      </c>
      <c r="Y32" s="218">
        <f t="shared" si="57"/>
        <v>1.0304</v>
      </c>
      <c r="Z32" s="196">
        <v>19</v>
      </c>
      <c r="AA32" s="218">
        <f t="shared" si="94"/>
        <v>1.7664898659259882</v>
      </c>
      <c r="AB32" s="196">
        <f t="shared" si="77"/>
        <v>414360.22838066128</v>
      </c>
      <c r="AC32">
        <v>18.399999999999999</v>
      </c>
      <c r="AD32" s="196">
        <f t="shared" si="78"/>
        <v>76242.282022041676</v>
      </c>
      <c r="AE32" s="196">
        <f t="shared" si="95"/>
        <v>72430.167920939595</v>
      </c>
      <c r="AF32" s="196">
        <f t="shared" si="79"/>
        <v>0</v>
      </c>
      <c r="AG32" s="606">
        <f t="shared" si="58"/>
        <v>3.3488529902690961E-3</v>
      </c>
      <c r="AH32" s="196">
        <f t="shared" si="96"/>
        <v>20718.011419033064</v>
      </c>
      <c r="AI32" s="248">
        <f t="shared" si="59"/>
        <v>1.6049929537790533E-3</v>
      </c>
      <c r="AJ32" s="196">
        <f t="shared" si="80"/>
        <v>96960.29344107474</v>
      </c>
      <c r="AK32" s="196">
        <f t="shared" si="99"/>
        <v>16574.409135226451</v>
      </c>
      <c r="AL32" s="196">
        <f t="shared" si="100"/>
        <v>16574.409135226451</v>
      </c>
      <c r="AM32" s="196">
        <f t="shared" si="5"/>
        <v>33148.818270452903</v>
      </c>
      <c r="AN32" s="627">
        <f t="shared" si="6"/>
        <v>1.6049929537790533E-3</v>
      </c>
      <c r="AO32" s="196">
        <f t="shared" si="7"/>
        <v>15745.688678465129</v>
      </c>
      <c r="AP32" s="589">
        <f t="shared" si="60"/>
        <v>1.6049929537790533E-3</v>
      </c>
      <c r="AQ32" s="196"/>
      <c r="AR32" s="589"/>
      <c r="AS32">
        <v>1</v>
      </c>
      <c r="AT32" s="589">
        <f t="shared" si="61"/>
        <v>1.2919896640826874E-3</v>
      </c>
      <c r="AU32" s="196">
        <v>12</v>
      </c>
      <c r="AV32" s="245">
        <f t="shared" si="8"/>
        <v>1.3634814225656176E-3</v>
      </c>
      <c r="AX32" s="245"/>
      <c r="AY32" s="245"/>
      <c r="AZ32">
        <v>32</v>
      </c>
      <c r="BA32" s="589">
        <f t="shared" si="62"/>
        <v>1.1725477263566744E-3</v>
      </c>
      <c r="BI32" s="196">
        <v>0</v>
      </c>
      <c r="BK32" s="246">
        <f t="shared" si="63"/>
        <v>0</v>
      </c>
      <c r="BL32" s="246"/>
      <c r="BM32" s="246">
        <f t="shared" si="64"/>
        <v>0</v>
      </c>
      <c r="BN32" s="196">
        <v>1</v>
      </c>
      <c r="BO32" s="196">
        <f t="shared" si="81"/>
        <v>34135.195450990883</v>
      </c>
      <c r="BP32" s="196">
        <f t="shared" si="82"/>
        <v>34135.195450990883</v>
      </c>
      <c r="BQ32" s="248">
        <f t="shared" si="65"/>
        <v>3.1931885754373393E-3</v>
      </c>
      <c r="BR32" s="248"/>
      <c r="BS32" s="248"/>
      <c r="BT32" s="276">
        <v>0</v>
      </c>
      <c r="BU32" s="196">
        <f t="shared" si="97"/>
        <v>0</v>
      </c>
      <c r="BV32" s="264">
        <f t="shared" si="66"/>
        <v>0</v>
      </c>
      <c r="BW32" s="196">
        <f t="shared" si="98"/>
        <v>0</v>
      </c>
      <c r="BX32" s="247">
        <f t="shared" si="67"/>
        <v>0</v>
      </c>
      <c r="BY32" s="196">
        <f t="shared" si="83"/>
        <v>0</v>
      </c>
      <c r="BZ32" s="620">
        <v>1</v>
      </c>
      <c r="CA32" s="196">
        <f t="shared" si="10"/>
        <v>126794.22988448235</v>
      </c>
      <c r="CB32" s="196">
        <f t="shared" si="11"/>
        <v>253588.45976896471</v>
      </c>
      <c r="CC32" s="196">
        <f t="shared" si="12"/>
        <v>380382.68965344707</v>
      </c>
      <c r="CD32" s="247">
        <f t="shared" si="13"/>
        <v>1.6049929537790533E-3</v>
      </c>
      <c r="CE32" s="196">
        <f t="shared" si="84"/>
        <v>50199.602537617946</v>
      </c>
      <c r="CF32" s="247">
        <f t="shared" si="14"/>
        <v>2.1677749556106973E-3</v>
      </c>
      <c r="CG32" s="196">
        <f t="shared" si="15"/>
        <v>62982.754713860515</v>
      </c>
      <c r="CH32" s="589">
        <f t="shared" si="68"/>
        <v>1.6049929537790533E-3</v>
      </c>
      <c r="CI32" s="196">
        <f t="shared" si="85"/>
        <v>121921.17948446664</v>
      </c>
      <c r="CJ32" s="248">
        <f t="shared" si="70"/>
        <v>2.0043838812477603E-3</v>
      </c>
      <c r="CK32" s="196">
        <f t="shared" si="86"/>
        <v>94721.252280538392</v>
      </c>
      <c r="CL32" s="589">
        <f t="shared" si="71"/>
        <v>1.361637484863101E-3</v>
      </c>
      <c r="CM32" s="196">
        <f t="shared" si="87"/>
        <v>9176.1235549416961</v>
      </c>
      <c r="CN32" s="589">
        <f t="shared" si="72"/>
        <v>1.3223836877091879E-3</v>
      </c>
      <c r="CO32" s="196">
        <f t="shared" si="88"/>
        <v>734.14502936862266</v>
      </c>
      <c r="CP32" s="589">
        <f t="shared" si="73"/>
        <v>1.3844844462375914E-3</v>
      </c>
      <c r="CQ32" s="196">
        <f>'Detailed Budget'!$AC$12</f>
        <v>292876014141.44696</v>
      </c>
      <c r="CR32" s="269">
        <f t="shared" si="16"/>
        <v>0</v>
      </c>
      <c r="CS32" s="269">
        <f>'Detailed Budget'!$AC$16</f>
        <v>10488008800.000002</v>
      </c>
      <c r="CT32" s="607">
        <f t="shared" si="17"/>
        <v>0</v>
      </c>
      <c r="CU32" s="269">
        <f>'Detailed Budget'!$AC$24</f>
        <v>30624985696</v>
      </c>
      <c r="CV32" s="269">
        <f t="shared" si="18"/>
        <v>0</v>
      </c>
      <c r="CW32" s="269"/>
      <c r="CX32" s="269">
        <f t="shared" si="19"/>
        <v>0</v>
      </c>
      <c r="CY32" s="196">
        <f>'Detailed Budget'!$AC$97</f>
        <v>74629165494.837845</v>
      </c>
      <c r="CZ32" s="269">
        <f t="shared" si="20"/>
        <v>238304998.65253869</v>
      </c>
      <c r="DA32" s="269">
        <f>'Detailed Budget'!$AC$100</f>
        <v>14925833098.967569</v>
      </c>
      <c r="DB32" s="269">
        <f t="shared" si="21"/>
        <v>47660999.730507739</v>
      </c>
      <c r="DC32" s="269">
        <f t="shared" si="22"/>
        <v>285965998.38304645</v>
      </c>
      <c r="DD32" s="207">
        <v>0</v>
      </c>
      <c r="DE32" s="606">
        <v>0</v>
      </c>
      <c r="DF32" s="269">
        <f>'Detailed Budget'!$AC$147</f>
        <v>5913600671000</v>
      </c>
      <c r="DG32" s="269">
        <f t="shared" si="23"/>
        <v>0</v>
      </c>
      <c r="DH32" s="269">
        <f>'Detailed Budget'!$AC$153</f>
        <v>226428026880.00003</v>
      </c>
      <c r="DI32" s="269"/>
      <c r="DJ32" s="269">
        <f>'Detailed Budget'!$AC$156</f>
        <v>27713070000</v>
      </c>
      <c r="DK32" s="269"/>
      <c r="DL32" s="269"/>
      <c r="DM32" s="196">
        <f>'Detailed Budget'!$AC$178</f>
        <v>5622683761.6229038</v>
      </c>
      <c r="DN32" s="269">
        <f t="shared" si="24"/>
        <v>0</v>
      </c>
      <c r="DO32" s="196">
        <f>'Detailed Budget'!$AC$179</f>
        <v>26827890683.128094</v>
      </c>
      <c r="DP32" s="269">
        <f t="shared" si="25"/>
        <v>0</v>
      </c>
      <c r="DQ32" s="269">
        <f t="shared" si="89"/>
        <v>0</v>
      </c>
      <c r="DR32" s="269">
        <f>'Detailed Budget'!$AC$181</f>
        <v>50888946855.375237</v>
      </c>
      <c r="DS32" s="269">
        <f t="shared" si="90"/>
        <v>0</v>
      </c>
      <c r="DT32" s="269">
        <f t="shared" si="91"/>
        <v>0</v>
      </c>
      <c r="DU32" s="272">
        <f>'Detailed Budget'!$AC$192</f>
        <v>77498869683.252869</v>
      </c>
      <c r="DV32" s="269">
        <f t="shared" si="92"/>
        <v>124385139.76746194</v>
      </c>
      <c r="DW32" s="140">
        <f>'Detailed Budget'!$AC$194</f>
        <v>2684962805.4134097</v>
      </c>
      <c r="DX32" s="269">
        <f t="shared" si="93"/>
        <v>4309346.3838473624</v>
      </c>
      <c r="DY32" s="607">
        <f t="shared" si="26"/>
        <v>128694486.1513093</v>
      </c>
      <c r="DZ32" s="196">
        <f>'Detailed Budget'!$AC$198</f>
        <v>18732540018.380611</v>
      </c>
      <c r="EA32" s="269">
        <f t="shared" si="27"/>
        <v>40607931.106820643</v>
      </c>
      <c r="EB32" s="196">
        <f>'Detailed Budget'!$AC$200</f>
        <v>4683135004.5951529</v>
      </c>
      <c r="EC32" s="269">
        <f t="shared" si="28"/>
        <v>10151982.776705161</v>
      </c>
      <c r="ED32" s="269">
        <f t="shared" si="29"/>
        <v>50759913.883525804</v>
      </c>
      <c r="EE32" s="196">
        <f>'Detailed Budget'!$AC$161</f>
        <v>251147290106.36197</v>
      </c>
      <c r="EF32" s="269">
        <f t="shared" si="30"/>
        <v>403089630.98141474</v>
      </c>
      <c r="EG32" s="196">
        <f>'Detailed Budget'!$AC$163</f>
        <v>15696705631.647623</v>
      </c>
      <c r="EH32" s="269">
        <f t="shared" si="31"/>
        <v>25193101.936338421</v>
      </c>
      <c r="EI32" s="269">
        <f t="shared" si="32"/>
        <v>428282732.91775316</v>
      </c>
      <c r="EJ32" s="196">
        <f>'Detailed Budget'!$AC$204</f>
        <v>45012172507.531975</v>
      </c>
      <c r="EK32" s="269">
        <f t="shared" si="33"/>
        <v>90221673.034040675</v>
      </c>
      <c r="EL32" s="201">
        <f>'Detailed Budget'!$AC$206</f>
        <v>11253043126.882994</v>
      </c>
      <c r="EM32" s="269">
        <f t="shared" si="34"/>
        <v>22555418.258510169</v>
      </c>
      <c r="EN32" s="269">
        <f t="shared" si="35"/>
        <v>112777091.29255085</v>
      </c>
      <c r="EO32" s="140">
        <f>'Detailed Budget'!$AC$209</f>
        <v>135789361677.54817</v>
      </c>
      <c r="EP32" s="269">
        <f t="shared" si="36"/>
        <v>184895884.90578264</v>
      </c>
      <c r="EQ32" s="196">
        <f>'Detailed Budget'!$AC$211</f>
        <v>33947340419.387043</v>
      </c>
      <c r="ER32" s="269">
        <f t="shared" si="37"/>
        <v>46223971.22644566</v>
      </c>
      <c r="ES32" s="269">
        <f t="shared" si="38"/>
        <v>231119856.13222831</v>
      </c>
      <c r="ET32" s="196">
        <f>'Detailed Budget'!$AC$214</f>
        <v>22239745544.201103</v>
      </c>
      <c r="EU32" s="269">
        <f t="shared" si="39"/>
        <v>29409476.726454634</v>
      </c>
      <c r="EV32" s="140">
        <f>'Detailed Budget'!$AC$217</f>
        <v>5559936386.0502758</v>
      </c>
      <c r="EW32" s="269">
        <f t="shared" si="40"/>
        <v>7352369.1816136586</v>
      </c>
      <c r="EX32" s="269">
        <f t="shared" si="41"/>
        <v>36761845.908068292</v>
      </c>
      <c r="EY32" s="196">
        <f>'Detailed Budget'!$AC$219</f>
        <v>372777004.58170313</v>
      </c>
      <c r="EZ32" s="269">
        <f t="shared" si="42"/>
        <v>516103.96475840732</v>
      </c>
      <c r="FA32" s="196">
        <f>'Detailed Budget'!$AC$222</f>
        <v>93194251.145425782</v>
      </c>
      <c r="FB32" s="269">
        <f t="shared" si="43"/>
        <v>129025.99118960183</v>
      </c>
      <c r="FC32" s="269">
        <f t="shared" si="44"/>
        <v>645129.95594800916</v>
      </c>
      <c r="FD32" s="269"/>
      <c r="FE32" s="269">
        <f t="shared" si="45"/>
        <v>381303923.28879547</v>
      </c>
      <c r="FF32" s="140">
        <f>'Detailed Budget'!$AC$165</f>
        <v>14927760000</v>
      </c>
      <c r="FG32" s="1087">
        <f t="shared" si="46"/>
        <v>520123791.34192663</v>
      </c>
      <c r="FH32" s="269">
        <f t="shared" si="47"/>
        <v>20353723.440518126</v>
      </c>
      <c r="FJ32" s="140">
        <f>'Detailed Budget'!$AC$235</f>
        <v>3623696172</v>
      </c>
      <c r="FK32" s="269">
        <f t="shared" si="48"/>
        <v>4681778</v>
      </c>
      <c r="FL32" s="269">
        <f t="shared" si="49"/>
        <v>4681778</v>
      </c>
      <c r="FO32" s="607"/>
      <c r="FP32" s="607"/>
      <c r="FQ32" s="607"/>
      <c r="FR32" s="269">
        <f>'Detailed Budget'!$AC$257</f>
        <v>13636439388</v>
      </c>
      <c r="FS32" s="269">
        <f t="shared" si="50"/>
        <v>15989376</v>
      </c>
      <c r="FT32" s="269">
        <f t="shared" si="51"/>
        <v>15989376</v>
      </c>
      <c r="FU32" s="269"/>
      <c r="FV32" s="269"/>
      <c r="FW32" s="605">
        <f t="shared" si="52"/>
        <v>0</v>
      </c>
      <c r="FX32" s="140">
        <f>'Detailed Budget'!$AC$278</f>
        <v>1114560000</v>
      </c>
      <c r="FY32" s="269">
        <f t="shared" si="53"/>
        <v>1440000</v>
      </c>
      <c r="FZ32" s="269">
        <f t="shared" si="54"/>
        <v>1440000</v>
      </c>
      <c r="GB32" s="269">
        <f t="shared" si="74"/>
        <v>1837595723.4068749</v>
      </c>
      <c r="GC32" s="887">
        <f t="shared" si="55"/>
        <v>1148497.3271292967</v>
      </c>
      <c r="GD32" s="1078">
        <f t="shared" si="75"/>
        <v>1.0311328246445266E-3</v>
      </c>
    </row>
    <row r="33" spans="1:186" ht="14.25" hidden="1" customHeight="1" outlineLevel="1">
      <c r="A33" s="211"/>
      <c r="B33" s="212"/>
      <c r="C33" s="213"/>
      <c r="D33" s="214"/>
      <c r="E33" s="213"/>
      <c r="F33" s="213"/>
      <c r="G33" s="213"/>
      <c r="H33" s="213"/>
      <c r="I33" s="214"/>
      <c r="J33" s="214"/>
      <c r="K33" s="213"/>
      <c r="L33" s="213"/>
      <c r="M33" s="214"/>
      <c r="N33" s="213"/>
      <c r="O33" s="214"/>
      <c r="P33" s="213"/>
      <c r="Q33" s="214"/>
      <c r="R33" s="214"/>
      <c r="S33" s="214"/>
      <c r="T33" s="214"/>
      <c r="U33" s="215"/>
      <c r="V33" s="845"/>
      <c r="W33" s="216"/>
      <c r="X33" s="217"/>
      <c r="Y33" s="218"/>
      <c r="Z33" s="196"/>
      <c r="AA33" s="218"/>
      <c r="AG33" s="606"/>
      <c r="AJ33" s="196"/>
      <c r="AK33" s="196"/>
      <c r="AL33" s="196"/>
      <c r="AM33" s="196"/>
      <c r="AO33" s="196"/>
      <c r="AP33" s="589"/>
      <c r="AQ33" s="196"/>
      <c r="AR33" s="589"/>
      <c r="AS33"/>
      <c r="AT33" s="589">
        <f t="shared" si="61"/>
        <v>0</v>
      </c>
      <c r="AV33" s="245"/>
      <c r="AX33" s="245"/>
      <c r="AY33" s="245"/>
      <c r="BA33" s="589">
        <f t="shared" si="62"/>
        <v>0</v>
      </c>
      <c r="BK33" s="246">
        <f t="shared" si="63"/>
        <v>0</v>
      </c>
      <c r="BL33" s="246"/>
      <c r="BM33" s="246">
        <f t="shared" si="64"/>
        <v>0</v>
      </c>
      <c r="BN33" s="196"/>
      <c r="BQ33" s="248">
        <f t="shared" si="65"/>
        <v>0</v>
      </c>
      <c r="BR33" s="248"/>
      <c r="BS33" s="248"/>
      <c r="BT33" s="276"/>
      <c r="BV33" s="264">
        <f t="shared" si="66"/>
        <v>0</v>
      </c>
      <c r="BX33" s="247">
        <f t="shared" si="67"/>
        <v>0</v>
      </c>
      <c r="BY33" s="196"/>
      <c r="BZ33" s="620"/>
      <c r="CA33" s="196"/>
      <c r="CB33" s="196"/>
      <c r="CC33" s="196"/>
      <c r="CD33" s="247"/>
      <c r="CF33" s="247"/>
      <c r="CG33" s="196"/>
      <c r="CH33" s="589"/>
      <c r="CI33" s="196"/>
      <c r="CJ33" s="248"/>
      <c r="CK33" s="196"/>
      <c r="CL33" s="589"/>
      <c r="CM33" s="196"/>
      <c r="CN33" s="589"/>
      <c r="CO33" s="196"/>
      <c r="CP33" s="589"/>
      <c r="CQ33" s="196"/>
      <c r="CR33" s="269">
        <f t="shared" si="16"/>
        <v>0</v>
      </c>
      <c r="CS33" s="269"/>
      <c r="CT33" s="607"/>
      <c r="CU33" s="269">
        <f>'Detailed Budget'!$AC$24</f>
        <v>30624985696</v>
      </c>
      <c r="CV33" s="269">
        <f t="shared" si="18"/>
        <v>0</v>
      </c>
      <c r="CW33" s="269"/>
      <c r="CX33" s="269"/>
      <c r="CY33" s="196"/>
      <c r="DC33" s="269"/>
      <c r="DD33" s="207"/>
      <c r="DE33" s="606">
        <v>0</v>
      </c>
      <c r="DF33" s="269">
        <f>'Detailed Budget'!$AC$147</f>
        <v>5913600671000</v>
      </c>
      <c r="DG33" s="269">
        <f t="shared" si="23"/>
        <v>0</v>
      </c>
      <c r="DH33" s="269">
        <f>'Detailed Budget'!$AC$153</f>
        <v>226428026880.00003</v>
      </c>
      <c r="DI33" s="269"/>
      <c r="DJ33" s="269">
        <f>'Detailed Budget'!$AC$156</f>
        <v>27713070000</v>
      </c>
      <c r="DK33" s="269"/>
      <c r="DL33" s="269"/>
      <c r="DM33" s="196"/>
      <c r="DN33" s="269"/>
      <c r="DO33" s="196"/>
      <c r="DP33" s="269"/>
      <c r="DQ33" s="269"/>
      <c r="DR33" s="269"/>
      <c r="DS33" s="269"/>
      <c r="DT33" s="269"/>
      <c r="DU33" s="272"/>
      <c r="DV33" s="269"/>
      <c r="DW33" s="140"/>
      <c r="DX33" s="269"/>
      <c r="DY33" s="607"/>
      <c r="DZ33" s="196"/>
      <c r="EA33" s="269"/>
      <c r="EB33" s="196"/>
      <c r="ED33" s="269"/>
      <c r="EE33" s="196"/>
      <c r="EG33" s="196"/>
      <c r="EI33" s="269"/>
      <c r="EJ33" s="196"/>
      <c r="EL33" s="201"/>
      <c r="EN33" s="269"/>
      <c r="EO33" s="140"/>
      <c r="EQ33" s="196"/>
      <c r="ES33" s="269"/>
      <c r="ET33" s="196"/>
      <c r="EV33" s="140"/>
      <c r="EX33" s="269"/>
      <c r="EY33" s="196"/>
      <c r="FA33" s="196"/>
      <c r="FC33" s="269"/>
      <c r="FD33" s="269"/>
      <c r="FE33" s="269"/>
      <c r="FF33" s="140"/>
      <c r="FG33" s="1087">
        <f t="shared" si="46"/>
        <v>0</v>
      </c>
      <c r="FJ33" s="140">
        <f>'Detailed Budget'!$AC$235</f>
        <v>3623696172</v>
      </c>
      <c r="FL33" s="269">
        <f t="shared" si="49"/>
        <v>0</v>
      </c>
      <c r="FO33" s="607"/>
      <c r="FP33" s="607"/>
      <c r="FQ33" s="607"/>
      <c r="FT33" s="269">
        <f t="shared" si="51"/>
        <v>0</v>
      </c>
      <c r="FU33" s="269"/>
      <c r="FV33" s="269"/>
      <c r="FW33" s="605"/>
      <c r="FX33" s="140"/>
      <c r="FY33" s="269"/>
      <c r="FZ33" s="269"/>
      <c r="GB33" s="269">
        <f t="shared" si="74"/>
        <v>0</v>
      </c>
      <c r="GD33" s="1078">
        <f t="shared" si="75"/>
        <v>0</v>
      </c>
    </row>
    <row r="34" spans="1:186" s="210" customFormat="1" collapsed="1">
      <c r="A34" s="203">
        <v>1.2</v>
      </c>
      <c r="B34" s="204" t="s">
        <v>262</v>
      </c>
      <c r="C34" s="205">
        <f t="shared" ref="C34:T34" si="101">COUNTA(C35:C40)</f>
        <v>6</v>
      </c>
      <c r="D34" s="205">
        <f t="shared" si="101"/>
        <v>6</v>
      </c>
      <c r="E34" s="205">
        <f t="shared" si="101"/>
        <v>0</v>
      </c>
      <c r="F34" s="205">
        <f t="shared" si="101"/>
        <v>0</v>
      </c>
      <c r="G34" s="205">
        <f t="shared" si="101"/>
        <v>0</v>
      </c>
      <c r="H34" s="205">
        <f t="shared" si="101"/>
        <v>6</v>
      </c>
      <c r="I34" s="205">
        <f t="shared" si="101"/>
        <v>6</v>
      </c>
      <c r="J34" s="205">
        <f t="shared" si="101"/>
        <v>0</v>
      </c>
      <c r="K34" s="205">
        <f t="shared" si="101"/>
        <v>0</v>
      </c>
      <c r="L34" s="205">
        <f t="shared" si="101"/>
        <v>0</v>
      </c>
      <c r="M34" s="205">
        <f t="shared" si="101"/>
        <v>6</v>
      </c>
      <c r="N34" s="205">
        <f t="shared" si="101"/>
        <v>0</v>
      </c>
      <c r="O34" s="205">
        <f t="shared" si="101"/>
        <v>0</v>
      </c>
      <c r="P34" s="205">
        <f t="shared" si="101"/>
        <v>0</v>
      </c>
      <c r="Q34" s="205">
        <f t="shared" si="101"/>
        <v>5</v>
      </c>
      <c r="R34" s="205">
        <f t="shared" si="101"/>
        <v>1</v>
      </c>
      <c r="S34" s="205">
        <f t="shared" si="101"/>
        <v>0</v>
      </c>
      <c r="T34" s="205">
        <f t="shared" si="101"/>
        <v>0</v>
      </c>
      <c r="U34" s="206">
        <f>SUM(C34:T34)</f>
        <v>36</v>
      </c>
      <c r="V34" s="844"/>
      <c r="W34" s="207">
        <f>SUM(W35:W40)</f>
        <v>1406239</v>
      </c>
      <c r="X34" s="208">
        <v>9.2799999999999994</v>
      </c>
      <c r="Y34" s="209">
        <f t="shared" si="57"/>
        <v>1.0928</v>
      </c>
      <c r="Z34" s="207">
        <v>19</v>
      </c>
      <c r="AA34" s="209">
        <f t="shared" si="94"/>
        <v>5.3984991883265403</v>
      </c>
      <c r="AB34" s="207">
        <f>SUM(AB35:AB40)</f>
        <v>7591580.1000931272</v>
      </c>
      <c r="AC34" s="210">
        <v>15.7</v>
      </c>
      <c r="AD34" s="207">
        <f>SUM(AD35:AD40)</f>
        <v>1191878.0757146208</v>
      </c>
      <c r="AE34" s="207">
        <f>SUM(AE35:AE40)</f>
        <v>1132284.1719288896</v>
      </c>
      <c r="AF34" s="207">
        <f>SUM(AF35:AF40)</f>
        <v>1132284.1719288896</v>
      </c>
      <c r="AG34" s="588">
        <f t="shared" si="58"/>
        <v>5.2351849289337386E-2</v>
      </c>
      <c r="AH34" s="207">
        <f>SUM(AH35:AH40)</f>
        <v>379579.00500465633</v>
      </c>
      <c r="AI34" s="633">
        <f t="shared" si="59"/>
        <v>2.9405410399342781E-2</v>
      </c>
      <c r="AJ34" s="207">
        <f>SUM(AJ35:AJ40)</f>
        <v>1571457.080719277</v>
      </c>
      <c r="AK34" s="207">
        <f t="shared" si="99"/>
        <v>303663.20400372508</v>
      </c>
      <c r="AL34" s="207">
        <f t="shared" si="100"/>
        <v>303663.20400372508</v>
      </c>
      <c r="AM34" s="207">
        <f t="shared" si="5"/>
        <v>607326.40800745017</v>
      </c>
      <c r="AN34" s="632">
        <f t="shared" si="6"/>
        <v>2.9405410399342784E-2</v>
      </c>
      <c r="AO34" s="207">
        <f t="shared" si="7"/>
        <v>288480.04380353884</v>
      </c>
      <c r="AP34" s="588">
        <f t="shared" si="60"/>
        <v>2.9405410399342784E-2</v>
      </c>
      <c r="AQ34" s="207">
        <v>1</v>
      </c>
      <c r="AR34" s="588">
        <f>AQ34/37</f>
        <v>2.7027027027027029E-2</v>
      </c>
      <c r="AS34" s="207">
        <f>SUM(AS35:AS40)</f>
        <v>6</v>
      </c>
      <c r="AT34" s="588">
        <f t="shared" si="61"/>
        <v>7.7519379844961239E-3</v>
      </c>
      <c r="AU34" s="207">
        <f>SUM(AU35:AU40)</f>
        <v>62</v>
      </c>
      <c r="AV34" s="892">
        <f t="shared" si="8"/>
        <v>7.0446540165890236E-3</v>
      </c>
      <c r="AW34" s="207">
        <v>7315</v>
      </c>
      <c r="AX34" s="208">
        <f>AW34*0.002</f>
        <v>14.63</v>
      </c>
      <c r="AY34" s="207">
        <f>AX34*100</f>
        <v>1463</v>
      </c>
      <c r="AZ34" s="207">
        <f>SUM(AZ35:AZ40)</f>
        <v>291</v>
      </c>
      <c r="BA34" s="588">
        <f t="shared" si="62"/>
        <v>1.0662855886556008E-2</v>
      </c>
      <c r="BB34" s="207">
        <v>24</v>
      </c>
      <c r="BC34" s="207">
        <v>3</v>
      </c>
      <c r="BD34" s="207">
        <f>BB34+BC34</f>
        <v>27</v>
      </c>
      <c r="BE34" s="633">
        <f>BD34/1306</f>
        <v>2.0673813169984685E-2</v>
      </c>
      <c r="BF34" s="207">
        <f>AZ34+BD34</f>
        <v>318</v>
      </c>
      <c r="BG34" s="588">
        <f>BF34/28597</f>
        <v>1.1120047557436095E-2</v>
      </c>
      <c r="BH34" s="1084">
        <v>31.3</v>
      </c>
      <c r="BI34" s="207"/>
      <c r="BJ34" s="207"/>
      <c r="BK34" s="892">
        <f t="shared" si="63"/>
        <v>0</v>
      </c>
      <c r="BL34" s="892"/>
      <c r="BM34" s="892">
        <f t="shared" si="64"/>
        <v>0</v>
      </c>
      <c r="BN34" s="207"/>
      <c r="BO34" s="207">
        <v>405775</v>
      </c>
      <c r="BP34" s="207">
        <f>SUM(BP35:BP40)</f>
        <v>405775.0208429913</v>
      </c>
      <c r="BQ34" s="633">
        <f t="shared" si="65"/>
        <v>3.7958363607848503E-2</v>
      </c>
      <c r="BR34" s="207">
        <f>AY34*0.5*24</f>
        <v>17556</v>
      </c>
      <c r="BS34" s="633">
        <f>BR34/2211211</f>
        <v>7.9395408217488063E-3</v>
      </c>
      <c r="BT34" s="634"/>
      <c r="BU34" s="207">
        <f>SUM(BU35:BU40)</f>
        <v>943967.43596597959</v>
      </c>
      <c r="BV34" s="264">
        <f t="shared" si="66"/>
        <v>6.5475369380939522E-2</v>
      </c>
      <c r="BW34" s="207">
        <f>SUM(BW35:BW40)</f>
        <v>4038082.920521135</v>
      </c>
      <c r="BX34" s="247">
        <f t="shared" si="67"/>
        <v>6.5475369970744157E-2</v>
      </c>
      <c r="BY34" s="207">
        <f>SUM(BY35:BY40)</f>
        <v>4982050.3564871149</v>
      </c>
      <c r="CA34" s="207">
        <f t="shared" ref="CA34:CA40" si="102">AK34*0.85*0.75*12</f>
        <v>2323023.5106284968</v>
      </c>
      <c r="CB34" s="207">
        <f t="shared" ref="CB34:CB40" si="103">AL34*0.85*0.75*2*12</f>
        <v>4646047.0212569935</v>
      </c>
      <c r="CC34" s="207">
        <f t="shared" si="12"/>
        <v>6969070.5318854898</v>
      </c>
      <c r="CD34" s="633">
        <f t="shared" si="13"/>
        <v>2.9405410399342781E-2</v>
      </c>
      <c r="CE34" s="207">
        <v>609975</v>
      </c>
      <c r="CF34" s="633">
        <f t="shared" si="14"/>
        <v>2.6340617489107709E-2</v>
      </c>
      <c r="CG34" s="207">
        <f t="shared" ref="CG34:CG40" si="104">AO34*4</f>
        <v>1153920.1752141553</v>
      </c>
      <c r="CH34" s="588">
        <f t="shared" si="68"/>
        <v>2.9405410399342784E-2</v>
      </c>
      <c r="CI34" s="207">
        <f t="shared" ref="CI34:CO34" si="105">SUM(CI35:CI40)</f>
        <v>715513.04545330594</v>
      </c>
      <c r="CJ34" s="633">
        <f t="shared" si="70"/>
        <v>1.1763032651040109E-2</v>
      </c>
      <c r="CK34" s="207">
        <f t="shared" si="105"/>
        <v>1877994.1193004679</v>
      </c>
      <c r="CL34" s="588">
        <f t="shared" si="71"/>
        <v>2.6996551751854104E-2</v>
      </c>
      <c r="CM34" s="207">
        <f t="shared" si="105"/>
        <v>181931.01155725389</v>
      </c>
      <c r="CN34" s="588">
        <f t="shared" si="72"/>
        <v>2.6218326347859745E-2</v>
      </c>
      <c r="CO34" s="207">
        <f t="shared" si="105"/>
        <v>14554.00092454982</v>
      </c>
      <c r="CP34" s="588">
        <f t="shared" si="73"/>
        <v>2.7446604014871444E-2</v>
      </c>
      <c r="CQ34" s="207">
        <f>'Detailed Budget'!$AC$12</f>
        <v>292876014141.44696</v>
      </c>
      <c r="CR34" s="605">
        <f t="shared" si="16"/>
        <v>0</v>
      </c>
      <c r="CS34" s="605">
        <f>'Detailed Budget'!$AC$16</f>
        <v>10488008800.000002</v>
      </c>
      <c r="CT34" s="605">
        <f t="shared" ref="CT34:CT40" si="106">BM34*CS34</f>
        <v>0</v>
      </c>
      <c r="CU34" s="605">
        <f>'Detailed Budget'!$AC$24</f>
        <v>30624985696</v>
      </c>
      <c r="CV34" s="605">
        <f t="shared" si="18"/>
        <v>0</v>
      </c>
      <c r="CW34" s="605"/>
      <c r="CX34" s="605">
        <f t="shared" si="19"/>
        <v>0</v>
      </c>
      <c r="CY34" s="207">
        <f>'Detailed Budget'!$AC$97</f>
        <v>74629165494.837845</v>
      </c>
      <c r="CZ34" s="605">
        <f t="shared" ref="CZ34:CZ40" si="107">BQ34*CY34</f>
        <v>2832800999.6033559</v>
      </c>
      <c r="DA34" s="605">
        <f>'Detailed Budget'!$AC$100</f>
        <v>14925833098.967569</v>
      </c>
      <c r="DB34" s="605">
        <f t="shared" ref="DB34:DB40" si="108">BQ34*DA34</f>
        <v>566560199.92067122</v>
      </c>
      <c r="DC34" s="605">
        <f t="shared" si="22"/>
        <v>3399361199.5240269</v>
      </c>
      <c r="DD34" s="207">
        <f>SUM(DD35:DD40)</f>
        <v>0</v>
      </c>
      <c r="DE34" s="606">
        <v>0</v>
      </c>
      <c r="DF34" s="605">
        <f>'Detailed Budget'!$AC$147</f>
        <v>5913600671000</v>
      </c>
      <c r="DG34" s="605">
        <f t="shared" si="23"/>
        <v>0</v>
      </c>
      <c r="DH34" s="605">
        <f>'Detailed Budget'!$AC$153</f>
        <v>226428026880.00003</v>
      </c>
      <c r="DI34" s="605">
        <f>BS34*DH34</f>
        <v>1797734562.6017962</v>
      </c>
      <c r="DJ34" s="605">
        <f>'Detailed Budget'!$AC$156</f>
        <v>27713070000</v>
      </c>
      <c r="DK34" s="605">
        <f>AT34*DJ34</f>
        <v>214830000</v>
      </c>
      <c r="DL34" s="605">
        <f>DI34+DK34</f>
        <v>2012564562.6017962</v>
      </c>
      <c r="DM34" s="207">
        <f>'Detailed Budget'!$AC$178</f>
        <v>5622683761.6229038</v>
      </c>
      <c r="DN34" s="605">
        <f>SUM(DN35:DN40)</f>
        <v>368147296.2044701</v>
      </c>
      <c r="DO34" s="207">
        <f>'Detailed Budget'!$AC$179</f>
        <v>26827890683.128094</v>
      </c>
      <c r="DP34" s="605">
        <f>SUM(DP35:DP40)</f>
        <v>1756566068.0124922</v>
      </c>
      <c r="DQ34" s="605">
        <f>SUM(DQ35:DQ40)</f>
        <v>2124713364.2169619</v>
      </c>
      <c r="DR34" s="605">
        <f>'Detailed Budget'!$AC$181</f>
        <v>50888946855.375237</v>
      </c>
      <c r="DS34" s="605">
        <f>SUM(DS35:DS40)</f>
        <v>2664130476.2657042</v>
      </c>
      <c r="DT34" s="605">
        <f>SUM(DT35:DT40)</f>
        <v>4788843840.482666</v>
      </c>
      <c r="DU34" s="634">
        <f>'Detailed Budget'!$AC$192</f>
        <v>77498869683.252869</v>
      </c>
      <c r="DV34" s="605">
        <f t="shared" ref="DV34:DV40" si="109">BZ34*CD34*DU34</f>
        <v>0</v>
      </c>
      <c r="DW34" s="930">
        <f>'Detailed Budget'!$AC$194</f>
        <v>2684962805.4134097</v>
      </c>
      <c r="DX34" s="605">
        <f t="shared" ref="DX34:DX40" si="110">BZ34*AN34*DW34</f>
        <v>0</v>
      </c>
      <c r="DY34" s="605">
        <f t="shared" si="26"/>
        <v>0</v>
      </c>
      <c r="DZ34" s="207">
        <f>'Detailed Budget'!$AC$198</f>
        <v>18732540018.380611</v>
      </c>
      <c r="EA34" s="605">
        <f t="shared" ref="EA34:EA40" si="111">CF34*DZ34</f>
        <v>493426671.22356641</v>
      </c>
      <c r="EB34" s="207">
        <f>'Detailed Budget'!$AC$200</f>
        <v>4683135004.5951529</v>
      </c>
      <c r="EC34" s="605">
        <f t="shared" ref="EC34:EC40" si="112">CF34*EB34</f>
        <v>123356667.8058916</v>
      </c>
      <c r="ED34" s="605">
        <f t="shared" si="29"/>
        <v>616783339.02945805</v>
      </c>
      <c r="EE34" s="207">
        <f>'Detailed Budget'!$AC$161</f>
        <v>251147290106.36197</v>
      </c>
      <c r="EF34" s="605">
        <f t="shared" ref="EF34:EF40" si="113">CH34*EE34</f>
        <v>7385089136.260375</v>
      </c>
      <c r="EG34" s="207">
        <f>'Detailed Budget'!$AC$163</f>
        <v>15696705631.647623</v>
      </c>
      <c r="EH34" s="605">
        <f t="shared" ref="EH34:EH40" si="114">AP34*EG34</f>
        <v>461568071.01627344</v>
      </c>
      <c r="EI34" s="605">
        <f t="shared" si="32"/>
        <v>7846657207.2766485</v>
      </c>
      <c r="EJ34" s="207">
        <f>'Detailed Budget'!$AC$204</f>
        <v>45012172507.531975</v>
      </c>
      <c r="EK34" s="605">
        <f t="shared" ref="EK34:EK40" si="115">CJ34*EJ34</f>
        <v>529479654.90034854</v>
      </c>
      <c r="EL34" s="207">
        <f>'Detailed Budget'!$AC$206</f>
        <v>11253043126.882994</v>
      </c>
      <c r="EM34" s="605">
        <f t="shared" ref="EM34:EM40" si="116">CJ34*EL34</f>
        <v>132369913.72508714</v>
      </c>
      <c r="EN34" s="605">
        <f t="shared" si="35"/>
        <v>661849568.62543571</v>
      </c>
      <c r="EO34" s="930">
        <f>'Detailed Budget'!$AC$209</f>
        <v>135789361677.54817</v>
      </c>
      <c r="EP34" s="605">
        <f t="shared" ref="EP34:EP40" si="117">CL34*EO34</f>
        <v>3665844529.8791637</v>
      </c>
      <c r="EQ34" s="207">
        <f>'Detailed Budget'!$AC$211</f>
        <v>33947340419.387043</v>
      </c>
      <c r="ER34" s="605">
        <f t="shared" ref="ER34:ER40" si="118">CL34*EQ34</f>
        <v>916461132.46979094</v>
      </c>
      <c r="ES34" s="605">
        <f t="shared" si="38"/>
        <v>4582305662.3489552</v>
      </c>
      <c r="ET34" s="207">
        <f>'Detailed Budget'!$AC$214</f>
        <v>22239745544.201103</v>
      </c>
      <c r="EU34" s="605">
        <f t="shared" ref="EU34:EU40" si="119">CN34*ET34</f>
        <v>583088906.57122409</v>
      </c>
      <c r="EV34" s="930">
        <f>'Detailed Budget'!$AC$217</f>
        <v>5559936386.0502758</v>
      </c>
      <c r="EW34" s="605">
        <f t="shared" ref="EW34:EW40" si="120">CN34*EV34</f>
        <v>145772226.64280602</v>
      </c>
      <c r="EX34" s="605">
        <f t="shared" si="41"/>
        <v>728861133.21403015</v>
      </c>
      <c r="EY34" s="207">
        <f>'Detailed Budget'!$AC$219</f>
        <v>372777004.58170313</v>
      </c>
      <c r="EZ34" s="605">
        <f t="shared" ref="EZ34:EZ40" si="121">CP34*EY34</f>
        <v>10231462.830603924</v>
      </c>
      <c r="FA34" s="207">
        <f>'Detailed Budget'!$AC$222</f>
        <v>93194251.145425782</v>
      </c>
      <c r="FB34" s="605">
        <f t="shared" ref="FB34:FB40" si="122">CP34*FA34</f>
        <v>2557865.7076509809</v>
      </c>
      <c r="FC34" s="605">
        <f t="shared" si="44"/>
        <v>12789328.538254905</v>
      </c>
      <c r="FD34" s="605"/>
      <c r="FE34" s="605">
        <f t="shared" si="45"/>
        <v>5985805692.726676</v>
      </c>
      <c r="FF34" s="930">
        <f>'Detailed Budget'!$AC$165</f>
        <v>14927760000</v>
      </c>
      <c r="FG34" s="1087">
        <f t="shared" si="46"/>
        <v>8165035188.4238586</v>
      </c>
      <c r="FH34" s="605">
        <f t="shared" ref="FH34:FH40" si="123">AV34*FF34</f>
        <v>105160904.44267696</v>
      </c>
      <c r="FI34" s="605"/>
      <c r="FJ34" s="930">
        <f>'Detailed Budget'!$AC$235</f>
        <v>3623696172</v>
      </c>
      <c r="FK34" s="605">
        <f t="shared" ref="FK34:FK40" si="124">AT34*FJ34</f>
        <v>28090668</v>
      </c>
      <c r="FL34" s="605">
        <f t="shared" si="49"/>
        <v>28090668</v>
      </c>
      <c r="FM34" s="605"/>
      <c r="FN34" s="605">
        <f>'Detailed Budget'!$AC$251</f>
        <v>1047595800</v>
      </c>
      <c r="FO34" s="605">
        <f>AR34*FN34</f>
        <v>28313400</v>
      </c>
      <c r="FP34" s="605">
        <f>'Detailed Budget'!$AB$254</f>
        <v>2773297530</v>
      </c>
      <c r="FQ34" s="605">
        <f>BE34*FP34</f>
        <v>57334635</v>
      </c>
      <c r="FR34" s="605">
        <f>'Detailed Budget'!$AC$257</f>
        <v>13636439388</v>
      </c>
      <c r="FS34" s="605">
        <f t="shared" ref="FS34:FS40" si="125">BA34*FR34</f>
        <v>145403388</v>
      </c>
      <c r="FT34" s="605">
        <f t="shared" si="51"/>
        <v>231051423</v>
      </c>
      <c r="FU34" s="605"/>
      <c r="FV34" s="605">
        <f>'Detailed Budget'!$AC$265</f>
        <v>6277805540</v>
      </c>
      <c r="FW34" s="605">
        <f>AR34*FV34</f>
        <v>169670420</v>
      </c>
      <c r="FX34" s="930">
        <f>'Detailed Budget'!$AC$278</f>
        <v>1114560000</v>
      </c>
      <c r="FY34" s="605">
        <f t="shared" ref="FY34:FY40" si="126">AT34*FX34</f>
        <v>8640000</v>
      </c>
      <c r="FZ34" s="605">
        <f t="shared" si="54"/>
        <v>178310420</v>
      </c>
      <c r="GB34" s="269">
        <f t="shared" si="74"/>
        <v>33357664445.507809</v>
      </c>
      <c r="GC34" s="889">
        <f t="shared" si="55"/>
        <v>20848540.278442379</v>
      </c>
      <c r="GD34" s="1078">
        <f t="shared" si="75"/>
        <v>1.8718035923304586E-2</v>
      </c>
    </row>
    <row r="35" spans="1:186" ht="14.25" hidden="1" customHeight="1" outlineLevel="1">
      <c r="A35" s="211" t="s">
        <v>263</v>
      </c>
      <c r="B35" s="212" t="s">
        <v>264</v>
      </c>
      <c r="C35" s="213" t="s">
        <v>215</v>
      </c>
      <c r="D35" s="214" t="s">
        <v>215</v>
      </c>
      <c r="E35" s="213"/>
      <c r="F35" s="213"/>
      <c r="G35" s="213"/>
      <c r="H35" s="213" t="s">
        <v>215</v>
      </c>
      <c r="I35" s="214" t="s">
        <v>215</v>
      </c>
      <c r="J35" s="214"/>
      <c r="K35" s="213"/>
      <c r="L35" s="213"/>
      <c r="M35" s="214" t="s">
        <v>215</v>
      </c>
      <c r="N35" s="213"/>
      <c r="O35" s="214"/>
      <c r="P35" s="213"/>
      <c r="Q35" s="214" t="s">
        <v>215</v>
      </c>
      <c r="R35" s="214"/>
      <c r="S35" s="214"/>
      <c r="T35" s="214"/>
      <c r="U35" s="215">
        <f t="shared" ref="U35:U40" si="127">COUNTA(C35:T35)</f>
        <v>6</v>
      </c>
      <c r="V35" s="845" t="s">
        <v>265</v>
      </c>
      <c r="W35" s="216">
        <v>58642</v>
      </c>
      <c r="X35" s="217">
        <v>9.2799999999999994</v>
      </c>
      <c r="Y35" s="218">
        <f t="shared" si="57"/>
        <v>1.0928</v>
      </c>
      <c r="Z35" s="196">
        <v>19</v>
      </c>
      <c r="AA35" s="218">
        <f>POWER(Y35,Z35)</f>
        <v>5.3984991883265403</v>
      </c>
      <c r="AB35" s="196">
        <f t="shared" si="77"/>
        <v>316578.78940184496</v>
      </c>
      <c r="AC35">
        <v>15.7</v>
      </c>
      <c r="AD35" s="196">
        <f t="shared" si="78"/>
        <v>49702.869936089657</v>
      </c>
      <c r="AE35" s="196">
        <f t="shared" si="95"/>
        <v>47217.726439285172</v>
      </c>
      <c r="AF35" s="196">
        <f t="shared" ref="AF35:AF40" si="128">AE35*BT35</f>
        <v>47217.726439285172</v>
      </c>
      <c r="AG35" s="606">
        <f t="shared" si="58"/>
        <v>2.1831403808494311E-3</v>
      </c>
      <c r="AH35" s="196">
        <f t="shared" ref="AH35:AH40" si="129">AB35*0.05</f>
        <v>15828.939470092249</v>
      </c>
      <c r="AI35" s="248">
        <f t="shared" si="59"/>
        <v>1.2262439575621636E-3</v>
      </c>
      <c r="AJ35" s="196">
        <f t="shared" si="80"/>
        <v>65531.809406181907</v>
      </c>
      <c r="AK35" s="196">
        <f t="shared" si="99"/>
        <v>12663.151576073798</v>
      </c>
      <c r="AL35" s="196">
        <f t="shared" si="100"/>
        <v>12663.151576073798</v>
      </c>
      <c r="AM35" s="196">
        <f t="shared" si="5"/>
        <v>25326.303152147597</v>
      </c>
      <c r="AN35" s="627">
        <f t="shared" si="6"/>
        <v>1.2262439575621634E-3</v>
      </c>
      <c r="AO35" s="196">
        <f t="shared" si="7"/>
        <v>12029.993997270109</v>
      </c>
      <c r="AP35" s="589">
        <f t="shared" si="60"/>
        <v>1.2262439575621634E-3</v>
      </c>
      <c r="AQ35" s="196"/>
      <c r="AR35" s="589"/>
      <c r="AS35">
        <v>1</v>
      </c>
      <c r="AT35" s="589">
        <f t="shared" si="61"/>
        <v>1.2919896640826874E-3</v>
      </c>
      <c r="AU35" s="196">
        <v>10</v>
      </c>
      <c r="AV35" s="245">
        <f t="shared" si="8"/>
        <v>1.1362345188046814E-3</v>
      </c>
      <c r="AX35" s="245"/>
      <c r="AY35" s="245"/>
      <c r="AZ35" s="196">
        <v>37</v>
      </c>
      <c r="BA35" s="589">
        <f t="shared" si="62"/>
        <v>1.3557583085999048E-3</v>
      </c>
      <c r="BI35" s="196">
        <v>0</v>
      </c>
      <c r="BK35" s="246">
        <f t="shared" si="63"/>
        <v>0</v>
      </c>
      <c r="BL35" s="246"/>
      <c r="BM35" s="246">
        <f t="shared" si="64"/>
        <v>0</v>
      </c>
      <c r="BN35" s="196">
        <v>1</v>
      </c>
      <c r="BO35" s="196">
        <f t="shared" ref="BO35:BO40" si="130">AJ35/1571457*405775</f>
        <v>16921.347489491258</v>
      </c>
      <c r="BP35" s="196">
        <f t="shared" si="82"/>
        <v>16921.347489491258</v>
      </c>
      <c r="BQ35" s="248">
        <f t="shared" si="65"/>
        <v>1.582913259190971E-3</v>
      </c>
      <c r="BR35" s="248"/>
      <c r="BS35" s="248"/>
      <c r="BT35" s="276">
        <v>1</v>
      </c>
      <c r="BU35" s="196">
        <f>AD35*BT35*0.18*4*1.1</f>
        <v>39364.672989383005</v>
      </c>
      <c r="BV35" s="264">
        <f t="shared" si="66"/>
        <v>2.7304082814066846E-3</v>
      </c>
      <c r="BW35" s="196">
        <f>AD35*BT35*0.77*4*1.1</f>
        <v>168393.3233434718</v>
      </c>
      <c r="BX35" s="247">
        <f t="shared" si="67"/>
        <v>2.7304083060023078E-3</v>
      </c>
      <c r="BY35" s="196">
        <f t="shared" si="83"/>
        <v>207757.99633285479</v>
      </c>
      <c r="BZ35" s="620">
        <v>0</v>
      </c>
      <c r="CA35" s="196">
        <f t="shared" si="102"/>
        <v>96873.109556964555</v>
      </c>
      <c r="CB35" s="196">
        <f t="shared" si="103"/>
        <v>193746.21911392911</v>
      </c>
      <c r="CC35" s="196">
        <f t="shared" si="12"/>
        <v>290619.32867089368</v>
      </c>
      <c r="CD35" s="247">
        <f t="shared" si="13"/>
        <v>1.2262439575621636E-3</v>
      </c>
      <c r="CE35" s="196">
        <f t="shared" ref="CE35:CE40" si="131">AH35/379579*609975</f>
        <v>25436.753227311099</v>
      </c>
      <c r="CF35" s="247">
        <f t="shared" si="14"/>
        <v>1.0984381112757533E-3</v>
      </c>
      <c r="CG35" s="196">
        <f t="shared" si="104"/>
        <v>48119.975989080434</v>
      </c>
      <c r="CH35" s="589">
        <f t="shared" si="68"/>
        <v>1.2262439575621634E-3</v>
      </c>
      <c r="CI35" s="196">
        <f t="shared" ref="CI35:CI40" si="132">AD35/1191878*715513</f>
        <v>29837.827006271884</v>
      </c>
      <c r="CJ35" s="248">
        <f t="shared" si="70"/>
        <v>4.9053380024469096E-4</v>
      </c>
      <c r="CK35" s="196">
        <f t="shared" ref="CK35:CK40" si="133">AD35/1191878*1877994</f>
        <v>78314.803631543458</v>
      </c>
      <c r="CL35" s="589">
        <f t="shared" si="71"/>
        <v>1.1257914108712874E-3</v>
      </c>
      <c r="CM35" s="196">
        <f t="shared" ref="CM35:CM40" si="134">AD35/1191878*181931</f>
        <v>7586.7604153635921</v>
      </c>
      <c r="CN35" s="589">
        <f t="shared" si="72"/>
        <v>1.093338396738528E-3</v>
      </c>
      <c r="CO35" s="196">
        <f t="shared" ref="CO35:CO40" si="135">AD35/1191878*14554</f>
        <v>606.92081660190797</v>
      </c>
      <c r="CP35" s="589">
        <f t="shared" si="73"/>
        <v>1.14455917709585E-3</v>
      </c>
      <c r="CQ35" s="196">
        <f>'Detailed Budget'!$AC$12</f>
        <v>292876014141.44696</v>
      </c>
      <c r="CR35" s="269">
        <f t="shared" si="16"/>
        <v>0</v>
      </c>
      <c r="CS35" s="269">
        <f>'Detailed Budget'!$AC$16</f>
        <v>10488008800.000002</v>
      </c>
      <c r="CT35" s="607">
        <f t="shared" si="106"/>
        <v>0</v>
      </c>
      <c r="CU35" s="269">
        <f>'Detailed Budget'!$AC$24</f>
        <v>30624985696</v>
      </c>
      <c r="CV35" s="269">
        <f t="shared" si="18"/>
        <v>0</v>
      </c>
      <c r="CW35" s="269"/>
      <c r="CX35" s="269">
        <f t="shared" si="19"/>
        <v>0</v>
      </c>
      <c r="CY35" s="196">
        <f>'Detailed Budget'!$AC$97</f>
        <v>74629165494.837845</v>
      </c>
      <c r="CZ35" s="269">
        <f t="shared" si="107"/>
        <v>118131495.58413613</v>
      </c>
      <c r="DA35" s="269">
        <f>'Detailed Budget'!$AC$100</f>
        <v>14925833098.967569</v>
      </c>
      <c r="DB35" s="269">
        <f t="shared" si="108"/>
        <v>23626299.116827227</v>
      </c>
      <c r="DC35" s="269">
        <f t="shared" si="22"/>
        <v>141757794.70096335</v>
      </c>
      <c r="DD35" s="207">
        <v>0</v>
      </c>
      <c r="DE35" s="606">
        <v>0</v>
      </c>
      <c r="DF35" s="269">
        <f>'Detailed Budget'!$AC$147</f>
        <v>5913600671000</v>
      </c>
      <c r="DG35" s="269">
        <f t="shared" si="23"/>
        <v>0</v>
      </c>
      <c r="DH35" s="269">
        <f>'Detailed Budget'!$AC$153</f>
        <v>226428026880.00003</v>
      </c>
      <c r="DI35" s="269"/>
      <c r="DJ35" s="269">
        <f>'Detailed Budget'!$AC$156</f>
        <v>27713070000</v>
      </c>
      <c r="DK35" s="269"/>
      <c r="DL35" s="269"/>
      <c r="DM35" s="196">
        <f>'Detailed Budget'!$AC$178</f>
        <v>5622683761.6229038</v>
      </c>
      <c r="DN35" s="269">
        <f t="shared" ref="DN35:DN40" si="136">BT35*BV35*DM35</f>
        <v>15352222.306466065</v>
      </c>
      <c r="DO35" s="196">
        <f>'Detailed Budget'!$AC$179</f>
        <v>26827890683.128094</v>
      </c>
      <c r="DP35" s="269">
        <f t="shared" ref="DP35:DP40" si="137">BT35*BX35*DO35</f>
        <v>73251095.553734869</v>
      </c>
      <c r="DQ35" s="269">
        <f t="shared" si="89"/>
        <v>88603317.860200942</v>
      </c>
      <c r="DR35" s="269">
        <f>'Detailed Budget'!$AC$181</f>
        <v>50888946855.375237</v>
      </c>
      <c r="DS35" s="269">
        <f t="shared" ref="DS35:DS40" si="138">BT35*AG35*DR35</f>
        <v>111097714.81887035</v>
      </c>
      <c r="DT35" s="269">
        <f t="shared" ref="DT35:DT40" si="139">DQ35+DS35</f>
        <v>199701032.67907131</v>
      </c>
      <c r="DU35" s="272">
        <f>'Detailed Budget'!$AC$192</f>
        <v>77498869683.252869</v>
      </c>
      <c r="DV35" s="269">
        <f t="shared" si="109"/>
        <v>0</v>
      </c>
      <c r="DW35" s="140">
        <f>'Detailed Budget'!$AC$194</f>
        <v>2684962805.4134097</v>
      </c>
      <c r="DX35" s="269">
        <f t="shared" si="110"/>
        <v>0</v>
      </c>
      <c r="DY35" s="607">
        <f t="shared" si="26"/>
        <v>0</v>
      </c>
      <c r="DZ35" s="196">
        <f>'Detailed Budget'!$AC$198</f>
        <v>18732540018.380611</v>
      </c>
      <c r="EA35" s="269">
        <f t="shared" si="111"/>
        <v>20576535.877187464</v>
      </c>
      <c r="EB35" s="196">
        <f>'Detailed Budget'!$AC$200</f>
        <v>4683135004.5951529</v>
      </c>
      <c r="EC35" s="269">
        <f t="shared" si="112"/>
        <v>5144133.9692968661</v>
      </c>
      <c r="ED35" s="269">
        <f t="shared" si="29"/>
        <v>25720669.84648433</v>
      </c>
      <c r="EE35" s="196">
        <f>'Detailed Budget'!$AC$161</f>
        <v>251147290106.36197</v>
      </c>
      <c r="EF35" s="269">
        <f t="shared" si="113"/>
        <v>307967846.95103806</v>
      </c>
      <c r="EG35" s="196">
        <f>'Detailed Budget'!$AC$163</f>
        <v>15696705631.647623</v>
      </c>
      <c r="EH35" s="269">
        <f t="shared" si="114"/>
        <v>19247990.434439879</v>
      </c>
      <c r="EI35" s="269">
        <f t="shared" si="32"/>
        <v>327215837.38547796</v>
      </c>
      <c r="EJ35" s="196">
        <f>'Detailed Budget'!$AC$204</f>
        <v>45012172507.531975</v>
      </c>
      <c r="EK35" s="269">
        <f t="shared" si="115"/>
        <v>22079992.03738926</v>
      </c>
      <c r="EL35" s="201">
        <f>'Detailed Budget'!$AC$206</f>
        <v>11253043126.882994</v>
      </c>
      <c r="EM35" s="269">
        <f t="shared" si="116"/>
        <v>5519998.0093473149</v>
      </c>
      <c r="EN35" s="269">
        <f t="shared" si="35"/>
        <v>27599990.046736576</v>
      </c>
      <c r="EO35" s="140">
        <f>'Detailed Budget'!$AC$209</f>
        <v>135789361677.54817</v>
      </c>
      <c r="EP35" s="269">
        <f t="shared" si="117"/>
        <v>152870497.06427848</v>
      </c>
      <c r="EQ35" s="196">
        <f>'Detailed Budget'!$AC$211</f>
        <v>33947340419.387043</v>
      </c>
      <c r="ER35" s="269">
        <f t="shared" si="118"/>
        <v>38217624.266069621</v>
      </c>
      <c r="ES35" s="269">
        <f t="shared" si="38"/>
        <v>191088121.3303481</v>
      </c>
      <c r="ET35" s="196">
        <f>'Detailed Budget'!$AC$214</f>
        <v>22239745544.201103</v>
      </c>
      <c r="EU35" s="269">
        <f t="shared" si="119"/>
        <v>24315567.737169657</v>
      </c>
      <c r="EV35" s="140">
        <f>'Detailed Budget'!$AC$217</f>
        <v>5559936386.0502758</v>
      </c>
      <c r="EW35" s="269">
        <f t="shared" si="120"/>
        <v>6078891.9342924142</v>
      </c>
      <c r="EX35" s="269">
        <f t="shared" si="41"/>
        <v>30394459.67146207</v>
      </c>
      <c r="EY35" s="196">
        <f>'Detailed Budget'!$AC$219</f>
        <v>372777004.58170313</v>
      </c>
      <c r="EZ35" s="269">
        <f t="shared" si="121"/>
        <v>426665.34160429001</v>
      </c>
      <c r="FA35" s="196">
        <f>'Detailed Budget'!$AC$222</f>
        <v>93194251.145425782</v>
      </c>
      <c r="FB35" s="269">
        <f t="shared" si="122"/>
        <v>106666.3354010725</v>
      </c>
      <c r="FC35" s="269">
        <f t="shared" si="44"/>
        <v>533331.67700536246</v>
      </c>
      <c r="FD35" s="269"/>
      <c r="FE35" s="269">
        <f t="shared" si="45"/>
        <v>249615902.72555208</v>
      </c>
      <c r="FF35" s="140">
        <f>'Detailed Budget'!$AC$165</f>
        <v>14927760000</v>
      </c>
      <c r="FG35" s="1087">
        <f t="shared" si="46"/>
        <v>340492614.35613132</v>
      </c>
      <c r="FH35" s="269">
        <f t="shared" si="123"/>
        <v>16961436.200431772</v>
      </c>
      <c r="FJ35" s="140">
        <f>'Detailed Budget'!$AC$235</f>
        <v>3623696172</v>
      </c>
      <c r="FK35" s="269">
        <f t="shared" si="124"/>
        <v>4681778</v>
      </c>
      <c r="FL35" s="269">
        <f t="shared" si="49"/>
        <v>4681778</v>
      </c>
      <c r="FO35" s="607"/>
      <c r="FP35" s="607"/>
      <c r="FQ35" s="607"/>
      <c r="FR35" s="269">
        <f>'Detailed Budget'!$AC$257</f>
        <v>13636439388</v>
      </c>
      <c r="FS35" s="269">
        <f t="shared" si="125"/>
        <v>18487716</v>
      </c>
      <c r="FT35" s="269">
        <f t="shared" si="51"/>
        <v>18487716</v>
      </c>
      <c r="FU35" s="269"/>
      <c r="FV35" s="269"/>
      <c r="FW35" s="605"/>
      <c r="FX35" s="140">
        <f>'Detailed Budget'!$AC$278</f>
        <v>1114560000</v>
      </c>
      <c r="FY35" s="269">
        <f t="shared" si="126"/>
        <v>1440000</v>
      </c>
      <c r="FZ35" s="269">
        <f t="shared" si="54"/>
        <v>1440000</v>
      </c>
      <c r="GB35" s="269">
        <f t="shared" si="74"/>
        <v>1326074781.8941121</v>
      </c>
      <c r="GC35" s="887">
        <f t="shared" si="55"/>
        <v>828796.73868382012</v>
      </c>
      <c r="GD35" s="1078">
        <f t="shared" si="75"/>
        <v>7.4410231702612308E-4</v>
      </c>
    </row>
    <row r="36" spans="1:186" ht="14.25" hidden="1" customHeight="1" outlineLevel="1">
      <c r="A36" s="211" t="s">
        <v>266</v>
      </c>
      <c r="B36" s="212" t="s">
        <v>267</v>
      </c>
      <c r="C36" s="213" t="s">
        <v>215</v>
      </c>
      <c r="D36" s="214" t="s">
        <v>215</v>
      </c>
      <c r="E36" s="213"/>
      <c r="F36" s="213"/>
      <c r="G36" s="213"/>
      <c r="H36" s="213" t="s">
        <v>215</v>
      </c>
      <c r="I36" s="214" t="s">
        <v>215</v>
      </c>
      <c r="J36" s="214"/>
      <c r="K36" s="213"/>
      <c r="L36" s="213"/>
      <c r="M36" s="214" t="s">
        <v>215</v>
      </c>
      <c r="N36" s="213"/>
      <c r="O36" s="214"/>
      <c r="P36" s="213"/>
      <c r="Q36" s="214" t="s">
        <v>215</v>
      </c>
      <c r="R36" s="214"/>
      <c r="S36" s="214"/>
      <c r="T36" s="214"/>
      <c r="U36" s="215">
        <f t="shared" si="127"/>
        <v>6</v>
      </c>
      <c r="V36" s="845" t="s">
        <v>265</v>
      </c>
      <c r="W36" s="216">
        <v>776298</v>
      </c>
      <c r="X36" s="217">
        <v>9.2799999999999994</v>
      </c>
      <c r="Y36" s="218">
        <f t="shared" si="57"/>
        <v>1.0928</v>
      </c>
      <c r="Z36" s="196">
        <v>19</v>
      </c>
      <c r="AA36" s="218">
        <f t="shared" ref="AA36:AA42" si="140">POWER(Y36,Z36)</f>
        <v>5.3984991883265403</v>
      </c>
      <c r="AB36" s="196">
        <f t="shared" si="77"/>
        <v>4190844.1228995165</v>
      </c>
      <c r="AC36">
        <v>15.7</v>
      </c>
      <c r="AD36" s="196">
        <f t="shared" si="78"/>
        <v>657962.52729522402</v>
      </c>
      <c r="AE36" s="196">
        <f t="shared" si="95"/>
        <v>625064.40093046275</v>
      </c>
      <c r="AF36" s="196">
        <f t="shared" si="128"/>
        <v>625064.40093046275</v>
      </c>
      <c r="AG36" s="606">
        <f t="shared" si="58"/>
        <v>2.8900233814887818E-2</v>
      </c>
      <c r="AH36" s="196">
        <f t="shared" si="129"/>
        <v>209542.20614497585</v>
      </c>
      <c r="AI36" s="248">
        <f t="shared" si="59"/>
        <v>1.6232917222598009E-2</v>
      </c>
      <c r="AJ36" s="196">
        <f t="shared" si="80"/>
        <v>867504.73344019987</v>
      </c>
      <c r="AK36" s="196">
        <f t="shared" si="99"/>
        <v>167633.76491598066</v>
      </c>
      <c r="AL36" s="196">
        <f t="shared" si="100"/>
        <v>167633.76491598066</v>
      </c>
      <c r="AM36" s="196">
        <f t="shared" si="5"/>
        <v>335267.52983196132</v>
      </c>
      <c r="AN36" s="627">
        <f t="shared" si="6"/>
        <v>1.6232917222598009E-2</v>
      </c>
      <c r="AO36" s="196">
        <f t="shared" si="7"/>
        <v>159252.07667018162</v>
      </c>
      <c r="AP36" s="589">
        <f t="shared" si="60"/>
        <v>1.6232917222598009E-2</v>
      </c>
      <c r="AQ36" s="196"/>
      <c r="AR36" s="589"/>
      <c r="AS36">
        <v>1</v>
      </c>
      <c r="AT36" s="589">
        <f t="shared" si="61"/>
        <v>1.2919896640826874E-3</v>
      </c>
      <c r="AU36" s="196">
        <v>10</v>
      </c>
      <c r="AV36" s="245">
        <f t="shared" si="8"/>
        <v>1.1362345188046814E-3</v>
      </c>
      <c r="AX36" s="245"/>
      <c r="AY36" s="245"/>
      <c r="AZ36" s="196">
        <v>77</v>
      </c>
      <c r="BA36" s="589">
        <f t="shared" si="62"/>
        <v>2.8214429665457475E-3</v>
      </c>
      <c r="BI36" s="196">
        <v>0</v>
      </c>
      <c r="BK36" s="246">
        <f t="shared" si="63"/>
        <v>0</v>
      </c>
      <c r="BL36" s="246"/>
      <c r="BM36" s="246">
        <f t="shared" si="64"/>
        <v>0</v>
      </c>
      <c r="BN36" s="196">
        <v>1</v>
      </c>
      <c r="BO36" s="196">
        <f t="shared" si="130"/>
        <v>224003.41416386008</v>
      </c>
      <c r="BP36" s="196">
        <f t="shared" si="82"/>
        <v>224003.41416386008</v>
      </c>
      <c r="BQ36" s="248">
        <f t="shared" si="65"/>
        <v>2.09544762675801E-2</v>
      </c>
      <c r="BR36" s="248"/>
      <c r="BS36" s="248"/>
      <c r="BT36" s="276">
        <v>1</v>
      </c>
      <c r="BU36" s="196">
        <f t="shared" ref="BU36:BU40" si="141">AD36*BT36*0.18*4*1.1</f>
        <v>521106.32161781745</v>
      </c>
      <c r="BV36" s="264">
        <f t="shared" si="66"/>
        <v>3.6144921524495187E-2</v>
      </c>
      <c r="BW36" s="196">
        <f t="shared" ref="BW36:BW40" si="142">AD36*BT36*0.77*4*1.1</f>
        <v>2229177.0424762191</v>
      </c>
      <c r="BX36" s="247">
        <f t="shared" si="67"/>
        <v>3.6144921850090023E-2</v>
      </c>
      <c r="BY36" s="196">
        <f t="shared" si="83"/>
        <v>2750283.3640940366</v>
      </c>
      <c r="BZ36" s="620">
        <v>0</v>
      </c>
      <c r="CA36" s="196">
        <f t="shared" si="102"/>
        <v>1282398.3016072521</v>
      </c>
      <c r="CB36" s="196">
        <f t="shared" si="103"/>
        <v>2564796.6032145042</v>
      </c>
      <c r="CC36" s="196">
        <f t="shared" si="12"/>
        <v>3847194.9048217563</v>
      </c>
      <c r="CD36" s="247">
        <f t="shared" si="13"/>
        <v>1.6232917222598009E-2</v>
      </c>
      <c r="CE36" s="196">
        <f t="shared" si="131"/>
        <v>336729.6588938841</v>
      </c>
      <c r="CF36" s="247">
        <f t="shared" si="14"/>
        <v>1.4541033881981255E-2</v>
      </c>
      <c r="CG36" s="196">
        <f t="shared" si="104"/>
        <v>637008.30668072647</v>
      </c>
      <c r="CH36" s="589">
        <f t="shared" si="68"/>
        <v>1.6232917222598009E-2</v>
      </c>
      <c r="CI36" s="196">
        <f t="shared" si="132"/>
        <v>394990.71364064747</v>
      </c>
      <c r="CJ36" s="248">
        <f t="shared" si="70"/>
        <v>6.4936463296332509E-3</v>
      </c>
      <c r="CK36" s="196">
        <f t="shared" si="133"/>
        <v>1036724.9655461942</v>
      </c>
      <c r="CL36" s="589">
        <f t="shared" si="71"/>
        <v>1.4903134624954108E-2</v>
      </c>
      <c r="CM36" s="196">
        <f t="shared" si="134"/>
        <v>100432.91390003625</v>
      </c>
      <c r="CN36" s="589">
        <f t="shared" si="72"/>
        <v>1.4473524278014493E-2</v>
      </c>
      <c r="CO36" s="196">
        <f t="shared" si="135"/>
        <v>8034.3681335293468</v>
      </c>
      <c r="CP36" s="589">
        <f t="shared" si="73"/>
        <v>1.5151580779324617E-2</v>
      </c>
      <c r="CQ36" s="196">
        <f>'Detailed Budget'!$AC$12</f>
        <v>292876014141.44696</v>
      </c>
      <c r="CR36" s="269">
        <f t="shared" si="16"/>
        <v>0</v>
      </c>
      <c r="CS36" s="269">
        <f>'Detailed Budget'!$AC$16</f>
        <v>10488008800.000002</v>
      </c>
      <c r="CT36" s="607">
        <f t="shared" si="106"/>
        <v>0</v>
      </c>
      <c r="CU36" s="269">
        <f>'Detailed Budget'!$AC$24</f>
        <v>30624985696</v>
      </c>
      <c r="CV36" s="269">
        <f t="shared" si="18"/>
        <v>0</v>
      </c>
      <c r="CW36" s="269"/>
      <c r="CX36" s="269">
        <f t="shared" si="19"/>
        <v>0</v>
      </c>
      <c r="CY36" s="196">
        <f>'Detailed Budget'!$AC$97</f>
        <v>74629165494.837845</v>
      </c>
      <c r="CZ36" s="269">
        <f t="shared" si="107"/>
        <v>1563815077.2308874</v>
      </c>
      <c r="DA36" s="269">
        <f>'Detailed Budget'!$AC$100</f>
        <v>14925833098.967569</v>
      </c>
      <c r="DB36" s="269">
        <f t="shared" si="108"/>
        <v>312763015.44617748</v>
      </c>
      <c r="DC36" s="269">
        <f t="shared" si="22"/>
        <v>1876578092.6770649</v>
      </c>
      <c r="DD36" s="207">
        <v>0</v>
      </c>
      <c r="DE36" s="606">
        <v>0</v>
      </c>
      <c r="DF36" s="269">
        <f>'Detailed Budget'!$AC$147</f>
        <v>5913600671000</v>
      </c>
      <c r="DG36" s="269">
        <f t="shared" si="23"/>
        <v>0</v>
      </c>
      <c r="DH36" s="269">
        <f>'Detailed Budget'!$AC$153</f>
        <v>226428026880.00003</v>
      </c>
      <c r="DI36" s="269"/>
      <c r="DJ36" s="269">
        <f>'Detailed Budget'!$AC$156</f>
        <v>27713070000</v>
      </c>
      <c r="DK36" s="269"/>
      <c r="DL36" s="269"/>
      <c r="DM36" s="196">
        <f>'Detailed Budget'!$AC$178</f>
        <v>5622683761.6229038</v>
      </c>
      <c r="DN36" s="269">
        <f t="shared" si="136"/>
        <v>203231463.32091326</v>
      </c>
      <c r="DO36" s="196">
        <f>'Detailed Budget'!$AC$179</f>
        <v>26827890683.128094</v>
      </c>
      <c r="DP36" s="269">
        <f t="shared" si="137"/>
        <v>969692012.14442313</v>
      </c>
      <c r="DQ36" s="269">
        <f t="shared" si="89"/>
        <v>1172923475.4653363</v>
      </c>
      <c r="DR36" s="269">
        <f>'Detailed Budget'!$AC$181</f>
        <v>50888946855.375237</v>
      </c>
      <c r="DS36" s="269">
        <f t="shared" si="138"/>
        <v>1470702462.7137444</v>
      </c>
      <c r="DT36" s="269">
        <f t="shared" si="139"/>
        <v>2643625938.179081</v>
      </c>
      <c r="DU36" s="272">
        <f>'Detailed Budget'!$AC$192</f>
        <v>77498869683.252869</v>
      </c>
      <c r="DV36" s="269">
        <f t="shared" si="109"/>
        <v>0</v>
      </c>
      <c r="DW36" s="140">
        <f>'Detailed Budget'!$AC$194</f>
        <v>2684962805.4134097</v>
      </c>
      <c r="DX36" s="269">
        <f t="shared" si="110"/>
        <v>0</v>
      </c>
      <c r="DY36" s="607">
        <f t="shared" si="26"/>
        <v>0</v>
      </c>
      <c r="DZ36" s="196">
        <f>'Detailed Budget'!$AC$198</f>
        <v>18732540018.380611</v>
      </c>
      <c r="EA36" s="269">
        <f t="shared" si="111"/>
        <v>272390499.10284221</v>
      </c>
      <c r="EB36" s="196">
        <f>'Detailed Budget'!$AC$200</f>
        <v>4683135004.5951529</v>
      </c>
      <c r="EC36" s="269">
        <f t="shared" si="112"/>
        <v>68097624.775710553</v>
      </c>
      <c r="ED36" s="269">
        <f t="shared" si="29"/>
        <v>340488123.87855279</v>
      </c>
      <c r="EE36" s="196">
        <f>'Detailed Budget'!$AC$161</f>
        <v>251147290106.36197</v>
      </c>
      <c r="EF36" s="269">
        <f t="shared" si="113"/>
        <v>4076853170.9763818</v>
      </c>
      <c r="EG36" s="196">
        <f>'Detailed Budget'!$AC$163</f>
        <v>15696705631.647623</v>
      </c>
      <c r="EH36" s="269">
        <f t="shared" si="114"/>
        <v>254803323.18602386</v>
      </c>
      <c r="EI36" s="269">
        <f t="shared" si="32"/>
        <v>4331656494.162406</v>
      </c>
      <c r="EJ36" s="196">
        <f>'Detailed Budget'!$AC$204</f>
        <v>45012172507.531975</v>
      </c>
      <c r="EK36" s="269">
        <f t="shared" si="115"/>
        <v>292293128.79235375</v>
      </c>
      <c r="EL36" s="201">
        <f>'Detailed Budget'!$AC$206</f>
        <v>11253043126.882994</v>
      </c>
      <c r="EM36" s="269">
        <f t="shared" si="116"/>
        <v>73073282.198088437</v>
      </c>
      <c r="EN36" s="269">
        <f t="shared" si="35"/>
        <v>365366410.99044216</v>
      </c>
      <c r="EO36" s="140">
        <f>'Detailed Budget'!$AC$209</f>
        <v>135789361677.54817</v>
      </c>
      <c r="EP36" s="269">
        <f t="shared" si="117"/>
        <v>2023687137.7170846</v>
      </c>
      <c r="EQ36" s="196">
        <f>'Detailed Budget'!$AC$211</f>
        <v>33947340419.387043</v>
      </c>
      <c r="ER36" s="269">
        <f t="shared" si="118"/>
        <v>505921784.42927116</v>
      </c>
      <c r="ES36" s="269">
        <f t="shared" si="38"/>
        <v>2529608922.1463556</v>
      </c>
      <c r="ET36" s="196">
        <f>'Detailed Budget'!$AC$214</f>
        <v>22239745544.201103</v>
      </c>
      <c r="EU36" s="269">
        <f t="shared" si="119"/>
        <v>321887497.07085931</v>
      </c>
      <c r="EV36" s="140">
        <f>'Detailed Budget'!$AC$217</f>
        <v>5559936386.0502758</v>
      </c>
      <c r="EW36" s="269">
        <f t="shared" si="120"/>
        <v>80471874.267714828</v>
      </c>
      <c r="EX36" s="269">
        <f t="shared" si="41"/>
        <v>402359371.33857417</v>
      </c>
      <c r="EY36" s="196">
        <f>'Detailed Budget'!$AC$219</f>
        <v>372777004.58170313</v>
      </c>
      <c r="EZ36" s="269">
        <f t="shared" si="121"/>
        <v>5648160.8975943374</v>
      </c>
      <c r="FA36" s="196">
        <f>'Detailed Budget'!$AC$222</f>
        <v>93194251.145425782</v>
      </c>
      <c r="FB36" s="269">
        <f t="shared" si="122"/>
        <v>1412040.2243985843</v>
      </c>
      <c r="FC36" s="269">
        <f t="shared" si="44"/>
        <v>7060201.1219929215</v>
      </c>
      <c r="FD36" s="269"/>
      <c r="FE36" s="269">
        <f t="shared" si="45"/>
        <v>3304394905.5973654</v>
      </c>
      <c r="FF36" s="140">
        <f>'Detailed Budget'!$AC$165</f>
        <v>14927760000</v>
      </c>
      <c r="FG36" s="1087">
        <f t="shared" si="46"/>
        <v>4507413381.8668556</v>
      </c>
      <c r="FH36" s="269">
        <f t="shared" si="123"/>
        <v>16961436.200431772</v>
      </c>
      <c r="FJ36" s="140">
        <f>'Detailed Budget'!$AC$235</f>
        <v>3623696172</v>
      </c>
      <c r="FK36" s="269">
        <f t="shared" si="124"/>
        <v>4681778</v>
      </c>
      <c r="FL36" s="269">
        <f t="shared" si="49"/>
        <v>4681778</v>
      </c>
      <c r="FO36" s="607"/>
      <c r="FP36" s="607"/>
      <c r="FQ36" s="607"/>
      <c r="FR36" s="269">
        <f>'Detailed Budget'!$AC$257</f>
        <v>13636439388</v>
      </c>
      <c r="FS36" s="269">
        <f t="shared" si="125"/>
        <v>38474436</v>
      </c>
      <c r="FT36" s="269">
        <f t="shared" si="51"/>
        <v>38474436</v>
      </c>
      <c r="FU36" s="269"/>
      <c r="FV36" s="269"/>
      <c r="FW36" s="605"/>
      <c r="FX36" s="140">
        <f>'Detailed Budget'!$AC$278</f>
        <v>1114560000</v>
      </c>
      <c r="FY36" s="269">
        <f t="shared" si="126"/>
        <v>1440000</v>
      </c>
      <c r="FZ36" s="269">
        <f t="shared" si="54"/>
        <v>1440000</v>
      </c>
      <c r="GB36" s="269">
        <f t="shared" si="74"/>
        <v>17065714586.561756</v>
      </c>
      <c r="GC36" s="887">
        <f t="shared" si="55"/>
        <v>10666071.616601098</v>
      </c>
      <c r="GD36" s="1078">
        <f t="shared" si="75"/>
        <v>9.5761098385634662E-3</v>
      </c>
    </row>
    <row r="37" spans="1:186" ht="14.25" hidden="1" customHeight="1" outlineLevel="1">
      <c r="A37" s="211" t="s">
        <v>268</v>
      </c>
      <c r="B37" s="212" t="s">
        <v>269</v>
      </c>
      <c r="C37" s="213" t="s">
        <v>215</v>
      </c>
      <c r="D37" s="214" t="s">
        <v>215</v>
      </c>
      <c r="E37" s="213"/>
      <c r="F37" s="213"/>
      <c r="G37" s="213"/>
      <c r="H37" s="213" t="s">
        <v>215</v>
      </c>
      <c r="I37" s="214" t="s">
        <v>215</v>
      </c>
      <c r="J37" s="214"/>
      <c r="K37" s="213"/>
      <c r="L37" s="213"/>
      <c r="M37" s="214" t="s">
        <v>215</v>
      </c>
      <c r="N37" s="213"/>
      <c r="O37" s="214"/>
      <c r="P37" s="213"/>
      <c r="Q37" s="214" t="s">
        <v>215</v>
      </c>
      <c r="R37" s="214"/>
      <c r="S37" s="214"/>
      <c r="T37" s="214"/>
      <c r="U37" s="215">
        <f t="shared" si="127"/>
        <v>6</v>
      </c>
      <c r="V37" s="845" t="s">
        <v>265</v>
      </c>
      <c r="W37" s="216">
        <v>229274</v>
      </c>
      <c r="X37" s="217">
        <v>9.2799999999999994</v>
      </c>
      <c r="Y37" s="218">
        <f t="shared" si="57"/>
        <v>1.0928</v>
      </c>
      <c r="Z37" s="196">
        <v>19</v>
      </c>
      <c r="AA37" s="218">
        <f t="shared" si="140"/>
        <v>5.3984991883265403</v>
      </c>
      <c r="AB37" s="196">
        <f t="shared" si="77"/>
        <v>1237735.5029043793</v>
      </c>
      <c r="AC37">
        <v>15.7</v>
      </c>
      <c r="AD37" s="196">
        <f t="shared" si="78"/>
        <v>194324.47395598755</v>
      </c>
      <c r="AE37" s="196">
        <f t="shared" si="95"/>
        <v>184608.25025818817</v>
      </c>
      <c r="AF37" s="196">
        <f t="shared" si="128"/>
        <v>184608.25025818817</v>
      </c>
      <c r="AG37" s="606">
        <f t="shared" si="58"/>
        <v>8.5354750465344385E-3</v>
      </c>
      <c r="AH37" s="196">
        <f t="shared" si="129"/>
        <v>61886.77514521897</v>
      </c>
      <c r="AI37" s="248">
        <f t="shared" si="59"/>
        <v>4.7942747028769063E-3</v>
      </c>
      <c r="AJ37" s="196">
        <f t="shared" si="80"/>
        <v>256211.24910120651</v>
      </c>
      <c r="AK37" s="196">
        <f t="shared" si="99"/>
        <v>49509.42011617517</v>
      </c>
      <c r="AL37" s="196">
        <f t="shared" si="100"/>
        <v>49509.42011617517</v>
      </c>
      <c r="AM37" s="196">
        <f t="shared" si="5"/>
        <v>99018.84023235034</v>
      </c>
      <c r="AN37" s="627">
        <f t="shared" si="6"/>
        <v>4.7942747028769054E-3</v>
      </c>
      <c r="AO37" s="196">
        <f t="shared" si="7"/>
        <v>47033.949110366411</v>
      </c>
      <c r="AP37" s="589">
        <f t="shared" si="60"/>
        <v>4.7942747028769054E-3</v>
      </c>
      <c r="AQ37" s="196"/>
      <c r="AR37" s="589"/>
      <c r="AS37">
        <v>1</v>
      </c>
      <c r="AT37" s="589">
        <f t="shared" si="61"/>
        <v>1.2919896640826874E-3</v>
      </c>
      <c r="AU37" s="196">
        <v>10</v>
      </c>
      <c r="AV37" s="245">
        <f t="shared" si="8"/>
        <v>1.1362345188046814E-3</v>
      </c>
      <c r="AX37" s="245"/>
      <c r="AY37" s="245"/>
      <c r="AZ37" s="196">
        <v>54</v>
      </c>
      <c r="BA37" s="589">
        <f t="shared" si="62"/>
        <v>1.9786742882268878E-3</v>
      </c>
      <c r="BI37" s="196">
        <v>0</v>
      </c>
      <c r="BK37" s="246">
        <f t="shared" si="63"/>
        <v>0</v>
      </c>
      <c r="BL37" s="246"/>
      <c r="BM37" s="246">
        <f t="shared" si="64"/>
        <v>0</v>
      </c>
      <c r="BN37" s="196">
        <v>1</v>
      </c>
      <c r="BO37" s="196">
        <f t="shared" si="130"/>
        <v>66157.788348037575</v>
      </c>
      <c r="BP37" s="196">
        <f t="shared" si="82"/>
        <v>66157.788348037575</v>
      </c>
      <c r="BQ37" s="248">
        <f t="shared" si="65"/>
        <v>6.1887530198108994E-3</v>
      </c>
      <c r="BR37" s="248"/>
      <c r="BS37" s="248"/>
      <c r="BT37" s="276">
        <v>1</v>
      </c>
      <c r="BU37" s="196">
        <f t="shared" si="141"/>
        <v>153904.98337314214</v>
      </c>
      <c r="BV37" s="264">
        <f t="shared" si="66"/>
        <v>1.067514116693217E-2</v>
      </c>
      <c r="BW37" s="196">
        <f t="shared" si="142"/>
        <v>658371.31776288594</v>
      </c>
      <c r="BX37" s="247">
        <f t="shared" si="67"/>
        <v>1.0675141263094252E-2</v>
      </c>
      <c r="BY37" s="196">
        <f t="shared" si="83"/>
        <v>812276.30113602802</v>
      </c>
      <c r="BZ37" s="620">
        <v>0</v>
      </c>
      <c r="CA37" s="196">
        <f t="shared" si="102"/>
        <v>378747.06388874003</v>
      </c>
      <c r="CB37" s="196">
        <f t="shared" si="103"/>
        <v>757494.12777748005</v>
      </c>
      <c r="CC37" s="196">
        <f t="shared" si="12"/>
        <v>1136241.1916662201</v>
      </c>
      <c r="CD37" s="247">
        <f t="shared" si="13"/>
        <v>4.7942747028769054E-3</v>
      </c>
      <c r="CE37" s="196">
        <f t="shared" si="131"/>
        <v>99450.669476459298</v>
      </c>
      <c r="CF37" s="247">
        <f t="shared" si="14"/>
        <v>4.2945891941720462E-3</v>
      </c>
      <c r="CG37" s="196">
        <f t="shared" si="104"/>
        <v>188135.79644146565</v>
      </c>
      <c r="CH37" s="589">
        <f t="shared" si="68"/>
        <v>4.7942747028769054E-3</v>
      </c>
      <c r="CI37" s="196">
        <f t="shared" si="132"/>
        <v>116657.6506434975</v>
      </c>
      <c r="CJ37" s="248">
        <f t="shared" si="70"/>
        <v>1.9178514804628303E-3</v>
      </c>
      <c r="CK37" s="196">
        <f t="shared" si="133"/>
        <v>306189.22082839085</v>
      </c>
      <c r="CL37" s="589">
        <f t="shared" si="71"/>
        <v>4.4015330298438592E-3</v>
      </c>
      <c r="CM37" s="196">
        <f t="shared" si="134"/>
        <v>29662.134774940696</v>
      </c>
      <c r="CN37" s="589">
        <f t="shared" si="72"/>
        <v>4.2746507208797331E-3</v>
      </c>
      <c r="CO37" s="196">
        <f t="shared" si="135"/>
        <v>2372.8925225194548</v>
      </c>
      <c r="CP37" s="589">
        <f t="shared" si="73"/>
        <v>4.4749098047384799E-3</v>
      </c>
      <c r="CQ37" s="196">
        <f>'Detailed Budget'!$AC$12</f>
        <v>292876014141.44696</v>
      </c>
      <c r="CR37" s="269">
        <f t="shared" si="16"/>
        <v>0</v>
      </c>
      <c r="CS37" s="269">
        <f>'Detailed Budget'!$AC$16</f>
        <v>10488008800.000002</v>
      </c>
      <c r="CT37" s="607">
        <f t="shared" si="106"/>
        <v>0</v>
      </c>
      <c r="CU37" s="269">
        <f>'Detailed Budget'!$AC$24</f>
        <v>30624985696</v>
      </c>
      <c r="CV37" s="269">
        <f t="shared" si="18"/>
        <v>0</v>
      </c>
      <c r="CW37" s="269"/>
      <c r="CX37" s="269">
        <f t="shared" si="19"/>
        <v>0</v>
      </c>
      <c r="CY37" s="196">
        <f>'Detailed Budget'!$AC$97</f>
        <v>74629165494.837845</v>
      </c>
      <c r="CZ37" s="269">
        <f t="shared" si="107"/>
        <v>461861473.3221451</v>
      </c>
      <c r="DA37" s="269">
        <f>'Detailed Budget'!$AC$100</f>
        <v>14925833098.967569</v>
      </c>
      <c r="DB37" s="269">
        <f t="shared" si="108"/>
        <v>92372294.664429024</v>
      </c>
      <c r="DC37" s="269">
        <f t="shared" si="22"/>
        <v>554233767.98657417</v>
      </c>
      <c r="DD37" s="207">
        <v>0</v>
      </c>
      <c r="DE37" s="606">
        <v>0</v>
      </c>
      <c r="DF37" s="269">
        <f>'Detailed Budget'!$AC$147</f>
        <v>5913600671000</v>
      </c>
      <c r="DG37" s="269">
        <f t="shared" si="23"/>
        <v>0</v>
      </c>
      <c r="DH37" s="269">
        <f>'Detailed Budget'!$AC$153</f>
        <v>226428026880.00003</v>
      </c>
      <c r="DI37" s="269"/>
      <c r="DJ37" s="269">
        <f>'Detailed Budget'!$AC$156</f>
        <v>27713070000</v>
      </c>
      <c r="DK37" s="269"/>
      <c r="DL37" s="269"/>
      <c r="DM37" s="196">
        <f>'Detailed Budget'!$AC$178</f>
        <v>5622683761.6229038</v>
      </c>
      <c r="DN37" s="269">
        <f t="shared" si="136"/>
        <v>60022942.892341688</v>
      </c>
      <c r="DO37" s="196">
        <f>'Detailed Budget'!$AC$179</f>
        <v>26827890683.128094</v>
      </c>
      <c r="DP37" s="269">
        <f t="shared" si="137"/>
        <v>286391522.83324254</v>
      </c>
      <c r="DQ37" s="269">
        <f t="shared" si="89"/>
        <v>346414465.72558421</v>
      </c>
      <c r="DR37" s="269">
        <f>'Detailed Budget'!$AC$181</f>
        <v>50888946855.375237</v>
      </c>
      <c r="DS37" s="269">
        <f t="shared" si="138"/>
        <v>434361336.02847248</v>
      </c>
      <c r="DT37" s="269">
        <f t="shared" si="139"/>
        <v>780775801.75405669</v>
      </c>
      <c r="DU37" s="272">
        <f>'Detailed Budget'!$AC$192</f>
        <v>77498869683.252869</v>
      </c>
      <c r="DV37" s="269">
        <f t="shared" si="109"/>
        <v>0</v>
      </c>
      <c r="DW37" s="140">
        <f>'Detailed Budget'!$AC$194</f>
        <v>2684962805.4134097</v>
      </c>
      <c r="DX37" s="269">
        <f t="shared" si="110"/>
        <v>0</v>
      </c>
      <c r="DY37" s="607">
        <f t="shared" si="26"/>
        <v>0</v>
      </c>
      <c r="DZ37" s="196">
        <f>'Detailed Budget'!$AC$198</f>
        <v>18732540018.380611</v>
      </c>
      <c r="EA37" s="269">
        <f t="shared" si="111"/>
        <v>80448563.942332804</v>
      </c>
      <c r="EB37" s="196">
        <f>'Detailed Budget'!$AC$200</f>
        <v>4683135004.5951529</v>
      </c>
      <c r="EC37" s="269">
        <f t="shared" si="112"/>
        <v>20112140.985583201</v>
      </c>
      <c r="ED37" s="269">
        <f t="shared" si="29"/>
        <v>100560704.92791601</v>
      </c>
      <c r="EE37" s="196">
        <f>'Detailed Budget'!$AC$161</f>
        <v>251147290106.36197</v>
      </c>
      <c r="EF37" s="269">
        <f t="shared" si="113"/>
        <v>1204069099.6530185</v>
      </c>
      <c r="EG37" s="196">
        <f>'Detailed Budget'!$AC$163</f>
        <v>15696705631.647623</v>
      </c>
      <c r="EH37" s="269">
        <f t="shared" si="114"/>
        <v>75254318.728313655</v>
      </c>
      <c r="EI37" s="269">
        <f t="shared" si="32"/>
        <v>1279323418.3813322</v>
      </c>
      <c r="EJ37" s="196">
        <f>'Detailed Budget'!$AC$204</f>
        <v>45012172507.531975</v>
      </c>
      <c r="EK37" s="269">
        <f t="shared" si="115"/>
        <v>86326661.68241851</v>
      </c>
      <c r="EL37" s="201">
        <f>'Detailed Budget'!$AC$206</f>
        <v>11253043126.882994</v>
      </c>
      <c r="EM37" s="269">
        <f t="shared" si="116"/>
        <v>21581665.420604628</v>
      </c>
      <c r="EN37" s="269">
        <f t="shared" si="35"/>
        <v>107908327.10302314</v>
      </c>
      <c r="EO37" s="140">
        <f>'Detailed Budget'!$AC$209</f>
        <v>135789361677.54817</v>
      </c>
      <c r="EP37" s="269">
        <f t="shared" si="117"/>
        <v>597681360.52514219</v>
      </c>
      <c r="EQ37" s="196">
        <f>'Detailed Budget'!$AC$211</f>
        <v>33947340419.387043</v>
      </c>
      <c r="ER37" s="269">
        <f t="shared" si="118"/>
        <v>149420340.13128555</v>
      </c>
      <c r="ES37" s="269">
        <f t="shared" si="38"/>
        <v>747101700.65642774</v>
      </c>
      <c r="ET37" s="196">
        <f>'Detailed Budget'!$AC$214</f>
        <v>22239745544.201103</v>
      </c>
      <c r="EU37" s="269">
        <f t="shared" si="119"/>
        <v>95067144.322701082</v>
      </c>
      <c r="EV37" s="140">
        <f>'Detailed Budget'!$AC$217</f>
        <v>5559936386.0502758</v>
      </c>
      <c r="EW37" s="269">
        <f t="shared" si="120"/>
        <v>23766786.08067527</v>
      </c>
      <c r="EX37" s="269">
        <f t="shared" si="41"/>
        <v>118833930.40337636</v>
      </c>
      <c r="EY37" s="196">
        <f>'Detailed Budget'!$AC$219</f>
        <v>372777004.58170313</v>
      </c>
      <c r="EZ37" s="269">
        <f t="shared" si="121"/>
        <v>1668143.4727837045</v>
      </c>
      <c r="FA37" s="196">
        <f>'Detailed Budget'!$AC$222</f>
        <v>93194251.145425782</v>
      </c>
      <c r="FB37" s="269">
        <f t="shared" si="122"/>
        <v>417035.86819592613</v>
      </c>
      <c r="FC37" s="269">
        <f t="shared" si="44"/>
        <v>2085179.3409796306</v>
      </c>
      <c r="FD37" s="269"/>
      <c r="FE37" s="269">
        <f t="shared" si="45"/>
        <v>975929137.50380683</v>
      </c>
      <c r="FF37" s="140">
        <f>'Detailed Budget'!$AC$165</f>
        <v>14927760000</v>
      </c>
      <c r="FG37" s="1087">
        <f t="shared" si="46"/>
        <v>1331231944.0654764</v>
      </c>
      <c r="FH37" s="269">
        <f t="shared" si="123"/>
        <v>16961436.200431772</v>
      </c>
      <c r="FJ37" s="140">
        <f>'Detailed Budget'!$AC$235</f>
        <v>3623696172</v>
      </c>
      <c r="FK37" s="269">
        <f t="shared" si="124"/>
        <v>4681778</v>
      </c>
      <c r="FL37" s="269">
        <f t="shared" si="49"/>
        <v>4681778</v>
      </c>
      <c r="FO37" s="607"/>
      <c r="FP37" s="607"/>
      <c r="FQ37" s="607"/>
      <c r="FR37" s="269">
        <f>'Detailed Budget'!$AC$257</f>
        <v>13636439388</v>
      </c>
      <c r="FS37" s="269">
        <f t="shared" si="125"/>
        <v>26982071.999999996</v>
      </c>
      <c r="FT37" s="269">
        <f t="shared" si="51"/>
        <v>26982071.999999996</v>
      </c>
      <c r="FU37" s="269"/>
      <c r="FV37" s="269"/>
      <c r="FW37" s="605"/>
      <c r="FX37" s="140">
        <f>'Detailed Budget'!$AC$278</f>
        <v>1114560000</v>
      </c>
      <c r="FY37" s="269">
        <f t="shared" si="126"/>
        <v>1440000</v>
      </c>
      <c r="FZ37" s="269">
        <f t="shared" si="54"/>
        <v>1440000</v>
      </c>
      <c r="GB37" s="269">
        <f t="shared" si="74"/>
        <v>5072120060.8195944</v>
      </c>
      <c r="GC37" s="887">
        <f t="shared" si="55"/>
        <v>3170075.0380122466</v>
      </c>
      <c r="GD37" s="1078">
        <f t="shared" si="75"/>
        <v>2.8461262826366836E-3</v>
      </c>
    </row>
    <row r="38" spans="1:186" ht="14.25" hidden="1" customHeight="1" outlineLevel="1">
      <c r="A38" s="211" t="s">
        <v>270</v>
      </c>
      <c r="B38" s="212" t="s">
        <v>271</v>
      </c>
      <c r="C38" s="213" t="s">
        <v>215</v>
      </c>
      <c r="D38" s="214" t="s">
        <v>215</v>
      </c>
      <c r="E38" s="213"/>
      <c r="F38" s="213"/>
      <c r="G38" s="213"/>
      <c r="H38" s="213" t="s">
        <v>215</v>
      </c>
      <c r="I38" s="214" t="s">
        <v>215</v>
      </c>
      <c r="J38" s="214"/>
      <c r="K38" s="213"/>
      <c r="L38" s="213"/>
      <c r="M38" s="214" t="s">
        <v>215</v>
      </c>
      <c r="N38" s="213"/>
      <c r="O38" s="214"/>
      <c r="P38" s="213"/>
      <c r="Q38" s="214" t="s">
        <v>215</v>
      </c>
      <c r="R38" s="214"/>
      <c r="S38" s="214"/>
      <c r="T38" s="214"/>
      <c r="U38" s="215">
        <f t="shared" si="127"/>
        <v>6</v>
      </c>
      <c r="V38" s="845" t="s">
        <v>265</v>
      </c>
      <c r="W38" s="216">
        <v>158618</v>
      </c>
      <c r="X38" s="217">
        <v>9.2799999999999994</v>
      </c>
      <c r="Y38" s="218">
        <f t="shared" si="57"/>
        <v>1.0928</v>
      </c>
      <c r="Z38" s="196">
        <v>19</v>
      </c>
      <c r="AA38" s="218">
        <f t="shared" si="140"/>
        <v>5.3984991883265403</v>
      </c>
      <c r="AB38" s="196">
        <f t="shared" si="77"/>
        <v>856299.1442539792</v>
      </c>
      <c r="AC38">
        <v>15.7</v>
      </c>
      <c r="AD38" s="196">
        <f t="shared" si="78"/>
        <v>134438.96564787475</v>
      </c>
      <c r="AE38" s="196">
        <f t="shared" si="95"/>
        <v>127717.01736548101</v>
      </c>
      <c r="AF38" s="196">
        <f t="shared" si="128"/>
        <v>127717.01736548101</v>
      </c>
      <c r="AG38" s="606">
        <f t="shared" si="58"/>
        <v>5.9050741947678309E-3</v>
      </c>
      <c r="AH38" s="196">
        <f t="shared" si="129"/>
        <v>42814.957212698966</v>
      </c>
      <c r="AI38" s="248">
        <f t="shared" si="59"/>
        <v>3.3168098642712609E-3</v>
      </c>
      <c r="AJ38" s="196">
        <f t="shared" si="80"/>
        <v>177253.92286057372</v>
      </c>
      <c r="AK38" s="196">
        <f t="shared" si="99"/>
        <v>34251.965770159171</v>
      </c>
      <c r="AL38" s="196">
        <f t="shared" si="100"/>
        <v>34251.965770159171</v>
      </c>
      <c r="AM38" s="196">
        <f t="shared" si="5"/>
        <v>68503.931540318343</v>
      </c>
      <c r="AN38" s="627">
        <f t="shared" si="6"/>
        <v>3.3168098642712609E-3</v>
      </c>
      <c r="AO38" s="196">
        <f t="shared" si="7"/>
        <v>32539.36748165121</v>
      </c>
      <c r="AP38" s="589">
        <f t="shared" si="60"/>
        <v>3.3168098642712605E-3</v>
      </c>
      <c r="AQ38" s="196"/>
      <c r="AR38" s="589"/>
      <c r="AS38">
        <v>1</v>
      </c>
      <c r="AT38" s="589">
        <f t="shared" si="61"/>
        <v>1.2919896640826874E-3</v>
      </c>
      <c r="AU38" s="196">
        <v>10</v>
      </c>
      <c r="AV38" s="245">
        <f t="shared" si="8"/>
        <v>1.1362345188046814E-3</v>
      </c>
      <c r="AX38" s="245"/>
      <c r="AY38" s="245"/>
      <c r="AZ38" s="196">
        <v>33</v>
      </c>
      <c r="BA38" s="589">
        <f t="shared" si="62"/>
        <v>1.2091898428053204E-3</v>
      </c>
      <c r="BI38" s="196">
        <v>0</v>
      </c>
      <c r="BK38" s="246">
        <f t="shared" si="63"/>
        <v>0</v>
      </c>
      <c r="BL38" s="246"/>
      <c r="BM38" s="246">
        <f t="shared" si="64"/>
        <v>0</v>
      </c>
      <c r="BN38" s="196">
        <v>1</v>
      </c>
      <c r="BO38" s="196">
        <f t="shared" si="130"/>
        <v>45769.760514445705</v>
      </c>
      <c r="BP38" s="196">
        <f t="shared" si="82"/>
        <v>45769.760514445705</v>
      </c>
      <c r="BQ38" s="248">
        <f t="shared" si="65"/>
        <v>4.2815479578860458E-3</v>
      </c>
      <c r="BR38" s="248"/>
      <c r="BS38" s="248"/>
      <c r="BT38" s="276">
        <v>1</v>
      </c>
      <c r="BU38" s="196">
        <f t="shared" si="141"/>
        <v>106475.66079311681</v>
      </c>
      <c r="BV38" s="264">
        <f t="shared" si="66"/>
        <v>7.3853535142076607E-3</v>
      </c>
      <c r="BW38" s="196">
        <f t="shared" si="142"/>
        <v>455479.2156149997</v>
      </c>
      <c r="BX38" s="247">
        <f t="shared" si="67"/>
        <v>7.3853535807352081E-3</v>
      </c>
      <c r="BY38" s="196">
        <f t="shared" si="83"/>
        <v>561954.87640811654</v>
      </c>
      <c r="BZ38" s="620">
        <v>0</v>
      </c>
      <c r="CA38" s="196">
        <f t="shared" si="102"/>
        <v>262027.53814171767</v>
      </c>
      <c r="CB38" s="196">
        <f t="shared" si="103"/>
        <v>524055.07628343534</v>
      </c>
      <c r="CC38" s="196">
        <f t="shared" si="12"/>
        <v>786082.61442515301</v>
      </c>
      <c r="CD38" s="247">
        <f t="shared" si="13"/>
        <v>3.3168098642712609E-3</v>
      </c>
      <c r="CE38" s="196">
        <f t="shared" si="131"/>
        <v>68802.682777013615</v>
      </c>
      <c r="CF38" s="247">
        <f t="shared" si="14"/>
        <v>2.9711138149165696E-3</v>
      </c>
      <c r="CG38" s="196">
        <f t="shared" si="104"/>
        <v>130157.46992660484</v>
      </c>
      <c r="CH38" s="589">
        <f t="shared" si="68"/>
        <v>3.3168098642712605E-3</v>
      </c>
      <c r="CI38" s="196">
        <f t="shared" si="132"/>
        <v>80706.941169824262</v>
      </c>
      <c r="CJ38" s="248">
        <f t="shared" si="70"/>
        <v>1.3268219079706084E-3</v>
      </c>
      <c r="CK38" s="196">
        <f t="shared" si="133"/>
        <v>211830.04540138747</v>
      </c>
      <c r="CL38" s="589">
        <f t="shared" si="71"/>
        <v>3.0451004742263555E-3</v>
      </c>
      <c r="CM38" s="196">
        <f t="shared" si="134"/>
        <v>20521.073011905162</v>
      </c>
      <c r="CN38" s="589">
        <f t="shared" si="72"/>
        <v>2.957319835849253E-3</v>
      </c>
      <c r="CO38" s="196">
        <f t="shared" si="135"/>
        <v>1641.6316989147958</v>
      </c>
      <c r="CP38" s="589">
        <f t="shared" si="73"/>
        <v>3.095864526322253E-3</v>
      </c>
      <c r="CQ38" s="196">
        <f>'Detailed Budget'!$AC$12</f>
        <v>292876014141.44696</v>
      </c>
      <c r="CR38" s="269">
        <f t="shared" si="16"/>
        <v>0</v>
      </c>
      <c r="CS38" s="269">
        <f>'Detailed Budget'!$AC$16</f>
        <v>10488008800.000002</v>
      </c>
      <c r="CT38" s="607">
        <f t="shared" si="106"/>
        <v>0</v>
      </c>
      <c r="CU38" s="269">
        <f>'Detailed Budget'!$AC$24</f>
        <v>30624985696</v>
      </c>
      <c r="CV38" s="269">
        <f t="shared" si="18"/>
        <v>0</v>
      </c>
      <c r="CW38" s="269"/>
      <c r="CX38" s="269">
        <f t="shared" si="19"/>
        <v>0</v>
      </c>
      <c r="CY38" s="196">
        <f>'Detailed Budget'!$AC$97</f>
        <v>74629165494.837845</v>
      </c>
      <c r="CZ38" s="269">
        <f t="shared" si="107"/>
        <v>319528351.12316275</v>
      </c>
      <c r="DA38" s="269">
        <f>'Detailed Budget'!$AC$100</f>
        <v>14925833098.967569</v>
      </c>
      <c r="DB38" s="269">
        <f t="shared" si="108"/>
        <v>63905670.224632546</v>
      </c>
      <c r="DC38" s="269">
        <f t="shared" si="22"/>
        <v>383434021.34779531</v>
      </c>
      <c r="DD38" s="207">
        <v>0</v>
      </c>
      <c r="DE38" s="606">
        <v>0</v>
      </c>
      <c r="DF38" s="269">
        <f>'Detailed Budget'!$AC$147</f>
        <v>5913600671000</v>
      </c>
      <c r="DG38" s="269">
        <f t="shared" si="23"/>
        <v>0</v>
      </c>
      <c r="DH38" s="269">
        <f>'Detailed Budget'!$AC$153</f>
        <v>226428026880.00003</v>
      </c>
      <c r="DI38" s="269"/>
      <c r="DJ38" s="269">
        <f>'Detailed Budget'!$AC$156</f>
        <v>27713070000</v>
      </c>
      <c r="DK38" s="269"/>
      <c r="DL38" s="269"/>
      <c r="DM38" s="196">
        <f>'Detailed Budget'!$AC$178</f>
        <v>5622683761.6229038</v>
      </c>
      <c r="DN38" s="269">
        <f t="shared" si="136"/>
        <v>41525507.278180063</v>
      </c>
      <c r="DO38" s="196">
        <f>'Detailed Budget'!$AC$179</f>
        <v>26827890683.128094</v>
      </c>
      <c r="DP38" s="269">
        <f t="shared" si="137"/>
        <v>198133458.5202128</v>
      </c>
      <c r="DQ38" s="269">
        <f t="shared" si="89"/>
        <v>239658965.79839286</v>
      </c>
      <c r="DR38" s="269">
        <f>'Detailed Budget'!$AC$181</f>
        <v>50888946855.375237</v>
      </c>
      <c r="DS38" s="269">
        <f t="shared" si="138"/>
        <v>300503006.87458789</v>
      </c>
      <c r="DT38" s="269">
        <f t="shared" si="139"/>
        <v>540161972.67298079</v>
      </c>
      <c r="DU38" s="272">
        <f>'Detailed Budget'!$AC$192</f>
        <v>77498869683.252869</v>
      </c>
      <c r="DV38" s="269">
        <f t="shared" si="109"/>
        <v>0</v>
      </c>
      <c r="DW38" s="140">
        <f>'Detailed Budget'!$AC$194</f>
        <v>2684962805.4134097</v>
      </c>
      <c r="DX38" s="269">
        <f t="shared" si="110"/>
        <v>0</v>
      </c>
      <c r="DY38" s="607">
        <f t="shared" si="26"/>
        <v>0</v>
      </c>
      <c r="DZ38" s="196">
        <f>'Detailed Budget'!$AC$198</f>
        <v>18732540018.380611</v>
      </c>
      <c r="EA38" s="269">
        <f t="shared" si="111"/>
        <v>55656508.437088124</v>
      </c>
      <c r="EB38" s="196">
        <f>'Detailed Budget'!$AC$200</f>
        <v>4683135004.5951529</v>
      </c>
      <c r="EC38" s="269">
        <f t="shared" si="112"/>
        <v>13914127.109272031</v>
      </c>
      <c r="ED38" s="269">
        <f t="shared" si="29"/>
        <v>69570635.54636015</v>
      </c>
      <c r="EE38" s="196">
        <f>'Detailed Budget'!$AC$161</f>
        <v>251147290106.36197</v>
      </c>
      <c r="EF38" s="269">
        <f t="shared" si="113"/>
        <v>833007809.20977736</v>
      </c>
      <c r="EG38" s="196">
        <f>'Detailed Budget'!$AC$163</f>
        <v>15696705631.647623</v>
      </c>
      <c r="EH38" s="269">
        <f t="shared" si="114"/>
        <v>52062988.075611085</v>
      </c>
      <c r="EI38" s="269">
        <f t="shared" si="32"/>
        <v>885070797.28538847</v>
      </c>
      <c r="EJ38" s="196">
        <f>'Detailed Budget'!$AC$204</f>
        <v>45012172507.531975</v>
      </c>
      <c r="EK38" s="269">
        <f t="shared" si="115"/>
        <v>59723136.60834574</v>
      </c>
      <c r="EL38" s="201">
        <f>'Detailed Budget'!$AC$206</f>
        <v>11253043126.882994</v>
      </c>
      <c r="EM38" s="269">
        <f t="shared" si="116"/>
        <v>14930784.152086435</v>
      </c>
      <c r="EN38" s="269">
        <f t="shared" si="35"/>
        <v>74653920.760432169</v>
      </c>
      <c r="EO38" s="140">
        <f>'Detailed Budget'!$AC$209</f>
        <v>135789361677.54817</v>
      </c>
      <c r="EP38" s="269">
        <f t="shared" si="117"/>
        <v>413492249.63919604</v>
      </c>
      <c r="EQ38" s="196">
        <f>'Detailed Budget'!$AC$211</f>
        <v>33947340419.387043</v>
      </c>
      <c r="ER38" s="269">
        <f t="shared" si="118"/>
        <v>103373062.40979901</v>
      </c>
      <c r="ES38" s="269">
        <f t="shared" si="38"/>
        <v>516865312.04899502</v>
      </c>
      <c r="ET38" s="196">
        <f>'Detailed Budget'!$AC$214</f>
        <v>22239745544.201103</v>
      </c>
      <c r="EU38" s="269">
        <f t="shared" si="119"/>
        <v>65770040.642105959</v>
      </c>
      <c r="EV38" s="140">
        <f>'Detailed Budget'!$AC$217</f>
        <v>5559936386.0502758</v>
      </c>
      <c r="EW38" s="269">
        <f t="shared" si="120"/>
        <v>16442510.16052649</v>
      </c>
      <c r="EX38" s="269">
        <f t="shared" si="41"/>
        <v>82212550.802632451</v>
      </c>
      <c r="EY38" s="196">
        <f>'Detailed Budget'!$AC$219</f>
        <v>372777004.58170313</v>
      </c>
      <c r="EZ38" s="269">
        <f t="shared" si="121"/>
        <v>1154067.1047131626</v>
      </c>
      <c r="FA38" s="196">
        <f>'Detailed Budget'!$AC$222</f>
        <v>93194251.145425782</v>
      </c>
      <c r="FB38" s="269">
        <f t="shared" si="122"/>
        <v>288516.77617829066</v>
      </c>
      <c r="FC38" s="269">
        <f t="shared" si="44"/>
        <v>1442583.8808914532</v>
      </c>
      <c r="FD38" s="269"/>
      <c r="FE38" s="269">
        <f t="shared" si="45"/>
        <v>675174367.49295104</v>
      </c>
      <c r="FF38" s="140">
        <f>'Detailed Budget'!$AC$165</f>
        <v>14927760000</v>
      </c>
      <c r="FG38" s="1087">
        <f t="shared" si="46"/>
        <v>920982529.65350533</v>
      </c>
      <c r="FH38" s="269">
        <f t="shared" si="123"/>
        <v>16961436.200431772</v>
      </c>
      <c r="FJ38" s="140">
        <f>'Detailed Budget'!$AC$235</f>
        <v>3623696172</v>
      </c>
      <c r="FK38" s="269">
        <f t="shared" si="124"/>
        <v>4681778</v>
      </c>
      <c r="FL38" s="269">
        <f t="shared" si="49"/>
        <v>4681778</v>
      </c>
      <c r="FO38" s="607"/>
      <c r="FP38" s="607"/>
      <c r="FQ38" s="607"/>
      <c r="FR38" s="269">
        <f>'Detailed Budget'!$AC$257</f>
        <v>13636439388</v>
      </c>
      <c r="FS38" s="269">
        <f t="shared" si="125"/>
        <v>16489044</v>
      </c>
      <c r="FT38" s="269">
        <f t="shared" si="51"/>
        <v>16489044</v>
      </c>
      <c r="FU38" s="269"/>
      <c r="FV38" s="269"/>
      <c r="FW38" s="605"/>
      <c r="FX38" s="140">
        <f>'Detailed Budget'!$AC$278</f>
        <v>1114560000</v>
      </c>
      <c r="FY38" s="269">
        <f t="shared" si="126"/>
        <v>1440000</v>
      </c>
      <c r="FZ38" s="269">
        <f t="shared" si="54"/>
        <v>1440000</v>
      </c>
      <c r="GB38" s="269">
        <f t="shared" si="74"/>
        <v>3513966582.1994128</v>
      </c>
      <c r="GC38" s="887">
        <f t="shared" si="55"/>
        <v>2196229.1138746329</v>
      </c>
      <c r="GD38" s="1078">
        <f t="shared" si="75"/>
        <v>1.9717973009275875E-3</v>
      </c>
    </row>
    <row r="39" spans="1:186" ht="14.25" hidden="1" customHeight="1" outlineLevel="1">
      <c r="A39" s="211" t="s">
        <v>272</v>
      </c>
      <c r="B39" s="212" t="s">
        <v>273</v>
      </c>
      <c r="C39" s="213" t="s">
        <v>215</v>
      </c>
      <c r="D39" s="214" t="s">
        <v>215</v>
      </c>
      <c r="E39" s="213"/>
      <c r="F39" s="213"/>
      <c r="G39" s="213"/>
      <c r="H39" s="213" t="s">
        <v>215</v>
      </c>
      <c r="I39" s="214" t="s">
        <v>215</v>
      </c>
      <c r="J39" s="214"/>
      <c r="K39" s="213"/>
      <c r="L39" s="213"/>
      <c r="M39" s="214" t="s">
        <v>215</v>
      </c>
      <c r="N39" s="213"/>
      <c r="O39" s="214"/>
      <c r="P39" s="213"/>
      <c r="Q39" s="214" t="s">
        <v>215</v>
      </c>
      <c r="R39" s="214"/>
      <c r="S39" s="214"/>
      <c r="T39" s="214"/>
      <c r="U39" s="215">
        <f t="shared" si="127"/>
        <v>6</v>
      </c>
      <c r="V39" s="845" t="s">
        <v>265</v>
      </c>
      <c r="W39" s="216">
        <v>97233</v>
      </c>
      <c r="X39" s="217">
        <v>9.2799999999999994</v>
      </c>
      <c r="Y39" s="218">
        <f t="shared" si="57"/>
        <v>1.0928</v>
      </c>
      <c r="Z39" s="196">
        <v>19</v>
      </c>
      <c r="AA39" s="218">
        <f t="shared" si="140"/>
        <v>5.3984991883265403</v>
      </c>
      <c r="AB39" s="196">
        <f t="shared" si="77"/>
        <v>524912.27157855453</v>
      </c>
      <c r="AC39">
        <v>15.7</v>
      </c>
      <c r="AD39" s="196">
        <f t="shared" si="78"/>
        <v>82411.226637833053</v>
      </c>
      <c r="AE39" s="196">
        <f t="shared" si="95"/>
        <v>78290.665305941395</v>
      </c>
      <c r="AF39" s="196">
        <f t="shared" si="128"/>
        <v>78290.665305941395</v>
      </c>
      <c r="AG39" s="606">
        <f t="shared" si="58"/>
        <v>3.6198166612859848E-3</v>
      </c>
      <c r="AH39" s="196">
        <f t="shared" si="129"/>
        <v>26245.613578927729</v>
      </c>
      <c r="AI39" s="248">
        <f t="shared" si="59"/>
        <v>2.0332079179707697E-3</v>
      </c>
      <c r="AJ39" s="196">
        <f t="shared" si="80"/>
        <v>108656.84021676079</v>
      </c>
      <c r="AK39" s="196">
        <f t="shared" si="99"/>
        <v>20996.490863142182</v>
      </c>
      <c r="AL39" s="196">
        <f t="shared" si="100"/>
        <v>20996.490863142182</v>
      </c>
      <c r="AM39" s="196">
        <f t="shared" si="5"/>
        <v>41992.981726284364</v>
      </c>
      <c r="AN39" s="627">
        <f t="shared" si="6"/>
        <v>2.0332079179707693E-3</v>
      </c>
      <c r="AO39" s="196">
        <f t="shared" si="7"/>
        <v>19946.66631998507</v>
      </c>
      <c r="AP39" s="589">
        <f t="shared" si="60"/>
        <v>2.0332079179707693E-3</v>
      </c>
      <c r="AQ39" s="196"/>
      <c r="AR39" s="589"/>
      <c r="AS39">
        <v>1</v>
      </c>
      <c r="AT39" s="589">
        <f t="shared" si="61"/>
        <v>1.2919896640826874E-3</v>
      </c>
      <c r="AU39" s="196">
        <v>10</v>
      </c>
      <c r="AV39" s="245">
        <f t="shared" si="8"/>
        <v>1.1362345188046814E-3</v>
      </c>
      <c r="AX39" s="245"/>
      <c r="AY39" s="245"/>
      <c r="AZ39" s="196">
        <v>48</v>
      </c>
      <c r="BA39" s="589">
        <f t="shared" si="62"/>
        <v>1.7588215895350116E-3</v>
      </c>
      <c r="BI39" s="196">
        <v>0</v>
      </c>
      <c r="BK39" s="246">
        <f t="shared" si="63"/>
        <v>0</v>
      </c>
      <c r="BL39" s="246"/>
      <c r="BM39" s="246">
        <f t="shared" si="64"/>
        <v>0</v>
      </c>
      <c r="BN39" s="196">
        <v>1</v>
      </c>
      <c r="BO39" s="196">
        <f t="shared" si="130"/>
        <v>28056.911095216801</v>
      </c>
      <c r="BP39" s="196">
        <f t="shared" si="82"/>
        <v>28056.911095216801</v>
      </c>
      <c r="BQ39" s="248">
        <f t="shared" si="65"/>
        <v>2.62459337899314E-3</v>
      </c>
      <c r="BR39" s="248"/>
      <c r="BS39" s="248"/>
      <c r="BT39" s="276">
        <v>1</v>
      </c>
      <c r="BU39" s="196">
        <f t="shared" si="141"/>
        <v>65269.691497163782</v>
      </c>
      <c r="BV39" s="264">
        <f t="shared" si="66"/>
        <v>4.5272294332733571E-3</v>
      </c>
      <c r="BW39" s="196">
        <f t="shared" si="142"/>
        <v>279209.23584897839</v>
      </c>
      <c r="BX39" s="247">
        <f t="shared" si="67"/>
        <v>4.5272294740548134E-3</v>
      </c>
      <c r="BY39" s="196">
        <f t="shared" si="83"/>
        <v>344478.92734614218</v>
      </c>
      <c r="BZ39" s="620">
        <v>0</v>
      </c>
      <c r="CA39" s="196">
        <f t="shared" si="102"/>
        <v>160623.15510303769</v>
      </c>
      <c r="CB39" s="196">
        <f t="shared" si="103"/>
        <v>321246.31020607537</v>
      </c>
      <c r="CC39" s="196">
        <f t="shared" si="12"/>
        <v>481869.46530911303</v>
      </c>
      <c r="CD39" s="247">
        <f t="shared" si="13"/>
        <v>2.0332079179707693E-3</v>
      </c>
      <c r="CE39" s="196">
        <f t="shared" si="131"/>
        <v>42176.116547033533</v>
      </c>
      <c r="CF39" s="247">
        <f t="shared" si="14"/>
        <v>1.8212958779317784E-3</v>
      </c>
      <c r="CG39" s="196">
        <f t="shared" si="104"/>
        <v>79786.66527994028</v>
      </c>
      <c r="CH39" s="589">
        <f t="shared" si="68"/>
        <v>2.0332079179707693E-3</v>
      </c>
      <c r="CI39" s="196">
        <f t="shared" si="132"/>
        <v>49473.439400102892</v>
      </c>
      <c r="CJ39" s="248">
        <f t="shared" si="70"/>
        <v>8.1334321815749869E-4</v>
      </c>
      <c r="CK39" s="196">
        <f t="shared" si="133"/>
        <v>129852.03951955706</v>
      </c>
      <c r="CL39" s="589">
        <f t="shared" si="71"/>
        <v>1.8666497775186369E-3</v>
      </c>
      <c r="CM39" s="196">
        <f t="shared" si="134"/>
        <v>12579.439232411039</v>
      </c>
      <c r="CN39" s="589">
        <f t="shared" si="72"/>
        <v>1.8128401543275692E-3</v>
      </c>
      <c r="CO39" s="196">
        <f t="shared" si="135"/>
        <v>1006.3219494671621</v>
      </c>
      <c r="CP39" s="589">
        <f t="shared" si="73"/>
        <v>1.8977681945800073E-3</v>
      </c>
      <c r="CQ39" s="196">
        <f>'Detailed Budget'!$AC$12</f>
        <v>292876014141.44696</v>
      </c>
      <c r="CR39" s="269">
        <f t="shared" si="16"/>
        <v>0</v>
      </c>
      <c r="CS39" s="269">
        <f>'Detailed Budget'!$AC$16</f>
        <v>10488008800.000002</v>
      </c>
      <c r="CT39" s="607">
        <f t="shared" si="106"/>
        <v>0</v>
      </c>
      <c r="CU39" s="269">
        <f>'Detailed Budget'!$AC$24</f>
        <v>30624985696</v>
      </c>
      <c r="CV39" s="269">
        <f t="shared" si="18"/>
        <v>0</v>
      </c>
      <c r="CW39" s="269"/>
      <c r="CX39" s="269">
        <f t="shared" si="19"/>
        <v>0</v>
      </c>
      <c r="CY39" s="196">
        <f>'Detailed Budget'!$AC$97</f>
        <v>74629165494.837845</v>
      </c>
      <c r="CZ39" s="269">
        <f t="shared" si="107"/>
        <v>195871213.63753471</v>
      </c>
      <c r="DA39" s="269">
        <f>'Detailed Budget'!$AC$100</f>
        <v>14925833098.967569</v>
      </c>
      <c r="DB39" s="269">
        <f t="shared" si="108"/>
        <v>39174242.727506943</v>
      </c>
      <c r="DC39" s="269">
        <f t="shared" si="22"/>
        <v>235045456.36504164</v>
      </c>
      <c r="DD39" s="207">
        <v>0</v>
      </c>
      <c r="DE39" s="606">
        <v>0</v>
      </c>
      <c r="DF39" s="269">
        <f>'Detailed Budget'!$AC$147</f>
        <v>5913600671000</v>
      </c>
      <c r="DG39" s="269">
        <f t="shared" si="23"/>
        <v>0</v>
      </c>
      <c r="DH39" s="269">
        <f>'Detailed Budget'!$AC$153</f>
        <v>226428026880.00003</v>
      </c>
      <c r="DI39" s="269"/>
      <c r="DJ39" s="269">
        <f>'Detailed Budget'!$AC$156</f>
        <v>27713070000</v>
      </c>
      <c r="DK39" s="269"/>
      <c r="DL39" s="269"/>
      <c r="DM39" s="196">
        <f>'Detailed Budget'!$AC$178</f>
        <v>5622683761.6229038</v>
      </c>
      <c r="DN39" s="269">
        <f t="shared" si="136"/>
        <v>25455179.419607367</v>
      </c>
      <c r="DO39" s="196">
        <f>'Detailed Budget'!$AC$179</f>
        <v>26827890683.128094</v>
      </c>
      <c r="DP39" s="269">
        <f t="shared" si="137"/>
        <v>121456017.42737803</v>
      </c>
      <c r="DQ39" s="269">
        <f t="shared" si="89"/>
        <v>146911196.8469854</v>
      </c>
      <c r="DR39" s="269">
        <f>'Detailed Budget'!$AC$181</f>
        <v>50888946855.375237</v>
      </c>
      <c r="DS39" s="269">
        <f t="shared" si="138"/>
        <v>184208657.70238429</v>
      </c>
      <c r="DT39" s="269">
        <f t="shared" si="139"/>
        <v>331119854.54936969</v>
      </c>
      <c r="DU39" s="272">
        <f>'Detailed Budget'!$AC$192</f>
        <v>77498869683.252869</v>
      </c>
      <c r="DV39" s="269">
        <f t="shared" si="109"/>
        <v>0</v>
      </c>
      <c r="DW39" s="140">
        <f>'Detailed Budget'!$AC$194</f>
        <v>2684962805.4134097</v>
      </c>
      <c r="DX39" s="269">
        <f t="shared" si="110"/>
        <v>0</v>
      </c>
      <c r="DY39" s="607">
        <f t="shared" si="26"/>
        <v>0</v>
      </c>
      <c r="DZ39" s="196">
        <f>'Detailed Budget'!$AC$198</f>
        <v>18732540018.380611</v>
      </c>
      <c r="EA39" s="269">
        <f t="shared" si="111"/>
        <v>34117497.918668687</v>
      </c>
      <c r="EB39" s="196">
        <f>'Detailed Budget'!$AC$200</f>
        <v>4683135004.5951529</v>
      </c>
      <c r="EC39" s="269">
        <f t="shared" si="112"/>
        <v>8529374.4796671718</v>
      </c>
      <c r="ED39" s="269">
        <f t="shared" si="29"/>
        <v>42646872.398335859</v>
      </c>
      <c r="EE39" s="196">
        <f>'Detailed Budget'!$AC$161</f>
        <v>251147290106.36197</v>
      </c>
      <c r="EF39" s="269">
        <f t="shared" si="113"/>
        <v>510634658.82115698</v>
      </c>
      <c r="EG39" s="196">
        <f>'Detailed Budget'!$AC$163</f>
        <v>15696705631.647623</v>
      </c>
      <c r="EH39" s="269">
        <f t="shared" si="114"/>
        <v>31914666.176322311</v>
      </c>
      <c r="EI39" s="269">
        <f t="shared" si="32"/>
        <v>542549324.99747932</v>
      </c>
      <c r="EJ39" s="196">
        <f>'Detailed Budget'!$AC$204</f>
        <v>45012172507.531975</v>
      </c>
      <c r="EK39" s="269">
        <f t="shared" si="115"/>
        <v>36610345.243536547</v>
      </c>
      <c r="EL39" s="201">
        <f>'Detailed Budget'!$AC$206</f>
        <v>11253043126.882994</v>
      </c>
      <c r="EM39" s="269">
        <f t="shared" si="116"/>
        <v>9152586.3108841367</v>
      </c>
      <c r="EN39" s="269">
        <f t="shared" si="35"/>
        <v>45762931.55442068</v>
      </c>
      <c r="EO39" s="140">
        <f>'Detailed Budget'!$AC$209</f>
        <v>135789361677.54817</v>
      </c>
      <c r="EP39" s="269">
        <f t="shared" si="117"/>
        <v>253471181.76479301</v>
      </c>
      <c r="EQ39" s="196">
        <f>'Detailed Budget'!$AC$211</f>
        <v>33947340419.387043</v>
      </c>
      <c r="ER39" s="269">
        <f t="shared" si="118"/>
        <v>63367795.441198252</v>
      </c>
      <c r="ES39" s="269">
        <f t="shared" si="38"/>
        <v>316838977.20599127</v>
      </c>
      <c r="ET39" s="196">
        <f>'Detailed Budget'!$AC$214</f>
        <v>22239745544.201103</v>
      </c>
      <c r="EU39" s="269">
        <f t="shared" si="119"/>
        <v>40317103.744555399</v>
      </c>
      <c r="EV39" s="140">
        <f>'Detailed Budget'!$AC$217</f>
        <v>5559936386.0502758</v>
      </c>
      <c r="EW39" s="269">
        <f t="shared" si="120"/>
        <v>10079275.93613885</v>
      </c>
      <c r="EX39" s="269">
        <f t="shared" si="41"/>
        <v>50396379.680694252</v>
      </c>
      <c r="EY39" s="196">
        <f>'Detailed Budget'!$AC$219</f>
        <v>372777004.58170313</v>
      </c>
      <c r="EZ39" s="269">
        <f t="shared" si="121"/>
        <v>707444.34296596178</v>
      </c>
      <c r="FA39" s="196">
        <f>'Detailed Budget'!$AC$222</f>
        <v>93194251.145425782</v>
      </c>
      <c r="FB39" s="269">
        <f t="shared" si="122"/>
        <v>176861.08574149045</v>
      </c>
      <c r="FC39" s="269">
        <f t="shared" si="44"/>
        <v>884305.42870745226</v>
      </c>
      <c r="FD39" s="269"/>
      <c r="FE39" s="269">
        <f t="shared" si="45"/>
        <v>413882593.86981368</v>
      </c>
      <c r="FF39" s="140">
        <f>'Detailed Budget'!$AC$165</f>
        <v>14927760000</v>
      </c>
      <c r="FG39" s="1087">
        <f t="shared" si="46"/>
        <v>564563254.5221808</v>
      </c>
      <c r="FH39" s="269">
        <f t="shared" si="123"/>
        <v>16961436.200431772</v>
      </c>
      <c r="FJ39" s="140">
        <f>'Detailed Budget'!$AC$235</f>
        <v>3623696172</v>
      </c>
      <c r="FK39" s="269">
        <f t="shared" si="124"/>
        <v>4681778</v>
      </c>
      <c r="FL39" s="269">
        <f t="shared" si="49"/>
        <v>4681778</v>
      </c>
      <c r="FO39" s="607"/>
      <c r="FP39" s="607"/>
      <c r="FQ39" s="607"/>
      <c r="FR39" s="269">
        <f>'Detailed Budget'!$AC$257</f>
        <v>13636439388</v>
      </c>
      <c r="FS39" s="269">
        <f t="shared" si="125"/>
        <v>23984064</v>
      </c>
      <c r="FT39" s="269">
        <f t="shared" si="51"/>
        <v>23984064</v>
      </c>
      <c r="FU39" s="269"/>
      <c r="FV39" s="269"/>
      <c r="FW39" s="605"/>
      <c r="FX39" s="140">
        <f>'Detailed Budget'!$AC$278</f>
        <v>1114560000</v>
      </c>
      <c r="FY39" s="269">
        <f t="shared" si="126"/>
        <v>1440000</v>
      </c>
      <c r="FZ39" s="269">
        <f t="shared" si="54"/>
        <v>1440000</v>
      </c>
      <c r="GB39" s="269">
        <f t="shared" si="74"/>
        <v>2176874634.9026527</v>
      </c>
      <c r="GC39" s="887">
        <f t="shared" si="55"/>
        <v>1360546.646814158</v>
      </c>
      <c r="GD39" s="1078">
        <f t="shared" si="75"/>
        <v>1.221512905473383E-3</v>
      </c>
    </row>
    <row r="40" spans="1:186" ht="14.25" hidden="1" customHeight="1" outlineLevel="1">
      <c r="A40" s="211" t="s">
        <v>274</v>
      </c>
      <c r="B40" s="212" t="s">
        <v>275</v>
      </c>
      <c r="C40" s="213" t="s">
        <v>215</v>
      </c>
      <c r="D40" s="214" t="s">
        <v>215</v>
      </c>
      <c r="E40" s="213"/>
      <c r="F40" s="213"/>
      <c r="G40" s="213"/>
      <c r="H40" s="213" t="s">
        <v>215</v>
      </c>
      <c r="I40" s="214" t="s">
        <v>215</v>
      </c>
      <c r="J40" s="214"/>
      <c r="K40" s="213"/>
      <c r="L40" s="213"/>
      <c r="M40" s="214" t="s">
        <v>215</v>
      </c>
      <c r="N40" s="213"/>
      <c r="O40" s="214"/>
      <c r="P40" s="213"/>
      <c r="Q40" s="214"/>
      <c r="R40" s="214" t="s">
        <v>215</v>
      </c>
      <c r="S40" s="214"/>
      <c r="T40" s="214"/>
      <c r="U40" s="215">
        <f t="shared" si="127"/>
        <v>6</v>
      </c>
      <c r="V40" s="845" t="s">
        <v>219</v>
      </c>
      <c r="W40" s="216">
        <v>86174</v>
      </c>
      <c r="X40" s="217">
        <v>9.2799999999999994</v>
      </c>
      <c r="Y40" s="218">
        <f t="shared" si="57"/>
        <v>1.0928</v>
      </c>
      <c r="Z40" s="196">
        <v>19</v>
      </c>
      <c r="AA40" s="218">
        <f t="shared" si="140"/>
        <v>5.3984991883265403</v>
      </c>
      <c r="AB40" s="196">
        <f t="shared" si="77"/>
        <v>465210.26905485126</v>
      </c>
      <c r="AC40">
        <v>15.7</v>
      </c>
      <c r="AD40" s="196">
        <f t="shared" si="78"/>
        <v>73038.01224161165</v>
      </c>
      <c r="AE40" s="196">
        <f t="shared" si="95"/>
        <v>69386.111629531064</v>
      </c>
      <c r="AF40" s="196">
        <f t="shared" si="128"/>
        <v>69386.111629531064</v>
      </c>
      <c r="AG40" s="606">
        <f t="shared" si="58"/>
        <v>3.2081091910118836E-3</v>
      </c>
      <c r="AH40" s="196">
        <f t="shared" si="129"/>
        <v>23260.513452742565</v>
      </c>
      <c r="AI40" s="248">
        <f t="shared" si="59"/>
        <v>1.8019567340636724E-3</v>
      </c>
      <c r="AJ40" s="196">
        <f t="shared" si="80"/>
        <v>96298.525694354219</v>
      </c>
      <c r="AK40" s="196">
        <f t="shared" si="99"/>
        <v>18608.410762194049</v>
      </c>
      <c r="AL40" s="196">
        <f t="shared" si="100"/>
        <v>18608.410762194049</v>
      </c>
      <c r="AM40" s="196">
        <f t="shared" si="5"/>
        <v>37216.821524388099</v>
      </c>
      <c r="AN40" s="627">
        <f t="shared" si="6"/>
        <v>1.8019567340636722E-3</v>
      </c>
      <c r="AO40" s="196">
        <f t="shared" si="7"/>
        <v>17677.990224084348</v>
      </c>
      <c r="AP40" s="589">
        <f t="shared" si="60"/>
        <v>1.8019567340636722E-3</v>
      </c>
      <c r="AQ40" s="196"/>
      <c r="AR40" s="589"/>
      <c r="AS40">
        <v>1</v>
      </c>
      <c r="AT40" s="589">
        <f t="shared" si="61"/>
        <v>1.2919896640826874E-3</v>
      </c>
      <c r="AU40" s="196">
        <v>12</v>
      </c>
      <c r="AV40" s="245">
        <f t="shared" si="8"/>
        <v>1.3634814225656176E-3</v>
      </c>
      <c r="AX40" s="245"/>
      <c r="AY40" s="245"/>
      <c r="AZ40" s="196">
        <v>42</v>
      </c>
      <c r="BA40" s="589">
        <f t="shared" si="62"/>
        <v>1.5389688908431351E-3</v>
      </c>
      <c r="BI40" s="196">
        <v>0</v>
      </c>
      <c r="BK40" s="246">
        <f t="shared" si="63"/>
        <v>0</v>
      </c>
      <c r="BL40" s="246"/>
      <c r="BM40" s="246">
        <f t="shared" si="64"/>
        <v>0</v>
      </c>
      <c r="BN40" s="196">
        <v>1</v>
      </c>
      <c r="BO40" s="196">
        <f t="shared" si="130"/>
        <v>24865.799231939902</v>
      </c>
      <c r="BP40" s="196">
        <f t="shared" si="82"/>
        <v>24865.799231939902</v>
      </c>
      <c r="BQ40" s="248">
        <f t="shared" si="65"/>
        <v>2.3260797243873461E-3</v>
      </c>
      <c r="BR40" s="248"/>
      <c r="BS40" s="248"/>
      <c r="BT40" s="276">
        <v>1</v>
      </c>
      <c r="BU40" s="196">
        <f t="shared" si="141"/>
        <v>57846.105695356426</v>
      </c>
      <c r="BV40" s="264">
        <f t="shared" si="66"/>
        <v>4.0123154606244611E-3</v>
      </c>
      <c r="BW40" s="196">
        <f t="shared" si="142"/>
        <v>247452.78547458028</v>
      </c>
      <c r="BX40" s="247">
        <f t="shared" si="67"/>
        <v>4.0123154967675531E-3</v>
      </c>
      <c r="BY40" s="196">
        <f t="shared" si="83"/>
        <v>305298.89116993669</v>
      </c>
      <c r="BZ40" s="620">
        <v>0</v>
      </c>
      <c r="CA40" s="196">
        <f t="shared" si="102"/>
        <v>142354.34233078448</v>
      </c>
      <c r="CB40" s="196">
        <f t="shared" si="103"/>
        <v>284708.68466156896</v>
      </c>
      <c r="CC40" s="196">
        <f t="shared" si="12"/>
        <v>427063.02699235344</v>
      </c>
      <c r="CD40" s="247">
        <f t="shared" si="13"/>
        <v>1.8019567340636722E-3</v>
      </c>
      <c r="CE40" s="196">
        <f t="shared" si="131"/>
        <v>37379.127120669596</v>
      </c>
      <c r="CF40" s="247">
        <f t="shared" si="14"/>
        <v>1.6141469561249066E-3</v>
      </c>
      <c r="CG40" s="196">
        <f t="shared" si="104"/>
        <v>70711.96089633739</v>
      </c>
      <c r="CH40" s="589">
        <f t="shared" si="68"/>
        <v>1.8019567340636722E-3</v>
      </c>
      <c r="CI40" s="196">
        <f t="shared" si="132"/>
        <v>43846.473592961927</v>
      </c>
      <c r="CJ40" s="248">
        <f t="shared" si="70"/>
        <v>7.2083591457122883E-4</v>
      </c>
      <c r="CK40" s="196">
        <f t="shared" si="133"/>
        <v>115083.04437339497</v>
      </c>
      <c r="CL40" s="589">
        <f t="shared" si="71"/>
        <v>1.6543424344398613E-3</v>
      </c>
      <c r="CM40" s="196">
        <f t="shared" si="134"/>
        <v>11148.690222597153</v>
      </c>
      <c r="CN40" s="589">
        <f t="shared" si="72"/>
        <v>1.6066529620501677E-3</v>
      </c>
      <c r="CO40" s="196">
        <f t="shared" si="135"/>
        <v>891.8658035171519</v>
      </c>
      <c r="CP40" s="589">
        <f t="shared" si="73"/>
        <v>1.6819215328102346E-3</v>
      </c>
      <c r="CQ40" s="196">
        <f>'Detailed Budget'!$AC$12</f>
        <v>292876014141.44696</v>
      </c>
      <c r="CR40" s="269">
        <f t="shared" ref="CR40:CR71" si="143">BK40*CQ40</f>
        <v>0</v>
      </c>
      <c r="CS40" s="269">
        <f>'Detailed Budget'!$AC$16</f>
        <v>10488008800.000002</v>
      </c>
      <c r="CT40" s="607">
        <f t="shared" si="106"/>
        <v>0</v>
      </c>
      <c r="CU40" s="269">
        <f>'Detailed Budget'!$AC$24</f>
        <v>30624985696</v>
      </c>
      <c r="CV40" s="269">
        <f t="shared" si="18"/>
        <v>0</v>
      </c>
      <c r="CW40" s="269"/>
      <c r="CX40" s="269">
        <f t="shared" si="19"/>
        <v>0</v>
      </c>
      <c r="CY40" s="196">
        <f>'Detailed Budget'!$AC$97</f>
        <v>74629165494.837845</v>
      </c>
      <c r="CZ40" s="269">
        <f t="shared" si="107"/>
        <v>173593388.70549005</v>
      </c>
      <c r="DA40" s="269">
        <f>'Detailed Budget'!$AC$100</f>
        <v>14925833098.967569</v>
      </c>
      <c r="DB40" s="269">
        <f t="shared" si="108"/>
        <v>34718677.741098009</v>
      </c>
      <c r="DC40" s="269">
        <f t="shared" si="22"/>
        <v>208312066.44658807</v>
      </c>
      <c r="DD40" s="207">
        <v>0</v>
      </c>
      <c r="DE40" s="606">
        <v>0</v>
      </c>
      <c r="DF40" s="269">
        <f>'Detailed Budget'!$AC$147</f>
        <v>5913600671000</v>
      </c>
      <c r="DG40" s="269">
        <f t="shared" si="23"/>
        <v>0</v>
      </c>
      <c r="DH40" s="269">
        <f>'Detailed Budget'!$AC$153</f>
        <v>226428026880.00003</v>
      </c>
      <c r="DI40" s="269"/>
      <c r="DJ40" s="269">
        <f>'Detailed Budget'!$AC$156</f>
        <v>27713070000</v>
      </c>
      <c r="DK40" s="269"/>
      <c r="DL40" s="269"/>
      <c r="DM40" s="196">
        <f>'Detailed Budget'!$AC$178</f>
        <v>5622683761.6229038</v>
      </c>
      <c r="DN40" s="269">
        <f t="shared" si="136"/>
        <v>22559980.986961678</v>
      </c>
      <c r="DO40" s="196">
        <f>'Detailed Budget'!$AC$179</f>
        <v>26827890683.128094</v>
      </c>
      <c r="DP40" s="269">
        <f t="shared" si="137"/>
        <v>107641961.5335007</v>
      </c>
      <c r="DQ40" s="269">
        <f t="shared" si="89"/>
        <v>130201942.52046238</v>
      </c>
      <c r="DR40" s="269">
        <f>'Detailed Budget'!$AC$181</f>
        <v>50888946855.375237</v>
      </c>
      <c r="DS40" s="269">
        <f t="shared" si="138"/>
        <v>163257298.1276446</v>
      </c>
      <c r="DT40" s="269">
        <f t="shared" si="139"/>
        <v>293459240.64810699</v>
      </c>
      <c r="DU40" s="272">
        <f>'Detailed Budget'!$AC$192</f>
        <v>77498869683.252869</v>
      </c>
      <c r="DV40" s="269">
        <f t="shared" si="109"/>
        <v>0</v>
      </c>
      <c r="DW40" s="140">
        <f>'Detailed Budget'!$AC$194</f>
        <v>2684962805.4134097</v>
      </c>
      <c r="DX40" s="269">
        <f t="shared" si="110"/>
        <v>0</v>
      </c>
      <c r="DY40" s="607">
        <f t="shared" si="26"/>
        <v>0</v>
      </c>
      <c r="DZ40" s="196">
        <f>'Detailed Budget'!$AC$198</f>
        <v>18732540018.380611</v>
      </c>
      <c r="EA40" s="269">
        <f t="shared" si="111"/>
        <v>30237072.451157067</v>
      </c>
      <c r="EB40" s="196">
        <f>'Detailed Budget'!$AC$200</f>
        <v>4683135004.5951529</v>
      </c>
      <c r="EC40" s="269">
        <f t="shared" si="112"/>
        <v>7559268.1127892667</v>
      </c>
      <c r="ED40" s="269">
        <f t="shared" si="29"/>
        <v>37796340.563946337</v>
      </c>
      <c r="EE40" s="196">
        <f>'Detailed Budget'!$AC$161</f>
        <v>251147290106.36197</v>
      </c>
      <c r="EF40" s="269">
        <f t="shared" si="113"/>
        <v>452556550.64900166</v>
      </c>
      <c r="EG40" s="196">
        <f>'Detailed Budget'!$AC$163</f>
        <v>15696705631.647623</v>
      </c>
      <c r="EH40" s="269">
        <f t="shared" si="114"/>
        <v>28284784.415562604</v>
      </c>
      <c r="EI40" s="269">
        <f t="shared" si="32"/>
        <v>480841335.06456429</v>
      </c>
      <c r="EJ40" s="196">
        <f>'Detailed Budget'!$AC$204</f>
        <v>45012172507.531975</v>
      </c>
      <c r="EK40" s="269">
        <f t="shared" si="115"/>
        <v>32446390.536304735</v>
      </c>
      <c r="EL40" s="201">
        <f>'Detailed Budget'!$AC$206</f>
        <v>11253043126.882994</v>
      </c>
      <c r="EM40" s="269">
        <f t="shared" si="116"/>
        <v>8111597.6340761837</v>
      </c>
      <c r="EN40" s="269">
        <f t="shared" si="35"/>
        <v>40557988.17038092</v>
      </c>
      <c r="EO40" s="140">
        <f>'Detailed Budget'!$AC$209</f>
        <v>135789361677.54817</v>
      </c>
      <c r="EP40" s="269">
        <f t="shared" si="117"/>
        <v>224642103.16866985</v>
      </c>
      <c r="EQ40" s="196">
        <f>'Detailed Budget'!$AC$211</f>
        <v>33947340419.387043</v>
      </c>
      <c r="ER40" s="269">
        <f t="shared" si="118"/>
        <v>56160525.792167462</v>
      </c>
      <c r="ES40" s="269">
        <f t="shared" si="38"/>
        <v>280802628.9608373</v>
      </c>
      <c r="ET40" s="196">
        <f>'Detailed Budget'!$AC$214</f>
        <v>22239745544.201103</v>
      </c>
      <c r="EU40" s="269">
        <f t="shared" si="119"/>
        <v>35731553.053832725</v>
      </c>
      <c r="EV40" s="140">
        <f>'Detailed Budget'!$AC$217</f>
        <v>5559936386.0502758</v>
      </c>
      <c r="EW40" s="269">
        <f t="shared" si="120"/>
        <v>8932888.2634581812</v>
      </c>
      <c r="EX40" s="269">
        <f t="shared" si="41"/>
        <v>44664441.317290902</v>
      </c>
      <c r="EY40" s="196">
        <f>'Detailed Budget'!$AC$219</f>
        <v>372777004.58170313</v>
      </c>
      <c r="EZ40" s="269">
        <f t="shared" si="121"/>
        <v>626981.67094246601</v>
      </c>
      <c r="FA40" s="196">
        <f>'Detailed Budget'!$AC$222</f>
        <v>93194251.145425782</v>
      </c>
      <c r="FB40" s="269">
        <f t="shared" si="122"/>
        <v>156745.4177356165</v>
      </c>
      <c r="FC40" s="269">
        <f t="shared" si="44"/>
        <v>783727.08867808245</v>
      </c>
      <c r="FD40" s="269"/>
      <c r="FE40" s="269">
        <f t="shared" si="45"/>
        <v>366808785.53718716</v>
      </c>
      <c r="FF40" s="140">
        <f>'Detailed Budget'!$AC$165</f>
        <v>14927760000</v>
      </c>
      <c r="FG40" s="1087">
        <f t="shared" si="46"/>
        <v>500351463.95970917</v>
      </c>
      <c r="FH40" s="269">
        <f t="shared" si="123"/>
        <v>20353723.440518126</v>
      </c>
      <c r="FJ40" s="140">
        <f>'Detailed Budget'!$AC$235</f>
        <v>3623696172</v>
      </c>
      <c r="FK40" s="269">
        <f t="shared" si="124"/>
        <v>4681778</v>
      </c>
      <c r="FL40" s="269">
        <f t="shared" si="49"/>
        <v>4681778</v>
      </c>
      <c r="FO40" s="607"/>
      <c r="FP40" s="607"/>
      <c r="FQ40" s="607"/>
      <c r="FR40" s="269">
        <f>'Detailed Budget'!$AC$257</f>
        <v>13636439388</v>
      </c>
      <c r="FS40" s="269">
        <f t="shared" si="125"/>
        <v>20986056</v>
      </c>
      <c r="FT40" s="269">
        <f t="shared" si="51"/>
        <v>20986056</v>
      </c>
      <c r="FU40" s="269"/>
      <c r="FV40" s="269"/>
      <c r="FW40" s="605"/>
      <c r="FX40" s="140">
        <f>'Detailed Budget'!$AC$278</f>
        <v>1114560000</v>
      </c>
      <c r="FY40" s="269">
        <f t="shared" si="126"/>
        <v>1440000</v>
      </c>
      <c r="FZ40" s="269">
        <f t="shared" si="54"/>
        <v>1440000</v>
      </c>
      <c r="GB40" s="269">
        <f t="shared" si="74"/>
        <v>1935030789.6606202</v>
      </c>
      <c r="GC40" s="887">
        <f t="shared" si="55"/>
        <v>1209394.2435378877</v>
      </c>
      <c r="GD40" s="1078">
        <f t="shared" si="75"/>
        <v>1.085806708462336E-3</v>
      </c>
    </row>
    <row r="41" spans="1:186" ht="14.25" hidden="1" customHeight="1" outlineLevel="1">
      <c r="A41" s="211"/>
      <c r="B41" s="212"/>
      <c r="C41" s="213"/>
      <c r="D41" s="214"/>
      <c r="E41" s="213"/>
      <c r="F41" s="213"/>
      <c r="G41" s="213"/>
      <c r="H41" s="213"/>
      <c r="I41" s="214"/>
      <c r="J41" s="214"/>
      <c r="K41" s="213"/>
      <c r="L41" s="213"/>
      <c r="M41" s="214"/>
      <c r="N41" s="213"/>
      <c r="O41" s="214"/>
      <c r="P41" s="213"/>
      <c r="Q41" s="214"/>
      <c r="R41" s="214"/>
      <c r="S41" s="214"/>
      <c r="T41" s="214"/>
      <c r="U41" s="215"/>
      <c r="V41" s="845"/>
      <c r="W41" s="216"/>
      <c r="X41" s="217"/>
      <c r="Y41" s="218"/>
      <c r="Z41" s="196"/>
      <c r="AA41" s="218"/>
      <c r="AG41" s="606"/>
      <c r="AJ41" s="196"/>
      <c r="AK41" s="196"/>
      <c r="AL41" s="196"/>
      <c r="AM41" s="196"/>
      <c r="AO41" s="196"/>
      <c r="AP41" s="589"/>
      <c r="AQ41" s="196"/>
      <c r="AR41" s="589"/>
      <c r="AS41"/>
      <c r="AT41" s="589">
        <f t="shared" si="61"/>
        <v>0</v>
      </c>
      <c r="AV41" s="245"/>
      <c r="AX41" s="245"/>
      <c r="AY41" s="245"/>
      <c r="BA41" s="589">
        <f t="shared" si="62"/>
        <v>0</v>
      </c>
      <c r="BK41" s="246">
        <f t="shared" si="63"/>
        <v>0</v>
      </c>
      <c r="BL41" s="246"/>
      <c r="BM41" s="246">
        <f t="shared" si="64"/>
        <v>0</v>
      </c>
      <c r="BN41" s="196"/>
      <c r="BQ41" s="248">
        <f t="shared" si="65"/>
        <v>0</v>
      </c>
      <c r="BR41" s="248"/>
      <c r="BS41" s="248"/>
      <c r="BT41" s="276"/>
      <c r="BV41" s="264">
        <f t="shared" si="66"/>
        <v>0</v>
      </c>
      <c r="BX41" s="247">
        <f t="shared" si="67"/>
        <v>0</v>
      </c>
      <c r="BY41" s="196"/>
      <c r="BZ41" s="620"/>
      <c r="CA41" s="196"/>
      <c r="CB41" s="196"/>
      <c r="CC41" s="196"/>
      <c r="CD41" s="247"/>
      <c r="CF41" s="247"/>
      <c r="CG41" s="196"/>
      <c r="CH41" s="589"/>
      <c r="CI41" s="196"/>
      <c r="CJ41" s="248"/>
      <c r="CK41" s="196"/>
      <c r="CL41" s="589"/>
      <c r="CM41" s="196"/>
      <c r="CN41" s="589"/>
      <c r="CO41" s="196"/>
      <c r="CP41" s="589"/>
      <c r="CQ41" s="196"/>
      <c r="CR41" s="269">
        <f t="shared" si="143"/>
        <v>0</v>
      </c>
      <c r="CS41" s="269"/>
      <c r="CT41" s="607"/>
      <c r="CU41" s="269">
        <f>'Detailed Budget'!$AC$24</f>
        <v>30624985696</v>
      </c>
      <c r="CV41" s="269">
        <f t="shared" si="18"/>
        <v>0</v>
      </c>
      <c r="CW41" s="269"/>
      <c r="CX41" s="269"/>
      <c r="CY41" s="196"/>
      <c r="DC41" s="269"/>
      <c r="DD41" s="207"/>
      <c r="DE41" s="606">
        <v>0</v>
      </c>
      <c r="DF41" s="269">
        <f>'Detailed Budget'!$AC$147</f>
        <v>5913600671000</v>
      </c>
      <c r="DG41" s="269">
        <f t="shared" si="23"/>
        <v>0</v>
      </c>
      <c r="DH41" s="269">
        <f>'Detailed Budget'!$AC$153</f>
        <v>226428026880.00003</v>
      </c>
      <c r="DI41" s="269"/>
      <c r="DJ41" s="269">
        <f>'Detailed Budget'!$AC$156</f>
        <v>27713070000</v>
      </c>
      <c r="DK41" s="269"/>
      <c r="DL41" s="269"/>
      <c r="DM41" s="196"/>
      <c r="DN41" s="269"/>
      <c r="DO41" s="196"/>
      <c r="DP41" s="269"/>
      <c r="DQ41" s="269"/>
      <c r="DR41" s="269"/>
      <c r="DS41" s="269"/>
      <c r="DT41" s="269"/>
      <c r="DU41" s="272"/>
      <c r="DV41" s="269"/>
      <c r="DW41" s="140"/>
      <c r="DX41" s="269"/>
      <c r="DY41" s="607"/>
      <c r="DZ41" s="196"/>
      <c r="EA41" s="269"/>
      <c r="EB41" s="196"/>
      <c r="ED41" s="269"/>
      <c r="EE41" s="196"/>
      <c r="EG41" s="196"/>
      <c r="EI41" s="269"/>
      <c r="EJ41" s="196"/>
      <c r="EL41" s="201"/>
      <c r="EN41" s="269"/>
      <c r="EO41" s="140"/>
      <c r="EQ41" s="196"/>
      <c r="ES41" s="269"/>
      <c r="ET41" s="196"/>
      <c r="EV41" s="140"/>
      <c r="EX41" s="269"/>
      <c r="EY41" s="196"/>
      <c r="FA41" s="196"/>
      <c r="FC41" s="269"/>
      <c r="FD41" s="269"/>
      <c r="FE41" s="269"/>
      <c r="FF41" s="140"/>
      <c r="FG41" s="1087">
        <f t="shared" si="46"/>
        <v>0</v>
      </c>
      <c r="FJ41" s="140">
        <f>'Detailed Budget'!$AC$235</f>
        <v>3623696172</v>
      </c>
      <c r="FL41" s="269">
        <f t="shared" si="49"/>
        <v>0</v>
      </c>
      <c r="FO41" s="607"/>
      <c r="FP41" s="607"/>
      <c r="FQ41" s="607"/>
      <c r="FT41" s="269">
        <f t="shared" si="51"/>
        <v>0</v>
      </c>
      <c r="FU41" s="269"/>
      <c r="FV41" s="269"/>
      <c r="FW41" s="605"/>
      <c r="FX41" s="140">
        <f>'Detailed Budget'!$AC$278</f>
        <v>1114560000</v>
      </c>
      <c r="FY41" s="269"/>
      <c r="FZ41" s="269"/>
      <c r="GB41" s="269">
        <f t="shared" si="74"/>
        <v>0</v>
      </c>
      <c r="GD41" s="1078">
        <f t="shared" si="75"/>
        <v>0</v>
      </c>
    </row>
    <row r="42" spans="1:186" s="210" customFormat="1" collapsed="1">
      <c r="A42" s="203">
        <v>1.3</v>
      </c>
      <c r="B42" s="204" t="s">
        <v>276</v>
      </c>
      <c r="C42" s="205">
        <f>COUNTA(C43:C63)</f>
        <v>21</v>
      </c>
      <c r="D42" s="205">
        <f t="shared" ref="D42:Q42" si="144">COUNTA(D43:D63)</f>
        <v>9</v>
      </c>
      <c r="E42" s="205">
        <f t="shared" si="144"/>
        <v>0</v>
      </c>
      <c r="F42" s="205">
        <f t="shared" si="144"/>
        <v>0</v>
      </c>
      <c r="G42" s="205">
        <f t="shared" si="144"/>
        <v>12</v>
      </c>
      <c r="H42" s="205">
        <f t="shared" si="144"/>
        <v>21</v>
      </c>
      <c r="I42" s="205">
        <f t="shared" si="144"/>
        <v>21</v>
      </c>
      <c r="J42" s="205">
        <f t="shared" si="144"/>
        <v>0</v>
      </c>
      <c r="K42" s="205">
        <f t="shared" si="144"/>
        <v>1</v>
      </c>
      <c r="L42" s="205">
        <f t="shared" si="144"/>
        <v>0</v>
      </c>
      <c r="M42" s="205">
        <f t="shared" si="144"/>
        <v>14</v>
      </c>
      <c r="N42" s="205">
        <f t="shared" si="144"/>
        <v>6</v>
      </c>
      <c r="O42" s="205">
        <f t="shared" si="144"/>
        <v>0</v>
      </c>
      <c r="P42" s="205">
        <f t="shared" si="144"/>
        <v>0</v>
      </c>
      <c r="Q42" s="205">
        <f t="shared" si="144"/>
        <v>0</v>
      </c>
      <c r="R42" s="205">
        <f>COUNTA(R43:R63)</f>
        <v>21</v>
      </c>
      <c r="S42" s="205">
        <f>COUNTA(S43:S63)</f>
        <v>0</v>
      </c>
      <c r="T42" s="205">
        <f>COUNTA(T43:T63)</f>
        <v>0</v>
      </c>
      <c r="U42" s="206">
        <f>SUM(C42:T42)</f>
        <v>126</v>
      </c>
      <c r="V42" s="844"/>
      <c r="W42" s="207">
        <f>SUM(W43:W63)</f>
        <v>3314043</v>
      </c>
      <c r="X42" s="208">
        <v>3.03</v>
      </c>
      <c r="Y42" s="209">
        <f t="shared" si="57"/>
        <v>1.0303</v>
      </c>
      <c r="Z42" s="207">
        <v>19</v>
      </c>
      <c r="AA42" s="209">
        <f t="shared" si="140"/>
        <v>1.7632354008841205</v>
      </c>
      <c r="AB42" s="207">
        <f>SUM(AB43:AB63)</f>
        <v>5843437.9376522126</v>
      </c>
      <c r="AC42" s="210">
        <v>18.8</v>
      </c>
      <c r="AD42" s="207">
        <f>SUM(AD43:AD63)</f>
        <v>1098566.332278616</v>
      </c>
      <c r="AE42" s="207">
        <f>SUM(AE43:AE63)</f>
        <v>1043638.0156646852</v>
      </c>
      <c r="AF42" s="207">
        <f>SUM(AF43:AF63)</f>
        <v>526271.41719591303</v>
      </c>
      <c r="AG42" s="588">
        <f t="shared" si="58"/>
        <v>4.8253240187598453E-2</v>
      </c>
      <c r="AH42" s="207">
        <f>SUM(AH43:AH63)</f>
        <v>292171.89688261069</v>
      </c>
      <c r="AI42" s="633">
        <f t="shared" si="59"/>
        <v>2.2634114167832425E-2</v>
      </c>
      <c r="AJ42" s="207">
        <f>SUM(AJ43:AJ63)</f>
        <v>1390738.2291612267</v>
      </c>
      <c r="AK42" s="207">
        <f t="shared" si="99"/>
        <v>233737.51750608851</v>
      </c>
      <c r="AL42" s="207">
        <f t="shared" si="100"/>
        <v>233737.51750608851</v>
      </c>
      <c r="AM42" s="207">
        <f t="shared" si="5"/>
        <v>467475.03501217702</v>
      </c>
      <c r="AN42" s="632">
        <f t="shared" si="6"/>
        <v>2.2634114167832422E-2</v>
      </c>
      <c r="AO42" s="207">
        <f t="shared" si="7"/>
        <v>222050.64163078408</v>
      </c>
      <c r="AP42" s="588">
        <f t="shared" si="60"/>
        <v>2.2634114167832422E-2</v>
      </c>
      <c r="AQ42" s="207">
        <v>1</v>
      </c>
      <c r="AR42" s="588">
        <f>AQ42/37</f>
        <v>2.7027027027027029E-2</v>
      </c>
      <c r="AS42" s="207">
        <f>SUM(AS43:AS63)</f>
        <v>21</v>
      </c>
      <c r="AT42" s="588">
        <f t="shared" si="61"/>
        <v>2.7131782945736434E-2</v>
      </c>
      <c r="AU42" s="207">
        <f>SUM(AU43:AU63)</f>
        <v>239</v>
      </c>
      <c r="AV42" s="892">
        <f t="shared" si="8"/>
        <v>2.7156004999431882E-2</v>
      </c>
      <c r="AW42" s="207">
        <v>32440</v>
      </c>
      <c r="AX42" s="208">
        <f>AW42*0.002</f>
        <v>64.88</v>
      </c>
      <c r="AY42" s="207">
        <f>AX42*100</f>
        <v>6488</v>
      </c>
      <c r="AZ42" s="207">
        <f>SUM(AZ43:AZ63)</f>
        <v>947</v>
      </c>
      <c r="BA42" s="588">
        <f t="shared" si="62"/>
        <v>3.4700084276867833E-2</v>
      </c>
      <c r="BB42" s="207">
        <v>55</v>
      </c>
      <c r="BC42" s="207">
        <v>3</v>
      </c>
      <c r="BD42" s="207">
        <f>BB42+BC42</f>
        <v>58</v>
      </c>
      <c r="BE42" s="633">
        <f>BD42/1306</f>
        <v>4.44104134762634E-2</v>
      </c>
      <c r="BF42" s="207">
        <f>AZ42+BD42</f>
        <v>1005</v>
      </c>
      <c r="BG42" s="588">
        <f>BF42/28597</f>
        <v>3.5143546525859354E-2</v>
      </c>
      <c r="BH42" s="1084">
        <v>46</v>
      </c>
      <c r="BI42" s="207"/>
      <c r="BJ42" s="207"/>
      <c r="BK42" s="892">
        <f t="shared" si="63"/>
        <v>0</v>
      </c>
      <c r="BL42" s="892"/>
      <c r="BM42" s="892">
        <f t="shared" si="64"/>
        <v>0</v>
      </c>
      <c r="BN42" s="207"/>
      <c r="BO42" s="207">
        <v>493239</v>
      </c>
      <c r="BP42" s="207">
        <f>SUM(BP43:BP63)</f>
        <v>493239.08127429773</v>
      </c>
      <c r="BQ42" s="633">
        <f t="shared" si="65"/>
        <v>4.6140219163109474E-2</v>
      </c>
      <c r="BR42" s="207">
        <f>AY42*0.5*24</f>
        <v>77856</v>
      </c>
      <c r="BS42" s="633">
        <f>BR42/2211211</f>
        <v>3.520966565379785E-2</v>
      </c>
      <c r="BT42" s="634"/>
      <c r="BU42" s="207">
        <f>SUM(BU43:BU63)</f>
        <v>438744.17096754024</v>
      </c>
      <c r="BV42" s="264">
        <f t="shared" si="66"/>
        <v>3.0432126748564121E-2</v>
      </c>
      <c r="BW42" s="207">
        <f>SUM(BW43:BW63)</f>
        <v>1876850.0646944782</v>
      </c>
      <c r="BX42" s="247">
        <f t="shared" si="67"/>
        <v>3.0432127022697892E-2</v>
      </c>
      <c r="BY42" s="207">
        <f>SUM(BY43:BY63)</f>
        <v>2315594.2356620179</v>
      </c>
      <c r="CA42" s="207">
        <f t="shared" ref="CA42:CA63" si="145">AK42*0.85*0.75*12</f>
        <v>1788092.0089215771</v>
      </c>
      <c r="CB42" s="207">
        <f t="shared" ref="CB42:CB63" si="146">AL42*0.85*0.75*2*12</f>
        <v>3576184.0178431543</v>
      </c>
      <c r="CC42" s="207">
        <f t="shared" si="12"/>
        <v>5364276.0267647319</v>
      </c>
      <c r="CD42" s="633">
        <f t="shared" si="13"/>
        <v>2.2634114167832425E-2</v>
      </c>
      <c r="CE42" s="207">
        <v>609435</v>
      </c>
      <c r="CF42" s="633">
        <f t="shared" si="14"/>
        <v>2.6317298609737048E-2</v>
      </c>
      <c r="CG42" s="207">
        <f t="shared" ref="CG42:CG63" si="147">AO42*4</f>
        <v>888202.56652313634</v>
      </c>
      <c r="CH42" s="588">
        <f t="shared" si="68"/>
        <v>2.2634114167832422E-2</v>
      </c>
      <c r="CI42" s="207">
        <f t="shared" ref="CI42:CO42" si="148">SUM(CI43:CI63)</f>
        <v>1544344.4671112045</v>
      </c>
      <c r="CJ42" s="633">
        <f t="shared" si="70"/>
        <v>2.5389019119243652E-2</v>
      </c>
      <c r="CK42" s="207">
        <f t="shared" si="148"/>
        <v>1628780.4926502043</v>
      </c>
      <c r="CL42" s="588">
        <f t="shared" si="71"/>
        <v>2.3414054607700557E-2</v>
      </c>
      <c r="CM42" s="207">
        <f t="shared" si="148"/>
        <v>157788.0477254696</v>
      </c>
      <c r="CN42" s="588">
        <f t="shared" si="72"/>
        <v>2.273905088334064E-2</v>
      </c>
      <c r="CO42" s="207">
        <f t="shared" si="148"/>
        <v>12623.003818025471</v>
      </c>
      <c r="CP42" s="588">
        <f t="shared" si="73"/>
        <v>2.3805040900275465E-2</v>
      </c>
      <c r="CQ42" s="207">
        <f>'Detailed Budget'!$AC$12</f>
        <v>292876014141.44696</v>
      </c>
      <c r="CR42" s="605">
        <f t="shared" si="143"/>
        <v>0</v>
      </c>
      <c r="CS42" s="605">
        <f>'Detailed Budget'!$AC$16</f>
        <v>10488008800.000002</v>
      </c>
      <c r="CT42" s="605">
        <f t="shared" ref="CT42:CT63" si="149">BM42*CS42</f>
        <v>0</v>
      </c>
      <c r="CU42" s="605">
        <f>'Detailed Budget'!$AC$24</f>
        <v>30624985696</v>
      </c>
      <c r="CV42" s="605">
        <f t="shared" si="18"/>
        <v>0</v>
      </c>
      <c r="CW42" s="605"/>
      <c r="CX42" s="605">
        <f t="shared" si="19"/>
        <v>0</v>
      </c>
      <c r="CY42" s="207">
        <f>'Detailed Budget'!$AC$97</f>
        <v>74629165494.837845</v>
      </c>
      <c r="CZ42" s="605">
        <f t="shared" ref="CZ42:CZ63" si="150">BQ42*CY42</f>
        <v>3443406051.8917856</v>
      </c>
      <c r="DA42" s="605">
        <f>'Detailed Budget'!$AC$100</f>
        <v>14925833098.967569</v>
      </c>
      <c r="DB42" s="605">
        <f t="shared" ref="DB42:DB63" si="151">BQ42*DA42</f>
        <v>688681210.37835705</v>
      </c>
      <c r="DC42" s="605">
        <f t="shared" si="22"/>
        <v>4132087262.2701426</v>
      </c>
      <c r="DD42" s="207">
        <f>SUM(DD43:DD63)</f>
        <v>0</v>
      </c>
      <c r="DE42" s="606">
        <v>0</v>
      </c>
      <c r="DF42" s="605">
        <f>'Detailed Budget'!$AC$147</f>
        <v>5913600671000</v>
      </c>
      <c r="DG42" s="605">
        <f t="shared" si="23"/>
        <v>0</v>
      </c>
      <c r="DH42" s="605">
        <f>'Detailed Budget'!$AC$153</f>
        <v>226428026880.00003</v>
      </c>
      <c r="DI42" s="605">
        <f>BS42*DH42</f>
        <v>7972455121.0939531</v>
      </c>
      <c r="DJ42" s="605">
        <f>'Detailed Budget'!$AC$156</f>
        <v>27713070000</v>
      </c>
      <c r="DK42" s="605">
        <f>AT42*DJ42</f>
        <v>751905000</v>
      </c>
      <c r="DL42" s="605">
        <f>DI42+DK42</f>
        <v>8724360121.0939522</v>
      </c>
      <c r="DM42" s="207">
        <f>'Detailed Budget'!$AC$178</f>
        <v>5622683761.6229038</v>
      </c>
      <c r="DN42" s="605">
        <f>SUM(DN43:DN63)</f>
        <v>171110224.90080151</v>
      </c>
      <c r="DO42" s="207">
        <f>'Detailed Budget'!$AC$179</f>
        <v>26827890683.128094</v>
      </c>
      <c r="DP42" s="605">
        <f>SUM(DP43:DP63)</f>
        <v>816429777.02000737</v>
      </c>
      <c r="DQ42" s="605">
        <f>SUM(DQ43:DQ63)</f>
        <v>987540001.92080891</v>
      </c>
      <c r="DR42" s="605">
        <f>'Detailed Budget'!$AC$181</f>
        <v>50888946855.375237</v>
      </c>
      <c r="DS42" s="605">
        <f>SUM(DS43:DS63)</f>
        <v>1238254279.3570268</v>
      </c>
      <c r="DT42" s="605">
        <f>SUM(DT43:DT63)</f>
        <v>2225794281.2778354</v>
      </c>
      <c r="DU42" s="634">
        <f>'Detailed Budget'!$AC$192</f>
        <v>77498869683.252869</v>
      </c>
      <c r="DV42" s="605">
        <f t="shared" ref="DV42:DV63" si="152">BZ42*CD42*DU42</f>
        <v>0</v>
      </c>
      <c r="DW42" s="930">
        <f>'Detailed Budget'!$AC$194</f>
        <v>2684962805.4134097</v>
      </c>
      <c r="DX42" s="605">
        <f t="shared" ref="DX42:DX63" si="153">BZ42*AN42*DW42</f>
        <v>0</v>
      </c>
      <c r="DY42" s="605">
        <f t="shared" si="26"/>
        <v>0</v>
      </c>
      <c r="DZ42" s="207">
        <f>'Detailed Budget'!$AC$198</f>
        <v>18732540018.380611</v>
      </c>
      <c r="EA42" s="605">
        <f t="shared" ref="EA42:EA63" si="154">CF42*DZ42</f>
        <v>492989849.3825717</v>
      </c>
      <c r="EB42" s="207">
        <f>'Detailed Budget'!$AC$200</f>
        <v>4683135004.5951529</v>
      </c>
      <c r="EC42" s="605">
        <f t="shared" ref="EC42:EC63" si="155">CF42*EB42</f>
        <v>123247462.34564292</v>
      </c>
      <c r="ED42" s="605">
        <f t="shared" si="29"/>
        <v>616237311.72821462</v>
      </c>
      <c r="EE42" s="207">
        <f>'Detailed Budget'!$AC$161</f>
        <v>251147290106.36197</v>
      </c>
      <c r="EF42" s="605">
        <f t="shared" ref="EF42:EF63" si="156">CH42*EE42</f>
        <v>5684496437.2091265</v>
      </c>
      <c r="EG42" s="207">
        <f>'Detailed Budget'!$AC$163</f>
        <v>15696705631.647623</v>
      </c>
      <c r="EH42" s="605">
        <f t="shared" ref="EH42:EH63" si="157">AP42*EG42</f>
        <v>355281027.3255704</v>
      </c>
      <c r="EI42" s="605">
        <f t="shared" si="32"/>
        <v>6039777464.5346966</v>
      </c>
      <c r="EJ42" s="207">
        <f>'Detailed Budget'!$AC$204</f>
        <v>45012172507.531975</v>
      </c>
      <c r="EK42" s="605">
        <f t="shared" ref="EK42:EK63" si="158">CJ42*EJ42</f>
        <v>1142814908.3924227</v>
      </c>
      <c r="EL42" s="207">
        <f>'Detailed Budget'!$AC$206</f>
        <v>11253043126.882994</v>
      </c>
      <c r="EM42" s="605">
        <f t="shared" ref="EM42:EM63" si="159">CJ42*EL42</f>
        <v>285703727.09810567</v>
      </c>
      <c r="EN42" s="605">
        <f t="shared" si="35"/>
        <v>1428518635.4905283</v>
      </c>
      <c r="EO42" s="930">
        <f>'Detailed Budget'!$AC$209</f>
        <v>135789361677.54817</v>
      </c>
      <c r="EP42" s="605">
        <f t="shared" ref="EP42:EP63" si="160">CL42*EO42</f>
        <v>3179379529.462914</v>
      </c>
      <c r="EQ42" s="207">
        <f>'Detailed Budget'!$AC$211</f>
        <v>33947340419.387043</v>
      </c>
      <c r="ER42" s="605">
        <f t="shared" ref="ER42:ER63" si="161">CL42*EQ42</f>
        <v>794844882.3657285</v>
      </c>
      <c r="ES42" s="605">
        <f t="shared" si="38"/>
        <v>3974224411.8286424</v>
      </c>
      <c r="ET42" s="207">
        <f>'Detailed Budget'!$AC$214</f>
        <v>22239745544.201103</v>
      </c>
      <c r="EU42" s="605">
        <f t="shared" ref="EU42:EU63" si="162">CN42*ET42</f>
        <v>505710705.56213719</v>
      </c>
      <c r="EV42" s="930">
        <f>'Detailed Budget'!$AC$217</f>
        <v>5559936386.0502758</v>
      </c>
      <c r="EW42" s="605">
        <f t="shared" ref="EW42:EW63" si="163">CN42*EV42</f>
        <v>126427676.3905343</v>
      </c>
      <c r="EX42" s="605">
        <f t="shared" si="41"/>
        <v>632138381.95267153</v>
      </c>
      <c r="EY42" s="207">
        <f>'Detailed Budget'!$AC$219</f>
        <v>372777004.58170313</v>
      </c>
      <c r="EZ42" s="605">
        <f t="shared" ref="EZ42:EZ63" si="164">CP42*EY42</f>
        <v>8873971.8407496177</v>
      </c>
      <c r="FA42" s="207">
        <f>'Detailed Budget'!$AC$222</f>
        <v>93194251.145425782</v>
      </c>
      <c r="FB42" s="605">
        <f t="shared" ref="FB42:FB63" si="165">CP42*FA42</f>
        <v>2218492.9601874044</v>
      </c>
      <c r="FC42" s="605">
        <f t="shared" si="44"/>
        <v>11092464.800937023</v>
      </c>
      <c r="FD42" s="605"/>
      <c r="FE42" s="605">
        <f t="shared" si="45"/>
        <v>6045973894.0727797</v>
      </c>
      <c r="FF42" s="930">
        <f>'Detailed Budget'!$AC$165</f>
        <v>14927760000</v>
      </c>
      <c r="FG42" s="1087">
        <f t="shared" si="46"/>
        <v>8247108597.8250446</v>
      </c>
      <c r="FH42" s="605">
        <f t="shared" ref="FH42:FH63" si="166">AV42*FF42</f>
        <v>405378325.1903193</v>
      </c>
      <c r="FI42" s="605"/>
      <c r="FJ42" s="930">
        <f>'Detailed Budget'!$AC$235</f>
        <v>3623696172</v>
      </c>
      <c r="FK42" s="605">
        <f t="shared" ref="FK42:FK63" si="167">AT42*FJ42</f>
        <v>98317338</v>
      </c>
      <c r="FL42" s="605">
        <f t="shared" si="49"/>
        <v>98317338</v>
      </c>
      <c r="FM42" s="605"/>
      <c r="FN42" s="605">
        <f>'Detailed Budget'!$AC$251</f>
        <v>1047595800</v>
      </c>
      <c r="FO42" s="605">
        <f>AR42*FN42</f>
        <v>28313400</v>
      </c>
      <c r="FP42" s="605">
        <f>'Detailed Budget'!$AB$254</f>
        <v>2773297530</v>
      </c>
      <c r="FQ42" s="605">
        <f>BE42*FP42</f>
        <v>123163290</v>
      </c>
      <c r="FR42" s="605">
        <f>'Detailed Budget'!$AC$257</f>
        <v>13636439388</v>
      </c>
      <c r="FS42" s="605">
        <f t="shared" ref="FS42:FS63" si="168">BA42*FR42</f>
        <v>473185596</v>
      </c>
      <c r="FT42" s="605">
        <f t="shared" si="51"/>
        <v>624662286</v>
      </c>
      <c r="FU42" s="605"/>
      <c r="FV42" s="605">
        <f>'Detailed Budget'!$AC$265</f>
        <v>6277805540</v>
      </c>
      <c r="FW42" s="605">
        <f>AR42*FV42</f>
        <v>169670420</v>
      </c>
      <c r="FX42" s="930">
        <f>'Detailed Budget'!$AC$278</f>
        <v>1114560000</v>
      </c>
      <c r="FY42" s="605">
        <f t="shared" ref="FY42:FY63" si="169">AT42*FX42</f>
        <v>30240000</v>
      </c>
      <c r="FZ42" s="605">
        <f t="shared" si="54"/>
        <v>199910420</v>
      </c>
      <c r="GB42" s="269">
        <f t="shared" si="74"/>
        <v>37359607301.992989</v>
      </c>
      <c r="GC42" s="889">
        <f t="shared" si="55"/>
        <v>23349754.563745618</v>
      </c>
      <c r="GD42" s="1078">
        <f t="shared" si="75"/>
        <v>2.0963652077669061E-2</v>
      </c>
    </row>
    <row r="43" spans="1:186" ht="14.25" hidden="1" customHeight="1" outlineLevel="1">
      <c r="A43" s="211" t="s">
        <v>277</v>
      </c>
      <c r="B43" s="212" t="s">
        <v>278</v>
      </c>
      <c r="C43" s="213" t="s">
        <v>215</v>
      </c>
      <c r="D43" s="214" t="s">
        <v>215</v>
      </c>
      <c r="E43" s="213"/>
      <c r="F43" s="213"/>
      <c r="G43" s="213"/>
      <c r="H43" s="213" t="s">
        <v>215</v>
      </c>
      <c r="I43" s="214" t="s">
        <v>215</v>
      </c>
      <c r="J43" s="214"/>
      <c r="K43" s="213"/>
      <c r="L43" s="213"/>
      <c r="M43" s="214"/>
      <c r="N43" s="213" t="s">
        <v>215</v>
      </c>
      <c r="O43" s="214"/>
      <c r="P43" s="213"/>
      <c r="Q43" s="214"/>
      <c r="R43" s="214" t="s">
        <v>215</v>
      </c>
      <c r="S43" s="214"/>
      <c r="T43" s="214"/>
      <c r="U43" s="215">
        <f t="shared" ref="U43:U63" si="170">COUNTA(C43:T43)</f>
        <v>6</v>
      </c>
      <c r="V43" s="845" t="s">
        <v>219</v>
      </c>
      <c r="W43" s="216">
        <v>217219</v>
      </c>
      <c r="X43" s="217">
        <v>3.03</v>
      </c>
      <c r="Y43" s="218">
        <f t="shared" si="57"/>
        <v>1.0303</v>
      </c>
      <c r="Z43" s="196">
        <v>19</v>
      </c>
      <c r="AA43" s="218">
        <f>POWER(Y43,Z43)</f>
        <v>1.7632354008841205</v>
      </c>
      <c r="AB43" s="196">
        <f t="shared" ref="AB43:AB75" si="171">W43*AA43</f>
        <v>383008.23054464778</v>
      </c>
      <c r="AC43">
        <v>18.8</v>
      </c>
      <c r="AD43" s="196">
        <f t="shared" ref="AD43:AD75" si="172">AB43*AC43/100</f>
        <v>72005.547342393795</v>
      </c>
      <c r="AE43" s="196">
        <f t="shared" si="95"/>
        <v>68405.269975274103</v>
      </c>
      <c r="AF43" s="196">
        <f t="shared" ref="AF43:AF63" si="173">AE43*BT43</f>
        <v>68405.269975274103</v>
      </c>
      <c r="AG43" s="606">
        <f t="shared" si="58"/>
        <v>3.1627593788945861E-3</v>
      </c>
      <c r="AH43" s="196">
        <f>AB43*0.05</f>
        <v>19150.411527232391</v>
      </c>
      <c r="AI43" s="248">
        <f t="shared" si="59"/>
        <v>1.4835533653070863E-3</v>
      </c>
      <c r="AJ43" s="196">
        <f t="shared" si="80"/>
        <v>91155.958869626193</v>
      </c>
      <c r="AK43" s="196">
        <f t="shared" si="99"/>
        <v>15320.329221785913</v>
      </c>
      <c r="AL43" s="196">
        <f t="shared" si="100"/>
        <v>15320.329221785913</v>
      </c>
      <c r="AM43" s="196">
        <f t="shared" si="5"/>
        <v>30640.658443571825</v>
      </c>
      <c r="AN43" s="627">
        <f t="shared" si="6"/>
        <v>1.4835533653070863E-3</v>
      </c>
      <c r="AO43" s="196">
        <f t="shared" si="7"/>
        <v>14554.312760696615</v>
      </c>
      <c r="AP43" s="589">
        <f t="shared" si="60"/>
        <v>1.4835533653070861E-3</v>
      </c>
      <c r="AQ43" s="196"/>
      <c r="AR43" s="589"/>
      <c r="AS43">
        <v>1</v>
      </c>
      <c r="AT43" s="589">
        <f t="shared" si="61"/>
        <v>1.2919896640826874E-3</v>
      </c>
      <c r="AU43" s="196">
        <v>11</v>
      </c>
      <c r="AV43" s="245">
        <f t="shared" si="8"/>
        <v>1.2498579706851495E-3</v>
      </c>
      <c r="AX43" s="245"/>
      <c r="AY43" s="245"/>
      <c r="AZ43" s="196">
        <v>25</v>
      </c>
      <c r="BA43" s="589">
        <f t="shared" si="62"/>
        <v>9.1605291121615189E-4</v>
      </c>
      <c r="BI43" s="196">
        <v>0</v>
      </c>
      <c r="BK43" s="246">
        <f t="shared" si="63"/>
        <v>0</v>
      </c>
      <c r="BL43" s="246"/>
      <c r="BM43" s="246">
        <f t="shared" si="64"/>
        <v>0</v>
      </c>
      <c r="BN43" s="196">
        <v>1</v>
      </c>
      <c r="BO43" s="196">
        <f t="shared" ref="BO43:BO63" si="174">AJ43/1390738*493239</f>
        <v>32329.363256699362</v>
      </c>
      <c r="BP43" s="196">
        <f t="shared" si="82"/>
        <v>32329.363256699362</v>
      </c>
      <c r="BQ43" s="248">
        <f t="shared" si="65"/>
        <v>3.0242613829668114E-3</v>
      </c>
      <c r="BR43" s="248"/>
      <c r="BS43" s="248"/>
      <c r="BT43" s="276">
        <v>1</v>
      </c>
      <c r="BU43" s="196">
        <f>AD43*BT43*0.18*4*1.1</f>
        <v>57028.393495175893</v>
      </c>
      <c r="BV43" s="264">
        <f t="shared" si="66"/>
        <v>3.9555973935448139E-3</v>
      </c>
      <c r="BW43" s="196">
        <f>AD43*BT43*0.77*4*1.1</f>
        <v>243954.79439603022</v>
      </c>
      <c r="BX43" s="247">
        <f t="shared" si="67"/>
        <v>3.9555974291769873E-3</v>
      </c>
      <c r="BY43" s="196">
        <f t="shared" si="83"/>
        <v>300983.18789120612</v>
      </c>
      <c r="BZ43" s="620">
        <v>0</v>
      </c>
      <c r="CA43" s="196">
        <f t="shared" si="145"/>
        <v>117200.51854666224</v>
      </c>
      <c r="CB43" s="196">
        <f t="shared" si="146"/>
        <v>234401.03709332447</v>
      </c>
      <c r="CC43" s="196">
        <f t="shared" si="12"/>
        <v>351601.55563998671</v>
      </c>
      <c r="CD43" s="247">
        <f t="shared" si="13"/>
        <v>1.4835533653070863E-3</v>
      </c>
      <c r="CE43" s="196">
        <f t="shared" ref="CE43:CE63" si="175">AH43/292172*609435</f>
        <v>39945.412459437837</v>
      </c>
      <c r="CF43" s="247">
        <f t="shared" si="14"/>
        <v>1.7249671380608865E-3</v>
      </c>
      <c r="CG43" s="196">
        <f t="shared" si="147"/>
        <v>58217.251042786462</v>
      </c>
      <c r="CH43" s="589">
        <f t="shared" si="68"/>
        <v>1.4835533653070861E-3</v>
      </c>
      <c r="CI43" s="196">
        <f t="shared" ref="CI43:CI63" si="176">AD43/1098566*1544344</f>
        <v>101224.08212610056</v>
      </c>
      <c r="CJ43" s="248">
        <f t="shared" si="70"/>
        <v>1.6641236532124013E-3</v>
      </c>
      <c r="CK43" s="196">
        <f t="shared" ref="CK43:CK63" si="177">AD43/1098566*1628780</f>
        <v>106758.44273384043</v>
      </c>
      <c r="CL43" s="589">
        <f t="shared" si="71"/>
        <v>1.5346745735737609E-3</v>
      </c>
      <c r="CM43" s="196">
        <f t="shared" ref="CM43:CM63" si="178">AD43/1098566*157788</f>
        <v>10342.22004327608</v>
      </c>
      <c r="CN43" s="589">
        <f t="shared" si="72"/>
        <v>1.4904314439578399E-3</v>
      </c>
      <c r="CO43" s="196">
        <f t="shared" ref="CO43:CO63" si="179">AD43/1098566*12623</f>
        <v>827.3749816606711</v>
      </c>
      <c r="CP43" s="589">
        <f t="shared" si="73"/>
        <v>1.5603017762041524E-3</v>
      </c>
      <c r="CQ43" s="196">
        <f>'Detailed Budget'!$AC$12</f>
        <v>292876014141.44696</v>
      </c>
      <c r="CR43" s="269">
        <f t="shared" si="143"/>
        <v>0</v>
      </c>
      <c r="CS43" s="269">
        <f>'Detailed Budget'!$AC$16</f>
        <v>10488008800.000002</v>
      </c>
      <c r="CT43" s="607">
        <f t="shared" si="149"/>
        <v>0</v>
      </c>
      <c r="CU43" s="269">
        <f>'Detailed Budget'!$AC$24</f>
        <v>30624985696</v>
      </c>
      <c r="CV43" s="269">
        <f t="shared" si="18"/>
        <v>0</v>
      </c>
      <c r="CW43" s="269"/>
      <c r="CX43" s="269">
        <f t="shared" si="19"/>
        <v>0</v>
      </c>
      <c r="CY43" s="196">
        <f>'Detailed Budget'!$AC$97</f>
        <v>74629165494.837845</v>
      </c>
      <c r="CZ43" s="269">
        <f t="shared" si="150"/>
        <v>225698103.24907735</v>
      </c>
      <c r="DA43" s="269">
        <f>'Detailed Budget'!$AC$100</f>
        <v>14925833098.967569</v>
      </c>
      <c r="DB43" s="269">
        <f t="shared" si="151"/>
        <v>45139620.64981547</v>
      </c>
      <c r="DC43" s="269">
        <f t="shared" si="22"/>
        <v>270837723.89889282</v>
      </c>
      <c r="DD43" s="207">
        <v>0</v>
      </c>
      <c r="DE43" s="606">
        <v>0</v>
      </c>
      <c r="DF43" s="269">
        <f>'Detailed Budget'!$AC$147</f>
        <v>5913600671000</v>
      </c>
      <c r="DG43" s="269">
        <f t="shared" si="23"/>
        <v>0</v>
      </c>
      <c r="DH43" s="269">
        <f>'Detailed Budget'!$AC$153</f>
        <v>226428026880.00003</v>
      </c>
      <c r="DI43" s="269"/>
      <c r="DJ43" s="269">
        <f>'Detailed Budget'!$AC$156</f>
        <v>27713070000</v>
      </c>
      <c r="DK43" s="269"/>
      <c r="DL43" s="269"/>
      <c r="DM43" s="196">
        <f>'Detailed Budget'!$AC$178</f>
        <v>5622683761.6229038</v>
      </c>
      <c r="DN43" s="269">
        <f t="shared" ref="DN43:DN63" si="180">BT43*BV43*DM43</f>
        <v>22241073.232202306</v>
      </c>
      <c r="DO43" s="196">
        <f>'Detailed Budget'!$AC$179</f>
        <v>26827890683.128094</v>
      </c>
      <c r="DP43" s="269">
        <f t="shared" ref="DP43:DP63" si="181">BT43*BX43*DO43</f>
        <v>106120335.41642274</v>
      </c>
      <c r="DQ43" s="269">
        <f t="shared" si="89"/>
        <v>128361408.64862505</v>
      </c>
      <c r="DR43" s="269">
        <f>'Detailed Budget'!$AC$181</f>
        <v>50888946855.375237</v>
      </c>
      <c r="DS43" s="269">
        <f t="shared" ref="DS43:DS63" si="182">BT43*AG43*DR43</f>
        <v>160949493.94890618</v>
      </c>
      <c r="DT43" s="269">
        <f t="shared" ref="DT43:DT63" si="183">DQ43+DS43</f>
        <v>289310902.5975312</v>
      </c>
      <c r="DU43" s="272">
        <f>'Detailed Budget'!$AC$192</f>
        <v>77498869683.252869</v>
      </c>
      <c r="DV43" s="269">
        <f t="shared" si="152"/>
        <v>0</v>
      </c>
      <c r="DW43" s="140">
        <f>'Detailed Budget'!$AC$194</f>
        <v>2684962805.4134097</v>
      </c>
      <c r="DX43" s="269">
        <f t="shared" si="153"/>
        <v>0</v>
      </c>
      <c r="DY43" s="607">
        <f t="shared" si="26"/>
        <v>0</v>
      </c>
      <c r="DZ43" s="196">
        <f>'Detailed Budget'!$AC$198</f>
        <v>18732540018.380611</v>
      </c>
      <c r="EA43" s="269">
        <f t="shared" si="154"/>
        <v>32313015.944117028</v>
      </c>
      <c r="EB43" s="196">
        <f>'Detailed Budget'!$AC$200</f>
        <v>4683135004.5951529</v>
      </c>
      <c r="EC43" s="269">
        <f t="shared" si="155"/>
        <v>8078253.9860292571</v>
      </c>
      <c r="ED43" s="269">
        <f t="shared" si="29"/>
        <v>40391269.930146284</v>
      </c>
      <c r="EE43" s="196">
        <f>'Detailed Budget'!$AC$161</f>
        <v>251147290106.36197</v>
      </c>
      <c r="EF43" s="269">
        <f t="shared" si="156"/>
        <v>372590407.42504835</v>
      </c>
      <c r="EG43" s="196">
        <f>'Detailed Budget'!$AC$163</f>
        <v>15696705631.647623</v>
      </c>
      <c r="EH43" s="269">
        <f t="shared" si="157"/>
        <v>23286900.464065522</v>
      </c>
      <c r="EI43" s="269">
        <f t="shared" si="32"/>
        <v>395877307.8891139</v>
      </c>
      <c r="EJ43" s="196">
        <f>'Detailed Budget'!$AC$204</f>
        <v>45012172507.531975</v>
      </c>
      <c r="EK43" s="269">
        <f t="shared" si="158"/>
        <v>74905820.952260926</v>
      </c>
      <c r="EL43" s="201">
        <f>'Detailed Budget'!$AC$206</f>
        <v>11253043126.882994</v>
      </c>
      <c r="EM43" s="269">
        <f t="shared" si="159"/>
        <v>18726455.238065232</v>
      </c>
      <c r="EN43" s="269">
        <f t="shared" si="35"/>
        <v>93632276.190326154</v>
      </c>
      <c r="EO43" s="140">
        <f>'Detailed Budget'!$AC$209</f>
        <v>135789361677.54817</v>
      </c>
      <c r="EP43" s="269">
        <f t="shared" si="160"/>
        <v>208392480.72834444</v>
      </c>
      <c r="EQ43" s="196">
        <f>'Detailed Budget'!$AC$211</f>
        <v>33947340419.387043</v>
      </c>
      <c r="ER43" s="269">
        <f t="shared" si="161"/>
        <v>52098120.18208611</v>
      </c>
      <c r="ES43" s="269">
        <f t="shared" si="38"/>
        <v>260490600.91043055</v>
      </c>
      <c r="ET43" s="196">
        <f>'Detailed Budget'!$AC$214</f>
        <v>22239745544.201103</v>
      </c>
      <c r="EU43" s="269">
        <f t="shared" si="162"/>
        <v>33146816.064698584</v>
      </c>
      <c r="EV43" s="140">
        <f>'Detailed Budget'!$AC$217</f>
        <v>5559936386.0502758</v>
      </c>
      <c r="EW43" s="269">
        <f t="shared" si="163"/>
        <v>8286704.0161746461</v>
      </c>
      <c r="EX43" s="269">
        <f t="shared" si="41"/>
        <v>41433520.080873229</v>
      </c>
      <c r="EY43" s="196">
        <f>'Detailed Budget'!$AC$219</f>
        <v>372777004.58170313</v>
      </c>
      <c r="EZ43" s="269">
        <f t="shared" si="164"/>
        <v>581644.62237689481</v>
      </c>
      <c r="FA43" s="196">
        <f>'Detailed Budget'!$AC$222</f>
        <v>93194251.145425782</v>
      </c>
      <c r="FB43" s="269">
        <f t="shared" si="165"/>
        <v>145411.1555942237</v>
      </c>
      <c r="FC43" s="269">
        <f t="shared" si="44"/>
        <v>727055.77797111846</v>
      </c>
      <c r="FD43" s="269"/>
      <c r="FE43" s="269">
        <f t="shared" si="45"/>
        <v>396283452.95960104</v>
      </c>
      <c r="FF43" s="140">
        <f>'Detailed Budget'!$AC$165</f>
        <v>14927760000</v>
      </c>
      <c r="FG43" s="1087">
        <f t="shared" si="46"/>
        <v>540556861.36569691</v>
      </c>
      <c r="FH43" s="269">
        <f t="shared" si="166"/>
        <v>18657579.820474949</v>
      </c>
      <c r="FJ43" s="140">
        <f>'Detailed Budget'!$AC$235</f>
        <v>3623696172</v>
      </c>
      <c r="FK43" s="269">
        <f t="shared" si="167"/>
        <v>4681778</v>
      </c>
      <c r="FL43" s="269">
        <f t="shared" si="49"/>
        <v>4681778</v>
      </c>
      <c r="FO43" s="607"/>
      <c r="FP43" s="607"/>
      <c r="FQ43" s="607"/>
      <c r="FR43" s="269">
        <f>'Detailed Budget'!$AC$257</f>
        <v>13636439388</v>
      </c>
      <c r="FS43" s="269">
        <f t="shared" si="168"/>
        <v>12491700</v>
      </c>
      <c r="FT43" s="269">
        <f t="shared" si="51"/>
        <v>12491700</v>
      </c>
      <c r="FU43" s="269"/>
      <c r="FV43" s="269"/>
      <c r="FW43" s="605"/>
      <c r="FX43" s="140">
        <f>'Detailed Budget'!$AC$278</f>
        <v>1114560000</v>
      </c>
      <c r="FY43" s="269">
        <f t="shared" si="169"/>
        <v>1440000</v>
      </c>
      <c r="FZ43" s="269">
        <f t="shared" si="54"/>
        <v>1440000</v>
      </c>
      <c r="GB43" s="269">
        <f t="shared" si="74"/>
        <v>1970528576.461457</v>
      </c>
      <c r="GC43" s="887">
        <f t="shared" si="55"/>
        <v>1231580.3602884107</v>
      </c>
      <c r="GD43" s="1078">
        <f t="shared" si="75"/>
        <v>1.1057256344297489E-3</v>
      </c>
    </row>
    <row r="44" spans="1:186" ht="14.25" hidden="1" customHeight="1" outlineLevel="1">
      <c r="A44" s="211" t="s">
        <v>279</v>
      </c>
      <c r="B44" s="212" t="s">
        <v>280</v>
      </c>
      <c r="C44" s="213" t="s">
        <v>215</v>
      </c>
      <c r="D44" s="214" t="s">
        <v>215</v>
      </c>
      <c r="E44" s="213"/>
      <c r="F44" s="213"/>
      <c r="G44" s="213"/>
      <c r="H44" s="213" t="s">
        <v>215</v>
      </c>
      <c r="I44" s="214" t="s">
        <v>215</v>
      </c>
      <c r="J44" s="214"/>
      <c r="K44" s="213"/>
      <c r="L44" s="213"/>
      <c r="M44" s="214" t="s">
        <v>215</v>
      </c>
      <c r="N44" s="213"/>
      <c r="O44" s="214"/>
      <c r="P44" s="213"/>
      <c r="Q44" s="214"/>
      <c r="R44" s="214" t="s">
        <v>215</v>
      </c>
      <c r="S44" s="214"/>
      <c r="T44" s="214"/>
      <c r="U44" s="215">
        <f t="shared" si="170"/>
        <v>6</v>
      </c>
      <c r="V44" s="845" t="s">
        <v>219</v>
      </c>
      <c r="W44" s="216">
        <v>122432</v>
      </c>
      <c r="X44" s="217">
        <v>3.03</v>
      </c>
      <c r="Y44" s="218">
        <f t="shared" si="57"/>
        <v>1.0303</v>
      </c>
      <c r="Z44" s="196">
        <v>19</v>
      </c>
      <c r="AA44" s="218">
        <f t="shared" ref="AA44:AA110" si="184">POWER(Y44,Z44)</f>
        <v>1.7632354008841205</v>
      </c>
      <c r="AB44" s="196">
        <f t="shared" si="171"/>
        <v>215876.43660104464</v>
      </c>
      <c r="AC44">
        <v>18.8</v>
      </c>
      <c r="AD44" s="196">
        <f t="shared" si="172"/>
        <v>40584.770080996394</v>
      </c>
      <c r="AE44" s="196">
        <f t="shared" si="95"/>
        <v>38555.531576946574</v>
      </c>
      <c r="AF44" s="196">
        <f t="shared" si="173"/>
        <v>38555.531576946574</v>
      </c>
      <c r="AG44" s="606">
        <f t="shared" si="58"/>
        <v>1.7826385181628768E-3</v>
      </c>
      <c r="AH44" s="196">
        <f t="shared" ref="AH44:AH63" si="185">AB44*0.05</f>
        <v>10793.821830052233</v>
      </c>
      <c r="AI44" s="248">
        <f t="shared" si="59"/>
        <v>8.3618102293665461E-4</v>
      </c>
      <c r="AJ44" s="196">
        <f t="shared" si="80"/>
        <v>51378.591911048628</v>
      </c>
      <c r="AK44" s="196">
        <f t="shared" si="99"/>
        <v>8635.0574640417854</v>
      </c>
      <c r="AL44" s="196">
        <f t="shared" si="100"/>
        <v>8635.0574640417854</v>
      </c>
      <c r="AM44" s="196">
        <f t="shared" si="5"/>
        <v>17270.114928083571</v>
      </c>
      <c r="AN44" s="627">
        <f t="shared" si="6"/>
        <v>8.361810229366545E-4</v>
      </c>
      <c r="AO44" s="196">
        <f t="shared" si="7"/>
        <v>8203.3045908396962</v>
      </c>
      <c r="AP44" s="589">
        <f t="shared" si="60"/>
        <v>8.361810229366545E-4</v>
      </c>
      <c r="AQ44" s="196"/>
      <c r="AR44" s="589"/>
      <c r="AS44">
        <v>1</v>
      </c>
      <c r="AT44" s="589">
        <f t="shared" si="61"/>
        <v>1.2919896640826874E-3</v>
      </c>
      <c r="AU44" s="196">
        <v>14</v>
      </c>
      <c r="AV44" s="245">
        <f t="shared" si="8"/>
        <v>1.5907283263265539E-3</v>
      </c>
      <c r="AX44" s="245"/>
      <c r="AY44" s="245"/>
      <c r="AZ44" s="196">
        <v>29</v>
      </c>
      <c r="BA44" s="589">
        <f t="shared" si="62"/>
        <v>1.0626213770107361E-3</v>
      </c>
      <c r="BI44" s="196">
        <v>0</v>
      </c>
      <c r="BK44" s="246">
        <f t="shared" si="63"/>
        <v>0</v>
      </c>
      <c r="BL44" s="246"/>
      <c r="BM44" s="246">
        <f t="shared" si="64"/>
        <v>0</v>
      </c>
      <c r="BN44" s="196">
        <v>1</v>
      </c>
      <c r="BO44" s="196">
        <f t="shared" si="174"/>
        <v>18221.926269084266</v>
      </c>
      <c r="BP44" s="196">
        <f t="shared" si="82"/>
        <v>18221.926269084266</v>
      </c>
      <c r="BQ44" s="248">
        <f t="shared" si="65"/>
        <v>1.7045763475542772E-3</v>
      </c>
      <c r="BR44" s="248"/>
      <c r="BS44" s="248"/>
      <c r="BT44" s="276">
        <v>1</v>
      </c>
      <c r="BU44" s="196">
        <f t="shared" ref="BU44:BU63" si="186">AD44*BT44*0.18*4*1.1</f>
        <v>32143.137904149145</v>
      </c>
      <c r="BV44" s="264">
        <f t="shared" si="66"/>
        <v>2.2295089291750653E-3</v>
      </c>
      <c r="BW44" s="196">
        <f t="shared" ref="BW44:BW63" si="187">AD44*BT44*0.77*4*1.1</f>
        <v>137501.2010344158</v>
      </c>
      <c r="BX44" s="247">
        <f t="shared" si="67"/>
        <v>2.2295089492585674E-3</v>
      </c>
      <c r="BY44" s="196">
        <f t="shared" si="83"/>
        <v>169644.33893856494</v>
      </c>
      <c r="BZ44" s="620">
        <v>0</v>
      </c>
      <c r="CA44" s="196">
        <f t="shared" si="145"/>
        <v>66058.189599919657</v>
      </c>
      <c r="CB44" s="196">
        <f t="shared" si="146"/>
        <v>132116.37919983931</v>
      </c>
      <c r="CC44" s="196">
        <f t="shared" si="12"/>
        <v>198174.56879975897</v>
      </c>
      <c r="CD44" s="247">
        <f t="shared" si="13"/>
        <v>8.361810229366545E-4</v>
      </c>
      <c r="CE44" s="196">
        <f t="shared" si="175"/>
        <v>22514.590059957431</v>
      </c>
      <c r="CF44" s="247">
        <f t="shared" si="14"/>
        <v>9.7225001794074386E-4</v>
      </c>
      <c r="CG44" s="196">
        <f t="shared" si="147"/>
        <v>32813.218363358785</v>
      </c>
      <c r="CH44" s="589">
        <f t="shared" si="68"/>
        <v>8.361810229366545E-4</v>
      </c>
      <c r="CI44" s="196">
        <f t="shared" si="176"/>
        <v>57053.327852824768</v>
      </c>
      <c r="CJ44" s="248">
        <f t="shared" si="70"/>
        <v>9.379565650799455E-4</v>
      </c>
      <c r="CK44" s="196">
        <f t="shared" si="177"/>
        <v>60172.681306835737</v>
      </c>
      <c r="CL44" s="589">
        <f t="shared" si="71"/>
        <v>8.6499467077825922E-4</v>
      </c>
      <c r="CM44" s="196">
        <f t="shared" si="178"/>
        <v>5829.2261926368183</v>
      </c>
      <c r="CN44" s="589">
        <f t="shared" si="72"/>
        <v>8.4005774148047019E-4</v>
      </c>
      <c r="CO44" s="196">
        <f t="shared" si="179"/>
        <v>466.33661767469363</v>
      </c>
      <c r="CP44" s="589">
        <f t="shared" si="73"/>
        <v>8.7943903187210498E-4</v>
      </c>
      <c r="CQ44" s="196">
        <f>'Detailed Budget'!$AC$12</f>
        <v>292876014141.44696</v>
      </c>
      <c r="CR44" s="269">
        <f t="shared" si="143"/>
        <v>0</v>
      </c>
      <c r="CS44" s="269">
        <f>'Detailed Budget'!$AC$16</f>
        <v>10488008800.000002</v>
      </c>
      <c r="CT44" s="607">
        <f t="shared" si="149"/>
        <v>0</v>
      </c>
      <c r="CU44" s="269">
        <f>'Detailed Budget'!$AC$24</f>
        <v>30624985696</v>
      </c>
      <c r="CV44" s="269">
        <f t="shared" si="18"/>
        <v>0</v>
      </c>
      <c r="CW44" s="269"/>
      <c r="CX44" s="269">
        <f t="shared" si="19"/>
        <v>0</v>
      </c>
      <c r="CY44" s="196">
        <f>'Detailed Budget'!$AC$97</f>
        <v>74629165494.837845</v>
      </c>
      <c r="CZ44" s="269">
        <f t="shared" si="150"/>
        <v>127211110.34021439</v>
      </c>
      <c r="DA44" s="269">
        <f>'Detailed Budget'!$AC$100</f>
        <v>14925833098.967569</v>
      </c>
      <c r="DB44" s="269">
        <f t="shared" si="151"/>
        <v>25442222.068042878</v>
      </c>
      <c r="DC44" s="269">
        <f t="shared" si="22"/>
        <v>152653332.40825728</v>
      </c>
      <c r="DD44" s="207">
        <v>0</v>
      </c>
      <c r="DE44" s="606">
        <v>0</v>
      </c>
      <c r="DF44" s="269">
        <f>'Detailed Budget'!$AC$147</f>
        <v>5913600671000</v>
      </c>
      <c r="DG44" s="269">
        <f t="shared" si="23"/>
        <v>0</v>
      </c>
      <c r="DH44" s="269">
        <f>'Detailed Budget'!$AC$153</f>
        <v>226428026880.00003</v>
      </c>
      <c r="DI44" s="269"/>
      <c r="DJ44" s="269">
        <f>'Detailed Budget'!$AC$156</f>
        <v>27713070000</v>
      </c>
      <c r="DK44" s="269"/>
      <c r="DL44" s="269"/>
      <c r="DM44" s="196">
        <f>'Detailed Budget'!$AC$178</f>
        <v>5622683761.6229038</v>
      </c>
      <c r="DN44" s="269">
        <f t="shared" si="180"/>
        <v>12535823.652465908</v>
      </c>
      <c r="DO44" s="196">
        <f>'Detailed Budget'!$AC$179</f>
        <v>26827890683.128094</v>
      </c>
      <c r="DP44" s="269">
        <f t="shared" si="181"/>
        <v>59813022.367764629</v>
      </c>
      <c r="DQ44" s="269">
        <f t="shared" si="89"/>
        <v>72348846.020230532</v>
      </c>
      <c r="DR44" s="269">
        <f>'Detailed Budget'!$AC$181</f>
        <v>50888946855.375237</v>
      </c>
      <c r="DS44" s="269">
        <f t="shared" si="182"/>
        <v>90716596.813135505</v>
      </c>
      <c r="DT44" s="269">
        <f t="shared" si="183"/>
        <v>163065442.83336604</v>
      </c>
      <c r="DU44" s="272">
        <f>'Detailed Budget'!$AC$192</f>
        <v>77498869683.252869</v>
      </c>
      <c r="DV44" s="269">
        <f t="shared" si="152"/>
        <v>0</v>
      </c>
      <c r="DW44" s="140">
        <f>'Detailed Budget'!$AC$194</f>
        <v>2684962805.4134097</v>
      </c>
      <c r="DX44" s="269">
        <f t="shared" si="153"/>
        <v>0</v>
      </c>
      <c r="DY44" s="607">
        <f t="shared" si="26"/>
        <v>0</v>
      </c>
      <c r="DZ44" s="196">
        <f>'Detailed Budget'!$AC$198</f>
        <v>18732540018.380611</v>
      </c>
      <c r="EA44" s="269">
        <f t="shared" si="154"/>
        <v>18212712.368946251</v>
      </c>
      <c r="EB44" s="196">
        <f>'Detailed Budget'!$AC$200</f>
        <v>4683135004.5951529</v>
      </c>
      <c r="EC44" s="269">
        <f t="shared" si="155"/>
        <v>4553178.0922365626</v>
      </c>
      <c r="ED44" s="269">
        <f t="shared" si="29"/>
        <v>22765890.461182814</v>
      </c>
      <c r="EE44" s="196">
        <f>'Detailed Budget'!$AC$161</f>
        <v>251147290106.36197</v>
      </c>
      <c r="EF44" s="269">
        <f t="shared" si="156"/>
        <v>210004597.94890648</v>
      </c>
      <c r="EG44" s="196">
        <f>'Detailed Budget'!$AC$163</f>
        <v>15696705631.647623</v>
      </c>
      <c r="EH44" s="269">
        <f t="shared" si="157"/>
        <v>13125287.371806655</v>
      </c>
      <c r="EI44" s="269">
        <f t="shared" si="32"/>
        <v>223129885.32071313</v>
      </c>
      <c r="EJ44" s="196">
        <f>'Detailed Budget'!$AC$204</f>
        <v>45012172507.531975</v>
      </c>
      <c r="EK44" s="269">
        <f t="shared" si="158"/>
        <v>42219462.711950645</v>
      </c>
      <c r="EL44" s="201">
        <f>'Detailed Budget'!$AC$206</f>
        <v>11253043126.882994</v>
      </c>
      <c r="EM44" s="269">
        <f t="shared" si="159"/>
        <v>10554865.677987661</v>
      </c>
      <c r="EN44" s="269">
        <f t="shared" si="35"/>
        <v>52774328.38993831</v>
      </c>
      <c r="EO44" s="140">
        <f>'Detailed Budget'!$AC$209</f>
        <v>135789361677.54817</v>
      </c>
      <c r="EP44" s="269">
        <f t="shared" si="160"/>
        <v>117457074.19946074</v>
      </c>
      <c r="EQ44" s="196">
        <f>'Detailed Budget'!$AC$211</f>
        <v>33947340419.387043</v>
      </c>
      <c r="ER44" s="269">
        <f t="shared" si="161"/>
        <v>29364268.549865186</v>
      </c>
      <c r="ES44" s="269">
        <f t="shared" si="38"/>
        <v>146821342.74932593</v>
      </c>
      <c r="ET44" s="196">
        <f>'Detailed Budget'!$AC$214</f>
        <v>22239745544.201103</v>
      </c>
      <c r="EU44" s="269">
        <f t="shared" si="162"/>
        <v>18682670.41296193</v>
      </c>
      <c r="EV44" s="140">
        <f>'Detailed Budget'!$AC$217</f>
        <v>5559936386.0502758</v>
      </c>
      <c r="EW44" s="269">
        <f t="shared" si="163"/>
        <v>4670667.6032404825</v>
      </c>
      <c r="EX44" s="269">
        <f t="shared" si="41"/>
        <v>23353338.016202413</v>
      </c>
      <c r="EY44" s="196">
        <f>'Detailed Budget'!$AC$219</f>
        <v>372777004.58170313</v>
      </c>
      <c r="EZ44" s="269">
        <f t="shared" si="164"/>
        <v>327834.64801351621</v>
      </c>
      <c r="FA44" s="196">
        <f>'Detailed Budget'!$AC$222</f>
        <v>93194251.145425782</v>
      </c>
      <c r="FB44" s="269">
        <f t="shared" si="165"/>
        <v>81958.662003379053</v>
      </c>
      <c r="FC44" s="269">
        <f t="shared" si="44"/>
        <v>409793.3100168953</v>
      </c>
      <c r="FD44" s="269"/>
      <c r="FE44" s="269">
        <f t="shared" si="45"/>
        <v>223358802.46548355</v>
      </c>
      <c r="FF44" s="140">
        <f>'Detailed Budget'!$AC$165</f>
        <v>14927760000</v>
      </c>
      <c r="FG44" s="1087">
        <f t="shared" si="46"/>
        <v>304676191.54275179</v>
      </c>
      <c r="FH44" s="269">
        <f t="shared" si="166"/>
        <v>23746010.68060448</v>
      </c>
      <c r="FJ44" s="140">
        <f>'Detailed Budget'!$AC$235</f>
        <v>3623696172</v>
      </c>
      <c r="FK44" s="269">
        <f t="shared" si="167"/>
        <v>4681778</v>
      </c>
      <c r="FL44" s="269">
        <f t="shared" si="49"/>
        <v>4681778</v>
      </c>
      <c r="FO44" s="607"/>
      <c r="FP44" s="607"/>
      <c r="FQ44" s="607"/>
      <c r="FR44" s="269">
        <f>'Detailed Budget'!$AC$257</f>
        <v>13636439388</v>
      </c>
      <c r="FS44" s="269">
        <f t="shared" si="168"/>
        <v>14490372</v>
      </c>
      <c r="FT44" s="269">
        <f t="shared" si="51"/>
        <v>14490372</v>
      </c>
      <c r="FU44" s="269"/>
      <c r="FV44" s="269"/>
      <c r="FW44" s="605"/>
      <c r="FX44" s="140">
        <f>'Detailed Budget'!$AC$278</f>
        <v>1114560000</v>
      </c>
      <c r="FY44" s="269">
        <f t="shared" si="169"/>
        <v>1440000</v>
      </c>
      <c r="FZ44" s="269">
        <f t="shared" si="54"/>
        <v>1440000</v>
      </c>
      <c r="GB44" s="269">
        <f t="shared" si="74"/>
        <v>1134007705.712359</v>
      </c>
      <c r="GC44" s="887">
        <f t="shared" si="55"/>
        <v>708754.81607022439</v>
      </c>
      <c r="GD44" s="1078">
        <f t="shared" si="75"/>
        <v>6.3632743256060475E-4</v>
      </c>
    </row>
    <row r="45" spans="1:186" ht="14.25" hidden="1" customHeight="1" outlineLevel="1">
      <c r="A45" s="211" t="s">
        <v>281</v>
      </c>
      <c r="B45" s="212" t="s">
        <v>282</v>
      </c>
      <c r="C45" s="213" t="s">
        <v>215</v>
      </c>
      <c r="D45" s="214"/>
      <c r="E45" s="213"/>
      <c r="F45" s="213"/>
      <c r="G45" s="213" t="s">
        <v>215</v>
      </c>
      <c r="H45" s="213" t="s">
        <v>215</v>
      </c>
      <c r="I45" s="214" t="s">
        <v>215</v>
      </c>
      <c r="J45" s="214"/>
      <c r="K45" s="213"/>
      <c r="L45" s="213"/>
      <c r="M45" s="214" t="s">
        <v>215</v>
      </c>
      <c r="N45" s="213"/>
      <c r="O45" s="214"/>
      <c r="P45" s="213"/>
      <c r="Q45" s="214"/>
      <c r="R45" s="214" t="s">
        <v>215</v>
      </c>
      <c r="S45" s="214"/>
      <c r="T45" s="214"/>
      <c r="U45" s="215">
        <f t="shared" si="170"/>
        <v>6</v>
      </c>
      <c r="V45" s="845" t="s">
        <v>216</v>
      </c>
      <c r="W45" s="216">
        <v>266176</v>
      </c>
      <c r="X45" s="217">
        <v>3.03</v>
      </c>
      <c r="Y45" s="218">
        <f t="shared" si="57"/>
        <v>1.0303</v>
      </c>
      <c r="Z45" s="196">
        <v>19</v>
      </c>
      <c r="AA45" s="218">
        <f t="shared" si="184"/>
        <v>1.7632354008841205</v>
      </c>
      <c r="AB45" s="196">
        <f t="shared" si="171"/>
        <v>469330.94606573164</v>
      </c>
      <c r="AC45">
        <v>18.8</v>
      </c>
      <c r="AD45" s="196">
        <f t="shared" si="172"/>
        <v>88234.217860357559</v>
      </c>
      <c r="AE45" s="196">
        <f t="shared" si="95"/>
        <v>83822.506967339679</v>
      </c>
      <c r="AF45" s="196">
        <f t="shared" si="173"/>
        <v>0</v>
      </c>
      <c r="AG45" s="606">
        <f t="shared" si="58"/>
        <v>3.8755847344691084E-3</v>
      </c>
      <c r="AH45" s="196">
        <f t="shared" si="185"/>
        <v>23466.547303286585</v>
      </c>
      <c r="AI45" s="248">
        <f t="shared" si="59"/>
        <v>1.8179178642935424E-3</v>
      </c>
      <c r="AJ45" s="196">
        <f t="shared" si="80"/>
        <v>111700.76516364414</v>
      </c>
      <c r="AK45" s="196">
        <f t="shared" si="99"/>
        <v>18773.237842629267</v>
      </c>
      <c r="AL45" s="196">
        <f t="shared" si="100"/>
        <v>18773.237842629267</v>
      </c>
      <c r="AM45" s="196">
        <f t="shared" si="5"/>
        <v>37546.475685258534</v>
      </c>
      <c r="AN45" s="627">
        <f t="shared" si="6"/>
        <v>1.8179178642935424E-3</v>
      </c>
      <c r="AO45" s="196">
        <f t="shared" si="7"/>
        <v>17834.575950497801</v>
      </c>
      <c r="AP45" s="589">
        <f t="shared" si="60"/>
        <v>1.8179178642935422E-3</v>
      </c>
      <c r="AQ45" s="196"/>
      <c r="AR45" s="589"/>
      <c r="AS45">
        <v>1</v>
      </c>
      <c r="AT45" s="589">
        <f t="shared" si="61"/>
        <v>1.2919896640826874E-3</v>
      </c>
      <c r="AU45" s="196">
        <v>13</v>
      </c>
      <c r="AV45" s="245">
        <f t="shared" si="8"/>
        <v>1.4771048744460858E-3</v>
      </c>
      <c r="AX45" s="245"/>
      <c r="AY45" s="245"/>
      <c r="AZ45" s="196">
        <v>76</v>
      </c>
      <c r="BA45" s="589">
        <f t="shared" si="62"/>
        <v>2.7848008500971017E-3</v>
      </c>
      <c r="BI45" s="196">
        <v>0</v>
      </c>
      <c r="BK45" s="246">
        <f t="shared" si="63"/>
        <v>0</v>
      </c>
      <c r="BL45" s="246"/>
      <c r="BM45" s="246">
        <f t="shared" si="64"/>
        <v>0</v>
      </c>
      <c r="BN45" s="196">
        <v>1</v>
      </c>
      <c r="BO45" s="196">
        <f t="shared" si="174"/>
        <v>39615.782202363545</v>
      </c>
      <c r="BP45" s="196">
        <f t="shared" si="82"/>
        <v>39615.782202363545</v>
      </c>
      <c r="BQ45" s="248">
        <f t="shared" si="65"/>
        <v>3.705871944316905E-3</v>
      </c>
      <c r="BR45" s="248"/>
      <c r="BS45" s="248"/>
      <c r="BT45" s="276">
        <v>0</v>
      </c>
      <c r="BU45" s="196">
        <f t="shared" si="186"/>
        <v>0</v>
      </c>
      <c r="BV45" s="264">
        <f t="shared" si="66"/>
        <v>0</v>
      </c>
      <c r="BW45" s="196">
        <f t="shared" si="187"/>
        <v>0</v>
      </c>
      <c r="BX45" s="247">
        <f t="shared" si="67"/>
        <v>0</v>
      </c>
      <c r="BY45" s="196">
        <f t="shared" si="83"/>
        <v>0</v>
      </c>
      <c r="BZ45" s="620">
        <v>1</v>
      </c>
      <c r="CA45" s="196">
        <f t="shared" si="145"/>
        <v>143615.26949611391</v>
      </c>
      <c r="CB45" s="196">
        <f t="shared" si="146"/>
        <v>287230.53899222781</v>
      </c>
      <c r="CC45" s="196">
        <f t="shared" si="12"/>
        <v>430845.80848834175</v>
      </c>
      <c r="CD45" s="247">
        <f t="shared" si="13"/>
        <v>1.8179178642935426E-3</v>
      </c>
      <c r="CE45" s="196">
        <f t="shared" si="175"/>
        <v>48948.342947915815</v>
      </c>
      <c r="CF45" s="247">
        <f t="shared" si="14"/>
        <v>2.1137416751780208E-3</v>
      </c>
      <c r="CG45" s="196">
        <f t="shared" si="147"/>
        <v>71338.303801991206</v>
      </c>
      <c r="CH45" s="589">
        <f t="shared" si="68"/>
        <v>1.8179178642935422E-3</v>
      </c>
      <c r="CI45" s="196">
        <f t="shared" si="176"/>
        <v>124038.05046518466</v>
      </c>
      <c r="CJ45" s="248">
        <f t="shared" si="70"/>
        <v>2.0391852347974356E-3</v>
      </c>
      <c r="CK45" s="196">
        <f t="shared" si="177"/>
        <v>130819.74989813374</v>
      </c>
      <c r="CL45" s="589">
        <f t="shared" si="71"/>
        <v>1.8805608132602093E-3</v>
      </c>
      <c r="CM45" s="196">
        <f t="shared" si="178"/>
        <v>12673.158251529812</v>
      </c>
      <c r="CN45" s="589">
        <f t="shared" si="72"/>
        <v>1.8263461300665322E-3</v>
      </c>
      <c r="CO45" s="196">
        <f t="shared" si="179"/>
        <v>1013.8494474171725</v>
      </c>
      <c r="CP45" s="589">
        <f t="shared" si="73"/>
        <v>1.9119638962655961E-3</v>
      </c>
      <c r="CQ45" s="196">
        <f>'Detailed Budget'!$AC$12</f>
        <v>292876014141.44696</v>
      </c>
      <c r="CR45" s="269">
        <f t="shared" si="143"/>
        <v>0</v>
      </c>
      <c r="CS45" s="269">
        <f>'Detailed Budget'!$AC$16</f>
        <v>10488008800.000002</v>
      </c>
      <c r="CT45" s="607">
        <f t="shared" si="149"/>
        <v>0</v>
      </c>
      <c r="CU45" s="269">
        <f>'Detailed Budget'!$AC$24</f>
        <v>30624985696</v>
      </c>
      <c r="CV45" s="269">
        <f t="shared" si="18"/>
        <v>0</v>
      </c>
      <c r="CW45" s="269"/>
      <c r="CX45" s="269">
        <f t="shared" si="19"/>
        <v>0</v>
      </c>
      <c r="CY45" s="196">
        <f>'Detailed Budget'!$AC$97</f>
        <v>74629165494.837845</v>
      </c>
      <c r="CZ45" s="269">
        <f t="shared" si="150"/>
        <v>276566130.63510281</v>
      </c>
      <c r="DA45" s="269">
        <f>'Detailed Budget'!$AC$100</f>
        <v>14925833098.967569</v>
      </c>
      <c r="DB45" s="269">
        <f t="shared" si="151"/>
        <v>55313226.12702056</v>
      </c>
      <c r="DC45" s="269">
        <f t="shared" si="22"/>
        <v>331879356.76212335</v>
      </c>
      <c r="DD45" s="207">
        <v>0</v>
      </c>
      <c r="DE45" s="606">
        <v>0</v>
      </c>
      <c r="DF45" s="269">
        <f>'Detailed Budget'!$AC$147</f>
        <v>5913600671000</v>
      </c>
      <c r="DG45" s="269">
        <f t="shared" si="23"/>
        <v>0</v>
      </c>
      <c r="DH45" s="269">
        <f>'Detailed Budget'!$AC$153</f>
        <v>226428026880.00003</v>
      </c>
      <c r="DI45" s="269"/>
      <c r="DJ45" s="269">
        <f>'Detailed Budget'!$AC$156</f>
        <v>27713070000</v>
      </c>
      <c r="DK45" s="269"/>
      <c r="DL45" s="269"/>
      <c r="DM45" s="196">
        <f>'Detailed Budget'!$AC$178</f>
        <v>5622683761.6229038</v>
      </c>
      <c r="DN45" s="269">
        <f t="shared" si="180"/>
        <v>0</v>
      </c>
      <c r="DO45" s="196">
        <f>'Detailed Budget'!$AC$179</f>
        <v>26827890683.128094</v>
      </c>
      <c r="DP45" s="269">
        <f t="shared" si="181"/>
        <v>0</v>
      </c>
      <c r="DQ45" s="269">
        <f t="shared" si="89"/>
        <v>0</v>
      </c>
      <c r="DR45" s="269">
        <f>'Detailed Budget'!$AC$181</f>
        <v>50888946855.375237</v>
      </c>
      <c r="DS45" s="269">
        <f t="shared" si="182"/>
        <v>0</v>
      </c>
      <c r="DT45" s="269">
        <f t="shared" si="183"/>
        <v>0</v>
      </c>
      <c r="DU45" s="272">
        <f>'Detailed Budget'!$AC$192</f>
        <v>77498869683.252869</v>
      </c>
      <c r="DV45" s="269">
        <f t="shared" si="152"/>
        <v>140886579.65974262</v>
      </c>
      <c r="DW45" s="140">
        <f>'Detailed Budget'!$AC$194</f>
        <v>2684962805.4134097</v>
      </c>
      <c r="DX45" s="269">
        <f t="shared" si="153"/>
        <v>4881041.8489247439</v>
      </c>
      <c r="DY45" s="607">
        <f t="shared" si="26"/>
        <v>145767621.50866738</v>
      </c>
      <c r="DZ45" s="196">
        <f>'Detailed Budget'!$AC$198</f>
        <v>18732540018.380611</v>
      </c>
      <c r="EA45" s="269">
        <f t="shared" si="154"/>
        <v>39595750.518791147</v>
      </c>
      <c r="EB45" s="196">
        <f>'Detailed Budget'!$AC$200</f>
        <v>4683135004.5951529</v>
      </c>
      <c r="EC45" s="269">
        <f t="shared" si="155"/>
        <v>9898937.6296977866</v>
      </c>
      <c r="ED45" s="269">
        <f t="shared" si="29"/>
        <v>49494688.148488931</v>
      </c>
      <c r="EE45" s="196">
        <f>'Detailed Budget'!$AC$161</f>
        <v>251147290106.36197</v>
      </c>
      <c r="EF45" s="269">
        <f t="shared" si="156"/>
        <v>456565145.25326818</v>
      </c>
      <c r="EG45" s="196">
        <f>'Detailed Budget'!$AC$163</f>
        <v>15696705631.647623</v>
      </c>
      <c r="EH45" s="269">
        <f t="shared" si="157"/>
        <v>28535321.578329261</v>
      </c>
      <c r="EI45" s="269">
        <f t="shared" si="32"/>
        <v>485100466.83159745</v>
      </c>
      <c r="EJ45" s="196">
        <f>'Detailed Budget'!$AC$204</f>
        <v>45012172507.531975</v>
      </c>
      <c r="EK45" s="269">
        <f t="shared" si="158"/>
        <v>91788157.563514262</v>
      </c>
      <c r="EL45" s="201">
        <f>'Detailed Budget'!$AC$206</f>
        <v>11253043126.882994</v>
      </c>
      <c r="EM45" s="269">
        <f t="shared" si="159"/>
        <v>22947039.390878566</v>
      </c>
      <c r="EN45" s="269">
        <f t="shared" si="35"/>
        <v>114735196.95439282</v>
      </c>
      <c r="EO45" s="140">
        <f>'Detailed Budget'!$AC$209</f>
        <v>135789361677.54817</v>
      </c>
      <c r="EP45" s="269">
        <f t="shared" si="160"/>
        <v>255360152.42841467</v>
      </c>
      <c r="EQ45" s="196">
        <f>'Detailed Budget'!$AC$211</f>
        <v>33947340419.387043</v>
      </c>
      <c r="ER45" s="269">
        <f t="shared" si="161"/>
        <v>63840038.107103668</v>
      </c>
      <c r="ES45" s="269">
        <f t="shared" si="38"/>
        <v>319200190.53551835</v>
      </c>
      <c r="ET45" s="196">
        <f>'Detailed Budget'!$AC$214</f>
        <v>22239745544.201103</v>
      </c>
      <c r="EU45" s="269">
        <f t="shared" si="162"/>
        <v>40617473.208316088</v>
      </c>
      <c r="EV45" s="140">
        <f>'Detailed Budget'!$AC$217</f>
        <v>5559936386.0502758</v>
      </c>
      <c r="EW45" s="269">
        <f t="shared" si="163"/>
        <v>10154368.302079022</v>
      </c>
      <c r="EX45" s="269">
        <f t="shared" si="41"/>
        <v>50771841.51039511</v>
      </c>
      <c r="EY45" s="196">
        <f>'Detailed Budget'!$AC$219</f>
        <v>372777004.58170313</v>
      </c>
      <c r="EZ45" s="269">
        <f t="shared" si="164"/>
        <v>712736.17411825107</v>
      </c>
      <c r="FA45" s="196">
        <f>'Detailed Budget'!$AC$222</f>
        <v>93194251.145425782</v>
      </c>
      <c r="FB45" s="269">
        <f t="shared" si="165"/>
        <v>178184.04352956277</v>
      </c>
      <c r="FC45" s="269">
        <f t="shared" si="44"/>
        <v>890920.21764781384</v>
      </c>
      <c r="FD45" s="269"/>
      <c r="FE45" s="269">
        <f t="shared" si="45"/>
        <v>485598149.2179541</v>
      </c>
      <c r="FF45" s="140">
        <f>'Detailed Budget'!$AC$165</f>
        <v>14927760000</v>
      </c>
      <c r="FG45" s="1087">
        <f t="shared" si="46"/>
        <v>662388019.14600348</v>
      </c>
      <c r="FH45" s="269">
        <f t="shared" si="166"/>
        <v>22049867.060561303</v>
      </c>
      <c r="FJ45" s="140">
        <f>'Detailed Budget'!$AC$235</f>
        <v>3623696172</v>
      </c>
      <c r="FK45" s="269">
        <f t="shared" si="167"/>
        <v>4681778</v>
      </c>
      <c r="FL45" s="269">
        <f t="shared" si="49"/>
        <v>4681778</v>
      </c>
      <c r="FO45" s="607"/>
      <c r="FP45" s="607"/>
      <c r="FQ45" s="607"/>
      <c r="FR45" s="269">
        <f>'Detailed Budget'!$AC$257</f>
        <v>13636439388</v>
      </c>
      <c r="FS45" s="269">
        <f t="shared" si="168"/>
        <v>37974768</v>
      </c>
      <c r="FT45" s="269">
        <f t="shared" si="51"/>
        <v>37974768</v>
      </c>
      <c r="FU45" s="269"/>
      <c r="FV45" s="269"/>
      <c r="FW45" s="605"/>
      <c r="FX45" s="140">
        <f>'Detailed Budget'!$AC$278</f>
        <v>1114560000</v>
      </c>
      <c r="FY45" s="269">
        <f t="shared" si="169"/>
        <v>1440000</v>
      </c>
      <c r="FZ45" s="269">
        <f t="shared" si="54"/>
        <v>1440000</v>
      </c>
      <c r="GB45" s="269">
        <f t="shared" si="74"/>
        <v>2226374714.675396</v>
      </c>
      <c r="GC45" s="887">
        <f t="shared" si="55"/>
        <v>1391484.1966721225</v>
      </c>
      <c r="GD45" s="1078">
        <f t="shared" si="75"/>
        <v>1.2492889589469777E-3</v>
      </c>
    </row>
    <row r="46" spans="1:186" ht="14.25" hidden="1" customHeight="1" outlineLevel="1">
      <c r="A46" s="211" t="s">
        <v>283</v>
      </c>
      <c r="B46" s="212" t="s">
        <v>284</v>
      </c>
      <c r="C46" s="213" t="s">
        <v>215</v>
      </c>
      <c r="D46" s="214" t="s">
        <v>215</v>
      </c>
      <c r="E46" s="213"/>
      <c r="F46" s="213"/>
      <c r="G46" s="213"/>
      <c r="H46" s="213" t="s">
        <v>215</v>
      </c>
      <c r="I46" s="214" t="s">
        <v>215</v>
      </c>
      <c r="J46" s="214"/>
      <c r="K46" s="213"/>
      <c r="L46" s="213"/>
      <c r="M46" s="214" t="s">
        <v>215</v>
      </c>
      <c r="N46" s="213"/>
      <c r="O46" s="214"/>
      <c r="P46" s="213"/>
      <c r="Q46" s="214"/>
      <c r="R46" s="214" t="s">
        <v>215</v>
      </c>
      <c r="S46" s="214"/>
      <c r="T46" s="214"/>
      <c r="U46" s="215">
        <f t="shared" si="170"/>
        <v>6</v>
      </c>
      <c r="V46" s="845" t="s">
        <v>219</v>
      </c>
      <c r="W46" s="216">
        <v>139687</v>
      </c>
      <c r="X46" s="217">
        <v>3.03</v>
      </c>
      <c r="Y46" s="218">
        <f t="shared" si="57"/>
        <v>1.0303</v>
      </c>
      <c r="Z46" s="196">
        <v>19</v>
      </c>
      <c r="AA46" s="218">
        <f t="shared" si="184"/>
        <v>1.7632354008841205</v>
      </c>
      <c r="AB46" s="196">
        <f t="shared" si="171"/>
        <v>246301.06344330014</v>
      </c>
      <c r="AC46">
        <v>18.8</v>
      </c>
      <c r="AD46" s="196">
        <f t="shared" si="172"/>
        <v>46304.59992734043</v>
      </c>
      <c r="AE46" s="196">
        <f t="shared" si="95"/>
        <v>43989.369930973407</v>
      </c>
      <c r="AF46" s="196">
        <f t="shared" si="173"/>
        <v>43989.369930973407</v>
      </c>
      <c r="AG46" s="606">
        <f t="shared" si="58"/>
        <v>2.0338753486557255E-3</v>
      </c>
      <c r="AH46" s="196">
        <f t="shared" si="185"/>
        <v>12315.053172165008</v>
      </c>
      <c r="AI46" s="248">
        <f t="shared" si="59"/>
        <v>9.5402851011951509E-4</v>
      </c>
      <c r="AJ46" s="196">
        <f t="shared" si="80"/>
        <v>58619.653099505435</v>
      </c>
      <c r="AK46" s="196">
        <f t="shared" si="99"/>
        <v>9852.0425377320062</v>
      </c>
      <c r="AL46" s="196">
        <f t="shared" si="100"/>
        <v>9852.0425377320062</v>
      </c>
      <c r="AM46" s="196">
        <f t="shared" si="5"/>
        <v>19704.085075464012</v>
      </c>
      <c r="AN46" s="627">
        <f t="shared" si="6"/>
        <v>9.5402851011951509E-4</v>
      </c>
      <c r="AO46" s="196">
        <f t="shared" si="7"/>
        <v>9359.4404108454055</v>
      </c>
      <c r="AP46" s="589">
        <f t="shared" si="60"/>
        <v>9.5402851011951509E-4</v>
      </c>
      <c r="AQ46" s="196"/>
      <c r="AR46" s="589"/>
      <c r="AS46">
        <v>1</v>
      </c>
      <c r="AT46" s="589">
        <f t="shared" si="61"/>
        <v>1.2919896640826874E-3</v>
      </c>
      <c r="AU46" s="196">
        <v>10</v>
      </c>
      <c r="AV46" s="245">
        <f t="shared" si="8"/>
        <v>1.1362345188046814E-3</v>
      </c>
      <c r="AX46" s="245"/>
      <c r="AY46" s="245"/>
      <c r="AZ46" s="196">
        <v>62</v>
      </c>
      <c r="BA46" s="589">
        <f t="shared" si="62"/>
        <v>2.2718112198160567E-3</v>
      </c>
      <c r="BI46" s="196">
        <v>0</v>
      </c>
      <c r="BK46" s="246">
        <f t="shared" si="63"/>
        <v>0</v>
      </c>
      <c r="BL46" s="246"/>
      <c r="BM46" s="246">
        <f t="shared" si="64"/>
        <v>0</v>
      </c>
      <c r="BN46" s="196">
        <v>1</v>
      </c>
      <c r="BO46" s="196">
        <f t="shared" si="174"/>
        <v>20790.040306043957</v>
      </c>
      <c r="BP46" s="196">
        <f t="shared" si="82"/>
        <v>20790.040306043957</v>
      </c>
      <c r="BQ46" s="248">
        <f t="shared" si="65"/>
        <v>1.9448114566519726E-3</v>
      </c>
      <c r="BR46" s="248"/>
      <c r="BS46" s="248"/>
      <c r="BT46" s="276">
        <v>1</v>
      </c>
      <c r="BU46" s="196">
        <f t="shared" si="186"/>
        <v>36673.243142453619</v>
      </c>
      <c r="BV46" s="264">
        <f t="shared" si="66"/>
        <v>2.5437256092335123E-3</v>
      </c>
      <c r="BW46" s="196">
        <f t="shared" si="187"/>
        <v>156879.98455382939</v>
      </c>
      <c r="BX46" s="247">
        <f t="shared" si="67"/>
        <v>2.5437256321474903E-3</v>
      </c>
      <c r="BY46" s="196">
        <f t="shared" si="83"/>
        <v>193553.22769628302</v>
      </c>
      <c r="BZ46" s="620">
        <v>0</v>
      </c>
      <c r="CA46" s="196">
        <f t="shared" si="145"/>
        <v>75368.125413649832</v>
      </c>
      <c r="CB46" s="196">
        <f t="shared" si="146"/>
        <v>150736.25082729966</v>
      </c>
      <c r="CC46" s="196">
        <f t="shared" si="12"/>
        <v>226104.3762409495</v>
      </c>
      <c r="CD46" s="247">
        <f t="shared" si="13"/>
        <v>9.5402851011951487E-4</v>
      </c>
      <c r="CE46" s="196">
        <f t="shared" si="175"/>
        <v>25687.692283923105</v>
      </c>
      <c r="CF46" s="247">
        <f t="shared" si="14"/>
        <v>1.1092744401470915E-3</v>
      </c>
      <c r="CG46" s="196">
        <f t="shared" si="147"/>
        <v>37437.761643381622</v>
      </c>
      <c r="CH46" s="589">
        <f t="shared" si="68"/>
        <v>9.5402851011951509E-4</v>
      </c>
      <c r="CI46" s="196">
        <f t="shared" si="176"/>
        <v>65094.1600870486</v>
      </c>
      <c r="CJ46" s="248">
        <f t="shared" si="70"/>
        <v>1.0701478266002546E-3</v>
      </c>
      <c r="CK46" s="196">
        <f t="shared" si="177"/>
        <v>68653.140794138497</v>
      </c>
      <c r="CL46" s="589">
        <f t="shared" si="71"/>
        <v>9.8690302026433201E-4</v>
      </c>
      <c r="CM46" s="196">
        <f t="shared" si="178"/>
        <v>6650.7703800547188</v>
      </c>
      <c r="CN46" s="589">
        <f t="shared" si="72"/>
        <v>9.5845159545039247E-4</v>
      </c>
      <c r="CO46" s="196">
        <f t="shared" si="179"/>
        <v>532.05994440281086</v>
      </c>
      <c r="CP46" s="589">
        <f t="shared" si="73"/>
        <v>1.003383102825395E-3</v>
      </c>
      <c r="CQ46" s="196">
        <f>'Detailed Budget'!$AC$12</f>
        <v>292876014141.44696</v>
      </c>
      <c r="CR46" s="269">
        <f t="shared" si="143"/>
        <v>0</v>
      </c>
      <c r="CS46" s="269">
        <f>'Detailed Budget'!$AC$16</f>
        <v>10488008800.000002</v>
      </c>
      <c r="CT46" s="607">
        <f t="shared" si="149"/>
        <v>0</v>
      </c>
      <c r="CU46" s="269">
        <f>'Detailed Budget'!$AC$24</f>
        <v>30624985696</v>
      </c>
      <c r="CV46" s="269">
        <f t="shared" si="18"/>
        <v>0</v>
      </c>
      <c r="CW46" s="269"/>
      <c r="CX46" s="269">
        <f t="shared" si="19"/>
        <v>0</v>
      </c>
      <c r="CY46" s="196">
        <f>'Detailed Budget'!$AC$97</f>
        <v>74629165494.837845</v>
      </c>
      <c r="CZ46" s="269">
        <f t="shared" si="150"/>
        <v>145139656.05473673</v>
      </c>
      <c r="DA46" s="269">
        <f>'Detailed Budget'!$AC$100</f>
        <v>14925833098.967569</v>
      </c>
      <c r="DB46" s="269">
        <f t="shared" si="151"/>
        <v>29027931.210947346</v>
      </c>
      <c r="DC46" s="269">
        <f t="shared" si="22"/>
        <v>174167587.26568407</v>
      </c>
      <c r="DD46" s="207">
        <v>0</v>
      </c>
      <c r="DE46" s="606">
        <v>0</v>
      </c>
      <c r="DF46" s="269">
        <f>'Detailed Budget'!$AC$147</f>
        <v>5913600671000</v>
      </c>
      <c r="DG46" s="269">
        <f t="shared" si="23"/>
        <v>0</v>
      </c>
      <c r="DH46" s="269">
        <f>'Detailed Budget'!$AC$153</f>
        <v>226428026880.00003</v>
      </c>
      <c r="DI46" s="269"/>
      <c r="DJ46" s="269">
        <f>'Detailed Budget'!$AC$156</f>
        <v>27713070000</v>
      </c>
      <c r="DK46" s="269"/>
      <c r="DL46" s="269"/>
      <c r="DM46" s="196">
        <f>'Detailed Budget'!$AC$178</f>
        <v>5622683761.6229038</v>
      </c>
      <c r="DN46" s="269">
        <f t="shared" si="180"/>
        <v>14302564.677061597</v>
      </c>
      <c r="DO46" s="196">
        <f>'Detailed Budget'!$AC$179</f>
        <v>26827890683.128094</v>
      </c>
      <c r="DP46" s="269">
        <f t="shared" si="181"/>
        <v>68242793.187123775</v>
      </c>
      <c r="DQ46" s="269">
        <f t="shared" si="89"/>
        <v>82545357.864185378</v>
      </c>
      <c r="DR46" s="269">
        <f>'Detailed Budget'!$AC$181</f>
        <v>50888946855.375237</v>
      </c>
      <c r="DS46" s="269">
        <f t="shared" si="182"/>
        <v>103501774.52819899</v>
      </c>
      <c r="DT46" s="269">
        <f t="shared" si="183"/>
        <v>186047132.39238435</v>
      </c>
      <c r="DU46" s="272">
        <f>'Detailed Budget'!$AC$192</f>
        <v>77498869683.252869</v>
      </c>
      <c r="DV46" s="269">
        <f t="shared" si="152"/>
        <v>0</v>
      </c>
      <c r="DW46" s="140">
        <f>'Detailed Budget'!$AC$194</f>
        <v>2684962805.4134097</v>
      </c>
      <c r="DX46" s="269">
        <f t="shared" si="153"/>
        <v>0</v>
      </c>
      <c r="DY46" s="607">
        <f t="shared" si="26"/>
        <v>0</v>
      </c>
      <c r="DZ46" s="196">
        <f>'Detailed Budget'!$AC$198</f>
        <v>18732540018.380611</v>
      </c>
      <c r="EA46" s="269">
        <f t="shared" si="154"/>
        <v>20779527.841422141</v>
      </c>
      <c r="EB46" s="196">
        <f>'Detailed Budget'!$AC$200</f>
        <v>4683135004.5951529</v>
      </c>
      <c r="EC46" s="269">
        <f t="shared" si="155"/>
        <v>5194881.9603555351</v>
      </c>
      <c r="ED46" s="269">
        <f t="shared" si="29"/>
        <v>25974409.801777676</v>
      </c>
      <c r="EE46" s="196">
        <f>'Detailed Budget'!$AC$161</f>
        <v>251147290106.36197</v>
      </c>
      <c r="EF46" s="269">
        <f t="shared" si="156"/>
        <v>239601675.00072613</v>
      </c>
      <c r="EG46" s="196">
        <f>'Detailed Budget'!$AC$163</f>
        <v>15696705631.647623</v>
      </c>
      <c r="EH46" s="269">
        <f t="shared" si="157"/>
        <v>14975104.687545383</v>
      </c>
      <c r="EI46" s="269">
        <f t="shared" si="32"/>
        <v>254576779.68827152</v>
      </c>
      <c r="EJ46" s="196">
        <f>'Detailed Budget'!$AC$204</f>
        <v>45012172507.531975</v>
      </c>
      <c r="EK46" s="269">
        <f t="shared" si="158"/>
        <v>48169678.579491079</v>
      </c>
      <c r="EL46" s="201">
        <f>'Detailed Budget'!$AC$206</f>
        <v>11253043126.882994</v>
      </c>
      <c r="EM46" s="269">
        <f t="shared" si="159"/>
        <v>12042419.64487277</v>
      </c>
      <c r="EN46" s="269">
        <f t="shared" si="35"/>
        <v>60212098.224363849</v>
      </c>
      <c r="EO46" s="140">
        <f>'Detailed Budget'!$AC$209</f>
        <v>135789361677.54817</v>
      </c>
      <c r="EP46" s="269">
        <f t="shared" si="160"/>
        <v>134010931.15933803</v>
      </c>
      <c r="EQ46" s="196">
        <f>'Detailed Budget'!$AC$211</f>
        <v>33947340419.387043</v>
      </c>
      <c r="ER46" s="269">
        <f t="shared" si="161"/>
        <v>33502732.789834507</v>
      </c>
      <c r="ES46" s="269">
        <f t="shared" si="38"/>
        <v>167513663.94917253</v>
      </c>
      <c r="ET46" s="196">
        <f>'Detailed Budget'!$AC$214</f>
        <v>22239745544.201103</v>
      </c>
      <c r="EU46" s="269">
        <f t="shared" si="162"/>
        <v>21315719.599250305</v>
      </c>
      <c r="EV46" s="140">
        <f>'Detailed Budget'!$AC$217</f>
        <v>5559936386.0502758</v>
      </c>
      <c r="EW46" s="269">
        <f t="shared" si="163"/>
        <v>5328929.8998125764</v>
      </c>
      <c r="EX46" s="269">
        <f t="shared" si="41"/>
        <v>26644649.499062881</v>
      </c>
      <c r="EY46" s="196">
        <f>'Detailed Budget'!$AC$219</f>
        <v>372777004.58170313</v>
      </c>
      <c r="EZ46" s="269">
        <f t="shared" si="164"/>
        <v>374038.14751914574</v>
      </c>
      <c r="FA46" s="196">
        <f>'Detailed Budget'!$AC$222</f>
        <v>93194251.145425782</v>
      </c>
      <c r="FB46" s="269">
        <f t="shared" si="165"/>
        <v>93509.536879786436</v>
      </c>
      <c r="FC46" s="269">
        <f t="shared" si="44"/>
        <v>467547.68439893215</v>
      </c>
      <c r="FD46" s="269"/>
      <c r="FE46" s="269">
        <f t="shared" si="45"/>
        <v>254837959.35699818</v>
      </c>
      <c r="FF46" s="140">
        <f>'Detailed Budget'!$AC$165</f>
        <v>14927760000</v>
      </c>
      <c r="FG46" s="1087">
        <f t="shared" si="46"/>
        <v>347615845.26947498</v>
      </c>
      <c r="FH46" s="269">
        <f t="shared" si="166"/>
        <v>16961436.200431772</v>
      </c>
      <c r="FJ46" s="140">
        <f>'Detailed Budget'!$AC$235</f>
        <v>3623696172</v>
      </c>
      <c r="FK46" s="269">
        <f t="shared" si="167"/>
        <v>4681778</v>
      </c>
      <c r="FL46" s="269">
        <f t="shared" si="49"/>
        <v>4681778</v>
      </c>
      <c r="FO46" s="607"/>
      <c r="FP46" s="607"/>
      <c r="FQ46" s="607"/>
      <c r="FR46" s="269">
        <f>'Detailed Budget'!$AC$257</f>
        <v>13636439388</v>
      </c>
      <c r="FS46" s="269">
        <f t="shared" si="168"/>
        <v>30979416.000000004</v>
      </c>
      <c r="FT46" s="269">
        <f t="shared" si="51"/>
        <v>30979416.000000004</v>
      </c>
      <c r="FU46" s="269"/>
      <c r="FV46" s="269"/>
      <c r="FW46" s="605"/>
      <c r="FX46" s="140">
        <f>'Detailed Budget'!$AC$278</f>
        <v>1114560000</v>
      </c>
      <c r="FY46" s="269">
        <f t="shared" si="169"/>
        <v>1440000</v>
      </c>
      <c r="FZ46" s="269">
        <f t="shared" si="54"/>
        <v>1440000</v>
      </c>
      <c r="GB46" s="269">
        <f t="shared" si="74"/>
        <v>1297282343.9750226</v>
      </c>
      <c r="GC46" s="887">
        <f t="shared" si="55"/>
        <v>810801.46498438914</v>
      </c>
      <c r="GD46" s="1078">
        <f t="shared" si="75"/>
        <v>7.2794597346167989E-4</v>
      </c>
    </row>
    <row r="47" spans="1:186" ht="14.25" hidden="1" customHeight="1" outlineLevel="1">
      <c r="A47" s="211" t="s">
        <v>285</v>
      </c>
      <c r="B47" s="212" t="s">
        <v>286</v>
      </c>
      <c r="C47" s="213" t="s">
        <v>215</v>
      </c>
      <c r="D47" s="214"/>
      <c r="E47" s="213"/>
      <c r="F47" s="213"/>
      <c r="G47" s="213" t="s">
        <v>215</v>
      </c>
      <c r="H47" s="213" t="s">
        <v>215</v>
      </c>
      <c r="I47" s="214" t="s">
        <v>215</v>
      </c>
      <c r="J47" s="214"/>
      <c r="K47" s="213"/>
      <c r="L47" s="213"/>
      <c r="M47" s="214" t="s">
        <v>215</v>
      </c>
      <c r="N47" s="213"/>
      <c r="O47" s="214"/>
      <c r="P47" s="213"/>
      <c r="Q47" s="214"/>
      <c r="R47" s="214" t="s">
        <v>215</v>
      </c>
      <c r="S47" s="214"/>
      <c r="T47" s="214"/>
      <c r="U47" s="215">
        <f t="shared" si="170"/>
        <v>6</v>
      </c>
      <c r="V47" s="845" t="s">
        <v>216</v>
      </c>
      <c r="W47" s="216">
        <v>260968</v>
      </c>
      <c r="X47" s="217">
        <v>3.03</v>
      </c>
      <c r="Y47" s="218">
        <f t="shared" si="57"/>
        <v>1.0303</v>
      </c>
      <c r="Z47" s="196">
        <v>19</v>
      </c>
      <c r="AA47" s="218">
        <f t="shared" si="184"/>
        <v>1.7632354008841205</v>
      </c>
      <c r="AB47" s="196">
        <f t="shared" si="171"/>
        <v>460148.01609792717</v>
      </c>
      <c r="AC47">
        <v>18.8</v>
      </c>
      <c r="AD47" s="196">
        <f t="shared" si="172"/>
        <v>86507.827026410305</v>
      </c>
      <c r="AE47" s="196">
        <f t="shared" si="95"/>
        <v>82182.435675089786</v>
      </c>
      <c r="AF47" s="196">
        <f t="shared" si="173"/>
        <v>82182.435675089786</v>
      </c>
      <c r="AG47" s="606">
        <f t="shared" si="58"/>
        <v>3.7997550379633557E-3</v>
      </c>
      <c r="AH47" s="196">
        <f t="shared" si="185"/>
        <v>23007.400804896359</v>
      </c>
      <c r="AI47" s="248">
        <f t="shared" si="59"/>
        <v>1.7823484807381474E-3</v>
      </c>
      <c r="AJ47" s="196">
        <f t="shared" si="80"/>
        <v>109515.22783130666</v>
      </c>
      <c r="AK47" s="196">
        <f t="shared" si="99"/>
        <v>18405.920643917088</v>
      </c>
      <c r="AL47" s="196">
        <f t="shared" si="100"/>
        <v>18405.920643917088</v>
      </c>
      <c r="AM47" s="196">
        <f t="shared" si="5"/>
        <v>36811.841287834177</v>
      </c>
      <c r="AN47" s="627">
        <f t="shared" si="6"/>
        <v>1.7823484807381476E-3</v>
      </c>
      <c r="AO47" s="196">
        <f t="shared" si="7"/>
        <v>17485.624611721232</v>
      </c>
      <c r="AP47" s="589">
        <f t="shared" si="60"/>
        <v>1.7823484807381474E-3</v>
      </c>
      <c r="AQ47" s="196"/>
      <c r="AR47" s="589"/>
      <c r="AS47">
        <v>1</v>
      </c>
      <c r="AT47" s="589">
        <f t="shared" si="61"/>
        <v>1.2919896640826874E-3</v>
      </c>
      <c r="AU47" s="196">
        <v>12</v>
      </c>
      <c r="AV47" s="245">
        <f t="shared" si="8"/>
        <v>1.3634814225656176E-3</v>
      </c>
      <c r="AX47" s="245"/>
      <c r="AY47" s="245"/>
      <c r="AZ47" s="196">
        <v>82</v>
      </c>
      <c r="BA47" s="589">
        <f t="shared" si="62"/>
        <v>3.0046535487889782E-3</v>
      </c>
      <c r="BI47" s="196">
        <v>0</v>
      </c>
      <c r="BK47" s="246">
        <f t="shared" si="63"/>
        <v>0</v>
      </c>
      <c r="BL47" s="246"/>
      <c r="BM47" s="246">
        <f t="shared" si="64"/>
        <v>0</v>
      </c>
      <c r="BN47" s="196">
        <v>1</v>
      </c>
      <c r="BO47" s="196">
        <f t="shared" si="174"/>
        <v>38840.65975064021</v>
      </c>
      <c r="BP47" s="196">
        <f t="shared" si="82"/>
        <v>38840.65975064021</v>
      </c>
      <c r="BQ47" s="248">
        <f t="shared" si="65"/>
        <v>3.6333628485081069E-3</v>
      </c>
      <c r="BR47" s="248"/>
      <c r="BS47" s="248"/>
      <c r="BT47" s="276">
        <v>1</v>
      </c>
      <c r="BU47" s="196">
        <f t="shared" si="186"/>
        <v>68514.199004916969</v>
      </c>
      <c r="BV47" s="264">
        <f t="shared" si="66"/>
        <v>4.7522746196170815E-3</v>
      </c>
      <c r="BW47" s="196">
        <f t="shared" si="187"/>
        <v>293088.51796547818</v>
      </c>
      <c r="BX47" s="247">
        <f t="shared" si="67"/>
        <v>4.7522746624257539E-3</v>
      </c>
      <c r="BY47" s="196">
        <f t="shared" si="83"/>
        <v>361602.71697039518</v>
      </c>
      <c r="BZ47" s="620">
        <v>0</v>
      </c>
      <c r="CA47" s="196">
        <f t="shared" si="145"/>
        <v>140805.29292596574</v>
      </c>
      <c r="CB47" s="196">
        <f t="shared" si="146"/>
        <v>281610.58585193148</v>
      </c>
      <c r="CC47" s="196">
        <f t="shared" si="12"/>
        <v>422415.87877789722</v>
      </c>
      <c r="CD47" s="247">
        <f t="shared" si="13"/>
        <v>1.7823484807381479E-3</v>
      </c>
      <c r="CE47" s="196">
        <f t="shared" si="175"/>
        <v>47990.619599181351</v>
      </c>
      <c r="CF47" s="247">
        <f t="shared" si="14"/>
        <v>2.0723842025120887E-3</v>
      </c>
      <c r="CG47" s="196">
        <f t="shared" si="147"/>
        <v>69942.498446884929</v>
      </c>
      <c r="CH47" s="589">
        <f t="shared" si="68"/>
        <v>1.7823484807381474E-3</v>
      </c>
      <c r="CI47" s="196">
        <f t="shared" si="176"/>
        <v>121611.12179083878</v>
      </c>
      <c r="CJ47" s="248">
        <f t="shared" si="70"/>
        <v>1.9992865335515487E-3</v>
      </c>
      <c r="CK47" s="196">
        <f t="shared" si="177"/>
        <v>128260.13048289914</v>
      </c>
      <c r="CL47" s="589">
        <f t="shared" si="71"/>
        <v>1.8437657576749603E-3</v>
      </c>
      <c r="CM47" s="196">
        <f t="shared" si="178"/>
        <v>12425.19521889739</v>
      </c>
      <c r="CN47" s="589">
        <f t="shared" si="72"/>
        <v>1.7906118390508638E-3</v>
      </c>
      <c r="CO47" s="196">
        <f t="shared" si="179"/>
        <v>994.01246766637348</v>
      </c>
      <c r="CP47" s="589">
        <f t="shared" si="73"/>
        <v>1.8745544079129598E-3</v>
      </c>
      <c r="CQ47" s="196">
        <f>'Detailed Budget'!$AC$12</f>
        <v>292876014141.44696</v>
      </c>
      <c r="CR47" s="269">
        <f t="shared" si="143"/>
        <v>0</v>
      </c>
      <c r="CS47" s="269">
        <f>'Detailed Budget'!$AC$16</f>
        <v>10488008800.000002</v>
      </c>
      <c r="CT47" s="607">
        <f t="shared" si="149"/>
        <v>0</v>
      </c>
      <c r="CU47" s="269">
        <f>'Detailed Budget'!$AC$24</f>
        <v>30624985696</v>
      </c>
      <c r="CV47" s="269">
        <f t="shared" si="18"/>
        <v>0</v>
      </c>
      <c r="CW47" s="269"/>
      <c r="CX47" s="269">
        <f t="shared" si="19"/>
        <v>0</v>
      </c>
      <c r="CY47" s="196">
        <f>'Detailed Budget'!$AC$97</f>
        <v>74629165494.837845</v>
      </c>
      <c r="CZ47" s="269">
        <f t="shared" si="150"/>
        <v>271154837.32410693</v>
      </c>
      <c r="DA47" s="269">
        <f>'Detailed Budget'!$AC$100</f>
        <v>14925833098.967569</v>
      </c>
      <c r="DB47" s="269">
        <f t="shared" si="151"/>
        <v>54230967.464821391</v>
      </c>
      <c r="DC47" s="269">
        <f t="shared" si="22"/>
        <v>325385804.78892833</v>
      </c>
      <c r="DD47" s="207">
        <v>0</v>
      </c>
      <c r="DE47" s="606">
        <v>0</v>
      </c>
      <c r="DF47" s="269">
        <f>'Detailed Budget'!$AC$147</f>
        <v>5913600671000</v>
      </c>
      <c r="DG47" s="269">
        <f t="shared" si="23"/>
        <v>0</v>
      </c>
      <c r="DH47" s="269">
        <f>'Detailed Budget'!$AC$153</f>
        <v>226428026880.00003</v>
      </c>
      <c r="DI47" s="269"/>
      <c r="DJ47" s="269">
        <f>'Detailed Budget'!$AC$156</f>
        <v>27713070000</v>
      </c>
      <c r="DK47" s="269"/>
      <c r="DL47" s="269"/>
      <c r="DM47" s="196">
        <f>'Detailed Budget'!$AC$178</f>
        <v>5622683761.6229038</v>
      </c>
      <c r="DN47" s="269">
        <f t="shared" si="180"/>
        <v>26720537.334493626</v>
      </c>
      <c r="DO47" s="196">
        <f>'Detailed Budget'!$AC$179</f>
        <v>26827890683.128094</v>
      </c>
      <c r="DP47" s="269">
        <f t="shared" si="181"/>
        <v>127493505.13975759</v>
      </c>
      <c r="DQ47" s="269">
        <f t="shared" si="89"/>
        <v>154214042.47425121</v>
      </c>
      <c r="DR47" s="269">
        <f>'Detailed Budget'!$AC$181</f>
        <v>50888946855.375237</v>
      </c>
      <c r="DS47" s="269">
        <f t="shared" si="182"/>
        <v>193365532.19036153</v>
      </c>
      <c r="DT47" s="269">
        <f t="shared" si="183"/>
        <v>347579574.66461277</v>
      </c>
      <c r="DU47" s="272">
        <f>'Detailed Budget'!$AC$192</f>
        <v>77498869683.252869</v>
      </c>
      <c r="DV47" s="269">
        <f t="shared" si="152"/>
        <v>0</v>
      </c>
      <c r="DW47" s="140">
        <f>'Detailed Budget'!$AC$194</f>
        <v>2684962805.4134097</v>
      </c>
      <c r="DX47" s="269">
        <f t="shared" si="153"/>
        <v>0</v>
      </c>
      <c r="DY47" s="607">
        <f t="shared" si="26"/>
        <v>0</v>
      </c>
      <c r="DZ47" s="196">
        <f>'Detailed Budget'!$AC$198</f>
        <v>18732540018.380611</v>
      </c>
      <c r="EA47" s="269">
        <f t="shared" si="154"/>
        <v>38821020.007017493</v>
      </c>
      <c r="EB47" s="196">
        <f>'Detailed Budget'!$AC$200</f>
        <v>4683135004.5951529</v>
      </c>
      <c r="EC47" s="269">
        <f t="shared" si="155"/>
        <v>9705255.0017543733</v>
      </c>
      <c r="ED47" s="269">
        <f t="shared" si="29"/>
        <v>48526275.008771867</v>
      </c>
      <c r="EE47" s="196">
        <f>'Detailed Budget'!$AC$161</f>
        <v>251147290106.36197</v>
      </c>
      <c r="EF47" s="269">
        <f t="shared" si="156"/>
        <v>447631990.96257704</v>
      </c>
      <c r="EG47" s="196">
        <f>'Detailed Budget'!$AC$163</f>
        <v>15696705631.647623</v>
      </c>
      <c r="EH47" s="269">
        <f t="shared" si="157"/>
        <v>27976999.435161065</v>
      </c>
      <c r="EI47" s="269">
        <f t="shared" si="32"/>
        <v>475608990.3977381</v>
      </c>
      <c r="EJ47" s="196">
        <f>'Detailed Budget'!$AC$204</f>
        <v>45012172507.531975</v>
      </c>
      <c r="EK47" s="269">
        <f t="shared" si="158"/>
        <v>89992230.340207919</v>
      </c>
      <c r="EL47" s="201">
        <f>'Detailed Budget'!$AC$206</f>
        <v>11253043126.882994</v>
      </c>
      <c r="EM47" s="269">
        <f t="shared" si="159"/>
        <v>22498057.58505198</v>
      </c>
      <c r="EN47" s="269">
        <f t="shared" si="35"/>
        <v>112490287.9252599</v>
      </c>
      <c r="EO47" s="140">
        <f>'Detailed Budget'!$AC$209</f>
        <v>135789361677.54817</v>
      </c>
      <c r="EP47" s="269">
        <f t="shared" si="160"/>
        <v>250363775.31760383</v>
      </c>
      <c r="EQ47" s="196">
        <f>'Detailed Budget'!$AC$211</f>
        <v>33947340419.387043</v>
      </c>
      <c r="ER47" s="269">
        <f t="shared" si="161"/>
        <v>62590943.829400957</v>
      </c>
      <c r="ES47" s="269">
        <f t="shared" si="38"/>
        <v>312954719.14700478</v>
      </c>
      <c r="ET47" s="196">
        <f>'Detailed Budget'!$AC$214</f>
        <v>22239745544.201103</v>
      </c>
      <c r="EU47" s="269">
        <f t="shared" si="162"/>
        <v>39822751.668925188</v>
      </c>
      <c r="EV47" s="140">
        <f>'Detailed Budget'!$AC$217</f>
        <v>5559936386.0502758</v>
      </c>
      <c r="EW47" s="269">
        <f t="shared" si="163"/>
        <v>9955687.9172312971</v>
      </c>
      <c r="EX47" s="269">
        <f t="shared" si="41"/>
        <v>49778439.586156487</v>
      </c>
      <c r="EY47" s="196">
        <f>'Detailed Budget'!$AC$219</f>
        <v>372777004.58170313</v>
      </c>
      <c r="EZ47" s="269">
        <f t="shared" si="164"/>
        <v>698790.77710722119</v>
      </c>
      <c r="FA47" s="196">
        <f>'Detailed Budget'!$AC$222</f>
        <v>93194251.145425782</v>
      </c>
      <c r="FB47" s="269">
        <f t="shared" si="165"/>
        <v>174697.6942768053</v>
      </c>
      <c r="FC47" s="269">
        <f t="shared" si="44"/>
        <v>873488.47138402646</v>
      </c>
      <c r="FD47" s="269"/>
      <c r="FE47" s="269">
        <f t="shared" si="45"/>
        <v>476096935.12980521</v>
      </c>
      <c r="FF47" s="140">
        <f>'Detailed Budget'!$AC$165</f>
        <v>14927760000</v>
      </c>
      <c r="FG47" s="1087">
        <f t="shared" si="46"/>
        <v>649427734.20779574</v>
      </c>
      <c r="FH47" s="269">
        <f t="shared" si="166"/>
        <v>20353723.440518126</v>
      </c>
      <c r="FJ47" s="140">
        <f>'Detailed Budget'!$AC$235</f>
        <v>3623696172</v>
      </c>
      <c r="FK47" s="269">
        <f t="shared" si="167"/>
        <v>4681778</v>
      </c>
      <c r="FL47" s="269">
        <f t="shared" si="49"/>
        <v>4681778</v>
      </c>
      <c r="FO47" s="607"/>
      <c r="FP47" s="607"/>
      <c r="FQ47" s="607"/>
      <c r="FR47" s="269">
        <f>'Detailed Budget'!$AC$257</f>
        <v>13636439388</v>
      </c>
      <c r="FS47" s="269">
        <f t="shared" si="168"/>
        <v>40972776</v>
      </c>
      <c r="FT47" s="269">
        <f t="shared" si="51"/>
        <v>40972776</v>
      </c>
      <c r="FU47" s="269"/>
      <c r="FV47" s="269"/>
      <c r="FW47" s="605"/>
      <c r="FX47" s="140">
        <f>'Detailed Budget'!$AC$278</f>
        <v>1114560000</v>
      </c>
      <c r="FY47" s="269">
        <f t="shared" si="169"/>
        <v>1440000</v>
      </c>
      <c r="FZ47" s="269">
        <f t="shared" si="54"/>
        <v>1440000</v>
      </c>
      <c r="GB47" s="269">
        <f t="shared" si="74"/>
        <v>2390073591.6381698</v>
      </c>
      <c r="GC47" s="887">
        <f t="shared" si="55"/>
        <v>1493795.9947738561</v>
      </c>
      <c r="GD47" s="1078">
        <f t="shared" si="75"/>
        <v>1.3411455535415808E-3</v>
      </c>
    </row>
    <row r="48" spans="1:186" ht="14.25" hidden="1" customHeight="1" outlineLevel="1">
      <c r="A48" s="211" t="s">
        <v>287</v>
      </c>
      <c r="B48" s="212" t="s">
        <v>288</v>
      </c>
      <c r="C48" s="213" t="s">
        <v>215</v>
      </c>
      <c r="D48" s="214"/>
      <c r="E48" s="213"/>
      <c r="F48" s="213"/>
      <c r="G48" s="213" t="s">
        <v>215</v>
      </c>
      <c r="H48" s="213" t="s">
        <v>215</v>
      </c>
      <c r="I48" s="214" t="s">
        <v>215</v>
      </c>
      <c r="J48" s="214"/>
      <c r="K48" s="213" t="s">
        <v>215</v>
      </c>
      <c r="L48" s="213"/>
      <c r="M48" s="214"/>
      <c r="N48" s="213"/>
      <c r="O48" s="214"/>
      <c r="P48" s="213"/>
      <c r="Q48" s="214"/>
      <c r="R48" s="214" t="s">
        <v>215</v>
      </c>
      <c r="S48" s="214"/>
      <c r="T48" s="214"/>
      <c r="U48" s="215">
        <f t="shared" si="170"/>
        <v>6</v>
      </c>
      <c r="V48" s="845" t="s">
        <v>216</v>
      </c>
      <c r="W48" s="216">
        <v>127572</v>
      </c>
      <c r="X48" s="217">
        <v>3.03</v>
      </c>
      <c r="Y48" s="218">
        <f t="shared" si="57"/>
        <v>1.0303</v>
      </c>
      <c r="Z48" s="196">
        <v>19</v>
      </c>
      <c r="AA48" s="218">
        <f t="shared" si="184"/>
        <v>1.7632354008841205</v>
      </c>
      <c r="AB48" s="196">
        <f t="shared" si="171"/>
        <v>224939.46656158901</v>
      </c>
      <c r="AC48">
        <v>18.8</v>
      </c>
      <c r="AD48" s="196">
        <f t="shared" si="172"/>
        <v>42288.619713578737</v>
      </c>
      <c r="AE48" s="196">
        <f t="shared" si="95"/>
        <v>40174.188727899797</v>
      </c>
      <c r="AF48" s="196">
        <f t="shared" si="173"/>
        <v>0</v>
      </c>
      <c r="AG48" s="606">
        <f t="shared" si="58"/>
        <v>1.8574781187849132E-3</v>
      </c>
      <c r="AH48" s="196">
        <f t="shared" si="185"/>
        <v>11246.973328079452</v>
      </c>
      <c r="AI48" s="248">
        <f t="shared" si="59"/>
        <v>8.7128598289724012E-4</v>
      </c>
      <c r="AJ48" s="196">
        <f t="shared" si="80"/>
        <v>53535.59304165819</v>
      </c>
      <c r="AK48" s="196">
        <f t="shared" si="99"/>
        <v>8997.5786624635602</v>
      </c>
      <c r="AL48" s="196">
        <f t="shared" si="100"/>
        <v>8997.5786624635602</v>
      </c>
      <c r="AM48" s="196">
        <f t="shared" si="5"/>
        <v>17995.15732492712</v>
      </c>
      <c r="AN48" s="627">
        <f t="shared" si="6"/>
        <v>8.7128598289724002E-4</v>
      </c>
      <c r="AO48" s="196">
        <f t="shared" si="7"/>
        <v>8547.699729340382</v>
      </c>
      <c r="AP48" s="589">
        <f t="shared" si="60"/>
        <v>8.7128598289724002E-4</v>
      </c>
      <c r="AQ48" s="196"/>
      <c r="AR48" s="589"/>
      <c r="AS48">
        <v>1</v>
      </c>
      <c r="AT48" s="589">
        <f t="shared" si="61"/>
        <v>1.2919896640826874E-3</v>
      </c>
      <c r="AU48" s="196">
        <v>10</v>
      </c>
      <c r="AV48" s="245">
        <f t="shared" si="8"/>
        <v>1.1362345188046814E-3</v>
      </c>
      <c r="AX48" s="245"/>
      <c r="AY48" s="245"/>
      <c r="AZ48" s="196">
        <v>60</v>
      </c>
      <c r="BA48" s="589">
        <f t="shared" si="62"/>
        <v>2.1985269869187643E-3</v>
      </c>
      <c r="BI48" s="196">
        <v>0</v>
      </c>
      <c r="BK48" s="246">
        <f t="shared" si="63"/>
        <v>0</v>
      </c>
      <c r="BL48" s="246"/>
      <c r="BM48" s="246">
        <f t="shared" si="64"/>
        <v>0</v>
      </c>
      <c r="BN48" s="196">
        <v>1</v>
      </c>
      <c r="BO48" s="196">
        <f t="shared" si="174"/>
        <v>18986.928074356525</v>
      </c>
      <c r="BP48" s="196">
        <f t="shared" si="82"/>
        <v>18986.928074356525</v>
      </c>
      <c r="BQ48" s="248">
        <f t="shared" si="65"/>
        <v>1.7761387040168767E-3</v>
      </c>
      <c r="BR48" s="248"/>
      <c r="BS48" s="248"/>
      <c r="BT48" s="276">
        <v>0</v>
      </c>
      <c r="BU48" s="196">
        <f t="shared" si="186"/>
        <v>0</v>
      </c>
      <c r="BV48" s="264">
        <f t="shared" si="66"/>
        <v>0</v>
      </c>
      <c r="BW48" s="196">
        <f t="shared" si="187"/>
        <v>0</v>
      </c>
      <c r="BX48" s="247">
        <f t="shared" si="67"/>
        <v>0</v>
      </c>
      <c r="BY48" s="196">
        <f t="shared" si="83"/>
        <v>0</v>
      </c>
      <c r="BZ48" s="620">
        <v>1</v>
      </c>
      <c r="CA48" s="196">
        <f t="shared" si="145"/>
        <v>68831.476767846238</v>
      </c>
      <c r="CB48" s="196">
        <f t="shared" si="146"/>
        <v>137662.95353569248</v>
      </c>
      <c r="CC48" s="196">
        <f t="shared" si="12"/>
        <v>206494.43030353871</v>
      </c>
      <c r="CD48" s="247">
        <f t="shared" si="13"/>
        <v>8.7128598289724002E-4</v>
      </c>
      <c r="CE48" s="196">
        <f t="shared" si="175"/>
        <v>23459.808572341295</v>
      </c>
      <c r="CF48" s="247">
        <f t="shared" si="14"/>
        <v>1.0130674928836953E-3</v>
      </c>
      <c r="CG48" s="196">
        <f t="shared" si="147"/>
        <v>34190.798917361528</v>
      </c>
      <c r="CH48" s="589">
        <f t="shared" si="68"/>
        <v>8.7128598289724002E-4</v>
      </c>
      <c r="CI48" s="196">
        <f t="shared" si="176"/>
        <v>59448.568518365799</v>
      </c>
      <c r="CJ48" s="248">
        <f t="shared" si="70"/>
        <v>9.773343155415155E-4</v>
      </c>
      <c r="CK48" s="196">
        <f t="shared" si="177"/>
        <v>62698.880192071098</v>
      </c>
      <c r="CL48" s="589">
        <f t="shared" si="71"/>
        <v>9.013092993704594E-4</v>
      </c>
      <c r="CM48" s="196">
        <f t="shared" si="178"/>
        <v>6073.951612707986</v>
      </c>
      <c r="CN48" s="589">
        <f t="shared" si="72"/>
        <v>8.7532545573172486E-4</v>
      </c>
      <c r="CO48" s="196">
        <f t="shared" si="179"/>
        <v>485.91458924134224</v>
      </c>
      <c r="CP48" s="589">
        <f t="shared" si="73"/>
        <v>9.1636007068403823E-4</v>
      </c>
      <c r="CQ48" s="196">
        <f>'Detailed Budget'!$AC$12</f>
        <v>292876014141.44696</v>
      </c>
      <c r="CR48" s="269">
        <f t="shared" si="143"/>
        <v>0</v>
      </c>
      <c r="CS48" s="269">
        <f>'Detailed Budget'!$AC$16</f>
        <v>10488008800.000002</v>
      </c>
      <c r="CT48" s="607">
        <f t="shared" si="149"/>
        <v>0</v>
      </c>
      <c r="CU48" s="269">
        <f>'Detailed Budget'!$AC$24</f>
        <v>30624985696</v>
      </c>
      <c r="CV48" s="269">
        <f t="shared" si="18"/>
        <v>0</v>
      </c>
      <c r="CW48" s="269"/>
      <c r="CX48" s="269">
        <f t="shared" si="19"/>
        <v>0</v>
      </c>
      <c r="CY48" s="196">
        <f>'Detailed Budget'!$AC$97</f>
        <v>74629165494.837845</v>
      </c>
      <c r="CZ48" s="269">
        <f t="shared" si="150"/>
        <v>132551749.28386231</v>
      </c>
      <c r="DA48" s="269">
        <f>'Detailed Budget'!$AC$100</f>
        <v>14925833098.967569</v>
      </c>
      <c r="DB48" s="269">
        <f t="shared" si="151"/>
        <v>26510349.85677246</v>
      </c>
      <c r="DC48" s="269">
        <f t="shared" si="22"/>
        <v>159062099.14063478</v>
      </c>
      <c r="DD48" s="207">
        <v>0</v>
      </c>
      <c r="DE48" s="606">
        <v>0</v>
      </c>
      <c r="DF48" s="269">
        <f>'Detailed Budget'!$AC$147</f>
        <v>5913600671000</v>
      </c>
      <c r="DG48" s="269">
        <f t="shared" si="23"/>
        <v>0</v>
      </c>
      <c r="DH48" s="269">
        <f>'Detailed Budget'!$AC$153</f>
        <v>226428026880.00003</v>
      </c>
      <c r="DI48" s="269"/>
      <c r="DJ48" s="269">
        <f>'Detailed Budget'!$AC$156</f>
        <v>27713070000</v>
      </c>
      <c r="DK48" s="269"/>
      <c r="DL48" s="269"/>
      <c r="DM48" s="196">
        <f>'Detailed Budget'!$AC$178</f>
        <v>5622683761.6229038</v>
      </c>
      <c r="DN48" s="269">
        <f t="shared" si="180"/>
        <v>0</v>
      </c>
      <c r="DO48" s="196">
        <f>'Detailed Budget'!$AC$179</f>
        <v>26827890683.128094</v>
      </c>
      <c r="DP48" s="269">
        <f t="shared" si="181"/>
        <v>0</v>
      </c>
      <c r="DQ48" s="269">
        <f t="shared" si="89"/>
        <v>0</v>
      </c>
      <c r="DR48" s="269">
        <f>'Detailed Budget'!$AC$181</f>
        <v>50888946855.375237</v>
      </c>
      <c r="DS48" s="269">
        <f t="shared" si="182"/>
        <v>0</v>
      </c>
      <c r="DT48" s="269">
        <f t="shared" si="183"/>
        <v>0</v>
      </c>
      <c r="DU48" s="272">
        <f>'Detailed Budget'!$AC$192</f>
        <v>77498869683.252869</v>
      </c>
      <c r="DV48" s="269">
        <f t="shared" si="152"/>
        <v>67523678.845398098</v>
      </c>
      <c r="DW48" s="140">
        <f>'Detailed Budget'!$AC$194</f>
        <v>2684962805.4134097</v>
      </c>
      <c r="DX48" s="269">
        <f t="shared" si="153"/>
        <v>2339370.4569571535</v>
      </c>
      <c r="DY48" s="607">
        <f t="shared" si="26"/>
        <v>69863049.302355245</v>
      </c>
      <c r="DZ48" s="196">
        <f>'Detailed Budget'!$AC$198</f>
        <v>18732540018.380611</v>
      </c>
      <c r="EA48" s="269">
        <f t="shared" si="154"/>
        <v>18977327.351764336</v>
      </c>
      <c r="EB48" s="196">
        <f>'Detailed Budget'!$AC$200</f>
        <v>4683135004.5951529</v>
      </c>
      <c r="EC48" s="269">
        <f t="shared" si="155"/>
        <v>4744331.8379410841</v>
      </c>
      <c r="ED48" s="269">
        <f t="shared" si="29"/>
        <v>23721659.18970542</v>
      </c>
      <c r="EE48" s="196">
        <f>'Detailed Budget'!$AC$161</f>
        <v>251147290106.36197</v>
      </c>
      <c r="EF48" s="269">
        <f t="shared" si="156"/>
        <v>218821113.51229987</v>
      </c>
      <c r="EG48" s="196">
        <f>'Detailed Budget'!$AC$163</f>
        <v>15696705631.647623</v>
      </c>
      <c r="EH48" s="269">
        <f t="shared" si="157"/>
        <v>13676319.594518742</v>
      </c>
      <c r="EI48" s="269">
        <f t="shared" si="32"/>
        <v>232497433.10681862</v>
      </c>
      <c r="EJ48" s="196">
        <f>'Detailed Budget'!$AC$204</f>
        <v>45012172507.531975</v>
      </c>
      <c r="EK48" s="269">
        <f t="shared" si="158"/>
        <v>43991940.808685385</v>
      </c>
      <c r="EL48" s="201">
        <f>'Detailed Budget'!$AC$206</f>
        <v>11253043126.882994</v>
      </c>
      <c r="EM48" s="269">
        <f t="shared" si="159"/>
        <v>10997985.202171346</v>
      </c>
      <c r="EN48" s="269">
        <f t="shared" si="35"/>
        <v>54989926.010856733</v>
      </c>
      <c r="EO48" s="140">
        <f>'Detailed Budget'!$AC$209</f>
        <v>135789361677.54817</v>
      </c>
      <c r="EP48" s="269">
        <f t="shared" si="160"/>
        <v>122388214.43555285</v>
      </c>
      <c r="EQ48" s="196">
        <f>'Detailed Budget'!$AC$211</f>
        <v>33947340419.387043</v>
      </c>
      <c r="ER48" s="269">
        <f t="shared" si="161"/>
        <v>30597053.608888213</v>
      </c>
      <c r="ES48" s="269">
        <f t="shared" si="38"/>
        <v>152985268.04444107</v>
      </c>
      <c r="ET48" s="196">
        <f>'Detailed Budget'!$AC$214</f>
        <v>22239745544.201103</v>
      </c>
      <c r="EU48" s="269">
        <f t="shared" si="162"/>
        <v>19467015.403835427</v>
      </c>
      <c r="EV48" s="140">
        <f>'Detailed Budget'!$AC$217</f>
        <v>5559936386.0502758</v>
      </c>
      <c r="EW48" s="269">
        <f t="shared" si="163"/>
        <v>4866753.8509588568</v>
      </c>
      <c r="EX48" s="269">
        <f t="shared" si="41"/>
        <v>24333769.254794285</v>
      </c>
      <c r="EY48" s="196">
        <f>'Detailed Budget'!$AC$219</f>
        <v>372777004.58170313</v>
      </c>
      <c r="EZ48" s="269">
        <f t="shared" si="164"/>
        <v>341597.96226787352</v>
      </c>
      <c r="FA48" s="196">
        <f>'Detailed Budget'!$AC$222</f>
        <v>93194251.145425782</v>
      </c>
      <c r="FB48" s="269">
        <f t="shared" si="165"/>
        <v>85399.490566968379</v>
      </c>
      <c r="FC48" s="269">
        <f t="shared" si="44"/>
        <v>426997.45283484191</v>
      </c>
      <c r="FD48" s="269"/>
      <c r="FE48" s="269">
        <f t="shared" si="45"/>
        <v>232735960.76292694</v>
      </c>
      <c r="FF48" s="140">
        <f>'Detailed Budget'!$AC$165</f>
        <v>14927760000</v>
      </c>
      <c r="FG48" s="1087">
        <f t="shared" si="46"/>
        <v>317467256.17070645</v>
      </c>
      <c r="FH48" s="269">
        <f t="shared" si="166"/>
        <v>16961436.200431772</v>
      </c>
      <c r="FJ48" s="140">
        <f>'Detailed Budget'!$AC$235</f>
        <v>3623696172</v>
      </c>
      <c r="FK48" s="269">
        <f t="shared" si="167"/>
        <v>4681778</v>
      </c>
      <c r="FL48" s="269">
        <f t="shared" si="49"/>
        <v>4681778</v>
      </c>
      <c r="FO48" s="607"/>
      <c r="FP48" s="607"/>
      <c r="FQ48" s="607"/>
      <c r="FR48" s="269">
        <f>'Detailed Budget'!$AC$257</f>
        <v>13636439388</v>
      </c>
      <c r="FS48" s="269">
        <f t="shared" si="168"/>
        <v>29980079.999999996</v>
      </c>
      <c r="FT48" s="269">
        <f t="shared" si="51"/>
        <v>29980079.999999996</v>
      </c>
      <c r="FU48" s="269"/>
      <c r="FV48" s="269"/>
      <c r="FW48" s="605"/>
      <c r="FX48" s="140">
        <f>'Detailed Budget'!$AC$278</f>
        <v>1114560000</v>
      </c>
      <c r="FY48" s="269">
        <f t="shared" si="169"/>
        <v>1440000</v>
      </c>
      <c r="FZ48" s="269">
        <f t="shared" si="54"/>
        <v>1440000</v>
      </c>
      <c r="GB48" s="269">
        <f t="shared" si="74"/>
        <v>1088410751.8735793</v>
      </c>
      <c r="GC48" s="887">
        <f t="shared" si="55"/>
        <v>680256.71992098703</v>
      </c>
      <c r="GD48" s="1078">
        <f t="shared" si="75"/>
        <v>6.107415459544914E-4</v>
      </c>
    </row>
    <row r="49" spans="1:186" ht="14.25" hidden="1" customHeight="1" outlineLevel="1">
      <c r="A49" s="211" t="s">
        <v>289</v>
      </c>
      <c r="B49" s="212" t="s">
        <v>290</v>
      </c>
      <c r="C49" s="213" t="s">
        <v>215</v>
      </c>
      <c r="D49" s="214"/>
      <c r="E49" s="213"/>
      <c r="F49" s="213"/>
      <c r="G49" s="213" t="s">
        <v>215</v>
      </c>
      <c r="H49" s="213" t="s">
        <v>215</v>
      </c>
      <c r="I49" s="214" t="s">
        <v>215</v>
      </c>
      <c r="J49" s="214"/>
      <c r="K49" s="213"/>
      <c r="L49" s="213"/>
      <c r="M49" s="214" t="s">
        <v>215</v>
      </c>
      <c r="N49" s="213"/>
      <c r="O49" s="214"/>
      <c r="P49" s="213"/>
      <c r="Q49" s="214"/>
      <c r="R49" s="214" t="s">
        <v>215</v>
      </c>
      <c r="S49" s="214"/>
      <c r="T49" s="214"/>
      <c r="U49" s="215">
        <f t="shared" si="170"/>
        <v>6</v>
      </c>
      <c r="V49" s="845" t="s">
        <v>216</v>
      </c>
      <c r="W49" s="216">
        <v>79755</v>
      </c>
      <c r="X49" s="217">
        <v>3.03</v>
      </c>
      <c r="Y49" s="218">
        <f t="shared" si="57"/>
        <v>1.0303</v>
      </c>
      <c r="Z49" s="196">
        <v>19</v>
      </c>
      <c r="AA49" s="218">
        <f t="shared" si="184"/>
        <v>1.7632354008841205</v>
      </c>
      <c r="AB49" s="196">
        <f t="shared" si="171"/>
        <v>140626.83939751302</v>
      </c>
      <c r="AC49">
        <v>18.8</v>
      </c>
      <c r="AD49" s="196">
        <f t="shared" si="172"/>
        <v>26437.845806732446</v>
      </c>
      <c r="AE49" s="196">
        <f t="shared" si="95"/>
        <v>25115.953516395824</v>
      </c>
      <c r="AF49" s="196">
        <f t="shared" si="173"/>
        <v>0</v>
      </c>
      <c r="AG49" s="606">
        <f t="shared" si="58"/>
        <v>1.1612514294962119E-3</v>
      </c>
      <c r="AH49" s="196">
        <f t="shared" si="185"/>
        <v>7031.3419698756516</v>
      </c>
      <c r="AI49" s="248">
        <f t="shared" si="59"/>
        <v>5.4470740888258693E-4</v>
      </c>
      <c r="AJ49" s="196">
        <f t="shared" si="80"/>
        <v>33469.187776608102</v>
      </c>
      <c r="AK49" s="196">
        <f t="shared" si="99"/>
        <v>5625.0735759005211</v>
      </c>
      <c r="AL49" s="196">
        <f t="shared" si="100"/>
        <v>5625.0735759005211</v>
      </c>
      <c r="AM49" s="196">
        <f t="shared" si="5"/>
        <v>11250.147151801042</v>
      </c>
      <c r="AN49" s="627">
        <f t="shared" si="6"/>
        <v>5.4470740888258693E-4</v>
      </c>
      <c r="AO49" s="196">
        <f t="shared" si="7"/>
        <v>5343.8198971054944</v>
      </c>
      <c r="AP49" s="589">
        <f t="shared" si="60"/>
        <v>5.4470740888258682E-4</v>
      </c>
      <c r="AQ49" s="196"/>
      <c r="AR49" s="589"/>
      <c r="AS49">
        <v>1</v>
      </c>
      <c r="AT49" s="589">
        <f t="shared" si="61"/>
        <v>1.2919896640826874E-3</v>
      </c>
      <c r="AU49" s="196">
        <v>10</v>
      </c>
      <c r="AV49" s="245">
        <f t="shared" si="8"/>
        <v>1.1362345188046814E-3</v>
      </c>
      <c r="AX49" s="245"/>
      <c r="AY49" s="245"/>
      <c r="AZ49" s="196">
        <v>39</v>
      </c>
      <c r="BA49" s="589">
        <f t="shared" si="62"/>
        <v>1.4290425414971969E-3</v>
      </c>
      <c r="BI49" s="196">
        <v>0</v>
      </c>
      <c r="BK49" s="246">
        <f t="shared" si="63"/>
        <v>0</v>
      </c>
      <c r="BL49" s="246"/>
      <c r="BM49" s="246">
        <f t="shared" si="64"/>
        <v>0</v>
      </c>
      <c r="BN49" s="196">
        <v>1</v>
      </c>
      <c r="BO49" s="196">
        <f t="shared" si="174"/>
        <v>11870.178789783844</v>
      </c>
      <c r="BP49" s="196">
        <f t="shared" si="82"/>
        <v>11870.178789783844</v>
      </c>
      <c r="BQ49" s="248">
        <f t="shared" si="65"/>
        <v>1.1103999493530397E-3</v>
      </c>
      <c r="BR49" s="248"/>
      <c r="BS49" s="248"/>
      <c r="BT49" s="276">
        <v>0</v>
      </c>
      <c r="BU49" s="196">
        <f t="shared" si="186"/>
        <v>0</v>
      </c>
      <c r="BV49" s="264">
        <f t="shared" si="66"/>
        <v>0</v>
      </c>
      <c r="BW49" s="196">
        <f t="shared" si="187"/>
        <v>0</v>
      </c>
      <c r="BX49" s="247">
        <f t="shared" si="67"/>
        <v>0</v>
      </c>
      <c r="BY49" s="196">
        <f t="shared" si="83"/>
        <v>0</v>
      </c>
      <c r="BZ49" s="620">
        <v>1</v>
      </c>
      <c r="CA49" s="196">
        <f t="shared" si="145"/>
        <v>43031.812855638986</v>
      </c>
      <c r="CB49" s="196">
        <f t="shared" si="146"/>
        <v>86063.625711277971</v>
      </c>
      <c r="CC49" s="196">
        <f t="shared" si="12"/>
        <v>129095.43856691696</v>
      </c>
      <c r="CD49" s="247">
        <f t="shared" si="13"/>
        <v>5.4470740888258693E-4</v>
      </c>
      <c r="CE49" s="196">
        <f t="shared" si="175"/>
        <v>14666.517987388141</v>
      </c>
      <c r="CF49" s="247">
        <f t="shared" si="14"/>
        <v>6.3334585876947231E-4</v>
      </c>
      <c r="CG49" s="196">
        <f t="shared" si="147"/>
        <v>21375.279588421978</v>
      </c>
      <c r="CH49" s="589">
        <f t="shared" si="68"/>
        <v>5.4470740888258682E-4</v>
      </c>
      <c r="CI49" s="196">
        <f t="shared" si="176"/>
        <v>37165.840326891979</v>
      </c>
      <c r="CJ49" s="248">
        <f t="shared" si="70"/>
        <v>6.1100632063472828E-4</v>
      </c>
      <c r="CK49" s="196">
        <f t="shared" si="177"/>
        <v>39197.858383647115</v>
      </c>
      <c r="CL49" s="589">
        <f t="shared" si="71"/>
        <v>5.6347727692041341E-4</v>
      </c>
      <c r="CM49" s="196">
        <f t="shared" si="178"/>
        <v>3797.2910268046703</v>
      </c>
      <c r="CN49" s="589">
        <f t="shared" si="72"/>
        <v>5.4723279184996487E-4</v>
      </c>
      <c r="CO49" s="196">
        <f t="shared" si="179"/>
        <v>303.78231951324153</v>
      </c>
      <c r="CP49" s="589">
        <f t="shared" si="73"/>
        <v>5.7288666351084456E-4</v>
      </c>
      <c r="CQ49" s="196">
        <f>'Detailed Budget'!$AC$12</f>
        <v>292876014141.44696</v>
      </c>
      <c r="CR49" s="269">
        <f t="shared" si="143"/>
        <v>0</v>
      </c>
      <c r="CS49" s="269">
        <f>'Detailed Budget'!$AC$16</f>
        <v>10488008800.000002</v>
      </c>
      <c r="CT49" s="607">
        <f t="shared" si="149"/>
        <v>0</v>
      </c>
      <c r="CU49" s="269">
        <f>'Detailed Budget'!$AC$24</f>
        <v>30624985696</v>
      </c>
      <c r="CV49" s="269">
        <f t="shared" si="18"/>
        <v>0</v>
      </c>
      <c r="CW49" s="269"/>
      <c r="CX49" s="269">
        <f t="shared" si="19"/>
        <v>0</v>
      </c>
      <c r="CY49" s="196">
        <f>'Detailed Budget'!$AC$97</f>
        <v>74629165494.837845</v>
      </c>
      <c r="CZ49" s="269">
        <f t="shared" si="150"/>
        <v>82868221.585727558</v>
      </c>
      <c r="DA49" s="269">
        <f>'Detailed Budget'!$AC$100</f>
        <v>14925833098.967569</v>
      </c>
      <c r="DB49" s="269">
        <f t="shared" si="151"/>
        <v>16573644.317145513</v>
      </c>
      <c r="DC49" s="269">
        <f t="shared" si="22"/>
        <v>99441865.902873069</v>
      </c>
      <c r="DD49" s="207">
        <v>0</v>
      </c>
      <c r="DE49" s="606">
        <v>0</v>
      </c>
      <c r="DF49" s="269">
        <f>'Detailed Budget'!$AC$147</f>
        <v>5913600671000</v>
      </c>
      <c r="DG49" s="269">
        <f t="shared" si="23"/>
        <v>0</v>
      </c>
      <c r="DH49" s="269">
        <f>'Detailed Budget'!$AC$153</f>
        <v>226428026880.00003</v>
      </c>
      <c r="DI49" s="269"/>
      <c r="DJ49" s="269">
        <f>'Detailed Budget'!$AC$156</f>
        <v>27713070000</v>
      </c>
      <c r="DK49" s="269"/>
      <c r="DL49" s="269"/>
      <c r="DM49" s="196">
        <f>'Detailed Budget'!$AC$178</f>
        <v>5622683761.6229038</v>
      </c>
      <c r="DN49" s="269">
        <f t="shared" si="180"/>
        <v>0</v>
      </c>
      <c r="DO49" s="196">
        <f>'Detailed Budget'!$AC$179</f>
        <v>26827890683.128094</v>
      </c>
      <c r="DP49" s="269">
        <f t="shared" si="181"/>
        <v>0</v>
      </c>
      <c r="DQ49" s="269">
        <f t="shared" si="89"/>
        <v>0</v>
      </c>
      <c r="DR49" s="269">
        <f>'Detailed Budget'!$AC$181</f>
        <v>50888946855.375237</v>
      </c>
      <c r="DS49" s="269">
        <f t="shared" si="182"/>
        <v>0</v>
      </c>
      <c r="DT49" s="269">
        <f t="shared" si="183"/>
        <v>0</v>
      </c>
      <c r="DU49" s="272">
        <f>'Detailed Budget'!$AC$192</f>
        <v>77498869683.252869</v>
      </c>
      <c r="DV49" s="269">
        <f t="shared" si="152"/>
        <v>42214208.496493943</v>
      </c>
      <c r="DW49" s="140">
        <f>'Detailed Budget'!$AC$194</f>
        <v>2684962805.4134097</v>
      </c>
      <c r="DX49" s="269">
        <f t="shared" si="153"/>
        <v>1462519.1326828599</v>
      </c>
      <c r="DY49" s="607">
        <f t="shared" si="26"/>
        <v>43676727.629176803</v>
      </c>
      <c r="DZ49" s="196">
        <f>'Detailed Budget'!$AC$198</f>
        <v>18732540018.380611</v>
      </c>
      <c r="EA49" s="269">
        <f t="shared" si="154"/>
        <v>11864176.644874776</v>
      </c>
      <c r="EB49" s="196">
        <f>'Detailed Budget'!$AC$200</f>
        <v>4683135004.5951529</v>
      </c>
      <c r="EC49" s="269">
        <f t="shared" si="155"/>
        <v>2966044.1612186939</v>
      </c>
      <c r="ED49" s="269">
        <f t="shared" si="29"/>
        <v>14830220.806093469</v>
      </c>
      <c r="EE49" s="196">
        <f>'Detailed Budget'!$AC$161</f>
        <v>251147290106.36197</v>
      </c>
      <c r="EF49" s="269">
        <f t="shared" si="156"/>
        <v>136801789.64171976</v>
      </c>
      <c r="EG49" s="196">
        <f>'Detailed Budget'!$AC$163</f>
        <v>15696705631.647623</v>
      </c>
      <c r="EH49" s="269">
        <f t="shared" si="157"/>
        <v>8550111.8526074849</v>
      </c>
      <c r="EI49" s="269">
        <f t="shared" si="32"/>
        <v>145351901.49432725</v>
      </c>
      <c r="EJ49" s="196">
        <f>'Detailed Budget'!$AC$204</f>
        <v>45012172507.531975</v>
      </c>
      <c r="EK49" s="269">
        <f t="shared" si="158"/>
        <v>27502721.907602783</v>
      </c>
      <c r="EL49" s="201">
        <f>'Detailed Budget'!$AC$206</f>
        <v>11253043126.882994</v>
      </c>
      <c r="EM49" s="269">
        <f t="shared" si="159"/>
        <v>6875680.4769006958</v>
      </c>
      <c r="EN49" s="269">
        <f t="shared" si="35"/>
        <v>34378402.384503476</v>
      </c>
      <c r="EO49" s="140">
        <f>'Detailed Budget'!$AC$209</f>
        <v>135789361677.54817</v>
      </c>
      <c r="EP49" s="269">
        <f t="shared" si="160"/>
        <v>76514219.75282599</v>
      </c>
      <c r="EQ49" s="196">
        <f>'Detailed Budget'!$AC$211</f>
        <v>33947340419.387043</v>
      </c>
      <c r="ER49" s="269">
        <f t="shared" si="161"/>
        <v>19128554.938206498</v>
      </c>
      <c r="ES49" s="269">
        <f t="shared" si="38"/>
        <v>95642774.691032484</v>
      </c>
      <c r="ET49" s="196">
        <f>'Detailed Budget'!$AC$214</f>
        <v>22239745544.201103</v>
      </c>
      <c r="EU49" s="269">
        <f t="shared" si="162"/>
        <v>12170318.044185987</v>
      </c>
      <c r="EV49" s="140">
        <f>'Detailed Budget'!$AC$217</f>
        <v>5559936386.0502758</v>
      </c>
      <c r="EW49" s="269">
        <f t="shared" si="163"/>
        <v>3042579.5110464967</v>
      </c>
      <c r="EX49" s="269">
        <f t="shared" si="41"/>
        <v>15212897.555232484</v>
      </c>
      <c r="EY49" s="196">
        <f>'Detailed Budget'!$AC$219</f>
        <v>372777004.58170313</v>
      </c>
      <c r="EZ49" s="269">
        <f t="shared" si="164"/>
        <v>213558.97438837873</v>
      </c>
      <c r="FA49" s="196">
        <f>'Detailed Budget'!$AC$222</f>
        <v>93194251.145425782</v>
      </c>
      <c r="FB49" s="269">
        <f t="shared" si="165"/>
        <v>53389.743597094683</v>
      </c>
      <c r="FC49" s="269">
        <f t="shared" si="44"/>
        <v>266948.7179854734</v>
      </c>
      <c r="FD49" s="269"/>
      <c r="FE49" s="269">
        <f t="shared" si="45"/>
        <v>145501023.34875393</v>
      </c>
      <c r="FF49" s="140">
        <f>'Detailed Budget'!$AC$165</f>
        <v>14927760000</v>
      </c>
      <c r="FG49" s="1087">
        <f t="shared" si="46"/>
        <v>198473027.12111351</v>
      </c>
      <c r="FH49" s="269">
        <f t="shared" si="166"/>
        <v>16961436.200431772</v>
      </c>
      <c r="FJ49" s="140">
        <f>'Detailed Budget'!$AC$235</f>
        <v>3623696172</v>
      </c>
      <c r="FK49" s="269">
        <f t="shared" si="167"/>
        <v>4681778</v>
      </c>
      <c r="FL49" s="269">
        <f t="shared" si="49"/>
        <v>4681778</v>
      </c>
      <c r="FO49" s="607"/>
      <c r="FP49" s="607"/>
      <c r="FQ49" s="607"/>
      <c r="FR49" s="269">
        <f>'Detailed Budget'!$AC$257</f>
        <v>13636439388</v>
      </c>
      <c r="FS49" s="269">
        <f t="shared" si="168"/>
        <v>19487052</v>
      </c>
      <c r="FT49" s="269">
        <f t="shared" si="51"/>
        <v>19487052</v>
      </c>
      <c r="FU49" s="269"/>
      <c r="FV49" s="269"/>
      <c r="FW49" s="605"/>
      <c r="FX49" s="140">
        <f>'Detailed Budget'!$AC$278</f>
        <v>1114560000</v>
      </c>
      <c r="FY49" s="269">
        <f t="shared" si="169"/>
        <v>1440000</v>
      </c>
      <c r="FZ49" s="269">
        <f t="shared" si="54"/>
        <v>1440000</v>
      </c>
      <c r="GB49" s="269">
        <f t="shared" si="74"/>
        <v>689845032.50276983</v>
      </c>
      <c r="GC49" s="887">
        <f t="shared" si="55"/>
        <v>431153.14531423117</v>
      </c>
      <c r="GD49" s="1078">
        <f t="shared" si="75"/>
        <v>3.8709377033855757E-4</v>
      </c>
    </row>
    <row r="50" spans="1:186" ht="14.25" hidden="1" customHeight="1" outlineLevel="1">
      <c r="A50" s="211" t="s">
        <v>291</v>
      </c>
      <c r="B50" s="212" t="s">
        <v>292</v>
      </c>
      <c r="C50" s="213" t="s">
        <v>215</v>
      </c>
      <c r="D50" s="214"/>
      <c r="E50" s="213"/>
      <c r="F50" s="213"/>
      <c r="G50" s="213" t="s">
        <v>215</v>
      </c>
      <c r="H50" s="213" t="s">
        <v>215</v>
      </c>
      <c r="I50" s="214" t="s">
        <v>215</v>
      </c>
      <c r="J50" s="214"/>
      <c r="K50" s="213"/>
      <c r="L50" s="213"/>
      <c r="M50" s="214" t="s">
        <v>215</v>
      </c>
      <c r="N50" s="213"/>
      <c r="O50" s="214"/>
      <c r="P50" s="213"/>
      <c r="Q50" s="214"/>
      <c r="R50" s="214" t="s">
        <v>215</v>
      </c>
      <c r="S50" s="214"/>
      <c r="T50" s="214"/>
      <c r="U50" s="215">
        <f t="shared" si="170"/>
        <v>6</v>
      </c>
      <c r="V50" s="845" t="s">
        <v>216</v>
      </c>
      <c r="W50" s="216">
        <v>147048</v>
      </c>
      <c r="X50" s="217">
        <v>3.03</v>
      </c>
      <c r="Y50" s="218">
        <f t="shared" si="57"/>
        <v>1.0303</v>
      </c>
      <c r="Z50" s="196">
        <v>19</v>
      </c>
      <c r="AA50" s="218">
        <f t="shared" si="184"/>
        <v>1.7632354008841205</v>
      </c>
      <c r="AB50" s="196">
        <f t="shared" si="171"/>
        <v>259280.23922920815</v>
      </c>
      <c r="AC50">
        <v>18.8</v>
      </c>
      <c r="AD50" s="196">
        <f t="shared" si="172"/>
        <v>48744.684975091135</v>
      </c>
      <c r="AE50" s="196">
        <f t="shared" si="95"/>
        <v>46307.450726336574</v>
      </c>
      <c r="AF50" s="196">
        <f t="shared" si="173"/>
        <v>0</v>
      </c>
      <c r="AG50" s="606">
        <f t="shared" si="58"/>
        <v>2.1410532280679456E-3</v>
      </c>
      <c r="AH50" s="196">
        <f t="shared" si="185"/>
        <v>12964.011961460408</v>
      </c>
      <c r="AI50" s="248">
        <f t="shared" si="59"/>
        <v>1.004302364257622E-3</v>
      </c>
      <c r="AJ50" s="196">
        <f t="shared" si="80"/>
        <v>61708.69693655154</v>
      </c>
      <c r="AK50" s="196">
        <f t="shared" si="99"/>
        <v>10371.209569168326</v>
      </c>
      <c r="AL50" s="196">
        <f t="shared" si="100"/>
        <v>10371.209569168326</v>
      </c>
      <c r="AM50" s="196">
        <f t="shared" si="5"/>
        <v>20742.419138336652</v>
      </c>
      <c r="AN50" s="627">
        <f t="shared" si="6"/>
        <v>1.004302364257622E-3</v>
      </c>
      <c r="AO50" s="196">
        <f t="shared" si="7"/>
        <v>9852.6490907099087</v>
      </c>
      <c r="AP50" s="589">
        <f t="shared" si="60"/>
        <v>1.004302364257622E-3</v>
      </c>
      <c r="AQ50" s="196"/>
      <c r="AR50" s="589"/>
      <c r="AS50">
        <v>1</v>
      </c>
      <c r="AT50" s="589">
        <f t="shared" si="61"/>
        <v>1.2919896640826874E-3</v>
      </c>
      <c r="AU50" s="196">
        <v>10</v>
      </c>
      <c r="AV50" s="245">
        <f t="shared" si="8"/>
        <v>1.1362345188046814E-3</v>
      </c>
      <c r="AX50" s="245"/>
      <c r="AY50" s="245"/>
      <c r="AZ50" s="196">
        <v>63</v>
      </c>
      <c r="BA50" s="589">
        <f t="shared" si="62"/>
        <v>2.3084533362647025E-3</v>
      </c>
      <c r="BI50" s="196">
        <v>0</v>
      </c>
      <c r="BK50" s="246">
        <f t="shared" si="63"/>
        <v>0</v>
      </c>
      <c r="BL50" s="246"/>
      <c r="BM50" s="246">
        <f t="shared" si="64"/>
        <v>0</v>
      </c>
      <c r="BN50" s="196">
        <v>1</v>
      </c>
      <c r="BO50" s="196">
        <f t="shared" si="174"/>
        <v>21885.600284372573</v>
      </c>
      <c r="BP50" s="196">
        <f t="shared" si="82"/>
        <v>21885.600284372573</v>
      </c>
      <c r="BQ50" s="248">
        <f t="shared" si="65"/>
        <v>2.047295990877886E-3</v>
      </c>
      <c r="BR50" s="248"/>
      <c r="BS50" s="248"/>
      <c r="BT50" s="276">
        <v>0</v>
      </c>
      <c r="BU50" s="196">
        <f t="shared" si="186"/>
        <v>0</v>
      </c>
      <c r="BV50" s="264">
        <f t="shared" si="66"/>
        <v>0</v>
      </c>
      <c r="BW50" s="196">
        <f t="shared" si="187"/>
        <v>0</v>
      </c>
      <c r="BX50" s="247">
        <f t="shared" si="67"/>
        <v>0</v>
      </c>
      <c r="BY50" s="196">
        <f t="shared" si="83"/>
        <v>0</v>
      </c>
      <c r="BZ50" s="620">
        <v>1</v>
      </c>
      <c r="CA50" s="196">
        <f t="shared" si="145"/>
        <v>79339.753204137698</v>
      </c>
      <c r="CB50" s="196">
        <f t="shared" si="146"/>
        <v>158679.5064082754</v>
      </c>
      <c r="CC50" s="196">
        <f t="shared" si="12"/>
        <v>238019.25961241309</v>
      </c>
      <c r="CD50" s="247">
        <f t="shared" si="13"/>
        <v>1.004302364257622E-3</v>
      </c>
      <c r="CE50" s="196">
        <f t="shared" si="175"/>
        <v>27041.340818875949</v>
      </c>
      <c r="CF50" s="247">
        <f t="shared" si="14"/>
        <v>1.1677291936597501E-3</v>
      </c>
      <c r="CG50" s="196">
        <f t="shared" si="147"/>
        <v>39410.596362839635</v>
      </c>
      <c r="CH50" s="589">
        <f t="shared" si="68"/>
        <v>1.004302364257622E-3</v>
      </c>
      <c r="CI50" s="196">
        <f t="shared" si="176"/>
        <v>68524.387040170681</v>
      </c>
      <c r="CJ50" s="248">
        <f t="shared" si="70"/>
        <v>1.1265407490025144E-3</v>
      </c>
      <c r="CK50" s="196">
        <f t="shared" si="177"/>
        <v>72270.913166554354</v>
      </c>
      <c r="CL50" s="589">
        <f t="shared" si="71"/>
        <v>1.038909242261839E-3</v>
      </c>
      <c r="CM50" s="196">
        <f t="shared" si="178"/>
        <v>7001.2419398103348</v>
      </c>
      <c r="CN50" s="589">
        <f t="shared" si="72"/>
        <v>1.0089585301981524E-3</v>
      </c>
      <c r="CO50" s="196">
        <f t="shared" si="179"/>
        <v>560.09758033707158</v>
      </c>
      <c r="CP50" s="589">
        <f t="shared" si="73"/>
        <v>1.0562577656064534E-3</v>
      </c>
      <c r="CQ50" s="196">
        <f>'Detailed Budget'!$AC$12</f>
        <v>292876014141.44696</v>
      </c>
      <c r="CR50" s="269">
        <f t="shared" si="143"/>
        <v>0</v>
      </c>
      <c r="CS50" s="269">
        <f>'Detailed Budget'!$AC$16</f>
        <v>10488008800.000002</v>
      </c>
      <c r="CT50" s="607">
        <f t="shared" si="149"/>
        <v>0</v>
      </c>
      <c r="CU50" s="269">
        <f>'Detailed Budget'!$AC$24</f>
        <v>30624985696</v>
      </c>
      <c r="CV50" s="269">
        <f t="shared" si="18"/>
        <v>0</v>
      </c>
      <c r="CW50" s="269"/>
      <c r="CX50" s="269">
        <f t="shared" si="19"/>
        <v>0</v>
      </c>
      <c r="CY50" s="196">
        <f>'Detailed Budget'!$AC$97</f>
        <v>74629165494.837845</v>
      </c>
      <c r="CZ50" s="269">
        <f t="shared" si="150"/>
        <v>152787991.32014379</v>
      </c>
      <c r="DA50" s="269">
        <f>'Detailed Budget'!$AC$100</f>
        <v>14925833098.967569</v>
      </c>
      <c r="DB50" s="269">
        <f t="shared" si="151"/>
        <v>30557598.264028758</v>
      </c>
      <c r="DC50" s="269">
        <f t="shared" si="22"/>
        <v>183345589.58417255</v>
      </c>
      <c r="DD50" s="207">
        <v>0</v>
      </c>
      <c r="DE50" s="606">
        <v>0</v>
      </c>
      <c r="DF50" s="269">
        <f>'Detailed Budget'!$AC$147</f>
        <v>5913600671000</v>
      </c>
      <c r="DG50" s="269">
        <f t="shared" si="23"/>
        <v>0</v>
      </c>
      <c r="DH50" s="269">
        <f>'Detailed Budget'!$AC$153</f>
        <v>226428026880.00003</v>
      </c>
      <c r="DI50" s="269"/>
      <c r="DJ50" s="269">
        <f>'Detailed Budget'!$AC$156</f>
        <v>27713070000</v>
      </c>
      <c r="DK50" s="269"/>
      <c r="DL50" s="269"/>
      <c r="DM50" s="196">
        <f>'Detailed Budget'!$AC$178</f>
        <v>5622683761.6229038</v>
      </c>
      <c r="DN50" s="269">
        <f t="shared" si="180"/>
        <v>0</v>
      </c>
      <c r="DO50" s="196">
        <f>'Detailed Budget'!$AC$179</f>
        <v>26827890683.128094</v>
      </c>
      <c r="DP50" s="269">
        <f t="shared" si="181"/>
        <v>0</v>
      </c>
      <c r="DQ50" s="269">
        <f t="shared" si="89"/>
        <v>0</v>
      </c>
      <c r="DR50" s="269">
        <f>'Detailed Budget'!$AC$181</f>
        <v>50888946855.375237</v>
      </c>
      <c r="DS50" s="269">
        <f t="shared" si="182"/>
        <v>0</v>
      </c>
      <c r="DT50" s="269">
        <f t="shared" si="183"/>
        <v>0</v>
      </c>
      <c r="DU50" s="272">
        <f>'Detailed Budget'!$AC$192</f>
        <v>77498869683.252869</v>
      </c>
      <c r="DV50" s="269">
        <f t="shared" si="152"/>
        <v>77832298.050184205</v>
      </c>
      <c r="DW50" s="140">
        <f>'Detailed Budget'!$AC$194</f>
        <v>2684962805.4134097</v>
      </c>
      <c r="DX50" s="269">
        <f t="shared" si="153"/>
        <v>2696514.4934204649</v>
      </c>
      <c r="DY50" s="607">
        <f t="shared" si="26"/>
        <v>80528812.543604672</v>
      </c>
      <c r="DZ50" s="196">
        <f>'Detailed Budget'!$AC$198</f>
        <v>18732540018.380611</v>
      </c>
      <c r="EA50" s="269">
        <f t="shared" si="154"/>
        <v>21874533.850862592</v>
      </c>
      <c r="EB50" s="196">
        <f>'Detailed Budget'!$AC$200</f>
        <v>4683135004.5951529</v>
      </c>
      <c r="EC50" s="269">
        <f t="shared" si="155"/>
        <v>5468633.4627156481</v>
      </c>
      <c r="ED50" s="269">
        <f t="shared" si="29"/>
        <v>27343167.313578241</v>
      </c>
      <c r="EE50" s="196">
        <f>'Detailed Budget'!$AC$161</f>
        <v>251147290106.36197</v>
      </c>
      <c r="EF50" s="269">
        <f t="shared" si="156"/>
        <v>252227817.2307142</v>
      </c>
      <c r="EG50" s="196">
        <f>'Detailed Budget'!$AC$163</f>
        <v>15696705631.647623</v>
      </c>
      <c r="EH50" s="269">
        <f t="shared" si="157"/>
        <v>15764238.576919638</v>
      </c>
      <c r="EI50" s="269">
        <f t="shared" si="32"/>
        <v>267992055.80763385</v>
      </c>
      <c r="EJ50" s="196">
        <f>'Detailed Budget'!$AC$204</f>
        <v>45012172507.531975</v>
      </c>
      <c r="EK50" s="269">
        <f t="shared" si="158"/>
        <v>50708046.530865461</v>
      </c>
      <c r="EL50" s="201">
        <f>'Detailed Budget'!$AC$206</f>
        <v>11253043126.882994</v>
      </c>
      <c r="EM50" s="269">
        <f t="shared" si="159"/>
        <v>12677011.632716365</v>
      </c>
      <c r="EN50" s="269">
        <f t="shared" si="35"/>
        <v>63385058.163581826</v>
      </c>
      <c r="EO50" s="140">
        <f>'Detailed Budget'!$AC$209</f>
        <v>135789361677.54817</v>
      </c>
      <c r="EP50" s="269">
        <f t="shared" si="160"/>
        <v>141072822.84764037</v>
      </c>
      <c r="EQ50" s="196">
        <f>'Detailed Budget'!$AC$211</f>
        <v>33947340419.387043</v>
      </c>
      <c r="ER50" s="269">
        <f t="shared" si="161"/>
        <v>35268205.711910091</v>
      </c>
      <c r="ES50" s="269">
        <f t="shared" si="38"/>
        <v>176341028.55955046</v>
      </c>
      <c r="ET50" s="196">
        <f>'Detailed Budget'!$AC$214</f>
        <v>22239745544.201103</v>
      </c>
      <c r="EU50" s="269">
        <f t="shared" si="162"/>
        <v>22438980.976258054</v>
      </c>
      <c r="EV50" s="140">
        <f>'Detailed Budget'!$AC$217</f>
        <v>5559936386.0502758</v>
      </c>
      <c r="EW50" s="269">
        <f t="shared" si="163"/>
        <v>5609745.2440645136</v>
      </c>
      <c r="EX50" s="269">
        <f t="shared" si="41"/>
        <v>28048726.220322568</v>
      </c>
      <c r="EY50" s="196">
        <f>'Detailed Budget'!$AC$219</f>
        <v>372777004.58170313</v>
      </c>
      <c r="EZ50" s="269">
        <f t="shared" si="164"/>
        <v>393748.60592893639</v>
      </c>
      <c r="FA50" s="196">
        <f>'Detailed Budget'!$AC$222</f>
        <v>93194251.145425782</v>
      </c>
      <c r="FB50" s="269">
        <f t="shared" si="165"/>
        <v>98437.151482234098</v>
      </c>
      <c r="FC50" s="269">
        <f t="shared" si="44"/>
        <v>492185.75741117052</v>
      </c>
      <c r="FD50" s="269"/>
      <c r="FE50" s="269">
        <f t="shared" si="45"/>
        <v>268266998.70086604</v>
      </c>
      <c r="FF50" s="140">
        <f>'Detailed Budget'!$AC$165</f>
        <v>14927760000</v>
      </c>
      <c r="FG50" s="1087">
        <f t="shared" si="46"/>
        <v>365933943.8543728</v>
      </c>
      <c r="FH50" s="269">
        <f t="shared" si="166"/>
        <v>16961436.200431772</v>
      </c>
      <c r="FJ50" s="140">
        <f>'Detailed Budget'!$AC$235</f>
        <v>3623696172</v>
      </c>
      <c r="FK50" s="269">
        <f t="shared" si="167"/>
        <v>4681778</v>
      </c>
      <c r="FL50" s="269">
        <f t="shared" si="49"/>
        <v>4681778</v>
      </c>
      <c r="FO50" s="607"/>
      <c r="FP50" s="607"/>
      <c r="FQ50" s="607"/>
      <c r="FR50" s="269">
        <f>'Detailed Budget'!$AC$257</f>
        <v>13636439388</v>
      </c>
      <c r="FS50" s="269">
        <f t="shared" si="168"/>
        <v>31479084</v>
      </c>
      <c r="FT50" s="269">
        <f t="shared" si="51"/>
        <v>31479084</v>
      </c>
      <c r="FU50" s="269"/>
      <c r="FV50" s="269"/>
      <c r="FW50" s="605"/>
      <c r="FX50" s="140">
        <f>'Detailed Budget'!$AC$278</f>
        <v>1114560000</v>
      </c>
      <c r="FY50" s="269">
        <f t="shared" si="169"/>
        <v>1440000</v>
      </c>
      <c r="FZ50" s="269">
        <f t="shared" si="54"/>
        <v>1440000</v>
      </c>
      <c r="GB50" s="269">
        <f t="shared" si="74"/>
        <v>1247972866.0046599</v>
      </c>
      <c r="GC50" s="887">
        <f t="shared" si="55"/>
        <v>779983.04125291249</v>
      </c>
      <c r="GD50" s="1078">
        <f t="shared" si="75"/>
        <v>7.002768726612808E-4</v>
      </c>
    </row>
    <row r="51" spans="1:186" ht="14.25" hidden="1" customHeight="1" outlineLevel="1">
      <c r="A51" s="211" t="s">
        <v>293</v>
      </c>
      <c r="B51" s="212" t="s">
        <v>294</v>
      </c>
      <c r="C51" s="213" t="s">
        <v>215</v>
      </c>
      <c r="D51" s="214"/>
      <c r="E51" s="213"/>
      <c r="F51" s="213"/>
      <c r="G51" s="213" t="s">
        <v>215</v>
      </c>
      <c r="H51" s="213" t="s">
        <v>215</v>
      </c>
      <c r="I51" s="214" t="s">
        <v>215</v>
      </c>
      <c r="J51" s="214"/>
      <c r="K51" s="213"/>
      <c r="L51" s="213"/>
      <c r="M51" s="214"/>
      <c r="N51" s="213" t="s">
        <v>215</v>
      </c>
      <c r="O51" s="214"/>
      <c r="P51" s="213"/>
      <c r="Q51" s="214"/>
      <c r="R51" s="214" t="s">
        <v>215</v>
      </c>
      <c r="S51" s="214"/>
      <c r="T51" s="214"/>
      <c r="U51" s="215">
        <f t="shared" si="170"/>
        <v>6</v>
      </c>
      <c r="V51" s="845" t="s">
        <v>216</v>
      </c>
      <c r="W51" s="216">
        <v>118593</v>
      </c>
      <c r="X51" s="217">
        <v>3.03</v>
      </c>
      <c r="Y51" s="218">
        <f t="shared" si="57"/>
        <v>1.0303</v>
      </c>
      <c r="Z51" s="196">
        <v>19</v>
      </c>
      <c r="AA51" s="218">
        <f t="shared" si="184"/>
        <v>1.7632354008841205</v>
      </c>
      <c r="AB51" s="196">
        <f t="shared" si="171"/>
        <v>209107.37589705049</v>
      </c>
      <c r="AC51">
        <v>18.8</v>
      </c>
      <c r="AD51" s="196">
        <f t="shared" si="172"/>
        <v>39312.186668645496</v>
      </c>
      <c r="AE51" s="196">
        <f t="shared" si="95"/>
        <v>37346.577335213216</v>
      </c>
      <c r="AF51" s="196">
        <f t="shared" si="173"/>
        <v>0</v>
      </c>
      <c r="AG51" s="606">
        <f t="shared" si="58"/>
        <v>1.726741781433694E-3</v>
      </c>
      <c r="AH51" s="196">
        <f t="shared" si="185"/>
        <v>10455.368794852526</v>
      </c>
      <c r="AI51" s="248">
        <f t="shared" si="59"/>
        <v>8.0996157910617067E-4</v>
      </c>
      <c r="AJ51" s="196">
        <f t="shared" si="80"/>
        <v>49767.555463498022</v>
      </c>
      <c r="AK51" s="196">
        <f t="shared" si="99"/>
        <v>8364.2950358820199</v>
      </c>
      <c r="AL51" s="196">
        <f t="shared" si="100"/>
        <v>8364.2950358820199</v>
      </c>
      <c r="AM51" s="196">
        <f t="shared" si="5"/>
        <v>16728.59007176404</v>
      </c>
      <c r="AN51" s="627">
        <f t="shared" si="6"/>
        <v>8.0996157910617056E-4</v>
      </c>
      <c r="AO51" s="196">
        <f t="shared" si="7"/>
        <v>7946.0802840879187</v>
      </c>
      <c r="AP51" s="589">
        <f t="shared" si="60"/>
        <v>8.0996157910617056E-4</v>
      </c>
      <c r="AQ51" s="196"/>
      <c r="AR51" s="589"/>
      <c r="AS51">
        <v>1</v>
      </c>
      <c r="AT51" s="589">
        <f t="shared" si="61"/>
        <v>1.2919896640826874E-3</v>
      </c>
      <c r="AU51" s="196">
        <v>15</v>
      </c>
      <c r="AV51" s="245">
        <f t="shared" si="8"/>
        <v>1.7043517782070218E-3</v>
      </c>
      <c r="AX51" s="245"/>
      <c r="AY51" s="245"/>
      <c r="AZ51" s="196">
        <v>30</v>
      </c>
      <c r="BA51" s="589">
        <f t="shared" si="62"/>
        <v>1.0992634934593821E-3</v>
      </c>
      <c r="BI51" s="196">
        <v>0</v>
      </c>
      <c r="BK51" s="246">
        <f t="shared" si="63"/>
        <v>0</v>
      </c>
      <c r="BL51" s="246"/>
      <c r="BM51" s="246">
        <f t="shared" si="64"/>
        <v>0</v>
      </c>
      <c r="BN51" s="196">
        <v>1</v>
      </c>
      <c r="BO51" s="196">
        <f t="shared" si="174"/>
        <v>17650.556243706793</v>
      </c>
      <c r="BP51" s="196">
        <f t="shared" si="82"/>
        <v>17650.556243706793</v>
      </c>
      <c r="BQ51" s="248">
        <f t="shared" si="65"/>
        <v>1.6511273424064327E-3</v>
      </c>
      <c r="BR51" s="248"/>
      <c r="BS51" s="248"/>
      <c r="BT51" s="276">
        <v>0</v>
      </c>
      <c r="BU51" s="196">
        <f t="shared" si="186"/>
        <v>0</v>
      </c>
      <c r="BV51" s="264">
        <f t="shared" si="66"/>
        <v>0</v>
      </c>
      <c r="BW51" s="196">
        <f t="shared" si="187"/>
        <v>0</v>
      </c>
      <c r="BX51" s="247">
        <f t="shared" si="67"/>
        <v>0</v>
      </c>
      <c r="BY51" s="196">
        <f t="shared" si="83"/>
        <v>0</v>
      </c>
      <c r="BZ51" s="620">
        <v>1</v>
      </c>
      <c r="CA51" s="196">
        <f t="shared" si="145"/>
        <v>63986.857024497447</v>
      </c>
      <c r="CB51" s="196">
        <f t="shared" si="146"/>
        <v>127973.71404899489</v>
      </c>
      <c r="CC51" s="196">
        <f t="shared" si="12"/>
        <v>191960.57107349235</v>
      </c>
      <c r="CD51" s="247">
        <f t="shared" si="13"/>
        <v>8.0996157910617056E-4</v>
      </c>
      <c r="CE51" s="196">
        <f t="shared" si="175"/>
        <v>21808.618490104971</v>
      </c>
      <c r="CF51" s="247">
        <f t="shared" si="14"/>
        <v>9.4176397002129059E-4</v>
      </c>
      <c r="CG51" s="196">
        <f t="shared" si="147"/>
        <v>31784.321136351675</v>
      </c>
      <c r="CH51" s="589">
        <f t="shared" si="68"/>
        <v>8.0996157910617056E-4</v>
      </c>
      <c r="CI51" s="196">
        <f t="shared" si="176"/>
        <v>55264.353355740721</v>
      </c>
      <c r="CJ51" s="248">
        <f t="shared" si="70"/>
        <v>9.085458288889015E-4</v>
      </c>
      <c r="CK51" s="196">
        <f t="shared" si="177"/>
        <v>58285.895797026678</v>
      </c>
      <c r="CL51" s="589">
        <f t="shared" si="71"/>
        <v>8.378717409795322E-4</v>
      </c>
      <c r="CM51" s="196">
        <f t="shared" si="178"/>
        <v>5646.4439187743255</v>
      </c>
      <c r="CN51" s="589">
        <f t="shared" si="72"/>
        <v>8.1371673856012649E-4</v>
      </c>
      <c r="CO51" s="196">
        <f t="shared" si="179"/>
        <v>451.71408210186013</v>
      </c>
      <c r="CP51" s="589">
        <f t="shared" si="73"/>
        <v>8.5186318206684967E-4</v>
      </c>
      <c r="CQ51" s="196">
        <f>'Detailed Budget'!$AC$12</f>
        <v>292876014141.44696</v>
      </c>
      <c r="CR51" s="269">
        <f t="shared" si="143"/>
        <v>0</v>
      </c>
      <c r="CS51" s="269">
        <f>'Detailed Budget'!$AC$16</f>
        <v>10488008800.000002</v>
      </c>
      <c r="CT51" s="607">
        <f t="shared" si="149"/>
        <v>0</v>
      </c>
      <c r="CU51" s="269">
        <f>'Detailed Budget'!$AC$24</f>
        <v>30624985696</v>
      </c>
      <c r="CV51" s="269">
        <f t="shared" si="18"/>
        <v>0</v>
      </c>
      <c r="CW51" s="269"/>
      <c r="CX51" s="269">
        <f t="shared" si="19"/>
        <v>0</v>
      </c>
      <c r="CY51" s="196">
        <f>'Detailed Budget'!$AC$97</f>
        <v>74629165494.837845</v>
      </c>
      <c r="CZ51" s="269">
        <f t="shared" si="150"/>
        <v>123222255.68950146</v>
      </c>
      <c r="DA51" s="269">
        <f>'Detailed Budget'!$AC$100</f>
        <v>14925833098.967569</v>
      </c>
      <c r="DB51" s="269">
        <f t="shared" si="151"/>
        <v>24644451.137900293</v>
      </c>
      <c r="DC51" s="269">
        <f t="shared" si="22"/>
        <v>147866706.82740176</v>
      </c>
      <c r="DD51" s="207">
        <v>0</v>
      </c>
      <c r="DE51" s="606">
        <v>0</v>
      </c>
      <c r="DF51" s="269">
        <f>'Detailed Budget'!$AC$147</f>
        <v>5913600671000</v>
      </c>
      <c r="DG51" s="269">
        <f t="shared" si="23"/>
        <v>0</v>
      </c>
      <c r="DH51" s="269">
        <f>'Detailed Budget'!$AC$153</f>
        <v>226428026880.00003</v>
      </c>
      <c r="DI51" s="269"/>
      <c r="DJ51" s="269">
        <f>'Detailed Budget'!$AC$156</f>
        <v>27713070000</v>
      </c>
      <c r="DK51" s="269"/>
      <c r="DL51" s="269"/>
      <c r="DM51" s="196">
        <f>'Detailed Budget'!$AC$178</f>
        <v>5622683761.6229038</v>
      </c>
      <c r="DN51" s="269">
        <f t="shared" si="180"/>
        <v>0</v>
      </c>
      <c r="DO51" s="196">
        <f>'Detailed Budget'!$AC$179</f>
        <v>26827890683.128094</v>
      </c>
      <c r="DP51" s="269">
        <f t="shared" si="181"/>
        <v>0</v>
      </c>
      <c r="DQ51" s="269">
        <f t="shared" si="89"/>
        <v>0</v>
      </c>
      <c r="DR51" s="269">
        <f>'Detailed Budget'!$AC$181</f>
        <v>50888946855.375237</v>
      </c>
      <c r="DS51" s="269">
        <f t="shared" si="182"/>
        <v>0</v>
      </c>
      <c r="DT51" s="269">
        <f t="shared" si="183"/>
        <v>0</v>
      </c>
      <c r="DU51" s="272">
        <f>'Detailed Budget'!$AC$192</f>
        <v>77498869683.252869</v>
      </c>
      <c r="DV51" s="269">
        <f t="shared" si="152"/>
        <v>62771106.867590822</v>
      </c>
      <c r="DW51" s="140">
        <f>'Detailed Budget'!$AC$194</f>
        <v>2684962805.4134097</v>
      </c>
      <c r="DX51" s="269">
        <f t="shared" si="153"/>
        <v>2174716.7137139789</v>
      </c>
      <c r="DY51" s="607">
        <f t="shared" si="26"/>
        <v>64945823.581304803</v>
      </c>
      <c r="DZ51" s="196">
        <f>'Detailed Budget'!$AC$198</f>
        <v>18732540018.380611</v>
      </c>
      <c r="EA51" s="269">
        <f t="shared" si="154"/>
        <v>17641631.256292824</v>
      </c>
      <c r="EB51" s="196">
        <f>'Detailed Budget'!$AC$200</f>
        <v>4683135004.5951529</v>
      </c>
      <c r="EC51" s="269">
        <f t="shared" si="155"/>
        <v>4410407.8140732059</v>
      </c>
      <c r="ED51" s="269">
        <f t="shared" si="29"/>
        <v>22052039.070366029</v>
      </c>
      <c r="EE51" s="196">
        <f>'Detailed Budget'!$AC$161</f>
        <v>251147290106.36197</v>
      </c>
      <c r="EF51" s="269">
        <f t="shared" si="156"/>
        <v>203419655.68278447</v>
      </c>
      <c r="EG51" s="196">
        <f>'Detailed Budget'!$AC$163</f>
        <v>15696705631.647623</v>
      </c>
      <c r="EH51" s="269">
        <f t="shared" si="157"/>
        <v>12713728.480174029</v>
      </c>
      <c r="EI51" s="269">
        <f t="shared" si="32"/>
        <v>216133384.1629585</v>
      </c>
      <c r="EJ51" s="196">
        <f>'Detailed Budget'!$AC$204</f>
        <v>45012172507.531975</v>
      </c>
      <c r="EK51" s="269">
        <f t="shared" si="158"/>
        <v>40895621.580945864</v>
      </c>
      <c r="EL51" s="201">
        <f>'Detailed Budget'!$AC$206</f>
        <v>11253043126.882994</v>
      </c>
      <c r="EM51" s="269">
        <f t="shared" si="159"/>
        <v>10223905.395236466</v>
      </c>
      <c r="EN51" s="269">
        <f t="shared" si="35"/>
        <v>51119526.976182327</v>
      </c>
      <c r="EO51" s="140">
        <f>'Detailed Budget'!$AC$209</f>
        <v>135789361677.54817</v>
      </c>
      <c r="EP51" s="269">
        <f t="shared" si="160"/>
        <v>113774068.87526666</v>
      </c>
      <c r="EQ51" s="196">
        <f>'Detailed Budget'!$AC$211</f>
        <v>33947340419.387043</v>
      </c>
      <c r="ER51" s="269">
        <f t="shared" si="161"/>
        <v>28443517.218816664</v>
      </c>
      <c r="ES51" s="269">
        <f t="shared" si="38"/>
        <v>142217586.09408331</v>
      </c>
      <c r="ET51" s="196">
        <f>'Detailed Budget'!$AC$214</f>
        <v>22239745544.201103</v>
      </c>
      <c r="EU51" s="269">
        <f t="shared" si="162"/>
        <v>18096853.210634429</v>
      </c>
      <c r="EV51" s="140">
        <f>'Detailed Budget'!$AC$217</f>
        <v>5559936386.0502758</v>
      </c>
      <c r="EW51" s="269">
        <f t="shared" si="163"/>
        <v>4524213.3026586073</v>
      </c>
      <c r="EX51" s="269">
        <f t="shared" si="41"/>
        <v>22621066.513293035</v>
      </c>
      <c r="EY51" s="196">
        <f>'Detailed Budget'!$AC$219</f>
        <v>372777004.58170313</v>
      </c>
      <c r="EZ51" s="269">
        <f t="shared" si="164"/>
        <v>317555.00532431825</v>
      </c>
      <c r="FA51" s="196">
        <f>'Detailed Budget'!$AC$222</f>
        <v>93194251.145425782</v>
      </c>
      <c r="FB51" s="269">
        <f t="shared" si="165"/>
        <v>79388.751331079562</v>
      </c>
      <c r="FC51" s="269">
        <f t="shared" si="44"/>
        <v>396943.75665539782</v>
      </c>
      <c r="FD51" s="269"/>
      <c r="FE51" s="269">
        <f t="shared" si="45"/>
        <v>216355123.34021407</v>
      </c>
      <c r="FF51" s="140">
        <f>'Detailed Budget'!$AC$165</f>
        <v>14927760000</v>
      </c>
      <c r="FG51" s="1087">
        <f t="shared" si="46"/>
        <v>295122709.61537474</v>
      </c>
      <c r="FH51" s="269">
        <f t="shared" si="166"/>
        <v>25442154.300647654</v>
      </c>
      <c r="FJ51" s="140">
        <f>'Detailed Budget'!$AC$235</f>
        <v>3623696172</v>
      </c>
      <c r="FK51" s="269">
        <f t="shared" si="167"/>
        <v>4681778</v>
      </c>
      <c r="FL51" s="269">
        <f t="shared" si="49"/>
        <v>4681778</v>
      </c>
      <c r="FO51" s="607"/>
      <c r="FP51" s="607"/>
      <c r="FQ51" s="607"/>
      <c r="FR51" s="269">
        <f>'Detailed Budget'!$AC$257</f>
        <v>13636439388</v>
      </c>
      <c r="FS51" s="269">
        <f t="shared" si="168"/>
        <v>14990039.999999998</v>
      </c>
      <c r="FT51" s="269">
        <f t="shared" si="51"/>
        <v>14990039.999999998</v>
      </c>
      <c r="FU51" s="269"/>
      <c r="FV51" s="269"/>
      <c r="FW51" s="605"/>
      <c r="FX51" s="140">
        <f>'Detailed Budget'!$AC$278</f>
        <v>1114560000</v>
      </c>
      <c r="FY51" s="269">
        <f t="shared" si="169"/>
        <v>1440000</v>
      </c>
      <c r="FZ51" s="269">
        <f t="shared" si="54"/>
        <v>1440000</v>
      </c>
      <c r="GB51" s="269">
        <f t="shared" si="74"/>
        <v>1009029758.8982676</v>
      </c>
      <c r="GC51" s="887">
        <f t="shared" si="55"/>
        <v>630643.59931141732</v>
      </c>
      <c r="GD51" s="1078">
        <f t="shared" si="75"/>
        <v>5.6619837115978342E-4</v>
      </c>
    </row>
    <row r="52" spans="1:186" ht="14.25" hidden="1" customHeight="1" outlineLevel="1">
      <c r="A52" s="211" t="s">
        <v>295</v>
      </c>
      <c r="B52" s="212" t="s">
        <v>296</v>
      </c>
      <c r="C52" s="213" t="s">
        <v>215</v>
      </c>
      <c r="D52" s="214"/>
      <c r="E52" s="213"/>
      <c r="F52" s="213"/>
      <c r="G52" s="213" t="s">
        <v>215</v>
      </c>
      <c r="H52" s="213" t="s">
        <v>215</v>
      </c>
      <c r="I52" s="214" t="s">
        <v>215</v>
      </c>
      <c r="J52" s="214"/>
      <c r="K52" s="213"/>
      <c r="L52" s="213"/>
      <c r="M52" s="214" t="s">
        <v>215</v>
      </c>
      <c r="N52" s="213"/>
      <c r="O52" s="214"/>
      <c r="P52" s="213"/>
      <c r="Q52" s="214"/>
      <c r="R52" s="214" t="s">
        <v>215</v>
      </c>
      <c r="S52" s="214"/>
      <c r="T52" s="214"/>
      <c r="U52" s="215">
        <f t="shared" si="170"/>
        <v>6</v>
      </c>
      <c r="V52" s="845" t="s">
        <v>216</v>
      </c>
      <c r="W52" s="216">
        <v>144579</v>
      </c>
      <c r="X52" s="217">
        <v>3.03</v>
      </c>
      <c r="Y52" s="218">
        <f t="shared" si="57"/>
        <v>1.0303</v>
      </c>
      <c r="Z52" s="196">
        <v>19</v>
      </c>
      <c r="AA52" s="218">
        <f t="shared" si="184"/>
        <v>1.7632354008841205</v>
      </c>
      <c r="AB52" s="196">
        <f t="shared" si="171"/>
        <v>254926.81102442526</v>
      </c>
      <c r="AC52">
        <v>18.8</v>
      </c>
      <c r="AD52" s="196">
        <f t="shared" si="172"/>
        <v>47926.240472591948</v>
      </c>
      <c r="AE52" s="196">
        <f t="shared" si="95"/>
        <v>45529.928448962346</v>
      </c>
      <c r="AF52" s="196">
        <f t="shared" si="173"/>
        <v>0</v>
      </c>
      <c r="AG52" s="606">
        <f t="shared" si="58"/>
        <v>2.1051040113489162E-3</v>
      </c>
      <c r="AH52" s="196">
        <f t="shared" si="185"/>
        <v>12746.340551221263</v>
      </c>
      <c r="AI52" s="248">
        <f t="shared" si="59"/>
        <v>9.8743968991079614E-4</v>
      </c>
      <c r="AJ52" s="196">
        <f t="shared" si="80"/>
        <v>60672.581023813211</v>
      </c>
      <c r="AK52" s="196">
        <f t="shared" si="99"/>
        <v>10197.07244097701</v>
      </c>
      <c r="AL52" s="196">
        <f t="shared" si="100"/>
        <v>10197.07244097701</v>
      </c>
      <c r="AM52" s="196">
        <f t="shared" si="5"/>
        <v>20394.14488195402</v>
      </c>
      <c r="AN52" s="627">
        <f t="shared" si="6"/>
        <v>9.8743968991079592E-4</v>
      </c>
      <c r="AO52" s="196">
        <f t="shared" si="7"/>
        <v>9687.2188189281605</v>
      </c>
      <c r="AP52" s="589">
        <f t="shared" si="60"/>
        <v>9.8743968991079614E-4</v>
      </c>
      <c r="AQ52" s="196"/>
      <c r="AR52" s="589"/>
      <c r="AS52">
        <v>1</v>
      </c>
      <c r="AT52" s="589">
        <f t="shared" si="61"/>
        <v>1.2919896640826874E-3</v>
      </c>
      <c r="AU52" s="196">
        <v>15</v>
      </c>
      <c r="AV52" s="245">
        <f t="shared" si="8"/>
        <v>1.7043517782070218E-3</v>
      </c>
      <c r="AX52" s="245"/>
      <c r="AY52" s="245"/>
      <c r="AZ52" s="196">
        <v>38</v>
      </c>
      <c r="BA52" s="589">
        <f t="shared" si="62"/>
        <v>1.3924004250485508E-3</v>
      </c>
      <c r="BI52" s="196">
        <v>0</v>
      </c>
      <c r="BK52" s="246">
        <f t="shared" si="63"/>
        <v>0</v>
      </c>
      <c r="BL52" s="246"/>
      <c r="BM52" s="246">
        <f t="shared" si="64"/>
        <v>0</v>
      </c>
      <c r="BN52" s="196">
        <v>1</v>
      </c>
      <c r="BO52" s="196">
        <f t="shared" si="174"/>
        <v>21518.131518377006</v>
      </c>
      <c r="BP52" s="196">
        <f t="shared" si="82"/>
        <v>21518.131518377006</v>
      </c>
      <c r="BQ52" s="248">
        <f t="shared" si="65"/>
        <v>2.0129209990284386E-3</v>
      </c>
      <c r="BR52" s="248"/>
      <c r="BS52" s="248"/>
      <c r="BT52" s="276">
        <v>0</v>
      </c>
      <c r="BU52" s="196">
        <f t="shared" si="186"/>
        <v>0</v>
      </c>
      <c r="BV52" s="264">
        <f t="shared" si="66"/>
        <v>0</v>
      </c>
      <c r="BW52" s="196">
        <f t="shared" si="187"/>
        <v>0</v>
      </c>
      <c r="BX52" s="247">
        <f t="shared" si="67"/>
        <v>0</v>
      </c>
      <c r="BY52" s="196">
        <f t="shared" si="83"/>
        <v>0</v>
      </c>
      <c r="BZ52" s="620">
        <v>1</v>
      </c>
      <c r="CA52" s="196">
        <f t="shared" si="145"/>
        <v>78007.604173474116</v>
      </c>
      <c r="CB52" s="196">
        <f t="shared" si="146"/>
        <v>156015.20834694823</v>
      </c>
      <c r="CC52" s="196">
        <f t="shared" si="12"/>
        <v>234022.81252042233</v>
      </c>
      <c r="CD52" s="247">
        <f t="shared" si="13"/>
        <v>9.8743968991079571E-4</v>
      </c>
      <c r="CE52" s="196">
        <f t="shared" si="175"/>
        <v>26587.304922557709</v>
      </c>
      <c r="CF52" s="247">
        <f t="shared" si="14"/>
        <v>1.1481225116297604E-3</v>
      </c>
      <c r="CG52" s="196">
        <f t="shared" si="147"/>
        <v>38748.875275712642</v>
      </c>
      <c r="CH52" s="589">
        <f t="shared" si="68"/>
        <v>9.8743968991079614E-4</v>
      </c>
      <c r="CI52" s="196">
        <f t="shared" si="176"/>
        <v>67373.832720477905</v>
      </c>
      <c r="CJ52" s="248">
        <f t="shared" si="70"/>
        <v>1.1076256389072581E-3</v>
      </c>
      <c r="CK52" s="196">
        <f t="shared" si="177"/>
        <v>71057.45304055314</v>
      </c>
      <c r="CL52" s="589">
        <f t="shared" si="71"/>
        <v>1.0214655033524726E-3</v>
      </c>
      <c r="CM52" s="196">
        <f t="shared" si="178"/>
        <v>6883.6880366671985</v>
      </c>
      <c r="CN52" s="589">
        <f t="shared" si="72"/>
        <v>9.9201767679613908E-4</v>
      </c>
      <c r="CO52" s="196">
        <f t="shared" si="179"/>
        <v>550.69329788608798</v>
      </c>
      <c r="CP52" s="589">
        <f t="shared" si="73"/>
        <v>1.0385227374300596E-3</v>
      </c>
      <c r="CQ52" s="196">
        <f>'Detailed Budget'!$AC$12</f>
        <v>292876014141.44696</v>
      </c>
      <c r="CR52" s="269">
        <f t="shared" si="143"/>
        <v>0</v>
      </c>
      <c r="CS52" s="269">
        <f>'Detailed Budget'!$AC$16</f>
        <v>10488008800.000002</v>
      </c>
      <c r="CT52" s="607">
        <f t="shared" si="149"/>
        <v>0</v>
      </c>
      <c r="CU52" s="269">
        <f>'Detailed Budget'!$AC$24</f>
        <v>30624985696</v>
      </c>
      <c r="CV52" s="269">
        <f t="shared" si="18"/>
        <v>0</v>
      </c>
      <c r="CW52" s="269"/>
      <c r="CX52" s="269">
        <f t="shared" si="19"/>
        <v>0</v>
      </c>
      <c r="CY52" s="196">
        <f>'Detailed Budget'!$AC$97</f>
        <v>74629165494.837845</v>
      </c>
      <c r="CZ52" s="269">
        <f t="shared" si="150"/>
        <v>150222614.36452767</v>
      </c>
      <c r="DA52" s="269">
        <f>'Detailed Budget'!$AC$100</f>
        <v>14925833098.967569</v>
      </c>
      <c r="DB52" s="269">
        <f t="shared" si="151"/>
        <v>30044522.872905534</v>
      </c>
      <c r="DC52" s="269">
        <f t="shared" si="22"/>
        <v>180267137.2374332</v>
      </c>
      <c r="DD52" s="207">
        <v>0</v>
      </c>
      <c r="DE52" s="606">
        <v>0</v>
      </c>
      <c r="DF52" s="269">
        <f>'Detailed Budget'!$AC$147</f>
        <v>5913600671000</v>
      </c>
      <c r="DG52" s="269">
        <f t="shared" si="23"/>
        <v>0</v>
      </c>
      <c r="DH52" s="269">
        <f>'Detailed Budget'!$AC$153</f>
        <v>226428026880.00003</v>
      </c>
      <c r="DI52" s="269"/>
      <c r="DJ52" s="269">
        <f>'Detailed Budget'!$AC$156</f>
        <v>27713070000</v>
      </c>
      <c r="DK52" s="269"/>
      <c r="DL52" s="269"/>
      <c r="DM52" s="196">
        <f>'Detailed Budget'!$AC$178</f>
        <v>5622683761.6229038</v>
      </c>
      <c r="DN52" s="269">
        <f t="shared" si="180"/>
        <v>0</v>
      </c>
      <c r="DO52" s="196">
        <f>'Detailed Budget'!$AC$179</f>
        <v>26827890683.128094</v>
      </c>
      <c r="DP52" s="269">
        <f t="shared" si="181"/>
        <v>0</v>
      </c>
      <c r="DQ52" s="269">
        <f t="shared" si="89"/>
        <v>0</v>
      </c>
      <c r="DR52" s="269">
        <f>'Detailed Budget'!$AC$181</f>
        <v>50888946855.375237</v>
      </c>
      <c r="DS52" s="269">
        <f t="shared" si="182"/>
        <v>0</v>
      </c>
      <c r="DT52" s="269">
        <f t="shared" si="183"/>
        <v>0</v>
      </c>
      <c r="DU52" s="272">
        <f>'Detailed Budget'!$AC$192</f>
        <v>77498869683.252869</v>
      </c>
      <c r="DV52" s="269">
        <f t="shared" si="152"/>
        <v>76525459.848468378</v>
      </c>
      <c r="DW52" s="140">
        <f>'Detailed Budget'!$AC$194</f>
        <v>2684962805.4134097</v>
      </c>
      <c r="DX52" s="269">
        <f t="shared" si="153"/>
        <v>2651238.8399994378</v>
      </c>
      <c r="DY52" s="607">
        <f t="shared" si="26"/>
        <v>79176698.688467816</v>
      </c>
      <c r="DZ52" s="196">
        <f>'Detailed Budget'!$AC$198</f>
        <v>18732540018.380611</v>
      </c>
      <c r="EA52" s="269">
        <f t="shared" si="154"/>
        <v>21507250.895108145</v>
      </c>
      <c r="EB52" s="196">
        <f>'Detailed Budget'!$AC$200</f>
        <v>4683135004.5951529</v>
      </c>
      <c r="EC52" s="269">
        <f t="shared" si="155"/>
        <v>5376812.7237770362</v>
      </c>
      <c r="ED52" s="269">
        <f t="shared" si="29"/>
        <v>26884063.618885182</v>
      </c>
      <c r="EE52" s="196">
        <f>'Detailed Budget'!$AC$161</f>
        <v>251147290106.36197</v>
      </c>
      <c r="EF52" s="269">
        <f t="shared" si="156"/>
        <v>247992802.26456282</v>
      </c>
      <c r="EG52" s="196">
        <f>'Detailed Budget'!$AC$163</f>
        <v>15696705631.647623</v>
      </c>
      <c r="EH52" s="269">
        <f t="shared" si="157"/>
        <v>15499550.141535176</v>
      </c>
      <c r="EI52" s="269">
        <f t="shared" si="32"/>
        <v>263492352.40609798</v>
      </c>
      <c r="EJ52" s="196">
        <f>'Detailed Budget'!$AC$204</f>
        <v>45012172507.531975</v>
      </c>
      <c r="EK52" s="269">
        <f t="shared" si="158"/>
        <v>49856636.332258821</v>
      </c>
      <c r="EL52" s="201">
        <f>'Detailed Budget'!$AC$206</f>
        <v>11253043126.882994</v>
      </c>
      <c r="EM52" s="269">
        <f t="shared" si="159"/>
        <v>12464159.083064705</v>
      </c>
      <c r="EN52" s="269">
        <f t="shared" si="35"/>
        <v>62320795.415323526</v>
      </c>
      <c r="EO52" s="140">
        <f>'Detailed Budget'!$AC$209</f>
        <v>135789361677.54817</v>
      </c>
      <c r="EP52" s="269">
        <f t="shared" si="160"/>
        <v>138704148.67586771</v>
      </c>
      <c r="EQ52" s="196">
        <f>'Detailed Budget'!$AC$211</f>
        <v>33947340419.387043</v>
      </c>
      <c r="ER52" s="269">
        <f t="shared" si="161"/>
        <v>34676037.168966927</v>
      </c>
      <c r="ES52" s="269">
        <f t="shared" si="38"/>
        <v>173380185.84483463</v>
      </c>
      <c r="ET52" s="196">
        <f>'Detailed Budget'!$AC$214</f>
        <v>22239745544.201103</v>
      </c>
      <c r="EU52" s="269">
        <f t="shared" si="162"/>
        <v>22062220.707295664</v>
      </c>
      <c r="EV52" s="140">
        <f>'Detailed Budget'!$AC$217</f>
        <v>5559936386.0502758</v>
      </c>
      <c r="EW52" s="269">
        <f t="shared" si="163"/>
        <v>5515555.1768239159</v>
      </c>
      <c r="EX52" s="269">
        <f t="shared" si="41"/>
        <v>27577775.884119578</v>
      </c>
      <c r="EY52" s="196">
        <f>'Detailed Budget'!$AC$219</f>
        <v>372777004.58170313</v>
      </c>
      <c r="EZ52" s="269">
        <f t="shared" si="164"/>
        <v>387137.39524916821</v>
      </c>
      <c r="FA52" s="196">
        <f>'Detailed Budget'!$AC$222</f>
        <v>93194251.145425782</v>
      </c>
      <c r="FB52" s="269">
        <f t="shared" si="165"/>
        <v>96784.348812292053</v>
      </c>
      <c r="FC52" s="269">
        <f t="shared" si="44"/>
        <v>483921.74406146025</v>
      </c>
      <c r="FD52" s="269"/>
      <c r="FE52" s="269">
        <f t="shared" si="45"/>
        <v>263762678.88833919</v>
      </c>
      <c r="FF52" s="140">
        <f>'Detailed Budget'!$AC$165</f>
        <v>14927760000</v>
      </c>
      <c r="FG52" s="1087">
        <f t="shared" si="46"/>
        <v>359789753.47180074</v>
      </c>
      <c r="FH52" s="269">
        <f t="shared" si="166"/>
        <v>25442154.300647654</v>
      </c>
      <c r="FJ52" s="140">
        <f>'Detailed Budget'!$AC$235</f>
        <v>3623696172</v>
      </c>
      <c r="FK52" s="269">
        <f t="shared" si="167"/>
        <v>4681778</v>
      </c>
      <c r="FL52" s="269">
        <f t="shared" si="49"/>
        <v>4681778</v>
      </c>
      <c r="FO52" s="607"/>
      <c r="FP52" s="607"/>
      <c r="FQ52" s="607"/>
      <c r="FR52" s="269">
        <f>'Detailed Budget'!$AC$257</f>
        <v>13636439388</v>
      </c>
      <c r="FS52" s="269">
        <f t="shared" si="168"/>
        <v>18987384</v>
      </c>
      <c r="FT52" s="269">
        <f t="shared" si="51"/>
        <v>18987384</v>
      </c>
      <c r="FU52" s="269"/>
      <c r="FV52" s="269"/>
      <c r="FW52" s="605"/>
      <c r="FX52" s="140">
        <f>'Detailed Budget'!$AC$278</f>
        <v>1114560000</v>
      </c>
      <c r="FY52" s="269">
        <f t="shared" si="169"/>
        <v>1440000</v>
      </c>
      <c r="FZ52" s="269">
        <f t="shared" si="54"/>
        <v>1440000</v>
      </c>
      <c r="GB52" s="269">
        <f t="shared" si="74"/>
        <v>1223924000.6116717</v>
      </c>
      <c r="GC52" s="887">
        <f t="shared" si="55"/>
        <v>764952.50038229476</v>
      </c>
      <c r="GD52" s="1078">
        <f t="shared" si="75"/>
        <v>6.8678229701207676E-4</v>
      </c>
    </row>
    <row r="53" spans="1:186" ht="14.25" hidden="1" customHeight="1" outlineLevel="1">
      <c r="A53" s="211" t="s">
        <v>297</v>
      </c>
      <c r="B53" s="212" t="s">
        <v>276</v>
      </c>
      <c r="C53" s="213" t="s">
        <v>215</v>
      </c>
      <c r="D53" s="214" t="s">
        <v>215</v>
      </c>
      <c r="E53" s="213"/>
      <c r="F53" s="213"/>
      <c r="G53" s="213"/>
      <c r="H53" s="213" t="s">
        <v>215</v>
      </c>
      <c r="I53" s="214" t="s">
        <v>215</v>
      </c>
      <c r="J53" s="214"/>
      <c r="K53" s="213"/>
      <c r="L53" s="213"/>
      <c r="M53" s="214" t="s">
        <v>215</v>
      </c>
      <c r="N53" s="213"/>
      <c r="O53" s="214"/>
      <c r="P53" s="213"/>
      <c r="Q53" s="214"/>
      <c r="R53" s="214" t="s">
        <v>215</v>
      </c>
      <c r="S53" s="214"/>
      <c r="T53" s="214"/>
      <c r="U53" s="215">
        <f t="shared" si="170"/>
        <v>6</v>
      </c>
      <c r="V53" s="845" t="s">
        <v>219</v>
      </c>
      <c r="W53" s="216">
        <v>115100</v>
      </c>
      <c r="X53" s="217">
        <v>3.03</v>
      </c>
      <c r="Y53" s="218">
        <f t="shared" si="57"/>
        <v>1.0303</v>
      </c>
      <c r="Z53" s="196">
        <v>19</v>
      </c>
      <c r="AA53" s="218">
        <f t="shared" si="184"/>
        <v>1.7632354008841205</v>
      </c>
      <c r="AB53" s="196">
        <f t="shared" si="171"/>
        <v>202948.39464176225</v>
      </c>
      <c r="AC53">
        <v>18.8</v>
      </c>
      <c r="AD53" s="196">
        <f t="shared" si="172"/>
        <v>38154.298192651302</v>
      </c>
      <c r="AE53" s="196">
        <f t="shared" si="95"/>
        <v>36246.583283018736</v>
      </c>
      <c r="AF53" s="196">
        <f t="shared" si="173"/>
        <v>36246.583283018736</v>
      </c>
      <c r="AG53" s="606">
        <f t="shared" si="58"/>
        <v>1.6758828855245938E-3</v>
      </c>
      <c r="AH53" s="196">
        <f t="shared" si="185"/>
        <v>10147.419732088114</v>
      </c>
      <c r="AI53" s="248">
        <f t="shared" si="59"/>
        <v>7.8610523180221625E-4</v>
      </c>
      <c r="AJ53" s="196">
        <f t="shared" si="80"/>
        <v>48301.717924739416</v>
      </c>
      <c r="AK53" s="196">
        <f t="shared" si="99"/>
        <v>8117.9357856704901</v>
      </c>
      <c r="AL53" s="196">
        <f t="shared" si="100"/>
        <v>8117.9357856704901</v>
      </c>
      <c r="AM53" s="196">
        <f t="shared" si="5"/>
        <v>16235.87157134098</v>
      </c>
      <c r="AN53" s="627">
        <f t="shared" si="6"/>
        <v>7.8610523180221614E-4</v>
      </c>
      <c r="AO53" s="196">
        <f t="shared" si="7"/>
        <v>7712.0389963869657</v>
      </c>
      <c r="AP53" s="589">
        <f t="shared" si="60"/>
        <v>7.8610523180221614E-4</v>
      </c>
      <c r="AQ53" s="196"/>
      <c r="AR53" s="589"/>
      <c r="AS53">
        <v>1</v>
      </c>
      <c r="AT53" s="589">
        <f t="shared" si="61"/>
        <v>1.2919896640826874E-3</v>
      </c>
      <c r="AU53" s="196">
        <v>11</v>
      </c>
      <c r="AV53" s="245">
        <f t="shared" si="8"/>
        <v>1.2498579706851495E-3</v>
      </c>
      <c r="AX53" s="245"/>
      <c r="AY53" s="245"/>
      <c r="AZ53" s="196">
        <v>56</v>
      </c>
      <c r="BA53" s="589">
        <f t="shared" si="62"/>
        <v>2.0519585211241803E-3</v>
      </c>
      <c r="BI53" s="196">
        <v>0</v>
      </c>
      <c r="BK53" s="246">
        <f t="shared" si="63"/>
        <v>0</v>
      </c>
      <c r="BL53" s="246"/>
      <c r="BM53" s="246">
        <f t="shared" si="64"/>
        <v>0</v>
      </c>
      <c r="BN53" s="196">
        <v>1</v>
      </c>
      <c r="BO53" s="196">
        <f t="shared" si="174"/>
        <v>17130.682448800955</v>
      </c>
      <c r="BP53" s="196">
        <f t="shared" si="82"/>
        <v>17130.682448800955</v>
      </c>
      <c r="BQ53" s="248">
        <f t="shared" si="65"/>
        <v>1.6024955698142418E-3</v>
      </c>
      <c r="BR53" s="248"/>
      <c r="BS53" s="248"/>
      <c r="BT53" s="276">
        <v>1</v>
      </c>
      <c r="BU53" s="196">
        <f t="shared" si="186"/>
        <v>30218.204168579832</v>
      </c>
      <c r="BV53" s="264">
        <f t="shared" si="66"/>
        <v>2.0959918791496504E-3</v>
      </c>
      <c r="BW53" s="196">
        <f t="shared" si="187"/>
        <v>129266.76227670263</v>
      </c>
      <c r="BX53" s="247">
        <f t="shared" si="67"/>
        <v>2.0959918980304258E-3</v>
      </c>
      <c r="BY53" s="196">
        <f t="shared" si="83"/>
        <v>159484.96644528245</v>
      </c>
      <c r="BZ53" s="620">
        <v>0</v>
      </c>
      <c r="CA53" s="196">
        <f t="shared" si="145"/>
        <v>62102.208760379246</v>
      </c>
      <c r="CB53" s="196">
        <f t="shared" si="146"/>
        <v>124204.41752075849</v>
      </c>
      <c r="CC53" s="196">
        <f t="shared" si="12"/>
        <v>186306.62628113775</v>
      </c>
      <c r="CD53" s="247">
        <f t="shared" si="13"/>
        <v>7.8610523180221625E-4</v>
      </c>
      <c r="CE53" s="196">
        <f t="shared" si="175"/>
        <v>21166.274469918812</v>
      </c>
      <c r="CF53" s="247">
        <f t="shared" si="14"/>
        <v>9.1402555757465046E-4</v>
      </c>
      <c r="CG53" s="196">
        <f t="shared" si="147"/>
        <v>30848.155985547863</v>
      </c>
      <c r="CH53" s="589">
        <f t="shared" si="68"/>
        <v>7.8610523180221614E-4</v>
      </c>
      <c r="CI53" s="196">
        <f t="shared" si="176"/>
        <v>53636.614903457667</v>
      </c>
      <c r="CJ53" s="248">
        <f t="shared" si="70"/>
        <v>8.8178581286511458E-4</v>
      </c>
      <c r="CK53" s="196">
        <f t="shared" si="177"/>
        <v>56569.161807507771</v>
      </c>
      <c r="CL53" s="589">
        <f t="shared" si="71"/>
        <v>8.1319333676308165E-4</v>
      </c>
      <c r="CM53" s="196">
        <f t="shared" si="178"/>
        <v>5480.1353794146762</v>
      </c>
      <c r="CN53" s="589">
        <f t="shared" si="72"/>
        <v>7.8974978799988644E-4</v>
      </c>
      <c r="CO53" s="196">
        <f t="shared" si="179"/>
        <v>438.40944111308499</v>
      </c>
      <c r="CP53" s="589">
        <f t="shared" si="73"/>
        <v>8.2677267845399289E-4</v>
      </c>
      <c r="CQ53" s="196">
        <f>'Detailed Budget'!$AC$12</f>
        <v>292876014141.44696</v>
      </c>
      <c r="CR53" s="269">
        <f t="shared" si="143"/>
        <v>0</v>
      </c>
      <c r="CS53" s="269">
        <f>'Detailed Budget'!$AC$16</f>
        <v>10488008800.000002</v>
      </c>
      <c r="CT53" s="607">
        <f t="shared" si="149"/>
        <v>0</v>
      </c>
      <c r="CU53" s="269">
        <f>'Detailed Budget'!$AC$24</f>
        <v>30624985696</v>
      </c>
      <c r="CV53" s="269">
        <f t="shared" si="18"/>
        <v>0</v>
      </c>
      <c r="CW53" s="269"/>
      <c r="CX53" s="269">
        <f t="shared" si="19"/>
        <v>0</v>
      </c>
      <c r="CY53" s="196">
        <f>'Detailed Budget'!$AC$97</f>
        <v>74629165494.837845</v>
      </c>
      <c r="CZ53" s="269">
        <f t="shared" si="150"/>
        <v>119592907.08441153</v>
      </c>
      <c r="DA53" s="269">
        <f>'Detailed Budget'!$AC$100</f>
        <v>14925833098.967569</v>
      </c>
      <c r="DB53" s="269">
        <f t="shared" si="151"/>
        <v>23918581.416882306</v>
      </c>
      <c r="DC53" s="269">
        <f t="shared" si="22"/>
        <v>143511488.50129384</v>
      </c>
      <c r="DD53" s="207">
        <v>0</v>
      </c>
      <c r="DE53" s="606">
        <v>0</v>
      </c>
      <c r="DF53" s="269">
        <f>'Detailed Budget'!$AC$147</f>
        <v>5913600671000</v>
      </c>
      <c r="DG53" s="269">
        <f t="shared" si="23"/>
        <v>0</v>
      </c>
      <c r="DH53" s="269">
        <f>'Detailed Budget'!$AC$153</f>
        <v>226428026880.00003</v>
      </c>
      <c r="DI53" s="269"/>
      <c r="DJ53" s="269">
        <f>'Detailed Budget'!$AC$156</f>
        <v>27713070000</v>
      </c>
      <c r="DK53" s="269"/>
      <c r="DL53" s="269"/>
      <c r="DM53" s="196">
        <f>'Detailed Budget'!$AC$178</f>
        <v>5622683761.6229038</v>
      </c>
      <c r="DN53" s="269">
        <f t="shared" si="180"/>
        <v>11785099.503388215</v>
      </c>
      <c r="DO53" s="196">
        <f>'Detailed Budget'!$AC$179</f>
        <v>26827890683.128094</v>
      </c>
      <c r="DP53" s="269">
        <f t="shared" si="181"/>
        <v>56231041.51308243</v>
      </c>
      <c r="DQ53" s="269">
        <f t="shared" si="89"/>
        <v>68016141.016470641</v>
      </c>
      <c r="DR53" s="269">
        <f>'Detailed Budget'!$AC$181</f>
        <v>50888946855.375237</v>
      </c>
      <c r="DS53" s="269">
        <f t="shared" si="182"/>
        <v>85283915.097293958</v>
      </c>
      <c r="DT53" s="269">
        <f t="shared" si="183"/>
        <v>153300056.11376458</v>
      </c>
      <c r="DU53" s="272">
        <f>'Detailed Budget'!$AC$192</f>
        <v>77498869683.252869</v>
      </c>
      <c r="DV53" s="269">
        <f t="shared" si="152"/>
        <v>0</v>
      </c>
      <c r="DW53" s="140">
        <f>'Detailed Budget'!$AC$194</f>
        <v>2684962805.4134097</v>
      </c>
      <c r="DX53" s="269">
        <f t="shared" si="153"/>
        <v>0</v>
      </c>
      <c r="DY53" s="607">
        <f t="shared" si="26"/>
        <v>0</v>
      </c>
      <c r="DZ53" s="196">
        <f>'Detailed Budget'!$AC$198</f>
        <v>18732540018.380611</v>
      </c>
      <c r="EA53" s="269">
        <f t="shared" si="154"/>
        <v>17122020.335089792</v>
      </c>
      <c r="EB53" s="196">
        <f>'Detailed Budget'!$AC$200</f>
        <v>4683135004.5951529</v>
      </c>
      <c r="EC53" s="269">
        <f t="shared" si="155"/>
        <v>4280505.0837724479</v>
      </c>
      <c r="ED53" s="269">
        <f t="shared" si="29"/>
        <v>21402525.418862239</v>
      </c>
      <c r="EE53" s="196">
        <f>'Detailed Budget'!$AC$161</f>
        <v>251147290106.36197</v>
      </c>
      <c r="EF53" s="269">
        <f t="shared" si="156"/>
        <v>197428198.70556009</v>
      </c>
      <c r="EG53" s="196">
        <f>'Detailed Budget'!$AC$163</f>
        <v>15696705631.647623</v>
      </c>
      <c r="EH53" s="269">
        <f t="shared" si="157"/>
        <v>12339262.419097506</v>
      </c>
      <c r="EI53" s="269">
        <f t="shared" si="32"/>
        <v>209767461.1246576</v>
      </c>
      <c r="EJ53" s="196">
        <f>'Detailed Budget'!$AC$204</f>
        <v>45012172507.531975</v>
      </c>
      <c r="EK53" s="269">
        <f t="shared" si="158"/>
        <v>39691095.123378843</v>
      </c>
      <c r="EL53" s="201">
        <f>'Detailed Budget'!$AC$206</f>
        <v>11253043126.882994</v>
      </c>
      <c r="EM53" s="269">
        <f t="shared" si="159"/>
        <v>9922773.7808447108</v>
      </c>
      <c r="EN53" s="269">
        <f t="shared" si="35"/>
        <v>49613868.904223554</v>
      </c>
      <c r="EO53" s="140">
        <f>'Detailed Budget'!$AC$209</f>
        <v>135789361677.54817</v>
      </c>
      <c r="EP53" s="269">
        <f t="shared" si="160"/>
        <v>110423004.11949432</v>
      </c>
      <c r="EQ53" s="196">
        <f>'Detailed Budget'!$AC$211</f>
        <v>33947340419.387043</v>
      </c>
      <c r="ER53" s="269">
        <f t="shared" si="161"/>
        <v>27605751.02987358</v>
      </c>
      <c r="ES53" s="269">
        <f t="shared" si="38"/>
        <v>138028755.1493679</v>
      </c>
      <c r="ET53" s="196">
        <f>'Detailed Budget'!$AC$214</f>
        <v>22239745544.201103</v>
      </c>
      <c r="EU53" s="269">
        <f t="shared" si="162"/>
        <v>17563834.328704242</v>
      </c>
      <c r="EV53" s="140">
        <f>'Detailed Budget'!$AC$217</f>
        <v>5559936386.0502758</v>
      </c>
      <c r="EW53" s="269">
        <f t="shared" si="163"/>
        <v>4390958.5821760604</v>
      </c>
      <c r="EX53" s="269">
        <f t="shared" si="41"/>
        <v>21954792.910880301</v>
      </c>
      <c r="EY53" s="196">
        <f>'Detailed Budget'!$AC$219</f>
        <v>372777004.58170313</v>
      </c>
      <c r="EZ53" s="269">
        <f t="shared" si="164"/>
        <v>308201.84254407109</v>
      </c>
      <c r="FA53" s="196">
        <f>'Detailed Budget'!$AC$222</f>
        <v>93194251.145425782</v>
      </c>
      <c r="FB53" s="269">
        <f t="shared" si="165"/>
        <v>77050.460636017771</v>
      </c>
      <c r="FC53" s="269">
        <f t="shared" si="44"/>
        <v>385252.30318008887</v>
      </c>
      <c r="FD53" s="269"/>
      <c r="FE53" s="269">
        <f t="shared" si="45"/>
        <v>209982669.26765186</v>
      </c>
      <c r="FF53" s="140">
        <f>'Detailed Budget'!$AC$165</f>
        <v>14927760000</v>
      </c>
      <c r="FG53" s="1087">
        <f t="shared" si="46"/>
        <v>286430260.44310904</v>
      </c>
      <c r="FH53" s="269">
        <f t="shared" si="166"/>
        <v>18657579.820474949</v>
      </c>
      <c r="FJ53" s="140">
        <f>'Detailed Budget'!$AC$235</f>
        <v>3623696172</v>
      </c>
      <c r="FK53" s="269">
        <f t="shared" si="167"/>
        <v>4681778</v>
      </c>
      <c r="FL53" s="269">
        <f t="shared" si="49"/>
        <v>4681778</v>
      </c>
      <c r="FO53" s="607"/>
      <c r="FP53" s="607"/>
      <c r="FQ53" s="607"/>
      <c r="FR53" s="269">
        <f>'Detailed Budget'!$AC$257</f>
        <v>13636439388</v>
      </c>
      <c r="FS53" s="269">
        <f t="shared" si="168"/>
        <v>27981408</v>
      </c>
      <c r="FT53" s="269">
        <f t="shared" si="51"/>
        <v>27981408</v>
      </c>
      <c r="FU53" s="269"/>
      <c r="FV53" s="269"/>
      <c r="FW53" s="605"/>
      <c r="FX53" s="140">
        <f>'Detailed Budget'!$AC$278</f>
        <v>1114560000</v>
      </c>
      <c r="FY53" s="269">
        <f t="shared" si="169"/>
        <v>1440000</v>
      </c>
      <c r="FZ53" s="269">
        <f t="shared" si="54"/>
        <v>1440000</v>
      </c>
      <c r="GB53" s="269">
        <f t="shared" si="74"/>
        <v>1077155226.6898141</v>
      </c>
      <c r="GC53" s="887">
        <f t="shared" si="55"/>
        <v>673222.01668113377</v>
      </c>
      <c r="GD53" s="1078">
        <f t="shared" si="75"/>
        <v>6.0442571634748948E-4</v>
      </c>
    </row>
    <row r="54" spans="1:186" ht="14.25" hidden="1" customHeight="1" outlineLevel="1">
      <c r="A54" s="211" t="s">
        <v>298</v>
      </c>
      <c r="B54" s="212" t="s">
        <v>299</v>
      </c>
      <c r="C54" s="213" t="s">
        <v>215</v>
      </c>
      <c r="D54" s="214" t="s">
        <v>215</v>
      </c>
      <c r="E54" s="213"/>
      <c r="F54" s="213"/>
      <c r="G54" s="213"/>
      <c r="H54" s="213" t="s">
        <v>215</v>
      </c>
      <c r="I54" s="214" t="s">
        <v>215</v>
      </c>
      <c r="J54" s="214"/>
      <c r="K54" s="213"/>
      <c r="L54" s="213"/>
      <c r="M54" s="214" t="s">
        <v>215</v>
      </c>
      <c r="N54" s="213"/>
      <c r="O54" s="214"/>
      <c r="P54" s="213"/>
      <c r="Q54" s="214"/>
      <c r="R54" s="214" t="s">
        <v>215</v>
      </c>
      <c r="S54" s="214"/>
      <c r="T54" s="214"/>
      <c r="U54" s="215">
        <f t="shared" si="170"/>
        <v>6</v>
      </c>
      <c r="V54" s="845" t="s">
        <v>219</v>
      </c>
      <c r="W54" s="216">
        <v>196643</v>
      </c>
      <c r="X54" s="217">
        <v>3.03</v>
      </c>
      <c r="Y54" s="218">
        <f t="shared" si="57"/>
        <v>1.0303</v>
      </c>
      <c r="Z54" s="196">
        <v>19</v>
      </c>
      <c r="AA54" s="218">
        <f t="shared" si="184"/>
        <v>1.7632354008841205</v>
      </c>
      <c r="AB54" s="196">
        <f t="shared" si="171"/>
        <v>346727.89893605612</v>
      </c>
      <c r="AC54">
        <v>18.8</v>
      </c>
      <c r="AD54" s="196">
        <f t="shared" si="172"/>
        <v>65184.844999978552</v>
      </c>
      <c r="AE54" s="196">
        <f t="shared" si="95"/>
        <v>61925.602749979618</v>
      </c>
      <c r="AF54" s="196">
        <f t="shared" si="173"/>
        <v>61925.602749979618</v>
      </c>
      <c r="AG54" s="606">
        <f t="shared" si="58"/>
        <v>2.8631680126690942E-3</v>
      </c>
      <c r="AH54" s="196">
        <f t="shared" si="185"/>
        <v>17336.394946802808</v>
      </c>
      <c r="AI54" s="248">
        <f t="shared" si="59"/>
        <v>1.3430242493247891E-3</v>
      </c>
      <c r="AJ54" s="196">
        <f t="shared" si="80"/>
        <v>82521.239946781367</v>
      </c>
      <c r="AK54" s="196">
        <f t="shared" si="99"/>
        <v>13869.115957442245</v>
      </c>
      <c r="AL54" s="196">
        <f t="shared" si="100"/>
        <v>13869.115957442245</v>
      </c>
      <c r="AM54" s="196">
        <f t="shared" si="5"/>
        <v>27738.231914884491</v>
      </c>
      <c r="AN54" s="627">
        <f t="shared" si="6"/>
        <v>1.3430242493247891E-3</v>
      </c>
      <c r="AO54" s="196">
        <f t="shared" si="7"/>
        <v>13175.660159570132</v>
      </c>
      <c r="AP54" s="589">
        <f t="shared" si="60"/>
        <v>1.3430242493247891E-3</v>
      </c>
      <c r="AQ54" s="196"/>
      <c r="AR54" s="589"/>
      <c r="AS54">
        <v>1</v>
      </c>
      <c r="AT54" s="589">
        <f t="shared" si="61"/>
        <v>1.2919896640826874E-3</v>
      </c>
      <c r="AU54" s="196">
        <v>10</v>
      </c>
      <c r="AV54" s="245">
        <f t="shared" si="8"/>
        <v>1.1362345188046814E-3</v>
      </c>
      <c r="AX54" s="245"/>
      <c r="AY54" s="245"/>
      <c r="AZ54" s="196">
        <v>52</v>
      </c>
      <c r="BA54" s="589">
        <f t="shared" si="62"/>
        <v>1.9053900553295958E-3</v>
      </c>
      <c r="BI54" s="196">
        <v>0</v>
      </c>
      <c r="BK54" s="246">
        <f t="shared" si="63"/>
        <v>0</v>
      </c>
      <c r="BL54" s="246"/>
      <c r="BM54" s="246">
        <f t="shared" si="64"/>
        <v>0</v>
      </c>
      <c r="BN54" s="196">
        <v>1</v>
      </c>
      <c r="BO54" s="196">
        <f t="shared" si="174"/>
        <v>29266.974707033598</v>
      </c>
      <c r="BP54" s="196">
        <f t="shared" si="82"/>
        <v>29266.974707033598</v>
      </c>
      <c r="BQ54" s="248">
        <f t="shared" si="65"/>
        <v>2.7377891949173071E-3</v>
      </c>
      <c r="BR54" s="248"/>
      <c r="BS54" s="248"/>
      <c r="BT54" s="276">
        <v>1</v>
      </c>
      <c r="BU54" s="196">
        <f t="shared" si="186"/>
        <v>51626.397239983016</v>
      </c>
      <c r="BV54" s="264">
        <f t="shared" si="66"/>
        <v>3.5809047010566882E-3</v>
      </c>
      <c r="BW54" s="196">
        <f t="shared" si="187"/>
        <v>220846.25485992737</v>
      </c>
      <c r="BX54" s="247">
        <f t="shared" si="67"/>
        <v>3.5809047333136149E-3</v>
      </c>
      <c r="BY54" s="196">
        <f t="shared" si="83"/>
        <v>272472.65209991037</v>
      </c>
      <c r="BZ54" s="620">
        <v>0</v>
      </c>
      <c r="CA54" s="196">
        <f t="shared" si="145"/>
        <v>106098.73707443316</v>
      </c>
      <c r="CB54" s="196">
        <f t="shared" si="146"/>
        <v>212197.47414886631</v>
      </c>
      <c r="CC54" s="196">
        <f t="shared" si="12"/>
        <v>318296.2112232995</v>
      </c>
      <c r="CD54" s="247">
        <f t="shared" si="13"/>
        <v>1.3430242493247889E-3</v>
      </c>
      <c r="CE54" s="196">
        <f t="shared" si="175"/>
        <v>36161.59609546695</v>
      </c>
      <c r="CF54" s="247">
        <f t="shared" si="14"/>
        <v>1.5615701800013209E-3</v>
      </c>
      <c r="CG54" s="196">
        <f t="shared" si="147"/>
        <v>52702.640638280529</v>
      </c>
      <c r="CH54" s="589">
        <f t="shared" si="68"/>
        <v>1.3430242493247891E-3</v>
      </c>
      <c r="CI54" s="196">
        <f t="shared" si="176"/>
        <v>91635.663461864708</v>
      </c>
      <c r="CJ54" s="248">
        <f t="shared" si="70"/>
        <v>1.5064900747109883E-3</v>
      </c>
      <c r="CK54" s="196">
        <f t="shared" si="177"/>
        <v>96645.783538781514</v>
      </c>
      <c r="CL54" s="589">
        <f t="shared" si="71"/>
        <v>1.3893030175595367E-3</v>
      </c>
      <c r="CM54" s="196">
        <f t="shared" si="178"/>
        <v>9362.5565718005255</v>
      </c>
      <c r="CN54" s="589">
        <f t="shared" si="72"/>
        <v>1.349250804184724E-3</v>
      </c>
      <c r="CO54" s="196">
        <f t="shared" si="179"/>
        <v>749.00215229192349</v>
      </c>
      <c r="CP54" s="589">
        <f t="shared" si="73"/>
        <v>1.4125026916527242E-3</v>
      </c>
      <c r="CQ54" s="196">
        <f>'Detailed Budget'!$AC$12</f>
        <v>292876014141.44696</v>
      </c>
      <c r="CR54" s="269">
        <f t="shared" si="143"/>
        <v>0</v>
      </c>
      <c r="CS54" s="269">
        <f>'Detailed Budget'!$AC$16</f>
        <v>10488008800.000002</v>
      </c>
      <c r="CT54" s="607">
        <f t="shared" si="149"/>
        <v>0</v>
      </c>
      <c r="CU54" s="269">
        <f>'Detailed Budget'!$AC$24</f>
        <v>30624985696</v>
      </c>
      <c r="CV54" s="269">
        <f t="shared" si="18"/>
        <v>0</v>
      </c>
      <c r="CW54" s="269"/>
      <c r="CX54" s="269">
        <f t="shared" si="19"/>
        <v>0</v>
      </c>
      <c r="CY54" s="196">
        <f>'Detailed Budget'!$AC$97</f>
        <v>74629165494.837845</v>
      </c>
      <c r="CZ54" s="269">
        <f t="shared" si="150"/>
        <v>204318922.91746259</v>
      </c>
      <c r="DA54" s="269">
        <f>'Detailed Budget'!$AC$100</f>
        <v>14925833098.967569</v>
      </c>
      <c r="DB54" s="269">
        <f t="shared" si="151"/>
        <v>40863784.583492517</v>
      </c>
      <c r="DC54" s="269">
        <f t="shared" si="22"/>
        <v>245182707.5009551</v>
      </c>
      <c r="DD54" s="207">
        <v>0</v>
      </c>
      <c r="DE54" s="606">
        <v>0</v>
      </c>
      <c r="DF54" s="269">
        <f>'Detailed Budget'!$AC$147</f>
        <v>5913600671000</v>
      </c>
      <c r="DG54" s="269">
        <f t="shared" si="23"/>
        <v>0</v>
      </c>
      <c r="DH54" s="269">
        <f>'Detailed Budget'!$AC$153</f>
        <v>226428026880.00003</v>
      </c>
      <c r="DI54" s="269"/>
      <c r="DJ54" s="269">
        <f>'Detailed Budget'!$AC$156</f>
        <v>27713070000</v>
      </c>
      <c r="DK54" s="269"/>
      <c r="DL54" s="269"/>
      <c r="DM54" s="196">
        <f>'Detailed Budget'!$AC$178</f>
        <v>5622683761.6229038</v>
      </c>
      <c r="DN54" s="269">
        <f t="shared" si="180"/>
        <v>20134294.714550558</v>
      </c>
      <c r="DO54" s="196">
        <f>'Detailed Budget'!$AC$179</f>
        <v>26827890683.128094</v>
      </c>
      <c r="DP54" s="269">
        <f t="shared" si="181"/>
        <v>96068120.732033625</v>
      </c>
      <c r="DQ54" s="269">
        <f t="shared" si="89"/>
        <v>116202415.44658418</v>
      </c>
      <c r="DR54" s="269">
        <f>'Detailed Budget'!$AC$181</f>
        <v>50888946855.375237</v>
      </c>
      <c r="DS54" s="269">
        <f t="shared" si="182"/>
        <v>145703604.83472785</v>
      </c>
      <c r="DT54" s="269">
        <f t="shared" si="183"/>
        <v>261906020.28131205</v>
      </c>
      <c r="DU54" s="272">
        <f>'Detailed Budget'!$AC$192</f>
        <v>77498869683.252869</v>
      </c>
      <c r="DV54" s="269">
        <f t="shared" si="152"/>
        <v>0</v>
      </c>
      <c r="DW54" s="140">
        <f>'Detailed Budget'!$AC$194</f>
        <v>2684962805.4134097</v>
      </c>
      <c r="DX54" s="269">
        <f t="shared" si="153"/>
        <v>0</v>
      </c>
      <c r="DY54" s="607">
        <f t="shared" si="26"/>
        <v>0</v>
      </c>
      <c r="DZ54" s="196">
        <f>'Detailed Budget'!$AC$198</f>
        <v>18732540018.380611</v>
      </c>
      <c r="EA54" s="269">
        <f t="shared" si="154"/>
        <v>29252175.888384558</v>
      </c>
      <c r="EB54" s="196">
        <f>'Detailed Budget'!$AC$200</f>
        <v>4683135004.5951529</v>
      </c>
      <c r="EC54" s="269">
        <f t="shared" si="155"/>
        <v>7313043.9720961396</v>
      </c>
      <c r="ED54" s="269">
        <f t="shared" si="29"/>
        <v>36565219.860480696</v>
      </c>
      <c r="EE54" s="196">
        <f>'Detailed Budget'!$AC$161</f>
        <v>251147290106.36197</v>
      </c>
      <c r="EF54" s="269">
        <f t="shared" si="156"/>
        <v>337296900.76505178</v>
      </c>
      <c r="EG54" s="196">
        <f>'Detailed Budget'!$AC$163</f>
        <v>15696705631.647623</v>
      </c>
      <c r="EH54" s="269">
        <f t="shared" si="157"/>
        <v>21081056.297815736</v>
      </c>
      <c r="EI54" s="269">
        <f t="shared" si="32"/>
        <v>358377957.06286752</v>
      </c>
      <c r="EJ54" s="196">
        <f>'Detailed Budget'!$AC$204</f>
        <v>45012172507.531975</v>
      </c>
      <c r="EK54" s="269">
        <f t="shared" si="158"/>
        <v>67810391.123775735</v>
      </c>
      <c r="EL54" s="201">
        <f>'Detailed Budget'!$AC$206</f>
        <v>11253043126.882994</v>
      </c>
      <c r="EM54" s="269">
        <f t="shared" si="159"/>
        <v>16952597.780943934</v>
      </c>
      <c r="EN54" s="269">
        <f t="shared" si="35"/>
        <v>84762988.904719666</v>
      </c>
      <c r="EO54" s="140">
        <f>'Detailed Budget'!$AC$209</f>
        <v>135789361677.54817</v>
      </c>
      <c r="EP54" s="269">
        <f t="shared" si="160"/>
        <v>188652569.93110099</v>
      </c>
      <c r="EQ54" s="196">
        <f>'Detailed Budget'!$AC$211</f>
        <v>33947340419.387043</v>
      </c>
      <c r="ER54" s="269">
        <f t="shared" si="161"/>
        <v>47163142.482775249</v>
      </c>
      <c r="ES54" s="269">
        <f t="shared" si="38"/>
        <v>235815712.41387624</v>
      </c>
      <c r="ET54" s="196">
        <f>'Detailed Budget'!$AC$214</f>
        <v>22239745544.201103</v>
      </c>
      <c r="EU54" s="269">
        <f t="shared" si="162"/>
        <v>30006994.560376972</v>
      </c>
      <c r="EV54" s="140">
        <f>'Detailed Budget'!$AC$217</f>
        <v>5559936386.0502758</v>
      </c>
      <c r="EW54" s="269">
        <f t="shared" si="163"/>
        <v>7501748.640094243</v>
      </c>
      <c r="EX54" s="269">
        <f t="shared" si="41"/>
        <v>37508743.200471215</v>
      </c>
      <c r="EY54" s="196">
        <f>'Detailed Budget'!$AC$219</f>
        <v>372777004.58170313</v>
      </c>
      <c r="EZ54" s="269">
        <f t="shared" si="164"/>
        <v>526548.5223578955</v>
      </c>
      <c r="FA54" s="196">
        <f>'Detailed Budget'!$AC$222</f>
        <v>93194251.145425782</v>
      </c>
      <c r="FB54" s="269">
        <f t="shared" si="165"/>
        <v>131637.13058947388</v>
      </c>
      <c r="FC54" s="269">
        <f t="shared" si="44"/>
        <v>658185.65294736938</v>
      </c>
      <c r="FD54" s="269"/>
      <c r="FE54" s="269">
        <f t="shared" si="45"/>
        <v>358745630.17201447</v>
      </c>
      <c r="FF54" s="140">
        <f>'Detailed Budget'!$AC$165</f>
        <v>14927760000</v>
      </c>
      <c r="FG54" s="1087">
        <f t="shared" si="46"/>
        <v>489352786.3102892</v>
      </c>
      <c r="FH54" s="269">
        <f t="shared" si="166"/>
        <v>16961436.200431772</v>
      </c>
      <c r="FJ54" s="140">
        <f>'Detailed Budget'!$AC$235</f>
        <v>3623696172</v>
      </c>
      <c r="FK54" s="269">
        <f t="shared" si="167"/>
        <v>4681778</v>
      </c>
      <c r="FL54" s="269">
        <f t="shared" si="49"/>
        <v>4681778</v>
      </c>
      <c r="FO54" s="607"/>
      <c r="FP54" s="607"/>
      <c r="FQ54" s="607"/>
      <c r="FR54" s="269">
        <f>'Detailed Budget'!$AC$257</f>
        <v>13636439388</v>
      </c>
      <c r="FS54" s="269">
        <f t="shared" si="168"/>
        <v>25982736</v>
      </c>
      <c r="FT54" s="269">
        <f t="shared" si="51"/>
        <v>25982736</v>
      </c>
      <c r="FU54" s="269"/>
      <c r="FV54" s="269"/>
      <c r="FW54" s="605"/>
      <c r="FX54" s="140">
        <f>'Detailed Budget'!$AC$278</f>
        <v>1114560000</v>
      </c>
      <c r="FY54" s="269">
        <f t="shared" si="169"/>
        <v>1440000</v>
      </c>
      <c r="FZ54" s="269">
        <f t="shared" si="54"/>
        <v>1440000</v>
      </c>
      <c r="GB54" s="269">
        <f t="shared" si="74"/>
        <v>1799196271.3883507</v>
      </c>
      <c r="GC54" s="887">
        <f t="shared" si="55"/>
        <v>1124497.6696177192</v>
      </c>
      <c r="GD54" s="1078">
        <f t="shared" si="75"/>
        <v>1.0095856829526347E-3</v>
      </c>
    </row>
    <row r="55" spans="1:186" ht="14.25" hidden="1" customHeight="1" outlineLevel="1">
      <c r="A55" s="211" t="s">
        <v>300</v>
      </c>
      <c r="B55" s="212" t="s">
        <v>301</v>
      </c>
      <c r="C55" s="213" t="s">
        <v>215</v>
      </c>
      <c r="D55" s="214"/>
      <c r="E55" s="213"/>
      <c r="F55" s="213"/>
      <c r="G55" s="213" t="s">
        <v>215</v>
      </c>
      <c r="H55" s="213" t="s">
        <v>215</v>
      </c>
      <c r="I55" s="214" t="s">
        <v>215</v>
      </c>
      <c r="J55" s="214"/>
      <c r="K55" s="213"/>
      <c r="L55" s="213"/>
      <c r="M55" s="214"/>
      <c r="N55" s="213" t="s">
        <v>215</v>
      </c>
      <c r="O55" s="214"/>
      <c r="P55" s="213"/>
      <c r="Q55" s="214"/>
      <c r="R55" s="214" t="s">
        <v>215</v>
      </c>
      <c r="S55" s="214"/>
      <c r="T55" s="214"/>
      <c r="U55" s="215">
        <f t="shared" si="170"/>
        <v>6</v>
      </c>
      <c r="V55" s="845" t="s">
        <v>216</v>
      </c>
      <c r="W55" s="216">
        <v>43760</v>
      </c>
      <c r="X55" s="217">
        <v>3.03</v>
      </c>
      <c r="Y55" s="218">
        <f t="shared" si="57"/>
        <v>1.0303</v>
      </c>
      <c r="Z55" s="196">
        <v>19</v>
      </c>
      <c r="AA55" s="218">
        <f t="shared" si="184"/>
        <v>1.7632354008841205</v>
      </c>
      <c r="AB55" s="196">
        <f t="shared" si="171"/>
        <v>77159.181142689107</v>
      </c>
      <c r="AC55">
        <v>18.8</v>
      </c>
      <c r="AD55" s="196">
        <f t="shared" si="172"/>
        <v>14505.926054825552</v>
      </c>
      <c r="AE55" s="196">
        <f t="shared" si="95"/>
        <v>13780.629752084273</v>
      </c>
      <c r="AF55" s="196">
        <f t="shared" si="173"/>
        <v>0</v>
      </c>
      <c r="AG55" s="606">
        <f t="shared" si="58"/>
        <v>6.371558216381948E-4</v>
      </c>
      <c r="AH55" s="196">
        <f t="shared" si="185"/>
        <v>3857.9590571344556</v>
      </c>
      <c r="AI55" s="248">
        <f t="shared" si="59"/>
        <v>2.988702427772805E-4</v>
      </c>
      <c r="AJ55" s="196">
        <f t="shared" si="80"/>
        <v>18363.885111960008</v>
      </c>
      <c r="AK55" s="196">
        <f t="shared" si="99"/>
        <v>3086.3672457075645</v>
      </c>
      <c r="AL55" s="196">
        <f t="shared" si="100"/>
        <v>3086.3672457075645</v>
      </c>
      <c r="AM55" s="196">
        <f t="shared" si="5"/>
        <v>6172.734491415129</v>
      </c>
      <c r="AN55" s="627">
        <f t="shared" si="6"/>
        <v>2.988702427772805E-4</v>
      </c>
      <c r="AO55" s="196">
        <f t="shared" si="7"/>
        <v>2932.048883422186</v>
      </c>
      <c r="AP55" s="589">
        <f t="shared" si="60"/>
        <v>2.9887024277728045E-4</v>
      </c>
      <c r="AQ55" s="196"/>
      <c r="AR55" s="589"/>
      <c r="AS55">
        <v>1</v>
      </c>
      <c r="AT55" s="589">
        <f t="shared" si="61"/>
        <v>1.2919896640826874E-3</v>
      </c>
      <c r="AU55" s="196">
        <v>10</v>
      </c>
      <c r="AV55" s="245">
        <f t="shared" si="8"/>
        <v>1.1362345188046814E-3</v>
      </c>
      <c r="AX55" s="245"/>
      <c r="AY55" s="245"/>
      <c r="AZ55" s="196">
        <v>27</v>
      </c>
      <c r="BA55" s="589">
        <f t="shared" si="62"/>
        <v>9.8933714411344391E-4</v>
      </c>
      <c r="BI55" s="196">
        <v>0</v>
      </c>
      <c r="BK55" s="246">
        <f t="shared" si="63"/>
        <v>0</v>
      </c>
      <c r="BL55" s="246"/>
      <c r="BM55" s="246">
        <f t="shared" si="64"/>
        <v>0</v>
      </c>
      <c r="BN55" s="196">
        <v>1</v>
      </c>
      <c r="BO55" s="196">
        <f t="shared" si="174"/>
        <v>6512.9336573373575</v>
      </c>
      <c r="BP55" s="196">
        <f t="shared" si="82"/>
        <v>6512.9336573373575</v>
      </c>
      <c r="BQ55" s="248">
        <f t="shared" si="65"/>
        <v>6.0925461455318183E-4</v>
      </c>
      <c r="BR55" s="248"/>
      <c r="BS55" s="248"/>
      <c r="BT55" s="276">
        <v>0</v>
      </c>
      <c r="BU55" s="196">
        <f t="shared" si="186"/>
        <v>0</v>
      </c>
      <c r="BV55" s="264">
        <f t="shared" si="66"/>
        <v>0</v>
      </c>
      <c r="BW55" s="196">
        <f t="shared" si="187"/>
        <v>0</v>
      </c>
      <c r="BX55" s="247">
        <f t="shared" si="67"/>
        <v>0</v>
      </c>
      <c r="BY55" s="196">
        <f t="shared" si="83"/>
        <v>0</v>
      </c>
      <c r="BZ55" s="620">
        <v>1</v>
      </c>
      <c r="CA55" s="196">
        <f t="shared" si="145"/>
        <v>23610.709429662871</v>
      </c>
      <c r="CB55" s="196">
        <f t="shared" si="146"/>
        <v>47221.418859325742</v>
      </c>
      <c r="CC55" s="196">
        <f t="shared" si="12"/>
        <v>70832.128288988606</v>
      </c>
      <c r="CD55" s="247">
        <f t="shared" si="13"/>
        <v>2.988702427772805E-4</v>
      </c>
      <c r="CE55" s="196">
        <f t="shared" si="175"/>
        <v>8047.2299809178739</v>
      </c>
      <c r="CF55" s="247">
        <f t="shared" si="14"/>
        <v>3.4750441702403743E-4</v>
      </c>
      <c r="CG55" s="196">
        <f t="shared" si="147"/>
        <v>11728.195533688744</v>
      </c>
      <c r="CH55" s="589">
        <f t="shared" si="68"/>
        <v>2.9887024277728045E-4</v>
      </c>
      <c r="CI55" s="196">
        <f t="shared" si="176"/>
        <v>20392.165666162535</v>
      </c>
      <c r="CJ55" s="248">
        <f t="shared" si="70"/>
        <v>3.3524715178955185E-4</v>
      </c>
      <c r="CK55" s="196">
        <f t="shared" si="177"/>
        <v>21507.094011264468</v>
      </c>
      <c r="CL55" s="589">
        <f t="shared" si="71"/>
        <v>3.091689002324279E-4</v>
      </c>
      <c r="CM55" s="196">
        <f t="shared" si="178"/>
        <v>2083.4989070650413</v>
      </c>
      <c r="CN55" s="589">
        <f t="shared" si="72"/>
        <v>3.0025587074609066E-4</v>
      </c>
      <c r="CO55" s="196">
        <f t="shared" si="179"/>
        <v>166.67938438843268</v>
      </c>
      <c r="CP55" s="589">
        <f t="shared" si="73"/>
        <v>3.1433164560509759E-4</v>
      </c>
      <c r="CQ55" s="196">
        <f>'Detailed Budget'!$AC$12</f>
        <v>292876014141.44696</v>
      </c>
      <c r="CR55" s="269">
        <f t="shared" si="143"/>
        <v>0</v>
      </c>
      <c r="CS55" s="269">
        <f>'Detailed Budget'!$AC$16</f>
        <v>10488008800.000002</v>
      </c>
      <c r="CT55" s="607">
        <f t="shared" si="149"/>
        <v>0</v>
      </c>
      <c r="CU55" s="269">
        <f>'Detailed Budget'!$AC$24</f>
        <v>30624985696</v>
      </c>
      <c r="CV55" s="269">
        <f t="shared" si="18"/>
        <v>0</v>
      </c>
      <c r="CW55" s="269"/>
      <c r="CX55" s="269">
        <f t="shared" si="19"/>
        <v>0</v>
      </c>
      <c r="CY55" s="196">
        <f>'Detailed Budget'!$AC$97</f>
        <v>74629165494.837845</v>
      </c>
      <c r="CZ55" s="269">
        <f t="shared" si="150"/>
        <v>45468163.457983047</v>
      </c>
      <c r="DA55" s="269">
        <f>'Detailed Budget'!$AC$100</f>
        <v>14925833098.967569</v>
      </c>
      <c r="DB55" s="269">
        <f t="shared" si="151"/>
        <v>9093632.6915966105</v>
      </c>
      <c r="DC55" s="269">
        <f t="shared" si="22"/>
        <v>54561796.149579659</v>
      </c>
      <c r="DD55" s="207">
        <v>0</v>
      </c>
      <c r="DE55" s="606">
        <v>0</v>
      </c>
      <c r="DF55" s="269">
        <f>'Detailed Budget'!$AC$147</f>
        <v>5913600671000</v>
      </c>
      <c r="DG55" s="269">
        <f t="shared" si="23"/>
        <v>0</v>
      </c>
      <c r="DH55" s="269">
        <f>'Detailed Budget'!$AC$153</f>
        <v>226428026880.00003</v>
      </c>
      <c r="DI55" s="269"/>
      <c r="DJ55" s="269">
        <f>'Detailed Budget'!$AC$156</f>
        <v>27713070000</v>
      </c>
      <c r="DK55" s="269"/>
      <c r="DL55" s="269"/>
      <c r="DM55" s="196">
        <f>'Detailed Budget'!$AC$178</f>
        <v>5622683761.6229038</v>
      </c>
      <c r="DN55" s="269">
        <f t="shared" si="180"/>
        <v>0</v>
      </c>
      <c r="DO55" s="196">
        <f>'Detailed Budget'!$AC$179</f>
        <v>26827890683.128094</v>
      </c>
      <c r="DP55" s="269">
        <f t="shared" si="181"/>
        <v>0</v>
      </c>
      <c r="DQ55" s="269">
        <f t="shared" si="89"/>
        <v>0</v>
      </c>
      <c r="DR55" s="269">
        <f>'Detailed Budget'!$AC$181</f>
        <v>50888946855.375237</v>
      </c>
      <c r="DS55" s="269">
        <f t="shared" si="182"/>
        <v>0</v>
      </c>
      <c r="DT55" s="269">
        <f t="shared" si="183"/>
        <v>0</v>
      </c>
      <c r="DU55" s="272">
        <f>'Detailed Budget'!$AC$192</f>
        <v>77498869683.252869</v>
      </c>
      <c r="DV55" s="269">
        <f t="shared" si="152"/>
        <v>23162105.997198608</v>
      </c>
      <c r="DW55" s="140">
        <f>'Detailed Budget'!$AC$194</f>
        <v>2684962805.4134097</v>
      </c>
      <c r="DX55" s="269">
        <f t="shared" si="153"/>
        <v>802455.48550187389</v>
      </c>
      <c r="DY55" s="607">
        <f t="shared" si="26"/>
        <v>23964561.482700482</v>
      </c>
      <c r="DZ55" s="196">
        <f>'Detailed Budget'!$AC$198</f>
        <v>18732540018.380611</v>
      </c>
      <c r="EA55" s="269">
        <f t="shared" si="154"/>
        <v>6509640.3984668059</v>
      </c>
      <c r="EB55" s="196">
        <f>'Detailed Budget'!$AC$200</f>
        <v>4683135004.5951529</v>
      </c>
      <c r="EC55" s="269">
        <f t="shared" si="155"/>
        <v>1627410.0996167015</v>
      </c>
      <c r="ED55" s="269">
        <f t="shared" si="29"/>
        <v>8137050.4980835076</v>
      </c>
      <c r="EE55" s="196">
        <f>'Detailed Budget'!$AC$161</f>
        <v>251147290106.36197</v>
      </c>
      <c r="EF55" s="269">
        <f t="shared" si="156"/>
        <v>75060451.56694448</v>
      </c>
      <c r="EG55" s="196">
        <f>'Detailed Budget'!$AC$163</f>
        <v>15696705631.647623</v>
      </c>
      <c r="EH55" s="269">
        <f t="shared" si="157"/>
        <v>4691278.22293403</v>
      </c>
      <c r="EI55" s="269">
        <f t="shared" si="32"/>
        <v>79751729.789878517</v>
      </c>
      <c r="EJ55" s="196">
        <f>'Detailed Budget'!$AC$204</f>
        <v>45012172507.531975</v>
      </c>
      <c r="EK55" s="269">
        <f t="shared" si="158"/>
        <v>15090202.629010065</v>
      </c>
      <c r="EL55" s="201">
        <f>'Detailed Budget'!$AC$206</f>
        <v>11253043126.882994</v>
      </c>
      <c r="EM55" s="269">
        <f t="shared" si="159"/>
        <v>3772550.6572525161</v>
      </c>
      <c r="EN55" s="269">
        <f t="shared" si="35"/>
        <v>18862753.286262579</v>
      </c>
      <c r="EO55" s="140">
        <f>'Detailed Budget'!$AC$209</f>
        <v>135789361677.54817</v>
      </c>
      <c r="EP55" s="269">
        <f t="shared" si="160"/>
        <v>41981847.61311096</v>
      </c>
      <c r="EQ55" s="196">
        <f>'Detailed Budget'!$AC$211</f>
        <v>33947340419.387043</v>
      </c>
      <c r="ER55" s="269">
        <f t="shared" si="161"/>
        <v>10495461.90327774</v>
      </c>
      <c r="ES55" s="269">
        <f t="shared" si="38"/>
        <v>52477309.516388699</v>
      </c>
      <c r="ET55" s="196">
        <f>'Detailed Budget'!$AC$214</f>
        <v>22239745544.201103</v>
      </c>
      <c r="EU55" s="269">
        <f t="shared" si="162"/>
        <v>6677614.1635455918</v>
      </c>
      <c r="EV55" s="140">
        <f>'Detailed Budget'!$AC$217</f>
        <v>5559936386.0502758</v>
      </c>
      <c r="EW55" s="269">
        <f t="shared" si="163"/>
        <v>1669403.5408863979</v>
      </c>
      <c r="EX55" s="269">
        <f t="shared" si="41"/>
        <v>8347017.7044319902</v>
      </c>
      <c r="EY55" s="196">
        <f>'Detailed Budget'!$AC$219</f>
        <v>372777004.58170313</v>
      </c>
      <c r="EZ55" s="269">
        <f t="shared" si="164"/>
        <v>117175.60929390574</v>
      </c>
      <c r="FA55" s="196">
        <f>'Detailed Budget'!$AC$222</f>
        <v>93194251.145425782</v>
      </c>
      <c r="FB55" s="269">
        <f t="shared" si="165"/>
        <v>29293.902323476435</v>
      </c>
      <c r="FC55" s="269">
        <f t="shared" si="44"/>
        <v>146469.51161738217</v>
      </c>
      <c r="FD55" s="269"/>
      <c r="FE55" s="269">
        <f t="shared" si="45"/>
        <v>79833550.018700659</v>
      </c>
      <c r="FF55" s="140">
        <f>'Detailed Budget'!$AC$165</f>
        <v>14927760000</v>
      </c>
      <c r="FG55" s="1087">
        <f t="shared" si="46"/>
        <v>108898246.71581626</v>
      </c>
      <c r="FH55" s="269">
        <f t="shared" si="166"/>
        <v>16961436.200431772</v>
      </c>
      <c r="FJ55" s="140">
        <f>'Detailed Budget'!$AC$235</f>
        <v>3623696172</v>
      </c>
      <c r="FK55" s="269">
        <f t="shared" si="167"/>
        <v>4681778</v>
      </c>
      <c r="FL55" s="269">
        <f t="shared" si="49"/>
        <v>4681778</v>
      </c>
      <c r="FO55" s="607"/>
      <c r="FP55" s="607"/>
      <c r="FQ55" s="607"/>
      <c r="FR55" s="269">
        <f>'Detailed Budget'!$AC$257</f>
        <v>13636439388</v>
      </c>
      <c r="FS55" s="269">
        <f t="shared" si="168"/>
        <v>13491035.999999998</v>
      </c>
      <c r="FT55" s="269">
        <f t="shared" si="51"/>
        <v>13491035.999999998</v>
      </c>
      <c r="FU55" s="269"/>
      <c r="FV55" s="269"/>
      <c r="FW55" s="605"/>
      <c r="FX55" s="140">
        <f>'Detailed Budget'!$AC$278</f>
        <v>1114560000</v>
      </c>
      <c r="FY55" s="269">
        <f t="shared" si="169"/>
        <v>1440000</v>
      </c>
      <c r="FZ55" s="269">
        <f t="shared" si="54"/>
        <v>1440000</v>
      </c>
      <c r="GB55" s="269">
        <f t="shared" si="74"/>
        <v>391721184.85519081</v>
      </c>
      <c r="GC55" s="887">
        <f t="shared" si="55"/>
        <v>244825.74053449425</v>
      </c>
      <c r="GD55" s="1078">
        <f t="shared" si="75"/>
        <v>2.1980709177096822E-4</v>
      </c>
    </row>
    <row r="56" spans="1:186" hidden="1" outlineLevel="1">
      <c r="A56" s="211" t="s">
        <v>302</v>
      </c>
      <c r="B56" s="212" t="s">
        <v>303</v>
      </c>
      <c r="C56" s="213" t="s">
        <v>215</v>
      </c>
      <c r="D56" s="214"/>
      <c r="E56" s="213"/>
      <c r="F56" s="213"/>
      <c r="G56" s="213" t="s">
        <v>215</v>
      </c>
      <c r="H56" s="213" t="s">
        <v>215</v>
      </c>
      <c r="I56" s="214" t="s">
        <v>215</v>
      </c>
      <c r="J56" s="214"/>
      <c r="K56" s="213"/>
      <c r="L56" s="213"/>
      <c r="M56" s="214" t="s">
        <v>215</v>
      </c>
      <c r="N56" s="213"/>
      <c r="O56" s="214"/>
      <c r="P56" s="213"/>
      <c r="Q56" s="214"/>
      <c r="R56" s="214" t="s">
        <v>215</v>
      </c>
      <c r="S56" s="214"/>
      <c r="T56" s="214"/>
      <c r="U56" s="215">
        <f t="shared" si="170"/>
        <v>6</v>
      </c>
      <c r="V56" s="845" t="s">
        <v>216</v>
      </c>
      <c r="W56" s="216">
        <v>191480</v>
      </c>
      <c r="X56" s="217">
        <v>3.03</v>
      </c>
      <c r="Y56" s="218">
        <f t="shared" si="57"/>
        <v>1.0303</v>
      </c>
      <c r="Z56" s="196">
        <v>19</v>
      </c>
      <c r="AA56" s="218">
        <f t="shared" si="184"/>
        <v>1.7632354008841205</v>
      </c>
      <c r="AB56" s="196">
        <f t="shared" si="171"/>
        <v>337624.31456129136</v>
      </c>
      <c r="AC56">
        <v>18.8</v>
      </c>
      <c r="AD56" s="196">
        <f t="shared" si="172"/>
        <v>63473.371137522772</v>
      </c>
      <c r="AE56" s="196">
        <f t="shared" si="95"/>
        <v>60299.702580646634</v>
      </c>
      <c r="AF56" s="196">
        <f t="shared" si="173"/>
        <v>0</v>
      </c>
      <c r="AG56" s="606">
        <f t="shared" si="58"/>
        <v>2.7879935266746239E-3</v>
      </c>
      <c r="AH56" s="196">
        <f t="shared" si="185"/>
        <v>16881.21572806457</v>
      </c>
      <c r="AI56" s="248">
        <f t="shared" si="59"/>
        <v>1.3077622049130181E-3</v>
      </c>
      <c r="AJ56" s="196">
        <f t="shared" si="80"/>
        <v>80354.586865587335</v>
      </c>
      <c r="AK56" s="196">
        <f t="shared" si="99"/>
        <v>13504.972582451655</v>
      </c>
      <c r="AL56" s="196">
        <f t="shared" si="100"/>
        <v>13504.972582451655</v>
      </c>
      <c r="AM56" s="196">
        <f t="shared" si="5"/>
        <v>27009.945164903311</v>
      </c>
      <c r="AN56" s="627">
        <f t="shared" si="6"/>
        <v>1.3077622049130178E-3</v>
      </c>
      <c r="AO56" s="196">
        <f t="shared" si="7"/>
        <v>12829.723953329072</v>
      </c>
      <c r="AP56" s="589">
        <f t="shared" si="60"/>
        <v>1.3077622049130178E-3</v>
      </c>
      <c r="AQ56" s="196"/>
      <c r="AR56" s="589"/>
      <c r="AS56">
        <v>1</v>
      </c>
      <c r="AT56" s="589">
        <f t="shared" si="61"/>
        <v>1.2919896640826874E-3</v>
      </c>
      <c r="AU56" s="196">
        <v>11</v>
      </c>
      <c r="AV56" s="245">
        <f t="shared" si="8"/>
        <v>1.2498579706851495E-3</v>
      </c>
      <c r="AX56" s="245"/>
      <c r="AY56" s="245"/>
      <c r="AZ56" s="196">
        <v>63</v>
      </c>
      <c r="BA56" s="589">
        <f t="shared" si="62"/>
        <v>2.3084533362647025E-3</v>
      </c>
      <c r="BI56" s="196">
        <v>0</v>
      </c>
      <c r="BK56" s="246">
        <f t="shared" si="63"/>
        <v>0</v>
      </c>
      <c r="BL56" s="246"/>
      <c r="BM56" s="246">
        <f t="shared" si="64"/>
        <v>0</v>
      </c>
      <c r="BN56" s="196">
        <v>1</v>
      </c>
      <c r="BO56" s="196">
        <f t="shared" si="174"/>
        <v>28498.549741932289</v>
      </c>
      <c r="BP56" s="196">
        <f t="shared" si="82"/>
        <v>28498.549741932289</v>
      </c>
      <c r="BQ56" s="248">
        <f t="shared" si="65"/>
        <v>2.6659066177934926E-3</v>
      </c>
      <c r="BR56" s="248"/>
      <c r="BS56" s="248"/>
      <c r="BT56" s="276">
        <v>0</v>
      </c>
      <c r="BU56" s="196">
        <f t="shared" si="186"/>
        <v>0</v>
      </c>
      <c r="BV56" s="264">
        <f t="shared" si="66"/>
        <v>0</v>
      </c>
      <c r="BW56" s="196">
        <f t="shared" si="187"/>
        <v>0</v>
      </c>
      <c r="BX56" s="247">
        <f t="shared" si="67"/>
        <v>0</v>
      </c>
      <c r="BY56" s="196">
        <f t="shared" si="83"/>
        <v>0</v>
      </c>
      <c r="BZ56" s="620">
        <v>1</v>
      </c>
      <c r="CA56" s="196">
        <f t="shared" si="145"/>
        <v>103313.04025575516</v>
      </c>
      <c r="CB56" s="196">
        <f t="shared" si="146"/>
        <v>206626.08051151031</v>
      </c>
      <c r="CC56" s="196">
        <f t="shared" si="12"/>
        <v>309939.12076726544</v>
      </c>
      <c r="CD56" s="247">
        <f t="shared" si="13"/>
        <v>1.3077622049130178E-3</v>
      </c>
      <c r="CE56" s="196">
        <f t="shared" si="175"/>
        <v>35212.148006082141</v>
      </c>
      <c r="CF56" s="247">
        <f t="shared" si="14"/>
        <v>1.5205700587697141E-3</v>
      </c>
      <c r="CG56" s="196">
        <f t="shared" si="147"/>
        <v>51318.895813316289</v>
      </c>
      <c r="CH56" s="589">
        <f t="shared" si="68"/>
        <v>1.3077622049130178E-3</v>
      </c>
      <c r="CI56" s="196">
        <f t="shared" si="176"/>
        <v>89229.704793345561</v>
      </c>
      <c r="CJ56" s="248">
        <f t="shared" si="70"/>
        <v>1.4669361203076641E-3</v>
      </c>
      <c r="CK56" s="196">
        <f t="shared" si="177"/>
        <v>94108.280650752291</v>
      </c>
      <c r="CL56" s="589">
        <f t="shared" si="71"/>
        <v>1.3528258916020407E-3</v>
      </c>
      <c r="CM56" s="196">
        <f t="shared" si="178"/>
        <v>9116.7360768924609</v>
      </c>
      <c r="CN56" s="589">
        <f t="shared" si="72"/>
        <v>1.313825277204329E-3</v>
      </c>
      <c r="CO56" s="196">
        <f t="shared" si="179"/>
        <v>729.33657501592984</v>
      </c>
      <c r="CP56" s="589">
        <f t="shared" si="73"/>
        <v>1.3754164419667297E-3</v>
      </c>
      <c r="CQ56" s="196">
        <f>'Detailed Budget'!$AC$12</f>
        <v>292876014141.44696</v>
      </c>
      <c r="CR56" s="269">
        <f t="shared" si="143"/>
        <v>0</v>
      </c>
      <c r="CS56" s="269">
        <f>'Detailed Budget'!$AC$16</f>
        <v>10488008800.000002</v>
      </c>
      <c r="CT56" s="607">
        <f t="shared" si="149"/>
        <v>0</v>
      </c>
      <c r="CU56" s="269">
        <f>'Detailed Budget'!$AC$24</f>
        <v>30624985696</v>
      </c>
      <c r="CV56" s="269">
        <f t="shared" si="18"/>
        <v>0</v>
      </c>
      <c r="CW56" s="269"/>
      <c r="CX56" s="269">
        <f t="shared" si="19"/>
        <v>0</v>
      </c>
      <c r="CY56" s="196">
        <f>'Detailed Budget'!$AC$97</f>
        <v>74629165494.837845</v>
      </c>
      <c r="CZ56" s="269">
        <f t="shared" si="150"/>
        <v>198954386.17309397</v>
      </c>
      <c r="DA56" s="269">
        <f>'Detailed Budget'!$AC$100</f>
        <v>14925833098.967569</v>
      </c>
      <c r="DB56" s="269">
        <f t="shared" si="151"/>
        <v>39790877.234618798</v>
      </c>
      <c r="DC56" s="269">
        <f t="shared" si="22"/>
        <v>238745263.40771276</v>
      </c>
      <c r="DD56" s="207">
        <v>0</v>
      </c>
      <c r="DE56" s="606">
        <v>0</v>
      </c>
      <c r="DF56" s="269">
        <f>'Detailed Budget'!$AC$147</f>
        <v>5913600671000</v>
      </c>
      <c r="DG56" s="269">
        <f t="shared" si="23"/>
        <v>0</v>
      </c>
      <c r="DH56" s="269">
        <f>'Detailed Budget'!$AC$153</f>
        <v>226428026880.00003</v>
      </c>
      <c r="DI56" s="269"/>
      <c r="DJ56" s="269">
        <f>'Detailed Budget'!$AC$156</f>
        <v>27713070000</v>
      </c>
      <c r="DK56" s="269"/>
      <c r="DL56" s="269"/>
      <c r="DM56" s="196">
        <f>'Detailed Budget'!$AC$178</f>
        <v>5622683761.6229038</v>
      </c>
      <c r="DN56" s="269">
        <f t="shared" si="180"/>
        <v>0</v>
      </c>
      <c r="DO56" s="196">
        <f>'Detailed Budget'!$AC$179</f>
        <v>26827890683.128094</v>
      </c>
      <c r="DP56" s="269">
        <f t="shared" si="181"/>
        <v>0</v>
      </c>
      <c r="DQ56" s="269">
        <f t="shared" si="89"/>
        <v>0</v>
      </c>
      <c r="DR56" s="269">
        <f>'Detailed Budget'!$AC$181</f>
        <v>50888946855.375237</v>
      </c>
      <c r="DS56" s="269">
        <f t="shared" si="182"/>
        <v>0</v>
      </c>
      <c r="DT56" s="269">
        <f t="shared" si="183"/>
        <v>0</v>
      </c>
      <c r="DU56" s="272">
        <f>'Detailed Budget'!$AC$192</f>
        <v>77498869683.252869</v>
      </c>
      <c r="DV56" s="269">
        <f t="shared" si="152"/>
        <v>101350092.6952374</v>
      </c>
      <c r="DW56" s="140">
        <f>'Detailed Budget'!$AC$194</f>
        <v>2684962805.4134097</v>
      </c>
      <c r="DX56" s="269">
        <f t="shared" si="153"/>
        <v>3511292.8785168827</v>
      </c>
      <c r="DY56" s="607">
        <f t="shared" si="26"/>
        <v>104861385.57375428</v>
      </c>
      <c r="DZ56" s="196">
        <f>'Detailed Budget'!$AC$198</f>
        <v>18732540018.380611</v>
      </c>
      <c r="EA56" s="269">
        <f t="shared" si="154"/>
        <v>28484139.476655029</v>
      </c>
      <c r="EB56" s="196">
        <f>'Detailed Budget'!$AC$200</f>
        <v>4683135004.5951529</v>
      </c>
      <c r="EC56" s="269">
        <f t="shared" si="155"/>
        <v>7121034.8691637572</v>
      </c>
      <c r="ED56" s="269">
        <f t="shared" si="29"/>
        <v>35605174.345818788</v>
      </c>
      <c r="EE56" s="196">
        <f>'Detailed Budget'!$AC$161</f>
        <v>251147290106.36197</v>
      </c>
      <c r="EF56" s="269">
        <f t="shared" si="156"/>
        <v>328440933.86742526</v>
      </c>
      <c r="EG56" s="196">
        <f>'Detailed Budget'!$AC$163</f>
        <v>15696705631.647623</v>
      </c>
      <c r="EH56" s="269">
        <f t="shared" si="157"/>
        <v>20527558.366714079</v>
      </c>
      <c r="EI56" s="269">
        <f t="shared" si="32"/>
        <v>348968492.23413932</v>
      </c>
      <c r="EJ56" s="196">
        <f>'Detailed Budget'!$AC$204</f>
        <v>45012172507.531975</v>
      </c>
      <c r="EK56" s="269">
        <f t="shared" si="158"/>
        <v>66029981.704818256</v>
      </c>
      <c r="EL56" s="201">
        <f>'Detailed Budget'!$AC$206</f>
        <v>11253043126.882994</v>
      </c>
      <c r="EM56" s="269">
        <f t="shared" si="159"/>
        <v>16507495.426204564</v>
      </c>
      <c r="EN56" s="269">
        <f t="shared" si="35"/>
        <v>82537477.131022826</v>
      </c>
      <c r="EO56" s="140">
        <f>'Detailed Budget'!$AC$209</f>
        <v>135789361677.54817</v>
      </c>
      <c r="EP56" s="269">
        <f t="shared" si="160"/>
        <v>183699364.28150108</v>
      </c>
      <c r="EQ56" s="196">
        <f>'Detailed Budget'!$AC$211</f>
        <v>33947340419.387043</v>
      </c>
      <c r="ER56" s="269">
        <f t="shared" si="161"/>
        <v>45924841.070375271</v>
      </c>
      <c r="ES56" s="269">
        <f t="shared" si="38"/>
        <v>229624205.35187635</v>
      </c>
      <c r="ET56" s="196">
        <f>'Detailed Budget'!$AC$214</f>
        <v>22239745544.201103</v>
      </c>
      <c r="EU56" s="269">
        <f t="shared" si="162"/>
        <v>29219139.854563754</v>
      </c>
      <c r="EV56" s="140">
        <f>'Detailed Budget'!$AC$217</f>
        <v>5559936386.0502758</v>
      </c>
      <c r="EW56" s="269">
        <f t="shared" si="163"/>
        <v>7304784.9636409385</v>
      </c>
      <c r="EX56" s="269">
        <f t="shared" si="41"/>
        <v>36523924.818204693</v>
      </c>
      <c r="EY56" s="196">
        <f>'Detailed Budget'!$AC$219</f>
        <v>372777004.58170313</v>
      </c>
      <c r="EZ56" s="269">
        <f t="shared" si="164"/>
        <v>512723.6212887814</v>
      </c>
      <c r="FA56" s="196">
        <f>'Detailed Budget'!$AC$222</f>
        <v>93194251.145425782</v>
      </c>
      <c r="FB56" s="269">
        <f t="shared" si="165"/>
        <v>128180.90532219535</v>
      </c>
      <c r="FC56" s="269">
        <f t="shared" si="44"/>
        <v>640904.52661097678</v>
      </c>
      <c r="FD56" s="269"/>
      <c r="FE56" s="269">
        <f t="shared" si="45"/>
        <v>349326511.82771486</v>
      </c>
      <c r="FF56" s="140">
        <f>'Detailed Budget'!$AC$165</f>
        <v>14927760000</v>
      </c>
      <c r="FG56" s="1087">
        <f t="shared" si="46"/>
        <v>476504485.40092546</v>
      </c>
      <c r="FH56" s="269">
        <f t="shared" si="166"/>
        <v>18657579.820474949</v>
      </c>
      <c r="FJ56" s="140">
        <f>'Detailed Budget'!$AC$235</f>
        <v>3623696172</v>
      </c>
      <c r="FK56" s="269">
        <f t="shared" si="167"/>
        <v>4681778</v>
      </c>
      <c r="FL56" s="269">
        <f t="shared" si="49"/>
        <v>4681778</v>
      </c>
      <c r="FO56" s="607"/>
      <c r="FP56" s="607"/>
      <c r="FQ56" s="607"/>
      <c r="FR56" s="269">
        <f>'Detailed Budget'!$AC$257</f>
        <v>13636439388</v>
      </c>
      <c r="FS56" s="269">
        <f t="shared" si="168"/>
        <v>31479084</v>
      </c>
      <c r="FT56" s="269">
        <f t="shared" si="51"/>
        <v>31479084</v>
      </c>
      <c r="FU56" s="269"/>
      <c r="FV56" s="269"/>
      <c r="FW56" s="605"/>
      <c r="FX56" s="140">
        <f>'Detailed Budget'!$AC$278</f>
        <v>1114560000</v>
      </c>
      <c r="FY56" s="269">
        <f t="shared" si="169"/>
        <v>1440000</v>
      </c>
      <c r="FZ56" s="269">
        <f t="shared" si="54"/>
        <v>1440000</v>
      </c>
      <c r="GB56" s="269">
        <f t="shared" si="74"/>
        <v>1610269754.6105402</v>
      </c>
      <c r="GC56" s="887">
        <f t="shared" si="55"/>
        <v>1006418.5966315876</v>
      </c>
      <c r="GD56" s="1078">
        <f t="shared" si="75"/>
        <v>9.0357306526206676E-4</v>
      </c>
    </row>
    <row r="57" spans="1:186" hidden="1" outlineLevel="1">
      <c r="A57" s="211" t="s">
        <v>304</v>
      </c>
      <c r="B57" s="212" t="s">
        <v>305</v>
      </c>
      <c r="C57" s="213" t="s">
        <v>215</v>
      </c>
      <c r="D57" s="214"/>
      <c r="E57" s="213"/>
      <c r="F57" s="213"/>
      <c r="G57" s="213" t="s">
        <v>215</v>
      </c>
      <c r="H57" s="213" t="s">
        <v>215</v>
      </c>
      <c r="I57" s="214" t="s">
        <v>215</v>
      </c>
      <c r="J57" s="214"/>
      <c r="K57" s="213"/>
      <c r="L57" s="213"/>
      <c r="M57" s="214"/>
      <c r="N57" s="213" t="s">
        <v>215</v>
      </c>
      <c r="O57" s="214"/>
      <c r="P57" s="213"/>
      <c r="Q57" s="214"/>
      <c r="R57" s="214" t="s">
        <v>215</v>
      </c>
      <c r="S57" s="214"/>
      <c r="T57" s="214"/>
      <c r="U57" s="215">
        <f t="shared" si="170"/>
        <v>6</v>
      </c>
      <c r="V57" s="845" t="s">
        <v>216</v>
      </c>
      <c r="W57" s="216">
        <v>39807</v>
      </c>
      <c r="X57" s="217">
        <v>3.03</v>
      </c>
      <c r="Y57" s="218">
        <f t="shared" si="57"/>
        <v>1.0303</v>
      </c>
      <c r="Z57" s="196">
        <v>19</v>
      </c>
      <c r="AA57" s="218">
        <f t="shared" si="184"/>
        <v>1.7632354008841205</v>
      </c>
      <c r="AB57" s="196">
        <f t="shared" si="171"/>
        <v>70189.111602994177</v>
      </c>
      <c r="AC57">
        <v>18.8</v>
      </c>
      <c r="AD57" s="196">
        <f t="shared" si="172"/>
        <v>13195.552981362905</v>
      </c>
      <c r="AE57" s="196">
        <f t="shared" si="95"/>
        <v>12535.775332294759</v>
      </c>
      <c r="AF57" s="196">
        <f t="shared" si="173"/>
        <v>0</v>
      </c>
      <c r="AG57" s="606">
        <f t="shared" si="58"/>
        <v>5.7959921828043017E-4</v>
      </c>
      <c r="AH57" s="196">
        <f t="shared" si="185"/>
        <v>3509.455580149709</v>
      </c>
      <c r="AI57" s="248">
        <f t="shared" si="59"/>
        <v>2.7187220644961618E-4</v>
      </c>
      <c r="AJ57" s="196">
        <f t="shared" si="80"/>
        <v>16705.008561512615</v>
      </c>
      <c r="AK57" s="196">
        <f t="shared" si="99"/>
        <v>2807.5644641197673</v>
      </c>
      <c r="AL57" s="196">
        <f t="shared" si="100"/>
        <v>2807.5644641197673</v>
      </c>
      <c r="AM57" s="196">
        <f t="shared" si="5"/>
        <v>5615.1289282395346</v>
      </c>
      <c r="AN57" s="627">
        <f t="shared" si="6"/>
        <v>2.7187220644961618E-4</v>
      </c>
      <c r="AO57" s="196">
        <f t="shared" si="7"/>
        <v>2667.1862409137789</v>
      </c>
      <c r="AP57" s="589">
        <f t="shared" si="60"/>
        <v>2.7187220644961618E-4</v>
      </c>
      <c r="AQ57" s="196"/>
      <c r="AR57" s="589"/>
      <c r="AS57">
        <v>1</v>
      </c>
      <c r="AT57" s="589">
        <f t="shared" si="61"/>
        <v>1.2919896640826874E-3</v>
      </c>
      <c r="AU57" s="196">
        <v>10</v>
      </c>
      <c r="AV57" s="245">
        <f t="shared" si="8"/>
        <v>1.1362345188046814E-3</v>
      </c>
      <c r="AX57" s="245"/>
      <c r="AY57" s="245"/>
      <c r="AZ57" s="196">
        <v>10</v>
      </c>
      <c r="BA57" s="589">
        <f t="shared" si="62"/>
        <v>3.6642116448646071E-4</v>
      </c>
      <c r="BI57" s="196">
        <v>0</v>
      </c>
      <c r="BK57" s="246">
        <f t="shared" si="63"/>
        <v>0</v>
      </c>
      <c r="BL57" s="246"/>
      <c r="BM57" s="246">
        <f t="shared" si="64"/>
        <v>0</v>
      </c>
      <c r="BN57" s="196">
        <v>1</v>
      </c>
      <c r="BO57" s="196">
        <f t="shared" si="174"/>
        <v>5924.5966658507359</v>
      </c>
      <c r="BP57" s="196">
        <f t="shared" si="82"/>
        <v>5924.5966658507359</v>
      </c>
      <c r="BQ57" s="248">
        <f t="shared" si="65"/>
        <v>5.5421842873671181E-4</v>
      </c>
      <c r="BR57" s="248"/>
      <c r="BS57" s="248"/>
      <c r="BT57" s="276">
        <v>0</v>
      </c>
      <c r="BU57" s="196">
        <f t="shared" si="186"/>
        <v>0</v>
      </c>
      <c r="BV57" s="264">
        <f t="shared" si="66"/>
        <v>0</v>
      </c>
      <c r="BW57" s="196">
        <f t="shared" si="187"/>
        <v>0</v>
      </c>
      <c r="BX57" s="247">
        <f t="shared" si="67"/>
        <v>0</v>
      </c>
      <c r="BY57" s="196">
        <f t="shared" si="83"/>
        <v>0</v>
      </c>
      <c r="BZ57" s="620">
        <v>1</v>
      </c>
      <c r="CA57" s="196">
        <f t="shared" si="145"/>
        <v>21477.868150516217</v>
      </c>
      <c r="CB57" s="196">
        <f t="shared" si="146"/>
        <v>42955.736301032433</v>
      </c>
      <c r="CC57" s="196">
        <f t="shared" si="12"/>
        <v>64433.60445154865</v>
      </c>
      <c r="CD57" s="247">
        <f t="shared" si="13"/>
        <v>2.7187220644961613E-4</v>
      </c>
      <c r="CE57" s="196">
        <f t="shared" si="175"/>
        <v>7320.2944207129294</v>
      </c>
      <c r="CF57" s="247">
        <f t="shared" si="14"/>
        <v>3.1611307880429293E-4</v>
      </c>
      <c r="CG57" s="196">
        <f t="shared" si="147"/>
        <v>10668.744963655115</v>
      </c>
      <c r="CH57" s="589">
        <f t="shared" si="68"/>
        <v>2.7187220644961618E-4</v>
      </c>
      <c r="CI57" s="196">
        <f t="shared" si="176"/>
        <v>18550.067154317461</v>
      </c>
      <c r="CJ57" s="248">
        <f t="shared" si="70"/>
        <v>3.049630569306831E-4</v>
      </c>
      <c r="CK57" s="196">
        <f t="shared" si="177"/>
        <v>19564.279965868482</v>
      </c>
      <c r="CL57" s="589">
        <f t="shared" si="71"/>
        <v>2.8124054871006077E-4</v>
      </c>
      <c r="CM57" s="196">
        <f t="shared" si="178"/>
        <v>1895.2888709675069</v>
      </c>
      <c r="CN57" s="589">
        <f t="shared" si="72"/>
        <v>2.7313266560305373E-4</v>
      </c>
      <c r="CO57" s="196">
        <f t="shared" si="179"/>
        <v>151.62262921275914</v>
      </c>
      <c r="CP57" s="589">
        <f t="shared" si="73"/>
        <v>2.8593692451101736E-4</v>
      </c>
      <c r="CQ57" s="196">
        <f>'Detailed Budget'!$AC$12</f>
        <v>292876014141.44696</v>
      </c>
      <c r="CR57" s="269">
        <f t="shared" si="143"/>
        <v>0</v>
      </c>
      <c r="CS57" s="269">
        <f>'Detailed Budget'!$AC$16</f>
        <v>10488008800.000002</v>
      </c>
      <c r="CT57" s="607">
        <f t="shared" si="149"/>
        <v>0</v>
      </c>
      <c r="CU57" s="269">
        <f>'Detailed Budget'!$AC$24</f>
        <v>30624985696</v>
      </c>
      <c r="CV57" s="269">
        <f t="shared" si="18"/>
        <v>0</v>
      </c>
      <c r="CW57" s="269"/>
      <c r="CX57" s="269">
        <f t="shared" si="19"/>
        <v>0</v>
      </c>
      <c r="CY57" s="196">
        <f>'Detailed Budget'!$AC$97</f>
        <v>74629165494.837845</v>
      </c>
      <c r="CZ57" s="269">
        <f t="shared" si="150"/>
        <v>41360858.838481061</v>
      </c>
      <c r="DA57" s="269">
        <f>'Detailed Budget'!$AC$100</f>
        <v>14925833098.967569</v>
      </c>
      <c r="DB57" s="269">
        <f t="shared" si="151"/>
        <v>8272171.767696212</v>
      </c>
      <c r="DC57" s="269">
        <f t="shared" si="22"/>
        <v>49633030.60617727</v>
      </c>
      <c r="DD57" s="207">
        <v>0</v>
      </c>
      <c r="DE57" s="606">
        <v>0</v>
      </c>
      <c r="DF57" s="269">
        <f>'Detailed Budget'!$AC$147</f>
        <v>5913600671000</v>
      </c>
      <c r="DG57" s="269">
        <f t="shared" si="23"/>
        <v>0</v>
      </c>
      <c r="DH57" s="269">
        <f>'Detailed Budget'!$AC$153</f>
        <v>226428026880.00003</v>
      </c>
      <c r="DI57" s="269"/>
      <c r="DJ57" s="269">
        <f>'Detailed Budget'!$AC$156</f>
        <v>27713070000</v>
      </c>
      <c r="DK57" s="269"/>
      <c r="DL57" s="269"/>
      <c r="DM57" s="196">
        <f>'Detailed Budget'!$AC$178</f>
        <v>5622683761.6229038</v>
      </c>
      <c r="DN57" s="269">
        <f t="shared" si="180"/>
        <v>0</v>
      </c>
      <c r="DO57" s="196">
        <f>'Detailed Budget'!$AC$179</f>
        <v>26827890683.128094</v>
      </c>
      <c r="DP57" s="269">
        <f t="shared" si="181"/>
        <v>0</v>
      </c>
      <c r="DQ57" s="269">
        <f t="shared" si="89"/>
        <v>0</v>
      </c>
      <c r="DR57" s="269">
        <f>'Detailed Budget'!$AC$181</f>
        <v>50888946855.375237</v>
      </c>
      <c r="DS57" s="269">
        <f t="shared" si="182"/>
        <v>0</v>
      </c>
      <c r="DT57" s="269">
        <f t="shared" si="183"/>
        <v>0</v>
      </c>
      <c r="DU57" s="272">
        <f>'Detailed Budget'!$AC$192</f>
        <v>77498869683.252869</v>
      </c>
      <c r="DV57" s="269">
        <f t="shared" si="152"/>
        <v>21069788.69813722</v>
      </c>
      <c r="DW57" s="140">
        <f>'Detailed Budget'!$AC$194</f>
        <v>2684962805.4134097</v>
      </c>
      <c r="DX57" s="269">
        <f t="shared" si="153"/>
        <v>729966.76214289514</v>
      </c>
      <c r="DY57" s="607">
        <f t="shared" si="26"/>
        <v>21799755.460280117</v>
      </c>
      <c r="DZ57" s="196">
        <f>'Detailed Budget'!$AC$198</f>
        <v>18732540018.380611</v>
      </c>
      <c r="EA57" s="269">
        <f t="shared" si="154"/>
        <v>5921600.8990349211</v>
      </c>
      <c r="EB57" s="196">
        <f>'Detailed Budget'!$AC$200</f>
        <v>4683135004.5951529</v>
      </c>
      <c r="EC57" s="269">
        <f t="shared" si="155"/>
        <v>1480400.2247587303</v>
      </c>
      <c r="ED57" s="269">
        <f t="shared" si="29"/>
        <v>7402001.1237936513</v>
      </c>
      <c r="EE57" s="196">
        <f>'Detailed Budget'!$AC$161</f>
        <v>251147290106.36197</v>
      </c>
      <c r="EF57" s="269">
        <f t="shared" si="156"/>
        <v>68279967.905058488</v>
      </c>
      <c r="EG57" s="196">
        <f>'Detailed Budget'!$AC$163</f>
        <v>15696705631.647623</v>
      </c>
      <c r="EH57" s="269">
        <f t="shared" si="157"/>
        <v>4267497.9940661555</v>
      </c>
      <c r="EI57" s="269">
        <f t="shared" si="32"/>
        <v>72547465.899124637</v>
      </c>
      <c r="EJ57" s="196">
        <f>'Detailed Budget'!$AC$204</f>
        <v>45012172507.531975</v>
      </c>
      <c r="EK57" s="269">
        <f t="shared" si="158"/>
        <v>13727049.726988202</v>
      </c>
      <c r="EL57" s="201">
        <f>'Detailed Budget'!$AC$206</f>
        <v>11253043126.882994</v>
      </c>
      <c r="EM57" s="269">
        <f t="shared" si="159"/>
        <v>3431762.4317470505</v>
      </c>
      <c r="EN57" s="269">
        <f t="shared" si="35"/>
        <v>17158812.158735253</v>
      </c>
      <c r="EO57" s="140">
        <f>'Detailed Budget'!$AC$209</f>
        <v>135789361677.54817</v>
      </c>
      <c r="EP57" s="269">
        <f t="shared" si="160"/>
        <v>38189474.587182544</v>
      </c>
      <c r="EQ57" s="196">
        <f>'Detailed Budget'!$AC$211</f>
        <v>33947340419.387043</v>
      </c>
      <c r="ER57" s="269">
        <f t="shared" si="161"/>
        <v>9547368.646795636</v>
      </c>
      <c r="ES57" s="269">
        <f t="shared" si="38"/>
        <v>47736843.233978182</v>
      </c>
      <c r="ET57" s="196">
        <f>'Detailed Budget'!$AC$214</f>
        <v>22239745544.201103</v>
      </c>
      <c r="EU57" s="269">
        <f t="shared" si="162"/>
        <v>6074400.9828212839</v>
      </c>
      <c r="EV57" s="140">
        <f>'Detailed Budget'!$AC$217</f>
        <v>5559936386.0502758</v>
      </c>
      <c r="EW57" s="269">
        <f t="shared" si="163"/>
        <v>1518600.245705321</v>
      </c>
      <c r="EX57" s="269">
        <f t="shared" si="41"/>
        <v>7593001.2285266053</v>
      </c>
      <c r="EY57" s="196">
        <f>'Detailed Budget'!$AC$219</f>
        <v>372777004.58170313</v>
      </c>
      <c r="EZ57" s="269">
        <f t="shared" si="164"/>
        <v>106590.71021852162</v>
      </c>
      <c r="FA57" s="196">
        <f>'Detailed Budget'!$AC$222</f>
        <v>93194251.145425782</v>
      </c>
      <c r="FB57" s="269">
        <f t="shared" si="165"/>
        <v>26647.677554630405</v>
      </c>
      <c r="FC57" s="269">
        <f t="shared" si="44"/>
        <v>133238.38777315203</v>
      </c>
      <c r="FD57" s="269"/>
      <c r="FE57" s="269">
        <f t="shared" si="45"/>
        <v>72621895.009013191</v>
      </c>
      <c r="FF57" s="140">
        <f>'Detailed Budget'!$AC$165</f>
        <v>14927760000</v>
      </c>
      <c r="FG57" s="1087">
        <f t="shared" si="46"/>
        <v>99061071.915367872</v>
      </c>
      <c r="FH57" s="269">
        <f t="shared" si="166"/>
        <v>16961436.200431772</v>
      </c>
      <c r="FJ57" s="140">
        <f>'Detailed Budget'!$AC$235</f>
        <v>3623696172</v>
      </c>
      <c r="FK57" s="269">
        <f t="shared" si="167"/>
        <v>4681778</v>
      </c>
      <c r="FL57" s="269">
        <f t="shared" si="49"/>
        <v>4681778</v>
      </c>
      <c r="FO57" s="607"/>
      <c r="FP57" s="607"/>
      <c r="FQ57" s="607"/>
      <c r="FR57" s="269">
        <f>'Detailed Budget'!$AC$257</f>
        <v>13636439388</v>
      </c>
      <c r="FS57" s="269">
        <f t="shared" si="168"/>
        <v>4996680</v>
      </c>
      <c r="FT57" s="269">
        <f t="shared" si="51"/>
        <v>4996680</v>
      </c>
      <c r="FU57" s="269"/>
      <c r="FV57" s="269"/>
      <c r="FW57" s="605"/>
      <c r="FX57" s="140">
        <f>'Detailed Budget'!$AC$278</f>
        <v>1114560000</v>
      </c>
      <c r="FY57" s="269">
        <f t="shared" si="169"/>
        <v>1440000</v>
      </c>
      <c r="FZ57" s="269">
        <f t="shared" si="54"/>
        <v>1440000</v>
      </c>
      <c r="GB57" s="269">
        <f t="shared" si="74"/>
        <v>351145114.21418852</v>
      </c>
      <c r="GC57" s="887">
        <f t="shared" si="55"/>
        <v>219465.69638386782</v>
      </c>
      <c r="GD57" s="1078">
        <f t="shared" si="75"/>
        <v>1.9703858083023579E-4</v>
      </c>
    </row>
    <row r="58" spans="1:186" hidden="1" outlineLevel="1">
      <c r="A58" s="211" t="s">
        <v>306</v>
      </c>
      <c r="B58" s="212" t="s">
        <v>307</v>
      </c>
      <c r="C58" s="213" t="s">
        <v>215</v>
      </c>
      <c r="D58" s="214" t="s">
        <v>215</v>
      </c>
      <c r="E58" s="213"/>
      <c r="F58" s="213"/>
      <c r="G58" s="213"/>
      <c r="H58" s="213" t="s">
        <v>215</v>
      </c>
      <c r="I58" s="214" t="s">
        <v>215</v>
      </c>
      <c r="J58" s="214"/>
      <c r="K58" s="213"/>
      <c r="L58" s="213"/>
      <c r="M58" s="214"/>
      <c r="N58" s="213" t="s">
        <v>215</v>
      </c>
      <c r="O58" s="214"/>
      <c r="P58" s="213"/>
      <c r="Q58" s="214"/>
      <c r="R58" s="214" t="s">
        <v>215</v>
      </c>
      <c r="S58" s="214"/>
      <c r="T58" s="214"/>
      <c r="U58" s="215">
        <f t="shared" si="170"/>
        <v>6</v>
      </c>
      <c r="V58" s="845" t="s">
        <v>219</v>
      </c>
      <c r="W58" s="216">
        <v>223574</v>
      </c>
      <c r="X58" s="217">
        <v>3.03</v>
      </c>
      <c r="Y58" s="218">
        <f t="shared" si="57"/>
        <v>1.0303</v>
      </c>
      <c r="Z58" s="196">
        <v>19</v>
      </c>
      <c r="AA58" s="218">
        <f t="shared" si="184"/>
        <v>1.7632354008841205</v>
      </c>
      <c r="AB58" s="196">
        <f t="shared" si="171"/>
        <v>394213.59151726635</v>
      </c>
      <c r="AC58">
        <v>18.8</v>
      </c>
      <c r="AD58" s="196">
        <f t="shared" si="172"/>
        <v>74112.155205246076</v>
      </c>
      <c r="AE58" s="196">
        <f t="shared" si="95"/>
        <v>70406.547444983764</v>
      </c>
      <c r="AF58" s="196">
        <f t="shared" si="173"/>
        <v>70406.547444983764</v>
      </c>
      <c r="AG58" s="606">
        <f t="shared" si="58"/>
        <v>3.2552896633212475E-3</v>
      </c>
      <c r="AH58" s="196">
        <f t="shared" si="185"/>
        <v>19710.67957586332</v>
      </c>
      <c r="AI58" s="248">
        <f t="shared" si="59"/>
        <v>1.5269564821455144E-3</v>
      </c>
      <c r="AJ58" s="196">
        <f t="shared" si="80"/>
        <v>93822.834781109399</v>
      </c>
      <c r="AK58" s="196">
        <f t="shared" si="99"/>
        <v>15768.543660690655</v>
      </c>
      <c r="AL58" s="196">
        <f t="shared" si="100"/>
        <v>15768.543660690655</v>
      </c>
      <c r="AM58" s="196">
        <f t="shared" si="5"/>
        <v>31537.08732138131</v>
      </c>
      <c r="AN58" s="627">
        <f t="shared" si="6"/>
        <v>1.5269564821455144E-3</v>
      </c>
      <c r="AO58" s="196">
        <f t="shared" si="7"/>
        <v>14980.116477656122</v>
      </c>
      <c r="AP58" s="589">
        <f t="shared" si="60"/>
        <v>1.5269564821455144E-3</v>
      </c>
      <c r="AQ58" s="196"/>
      <c r="AR58" s="589"/>
      <c r="AS58">
        <v>1</v>
      </c>
      <c r="AT58" s="589">
        <f t="shared" si="61"/>
        <v>1.2919896640826874E-3</v>
      </c>
      <c r="AU58" s="196">
        <v>11</v>
      </c>
      <c r="AV58" s="245">
        <f t="shared" si="8"/>
        <v>1.2498579706851495E-3</v>
      </c>
      <c r="AX58" s="245"/>
      <c r="AY58" s="245"/>
      <c r="AZ58" s="196">
        <v>22</v>
      </c>
      <c r="BA58" s="589">
        <f t="shared" si="62"/>
        <v>8.0612656187021366E-4</v>
      </c>
      <c r="BI58" s="196">
        <v>0</v>
      </c>
      <c r="BK58" s="246">
        <f t="shared" si="63"/>
        <v>0</v>
      </c>
      <c r="BL58" s="246"/>
      <c r="BM58" s="246">
        <f t="shared" si="64"/>
        <v>0</v>
      </c>
      <c r="BN58" s="196">
        <v>1</v>
      </c>
      <c r="BO58" s="196">
        <f t="shared" si="174"/>
        <v>33275.197200766517</v>
      </c>
      <c r="BP58" s="196">
        <f t="shared" si="82"/>
        <v>33275.197200766517</v>
      </c>
      <c r="BQ58" s="248">
        <f t="shared" si="65"/>
        <v>3.1127397439239743E-3</v>
      </c>
      <c r="BR58" s="248"/>
      <c r="BS58" s="248"/>
      <c r="BT58" s="276">
        <v>1</v>
      </c>
      <c r="BU58" s="196">
        <f t="shared" si="186"/>
        <v>58696.826922554894</v>
      </c>
      <c r="BV58" s="264">
        <f t="shared" si="66"/>
        <v>4.0713230963423455E-3</v>
      </c>
      <c r="BW58" s="196">
        <f t="shared" si="187"/>
        <v>251091.98183537374</v>
      </c>
      <c r="BX58" s="247">
        <f t="shared" si="67"/>
        <v>4.0713231330169802E-3</v>
      </c>
      <c r="BY58" s="196">
        <f t="shared" si="83"/>
        <v>309788.80875792861</v>
      </c>
      <c r="BZ58" s="620">
        <v>0</v>
      </c>
      <c r="CA58" s="196">
        <f t="shared" si="145"/>
        <v>120629.35900428351</v>
      </c>
      <c r="CB58" s="196">
        <f t="shared" si="146"/>
        <v>241258.71800856703</v>
      </c>
      <c r="CC58" s="196">
        <f t="shared" si="12"/>
        <v>361888.07701285055</v>
      </c>
      <c r="CD58" s="247">
        <f t="shared" si="13"/>
        <v>1.5269564821455144E-3</v>
      </c>
      <c r="CE58" s="196">
        <f t="shared" si="175"/>
        <v>41114.062974262641</v>
      </c>
      <c r="CF58" s="247">
        <f t="shared" si="14"/>
        <v>1.7754331017306253E-3</v>
      </c>
      <c r="CG58" s="196">
        <f t="shared" si="147"/>
        <v>59920.465910624487</v>
      </c>
      <c r="CH58" s="589">
        <f t="shared" si="68"/>
        <v>1.5269564821455144E-3</v>
      </c>
      <c r="CI58" s="196">
        <f t="shared" si="176"/>
        <v>104185.51294896306</v>
      </c>
      <c r="CJ58" s="248">
        <f t="shared" si="70"/>
        <v>1.7128095684231554E-3</v>
      </c>
      <c r="CK58" s="196">
        <f t="shared" si="177"/>
        <v>109881.78785362073</v>
      </c>
      <c r="CL58" s="589">
        <f t="shared" si="71"/>
        <v>1.5795733021152845E-3</v>
      </c>
      <c r="CM58" s="196">
        <f t="shared" si="178"/>
        <v>10644.793981904928</v>
      </c>
      <c r="CN58" s="589">
        <f t="shared" si="72"/>
        <v>1.5340357871614829E-3</v>
      </c>
      <c r="CO58" s="196">
        <f t="shared" si="179"/>
        <v>851.5808200470625</v>
      </c>
      <c r="CP58" s="589">
        <f t="shared" si="73"/>
        <v>1.6059502590154045E-3</v>
      </c>
      <c r="CQ58" s="196">
        <f>'Detailed Budget'!$AC$12</f>
        <v>292876014141.44696</v>
      </c>
      <c r="CR58" s="269">
        <f t="shared" si="143"/>
        <v>0</v>
      </c>
      <c r="CS58" s="269">
        <f>'Detailed Budget'!$AC$16</f>
        <v>10488008800.000002</v>
      </c>
      <c r="CT58" s="607">
        <f t="shared" si="149"/>
        <v>0</v>
      </c>
      <c r="CU58" s="269">
        <f>'Detailed Budget'!$AC$24</f>
        <v>30624985696</v>
      </c>
      <c r="CV58" s="269">
        <f t="shared" si="18"/>
        <v>0</v>
      </c>
      <c r="CW58" s="269"/>
      <c r="CX58" s="269">
        <f t="shared" si="19"/>
        <v>0</v>
      </c>
      <c r="CY58" s="196">
        <f>'Detailed Budget'!$AC$97</f>
        <v>74629165494.837845</v>
      </c>
      <c r="CZ58" s="269">
        <f t="shared" si="150"/>
        <v>232301169.49166146</v>
      </c>
      <c r="DA58" s="269">
        <f>'Detailed Budget'!$AC$100</f>
        <v>14925833098.967569</v>
      </c>
      <c r="DB58" s="269">
        <f t="shared" si="151"/>
        <v>46460233.89833229</v>
      </c>
      <c r="DC58" s="269">
        <f t="shared" si="22"/>
        <v>278761403.38999373</v>
      </c>
      <c r="DD58" s="207">
        <v>0</v>
      </c>
      <c r="DE58" s="606">
        <v>0</v>
      </c>
      <c r="DF58" s="269">
        <f>'Detailed Budget'!$AC$147</f>
        <v>5913600671000</v>
      </c>
      <c r="DG58" s="269">
        <f t="shared" si="23"/>
        <v>0</v>
      </c>
      <c r="DH58" s="269">
        <f>'Detailed Budget'!$AC$153</f>
        <v>226428026880.00003</v>
      </c>
      <c r="DI58" s="269"/>
      <c r="DJ58" s="269">
        <f>'Detailed Budget'!$AC$156</f>
        <v>27713070000</v>
      </c>
      <c r="DK58" s="269"/>
      <c r="DL58" s="269"/>
      <c r="DM58" s="196">
        <f>'Detailed Budget'!$AC$178</f>
        <v>5622683761.6229038</v>
      </c>
      <c r="DN58" s="269">
        <f t="shared" si="180"/>
        <v>22891762.262124386</v>
      </c>
      <c r="DO58" s="196">
        <f>'Detailed Budget'!$AC$179</f>
        <v>26827890683.128094</v>
      </c>
      <c r="DP58" s="269">
        <f t="shared" si="181"/>
        <v>109225011.94827013</v>
      </c>
      <c r="DQ58" s="269">
        <f t="shared" si="89"/>
        <v>132116774.21039452</v>
      </c>
      <c r="DR58" s="269">
        <f>'Detailed Budget'!$AC$181</f>
        <v>50888946855.375237</v>
      </c>
      <c r="DS58" s="269">
        <f t="shared" si="182"/>
        <v>165658262.67560732</v>
      </c>
      <c r="DT58" s="269">
        <f t="shared" si="183"/>
        <v>297775036.88600183</v>
      </c>
      <c r="DU58" s="272">
        <f>'Detailed Budget'!$AC$192</f>
        <v>77498869683.252869</v>
      </c>
      <c r="DV58" s="269">
        <f t="shared" si="152"/>
        <v>0</v>
      </c>
      <c r="DW58" s="140">
        <f>'Detailed Budget'!$AC$194</f>
        <v>2684962805.4134097</v>
      </c>
      <c r="DX58" s="269">
        <f t="shared" si="153"/>
        <v>0</v>
      </c>
      <c r="DY58" s="607">
        <f t="shared" si="26"/>
        <v>0</v>
      </c>
      <c r="DZ58" s="196">
        <f>'Detailed Budget'!$AC$198</f>
        <v>18732540018.380611</v>
      </c>
      <c r="EA58" s="269">
        <f t="shared" si="154"/>
        <v>33258371.628126554</v>
      </c>
      <c r="EB58" s="196">
        <f>'Detailed Budget'!$AC$200</f>
        <v>4683135004.5951529</v>
      </c>
      <c r="EC58" s="269">
        <f t="shared" si="155"/>
        <v>8314592.9070316385</v>
      </c>
      <c r="ED58" s="269">
        <f t="shared" si="29"/>
        <v>41572964.535158195</v>
      </c>
      <c r="EE58" s="196">
        <f>'Detailed Budget'!$AC$161</f>
        <v>251147290106.36197</v>
      </c>
      <c r="EF58" s="269">
        <f t="shared" si="156"/>
        <v>383490982.60118943</v>
      </c>
      <c r="EG58" s="196">
        <f>'Detailed Budget'!$AC$163</f>
        <v>15696705631.647623</v>
      </c>
      <c r="EH58" s="269">
        <f t="shared" si="157"/>
        <v>23968186.41257434</v>
      </c>
      <c r="EI58" s="269">
        <f t="shared" si="32"/>
        <v>407459169.01376379</v>
      </c>
      <c r="EJ58" s="196">
        <f>'Detailed Budget'!$AC$204</f>
        <v>45012172507.531975</v>
      </c>
      <c r="EK58" s="269">
        <f t="shared" si="158"/>
        <v>77097279.766414464</v>
      </c>
      <c r="EL58" s="201">
        <f>'Detailed Budget'!$AC$206</f>
        <v>11253043126.882994</v>
      </c>
      <c r="EM58" s="269">
        <f t="shared" si="159"/>
        <v>19274319.941603616</v>
      </c>
      <c r="EN58" s="269">
        <f t="shared" si="35"/>
        <v>96371599.708018079</v>
      </c>
      <c r="EO58" s="140">
        <f>'Detailed Budget'!$AC$209</f>
        <v>135789361677.54817</v>
      </c>
      <c r="EP58" s="269">
        <f t="shared" si="160"/>
        <v>214489250.41713142</v>
      </c>
      <c r="EQ58" s="196">
        <f>'Detailed Budget'!$AC$211</f>
        <v>33947340419.387043</v>
      </c>
      <c r="ER58" s="269">
        <f t="shared" si="161"/>
        <v>53622312.604282856</v>
      </c>
      <c r="ES58" s="269">
        <f t="shared" si="38"/>
        <v>268111563.02141428</v>
      </c>
      <c r="ET58" s="196">
        <f>'Detailed Budget'!$AC$214</f>
        <v>22239745544.201103</v>
      </c>
      <c r="EU58" s="269">
        <f t="shared" si="162"/>
        <v>34116565.562169619</v>
      </c>
      <c r="EV58" s="140">
        <f>'Detailed Budget'!$AC$217</f>
        <v>5559936386.0502758</v>
      </c>
      <c r="EW58" s="269">
        <f t="shared" si="163"/>
        <v>8529141.3905424047</v>
      </c>
      <c r="EX58" s="269">
        <f t="shared" si="41"/>
        <v>42645706.952712022</v>
      </c>
      <c r="EY58" s="196">
        <f>'Detailed Budget'!$AC$219</f>
        <v>372777004.58170313</v>
      </c>
      <c r="EZ58" s="269">
        <f t="shared" si="164"/>
        <v>598661.3270629727</v>
      </c>
      <c r="FA58" s="196">
        <f>'Detailed Budget'!$AC$222</f>
        <v>93194251.145425782</v>
      </c>
      <c r="FB58" s="269">
        <f t="shared" si="165"/>
        <v>149665.33176574318</v>
      </c>
      <c r="FC58" s="269">
        <f t="shared" si="44"/>
        <v>748326.65882871591</v>
      </c>
      <c r="FD58" s="269"/>
      <c r="FE58" s="269">
        <f t="shared" si="45"/>
        <v>407877196.34097308</v>
      </c>
      <c r="FF58" s="140">
        <f>'Detailed Budget'!$AC$165</f>
        <v>14927760000</v>
      </c>
      <c r="FG58" s="1087">
        <f t="shared" si="46"/>
        <v>556371494.77243841</v>
      </c>
      <c r="FH58" s="269">
        <f t="shared" si="166"/>
        <v>18657579.820474949</v>
      </c>
      <c r="FJ58" s="140">
        <f>'Detailed Budget'!$AC$235</f>
        <v>3623696172</v>
      </c>
      <c r="FK58" s="269">
        <f t="shared" si="167"/>
        <v>4681778</v>
      </c>
      <c r="FL58" s="269">
        <f t="shared" si="49"/>
        <v>4681778</v>
      </c>
      <c r="FO58" s="607"/>
      <c r="FP58" s="607"/>
      <c r="FQ58" s="607"/>
      <c r="FR58" s="269">
        <f>'Detailed Budget'!$AC$257</f>
        <v>13636439388</v>
      </c>
      <c r="FS58" s="269">
        <f t="shared" si="168"/>
        <v>10992696</v>
      </c>
      <c r="FT58" s="269">
        <f t="shared" si="51"/>
        <v>10992696</v>
      </c>
      <c r="FU58" s="269"/>
      <c r="FV58" s="269"/>
      <c r="FW58" s="605"/>
      <c r="FX58" s="140">
        <f>'Detailed Budget'!$AC$278</f>
        <v>1114560000</v>
      </c>
      <c r="FY58" s="269">
        <f t="shared" si="169"/>
        <v>1440000</v>
      </c>
      <c r="FZ58" s="269">
        <f t="shared" si="54"/>
        <v>1440000</v>
      </c>
      <c r="GB58" s="269">
        <f t="shared" si="74"/>
        <v>2025589318.7588036</v>
      </c>
      <c r="GC58" s="887">
        <f t="shared" si="55"/>
        <v>1265993.3242242523</v>
      </c>
      <c r="GD58" s="1078">
        <f t="shared" si="75"/>
        <v>1.1366219507461732E-3</v>
      </c>
    </row>
    <row r="59" spans="1:186" hidden="1" outlineLevel="1">
      <c r="A59" s="211" t="s">
        <v>308</v>
      </c>
      <c r="B59" s="212" t="s">
        <v>309</v>
      </c>
      <c r="C59" s="213" t="s">
        <v>215</v>
      </c>
      <c r="D59" s="214"/>
      <c r="E59" s="213"/>
      <c r="F59" s="213"/>
      <c r="G59" s="213" t="s">
        <v>215</v>
      </c>
      <c r="H59" s="213" t="s">
        <v>215</v>
      </c>
      <c r="I59" s="214" t="s">
        <v>215</v>
      </c>
      <c r="J59" s="214"/>
      <c r="K59" s="213"/>
      <c r="L59" s="213"/>
      <c r="M59" s="214"/>
      <c r="N59" s="213" t="s">
        <v>215</v>
      </c>
      <c r="O59" s="214"/>
      <c r="P59" s="213"/>
      <c r="Q59" s="214"/>
      <c r="R59" s="214" t="s">
        <v>215</v>
      </c>
      <c r="S59" s="214"/>
      <c r="T59" s="214"/>
      <c r="U59" s="215">
        <f t="shared" si="170"/>
        <v>6</v>
      </c>
      <c r="V59" s="845" t="s">
        <v>216</v>
      </c>
      <c r="W59" s="216">
        <v>325623</v>
      </c>
      <c r="X59" s="217">
        <v>3.03</v>
      </c>
      <c r="Y59" s="218">
        <f t="shared" si="57"/>
        <v>1.0303</v>
      </c>
      <c r="Z59" s="196">
        <v>19</v>
      </c>
      <c r="AA59" s="218">
        <f t="shared" si="184"/>
        <v>1.7632354008841205</v>
      </c>
      <c r="AB59" s="196">
        <f t="shared" si="171"/>
        <v>574150.00094208994</v>
      </c>
      <c r="AC59">
        <v>18.8</v>
      </c>
      <c r="AD59" s="196">
        <f t="shared" si="172"/>
        <v>107940.20017711291</v>
      </c>
      <c r="AE59" s="196">
        <f t="shared" si="95"/>
        <v>102543.19016825726</v>
      </c>
      <c r="AF59" s="196">
        <f t="shared" si="173"/>
        <v>0</v>
      </c>
      <c r="AG59" s="606">
        <f t="shared" si="58"/>
        <v>4.741146940340355E-3</v>
      </c>
      <c r="AH59" s="196">
        <f t="shared" si="185"/>
        <v>28707.500047104499</v>
      </c>
      <c r="AI59" s="248">
        <f t="shared" si="59"/>
        <v>2.2239265325380807E-3</v>
      </c>
      <c r="AJ59" s="196">
        <f t="shared" si="80"/>
        <v>136647.70022421741</v>
      </c>
      <c r="AK59" s="196">
        <f t="shared" si="99"/>
        <v>22966.0000376836</v>
      </c>
      <c r="AL59" s="196">
        <f t="shared" si="100"/>
        <v>22966.0000376836</v>
      </c>
      <c r="AM59" s="196">
        <f t="shared" si="5"/>
        <v>45932.000075367199</v>
      </c>
      <c r="AN59" s="627">
        <f t="shared" si="6"/>
        <v>2.2239265325380807E-3</v>
      </c>
      <c r="AO59" s="196">
        <f t="shared" si="7"/>
        <v>21817.700035799418</v>
      </c>
      <c r="AP59" s="589">
        <f t="shared" si="60"/>
        <v>2.2239265325380802E-3</v>
      </c>
      <c r="AQ59" s="196"/>
      <c r="AR59" s="589"/>
      <c r="AS59">
        <v>1</v>
      </c>
      <c r="AT59" s="589">
        <f t="shared" si="61"/>
        <v>1.2919896640826874E-3</v>
      </c>
      <c r="AU59" s="196">
        <v>11</v>
      </c>
      <c r="AV59" s="245">
        <f t="shared" si="8"/>
        <v>1.2498579706851495E-3</v>
      </c>
      <c r="AX59" s="245"/>
      <c r="AY59" s="245"/>
      <c r="AZ59" s="196">
        <v>31</v>
      </c>
      <c r="BA59" s="589">
        <f t="shared" si="62"/>
        <v>1.1359056099080284E-3</v>
      </c>
      <c r="BI59" s="196">
        <v>0</v>
      </c>
      <c r="BK59" s="246">
        <f t="shared" si="63"/>
        <v>0</v>
      </c>
      <c r="BL59" s="246"/>
      <c r="BM59" s="246">
        <f t="shared" si="64"/>
        <v>0</v>
      </c>
      <c r="BN59" s="196">
        <v>1</v>
      </c>
      <c r="BO59" s="196">
        <f t="shared" si="174"/>
        <v>48463.459696141741</v>
      </c>
      <c r="BP59" s="196">
        <f t="shared" si="82"/>
        <v>48463.459696141741</v>
      </c>
      <c r="BQ59" s="248">
        <f t="shared" si="65"/>
        <v>4.5335309724554556E-3</v>
      </c>
      <c r="BR59" s="248"/>
      <c r="BS59" s="248"/>
      <c r="BT59" s="276">
        <v>0</v>
      </c>
      <c r="BU59" s="196">
        <f t="shared" si="186"/>
        <v>0</v>
      </c>
      <c r="BV59" s="264">
        <f t="shared" si="66"/>
        <v>0</v>
      </c>
      <c r="BW59" s="196">
        <f t="shared" si="187"/>
        <v>0</v>
      </c>
      <c r="BX59" s="247">
        <f t="shared" si="67"/>
        <v>0</v>
      </c>
      <c r="BY59" s="196">
        <f t="shared" si="83"/>
        <v>0</v>
      </c>
      <c r="BZ59" s="620">
        <v>1</v>
      </c>
      <c r="CA59" s="196">
        <f t="shared" si="145"/>
        <v>175689.90028827955</v>
      </c>
      <c r="CB59" s="196">
        <f t="shared" si="146"/>
        <v>351379.80057655909</v>
      </c>
      <c r="CC59" s="196">
        <f t="shared" si="12"/>
        <v>527069.70086483867</v>
      </c>
      <c r="CD59" s="247">
        <f t="shared" si="13"/>
        <v>2.2239265325380807E-3</v>
      </c>
      <c r="CE59" s="196">
        <f t="shared" si="175"/>
        <v>59880.328338126623</v>
      </c>
      <c r="CF59" s="247">
        <f t="shared" si="14"/>
        <v>2.5858188022079101E-3</v>
      </c>
      <c r="CG59" s="196">
        <f t="shared" si="147"/>
        <v>87270.800143197674</v>
      </c>
      <c r="CH59" s="589">
        <f t="shared" si="68"/>
        <v>2.2239265325380802E-3</v>
      </c>
      <c r="CI59" s="196">
        <f t="shared" si="176"/>
        <v>151740.36016254214</v>
      </c>
      <c r="CJ59" s="248">
        <f t="shared" si="70"/>
        <v>2.4946111359042335E-3</v>
      </c>
      <c r="CK59" s="196">
        <f t="shared" si="177"/>
        <v>160036.66529318946</v>
      </c>
      <c r="CL59" s="589">
        <f t="shared" si="71"/>
        <v>2.300559981727237E-3</v>
      </c>
      <c r="CM59" s="196">
        <f t="shared" si="178"/>
        <v>15503.545809306217</v>
      </c>
      <c r="CN59" s="589">
        <f t="shared" si="72"/>
        <v>2.2342371435090103E-3</v>
      </c>
      <c r="CO59" s="196">
        <f t="shared" si="179"/>
        <v>1240.2797345227291</v>
      </c>
      <c r="CP59" s="589">
        <f t="shared" si="73"/>
        <v>2.3389765410618993E-3</v>
      </c>
      <c r="CQ59" s="196">
        <f>'Detailed Budget'!$AC$12</f>
        <v>292876014141.44696</v>
      </c>
      <c r="CR59" s="269">
        <f t="shared" si="143"/>
        <v>0</v>
      </c>
      <c r="CS59" s="269">
        <f>'Detailed Budget'!$AC$16</f>
        <v>10488008800.000002</v>
      </c>
      <c r="CT59" s="607">
        <f t="shared" si="149"/>
        <v>0</v>
      </c>
      <c r="CU59" s="269">
        <f>'Detailed Budget'!$AC$24</f>
        <v>30624985696</v>
      </c>
      <c r="CV59" s="269">
        <f t="shared" si="18"/>
        <v>0</v>
      </c>
      <c r="CW59" s="269"/>
      <c r="CX59" s="269">
        <f t="shared" si="19"/>
        <v>0</v>
      </c>
      <c r="CY59" s="196">
        <f>'Detailed Budget'!$AC$97</f>
        <v>74629165494.837845</v>
      </c>
      <c r="CZ59" s="269">
        <f t="shared" si="150"/>
        <v>338333633.21935135</v>
      </c>
      <c r="DA59" s="269">
        <f>'Detailed Budget'!$AC$100</f>
        <v>14925833098.967569</v>
      </c>
      <c r="DB59" s="269">
        <f t="shared" si="151"/>
        <v>67666726.643870264</v>
      </c>
      <c r="DC59" s="269">
        <f t="shared" si="22"/>
        <v>406000359.86322165</v>
      </c>
      <c r="DD59" s="207">
        <v>0</v>
      </c>
      <c r="DE59" s="606">
        <v>0</v>
      </c>
      <c r="DF59" s="269">
        <f>'Detailed Budget'!$AC$147</f>
        <v>5913600671000</v>
      </c>
      <c r="DG59" s="269">
        <f t="shared" si="23"/>
        <v>0</v>
      </c>
      <c r="DH59" s="269">
        <f>'Detailed Budget'!$AC$153</f>
        <v>226428026880.00003</v>
      </c>
      <c r="DI59" s="269"/>
      <c r="DJ59" s="269">
        <f>'Detailed Budget'!$AC$156</f>
        <v>27713070000</v>
      </c>
      <c r="DK59" s="269"/>
      <c r="DL59" s="269"/>
      <c r="DM59" s="196">
        <f>'Detailed Budget'!$AC$178</f>
        <v>5622683761.6229038</v>
      </c>
      <c r="DN59" s="269">
        <f t="shared" si="180"/>
        <v>0</v>
      </c>
      <c r="DO59" s="196">
        <f>'Detailed Budget'!$AC$179</f>
        <v>26827890683.128094</v>
      </c>
      <c r="DP59" s="269">
        <f t="shared" si="181"/>
        <v>0</v>
      </c>
      <c r="DQ59" s="269">
        <f t="shared" si="89"/>
        <v>0</v>
      </c>
      <c r="DR59" s="269">
        <f>'Detailed Budget'!$AC$181</f>
        <v>50888946855.375237</v>
      </c>
      <c r="DS59" s="269">
        <f t="shared" si="182"/>
        <v>0</v>
      </c>
      <c r="DT59" s="269">
        <f t="shared" si="183"/>
        <v>0</v>
      </c>
      <c r="DU59" s="272">
        <f>'Detailed Budget'!$AC$192</f>
        <v>77498869683.252869</v>
      </c>
      <c r="DV59" s="269">
        <f t="shared" si="152"/>
        <v>172351792.53029713</v>
      </c>
      <c r="DW59" s="140">
        <f>'Detailed Budget'!$AC$194</f>
        <v>2684962805.4134097</v>
      </c>
      <c r="DX59" s="269">
        <f t="shared" si="153"/>
        <v>5971160.0218367614</v>
      </c>
      <c r="DY59" s="607">
        <f t="shared" si="26"/>
        <v>178322952.55213389</v>
      </c>
      <c r="DZ59" s="196">
        <f>'Detailed Budget'!$AC$198</f>
        <v>18732540018.380611</v>
      </c>
      <c r="EA59" s="269">
        <f t="shared" si="154"/>
        <v>48438954.192640692</v>
      </c>
      <c r="EB59" s="196">
        <f>'Detailed Budget'!$AC$200</f>
        <v>4683135004.5951529</v>
      </c>
      <c r="EC59" s="269">
        <f t="shared" si="155"/>
        <v>12109738.548160173</v>
      </c>
      <c r="ED59" s="269">
        <f t="shared" si="29"/>
        <v>60548692.740800865</v>
      </c>
      <c r="EE59" s="196">
        <f>'Detailed Budget'!$AC$161</f>
        <v>251147290106.36197</v>
      </c>
      <c r="EF59" s="269">
        <f t="shared" si="156"/>
        <v>558533122.04257691</v>
      </c>
      <c r="EG59" s="196">
        <f>'Detailed Budget'!$AC$163</f>
        <v>15696705631.647623</v>
      </c>
      <c r="EH59" s="269">
        <f t="shared" si="157"/>
        <v>34908320.127661057</v>
      </c>
      <c r="EI59" s="269">
        <f t="shared" si="32"/>
        <v>593441442.17023802</v>
      </c>
      <c r="EJ59" s="196">
        <f>'Detailed Budget'!$AC$204</f>
        <v>45012172507.531975</v>
      </c>
      <c r="EK59" s="269">
        <f t="shared" si="158"/>
        <v>112287866.78853165</v>
      </c>
      <c r="EL59" s="201">
        <f>'Detailed Budget'!$AC$206</f>
        <v>11253043126.882994</v>
      </c>
      <c r="EM59" s="269">
        <f t="shared" si="159"/>
        <v>28071966.697132912</v>
      </c>
      <c r="EN59" s="269">
        <f t="shared" si="35"/>
        <v>140359833.48566455</v>
      </c>
      <c r="EO59" s="140">
        <f>'Detailed Budget'!$AC$209</f>
        <v>135789361677.54817</v>
      </c>
      <c r="EP59" s="269">
        <f t="shared" si="160"/>
        <v>312391571.41965342</v>
      </c>
      <c r="EQ59" s="196">
        <f>'Detailed Budget'!$AC$211</f>
        <v>33947340419.387043</v>
      </c>
      <c r="ER59" s="269">
        <f t="shared" si="161"/>
        <v>78097892.854913354</v>
      </c>
      <c r="ES59" s="269">
        <f t="shared" si="38"/>
        <v>390489464.27456677</v>
      </c>
      <c r="ET59" s="196">
        <f>'Detailed Budget'!$AC$214</f>
        <v>22239745544.201103</v>
      </c>
      <c r="EU59" s="269">
        <f t="shared" si="162"/>
        <v>49688865.557043113</v>
      </c>
      <c r="EV59" s="140">
        <f>'Detailed Budget'!$AC$217</f>
        <v>5559936386.0502758</v>
      </c>
      <c r="EW59" s="269">
        <f t="shared" si="163"/>
        <v>12422216.389260778</v>
      </c>
      <c r="EX59" s="269">
        <f t="shared" si="41"/>
        <v>62111081.946303889</v>
      </c>
      <c r="EY59" s="196">
        <f>'Detailed Budget'!$AC$219</f>
        <v>372777004.58170313</v>
      </c>
      <c r="EZ59" s="269">
        <f t="shared" si="164"/>
        <v>871916.66876392777</v>
      </c>
      <c r="FA59" s="196">
        <f>'Detailed Budget'!$AC$222</f>
        <v>93194251.145425782</v>
      </c>
      <c r="FB59" s="269">
        <f t="shared" si="165"/>
        <v>217979.16719098194</v>
      </c>
      <c r="FC59" s="269">
        <f t="shared" si="44"/>
        <v>1089895.8359549097</v>
      </c>
      <c r="FD59" s="269"/>
      <c r="FE59" s="269">
        <f t="shared" si="45"/>
        <v>594050275.54249012</v>
      </c>
      <c r="FF59" s="140">
        <f>'Detailed Budget'!$AC$165</f>
        <v>14927760000</v>
      </c>
      <c r="FG59" s="1087">
        <f t="shared" si="46"/>
        <v>810323898.31682456</v>
      </c>
      <c r="FH59" s="269">
        <f t="shared" si="166"/>
        <v>18657579.820474949</v>
      </c>
      <c r="FJ59" s="140">
        <f>'Detailed Budget'!$AC$235</f>
        <v>3623696172</v>
      </c>
      <c r="FK59" s="269">
        <f t="shared" si="167"/>
        <v>4681778</v>
      </c>
      <c r="FL59" s="269">
        <f t="shared" si="49"/>
        <v>4681778</v>
      </c>
      <c r="FO59" s="607"/>
      <c r="FP59" s="607"/>
      <c r="FQ59" s="607"/>
      <c r="FR59" s="269">
        <f>'Detailed Budget'!$AC$257</f>
        <v>13636439388</v>
      </c>
      <c r="FS59" s="269">
        <f t="shared" si="168"/>
        <v>15489708.000000002</v>
      </c>
      <c r="FT59" s="269">
        <f t="shared" si="51"/>
        <v>15489708.000000002</v>
      </c>
      <c r="FU59" s="269"/>
      <c r="FV59" s="269"/>
      <c r="FW59" s="605"/>
      <c r="FX59" s="140">
        <f>'Detailed Budget'!$AC$278</f>
        <v>1114560000</v>
      </c>
      <c r="FY59" s="269">
        <f t="shared" si="169"/>
        <v>1440000</v>
      </c>
      <c r="FZ59" s="269">
        <f t="shared" si="54"/>
        <v>1440000</v>
      </c>
      <c r="GB59" s="269">
        <f t="shared" si="74"/>
        <v>2682956687.0061841</v>
      </c>
      <c r="GC59" s="887">
        <f t="shared" si="55"/>
        <v>1676847.9293788651</v>
      </c>
      <c r="GD59" s="1078">
        <f t="shared" si="75"/>
        <v>1.5054914809785184E-3</v>
      </c>
    </row>
    <row r="60" spans="1:186" hidden="1" outlineLevel="1">
      <c r="A60" s="211" t="s">
        <v>310</v>
      </c>
      <c r="B60" s="212" t="s">
        <v>311</v>
      </c>
      <c r="C60" s="213" t="s">
        <v>215</v>
      </c>
      <c r="D60" s="214"/>
      <c r="E60" s="213"/>
      <c r="F60" s="213"/>
      <c r="G60" s="213" t="s">
        <v>215</v>
      </c>
      <c r="H60" s="213" t="s">
        <v>215</v>
      </c>
      <c r="I60" s="214" t="s">
        <v>215</v>
      </c>
      <c r="J60" s="214"/>
      <c r="K60" s="213"/>
      <c r="L60" s="213"/>
      <c r="M60" s="214" t="s">
        <v>215</v>
      </c>
      <c r="N60" s="213"/>
      <c r="O60" s="214"/>
      <c r="P60" s="213"/>
      <c r="Q60" s="214"/>
      <c r="R60" s="214" t="s">
        <v>215</v>
      </c>
      <c r="S60" s="214"/>
      <c r="T60" s="214"/>
      <c r="U60" s="215">
        <f t="shared" si="170"/>
        <v>6</v>
      </c>
      <c r="V60" s="845" t="s">
        <v>216</v>
      </c>
      <c r="W60" s="216">
        <v>158490</v>
      </c>
      <c r="X60" s="217">
        <v>3.03</v>
      </c>
      <c r="Y60" s="218">
        <f t="shared" si="57"/>
        <v>1.0303</v>
      </c>
      <c r="Z60" s="196">
        <v>19</v>
      </c>
      <c r="AA60" s="218">
        <f t="shared" si="184"/>
        <v>1.7632354008841205</v>
      </c>
      <c r="AB60" s="196">
        <f t="shared" si="171"/>
        <v>279455.17868612427</v>
      </c>
      <c r="AC60">
        <v>18.8</v>
      </c>
      <c r="AD60" s="196">
        <f t="shared" si="172"/>
        <v>52537.573592991364</v>
      </c>
      <c r="AE60" s="196">
        <f t="shared" si="95"/>
        <v>49910.694913341795</v>
      </c>
      <c r="AF60" s="196">
        <f t="shared" si="173"/>
        <v>0</v>
      </c>
      <c r="AG60" s="606">
        <f t="shared" si="58"/>
        <v>2.3076514207366894E-3</v>
      </c>
      <c r="AH60" s="196">
        <f t="shared" si="185"/>
        <v>13972.758934306214</v>
      </c>
      <c r="AI60" s="248">
        <f t="shared" si="59"/>
        <v>1.0824484638430345E-3</v>
      </c>
      <c r="AJ60" s="196">
        <f t="shared" si="80"/>
        <v>66510.332527297578</v>
      </c>
      <c r="AK60" s="196">
        <f t="shared" si="99"/>
        <v>11178.207147444971</v>
      </c>
      <c r="AL60" s="196">
        <f t="shared" si="100"/>
        <v>11178.207147444971</v>
      </c>
      <c r="AM60" s="196">
        <f t="shared" si="5"/>
        <v>22356.414294889943</v>
      </c>
      <c r="AN60" s="627">
        <f t="shared" si="6"/>
        <v>1.0824484638430345E-3</v>
      </c>
      <c r="AO60" s="196">
        <f t="shared" si="7"/>
        <v>10619.296790072722</v>
      </c>
      <c r="AP60" s="589">
        <f t="shared" si="60"/>
        <v>1.0824484638430343E-3</v>
      </c>
      <c r="AQ60" s="196"/>
      <c r="AR60" s="589"/>
      <c r="AS60">
        <v>1</v>
      </c>
      <c r="AT60" s="589">
        <f t="shared" si="61"/>
        <v>1.2919896640826874E-3</v>
      </c>
      <c r="AU60" s="196">
        <v>10</v>
      </c>
      <c r="AV60" s="245">
        <f t="shared" si="8"/>
        <v>1.1362345188046814E-3</v>
      </c>
      <c r="AX60" s="245"/>
      <c r="AY60" s="245"/>
      <c r="AZ60" s="196">
        <v>67</v>
      </c>
      <c r="BA60" s="589">
        <f t="shared" si="62"/>
        <v>2.455021802059287E-3</v>
      </c>
      <c r="BI60" s="196">
        <v>0</v>
      </c>
      <c r="BK60" s="246">
        <f t="shared" si="63"/>
        <v>0</v>
      </c>
      <c r="BL60" s="246"/>
      <c r="BM60" s="246">
        <f t="shared" si="64"/>
        <v>0</v>
      </c>
      <c r="BN60" s="196">
        <v>1</v>
      </c>
      <c r="BO60" s="196">
        <f t="shared" si="174"/>
        <v>23588.547882801598</v>
      </c>
      <c r="BP60" s="196">
        <f t="shared" si="82"/>
        <v>23588.547882801598</v>
      </c>
      <c r="BQ60" s="248">
        <f t="shared" si="65"/>
        <v>2.2065988085131125E-3</v>
      </c>
      <c r="BR60" s="248"/>
      <c r="BS60" s="248"/>
      <c r="BT60" s="276">
        <v>0</v>
      </c>
      <c r="BU60" s="196">
        <f t="shared" si="186"/>
        <v>0</v>
      </c>
      <c r="BV60" s="264">
        <f t="shared" si="66"/>
        <v>0</v>
      </c>
      <c r="BW60" s="196">
        <f t="shared" si="187"/>
        <v>0</v>
      </c>
      <c r="BX60" s="247">
        <f t="shared" si="67"/>
        <v>0</v>
      </c>
      <c r="BY60" s="196">
        <f t="shared" si="83"/>
        <v>0</v>
      </c>
      <c r="BZ60" s="620">
        <v>1</v>
      </c>
      <c r="CA60" s="196">
        <f t="shared" si="145"/>
        <v>85513.284677954041</v>
      </c>
      <c r="CB60" s="196">
        <f t="shared" si="146"/>
        <v>171026.56935590808</v>
      </c>
      <c r="CC60" s="196">
        <f t="shared" si="12"/>
        <v>256539.85403386212</v>
      </c>
      <c r="CD60" s="247">
        <f t="shared" si="13"/>
        <v>1.0824484638430347E-3</v>
      </c>
      <c r="CE60" s="196">
        <f t="shared" si="175"/>
        <v>29145.463429517225</v>
      </c>
      <c r="CF60" s="247">
        <f t="shared" si="14"/>
        <v>1.2585917516942343E-3</v>
      </c>
      <c r="CG60" s="196">
        <f t="shared" si="147"/>
        <v>42477.187160290887</v>
      </c>
      <c r="CH60" s="589">
        <f t="shared" si="68"/>
        <v>1.0824484638430343E-3</v>
      </c>
      <c r="CI60" s="196">
        <f t="shared" si="176"/>
        <v>73856.360521711627</v>
      </c>
      <c r="CJ60" s="248">
        <f t="shared" si="70"/>
        <v>1.2141983795047094E-3</v>
      </c>
      <c r="CK60" s="196">
        <f t="shared" si="177"/>
        <v>77894.408817305899</v>
      </c>
      <c r="CL60" s="589">
        <f t="shared" si="71"/>
        <v>1.1197481489450985E-3</v>
      </c>
      <c r="CM60" s="196">
        <f t="shared" si="178"/>
        <v>7546.0178651905489</v>
      </c>
      <c r="CN60" s="589">
        <f t="shared" si="72"/>
        <v>1.0874669322337275E-3</v>
      </c>
      <c r="CO60" s="196">
        <f t="shared" si="179"/>
        <v>603.67951626422985</v>
      </c>
      <c r="CP60" s="589">
        <f t="shared" si="73"/>
        <v>1.1384465839111499E-3</v>
      </c>
      <c r="CQ60" s="196">
        <f>'Detailed Budget'!$AC$12</f>
        <v>292876014141.44696</v>
      </c>
      <c r="CR60" s="269">
        <f t="shared" si="143"/>
        <v>0</v>
      </c>
      <c r="CS60" s="269">
        <f>'Detailed Budget'!$AC$16</f>
        <v>10488008800.000002</v>
      </c>
      <c r="CT60" s="607">
        <f t="shared" si="149"/>
        <v>0</v>
      </c>
      <c r="CU60" s="269">
        <f>'Detailed Budget'!$AC$24</f>
        <v>30624985696</v>
      </c>
      <c r="CV60" s="269">
        <f t="shared" si="18"/>
        <v>0</v>
      </c>
      <c r="CW60" s="269"/>
      <c r="CX60" s="269">
        <f t="shared" si="19"/>
        <v>0</v>
      </c>
      <c r="CY60" s="196">
        <f>'Detailed Budget'!$AC$97</f>
        <v>74629165494.837845</v>
      </c>
      <c r="CZ60" s="269">
        <f t="shared" si="150"/>
        <v>164676627.66123709</v>
      </c>
      <c r="DA60" s="269">
        <f>'Detailed Budget'!$AC$100</f>
        <v>14925833098.967569</v>
      </c>
      <c r="DB60" s="269">
        <f t="shared" si="151"/>
        <v>32935325.532247417</v>
      </c>
      <c r="DC60" s="269">
        <f t="shared" si="22"/>
        <v>197611953.19348451</v>
      </c>
      <c r="DD60" s="207">
        <v>0</v>
      </c>
      <c r="DE60" s="606">
        <v>0</v>
      </c>
      <c r="DF60" s="269">
        <f>'Detailed Budget'!$AC$147</f>
        <v>5913600671000</v>
      </c>
      <c r="DG60" s="269">
        <f t="shared" si="23"/>
        <v>0</v>
      </c>
      <c r="DH60" s="269">
        <f>'Detailed Budget'!$AC$153</f>
        <v>226428026880.00003</v>
      </c>
      <c r="DI60" s="269"/>
      <c r="DJ60" s="269">
        <f>'Detailed Budget'!$AC$156</f>
        <v>27713070000</v>
      </c>
      <c r="DK60" s="269"/>
      <c r="DL60" s="269"/>
      <c r="DM60" s="196">
        <f>'Detailed Budget'!$AC$178</f>
        <v>5622683761.6229038</v>
      </c>
      <c r="DN60" s="269">
        <f t="shared" si="180"/>
        <v>0</v>
      </c>
      <c r="DO60" s="196">
        <f>'Detailed Budget'!$AC$179</f>
        <v>26827890683.128094</v>
      </c>
      <c r="DP60" s="269">
        <f t="shared" si="181"/>
        <v>0</v>
      </c>
      <c r="DQ60" s="269">
        <f t="shared" si="89"/>
        <v>0</v>
      </c>
      <c r="DR60" s="269">
        <f>'Detailed Budget'!$AC$181</f>
        <v>50888946855.375237</v>
      </c>
      <c r="DS60" s="269">
        <f t="shared" si="182"/>
        <v>0</v>
      </c>
      <c r="DT60" s="269">
        <f t="shared" si="183"/>
        <v>0</v>
      </c>
      <c r="DU60" s="272">
        <f>'Detailed Budget'!$AC$192</f>
        <v>77498869683.252869</v>
      </c>
      <c r="DV60" s="269">
        <f t="shared" si="152"/>
        <v>83888532.438208595</v>
      </c>
      <c r="DW60" s="140">
        <f>'Detailed Budget'!$AC$194</f>
        <v>2684962805.4134097</v>
      </c>
      <c r="DX60" s="269">
        <f t="shared" si="153"/>
        <v>2906333.8641954297</v>
      </c>
      <c r="DY60" s="607">
        <f t="shared" si="26"/>
        <v>86794866.302404031</v>
      </c>
      <c r="DZ60" s="196">
        <f>'Detailed Budget'!$AC$198</f>
        <v>18732540018.380611</v>
      </c>
      <c r="EA60" s="269">
        <f t="shared" si="154"/>
        <v>23576620.355415996</v>
      </c>
      <c r="EB60" s="196">
        <f>'Detailed Budget'!$AC$200</f>
        <v>4683135004.5951529</v>
      </c>
      <c r="EC60" s="269">
        <f t="shared" si="155"/>
        <v>5894155.088853999</v>
      </c>
      <c r="ED60" s="269">
        <f t="shared" si="29"/>
        <v>29470775.444269996</v>
      </c>
      <c r="EE60" s="196">
        <f>'Detailed Budget'!$AC$161</f>
        <v>251147290106.36197</v>
      </c>
      <c r="EF60" s="269">
        <f t="shared" si="156"/>
        <v>271853998.37397242</v>
      </c>
      <c r="EG60" s="196">
        <f>'Detailed Budget'!$AC$163</f>
        <v>15696705631.647623</v>
      </c>
      <c r="EH60" s="269">
        <f t="shared" si="157"/>
        <v>16990874.898373276</v>
      </c>
      <c r="EI60" s="269">
        <f t="shared" si="32"/>
        <v>288844873.27234566</v>
      </c>
      <c r="EJ60" s="196">
        <f>'Detailed Budget'!$AC$204</f>
        <v>45012172507.531975</v>
      </c>
      <c r="EK60" s="269">
        <f t="shared" si="158"/>
        <v>54653706.916631758</v>
      </c>
      <c r="EL60" s="201">
        <f>'Detailed Budget'!$AC$206</f>
        <v>11253043126.882994</v>
      </c>
      <c r="EM60" s="269">
        <f t="shared" si="159"/>
        <v>13663426.72915794</v>
      </c>
      <c r="EN60" s="269">
        <f t="shared" si="35"/>
        <v>68317133.645789698</v>
      </c>
      <c r="EO60" s="140">
        <f>'Detailed Budget'!$AC$209</f>
        <v>135789361677.54817</v>
      </c>
      <c r="EP60" s="269">
        <f t="shared" si="160"/>
        <v>152049886.38487107</v>
      </c>
      <c r="EQ60" s="196">
        <f>'Detailed Budget'!$AC$211</f>
        <v>33947340419.387043</v>
      </c>
      <c r="ER60" s="269">
        <f t="shared" si="161"/>
        <v>38012471.596217766</v>
      </c>
      <c r="ES60" s="269">
        <f t="shared" si="38"/>
        <v>190062357.98108882</v>
      </c>
      <c r="ET60" s="196">
        <f>'Detailed Budget'!$AC$214</f>
        <v>22239745544.201103</v>
      </c>
      <c r="EU60" s="269">
        <f t="shared" si="162"/>
        <v>24184987.860611085</v>
      </c>
      <c r="EV60" s="140">
        <f>'Detailed Budget'!$AC$217</f>
        <v>5559936386.0502758</v>
      </c>
      <c r="EW60" s="269">
        <f t="shared" si="163"/>
        <v>6046246.9651527712</v>
      </c>
      <c r="EX60" s="269">
        <f t="shared" si="41"/>
        <v>30231234.825763855</v>
      </c>
      <c r="EY60" s="196">
        <f>'Detailed Budget'!$AC$219</f>
        <v>372777004.58170313</v>
      </c>
      <c r="EZ60" s="269">
        <f t="shared" si="164"/>
        <v>424386.707426671</v>
      </c>
      <c r="FA60" s="196">
        <f>'Detailed Budget'!$AC$222</f>
        <v>93194251.145425782</v>
      </c>
      <c r="FB60" s="269">
        <f t="shared" si="165"/>
        <v>106096.67685666775</v>
      </c>
      <c r="FC60" s="269">
        <f t="shared" si="44"/>
        <v>530483.38428333879</v>
      </c>
      <c r="FD60" s="269"/>
      <c r="FE60" s="269">
        <f t="shared" si="45"/>
        <v>289141209.83692575</v>
      </c>
      <c r="FF60" s="140">
        <f>'Detailed Budget'!$AC$165</f>
        <v>14927760000</v>
      </c>
      <c r="FG60" s="1087">
        <f t="shared" si="46"/>
        <v>394407749.58843058</v>
      </c>
      <c r="FH60" s="269">
        <f t="shared" si="166"/>
        <v>16961436.200431772</v>
      </c>
      <c r="FJ60" s="140">
        <f>'Detailed Budget'!$AC$235</f>
        <v>3623696172</v>
      </c>
      <c r="FK60" s="269">
        <f t="shared" si="167"/>
        <v>4681778</v>
      </c>
      <c r="FL60" s="269">
        <f t="shared" si="49"/>
        <v>4681778</v>
      </c>
      <c r="FO60" s="607"/>
      <c r="FP60" s="607"/>
      <c r="FQ60" s="607"/>
      <c r="FR60" s="269">
        <f>'Detailed Budget'!$AC$257</f>
        <v>13636439388</v>
      </c>
      <c r="FS60" s="269">
        <f t="shared" si="168"/>
        <v>33477756</v>
      </c>
      <c r="FT60" s="269">
        <f t="shared" si="51"/>
        <v>33477756</v>
      </c>
      <c r="FU60" s="269"/>
      <c r="FV60" s="269"/>
      <c r="FW60" s="605"/>
      <c r="FX60" s="140">
        <f>'Detailed Budget'!$AC$278</f>
        <v>1114560000</v>
      </c>
      <c r="FY60" s="269">
        <f t="shared" si="169"/>
        <v>1440000</v>
      </c>
      <c r="FZ60" s="269">
        <f t="shared" si="54"/>
        <v>1440000</v>
      </c>
      <c r="GB60" s="269">
        <f t="shared" si="74"/>
        <v>1342832397.8382924</v>
      </c>
      <c r="GC60" s="887">
        <f t="shared" si="55"/>
        <v>839270.24864893267</v>
      </c>
      <c r="GD60" s="1078">
        <f t="shared" si="75"/>
        <v>7.5350554301469638E-4</v>
      </c>
    </row>
    <row r="61" spans="1:186" hidden="1" outlineLevel="1">
      <c r="A61" s="211" t="s">
        <v>312</v>
      </c>
      <c r="B61" s="212" t="s">
        <v>313</v>
      </c>
      <c r="C61" s="213" t="s">
        <v>215</v>
      </c>
      <c r="D61" s="214" t="s">
        <v>215</v>
      </c>
      <c r="E61" s="213"/>
      <c r="F61" s="213"/>
      <c r="G61" s="213"/>
      <c r="H61" s="213" t="s">
        <v>215</v>
      </c>
      <c r="I61" s="214" t="s">
        <v>215</v>
      </c>
      <c r="J61" s="214"/>
      <c r="K61" s="213"/>
      <c r="L61" s="213"/>
      <c r="M61" s="214" t="s">
        <v>215</v>
      </c>
      <c r="N61" s="213"/>
      <c r="O61" s="214"/>
      <c r="P61" s="213"/>
      <c r="Q61" s="214"/>
      <c r="R61" s="214" t="s">
        <v>215</v>
      </c>
      <c r="S61" s="214"/>
      <c r="T61" s="214"/>
      <c r="U61" s="215">
        <f t="shared" si="170"/>
        <v>6</v>
      </c>
      <c r="V61" s="845" t="s">
        <v>219</v>
      </c>
      <c r="W61" s="216">
        <v>107968</v>
      </c>
      <c r="X61" s="217">
        <v>3.03</v>
      </c>
      <c r="Y61" s="218">
        <f t="shared" si="57"/>
        <v>1.0303</v>
      </c>
      <c r="Z61" s="196">
        <v>19</v>
      </c>
      <c r="AA61" s="218">
        <f t="shared" si="184"/>
        <v>1.7632354008841205</v>
      </c>
      <c r="AB61" s="196">
        <f t="shared" si="171"/>
        <v>190372.99976265672</v>
      </c>
      <c r="AC61">
        <v>18.8</v>
      </c>
      <c r="AD61" s="196">
        <f t="shared" si="172"/>
        <v>35790.123955379466</v>
      </c>
      <c r="AE61" s="196">
        <f t="shared" si="95"/>
        <v>34000.617757610489</v>
      </c>
      <c r="AF61" s="196">
        <f t="shared" si="173"/>
        <v>34000.617757610489</v>
      </c>
      <c r="AG61" s="606">
        <f t="shared" si="58"/>
        <v>1.5720392996031224E-3</v>
      </c>
      <c r="AH61" s="196">
        <f t="shared" si="185"/>
        <v>9518.6499881328364</v>
      </c>
      <c r="AI61" s="248">
        <f t="shared" si="59"/>
        <v>7.3739539241721706E-4</v>
      </c>
      <c r="AJ61" s="196">
        <f t="shared" si="80"/>
        <v>45308.7739435123</v>
      </c>
      <c r="AK61" s="196">
        <f t="shared" si="99"/>
        <v>7614.9199905062687</v>
      </c>
      <c r="AL61" s="196">
        <f t="shared" si="100"/>
        <v>7614.9199905062687</v>
      </c>
      <c r="AM61" s="196">
        <f t="shared" si="5"/>
        <v>15229.839981012537</v>
      </c>
      <c r="AN61" s="627">
        <f t="shared" si="6"/>
        <v>7.3739539241721706E-4</v>
      </c>
      <c r="AO61" s="196">
        <f t="shared" si="7"/>
        <v>7234.1739909809548</v>
      </c>
      <c r="AP61" s="589">
        <f t="shared" si="60"/>
        <v>7.3739539241721706E-4</v>
      </c>
      <c r="AQ61" s="196"/>
      <c r="AR61" s="589"/>
      <c r="AS61">
        <v>1</v>
      </c>
      <c r="AT61" s="589">
        <f t="shared" si="61"/>
        <v>1.2919896640826874E-3</v>
      </c>
      <c r="AU61" s="196">
        <v>11</v>
      </c>
      <c r="AV61" s="245">
        <f t="shared" si="8"/>
        <v>1.2498579706851495E-3</v>
      </c>
      <c r="AX61" s="245"/>
      <c r="AY61" s="245"/>
      <c r="AZ61" s="196">
        <v>40</v>
      </c>
      <c r="BA61" s="589">
        <f t="shared" si="62"/>
        <v>1.4656846579458429E-3</v>
      </c>
      <c r="BI61" s="196">
        <v>0</v>
      </c>
      <c r="BK61" s="246">
        <f t="shared" si="63"/>
        <v>0</v>
      </c>
      <c r="BL61" s="246"/>
      <c r="BM61" s="246">
        <f t="shared" si="64"/>
        <v>0</v>
      </c>
      <c r="BN61" s="196">
        <v>1</v>
      </c>
      <c r="BO61" s="196">
        <f t="shared" si="174"/>
        <v>16069.205235726689</v>
      </c>
      <c r="BP61" s="196">
        <f t="shared" si="82"/>
        <v>16069.205235726689</v>
      </c>
      <c r="BQ61" s="248">
        <f t="shared" si="65"/>
        <v>1.5031993195630245E-3</v>
      </c>
      <c r="BR61" s="248"/>
      <c r="BS61" s="248"/>
      <c r="BT61" s="276">
        <v>1</v>
      </c>
      <c r="BU61" s="196">
        <f t="shared" si="186"/>
        <v>28345.778172660539</v>
      </c>
      <c r="BV61" s="264">
        <f t="shared" si="66"/>
        <v>1.966116865404253E-3</v>
      </c>
      <c r="BW61" s="196">
        <f t="shared" si="187"/>
        <v>121256.93996082564</v>
      </c>
      <c r="BX61" s="247">
        <f t="shared" si="67"/>
        <v>1.9661168831151088E-3</v>
      </c>
      <c r="BY61" s="196">
        <f t="shared" si="83"/>
        <v>149602.71813348617</v>
      </c>
      <c r="BZ61" s="620">
        <v>0</v>
      </c>
      <c r="CA61" s="196">
        <f t="shared" si="145"/>
        <v>58254.137927372954</v>
      </c>
      <c r="CB61" s="196">
        <f t="shared" si="146"/>
        <v>116508.27585474591</v>
      </c>
      <c r="CC61" s="196">
        <f t="shared" si="12"/>
        <v>174762.41378211888</v>
      </c>
      <c r="CD61" s="247">
        <f t="shared" si="13"/>
        <v>7.3739539241721706E-4</v>
      </c>
      <c r="CE61" s="196">
        <f t="shared" si="175"/>
        <v>19854.737810323149</v>
      </c>
      <c r="CF61" s="247">
        <f t="shared" si="14"/>
        <v>8.5738932580555925E-4</v>
      </c>
      <c r="CG61" s="196">
        <f t="shared" si="147"/>
        <v>28936.695963923819</v>
      </c>
      <c r="CH61" s="589">
        <f t="shared" si="68"/>
        <v>7.3739539241721706E-4</v>
      </c>
      <c r="CI61" s="196">
        <f t="shared" si="176"/>
        <v>50313.101979987136</v>
      </c>
      <c r="CJ61" s="248">
        <f t="shared" si="70"/>
        <v>8.2714726883945024E-4</v>
      </c>
      <c r="CK61" s="196">
        <f t="shared" si="177"/>
        <v>53063.937984648139</v>
      </c>
      <c r="CL61" s="589">
        <f t="shared" si="71"/>
        <v>7.628050233156944E-4</v>
      </c>
      <c r="CM61" s="196">
        <f t="shared" si="178"/>
        <v>5140.5669560785745</v>
      </c>
      <c r="CN61" s="589">
        <f t="shared" si="72"/>
        <v>7.4081411912051923E-4</v>
      </c>
      <c r="CO61" s="196">
        <f t="shared" si="179"/>
        <v>411.24405332838904</v>
      </c>
      <c r="CP61" s="589">
        <f t="shared" si="73"/>
        <v>7.7554294133206551E-4</v>
      </c>
      <c r="CQ61" s="196">
        <f>'Detailed Budget'!$AC$12</f>
        <v>292876014141.44696</v>
      </c>
      <c r="CR61" s="269">
        <f t="shared" si="143"/>
        <v>0</v>
      </c>
      <c r="CS61" s="269">
        <f>'Detailed Budget'!$AC$16</f>
        <v>10488008800.000002</v>
      </c>
      <c r="CT61" s="607">
        <f t="shared" si="149"/>
        <v>0</v>
      </c>
      <c r="CU61" s="269">
        <f>'Detailed Budget'!$AC$24</f>
        <v>30624985696</v>
      </c>
      <c r="CV61" s="269">
        <f t="shared" si="18"/>
        <v>0</v>
      </c>
      <c r="CW61" s="269"/>
      <c r="CX61" s="269">
        <f t="shared" si="19"/>
        <v>0</v>
      </c>
      <c r="CY61" s="196">
        <f>'Detailed Budget'!$AC$97</f>
        <v>74629165494.837845</v>
      </c>
      <c r="CZ61" s="269">
        <f t="shared" si="150"/>
        <v>112182510.79139659</v>
      </c>
      <c r="DA61" s="269">
        <f>'Detailed Budget'!$AC$100</f>
        <v>14925833098.967569</v>
      </c>
      <c r="DB61" s="269">
        <f t="shared" si="151"/>
        <v>22436502.158279318</v>
      </c>
      <c r="DC61" s="269">
        <f t="shared" si="22"/>
        <v>134619012.94967592</v>
      </c>
      <c r="DD61" s="207">
        <v>0</v>
      </c>
      <c r="DE61" s="606">
        <v>0</v>
      </c>
      <c r="DF61" s="269">
        <f>'Detailed Budget'!$AC$147</f>
        <v>5913600671000</v>
      </c>
      <c r="DG61" s="269">
        <f t="shared" si="23"/>
        <v>0</v>
      </c>
      <c r="DH61" s="269">
        <f>'Detailed Budget'!$AC$153</f>
        <v>226428026880.00003</v>
      </c>
      <c r="DI61" s="269"/>
      <c r="DJ61" s="269">
        <f>'Detailed Budget'!$AC$156</f>
        <v>27713070000</v>
      </c>
      <c r="DK61" s="269"/>
      <c r="DL61" s="269"/>
      <c r="DM61" s="196">
        <f>'Detailed Budget'!$AC$178</f>
        <v>5622683761.6229038</v>
      </c>
      <c r="DN61" s="269">
        <f t="shared" si="180"/>
        <v>11054853.372561418</v>
      </c>
      <c r="DO61" s="196">
        <f>'Detailed Budget'!$AC$179</f>
        <v>26827890683.128094</v>
      </c>
      <c r="DP61" s="269">
        <f t="shared" si="181"/>
        <v>52746768.810464673</v>
      </c>
      <c r="DQ61" s="269">
        <f t="shared" si="89"/>
        <v>63801622.18302609</v>
      </c>
      <c r="DR61" s="269">
        <f>'Detailed Budget'!$AC$181</f>
        <v>50888946855.375237</v>
      </c>
      <c r="DS61" s="269">
        <f t="shared" si="182"/>
        <v>79999424.372064605</v>
      </c>
      <c r="DT61" s="269">
        <f t="shared" si="183"/>
        <v>143801046.5550907</v>
      </c>
      <c r="DU61" s="272">
        <f>'Detailed Budget'!$AC$192</f>
        <v>77498869683.252869</v>
      </c>
      <c r="DV61" s="269">
        <f t="shared" si="152"/>
        <v>0</v>
      </c>
      <c r="DW61" s="140">
        <f>'Detailed Budget'!$AC$194</f>
        <v>2684962805.4134097</v>
      </c>
      <c r="DX61" s="269">
        <f t="shared" si="153"/>
        <v>0</v>
      </c>
      <c r="DY61" s="607">
        <f t="shared" si="26"/>
        <v>0</v>
      </c>
      <c r="DZ61" s="196">
        <f>'Detailed Budget'!$AC$198</f>
        <v>18732540018.380611</v>
      </c>
      <c r="EA61" s="269">
        <f t="shared" si="154"/>
        <v>16061079.85698501</v>
      </c>
      <c r="EB61" s="196">
        <f>'Detailed Budget'!$AC$200</f>
        <v>4683135004.5951529</v>
      </c>
      <c r="EC61" s="269">
        <f t="shared" si="155"/>
        <v>4015269.9642462526</v>
      </c>
      <c r="ED61" s="269">
        <f t="shared" si="29"/>
        <v>20076349.821231261</v>
      </c>
      <c r="EE61" s="196">
        <f>'Detailed Budget'!$AC$161</f>
        <v>251147290106.36197</v>
      </c>
      <c r="EF61" s="269">
        <f t="shared" si="156"/>
        <v>185194854.54250145</v>
      </c>
      <c r="EG61" s="196">
        <f>'Detailed Budget'!$AC$163</f>
        <v>15696705631.647623</v>
      </c>
      <c r="EH61" s="269">
        <f t="shared" si="157"/>
        <v>11574678.408906341</v>
      </c>
      <c r="EI61" s="269">
        <f t="shared" si="32"/>
        <v>196769532.95140779</v>
      </c>
      <c r="EJ61" s="196">
        <f>'Detailed Budget'!$AC$204</f>
        <v>45012172507.531975</v>
      </c>
      <c r="EK61" s="269">
        <f t="shared" si="158"/>
        <v>37231695.554135263</v>
      </c>
      <c r="EL61" s="201">
        <f>'Detailed Budget'!$AC$206</f>
        <v>11253043126.882994</v>
      </c>
      <c r="EM61" s="269">
        <f t="shared" si="159"/>
        <v>9307923.8885338157</v>
      </c>
      <c r="EN61" s="269">
        <f t="shared" si="35"/>
        <v>46539619.442669079</v>
      </c>
      <c r="EO61" s="140">
        <f>'Detailed Budget'!$AC$209</f>
        <v>135789361677.54817</v>
      </c>
      <c r="EP61" s="269">
        <f t="shared" si="160"/>
        <v>103580807.2004654</v>
      </c>
      <c r="EQ61" s="196">
        <f>'Detailed Budget'!$AC$211</f>
        <v>33947340419.387043</v>
      </c>
      <c r="ER61" s="269">
        <f t="shared" si="161"/>
        <v>25895201.800116349</v>
      </c>
      <c r="ES61" s="269">
        <f t="shared" si="38"/>
        <v>129476009.00058174</v>
      </c>
      <c r="ET61" s="196">
        <f>'Detailed Budget'!$AC$214</f>
        <v>22239745544.201103</v>
      </c>
      <c r="EU61" s="269">
        <f t="shared" si="162"/>
        <v>16475517.504791833</v>
      </c>
      <c r="EV61" s="140">
        <f>'Detailed Budget'!$AC$217</f>
        <v>5559936386.0502758</v>
      </c>
      <c r="EW61" s="269">
        <f t="shared" si="163"/>
        <v>4118879.3761979584</v>
      </c>
      <c r="EX61" s="269">
        <f t="shared" si="41"/>
        <v>20594396.88098979</v>
      </c>
      <c r="EY61" s="196">
        <f>'Detailed Budget'!$AC$219</f>
        <v>372777004.58170313</v>
      </c>
      <c r="EZ61" s="269">
        <f t="shared" si="164"/>
        <v>289104.57459425088</v>
      </c>
      <c r="FA61" s="196">
        <f>'Detailed Budget'!$AC$222</f>
        <v>93194251.145425782</v>
      </c>
      <c r="FB61" s="269">
        <f t="shared" si="165"/>
        <v>72276.14364856272</v>
      </c>
      <c r="FC61" s="269">
        <f t="shared" si="44"/>
        <v>361380.7182428136</v>
      </c>
      <c r="FD61" s="269"/>
      <c r="FE61" s="269">
        <f t="shared" si="45"/>
        <v>196971406.04248345</v>
      </c>
      <c r="FF61" s="140">
        <f>'Detailed Budget'!$AC$165</f>
        <v>14927760000</v>
      </c>
      <c r="FG61" s="1087">
        <f t="shared" si="46"/>
        <v>268682036.13832849</v>
      </c>
      <c r="FH61" s="269">
        <f t="shared" si="166"/>
        <v>18657579.820474949</v>
      </c>
      <c r="FJ61" s="140">
        <f>'Detailed Budget'!$AC$235</f>
        <v>3623696172</v>
      </c>
      <c r="FK61" s="269">
        <f t="shared" si="167"/>
        <v>4681778</v>
      </c>
      <c r="FL61" s="269">
        <f t="shared" si="49"/>
        <v>4681778</v>
      </c>
      <c r="FO61" s="607"/>
      <c r="FP61" s="607"/>
      <c r="FQ61" s="607"/>
      <c r="FR61" s="269">
        <f>'Detailed Budget'!$AC$257</f>
        <v>13636439388</v>
      </c>
      <c r="FS61" s="269">
        <f t="shared" si="168"/>
        <v>19986720</v>
      </c>
      <c r="FT61" s="269">
        <f t="shared" si="51"/>
        <v>19986720</v>
      </c>
      <c r="FU61" s="269"/>
      <c r="FV61" s="269"/>
      <c r="FW61" s="605"/>
      <c r="FX61" s="140">
        <f>'Detailed Budget'!$AC$278</f>
        <v>1114560000</v>
      </c>
      <c r="FY61" s="269">
        <f t="shared" si="169"/>
        <v>1440000</v>
      </c>
      <c r="FZ61" s="269">
        <f t="shared" si="54"/>
        <v>1440000</v>
      </c>
      <c r="GB61" s="269">
        <f t="shared" si="74"/>
        <v>1005685462.2786926</v>
      </c>
      <c r="GC61" s="887">
        <f t="shared" si="55"/>
        <v>628553.41392418288</v>
      </c>
      <c r="GD61" s="1078">
        <f t="shared" si="75"/>
        <v>5.6432178101763924E-4</v>
      </c>
    </row>
    <row r="62" spans="1:186" hidden="1" outlineLevel="1">
      <c r="A62" s="211" t="s">
        <v>314</v>
      </c>
      <c r="B62" s="212" t="s">
        <v>315</v>
      </c>
      <c r="C62" s="213" t="s">
        <v>215</v>
      </c>
      <c r="D62" s="214" t="s">
        <v>215</v>
      </c>
      <c r="E62" s="213"/>
      <c r="F62" s="213"/>
      <c r="G62" s="213"/>
      <c r="H62" s="213" t="s">
        <v>215</v>
      </c>
      <c r="I62" s="214" t="s">
        <v>215</v>
      </c>
      <c r="J62" s="214"/>
      <c r="K62" s="213"/>
      <c r="L62" s="213"/>
      <c r="M62" s="214" t="s">
        <v>215</v>
      </c>
      <c r="N62" s="213"/>
      <c r="O62" s="214"/>
      <c r="P62" s="213"/>
      <c r="Q62" s="214"/>
      <c r="R62" s="214" t="s">
        <v>215</v>
      </c>
      <c r="S62" s="214"/>
      <c r="T62" s="214"/>
      <c r="U62" s="215">
        <f t="shared" si="170"/>
        <v>6</v>
      </c>
      <c r="V62" s="845" t="s">
        <v>219</v>
      </c>
      <c r="W62" s="216">
        <v>147641</v>
      </c>
      <c r="X62" s="217">
        <v>3.03</v>
      </c>
      <c r="Y62" s="218">
        <f t="shared" si="57"/>
        <v>1.0303</v>
      </c>
      <c r="Z62" s="196">
        <v>19</v>
      </c>
      <c r="AA62" s="218">
        <f t="shared" si="184"/>
        <v>1.7632354008841205</v>
      </c>
      <c r="AB62" s="196">
        <f t="shared" si="171"/>
        <v>260325.83782193242</v>
      </c>
      <c r="AC62">
        <v>18.8</v>
      </c>
      <c r="AD62" s="196">
        <f t="shared" si="172"/>
        <v>48941.25751052329</v>
      </c>
      <c r="AE62" s="196">
        <f t="shared" si="95"/>
        <v>46494.194634997126</v>
      </c>
      <c r="AF62" s="196">
        <f t="shared" si="173"/>
        <v>46494.194634997126</v>
      </c>
      <c r="AG62" s="606">
        <f t="shared" si="58"/>
        <v>2.149687446583289E-3</v>
      </c>
      <c r="AH62" s="196">
        <f t="shared" si="185"/>
        <v>13016.291891096622</v>
      </c>
      <c r="AI62" s="248">
        <f t="shared" si="59"/>
        <v>1.008352411194709E-3</v>
      </c>
      <c r="AJ62" s="196">
        <f t="shared" si="80"/>
        <v>61957.549401619908</v>
      </c>
      <c r="AK62" s="196">
        <f t="shared" si="99"/>
        <v>10413.033512877297</v>
      </c>
      <c r="AL62" s="196">
        <f t="shared" si="100"/>
        <v>10413.033512877297</v>
      </c>
      <c r="AM62" s="196">
        <f t="shared" si="5"/>
        <v>20826.067025754593</v>
      </c>
      <c r="AN62" s="627">
        <f t="shared" si="6"/>
        <v>1.008352411194709E-3</v>
      </c>
      <c r="AO62" s="196">
        <f t="shared" si="7"/>
        <v>9892.3818372334317</v>
      </c>
      <c r="AP62" s="589">
        <f t="shared" si="60"/>
        <v>1.008352411194709E-3</v>
      </c>
      <c r="AQ62" s="196"/>
      <c r="AR62" s="589"/>
      <c r="AS62">
        <v>1</v>
      </c>
      <c r="AT62" s="589">
        <f t="shared" si="61"/>
        <v>1.2919896640826874E-3</v>
      </c>
      <c r="AU62" s="196">
        <v>10</v>
      </c>
      <c r="AV62" s="245">
        <f t="shared" si="8"/>
        <v>1.1362345188046814E-3</v>
      </c>
      <c r="AX62" s="245"/>
      <c r="AY62" s="245"/>
      <c r="AZ62" s="196">
        <v>46</v>
      </c>
      <c r="BA62" s="589">
        <f t="shared" si="62"/>
        <v>1.6855373566377193E-3</v>
      </c>
      <c r="BI62" s="196">
        <v>0</v>
      </c>
      <c r="BK62" s="246">
        <f t="shared" si="63"/>
        <v>0</v>
      </c>
      <c r="BL62" s="246"/>
      <c r="BM62" s="246">
        <f t="shared" si="64"/>
        <v>0</v>
      </c>
      <c r="BN62" s="196">
        <v>1</v>
      </c>
      <c r="BO62" s="196">
        <f t="shared" si="174"/>
        <v>21973.858274747367</v>
      </c>
      <c r="BP62" s="196">
        <f t="shared" si="82"/>
        <v>21973.858274747367</v>
      </c>
      <c r="BQ62" s="248">
        <f t="shared" si="65"/>
        <v>2.0555521148822283E-3</v>
      </c>
      <c r="BR62" s="248"/>
      <c r="BS62" s="248"/>
      <c r="BT62" s="276">
        <v>1</v>
      </c>
      <c r="BU62" s="196">
        <f t="shared" si="186"/>
        <v>38761.475948334446</v>
      </c>
      <c r="BV62" s="264">
        <f t="shared" si="66"/>
        <v>2.6885693920897786E-3</v>
      </c>
      <c r="BW62" s="196">
        <f t="shared" si="187"/>
        <v>165812.98044565291</v>
      </c>
      <c r="BX62" s="247">
        <f t="shared" si="67"/>
        <v>2.6885694163085146E-3</v>
      </c>
      <c r="BY62" s="196">
        <f t="shared" si="83"/>
        <v>204574.45639398735</v>
      </c>
      <c r="BZ62" s="620">
        <v>0</v>
      </c>
      <c r="CA62" s="196">
        <f t="shared" si="145"/>
        <v>79659.706373511319</v>
      </c>
      <c r="CB62" s="196">
        <f t="shared" si="146"/>
        <v>159319.41274702264</v>
      </c>
      <c r="CC62" s="196">
        <f t="shared" si="12"/>
        <v>238979.11912053396</v>
      </c>
      <c r="CD62" s="247">
        <f t="shared" si="13"/>
        <v>1.008352411194709E-3</v>
      </c>
      <c r="CE62" s="196">
        <f t="shared" si="175"/>
        <v>27150.390347639302</v>
      </c>
      <c r="CF62" s="247">
        <f t="shared" si="14"/>
        <v>1.172438291449861E-3</v>
      </c>
      <c r="CG62" s="196">
        <f t="shared" si="147"/>
        <v>39569.527348933727</v>
      </c>
      <c r="CH62" s="589">
        <f t="shared" si="68"/>
        <v>1.008352411194709E-3</v>
      </c>
      <c r="CI62" s="196">
        <f t="shared" si="176"/>
        <v>68800.725116953894</v>
      </c>
      <c r="CJ62" s="248">
        <f t="shared" si="70"/>
        <v>1.1310837462833916E-3</v>
      </c>
      <c r="CK62" s="196">
        <f t="shared" si="177"/>
        <v>72562.359847282845</v>
      </c>
      <c r="CL62" s="589">
        <f t="shared" si="71"/>
        <v>1.0430988482453356E-3</v>
      </c>
      <c r="CM62" s="196">
        <f t="shared" si="178"/>
        <v>7029.4758258224347</v>
      </c>
      <c r="CN62" s="589">
        <f t="shared" si="72"/>
        <v>1.013027354040758E-3</v>
      </c>
      <c r="CO62" s="196">
        <f t="shared" si="179"/>
        <v>562.35628406061676</v>
      </c>
      <c r="CP62" s="589">
        <f t="shared" si="73"/>
        <v>1.0605173329246392E-3</v>
      </c>
      <c r="CQ62" s="196">
        <f>'Detailed Budget'!$AC$12</f>
        <v>292876014141.44696</v>
      </c>
      <c r="CR62" s="269">
        <f t="shared" si="143"/>
        <v>0</v>
      </c>
      <c r="CS62" s="269">
        <f>'Detailed Budget'!$AC$16</f>
        <v>10488008800.000002</v>
      </c>
      <c r="CT62" s="607">
        <f t="shared" si="149"/>
        <v>0</v>
      </c>
      <c r="CU62" s="269">
        <f>'Detailed Budget'!$AC$24</f>
        <v>30624985696</v>
      </c>
      <c r="CV62" s="269">
        <f t="shared" si="18"/>
        <v>0</v>
      </c>
      <c r="CW62" s="269"/>
      <c r="CX62" s="269">
        <f t="shared" si="19"/>
        <v>0</v>
      </c>
      <c r="CY62" s="196">
        <f>'Detailed Budget'!$AC$97</f>
        <v>74629165494.837845</v>
      </c>
      <c r="CZ62" s="269">
        <f t="shared" si="150"/>
        <v>153404138.96480975</v>
      </c>
      <c r="DA62" s="269">
        <f>'Detailed Budget'!$AC$100</f>
        <v>14925833098.967569</v>
      </c>
      <c r="DB62" s="269">
        <f t="shared" si="151"/>
        <v>30680827.792961951</v>
      </c>
      <c r="DC62" s="269">
        <f t="shared" si="22"/>
        <v>184084966.7577717</v>
      </c>
      <c r="DD62" s="207">
        <v>0</v>
      </c>
      <c r="DE62" s="606">
        <v>0</v>
      </c>
      <c r="DF62" s="269">
        <f>'Detailed Budget'!$AC$147</f>
        <v>5913600671000</v>
      </c>
      <c r="DG62" s="269">
        <f t="shared" si="23"/>
        <v>0</v>
      </c>
      <c r="DH62" s="269">
        <f>'Detailed Budget'!$AC$153</f>
        <v>226428026880.00003</v>
      </c>
      <c r="DI62" s="269"/>
      <c r="DJ62" s="269">
        <f>'Detailed Budget'!$AC$156</f>
        <v>27713070000</v>
      </c>
      <c r="DK62" s="269"/>
      <c r="DL62" s="269"/>
      <c r="DM62" s="196">
        <f>'Detailed Budget'!$AC$178</f>
        <v>5622683761.6229038</v>
      </c>
      <c r="DN62" s="269">
        <f t="shared" si="180"/>
        <v>15116975.46289956</v>
      </c>
      <c r="DO62" s="196">
        <f>'Detailed Budget'!$AC$179</f>
        <v>26827890683.128094</v>
      </c>
      <c r="DP62" s="269">
        <f t="shared" si="181"/>
        <v>72128646.394726336</v>
      </c>
      <c r="DQ62" s="269">
        <f t="shared" si="89"/>
        <v>87245621.857625902</v>
      </c>
      <c r="DR62" s="269">
        <f>'Detailed Budget'!$AC$181</f>
        <v>50888946855.375237</v>
      </c>
      <c r="DS62" s="269">
        <f t="shared" si="182"/>
        <v>109395330.22484429</v>
      </c>
      <c r="DT62" s="269">
        <f t="shared" si="183"/>
        <v>196640952.08247018</v>
      </c>
      <c r="DU62" s="272">
        <f>'Detailed Budget'!$AC$192</f>
        <v>77498869683.252869</v>
      </c>
      <c r="DV62" s="269">
        <f t="shared" si="152"/>
        <v>0</v>
      </c>
      <c r="DW62" s="140">
        <f>'Detailed Budget'!$AC$194</f>
        <v>2684962805.4134097</v>
      </c>
      <c r="DX62" s="269">
        <f t="shared" si="153"/>
        <v>0</v>
      </c>
      <c r="DY62" s="607">
        <f t="shared" si="26"/>
        <v>0</v>
      </c>
      <c r="DZ62" s="196">
        <f>'Detailed Budget'!$AC$198</f>
        <v>18732540018.380611</v>
      </c>
      <c r="EA62" s="269">
        <f t="shared" si="154"/>
        <v>21962747.213666312</v>
      </c>
      <c r="EB62" s="196">
        <f>'Detailed Budget'!$AC$200</f>
        <v>4683135004.5951529</v>
      </c>
      <c r="EC62" s="269">
        <f t="shared" si="155"/>
        <v>5490686.8034165781</v>
      </c>
      <c r="ED62" s="269">
        <f t="shared" si="29"/>
        <v>27453434.017082892</v>
      </c>
      <c r="EE62" s="196">
        <f>'Detailed Budget'!$AC$161</f>
        <v>251147290106.36197</v>
      </c>
      <c r="EF62" s="269">
        <f t="shared" si="156"/>
        <v>253244975.54376718</v>
      </c>
      <c r="EG62" s="196">
        <f>'Detailed Budget'!$AC$163</f>
        <v>15696705631.647623</v>
      </c>
      <c r="EH62" s="269">
        <f t="shared" si="157"/>
        <v>15827810.971485449</v>
      </c>
      <c r="EI62" s="269">
        <f t="shared" si="32"/>
        <v>269072786.51525265</v>
      </c>
      <c r="EJ62" s="196">
        <f>'Detailed Budget'!$AC$204</f>
        <v>45012172507.531975</v>
      </c>
      <c r="EK62" s="269">
        <f t="shared" si="158"/>
        <v>50912536.708173551</v>
      </c>
      <c r="EL62" s="201">
        <f>'Detailed Budget'!$AC$206</f>
        <v>11253043126.882994</v>
      </c>
      <c r="EM62" s="269">
        <f t="shared" si="159"/>
        <v>12728134.177043388</v>
      </c>
      <c r="EN62" s="269">
        <f t="shared" si="35"/>
        <v>63640670.885216936</v>
      </c>
      <c r="EO62" s="140">
        <f>'Detailed Budget'!$AC$209</f>
        <v>135789361677.54817</v>
      </c>
      <c r="EP62" s="269">
        <f t="shared" si="160"/>
        <v>141641726.76981983</v>
      </c>
      <c r="EQ62" s="196">
        <f>'Detailed Budget'!$AC$211</f>
        <v>33947340419.387043</v>
      </c>
      <c r="ER62" s="269">
        <f t="shared" si="161"/>
        <v>35410431.692454956</v>
      </c>
      <c r="ES62" s="269">
        <f t="shared" si="38"/>
        <v>177052158.46227479</v>
      </c>
      <c r="ET62" s="196">
        <f>'Detailed Budget'!$AC$214</f>
        <v>22239745544.201103</v>
      </c>
      <c r="EU62" s="269">
        <f t="shared" si="162"/>
        <v>22529470.58318178</v>
      </c>
      <c r="EV62" s="140">
        <f>'Detailed Budget'!$AC$217</f>
        <v>5559936386.0502758</v>
      </c>
      <c r="EW62" s="269">
        <f t="shared" si="163"/>
        <v>5632367.645795445</v>
      </c>
      <c r="EX62" s="269">
        <f t="shared" si="41"/>
        <v>28161838.228977226</v>
      </c>
      <c r="EY62" s="196">
        <f>'Detailed Budget'!$AC$219</f>
        <v>372777004.58170313</v>
      </c>
      <c r="EZ62" s="269">
        <f t="shared" si="164"/>
        <v>395336.47467462381</v>
      </c>
      <c r="FA62" s="196">
        <f>'Detailed Budget'!$AC$222</f>
        <v>93194251.145425782</v>
      </c>
      <c r="FB62" s="269">
        <f t="shared" si="165"/>
        <v>98834.118668655952</v>
      </c>
      <c r="FC62" s="269">
        <f t="shared" si="44"/>
        <v>494170.59334327979</v>
      </c>
      <c r="FD62" s="269"/>
      <c r="FE62" s="269">
        <f t="shared" si="45"/>
        <v>269348838.1698122</v>
      </c>
      <c r="FF62" s="140">
        <f>'Detailed Budget'!$AC$165</f>
        <v>14927760000</v>
      </c>
      <c r="FG62" s="1087">
        <f t="shared" si="46"/>
        <v>367409644.50113863</v>
      </c>
      <c r="FH62" s="269">
        <f t="shared" si="166"/>
        <v>16961436.200431772</v>
      </c>
      <c r="FJ62" s="140">
        <f>'Detailed Budget'!$AC$235</f>
        <v>3623696172</v>
      </c>
      <c r="FK62" s="269">
        <f t="shared" si="167"/>
        <v>4681778</v>
      </c>
      <c r="FL62" s="269">
        <f t="shared" si="49"/>
        <v>4681778</v>
      </c>
      <c r="FO62" s="607"/>
      <c r="FP62" s="607"/>
      <c r="FQ62" s="607"/>
      <c r="FR62" s="269">
        <f>'Detailed Budget'!$AC$257</f>
        <v>13636439388</v>
      </c>
      <c r="FS62" s="269">
        <f t="shared" si="168"/>
        <v>22984728</v>
      </c>
      <c r="FT62" s="269">
        <f t="shared" si="51"/>
        <v>22984728</v>
      </c>
      <c r="FU62" s="269"/>
      <c r="FV62" s="269"/>
      <c r="FW62" s="605"/>
      <c r="FX62" s="140">
        <f>'Detailed Budget'!$AC$278</f>
        <v>1114560000</v>
      </c>
      <c r="FY62" s="269">
        <f t="shared" si="169"/>
        <v>1440000</v>
      </c>
      <c r="FZ62" s="269">
        <f t="shared" si="54"/>
        <v>1440000</v>
      </c>
      <c r="GB62" s="269">
        <f t="shared" si="74"/>
        <v>1360078564.2439601</v>
      </c>
      <c r="GC62" s="887">
        <f t="shared" si="55"/>
        <v>850049.10265247512</v>
      </c>
      <c r="GD62" s="1078">
        <f t="shared" si="75"/>
        <v>7.6318291005122616E-4</v>
      </c>
    </row>
    <row r="63" spans="1:186" hidden="1" outlineLevel="1">
      <c r="A63" s="211" t="s">
        <v>316</v>
      </c>
      <c r="B63" s="212" t="s">
        <v>317</v>
      </c>
      <c r="C63" s="213" t="s">
        <v>215</v>
      </c>
      <c r="D63" s="214" t="s">
        <v>215</v>
      </c>
      <c r="E63" s="213"/>
      <c r="F63" s="213"/>
      <c r="G63" s="213"/>
      <c r="H63" s="213" t="s">
        <v>215</v>
      </c>
      <c r="I63" s="214" t="s">
        <v>215</v>
      </c>
      <c r="J63" s="214"/>
      <c r="K63" s="213"/>
      <c r="L63" s="213"/>
      <c r="M63" s="214" t="s">
        <v>215</v>
      </c>
      <c r="N63" s="213"/>
      <c r="O63" s="214"/>
      <c r="P63" s="213"/>
      <c r="Q63" s="214"/>
      <c r="R63" s="214" t="s">
        <v>215</v>
      </c>
      <c r="S63" s="214"/>
      <c r="T63" s="214"/>
      <c r="U63" s="215">
        <f t="shared" si="170"/>
        <v>6</v>
      </c>
      <c r="V63" s="845" t="s">
        <v>219</v>
      </c>
      <c r="W63" s="216">
        <v>139928</v>
      </c>
      <c r="X63" s="217">
        <v>3.03</v>
      </c>
      <c r="Y63" s="218">
        <f t="shared" si="57"/>
        <v>1.0303</v>
      </c>
      <c r="Z63" s="196">
        <v>19</v>
      </c>
      <c r="AA63" s="218">
        <f t="shared" si="184"/>
        <v>1.7632354008841205</v>
      </c>
      <c r="AB63" s="196">
        <f t="shared" si="171"/>
        <v>246726.0031749132</v>
      </c>
      <c r="AC63">
        <v>18.8</v>
      </c>
      <c r="AD63" s="196">
        <f t="shared" si="172"/>
        <v>46384.48859688369</v>
      </c>
      <c r="AE63" s="196">
        <f t="shared" si="95"/>
        <v>44065.264167039502</v>
      </c>
      <c r="AF63" s="196">
        <f t="shared" si="173"/>
        <v>44065.264167039502</v>
      </c>
      <c r="AG63" s="606">
        <f t="shared" si="58"/>
        <v>2.0373843649494822E-3</v>
      </c>
      <c r="AH63" s="196">
        <f t="shared" si="185"/>
        <v>12336.30015874566</v>
      </c>
      <c r="AI63" s="248">
        <f t="shared" si="59"/>
        <v>9.5567448197758913E-4</v>
      </c>
      <c r="AJ63" s="196">
        <f t="shared" si="80"/>
        <v>58720.78875562935</v>
      </c>
      <c r="AK63" s="196">
        <f t="shared" si="99"/>
        <v>9869.0401269965278</v>
      </c>
      <c r="AL63" s="196">
        <f t="shared" si="100"/>
        <v>9869.0401269965278</v>
      </c>
      <c r="AM63" s="196">
        <f t="shared" si="5"/>
        <v>19738.080253993056</v>
      </c>
      <c r="AN63" s="627">
        <f t="shared" si="6"/>
        <v>9.5567448197758913E-4</v>
      </c>
      <c r="AO63" s="196">
        <f t="shared" si="7"/>
        <v>9375.588120646702</v>
      </c>
      <c r="AP63" s="589">
        <f t="shared" si="60"/>
        <v>9.5567448197758913E-4</v>
      </c>
      <c r="AQ63" s="196"/>
      <c r="AR63" s="589"/>
      <c r="AS63">
        <v>1</v>
      </c>
      <c r="AT63" s="589">
        <f t="shared" si="61"/>
        <v>1.2919896640826874E-3</v>
      </c>
      <c r="AU63" s="196">
        <v>14</v>
      </c>
      <c r="AV63" s="245">
        <f t="shared" si="8"/>
        <v>1.5907283263265539E-3</v>
      </c>
      <c r="AX63" s="245"/>
      <c r="AY63" s="245"/>
      <c r="AZ63" s="196">
        <v>29</v>
      </c>
      <c r="BA63" s="589">
        <f t="shared" si="62"/>
        <v>1.0626213770107361E-3</v>
      </c>
      <c r="BI63" s="196">
        <v>0</v>
      </c>
      <c r="BK63" s="246">
        <f t="shared" si="63"/>
        <v>0</v>
      </c>
      <c r="BL63" s="246"/>
      <c r="BM63" s="246">
        <f t="shared" si="64"/>
        <v>0</v>
      </c>
      <c r="BN63" s="196">
        <v>1</v>
      </c>
      <c r="BO63" s="196">
        <f t="shared" si="174"/>
        <v>20825.909067730849</v>
      </c>
      <c r="BP63" s="196">
        <f t="shared" si="82"/>
        <v>20825.909067730849</v>
      </c>
      <c r="BQ63" s="248">
        <f t="shared" si="65"/>
        <v>1.9481668122759974E-3</v>
      </c>
      <c r="BR63" s="248"/>
      <c r="BS63" s="248"/>
      <c r="BT63" s="276">
        <v>1</v>
      </c>
      <c r="BU63" s="196">
        <f t="shared" si="186"/>
        <v>36736.514968731877</v>
      </c>
      <c r="BV63" s="264">
        <f t="shared" si="66"/>
        <v>2.5481142629509321E-3</v>
      </c>
      <c r="BW63" s="196">
        <f t="shared" si="187"/>
        <v>157150.64736624196</v>
      </c>
      <c r="BX63" s="247">
        <f t="shared" si="67"/>
        <v>2.5481142859044435E-3</v>
      </c>
      <c r="BY63" s="196">
        <f t="shared" si="83"/>
        <v>193887.16233497384</v>
      </c>
      <c r="BZ63" s="620">
        <v>0</v>
      </c>
      <c r="CA63" s="196">
        <f t="shared" si="145"/>
        <v>75498.156971523451</v>
      </c>
      <c r="CB63" s="196">
        <f t="shared" si="146"/>
        <v>150996.3139430469</v>
      </c>
      <c r="CC63" s="196">
        <f t="shared" si="12"/>
        <v>226494.47091457035</v>
      </c>
      <c r="CD63" s="247">
        <f t="shared" si="13"/>
        <v>9.5567448197758924E-4</v>
      </c>
      <c r="CE63" s="196">
        <f t="shared" si="175"/>
        <v>25732.010895106858</v>
      </c>
      <c r="CF63" s="247">
        <f t="shared" si="14"/>
        <v>1.1111882556064786E-3</v>
      </c>
      <c r="CG63" s="196">
        <f t="shared" si="147"/>
        <v>37502.352482586808</v>
      </c>
      <c r="CH63" s="589">
        <f t="shared" si="68"/>
        <v>9.5567448197758913E-4</v>
      </c>
      <c r="CI63" s="196">
        <f t="shared" si="176"/>
        <v>65206.46611825392</v>
      </c>
      <c r="CJ63" s="248">
        <f t="shared" si="70"/>
        <v>1.0719941374681995E-3</v>
      </c>
      <c r="CK63" s="196">
        <f t="shared" si="177"/>
        <v>68771.587084282786</v>
      </c>
      <c r="CL63" s="589">
        <f t="shared" si="71"/>
        <v>9.8860571004851872E-4</v>
      </c>
      <c r="CM63" s="196">
        <f t="shared" si="178"/>
        <v>6662.2448598673936</v>
      </c>
      <c r="CN63" s="589">
        <f t="shared" si="72"/>
        <v>9.6010519839485789E-4</v>
      </c>
      <c r="CO63" s="196">
        <f t="shared" si="179"/>
        <v>532.97789987899023</v>
      </c>
      <c r="CP63" s="589">
        <f t="shared" si="73"/>
        <v>1.0051142254622967E-3</v>
      </c>
      <c r="CQ63" s="196">
        <f>'Detailed Budget'!$AC$12</f>
        <v>292876014141.44696</v>
      </c>
      <c r="CR63" s="269">
        <f t="shared" si="143"/>
        <v>0</v>
      </c>
      <c r="CS63" s="269">
        <f>'Detailed Budget'!$AC$16</f>
        <v>10488008800.000002</v>
      </c>
      <c r="CT63" s="607">
        <f t="shared" si="149"/>
        <v>0</v>
      </c>
      <c r="CU63" s="269">
        <f>'Detailed Budget'!$AC$24</f>
        <v>30624985696</v>
      </c>
      <c r="CV63" s="269">
        <f t="shared" si="18"/>
        <v>0</v>
      </c>
      <c r="CW63" s="269"/>
      <c r="CX63" s="269">
        <f t="shared" si="19"/>
        <v>0</v>
      </c>
      <c r="CY63" s="196">
        <f>'Detailed Budget'!$AC$97</f>
        <v>74629165494.837845</v>
      </c>
      <c r="CZ63" s="269">
        <f t="shared" si="150"/>
        <v>145390063.4448961</v>
      </c>
      <c r="DA63" s="269">
        <f>'Detailed Budget'!$AC$100</f>
        <v>14925833098.967569</v>
      </c>
      <c r="DB63" s="269">
        <f t="shared" si="151"/>
        <v>29078012.688979223</v>
      </c>
      <c r="DC63" s="269">
        <f t="shared" si="22"/>
        <v>174468076.13387531</v>
      </c>
      <c r="DD63" s="207">
        <v>0</v>
      </c>
      <c r="DE63" s="606">
        <v>0</v>
      </c>
      <c r="DF63" s="269">
        <f>'Detailed Budget'!$AC$147</f>
        <v>5913600671000</v>
      </c>
      <c r="DG63" s="269">
        <f t="shared" si="23"/>
        <v>0</v>
      </c>
      <c r="DH63" s="269">
        <f>'Detailed Budget'!$AC$153</f>
        <v>226428026880.00003</v>
      </c>
      <c r="DI63" s="269"/>
      <c r="DJ63" s="269">
        <f>'Detailed Budget'!$AC$156</f>
        <v>27713070000</v>
      </c>
      <c r="DK63" s="269"/>
      <c r="DL63" s="269"/>
      <c r="DM63" s="196">
        <f>'Detailed Budget'!$AC$178</f>
        <v>5622683761.6229038</v>
      </c>
      <c r="DN63" s="269">
        <f t="shared" si="180"/>
        <v>14327240.689053919</v>
      </c>
      <c r="DO63" s="196">
        <f>'Detailed Budget'!$AC$179</f>
        <v>26827890683.128094</v>
      </c>
      <c r="DP63" s="269">
        <f t="shared" si="181"/>
        <v>68360531.510361418</v>
      </c>
      <c r="DQ63" s="269">
        <f t="shared" si="89"/>
        <v>82687772.199415341</v>
      </c>
      <c r="DR63" s="269">
        <f>'Detailed Budget'!$AC$181</f>
        <v>50888946855.375237</v>
      </c>
      <c r="DS63" s="269">
        <f t="shared" si="182"/>
        <v>103680344.67188662</v>
      </c>
      <c r="DT63" s="269">
        <f t="shared" si="183"/>
        <v>186368116.87130195</v>
      </c>
      <c r="DU63" s="272">
        <f>'Detailed Budget'!$AC$192</f>
        <v>77498869683.252869</v>
      </c>
      <c r="DV63" s="269">
        <f t="shared" si="152"/>
        <v>0</v>
      </c>
      <c r="DW63" s="140">
        <f>'Detailed Budget'!$AC$194</f>
        <v>2684962805.4134097</v>
      </c>
      <c r="DX63" s="269">
        <f t="shared" si="153"/>
        <v>0</v>
      </c>
      <c r="DY63" s="607">
        <f t="shared" si="26"/>
        <v>0</v>
      </c>
      <c r="DZ63" s="196">
        <f>'Detailed Budget'!$AC$198</f>
        <v>18732540018.380611</v>
      </c>
      <c r="EA63" s="269">
        <f t="shared" si="154"/>
        <v>20815378.466102906</v>
      </c>
      <c r="EB63" s="196">
        <f>'Detailed Budget'!$AC$200</f>
        <v>4683135004.5951529</v>
      </c>
      <c r="EC63" s="269">
        <f t="shared" si="155"/>
        <v>5203844.6165257264</v>
      </c>
      <c r="ED63" s="269">
        <f t="shared" si="29"/>
        <v>26019223.08262863</v>
      </c>
      <c r="EE63" s="196">
        <f>'Detailed Budget'!$AC$161</f>
        <v>251147290106.36197</v>
      </c>
      <c r="EF63" s="269">
        <f t="shared" si="156"/>
        <v>240015056.37247276</v>
      </c>
      <c r="EG63" s="196">
        <f>'Detailed Budget'!$AC$163</f>
        <v>15696705631.647623</v>
      </c>
      <c r="EH63" s="269">
        <f t="shared" si="157"/>
        <v>15000941.023279548</v>
      </c>
      <c r="EI63" s="269">
        <f t="shared" si="32"/>
        <v>255015997.39575231</v>
      </c>
      <c r="EJ63" s="196">
        <f>'Detailed Budget'!$AC$204</f>
        <v>45012172507.531975</v>
      </c>
      <c r="EK63" s="269">
        <f t="shared" si="158"/>
        <v>48252785.042781547</v>
      </c>
      <c r="EL63" s="201">
        <f>'Detailed Budget'!$AC$206</f>
        <v>11253043126.882994</v>
      </c>
      <c r="EM63" s="269">
        <f t="shared" si="159"/>
        <v>12063196.260695387</v>
      </c>
      <c r="EN63" s="269">
        <f t="shared" si="35"/>
        <v>60315981.30347693</v>
      </c>
      <c r="EO63" s="140">
        <f>'Detailed Budget'!$AC$209</f>
        <v>135789361677.54817</v>
      </c>
      <c r="EP63" s="269">
        <f t="shared" si="160"/>
        <v>134242138.31826761</v>
      </c>
      <c r="EQ63" s="196">
        <f>'Detailed Budget'!$AC$211</f>
        <v>33947340419.387043</v>
      </c>
      <c r="ER63" s="269">
        <f t="shared" si="161"/>
        <v>33560534.579566903</v>
      </c>
      <c r="ES63" s="269">
        <f t="shared" si="38"/>
        <v>167802672.89783451</v>
      </c>
      <c r="ET63" s="196">
        <f>'Detailed Budget'!$AC$214</f>
        <v>22239745544.201103</v>
      </c>
      <c r="EU63" s="269">
        <f t="shared" si="162"/>
        <v>21352495.307966355</v>
      </c>
      <c r="EV63" s="140">
        <f>'Detailed Budget'!$AC$217</f>
        <v>5559936386.0502758</v>
      </c>
      <c r="EW63" s="269">
        <f t="shared" si="163"/>
        <v>5338123.8269915888</v>
      </c>
      <c r="EX63" s="269">
        <f t="shared" si="41"/>
        <v>26690619.134957943</v>
      </c>
      <c r="EY63" s="196">
        <f>'Detailed Budget'!$AC$219</f>
        <v>372777004.58170313</v>
      </c>
      <c r="EZ63" s="269">
        <f t="shared" si="164"/>
        <v>374683.47023029358</v>
      </c>
      <c r="FA63" s="196">
        <f>'Detailed Budget'!$AC$222</f>
        <v>93194251.145425782</v>
      </c>
      <c r="FB63" s="269">
        <f t="shared" si="165"/>
        <v>93670.867557573394</v>
      </c>
      <c r="FC63" s="269">
        <f t="shared" si="44"/>
        <v>468354.33778786694</v>
      </c>
      <c r="FD63" s="269"/>
      <c r="FE63" s="269">
        <f t="shared" si="45"/>
        <v>255277627.67405725</v>
      </c>
      <c r="FF63" s="140">
        <f>'Detailed Budget'!$AC$165</f>
        <v>14927760000</v>
      </c>
      <c r="FG63" s="1087">
        <f t="shared" si="46"/>
        <v>348215581.95728374</v>
      </c>
      <c r="FH63" s="269">
        <f t="shared" si="166"/>
        <v>23746010.68060448</v>
      </c>
      <c r="FJ63" s="140">
        <f>'Detailed Budget'!$AC$235</f>
        <v>3623696172</v>
      </c>
      <c r="FK63" s="269">
        <f t="shared" si="167"/>
        <v>4681778</v>
      </c>
      <c r="FL63" s="269">
        <f t="shared" si="49"/>
        <v>4681778</v>
      </c>
      <c r="FO63" s="607"/>
      <c r="FP63" s="607"/>
      <c r="FQ63" s="607"/>
      <c r="FR63" s="269">
        <f>'Detailed Budget'!$AC$257</f>
        <v>13636439388</v>
      </c>
      <c r="FS63" s="269">
        <f t="shared" si="168"/>
        <v>14490372</v>
      </c>
      <c r="FT63" s="269">
        <f t="shared" si="51"/>
        <v>14490372</v>
      </c>
      <c r="FU63" s="269"/>
      <c r="FV63" s="269"/>
      <c r="FW63" s="605"/>
      <c r="FX63" s="140">
        <f>'Detailed Budget'!$AC$278</f>
        <v>1114560000</v>
      </c>
      <c r="FY63" s="269">
        <f t="shared" si="169"/>
        <v>1440000</v>
      </c>
      <c r="FZ63" s="269">
        <f t="shared" si="54"/>
        <v>1440000</v>
      </c>
      <c r="GB63" s="269">
        <f t="shared" si="74"/>
        <v>1289722783.7955036</v>
      </c>
      <c r="GC63" s="887">
        <f t="shared" si="55"/>
        <v>806076.7398721897</v>
      </c>
      <c r="GD63" s="1078">
        <f t="shared" si="75"/>
        <v>7.2370406620118303E-4</v>
      </c>
    </row>
    <row r="64" spans="1:186" hidden="1" outlineLevel="1">
      <c r="A64" s="211"/>
      <c r="B64" s="212"/>
      <c r="C64" s="213"/>
      <c r="D64" s="214"/>
      <c r="E64" s="213"/>
      <c r="F64" s="213"/>
      <c r="G64" s="213"/>
      <c r="H64" s="213"/>
      <c r="I64" s="214"/>
      <c r="J64" s="214"/>
      <c r="K64" s="213"/>
      <c r="L64" s="213"/>
      <c r="M64" s="214"/>
      <c r="N64" s="213"/>
      <c r="O64" s="214"/>
      <c r="P64" s="213"/>
      <c r="Q64" s="214"/>
      <c r="R64" s="214"/>
      <c r="S64" s="214"/>
      <c r="T64" s="214"/>
      <c r="U64" s="215"/>
      <c r="V64" s="845"/>
      <c r="W64" s="216"/>
      <c r="X64" s="217"/>
      <c r="Y64" s="218"/>
      <c r="Z64" s="196"/>
      <c r="AA64" s="218"/>
      <c r="AG64" s="606"/>
      <c r="AJ64" s="196"/>
      <c r="AK64" s="196"/>
      <c r="AL64" s="196"/>
      <c r="AM64" s="196"/>
      <c r="AO64" s="196"/>
      <c r="AP64" s="589"/>
      <c r="AQ64" s="196"/>
      <c r="AR64" s="589"/>
      <c r="AS64"/>
      <c r="AT64" s="589">
        <f t="shared" si="61"/>
        <v>0</v>
      </c>
      <c r="AV64" s="245"/>
      <c r="AX64" s="245"/>
      <c r="AY64" s="245"/>
      <c r="BA64" s="589">
        <f t="shared" si="62"/>
        <v>0</v>
      </c>
      <c r="BK64" s="246">
        <f t="shared" si="63"/>
        <v>0</v>
      </c>
      <c r="BL64" s="246"/>
      <c r="BM64" s="246">
        <f t="shared" si="64"/>
        <v>0</v>
      </c>
      <c r="BN64" s="196"/>
      <c r="BQ64" s="248">
        <f t="shared" si="65"/>
        <v>0</v>
      </c>
      <c r="BR64" s="248"/>
      <c r="BS64" s="248"/>
      <c r="BT64" s="276"/>
      <c r="BV64" s="264">
        <f t="shared" si="66"/>
        <v>0</v>
      </c>
      <c r="BX64" s="247">
        <f t="shared" si="67"/>
        <v>0</v>
      </c>
      <c r="BY64" s="196"/>
      <c r="BZ64" s="620"/>
      <c r="CA64" s="196"/>
      <c r="CB64" s="196"/>
      <c r="CC64" s="196"/>
      <c r="CD64" s="247"/>
      <c r="CF64" s="247"/>
      <c r="CG64" s="196"/>
      <c r="CH64" s="589"/>
      <c r="CI64" s="196"/>
      <c r="CJ64" s="248"/>
      <c r="CK64" s="196"/>
      <c r="CL64" s="589"/>
      <c r="CM64" s="196"/>
      <c r="CN64" s="589"/>
      <c r="CO64" s="196"/>
      <c r="CP64" s="589"/>
      <c r="CQ64" s="196"/>
      <c r="CR64" s="269">
        <f t="shared" si="143"/>
        <v>0</v>
      </c>
      <c r="CS64" s="269"/>
      <c r="CT64" s="607"/>
      <c r="CU64" s="269">
        <f>'Detailed Budget'!$AC$24</f>
        <v>30624985696</v>
      </c>
      <c r="CV64" s="269">
        <f t="shared" si="18"/>
        <v>0</v>
      </c>
      <c r="CW64" s="269"/>
      <c r="CX64" s="269"/>
      <c r="CY64" s="196"/>
      <c r="DC64" s="269"/>
      <c r="DD64" s="207"/>
      <c r="DE64" s="606">
        <v>0</v>
      </c>
      <c r="DF64" s="269">
        <f>'Detailed Budget'!$AC$147</f>
        <v>5913600671000</v>
      </c>
      <c r="DG64" s="269">
        <f t="shared" si="23"/>
        <v>0</v>
      </c>
      <c r="DH64" s="269">
        <f>'Detailed Budget'!$AC$153</f>
        <v>226428026880.00003</v>
      </c>
      <c r="DI64" s="269"/>
      <c r="DJ64" s="269">
        <f>'Detailed Budget'!$AC$156</f>
        <v>27713070000</v>
      </c>
      <c r="DK64" s="269"/>
      <c r="DL64" s="269"/>
      <c r="DM64" s="196"/>
      <c r="DN64" s="269"/>
      <c r="DO64" s="196"/>
      <c r="DP64" s="269"/>
      <c r="DQ64" s="269"/>
      <c r="DR64" s="269"/>
      <c r="DS64" s="269"/>
      <c r="DT64" s="269"/>
      <c r="DU64" s="272"/>
      <c r="DV64" s="269"/>
      <c r="DW64" s="140"/>
      <c r="DX64" s="269"/>
      <c r="DY64" s="607"/>
      <c r="DZ64" s="196"/>
      <c r="EA64" s="269"/>
      <c r="EB64" s="196"/>
      <c r="ED64" s="269"/>
      <c r="EE64" s="196"/>
      <c r="EG64" s="196"/>
      <c r="EI64" s="269"/>
      <c r="EJ64" s="196"/>
      <c r="EL64" s="201"/>
      <c r="EN64" s="269"/>
      <c r="EO64" s="140"/>
      <c r="EQ64" s="196"/>
      <c r="ES64" s="269"/>
      <c r="ET64" s="196"/>
      <c r="EV64" s="140"/>
      <c r="EX64" s="269"/>
      <c r="EY64" s="196"/>
      <c r="FA64" s="196"/>
      <c r="FC64" s="269"/>
      <c r="FD64" s="269"/>
      <c r="FE64" s="269"/>
      <c r="FF64" s="140"/>
      <c r="FG64" s="1087">
        <f t="shared" si="46"/>
        <v>0</v>
      </c>
      <c r="FJ64" s="140">
        <f>'Detailed Budget'!$AC$235</f>
        <v>3623696172</v>
      </c>
      <c r="FL64" s="269">
        <f t="shared" si="49"/>
        <v>0</v>
      </c>
      <c r="FO64" s="607"/>
      <c r="FP64" s="607"/>
      <c r="FQ64" s="607"/>
      <c r="FT64" s="269">
        <f t="shared" si="51"/>
        <v>0</v>
      </c>
      <c r="FU64" s="269"/>
      <c r="FV64" s="269"/>
      <c r="FW64" s="605"/>
      <c r="FX64" s="140">
        <f>'Detailed Budget'!$AC$278</f>
        <v>1114560000</v>
      </c>
      <c r="FY64" s="269"/>
      <c r="FZ64" s="269"/>
      <c r="GB64" s="269">
        <f t="shared" si="74"/>
        <v>0</v>
      </c>
      <c r="GD64" s="1078">
        <f t="shared" si="75"/>
        <v>0</v>
      </c>
    </row>
    <row r="65" spans="1:186" s="210" customFormat="1" collapsed="1">
      <c r="A65" s="203">
        <v>1.4</v>
      </c>
      <c r="B65" s="204" t="s">
        <v>318</v>
      </c>
      <c r="C65" s="205">
        <f t="shared" ref="C65:T65" si="188">COUNTA(C66:C81)</f>
        <v>16</v>
      </c>
      <c r="D65" s="205">
        <f t="shared" si="188"/>
        <v>11</v>
      </c>
      <c r="E65" s="205">
        <f t="shared" si="188"/>
        <v>0</v>
      </c>
      <c r="F65" s="205">
        <f t="shared" si="188"/>
        <v>0</v>
      </c>
      <c r="G65" s="205">
        <f t="shared" si="188"/>
        <v>5</v>
      </c>
      <c r="H65" s="205">
        <f t="shared" si="188"/>
        <v>16</v>
      </c>
      <c r="I65" s="205">
        <f t="shared" si="188"/>
        <v>16</v>
      </c>
      <c r="J65" s="205">
        <f t="shared" si="188"/>
        <v>0</v>
      </c>
      <c r="K65" s="205">
        <f t="shared" si="188"/>
        <v>1</v>
      </c>
      <c r="L65" s="205">
        <f t="shared" si="188"/>
        <v>0</v>
      </c>
      <c r="M65" s="205">
        <f t="shared" si="188"/>
        <v>5</v>
      </c>
      <c r="N65" s="205">
        <f t="shared" si="188"/>
        <v>10</v>
      </c>
      <c r="O65" s="205">
        <f t="shared" si="188"/>
        <v>0</v>
      </c>
      <c r="P65" s="205">
        <f t="shared" si="188"/>
        <v>0</v>
      </c>
      <c r="Q65" s="205">
        <f t="shared" si="188"/>
        <v>3</v>
      </c>
      <c r="R65" s="205">
        <f t="shared" si="188"/>
        <v>13</v>
      </c>
      <c r="S65" s="205">
        <f t="shared" si="188"/>
        <v>0</v>
      </c>
      <c r="T65" s="205">
        <f t="shared" si="188"/>
        <v>0</v>
      </c>
      <c r="U65" s="206">
        <f>SUM(C65:T65)</f>
        <v>96</v>
      </c>
      <c r="V65" s="844"/>
      <c r="W65" s="207">
        <f>SUM(W66:W81)</f>
        <v>2365353</v>
      </c>
      <c r="X65" s="208">
        <v>2.96</v>
      </c>
      <c r="Y65" s="209">
        <f t="shared" si="57"/>
        <v>1.0296000000000001</v>
      </c>
      <c r="Z65" s="207">
        <v>19</v>
      </c>
      <c r="AA65" s="209">
        <f t="shared" si="184"/>
        <v>1.7406126843598355</v>
      </c>
      <c r="AB65" s="207">
        <f>SUM(AB66:AB81)</f>
        <v>4117163.4347885908</v>
      </c>
      <c r="AC65" s="210">
        <v>17.399999999999999</v>
      </c>
      <c r="AD65" s="207">
        <f>SUM(AD66:AD81)</f>
        <v>716386.43765321455</v>
      </c>
      <c r="AE65" s="207">
        <f>SUM(AE66:AE81)</f>
        <v>680567.11577055394</v>
      </c>
      <c r="AF65" s="207">
        <f>SUM(AF66:AF81)</f>
        <v>552558.16678591329</v>
      </c>
      <c r="AG65" s="588">
        <f t="shared" si="58"/>
        <v>3.1466435687609928E-2</v>
      </c>
      <c r="AH65" s="207">
        <f>SUM(AH66:AH81)</f>
        <v>205858.17173942953</v>
      </c>
      <c r="AI65" s="633">
        <f t="shared" si="59"/>
        <v>1.5947520659057676E-2</v>
      </c>
      <c r="AJ65" s="207">
        <f>SUM(AJ66:AJ81)</f>
        <v>922244.60939264414</v>
      </c>
      <c r="AK65" s="207">
        <f t="shared" si="99"/>
        <v>164686.53739154362</v>
      </c>
      <c r="AL65" s="207">
        <f t="shared" si="100"/>
        <v>164686.53739154362</v>
      </c>
      <c r="AM65" s="207">
        <f t="shared" si="5"/>
        <v>329373.07478308724</v>
      </c>
      <c r="AN65" s="632">
        <f t="shared" si="6"/>
        <v>1.5947520659057676E-2</v>
      </c>
      <c r="AO65" s="207">
        <f t="shared" si="7"/>
        <v>156452.21052196645</v>
      </c>
      <c r="AP65" s="588">
        <f t="shared" si="60"/>
        <v>1.5947520659057676E-2</v>
      </c>
      <c r="AQ65" s="207">
        <v>1</v>
      </c>
      <c r="AR65" s="588">
        <f>AQ65/37</f>
        <v>2.7027027027027029E-2</v>
      </c>
      <c r="AS65" s="207">
        <f>SUM(AS66:AS81)</f>
        <v>16</v>
      </c>
      <c r="AT65" s="588">
        <f t="shared" si="61"/>
        <v>2.0671834625322998E-2</v>
      </c>
      <c r="AU65" s="207">
        <f>SUM(AU66:AU81)</f>
        <v>186</v>
      </c>
      <c r="AV65" s="892">
        <f t="shared" si="8"/>
        <v>2.1133962049767072E-2</v>
      </c>
      <c r="AW65" s="207">
        <v>37700</v>
      </c>
      <c r="AX65" s="208">
        <f>AW65*0.002</f>
        <v>75.400000000000006</v>
      </c>
      <c r="AY65" s="207">
        <f>AX65*100</f>
        <v>7540.0000000000009</v>
      </c>
      <c r="AZ65" s="207">
        <f>SUM(AZ66:AZ81)</f>
        <v>615</v>
      </c>
      <c r="BA65" s="588">
        <f t="shared" si="62"/>
        <v>2.2534901615917334E-2</v>
      </c>
      <c r="BB65" s="207">
        <v>51</v>
      </c>
      <c r="BC65" s="207">
        <v>2</v>
      </c>
      <c r="BD65" s="207">
        <f>BB65+BC65</f>
        <v>53</v>
      </c>
      <c r="BE65" s="633">
        <f>BD65/1306</f>
        <v>4.0581929555895867E-2</v>
      </c>
      <c r="BF65" s="207">
        <f>AZ65+BD65</f>
        <v>668</v>
      </c>
      <c r="BG65" s="588">
        <f>BF65/28597</f>
        <v>2.3359093611217959E-2</v>
      </c>
      <c r="BH65" s="1084">
        <v>43.7</v>
      </c>
      <c r="BI65" s="207"/>
      <c r="BJ65" s="207"/>
      <c r="BK65" s="892">
        <f t="shared" si="63"/>
        <v>0</v>
      </c>
      <c r="BL65" s="892"/>
      <c r="BM65" s="892">
        <f t="shared" si="64"/>
        <v>0</v>
      </c>
      <c r="BN65" s="207"/>
      <c r="BO65" s="207">
        <v>307576</v>
      </c>
      <c r="BP65" s="207">
        <f>SUM(BP66:BP81)</f>
        <v>307575.86972935812</v>
      </c>
      <c r="BQ65" s="633">
        <f t="shared" si="65"/>
        <v>2.8772290309867839E-2</v>
      </c>
      <c r="BR65" s="207">
        <f>AY65*0.5*24</f>
        <v>90480.000000000015</v>
      </c>
      <c r="BS65" s="633">
        <f>BR65/2211211</f>
        <v>4.0918754474358172E-2</v>
      </c>
      <c r="BT65" s="634"/>
      <c r="BU65" s="207">
        <f>SUM(BU66:BU81)</f>
        <v>460659.0190467824</v>
      </c>
      <c r="BV65" s="264">
        <f t="shared" si="66"/>
        <v>3.1952182121498897E-2</v>
      </c>
      <c r="BW65" s="207">
        <f>SUM(BW66:BW81)</f>
        <v>1970596.9148112356</v>
      </c>
      <c r="BX65" s="247">
        <f t="shared" si="67"/>
        <v>3.1952182409325375E-2</v>
      </c>
      <c r="BY65" s="207">
        <f>SUM(BY66:BY81)</f>
        <v>2431255.9338580184</v>
      </c>
      <c r="CA65" s="207">
        <f t="shared" ref="CA65:CA81" si="189">AK65*0.85*0.75*12</f>
        <v>1259852.0110453088</v>
      </c>
      <c r="CB65" s="207">
        <f t="shared" ref="CB65:CB81" si="190">AL65*0.85*0.75*2*12</f>
        <v>2519704.0220906176</v>
      </c>
      <c r="CC65" s="207">
        <f t="shared" si="12"/>
        <v>3779556.0331359264</v>
      </c>
      <c r="CD65" s="633">
        <f t="shared" si="13"/>
        <v>1.5947520659057676E-2</v>
      </c>
      <c r="CE65" s="207">
        <v>452173</v>
      </c>
      <c r="CF65" s="633">
        <f t="shared" si="14"/>
        <v>1.9526236373461698E-2</v>
      </c>
      <c r="CG65" s="207">
        <f t="shared" ref="CG65:CG81" si="191">AO65*4</f>
        <v>625808.84208786581</v>
      </c>
      <c r="CH65" s="588">
        <f t="shared" si="68"/>
        <v>1.5947520659057676E-2</v>
      </c>
      <c r="CI65" s="207">
        <f t="shared" ref="CI65:CO65" si="192">SUM(CI66:CI81)</f>
        <v>960227.58662010881</v>
      </c>
      <c r="CJ65" s="633">
        <f t="shared" si="70"/>
        <v>1.5786139086654712E-2</v>
      </c>
      <c r="CK65" s="207">
        <f t="shared" si="192"/>
        <v>759926.46425259125</v>
      </c>
      <c r="CL65" s="588">
        <f t="shared" si="71"/>
        <v>1.0924099233835912E-2</v>
      </c>
      <c r="CM65" s="207">
        <f t="shared" si="192"/>
        <v>73618.044974572855</v>
      </c>
      <c r="CN65" s="588">
        <f t="shared" si="72"/>
        <v>1.0609196924227232E-2</v>
      </c>
      <c r="CO65" s="207">
        <f t="shared" si="192"/>
        <v>5889.003597697023</v>
      </c>
      <c r="CP65" s="588">
        <f t="shared" si="73"/>
        <v>1.1105753711716427E-2</v>
      </c>
      <c r="CQ65" s="207">
        <f>'Detailed Budget'!$AC$12</f>
        <v>292876014141.44696</v>
      </c>
      <c r="CR65" s="605">
        <f t="shared" si="143"/>
        <v>0</v>
      </c>
      <c r="CS65" s="605">
        <f>'Detailed Budget'!$AC$16</f>
        <v>10488008800.000002</v>
      </c>
      <c r="CT65" s="605">
        <f t="shared" ref="CT65:CT81" si="193">BM65*CS65</f>
        <v>0</v>
      </c>
      <c r="CU65" s="605">
        <f>'Detailed Budget'!$AC$24</f>
        <v>30624985696</v>
      </c>
      <c r="CV65" s="605">
        <f t="shared" si="18"/>
        <v>0</v>
      </c>
      <c r="CW65" s="605"/>
      <c r="CX65" s="605">
        <f t="shared" si="19"/>
        <v>0</v>
      </c>
      <c r="CY65" s="207">
        <f>'Detailed Budget'!$AC$97</f>
        <v>74629165494.837845</v>
      </c>
      <c r="CZ65" s="605">
        <f t="shared" ref="CZ65:CZ81" si="194">BQ65*CY65</f>
        <v>2147252015.2006462</v>
      </c>
      <c r="DA65" s="605">
        <f>'Detailed Budget'!$AC$100</f>
        <v>14925833098.967569</v>
      </c>
      <c r="DB65" s="605">
        <f t="shared" ref="DB65:DB81" si="195">BQ65*DA65</f>
        <v>429450403.04012924</v>
      </c>
      <c r="DC65" s="605">
        <f t="shared" si="22"/>
        <v>2576702418.2407756</v>
      </c>
      <c r="DD65" s="207">
        <f>SUM(DD66:DD81)</f>
        <v>0</v>
      </c>
      <c r="DE65" s="606">
        <v>0</v>
      </c>
      <c r="DF65" s="605">
        <f>'Detailed Budget'!$AC$147</f>
        <v>5913600671000</v>
      </c>
      <c r="DG65" s="605">
        <f t="shared" si="23"/>
        <v>0</v>
      </c>
      <c r="DH65" s="605">
        <f>'Detailed Budget'!$AC$153</f>
        <v>226428026880.00003</v>
      </c>
      <c r="DI65" s="605">
        <f>BS65*DH65</f>
        <v>9265152838.0160942</v>
      </c>
      <c r="DJ65" s="605">
        <f>'Detailed Budget'!$AC$156</f>
        <v>27713070000</v>
      </c>
      <c r="DK65" s="605">
        <f>AT65*DJ65</f>
        <v>572880000</v>
      </c>
      <c r="DL65" s="605">
        <f>DI65+DK65</f>
        <v>9838032838.0160942</v>
      </c>
      <c r="DM65" s="605">
        <f>'Detailed Budget'!$AC$178</f>
        <v>5622683761.6229038</v>
      </c>
      <c r="DN65" s="605">
        <f>SUM(DN66:DN81)</f>
        <v>179657015.56296951</v>
      </c>
      <c r="DO65" s="605">
        <f>'Detailed Budget'!$AC$179</f>
        <v>26827890683.128094</v>
      </c>
      <c r="DP65" s="605">
        <f>SUM(DP66:DP81)</f>
        <v>857209656.76474977</v>
      </c>
      <c r="DQ65" s="605">
        <f>SUM(DQ66:DQ81)</f>
        <v>1036866672.3277192</v>
      </c>
      <c r="DR65" s="605">
        <f>'Detailed Budget'!$AC$181</f>
        <v>50888946855.375237</v>
      </c>
      <c r="DS65" s="605">
        <f>SUM(DS66:DS81)</f>
        <v>1300103886.0554788</v>
      </c>
      <c r="DT65" s="605">
        <f>SUM(DT66:DT81)</f>
        <v>2336970558.3831987</v>
      </c>
      <c r="DU65" s="634">
        <f>'Detailed Budget'!$AC$192</f>
        <v>77498869683.252869</v>
      </c>
      <c r="DV65" s="605">
        <f t="shared" ref="DV65:DV81" si="196">BZ65*CD65*DU65</f>
        <v>0</v>
      </c>
      <c r="DW65" s="930">
        <f>'Detailed Budget'!$AC$194</f>
        <v>2684962805.4134097</v>
      </c>
      <c r="DX65" s="605">
        <f t="shared" ref="DX65:DX81" si="197">BZ65*AN65*DW65</f>
        <v>0</v>
      </c>
      <c r="DY65" s="605">
        <f t="shared" si="26"/>
        <v>0</v>
      </c>
      <c r="DZ65" s="207">
        <f>'Detailed Budget'!$AC$198</f>
        <v>18732540018.380611</v>
      </c>
      <c r="EA65" s="605">
        <f t="shared" ref="EA65:EA81" si="198">CF65*DZ65</f>
        <v>365776004.27423036</v>
      </c>
      <c r="EB65" s="207">
        <f>'Detailed Budget'!$AC$200</f>
        <v>4683135004.5951529</v>
      </c>
      <c r="EC65" s="605">
        <f t="shared" ref="EC65:EC81" si="199">CF65*EB65</f>
        <v>91444001.06855759</v>
      </c>
      <c r="ED65" s="605">
        <f t="shared" si="29"/>
        <v>457220005.34278798</v>
      </c>
      <c r="EE65" s="207">
        <f>'Detailed Budget'!$AC$161</f>
        <v>251147290106.36197</v>
      </c>
      <c r="EF65" s="605">
        <f t="shared" ref="EF65:EF81" si="200">CH65*EE65</f>
        <v>4005176597.4375591</v>
      </c>
      <c r="EG65" s="207">
        <f>'Detailed Budget'!$AC$163</f>
        <v>15696705631.647623</v>
      </c>
      <c r="EH65" s="605">
        <f t="shared" ref="EH65:EH81" si="201">AP65*EG65</f>
        <v>250323537.33984745</v>
      </c>
      <c r="EI65" s="605">
        <f t="shared" si="32"/>
        <v>4255500134.7774067</v>
      </c>
      <c r="EJ65" s="207">
        <f>'Detailed Budget'!$AC$204</f>
        <v>45012172507.531975</v>
      </c>
      <c r="EK65" s="605">
        <f t="shared" ref="EK65:EK81" si="202">CJ65*EJ65</f>
        <v>710568415.79639518</v>
      </c>
      <c r="EL65" s="207">
        <f>'Detailed Budget'!$AC$206</f>
        <v>11253043126.882994</v>
      </c>
      <c r="EM65" s="605">
        <f t="shared" ref="EM65:EM81" si="203">CJ65*EL65</f>
        <v>177642103.9490988</v>
      </c>
      <c r="EN65" s="605">
        <f t="shared" si="35"/>
        <v>888210519.74549401</v>
      </c>
      <c r="EO65" s="930">
        <f>'Detailed Budget'!$AC$209</f>
        <v>135789361677.54817</v>
      </c>
      <c r="EP65" s="605">
        <f t="shared" ref="EP65:EP81" si="204">CL65*EO65</f>
        <v>1483376461.8647716</v>
      </c>
      <c r="EQ65" s="207">
        <f>'Detailed Budget'!$AC$211</f>
        <v>33947340419.387043</v>
      </c>
      <c r="ER65" s="605">
        <f t="shared" ref="ER65:ER81" si="205">CL65*EQ65</f>
        <v>370844115.4661929</v>
      </c>
      <c r="ES65" s="605">
        <f t="shared" si="38"/>
        <v>1854220577.3309646</v>
      </c>
      <c r="ET65" s="207">
        <f>'Detailed Budget'!$AC$214</f>
        <v>22239745544.201103</v>
      </c>
      <c r="EU65" s="605">
        <f t="shared" ref="EU65:EU81" si="206">CN65*ET65</f>
        <v>235945840.02313465</v>
      </c>
      <c r="EV65" s="930">
        <f>'Detailed Budget'!$AC$217</f>
        <v>5559936386.0502758</v>
      </c>
      <c r="EW65" s="605">
        <f t="shared" ref="EW65:EW81" si="207">CN65*EV65</f>
        <v>58986460.005783662</v>
      </c>
      <c r="EX65" s="605">
        <f t="shared" si="41"/>
        <v>294932300.02891833</v>
      </c>
      <c r="EY65" s="207">
        <f>'Detailed Budget'!$AC$219</f>
        <v>372777004.58170313</v>
      </c>
      <c r="EZ65" s="605">
        <f t="shared" ref="EZ65:EZ81" si="208">CP65*EY65</f>
        <v>4139969.6022757809</v>
      </c>
      <c r="FA65" s="207">
        <f>'Detailed Budget'!$AC$222</f>
        <v>93194251.145425782</v>
      </c>
      <c r="FB65" s="605">
        <f t="shared" ref="FB65:FB81" si="209">CP65*FA65</f>
        <v>1034992.4005689452</v>
      </c>
      <c r="FC65" s="605">
        <f t="shared" si="44"/>
        <v>5174962.0028447257</v>
      </c>
      <c r="FD65" s="605"/>
      <c r="FE65" s="605">
        <f t="shared" si="45"/>
        <v>3042538359.1082215</v>
      </c>
      <c r="FF65" s="930">
        <f>'Detailed Budget'!$AC$165</f>
        <v>14927760000</v>
      </c>
      <c r="FG65" s="1087">
        <f t="shared" si="46"/>
        <v>4150223719.1618052</v>
      </c>
      <c r="FH65" s="605">
        <f t="shared" ref="FH65:FH81" si="210">AV65*FF65</f>
        <v>315482713.32803088</v>
      </c>
      <c r="FI65" s="605"/>
      <c r="FJ65" s="930">
        <f>'Detailed Budget'!$AC$235</f>
        <v>3623696172</v>
      </c>
      <c r="FK65" s="605">
        <f t="shared" ref="FK65:FK81" si="211">AT65*FJ65</f>
        <v>74908448</v>
      </c>
      <c r="FL65" s="605">
        <f t="shared" si="49"/>
        <v>74908448</v>
      </c>
      <c r="FM65" s="605"/>
      <c r="FN65" s="605">
        <f>'Detailed Budget'!$AC$251</f>
        <v>1047595800</v>
      </c>
      <c r="FO65" s="605">
        <f>AR65*FN65</f>
        <v>28313400</v>
      </c>
      <c r="FP65" s="605">
        <f>'Detailed Budget'!$AB$254</f>
        <v>2773297530</v>
      </c>
      <c r="FQ65" s="605">
        <f>BE65*FP65</f>
        <v>112545765</v>
      </c>
      <c r="FR65" s="605">
        <f>'Detailed Budget'!$AC$257</f>
        <v>13636439388</v>
      </c>
      <c r="FS65" s="605">
        <f t="shared" ref="FS65:FS81" si="212">BA65*FR65</f>
        <v>307295820</v>
      </c>
      <c r="FT65" s="605">
        <f t="shared" si="51"/>
        <v>448154985</v>
      </c>
      <c r="FU65" s="605"/>
      <c r="FV65" s="605">
        <f>'Detailed Budget'!$AC$265</f>
        <v>6277805540</v>
      </c>
      <c r="FW65" s="605">
        <f>AR65*FV65</f>
        <v>169670420</v>
      </c>
      <c r="FX65" s="930">
        <f>'Detailed Budget'!$AC$278</f>
        <v>1114560000</v>
      </c>
      <c r="FY65" s="605">
        <f t="shared" ref="FY65:FY81" si="213">AT65*FX65</f>
        <v>23040000</v>
      </c>
      <c r="FZ65" s="605">
        <f t="shared" si="54"/>
        <v>192710420</v>
      </c>
      <c r="GB65" s="269">
        <f t="shared" si="74"/>
        <v>27688444599.358318</v>
      </c>
      <c r="GC65" s="889">
        <f t="shared" si="55"/>
        <v>17305277.87459895</v>
      </c>
      <c r="GD65" s="1078">
        <f t="shared" si="75"/>
        <v>1.5536858148982683E-2</v>
      </c>
    </row>
    <row r="66" spans="1:186" hidden="1" outlineLevel="1">
      <c r="A66" s="211" t="s">
        <v>319</v>
      </c>
      <c r="B66" s="212" t="s">
        <v>320</v>
      </c>
      <c r="C66" s="213" t="s">
        <v>215</v>
      </c>
      <c r="D66" s="214" t="s">
        <v>215</v>
      </c>
      <c r="E66" s="213"/>
      <c r="F66" s="213"/>
      <c r="G66" s="213"/>
      <c r="H66" s="213" t="s">
        <v>215</v>
      </c>
      <c r="I66" s="214" t="s">
        <v>215</v>
      </c>
      <c r="J66" s="214"/>
      <c r="K66" s="213"/>
      <c r="L66" s="213"/>
      <c r="M66" s="214"/>
      <c r="N66" s="213" t="s">
        <v>215</v>
      </c>
      <c r="O66" s="214"/>
      <c r="P66" s="213"/>
      <c r="Q66" s="214"/>
      <c r="R66" s="214" t="s">
        <v>215</v>
      </c>
      <c r="S66" s="214"/>
      <c r="T66" s="214"/>
      <c r="U66" s="215">
        <f t="shared" ref="U66:U81" si="214">COUNTA(C66:T66)</f>
        <v>6</v>
      </c>
      <c r="V66" s="845" t="s">
        <v>219</v>
      </c>
      <c r="W66" s="216">
        <v>124668</v>
      </c>
      <c r="X66" s="217">
        <v>2.96</v>
      </c>
      <c r="Y66" s="218">
        <f t="shared" si="57"/>
        <v>1.0296000000000001</v>
      </c>
      <c r="Z66" s="196">
        <v>19</v>
      </c>
      <c r="AA66" s="218">
        <f t="shared" si="184"/>
        <v>1.7406126843598355</v>
      </c>
      <c r="AB66" s="196">
        <f t="shared" si="171"/>
        <v>216998.70213377196</v>
      </c>
      <c r="AC66">
        <v>17.399999999999999</v>
      </c>
      <c r="AD66" s="196">
        <f t="shared" si="172"/>
        <v>37757.774171276324</v>
      </c>
      <c r="AE66" s="196">
        <f t="shared" si="95"/>
        <v>35869.885462712504</v>
      </c>
      <c r="AF66" s="196">
        <f t="shared" ref="AF66:AF81" si="215">AE66*BT66</f>
        <v>35869.885462712504</v>
      </c>
      <c r="AG66" s="606">
        <f t="shared" si="58"/>
        <v>1.6584660320480514E-3</v>
      </c>
      <c r="AH66" s="196">
        <f>AB66*0.05</f>
        <v>10849.935106688599</v>
      </c>
      <c r="AI66" s="248">
        <f t="shared" ref="AI66:AI126" si="216">AH66/12908475</f>
        <v>8.4052803345775545E-4</v>
      </c>
      <c r="AJ66" s="196">
        <f t="shared" si="80"/>
        <v>48607.709277964925</v>
      </c>
      <c r="AK66" s="196">
        <f t="shared" si="99"/>
        <v>8679.9480853508794</v>
      </c>
      <c r="AL66" s="196">
        <f t="shared" si="100"/>
        <v>8679.9480853508794</v>
      </c>
      <c r="AM66" s="196">
        <f t="shared" si="5"/>
        <v>17359.896170701759</v>
      </c>
      <c r="AN66" s="627">
        <f t="shared" si="6"/>
        <v>8.4052803345775545E-4</v>
      </c>
      <c r="AO66" s="196">
        <f t="shared" si="7"/>
        <v>8245.9506810833336</v>
      </c>
      <c r="AP66" s="589">
        <f t="shared" si="60"/>
        <v>8.4052803345775523E-4</v>
      </c>
      <c r="AQ66" s="196"/>
      <c r="AR66" s="589"/>
      <c r="AS66">
        <v>1</v>
      </c>
      <c r="AT66" s="589">
        <f t="shared" si="61"/>
        <v>1.2919896640826874E-3</v>
      </c>
      <c r="AU66" s="196">
        <v>15</v>
      </c>
      <c r="AV66" s="245">
        <f t="shared" si="8"/>
        <v>1.7043517782070218E-3</v>
      </c>
      <c r="AX66" s="245"/>
      <c r="AY66" s="245"/>
      <c r="AZ66" s="196">
        <v>44</v>
      </c>
      <c r="BA66" s="589">
        <f t="shared" si="62"/>
        <v>1.6122531237404273E-3</v>
      </c>
      <c r="BI66" s="196">
        <v>0</v>
      </c>
      <c r="BK66" s="246">
        <f t="shared" si="63"/>
        <v>0</v>
      </c>
      <c r="BL66" s="246"/>
      <c r="BM66" s="246">
        <f t="shared" si="64"/>
        <v>0</v>
      </c>
      <c r="BN66" s="196">
        <v>1</v>
      </c>
      <c r="BO66" s="196">
        <f t="shared" ref="BO66:BO81" si="217">AJ66/922245*307576</f>
        <v>16211.055401633341</v>
      </c>
      <c r="BP66" s="196">
        <f t="shared" si="82"/>
        <v>16211.055401633341</v>
      </c>
      <c r="BQ66" s="248">
        <f t="shared" si="65"/>
        <v>1.5164687420231165E-3</v>
      </c>
      <c r="BR66" s="248"/>
      <c r="BS66" s="248"/>
      <c r="BT66" s="276">
        <v>1</v>
      </c>
      <c r="BU66" s="196">
        <f>AD66*BT66*0.18*4*1.1</f>
        <v>29904.157143650849</v>
      </c>
      <c r="BV66" s="264">
        <f t="shared" si="66"/>
        <v>2.0742089826462679E-3</v>
      </c>
      <c r="BW66" s="196">
        <f>AD66*BT66*0.77*4*1.1</f>
        <v>127923.3388922842</v>
      </c>
      <c r="BX66" s="247">
        <f t="shared" si="67"/>
        <v>2.0742090013308218E-3</v>
      </c>
      <c r="BY66" s="196">
        <f t="shared" si="83"/>
        <v>157827.49603593504</v>
      </c>
      <c r="BZ66" s="620">
        <v>0</v>
      </c>
      <c r="CA66" s="196">
        <f t="shared" si="189"/>
        <v>66401.602852934215</v>
      </c>
      <c r="CB66" s="196">
        <f t="shared" si="190"/>
        <v>132803.20570586843</v>
      </c>
      <c r="CC66" s="196">
        <f t="shared" si="12"/>
        <v>199204.80855880264</v>
      </c>
      <c r="CD66" s="247">
        <f t="shared" si="13"/>
        <v>8.4052803345775523E-4</v>
      </c>
      <c r="CE66" s="196">
        <f t="shared" ref="CE66:CE81" si="218">AH66/205858*452173</f>
        <v>23832.19358488232</v>
      </c>
      <c r="CF66" s="247">
        <f t="shared" si="14"/>
        <v>1.0291482358223726E-3</v>
      </c>
      <c r="CG66" s="196">
        <f t="shared" si="191"/>
        <v>32983.802724333334</v>
      </c>
      <c r="CH66" s="589">
        <f t="shared" si="68"/>
        <v>8.4052803345775523E-4</v>
      </c>
      <c r="CI66" s="196">
        <f t="shared" ref="CI66:CI81" si="219">AD66/716386*960227</f>
        <v>50609.635335087718</v>
      </c>
      <c r="CJ66" s="248">
        <f t="shared" si="70"/>
        <v>8.3202227644460264E-4</v>
      </c>
      <c r="CK66" s="196">
        <f t="shared" ref="CK66:CK81" si="220">AD66/716386*759926</f>
        <v>40052.589379023782</v>
      </c>
      <c r="CL66" s="589">
        <f t="shared" si="71"/>
        <v>5.7576421078961806E-4</v>
      </c>
      <c r="CM66" s="196">
        <f t="shared" ref="CM66:CM81" si="221">AD66/716386*73618</f>
        <v>3880.1034902148012</v>
      </c>
      <c r="CN66" s="589">
        <f t="shared" si="72"/>
        <v>5.5916700896211302E-4</v>
      </c>
      <c r="CO66" s="196">
        <f t="shared" ref="CO66:CO81" si="222">AD66/716386*5889</f>
        <v>310.38508861793264</v>
      </c>
      <c r="CP66" s="589">
        <f t="shared" si="73"/>
        <v>5.8533846902862456E-4</v>
      </c>
      <c r="CQ66" s="196">
        <f>'Detailed Budget'!$AC$12</f>
        <v>292876014141.44696</v>
      </c>
      <c r="CR66" s="269">
        <f t="shared" si="143"/>
        <v>0</v>
      </c>
      <c r="CS66" s="269">
        <f>'Detailed Budget'!$AC$16</f>
        <v>10488008800.000002</v>
      </c>
      <c r="CT66" s="607">
        <f t="shared" si="193"/>
        <v>0</v>
      </c>
      <c r="CU66" s="269">
        <f>'Detailed Budget'!$AC$24</f>
        <v>30624985696</v>
      </c>
      <c r="CV66" s="269">
        <f t="shared" si="18"/>
        <v>0</v>
      </c>
      <c r="CW66" s="269"/>
      <c r="CX66" s="269">
        <f t="shared" si="19"/>
        <v>0</v>
      </c>
      <c r="CY66" s="196">
        <f>'Detailed Budget'!$AC$97</f>
        <v>74629165494.837845</v>
      </c>
      <c r="CZ66" s="269">
        <f t="shared" si="194"/>
        <v>113172796.71619172</v>
      </c>
      <c r="DA66" s="269">
        <f>'Detailed Budget'!$AC$100</f>
        <v>14925833098.967569</v>
      </c>
      <c r="DB66" s="269">
        <f t="shared" si="195"/>
        <v>22634559.343238346</v>
      </c>
      <c r="DC66" s="269">
        <f t="shared" si="22"/>
        <v>135807356.05943006</v>
      </c>
      <c r="DD66" s="207">
        <v>0</v>
      </c>
      <c r="DE66" s="606">
        <v>0</v>
      </c>
      <c r="DF66" s="269">
        <f>'Detailed Budget'!$AC$147</f>
        <v>5913600671000</v>
      </c>
      <c r="DG66" s="269">
        <f t="shared" si="23"/>
        <v>0</v>
      </c>
      <c r="DH66" s="269">
        <f>'Detailed Budget'!$AC$153</f>
        <v>226428026880.00003</v>
      </c>
      <c r="DI66" s="269"/>
      <c r="DJ66" s="269">
        <f>'Detailed Budget'!$AC$156</f>
        <v>27713070000</v>
      </c>
      <c r="DK66" s="269"/>
      <c r="DL66" s="269"/>
      <c r="DM66" s="196">
        <f>'Detailed Budget'!$AC$178</f>
        <v>5622683761.6229038</v>
      </c>
      <c r="DN66" s="269">
        <f t="shared" ref="DN66:DN81" si="223">BT66*BV66*DM66</f>
        <v>11662621.164937533</v>
      </c>
      <c r="DO66" s="196">
        <f>'Detailed Budget'!$AC$179</f>
        <v>26827890683.128094</v>
      </c>
      <c r="DP66" s="269">
        <f t="shared" ref="DP66:DP81" si="224">BT66*BX66*DO66</f>
        <v>55646652.341663584</v>
      </c>
      <c r="DQ66" s="269">
        <f t="shared" si="89"/>
        <v>67309273.506601125</v>
      </c>
      <c r="DR66" s="269">
        <f>'Detailed Budget'!$AC$181</f>
        <v>50888946855.375237</v>
      </c>
      <c r="DS66" s="269">
        <f t="shared" ref="DS66:DS81" si="225">BT66*AG66*DR66</f>
        <v>84397589.766338333</v>
      </c>
      <c r="DT66" s="269">
        <f t="shared" ref="DT66:DT81" si="226">DQ66+DS66</f>
        <v>151706863.27293944</v>
      </c>
      <c r="DU66" s="272">
        <f>'Detailed Budget'!$AC$192</f>
        <v>77498869683.252869</v>
      </c>
      <c r="DV66" s="269">
        <f t="shared" si="196"/>
        <v>0</v>
      </c>
      <c r="DW66" s="140">
        <f>'Detailed Budget'!$AC$194</f>
        <v>2684962805.4134097</v>
      </c>
      <c r="DX66" s="269">
        <f t="shared" si="197"/>
        <v>0</v>
      </c>
      <c r="DY66" s="607">
        <f t="shared" si="26"/>
        <v>0</v>
      </c>
      <c r="DZ66" s="196">
        <f>'Detailed Budget'!$AC$198</f>
        <v>18732540018.380611</v>
      </c>
      <c r="EA66" s="269">
        <f t="shared" si="198"/>
        <v>19278560.512388401</v>
      </c>
      <c r="EB66" s="196">
        <f>'Detailed Budget'!$AC$200</f>
        <v>4683135004.5951529</v>
      </c>
      <c r="EC66" s="269">
        <f t="shared" si="199"/>
        <v>4819640.1280971002</v>
      </c>
      <c r="ED66" s="269">
        <f t="shared" si="29"/>
        <v>24098200.640485503</v>
      </c>
      <c r="EE66" s="196">
        <f>'Detailed Budget'!$AC$161</f>
        <v>251147290106.36197</v>
      </c>
      <c r="EF66" s="269">
        <f t="shared" si="200"/>
        <v>211096337.86134478</v>
      </c>
      <c r="EG66" s="196">
        <f>'Detailed Budget'!$AC$163</f>
        <v>15696705631.647623</v>
      </c>
      <c r="EH66" s="269">
        <f t="shared" si="201"/>
        <v>13193521.116334049</v>
      </c>
      <c r="EI66" s="269">
        <f t="shared" si="32"/>
        <v>224289858.97767884</v>
      </c>
      <c r="EJ66" s="196">
        <f>'Detailed Budget'!$AC$204</f>
        <v>45012172507.531975</v>
      </c>
      <c r="EK66" s="269">
        <f t="shared" si="202"/>
        <v>37451130.23743391</v>
      </c>
      <c r="EL66" s="201">
        <f>'Detailed Budget'!$AC$206</f>
        <v>11253043126.882994</v>
      </c>
      <c r="EM66" s="269">
        <f t="shared" si="203"/>
        <v>9362782.5593584776</v>
      </c>
      <c r="EN66" s="269">
        <f t="shared" si="35"/>
        <v>46813912.796792388</v>
      </c>
      <c r="EO66" s="140">
        <f>'Detailed Budget'!$AC$209</f>
        <v>135789361677.54817</v>
      </c>
      <c r="EP66" s="269">
        <f t="shared" si="204"/>
        <v>78182654.659899533</v>
      </c>
      <c r="EQ66" s="196">
        <f>'Detailed Budget'!$AC$211</f>
        <v>33947340419.387043</v>
      </c>
      <c r="ER66" s="269">
        <f t="shared" si="205"/>
        <v>19545663.664974883</v>
      </c>
      <c r="ES66" s="269">
        <f t="shared" si="38"/>
        <v>97728318.324874416</v>
      </c>
      <c r="ET66" s="196">
        <f>'Detailed Budget'!$AC$214</f>
        <v>22239745544.201103</v>
      </c>
      <c r="EU66" s="269">
        <f t="shared" si="206"/>
        <v>12435731.996029411</v>
      </c>
      <c r="EV66" s="140">
        <f>'Detailed Budget'!$AC$217</f>
        <v>5559936386.0502758</v>
      </c>
      <c r="EW66" s="269">
        <f t="shared" si="207"/>
        <v>3108932.9990073526</v>
      </c>
      <c r="EX66" s="269">
        <f t="shared" si="41"/>
        <v>15544664.995036762</v>
      </c>
      <c r="EY66" s="196">
        <f>'Detailed Budget'!$AC$219</f>
        <v>372777004.58170313</v>
      </c>
      <c r="EZ66" s="269">
        <f t="shared" si="208"/>
        <v>218200.72115093068</v>
      </c>
      <c r="FA66" s="196">
        <f>'Detailed Budget'!$AC$222</f>
        <v>93194251.145425782</v>
      </c>
      <c r="FB66" s="269">
        <f t="shared" si="209"/>
        <v>54550.18028773267</v>
      </c>
      <c r="FC66" s="269">
        <f t="shared" si="44"/>
        <v>272750.90143866336</v>
      </c>
      <c r="FD66" s="269"/>
      <c r="FE66" s="269">
        <f t="shared" si="45"/>
        <v>160359647.01814219</v>
      </c>
      <c r="FF66" s="140">
        <f>'Detailed Budget'!$AC$165</f>
        <v>14927760000</v>
      </c>
      <c r="FG66" s="1087">
        <f t="shared" si="46"/>
        <v>218741173.35571641</v>
      </c>
      <c r="FH66" s="269">
        <f t="shared" si="210"/>
        <v>25442154.300647654</v>
      </c>
      <c r="FJ66" s="140">
        <f>'Detailed Budget'!$AC$235</f>
        <v>3623696172</v>
      </c>
      <c r="FK66" s="269">
        <f t="shared" si="211"/>
        <v>4681778</v>
      </c>
      <c r="FL66" s="269">
        <f t="shared" si="49"/>
        <v>4681778</v>
      </c>
      <c r="FO66" s="607"/>
      <c r="FP66" s="607"/>
      <c r="FQ66" s="607"/>
      <c r="FR66" s="269">
        <f>'Detailed Budget'!$AC$257</f>
        <v>13636439388</v>
      </c>
      <c r="FS66" s="269">
        <f t="shared" si="212"/>
        <v>21985392</v>
      </c>
      <c r="FT66" s="269">
        <f t="shared" si="51"/>
        <v>21985392</v>
      </c>
      <c r="FU66" s="269"/>
      <c r="FV66" s="269"/>
      <c r="FW66" s="605"/>
      <c r="FX66" s="140">
        <f>'Detailed Budget'!$AC$278</f>
        <v>1114560000</v>
      </c>
      <c r="FY66" s="269">
        <f t="shared" si="213"/>
        <v>1440000</v>
      </c>
      <c r="FZ66" s="269">
        <f t="shared" si="54"/>
        <v>1440000</v>
      </c>
      <c r="GB66" s="269">
        <f t="shared" si="74"/>
        <v>968552423.62504017</v>
      </c>
      <c r="GC66" s="887">
        <f t="shared" si="55"/>
        <v>605345.26476565015</v>
      </c>
      <c r="GD66" s="1078">
        <f t="shared" si="75"/>
        <v>5.4348526374299762E-4</v>
      </c>
    </row>
    <row r="67" spans="1:186" hidden="1" outlineLevel="1">
      <c r="A67" s="211" t="s">
        <v>321</v>
      </c>
      <c r="B67" s="212" t="s">
        <v>322</v>
      </c>
      <c r="C67" s="213" t="s">
        <v>215</v>
      </c>
      <c r="D67" s="214" t="s">
        <v>215</v>
      </c>
      <c r="E67" s="213"/>
      <c r="F67" s="213"/>
      <c r="G67" s="213"/>
      <c r="H67" s="213" t="s">
        <v>215</v>
      </c>
      <c r="I67" s="214" t="s">
        <v>215</v>
      </c>
      <c r="J67" s="214"/>
      <c r="K67" s="213"/>
      <c r="L67" s="213"/>
      <c r="M67" s="214" t="s">
        <v>215</v>
      </c>
      <c r="N67" s="213"/>
      <c r="O67" s="214"/>
      <c r="P67" s="213"/>
      <c r="Q67" s="214"/>
      <c r="R67" s="214" t="s">
        <v>215</v>
      </c>
      <c r="S67" s="214"/>
      <c r="T67" s="214"/>
      <c r="U67" s="215">
        <f t="shared" si="214"/>
        <v>6</v>
      </c>
      <c r="V67" s="845" t="s">
        <v>219</v>
      </c>
      <c r="W67" s="216">
        <v>206679</v>
      </c>
      <c r="X67" s="217">
        <v>2.96</v>
      </c>
      <c r="Y67" s="218">
        <f t="shared" si="57"/>
        <v>1.0296000000000001</v>
      </c>
      <c r="Z67" s="196">
        <v>19</v>
      </c>
      <c r="AA67" s="218">
        <f t="shared" si="184"/>
        <v>1.7406126843598355</v>
      </c>
      <c r="AB67" s="196">
        <f t="shared" si="171"/>
        <v>359748.08899080643</v>
      </c>
      <c r="AC67">
        <v>17.399999999999999</v>
      </c>
      <c r="AD67" s="196">
        <f t="shared" si="172"/>
        <v>62596.167484400306</v>
      </c>
      <c r="AE67" s="196">
        <f t="shared" si="95"/>
        <v>59466.359110180289</v>
      </c>
      <c r="AF67" s="196">
        <f t="shared" si="215"/>
        <v>59466.359110180289</v>
      </c>
      <c r="AG67" s="606">
        <f t="shared" si="58"/>
        <v>2.7494633830466449E-3</v>
      </c>
      <c r="AH67" s="196">
        <f t="shared" ref="AH67:AH81" si="227">AB67*0.05</f>
        <v>17987.404449540321</v>
      </c>
      <c r="AI67" s="248">
        <f t="shared" si="216"/>
        <v>1.3934569691261222E-3</v>
      </c>
      <c r="AJ67" s="196">
        <f t="shared" ref="AJ67:AJ127" si="228">AD67+AH67</f>
        <v>80583.571933940635</v>
      </c>
      <c r="AK67" s="196">
        <f t="shared" si="99"/>
        <v>14389.923559632258</v>
      </c>
      <c r="AL67" s="196">
        <f t="shared" si="100"/>
        <v>14389.923559632258</v>
      </c>
      <c r="AM67" s="196">
        <f t="shared" ref="AM67:AM127" si="229">AK67+AL67</f>
        <v>28779.847119264516</v>
      </c>
      <c r="AN67" s="627">
        <f t="shared" ref="AN67:AN127" si="230">AM67/20653560</f>
        <v>1.3934569691261224E-3</v>
      </c>
      <c r="AO67" s="196">
        <f t="shared" ref="AO67:AO127" si="231">AB67*0.038</f>
        <v>13670.427381650645</v>
      </c>
      <c r="AP67" s="589">
        <f t="shared" si="60"/>
        <v>1.3934569691261224E-3</v>
      </c>
      <c r="AQ67" s="196"/>
      <c r="AR67" s="589"/>
      <c r="AS67">
        <v>1</v>
      </c>
      <c r="AT67" s="589">
        <f t="shared" si="61"/>
        <v>1.2919896640826874E-3</v>
      </c>
      <c r="AU67" s="196">
        <v>11</v>
      </c>
      <c r="AV67" s="245">
        <f t="shared" ref="AV67:AV127" si="232">AU67/8801</f>
        <v>1.2498579706851495E-3</v>
      </c>
      <c r="AX67" s="245"/>
      <c r="AY67" s="245"/>
      <c r="AZ67" s="196">
        <v>61</v>
      </c>
      <c r="BA67" s="589">
        <f t="shared" si="62"/>
        <v>2.2351691033674105E-3</v>
      </c>
      <c r="BI67" s="196">
        <v>0</v>
      </c>
      <c r="BK67" s="246">
        <f t="shared" si="63"/>
        <v>0</v>
      </c>
      <c r="BL67" s="246"/>
      <c r="BM67" s="246">
        <f t="shared" si="64"/>
        <v>0</v>
      </c>
      <c r="BN67" s="196">
        <v>1</v>
      </c>
      <c r="BO67" s="196">
        <f t="shared" si="217"/>
        <v>26875.25844125338</v>
      </c>
      <c r="BP67" s="196">
        <f t="shared" ref="BP67:BP127" si="233">BN67*BO67</f>
        <v>26875.25844125338</v>
      </c>
      <c r="BQ67" s="248">
        <f t="shared" si="65"/>
        <v>2.5140552758734849E-3</v>
      </c>
      <c r="BR67" s="248"/>
      <c r="BS67" s="248"/>
      <c r="BT67" s="276">
        <v>1</v>
      </c>
      <c r="BU67" s="196">
        <f t="shared" ref="BU67:BU81" si="234">AD67*BT67*0.18*4*1.1</f>
        <v>49576.164647645041</v>
      </c>
      <c r="BV67" s="264">
        <f t="shared" si="66"/>
        <v>3.4386966849901165E-3</v>
      </c>
      <c r="BW67" s="196">
        <f t="shared" ref="BW67:BW81" si="235">AD67*BT67*0.77*4*1.1</f>
        <v>212075.81543714827</v>
      </c>
      <c r="BX67" s="247">
        <f t="shared" si="67"/>
        <v>3.4386967159660289E-3</v>
      </c>
      <c r="BY67" s="196">
        <f t="shared" si="83"/>
        <v>261651.98008479329</v>
      </c>
      <c r="BZ67" s="620">
        <v>0</v>
      </c>
      <c r="CA67" s="196">
        <f t="shared" si="189"/>
        <v>110082.91523118678</v>
      </c>
      <c r="CB67" s="196">
        <f t="shared" si="190"/>
        <v>220165.83046237356</v>
      </c>
      <c r="CC67" s="196">
        <f t="shared" si="12"/>
        <v>330248.74569356034</v>
      </c>
      <c r="CD67" s="247">
        <f t="shared" ref="CD67:CD127" si="236">CC67/236999601</f>
        <v>1.3934569691261224E-3</v>
      </c>
      <c r="CE67" s="196">
        <f t="shared" si="218"/>
        <v>39509.849664147114</v>
      </c>
      <c r="CF67" s="247">
        <f t="shared" ref="CF67:CF127" si="237">CE67/23157202</f>
        <v>1.7061581819836054E-3</v>
      </c>
      <c r="CG67" s="196">
        <f t="shared" si="191"/>
        <v>54681.709526602579</v>
      </c>
      <c r="CH67" s="589">
        <f t="shared" si="68"/>
        <v>1.3934569691261224E-3</v>
      </c>
      <c r="CI67" s="196">
        <f t="shared" si="219"/>
        <v>83902.435439893088</v>
      </c>
      <c r="CJ67" s="248">
        <f t="shared" si="70"/>
        <v>1.3793558256593029E-3</v>
      </c>
      <c r="CK67" s="196">
        <f t="shared" si="220"/>
        <v>66400.592936978646</v>
      </c>
      <c r="CL67" s="589">
        <f t="shared" si="71"/>
        <v>9.5452218148833236E-4</v>
      </c>
      <c r="CM67" s="196">
        <f t="shared" si="221"/>
        <v>6432.5721857582112</v>
      </c>
      <c r="CN67" s="589">
        <f t="shared" si="72"/>
        <v>9.2700675590593037E-4</v>
      </c>
      <c r="CO67" s="196">
        <f t="shared" si="222"/>
        <v>514.56732866866946</v>
      </c>
      <c r="CP67" s="589">
        <f t="shared" si="73"/>
        <v>9.7039472390964053E-4</v>
      </c>
      <c r="CQ67" s="196">
        <f>'Detailed Budget'!$AC$12</f>
        <v>292876014141.44696</v>
      </c>
      <c r="CR67" s="269">
        <f t="shared" si="143"/>
        <v>0</v>
      </c>
      <c r="CS67" s="269">
        <f>'Detailed Budget'!$AC$16</f>
        <v>10488008800.000002</v>
      </c>
      <c r="CT67" s="607">
        <f t="shared" si="193"/>
        <v>0</v>
      </c>
      <c r="CU67" s="269">
        <f>'Detailed Budget'!$AC$24</f>
        <v>30624985696</v>
      </c>
      <c r="CV67" s="269">
        <f t="shared" si="18"/>
        <v>0</v>
      </c>
      <c r="CW67" s="269"/>
      <c r="CX67" s="269">
        <f t="shared" si="19"/>
        <v>0</v>
      </c>
      <c r="CY67" s="196">
        <f>'Detailed Budget'!$AC$97</f>
        <v>74629165494.837845</v>
      </c>
      <c r="CZ67" s="269">
        <f t="shared" si="194"/>
        <v>187621847.24633253</v>
      </c>
      <c r="DA67" s="269">
        <f>'Detailed Budget'!$AC$100</f>
        <v>14925833098.967569</v>
      </c>
      <c r="DB67" s="269">
        <f t="shared" si="195"/>
        <v>37524369.449266508</v>
      </c>
      <c r="DC67" s="269">
        <f t="shared" ref="DC67:DC127" si="238">CZ67+DB67</f>
        <v>225146216.69559902</v>
      </c>
      <c r="DD67" s="207">
        <v>0</v>
      </c>
      <c r="DE67" s="606">
        <v>0</v>
      </c>
      <c r="DF67" s="269">
        <f>'Detailed Budget'!$AC$147</f>
        <v>5913600671000</v>
      </c>
      <c r="DG67" s="269">
        <f t="shared" si="23"/>
        <v>0</v>
      </c>
      <c r="DH67" s="269">
        <f>'Detailed Budget'!$AC$153</f>
        <v>226428026880.00003</v>
      </c>
      <c r="DI67" s="269"/>
      <c r="DJ67" s="269">
        <f>'Detailed Budget'!$AC$156</f>
        <v>27713070000</v>
      </c>
      <c r="DK67" s="269"/>
      <c r="DL67" s="269"/>
      <c r="DM67" s="196">
        <f>'Detailed Budget'!$AC$178</f>
        <v>5622683761.6229038</v>
      </c>
      <c r="DN67" s="269">
        <f t="shared" si="223"/>
        <v>19334704.011840437</v>
      </c>
      <c r="DO67" s="196">
        <f>'Detailed Budget'!$AC$179</f>
        <v>26827890683.128094</v>
      </c>
      <c r="DP67" s="269">
        <f t="shared" si="224"/>
        <v>92252979.588368192</v>
      </c>
      <c r="DQ67" s="269">
        <f t="shared" si="89"/>
        <v>111587683.60020863</v>
      </c>
      <c r="DR67" s="269">
        <f>'Detailed Budget'!$AC$181</f>
        <v>50888946855.375237</v>
      </c>
      <c r="DS67" s="269">
        <f t="shared" si="225"/>
        <v>139917295.98066092</v>
      </c>
      <c r="DT67" s="269">
        <f t="shared" si="226"/>
        <v>251504979.58086956</v>
      </c>
      <c r="DU67" s="272">
        <f>'Detailed Budget'!$AC$192</f>
        <v>77498869683.252869</v>
      </c>
      <c r="DV67" s="269">
        <f t="shared" si="196"/>
        <v>0</v>
      </c>
      <c r="DW67" s="140">
        <f>'Detailed Budget'!$AC$194</f>
        <v>2684962805.4134097</v>
      </c>
      <c r="DX67" s="269">
        <f t="shared" si="197"/>
        <v>0</v>
      </c>
      <c r="DY67" s="607">
        <f t="shared" ref="DY67:DY127" si="239">DV67+DX67</f>
        <v>0</v>
      </c>
      <c r="DZ67" s="196">
        <f>'Detailed Budget'!$AC$198</f>
        <v>18732540018.380611</v>
      </c>
      <c r="EA67" s="269">
        <f t="shared" si="198"/>
        <v>31960676.4216954</v>
      </c>
      <c r="EB67" s="196">
        <f>'Detailed Budget'!$AC$200</f>
        <v>4683135004.5951529</v>
      </c>
      <c r="EC67" s="269">
        <f t="shared" si="199"/>
        <v>7990169.10542385</v>
      </c>
      <c r="ED67" s="269">
        <f t="shared" ref="ED67:ED127" si="240">EA67+EC67</f>
        <v>39950845.527119249</v>
      </c>
      <c r="EE67" s="196">
        <f>'Detailed Budget'!$AC$161</f>
        <v>251147290106.36197</v>
      </c>
      <c r="EF67" s="269">
        <f t="shared" si="200"/>
        <v>349962941.67585015</v>
      </c>
      <c r="EG67" s="196">
        <f>'Detailed Budget'!$AC$163</f>
        <v>15696705631.647623</v>
      </c>
      <c r="EH67" s="269">
        <f t="shared" si="201"/>
        <v>21872683.854740635</v>
      </c>
      <c r="EI67" s="269">
        <f t="shared" ref="EI67:EI127" si="241">EF67+EH67</f>
        <v>371835625.53059077</v>
      </c>
      <c r="EJ67" s="196">
        <f>'Detailed Budget'!$AC$204</f>
        <v>45012172507.531975</v>
      </c>
      <c r="EK67" s="269">
        <f t="shared" si="202"/>
        <v>62087802.373845741</v>
      </c>
      <c r="EL67" s="201">
        <f>'Detailed Budget'!$AC$206</f>
        <v>11253043126.882994</v>
      </c>
      <c r="EM67" s="269">
        <f t="shared" si="203"/>
        <v>15521950.593461435</v>
      </c>
      <c r="EN67" s="269">
        <f t="shared" ref="EN67:EN127" si="242">EK67+EM67</f>
        <v>77609752.96730718</v>
      </c>
      <c r="EO67" s="140">
        <f>'Detailed Budget'!$AC$209</f>
        <v>135789361677.54817</v>
      </c>
      <c r="EP67" s="269">
        <f t="shared" si="204"/>
        <v>129613957.73136143</v>
      </c>
      <c r="EQ67" s="196">
        <f>'Detailed Budget'!$AC$211</f>
        <v>33947340419.387043</v>
      </c>
      <c r="ER67" s="269">
        <f t="shared" si="205"/>
        <v>32403489.432840358</v>
      </c>
      <c r="ES67" s="269">
        <f t="shared" ref="ES67:ES127" si="243">EP67+ER67</f>
        <v>162017447.1642018</v>
      </c>
      <c r="ET67" s="196">
        <f>'Detailed Budget'!$AC$214</f>
        <v>22239745544.201103</v>
      </c>
      <c r="EU67" s="269">
        <f t="shared" si="206"/>
        <v>20616394.369103234</v>
      </c>
      <c r="EV67" s="140">
        <f>'Detailed Budget'!$AC$217</f>
        <v>5559936386.0502758</v>
      </c>
      <c r="EW67" s="269">
        <f t="shared" si="207"/>
        <v>5154098.5922758086</v>
      </c>
      <c r="EX67" s="269">
        <f t="shared" ref="EX67:EX127" si="244">EU67+EW67</f>
        <v>25770492.961379044</v>
      </c>
      <c r="EY67" s="196">
        <f>'Detailed Budget'!$AC$219</f>
        <v>372777004.58170313</v>
      </c>
      <c r="EZ67" s="269">
        <f t="shared" si="208"/>
        <v>361740.83844092459</v>
      </c>
      <c r="FA67" s="196">
        <f>'Detailed Budget'!$AC$222</f>
        <v>93194251.145425782</v>
      </c>
      <c r="FB67" s="269">
        <f t="shared" si="209"/>
        <v>90435.209610231148</v>
      </c>
      <c r="FC67" s="269">
        <f t="shared" ref="FC67:FC127" si="245">EZ67+FB67</f>
        <v>452176.04805115575</v>
      </c>
      <c r="FD67" s="269"/>
      <c r="FE67" s="269">
        <f t="shared" ref="FE67:FE127" si="246">EN67+ES67+EX67+FC67</f>
        <v>265849869.14093918</v>
      </c>
      <c r="FF67" s="140">
        <f>'Detailed Budget'!$AC$165</f>
        <v>14927760000</v>
      </c>
      <c r="FG67" s="1087">
        <f t="shared" si="46"/>
        <v>362636819.13551277</v>
      </c>
      <c r="FH67" s="269">
        <f t="shared" si="210"/>
        <v>18657579.820474949</v>
      </c>
      <c r="FJ67" s="140">
        <f>'Detailed Budget'!$AC$235</f>
        <v>3623696172</v>
      </c>
      <c r="FK67" s="269">
        <f t="shared" si="211"/>
        <v>4681778</v>
      </c>
      <c r="FL67" s="269">
        <f t="shared" si="49"/>
        <v>4681778</v>
      </c>
      <c r="FO67" s="607"/>
      <c r="FP67" s="607"/>
      <c r="FQ67" s="607"/>
      <c r="FR67" s="269">
        <f>'Detailed Budget'!$AC$257</f>
        <v>13636439388</v>
      </c>
      <c r="FS67" s="269">
        <f t="shared" si="212"/>
        <v>30479748</v>
      </c>
      <c r="FT67" s="269">
        <f t="shared" si="51"/>
        <v>30479748</v>
      </c>
      <c r="FU67" s="269"/>
      <c r="FV67" s="269"/>
      <c r="FW67" s="605"/>
      <c r="FX67" s="140">
        <f>'Detailed Budget'!$AC$278</f>
        <v>1114560000</v>
      </c>
      <c r="FY67" s="269">
        <f t="shared" si="213"/>
        <v>1440000</v>
      </c>
      <c r="FZ67" s="269">
        <f t="shared" si="54"/>
        <v>1440000</v>
      </c>
      <c r="GB67" s="269">
        <f t="shared" si="74"/>
        <v>1572183461.4311054</v>
      </c>
      <c r="GC67" s="887">
        <f t="shared" ref="GC67:GC127" si="247">GB67/1600</f>
        <v>982614.6633944409</v>
      </c>
      <c r="GD67" s="1078">
        <f t="shared" si="75"/>
        <v>8.8220164685587875E-4</v>
      </c>
    </row>
    <row r="68" spans="1:186" hidden="1" outlineLevel="1">
      <c r="A68" s="211" t="s">
        <v>323</v>
      </c>
      <c r="B68" s="212" t="s">
        <v>324</v>
      </c>
      <c r="C68" s="213" t="s">
        <v>215</v>
      </c>
      <c r="D68" s="214" t="s">
        <v>215</v>
      </c>
      <c r="E68" s="213"/>
      <c r="F68" s="213"/>
      <c r="G68" s="213"/>
      <c r="H68" s="213" t="s">
        <v>215</v>
      </c>
      <c r="I68" s="214" t="s">
        <v>215</v>
      </c>
      <c r="J68" s="214"/>
      <c r="K68" s="213"/>
      <c r="L68" s="213"/>
      <c r="M68" s="214" t="s">
        <v>215</v>
      </c>
      <c r="N68" s="213"/>
      <c r="O68" s="214"/>
      <c r="P68" s="213"/>
      <c r="Q68" s="214"/>
      <c r="R68" s="214" t="s">
        <v>215</v>
      </c>
      <c r="S68" s="214"/>
      <c r="T68" s="214"/>
      <c r="U68" s="215">
        <f t="shared" si="214"/>
        <v>6</v>
      </c>
      <c r="V68" s="845" t="s">
        <v>219</v>
      </c>
      <c r="W68" s="216">
        <v>201642</v>
      </c>
      <c r="X68" s="217">
        <v>2.96</v>
      </c>
      <c r="Y68" s="218">
        <f t="shared" si="57"/>
        <v>1.0296000000000001</v>
      </c>
      <c r="Z68" s="196">
        <v>19</v>
      </c>
      <c r="AA68" s="218">
        <f t="shared" si="184"/>
        <v>1.7406126843598355</v>
      </c>
      <c r="AB68" s="196">
        <f t="shared" si="171"/>
        <v>350980.62289968593</v>
      </c>
      <c r="AC68">
        <v>17.399999999999999</v>
      </c>
      <c r="AD68" s="196">
        <f t="shared" si="172"/>
        <v>61070.628384545344</v>
      </c>
      <c r="AE68" s="196">
        <f t="shared" si="95"/>
        <v>58017.096965318073</v>
      </c>
      <c r="AF68" s="196">
        <f t="shared" si="215"/>
        <v>58017.096965318073</v>
      </c>
      <c r="AG68" s="606">
        <f t="shared" si="58"/>
        <v>2.6824558638482458E-3</v>
      </c>
      <c r="AH68" s="196">
        <f t="shared" si="227"/>
        <v>17549.031144984296</v>
      </c>
      <c r="AI68" s="248">
        <f t="shared" si="216"/>
        <v>1.3594968534225999E-3</v>
      </c>
      <c r="AJ68" s="196">
        <f t="shared" si="228"/>
        <v>78619.659529529643</v>
      </c>
      <c r="AK68" s="196">
        <f t="shared" si="99"/>
        <v>14039.224915987437</v>
      </c>
      <c r="AL68" s="196">
        <f t="shared" si="100"/>
        <v>14039.224915987437</v>
      </c>
      <c r="AM68" s="196">
        <f t="shared" si="229"/>
        <v>28078.449831974875</v>
      </c>
      <c r="AN68" s="627">
        <f t="shared" si="230"/>
        <v>1.3594968534225999E-3</v>
      </c>
      <c r="AO68" s="196">
        <f t="shared" si="231"/>
        <v>13337.263670188066</v>
      </c>
      <c r="AP68" s="589">
        <f t="shared" si="60"/>
        <v>1.3594968534225999E-3</v>
      </c>
      <c r="AQ68" s="196"/>
      <c r="AR68" s="589"/>
      <c r="AS68">
        <v>1</v>
      </c>
      <c r="AT68" s="589">
        <f t="shared" si="61"/>
        <v>1.2919896640826874E-3</v>
      </c>
      <c r="AU68" s="196">
        <v>10</v>
      </c>
      <c r="AV68" s="245">
        <f t="shared" si="232"/>
        <v>1.1362345188046814E-3</v>
      </c>
      <c r="AX68" s="245"/>
      <c r="AY68" s="245"/>
      <c r="AZ68" s="196">
        <v>61</v>
      </c>
      <c r="BA68" s="589">
        <f t="shared" si="62"/>
        <v>2.2351691033674105E-3</v>
      </c>
      <c r="BI68" s="196">
        <v>0</v>
      </c>
      <c r="BK68" s="246">
        <f t="shared" si="63"/>
        <v>0</v>
      </c>
      <c r="BL68" s="246"/>
      <c r="BM68" s="246">
        <f t="shared" si="64"/>
        <v>0</v>
      </c>
      <c r="BN68" s="196">
        <v>1</v>
      </c>
      <c r="BO68" s="196">
        <f t="shared" si="217"/>
        <v>26220.278125069381</v>
      </c>
      <c r="BP68" s="196">
        <f t="shared" si="233"/>
        <v>26220.278125069381</v>
      </c>
      <c r="BQ68" s="248">
        <f t="shared" si="65"/>
        <v>2.4527849173727437E-3</v>
      </c>
      <c r="BR68" s="248"/>
      <c r="BS68" s="248"/>
      <c r="BT68" s="276">
        <v>1</v>
      </c>
      <c r="BU68" s="196">
        <f t="shared" si="234"/>
        <v>48367.937680559909</v>
      </c>
      <c r="BV68" s="264">
        <f t="shared" si="66"/>
        <v>3.3548917739817646E-3</v>
      </c>
      <c r="BW68" s="196">
        <f t="shared" si="235"/>
        <v>206907.28896683964</v>
      </c>
      <c r="BX68" s="247">
        <f t="shared" si="67"/>
        <v>3.3548918042027587E-3</v>
      </c>
      <c r="BY68" s="196">
        <f t="shared" si="83"/>
        <v>255275.22664739954</v>
      </c>
      <c r="BZ68" s="620">
        <v>0</v>
      </c>
      <c r="CA68" s="196">
        <f t="shared" si="189"/>
        <v>107400.07060730389</v>
      </c>
      <c r="CB68" s="196">
        <f t="shared" si="190"/>
        <v>214800.14121460778</v>
      </c>
      <c r="CC68" s="196">
        <f t="shared" ref="CC68:CC128" si="248">CA68+CB68</f>
        <v>322200.21182191168</v>
      </c>
      <c r="CD68" s="247">
        <f t="shared" si="236"/>
        <v>1.3594968534225999E-3</v>
      </c>
      <c r="CE68" s="196">
        <f t="shared" si="218"/>
        <v>38546.950130288766</v>
      </c>
      <c r="CF68" s="247">
        <f t="shared" si="237"/>
        <v>1.6645771855463697E-3</v>
      </c>
      <c r="CG68" s="196">
        <f t="shared" si="191"/>
        <v>53349.054680752262</v>
      </c>
      <c r="CH68" s="589">
        <f t="shared" si="68"/>
        <v>1.3594968534225999E-3</v>
      </c>
      <c r="CI68" s="196">
        <f t="shared" si="219"/>
        <v>81857.638594007731</v>
      </c>
      <c r="CJ68" s="248">
        <f t="shared" si="70"/>
        <v>1.3457393707033282E-3</v>
      </c>
      <c r="CK68" s="196">
        <f t="shared" si="220"/>
        <v>64782.335704151119</v>
      </c>
      <c r="CL68" s="589">
        <f t="shared" si="71"/>
        <v>9.31259400905125E-4</v>
      </c>
      <c r="CM68" s="196">
        <f t="shared" si="221"/>
        <v>6275.8031569760706</v>
      </c>
      <c r="CN68" s="589">
        <f t="shared" si="72"/>
        <v>9.0441455723311813E-4</v>
      </c>
      <c r="CO68" s="196">
        <f t="shared" si="222"/>
        <v>502.02674334309648</v>
      </c>
      <c r="CP68" s="589">
        <f t="shared" si="73"/>
        <v>9.4674511159134568E-4</v>
      </c>
      <c r="CQ68" s="196">
        <f>'Detailed Budget'!$AC$12</f>
        <v>292876014141.44696</v>
      </c>
      <c r="CR68" s="269">
        <f t="shared" si="143"/>
        <v>0</v>
      </c>
      <c r="CS68" s="269">
        <f>'Detailed Budget'!$AC$16</f>
        <v>10488008800.000002</v>
      </c>
      <c r="CT68" s="607">
        <f t="shared" si="193"/>
        <v>0</v>
      </c>
      <c r="CU68" s="269">
        <f>'Detailed Budget'!$AC$24</f>
        <v>30624985696</v>
      </c>
      <c r="CV68" s="269">
        <f t="shared" si="18"/>
        <v>0</v>
      </c>
      <c r="CW68" s="269"/>
      <c r="CX68" s="269">
        <f t="shared" ref="CX68:CX128" si="249">CR68+CT68+CV68+CW68</f>
        <v>0</v>
      </c>
      <c r="CY68" s="196">
        <f>'Detailed Budget'!$AC$97</f>
        <v>74629165494.837845</v>
      </c>
      <c r="CZ68" s="269">
        <f t="shared" si="194"/>
        <v>183049291.52185267</v>
      </c>
      <c r="DA68" s="269">
        <f>'Detailed Budget'!$AC$100</f>
        <v>14925833098.967569</v>
      </c>
      <c r="DB68" s="269">
        <f t="shared" si="195"/>
        <v>36609858.30437053</v>
      </c>
      <c r="DC68" s="269">
        <f t="shared" si="238"/>
        <v>219659149.82622319</v>
      </c>
      <c r="DD68" s="207">
        <v>0</v>
      </c>
      <c r="DE68" s="606">
        <v>0</v>
      </c>
      <c r="DF68" s="269">
        <f>'Detailed Budget'!$AC$147</f>
        <v>5913600671000</v>
      </c>
      <c r="DG68" s="269">
        <f t="shared" si="23"/>
        <v>0</v>
      </c>
      <c r="DH68" s="269">
        <f>'Detailed Budget'!$AC$153</f>
        <v>226428026880.00003</v>
      </c>
      <c r="DI68" s="269"/>
      <c r="DJ68" s="269">
        <f>'Detailed Budget'!$AC$156</f>
        <v>27713070000</v>
      </c>
      <c r="DK68" s="269"/>
      <c r="DL68" s="269"/>
      <c r="DM68" s="196">
        <f>'Detailed Budget'!$AC$178</f>
        <v>5622683761.6229038</v>
      </c>
      <c r="DN68" s="269">
        <f t="shared" si="223"/>
        <v>18863495.499569524</v>
      </c>
      <c r="DO68" s="196">
        <f>'Detailed Budget'!$AC$179</f>
        <v>26827890683.128094</v>
      </c>
      <c r="DP68" s="269">
        <f t="shared" si="224"/>
        <v>90004670.576873988</v>
      </c>
      <c r="DQ68" s="269">
        <f t="shared" si="89"/>
        <v>108868166.07644351</v>
      </c>
      <c r="DR68" s="269">
        <f>'Detailed Budget'!$AC$181</f>
        <v>50888946855.375237</v>
      </c>
      <c r="DS68" s="269">
        <f t="shared" si="225"/>
        <v>136507353.89726305</v>
      </c>
      <c r="DT68" s="269">
        <f t="shared" si="226"/>
        <v>245375519.97370654</v>
      </c>
      <c r="DU68" s="272">
        <f>'Detailed Budget'!$AC$192</f>
        <v>77498869683.252869</v>
      </c>
      <c r="DV68" s="269">
        <f t="shared" si="196"/>
        <v>0</v>
      </c>
      <c r="DW68" s="140">
        <f>'Detailed Budget'!$AC$194</f>
        <v>2684962805.4134097</v>
      </c>
      <c r="DX68" s="269">
        <f t="shared" si="197"/>
        <v>0</v>
      </c>
      <c r="DY68" s="607">
        <f t="shared" si="239"/>
        <v>0</v>
      </c>
      <c r="DZ68" s="196">
        <f>'Detailed Budget'!$AC$198</f>
        <v>18732540018.380611</v>
      </c>
      <c r="EA68" s="269">
        <f t="shared" si="198"/>
        <v>31181758.741930738</v>
      </c>
      <c r="EB68" s="196">
        <f>'Detailed Budget'!$AC$200</f>
        <v>4683135004.5951529</v>
      </c>
      <c r="EC68" s="269">
        <f t="shared" si="199"/>
        <v>7795439.6854826845</v>
      </c>
      <c r="ED68" s="269">
        <f t="shared" si="240"/>
        <v>38977198.427413419</v>
      </c>
      <c r="EE68" s="196">
        <f>'Detailed Budget'!$AC$161</f>
        <v>251147290106.36197</v>
      </c>
      <c r="EF68" s="269">
        <f t="shared" si="200"/>
        <v>341433950.64521194</v>
      </c>
      <c r="EG68" s="196">
        <f>'Detailed Budget'!$AC$163</f>
        <v>15696705631.647623</v>
      </c>
      <c r="EH68" s="269">
        <f t="shared" si="201"/>
        <v>21339621.915325746</v>
      </c>
      <c r="EI68" s="269">
        <f t="shared" si="241"/>
        <v>362773572.5605377</v>
      </c>
      <c r="EJ68" s="196">
        <f>'Detailed Budget'!$AC$204</f>
        <v>45012172507.531975</v>
      </c>
      <c r="EK68" s="269">
        <f t="shared" si="202"/>
        <v>60574652.704275727</v>
      </c>
      <c r="EL68" s="201">
        <f>'Detailed Budget'!$AC$206</f>
        <v>11253043126.882994</v>
      </c>
      <c r="EM68" s="269">
        <f t="shared" si="203"/>
        <v>15143663.176068932</v>
      </c>
      <c r="EN68" s="269">
        <f t="shared" si="242"/>
        <v>75718315.880344659</v>
      </c>
      <c r="EO68" s="140">
        <f>'Detailed Budget'!$AC$209</f>
        <v>135789361677.54817</v>
      </c>
      <c r="EP68" s="269">
        <f t="shared" si="204"/>
        <v>126455119.60512285</v>
      </c>
      <c r="EQ68" s="196">
        <f>'Detailed Budget'!$AC$211</f>
        <v>33947340419.387043</v>
      </c>
      <c r="ER68" s="269">
        <f t="shared" si="205"/>
        <v>31613779.901280712</v>
      </c>
      <c r="ES68" s="269">
        <f t="shared" si="243"/>
        <v>158068899.50640357</v>
      </c>
      <c r="ET68" s="196">
        <f>'Detailed Budget'!$AC$214</f>
        <v>22239745544.201103</v>
      </c>
      <c r="EU68" s="269">
        <f t="shared" si="206"/>
        <v>20113949.619335853</v>
      </c>
      <c r="EV68" s="140">
        <f>'Detailed Budget'!$AC$217</f>
        <v>5559936386.0502758</v>
      </c>
      <c r="EW68" s="269">
        <f t="shared" si="207"/>
        <v>5028487.4048339631</v>
      </c>
      <c r="EX68" s="269">
        <f t="shared" si="244"/>
        <v>25142437.024169818</v>
      </c>
      <c r="EY68" s="196">
        <f>'Detailed Budget'!$AC$219</f>
        <v>372777004.58170313</v>
      </c>
      <c r="EZ68" s="269">
        <f t="shared" si="208"/>
        <v>352924.80680139211</v>
      </c>
      <c r="FA68" s="196">
        <f>'Detailed Budget'!$AC$222</f>
        <v>93194251.145425782</v>
      </c>
      <c r="FB68" s="269">
        <f t="shared" si="209"/>
        <v>88231.201700348029</v>
      </c>
      <c r="FC68" s="269">
        <f t="shared" si="245"/>
        <v>441156.00850174017</v>
      </c>
      <c r="FD68" s="269"/>
      <c r="FE68" s="269">
        <f t="shared" si="246"/>
        <v>259370808.4194198</v>
      </c>
      <c r="FF68" s="140">
        <f>'Detailed Budget'!$AC$165</f>
        <v>14927760000</v>
      </c>
      <c r="FG68" s="1087">
        <f t="shared" si="46"/>
        <v>353798951.43736464</v>
      </c>
      <c r="FH68" s="269">
        <f t="shared" si="210"/>
        <v>16961436.200431772</v>
      </c>
      <c r="FJ68" s="140">
        <f>'Detailed Budget'!$AC$235</f>
        <v>3623696172</v>
      </c>
      <c r="FK68" s="269">
        <f t="shared" si="211"/>
        <v>4681778</v>
      </c>
      <c r="FL68" s="269">
        <f t="shared" si="49"/>
        <v>4681778</v>
      </c>
      <c r="FO68" s="607"/>
      <c r="FP68" s="607"/>
      <c r="FQ68" s="607"/>
      <c r="FR68" s="269">
        <f>'Detailed Budget'!$AC$257</f>
        <v>13636439388</v>
      </c>
      <c r="FS68" s="269">
        <f t="shared" si="212"/>
        <v>30479748</v>
      </c>
      <c r="FT68" s="269">
        <f t="shared" si="51"/>
        <v>30479748</v>
      </c>
      <c r="FU68" s="269"/>
      <c r="FV68" s="269"/>
      <c r="FW68" s="605"/>
      <c r="FX68" s="140">
        <f>'Detailed Budget'!$AC$278</f>
        <v>1114560000</v>
      </c>
      <c r="FY68" s="269">
        <f t="shared" si="213"/>
        <v>1440000</v>
      </c>
      <c r="FZ68" s="269">
        <f t="shared" si="54"/>
        <v>1440000</v>
      </c>
      <c r="GB68" s="269">
        <f t="shared" si="74"/>
        <v>1533518162.8450971</v>
      </c>
      <c r="GC68" s="887">
        <f t="shared" si="247"/>
        <v>958448.85177818569</v>
      </c>
      <c r="GD68" s="1078">
        <f t="shared" si="75"/>
        <v>8.6050533028370145E-4</v>
      </c>
    </row>
    <row r="69" spans="1:186" hidden="1" outlineLevel="1">
      <c r="A69" s="211" t="s">
        <v>325</v>
      </c>
      <c r="B69" s="212" t="s">
        <v>326</v>
      </c>
      <c r="C69" s="213" t="s">
        <v>215</v>
      </c>
      <c r="D69" s="214"/>
      <c r="E69" s="213"/>
      <c r="F69" s="213"/>
      <c r="G69" s="213" t="s">
        <v>215</v>
      </c>
      <c r="H69" s="213" t="s">
        <v>215</v>
      </c>
      <c r="I69" s="214" t="s">
        <v>215</v>
      </c>
      <c r="J69" s="214"/>
      <c r="K69" s="213"/>
      <c r="L69" s="213"/>
      <c r="M69" s="214"/>
      <c r="N69" s="213" t="s">
        <v>215</v>
      </c>
      <c r="O69" s="214"/>
      <c r="P69" s="213"/>
      <c r="Q69" s="214"/>
      <c r="R69" s="214" t="s">
        <v>215</v>
      </c>
      <c r="S69" s="214"/>
      <c r="T69" s="214"/>
      <c r="U69" s="215">
        <f t="shared" si="214"/>
        <v>6</v>
      </c>
      <c r="V69" s="845" t="s">
        <v>216</v>
      </c>
      <c r="W69" s="216">
        <v>54399</v>
      </c>
      <c r="X69" s="217">
        <v>2.96</v>
      </c>
      <c r="Y69" s="218">
        <f t="shared" si="57"/>
        <v>1.0296000000000001</v>
      </c>
      <c r="Z69" s="196">
        <v>19</v>
      </c>
      <c r="AA69" s="218">
        <f t="shared" si="184"/>
        <v>1.7406126843598355</v>
      </c>
      <c r="AB69" s="196">
        <f t="shared" si="171"/>
        <v>94687.589416490693</v>
      </c>
      <c r="AC69">
        <v>17.399999999999999</v>
      </c>
      <c r="AD69" s="196">
        <f t="shared" si="172"/>
        <v>16475.640558469378</v>
      </c>
      <c r="AE69" s="196">
        <f t="shared" si="95"/>
        <v>15651.858530545909</v>
      </c>
      <c r="AF69" s="196">
        <f t="shared" si="215"/>
        <v>0</v>
      </c>
      <c r="AG69" s="606">
        <f t="shared" ref="AG69:AG129" si="250">AE69/21628351</f>
        <v>7.2367322550599949E-4</v>
      </c>
      <c r="AH69" s="196">
        <f t="shared" si="227"/>
        <v>4734.379470824535</v>
      </c>
      <c r="AI69" s="248">
        <f t="shared" si="216"/>
        <v>3.6676520431921933E-4</v>
      </c>
      <c r="AJ69" s="196">
        <f t="shared" si="228"/>
        <v>21210.020029293912</v>
      </c>
      <c r="AK69" s="196">
        <f t="shared" si="99"/>
        <v>3787.5035766596279</v>
      </c>
      <c r="AL69" s="196">
        <f t="shared" si="100"/>
        <v>3787.5035766596279</v>
      </c>
      <c r="AM69" s="196">
        <f t="shared" si="229"/>
        <v>7575.0071533192558</v>
      </c>
      <c r="AN69" s="627">
        <f t="shared" si="230"/>
        <v>3.6676520431921933E-4</v>
      </c>
      <c r="AO69" s="196">
        <f t="shared" si="231"/>
        <v>3598.1283978266461</v>
      </c>
      <c r="AP69" s="589">
        <f t="shared" ref="AP69:AP129" si="251">AO69/9810441</f>
        <v>3.6676520431921927E-4</v>
      </c>
      <c r="AQ69" s="196"/>
      <c r="AR69" s="589"/>
      <c r="AS69">
        <v>1</v>
      </c>
      <c r="AT69" s="589">
        <f t="shared" ref="AT69:AT129" si="252">AS69/774</f>
        <v>1.2919896640826874E-3</v>
      </c>
      <c r="AU69" s="196">
        <v>10</v>
      </c>
      <c r="AV69" s="245">
        <f t="shared" si="232"/>
        <v>1.1362345188046814E-3</v>
      </c>
      <c r="AX69" s="245"/>
      <c r="AY69" s="245"/>
      <c r="AZ69" s="196">
        <v>16</v>
      </c>
      <c r="BA69" s="589">
        <f t="shared" si="62"/>
        <v>5.8627386317833719E-4</v>
      </c>
      <c r="BI69" s="196">
        <v>0</v>
      </c>
      <c r="BK69" s="246">
        <f t="shared" si="63"/>
        <v>0</v>
      </c>
      <c r="BL69" s="246"/>
      <c r="BM69" s="246">
        <f t="shared" si="64"/>
        <v>0</v>
      </c>
      <c r="BN69" s="196">
        <v>1</v>
      </c>
      <c r="BO69" s="196">
        <f t="shared" si="217"/>
        <v>7073.7093944994049</v>
      </c>
      <c r="BP69" s="196">
        <f t="shared" si="233"/>
        <v>7073.7093944994049</v>
      </c>
      <c r="BQ69" s="248">
        <f t="shared" si="65"/>
        <v>6.6171257337340362E-4</v>
      </c>
      <c r="BR69" s="248"/>
      <c r="BS69" s="248"/>
      <c r="BT69" s="276">
        <v>0</v>
      </c>
      <c r="BU69" s="196">
        <f t="shared" si="234"/>
        <v>0</v>
      </c>
      <c r="BV69" s="264">
        <f t="shared" si="66"/>
        <v>0</v>
      </c>
      <c r="BW69" s="196">
        <f t="shared" si="235"/>
        <v>0</v>
      </c>
      <c r="BX69" s="247">
        <f t="shared" si="67"/>
        <v>0</v>
      </c>
      <c r="BY69" s="196">
        <f t="shared" si="83"/>
        <v>0</v>
      </c>
      <c r="BZ69" s="620">
        <v>1</v>
      </c>
      <c r="CA69" s="196">
        <f t="shared" si="189"/>
        <v>28974.402361446155</v>
      </c>
      <c r="CB69" s="196">
        <f t="shared" si="190"/>
        <v>57948.80472289231</v>
      </c>
      <c r="CC69" s="196">
        <f t="shared" si="248"/>
        <v>86923.207084338472</v>
      </c>
      <c r="CD69" s="247">
        <f t="shared" si="236"/>
        <v>3.6676520431921938E-4</v>
      </c>
      <c r="CE69" s="196">
        <f t="shared" si="218"/>
        <v>10399.200266499929</v>
      </c>
      <c r="CF69" s="247">
        <f t="shared" si="237"/>
        <v>4.4906980845526716E-4</v>
      </c>
      <c r="CG69" s="196">
        <f t="shared" si="191"/>
        <v>14392.513591306584</v>
      </c>
      <c r="CH69" s="589">
        <f t="shared" ref="CH69:CH129" si="253">CG69/39241764</f>
        <v>3.6676520431921927E-4</v>
      </c>
      <c r="CI69" s="196">
        <f t="shared" si="219"/>
        <v>22083.562362381977</v>
      </c>
      <c r="CJ69" s="248">
        <f t="shared" ref="CJ69:CJ129" si="254">CI69/60827260</f>
        <v>3.6305370918206703E-4</v>
      </c>
      <c r="CK69" s="196">
        <f t="shared" si="220"/>
        <v>17476.985350126051</v>
      </c>
      <c r="CL69" s="589">
        <f t="shared" ref="CL69:CL129" si="255">CK69/69564222</f>
        <v>2.5123525927057809E-4</v>
      </c>
      <c r="CM69" s="196">
        <f t="shared" si="221"/>
        <v>1693.0868367519727</v>
      </c>
      <c r="CN69" s="589">
        <f t="shared" ref="CN69:CN129" si="256">CM69/6939078</f>
        <v>2.4399305451703709E-4</v>
      </c>
      <c r="CO69" s="196">
        <f t="shared" si="222"/>
        <v>135.43682770018702</v>
      </c>
      <c r="CP69" s="589">
        <f t="shared" ref="CP69:CP129" si="257">CO69/530266</f>
        <v>2.5541299593069707E-4</v>
      </c>
      <c r="CQ69" s="196">
        <f>'Detailed Budget'!$AC$12</f>
        <v>292876014141.44696</v>
      </c>
      <c r="CR69" s="269">
        <f t="shared" si="143"/>
        <v>0</v>
      </c>
      <c r="CS69" s="269">
        <f>'Detailed Budget'!$AC$16</f>
        <v>10488008800.000002</v>
      </c>
      <c r="CT69" s="607">
        <f t="shared" si="193"/>
        <v>0</v>
      </c>
      <c r="CU69" s="269">
        <f>'Detailed Budget'!$AC$24</f>
        <v>30624985696</v>
      </c>
      <c r="CV69" s="269">
        <f t="shared" si="18"/>
        <v>0</v>
      </c>
      <c r="CW69" s="269"/>
      <c r="CX69" s="269">
        <f t="shared" si="249"/>
        <v>0</v>
      </c>
      <c r="CY69" s="196">
        <f>'Detailed Budget'!$AC$97</f>
        <v>74629165494.837845</v>
      </c>
      <c r="CZ69" s="269">
        <f t="shared" si="194"/>
        <v>49383057.14829877</v>
      </c>
      <c r="DA69" s="269">
        <f>'Detailed Budget'!$AC$100</f>
        <v>14925833098.967569</v>
      </c>
      <c r="DB69" s="269">
        <f t="shared" si="195"/>
        <v>9876611.429659754</v>
      </c>
      <c r="DC69" s="269">
        <f t="shared" si="238"/>
        <v>59259668.577958524</v>
      </c>
      <c r="DD69" s="207">
        <v>0</v>
      </c>
      <c r="DE69" s="606">
        <v>0</v>
      </c>
      <c r="DF69" s="269">
        <f>'Detailed Budget'!$AC$147</f>
        <v>5913600671000</v>
      </c>
      <c r="DG69" s="269">
        <f t="shared" si="23"/>
        <v>0</v>
      </c>
      <c r="DH69" s="269">
        <f>'Detailed Budget'!$AC$153</f>
        <v>226428026880.00003</v>
      </c>
      <c r="DI69" s="269"/>
      <c r="DJ69" s="269">
        <f>'Detailed Budget'!$AC$156</f>
        <v>27713070000</v>
      </c>
      <c r="DK69" s="269"/>
      <c r="DL69" s="269"/>
      <c r="DM69" s="196">
        <f>'Detailed Budget'!$AC$178</f>
        <v>5622683761.6229038</v>
      </c>
      <c r="DN69" s="269">
        <f t="shared" si="223"/>
        <v>0</v>
      </c>
      <c r="DO69" s="196">
        <f>'Detailed Budget'!$AC$179</f>
        <v>26827890683.128094</v>
      </c>
      <c r="DP69" s="269">
        <f t="shared" si="224"/>
        <v>0</v>
      </c>
      <c r="DQ69" s="269">
        <f t="shared" si="89"/>
        <v>0</v>
      </c>
      <c r="DR69" s="269">
        <f>'Detailed Budget'!$AC$181</f>
        <v>50888946855.375237</v>
      </c>
      <c r="DS69" s="269">
        <f t="shared" si="225"/>
        <v>0</v>
      </c>
      <c r="DT69" s="269">
        <f t="shared" si="226"/>
        <v>0</v>
      </c>
      <c r="DU69" s="272">
        <f>'Detailed Budget'!$AC$192</f>
        <v>77498869683.252869</v>
      </c>
      <c r="DV69" s="269">
        <f t="shared" si="196"/>
        <v>28423888.773886796</v>
      </c>
      <c r="DW69" s="140">
        <f>'Detailed Budget'!$AC$194</f>
        <v>2684962805.4134097</v>
      </c>
      <c r="DX69" s="269">
        <f t="shared" si="197"/>
        <v>984750.93191695353</v>
      </c>
      <c r="DY69" s="607">
        <f t="shared" si="239"/>
        <v>29408639.705803748</v>
      </c>
      <c r="DZ69" s="196">
        <f>'Detailed Budget'!$AC$198</f>
        <v>18732540018.380611</v>
      </c>
      <c r="EA69" s="269">
        <f t="shared" si="198"/>
        <v>8412218.1579348072</v>
      </c>
      <c r="EB69" s="196">
        <f>'Detailed Budget'!$AC$200</f>
        <v>4683135004.5951529</v>
      </c>
      <c r="EC69" s="269">
        <f t="shared" si="199"/>
        <v>2103054.5394837018</v>
      </c>
      <c r="ED69" s="269">
        <f t="shared" si="240"/>
        <v>10515272.697418509</v>
      </c>
      <c r="EE69" s="196">
        <f>'Detailed Budget'!$AC$161</f>
        <v>251147290106.36197</v>
      </c>
      <c r="EF69" s="269">
        <f t="shared" si="200"/>
        <v>92112087.170078084</v>
      </c>
      <c r="EG69" s="196">
        <f>'Detailed Budget'!$AC$163</f>
        <v>15696705631.647623</v>
      </c>
      <c r="EH69" s="269">
        <f t="shared" si="201"/>
        <v>5757005.4481298802</v>
      </c>
      <c r="EI69" s="269">
        <f t="shared" si="241"/>
        <v>97869092.618207961</v>
      </c>
      <c r="EJ69" s="196">
        <f>'Detailed Budget'!$AC$204</f>
        <v>45012172507.531975</v>
      </c>
      <c r="EK69" s="269">
        <f t="shared" si="202"/>
        <v>16341836.187202547</v>
      </c>
      <c r="EL69" s="201">
        <f>'Detailed Budget'!$AC$206</f>
        <v>11253043126.882994</v>
      </c>
      <c r="EM69" s="269">
        <f t="shared" si="203"/>
        <v>4085459.0468006367</v>
      </c>
      <c r="EN69" s="269">
        <f t="shared" si="242"/>
        <v>20427295.234003183</v>
      </c>
      <c r="EO69" s="140">
        <f>'Detailed Budget'!$AC$209</f>
        <v>135789361677.54817</v>
      </c>
      <c r="EP69" s="269">
        <f t="shared" si="204"/>
        <v>34115075.487245113</v>
      </c>
      <c r="EQ69" s="196">
        <f>'Detailed Budget'!$AC$211</f>
        <v>33947340419.387043</v>
      </c>
      <c r="ER69" s="269">
        <f t="shared" si="205"/>
        <v>8528768.8718112782</v>
      </c>
      <c r="ES69" s="269">
        <f t="shared" si="243"/>
        <v>42643844.359056391</v>
      </c>
      <c r="ET69" s="196">
        <f>'Detailed Budget'!$AC$214</f>
        <v>22239745544.201103</v>
      </c>
      <c r="EU69" s="269">
        <f t="shared" si="206"/>
        <v>5426343.4470112929</v>
      </c>
      <c r="EV69" s="140">
        <f>'Detailed Budget'!$AC$217</f>
        <v>5559936386.0502758</v>
      </c>
      <c r="EW69" s="269">
        <f t="shared" si="207"/>
        <v>1356585.8617528232</v>
      </c>
      <c r="EX69" s="269">
        <f t="shared" si="244"/>
        <v>6782929.3087641159</v>
      </c>
      <c r="EY69" s="196">
        <f>'Detailed Budget'!$AC$219</f>
        <v>372777004.58170313</v>
      </c>
      <c r="EZ69" s="269">
        <f t="shared" si="208"/>
        <v>95212.091554283979</v>
      </c>
      <c r="FA69" s="196">
        <f>'Detailed Budget'!$AC$222</f>
        <v>93194251.145425782</v>
      </c>
      <c r="FB69" s="269">
        <f t="shared" si="209"/>
        <v>23803.022888570995</v>
      </c>
      <c r="FC69" s="269">
        <f t="shared" si="245"/>
        <v>119015.11444285497</v>
      </c>
      <c r="FD69" s="269"/>
      <c r="FE69" s="269">
        <f t="shared" si="246"/>
        <v>69973084.01626654</v>
      </c>
      <c r="FF69" s="140">
        <f>'Detailed Budget'!$AC$165</f>
        <v>14927760000</v>
      </c>
      <c r="FG69" s="1087">
        <f t="shared" si="46"/>
        <v>95447918.386254817</v>
      </c>
      <c r="FH69" s="269">
        <f t="shared" si="210"/>
        <v>16961436.200431772</v>
      </c>
      <c r="FJ69" s="140">
        <f>'Detailed Budget'!$AC$235</f>
        <v>3623696172</v>
      </c>
      <c r="FK69" s="269">
        <f t="shared" si="211"/>
        <v>4681778</v>
      </c>
      <c r="FL69" s="269">
        <f t="shared" si="49"/>
        <v>4681778</v>
      </c>
      <c r="FO69" s="607"/>
      <c r="FP69" s="607"/>
      <c r="FQ69" s="607"/>
      <c r="FR69" s="269">
        <f>'Detailed Budget'!$AC$257</f>
        <v>13636439388</v>
      </c>
      <c r="FS69" s="269">
        <f t="shared" si="212"/>
        <v>7994688</v>
      </c>
      <c r="FT69" s="269">
        <f t="shared" si="51"/>
        <v>7994688</v>
      </c>
      <c r="FU69" s="269"/>
      <c r="FV69" s="269"/>
      <c r="FW69" s="605"/>
      <c r="FX69" s="140">
        <f>'Detailed Budget'!$AC$278</f>
        <v>1114560000</v>
      </c>
      <c r="FY69" s="269">
        <f t="shared" si="213"/>
        <v>1440000</v>
      </c>
      <c r="FZ69" s="269">
        <f t="shared" si="54"/>
        <v>1440000</v>
      </c>
      <c r="GB69" s="269">
        <f t="shared" si="74"/>
        <v>393551578.20234185</v>
      </c>
      <c r="GC69" s="887">
        <f t="shared" si="247"/>
        <v>245969.73637646367</v>
      </c>
      <c r="GD69" s="1078">
        <f t="shared" si="75"/>
        <v>2.2083418311549921E-4</v>
      </c>
    </row>
    <row r="70" spans="1:186" hidden="1" outlineLevel="1">
      <c r="A70" s="211" t="s">
        <v>327</v>
      </c>
      <c r="B70" s="212" t="s">
        <v>328</v>
      </c>
      <c r="C70" s="213" t="s">
        <v>215</v>
      </c>
      <c r="D70" s="214" t="s">
        <v>215</v>
      </c>
      <c r="E70" s="213"/>
      <c r="F70" s="213"/>
      <c r="G70" s="213"/>
      <c r="H70" s="213" t="s">
        <v>215</v>
      </c>
      <c r="I70" s="214" t="s">
        <v>215</v>
      </c>
      <c r="J70" s="214"/>
      <c r="K70" s="213"/>
      <c r="L70" s="213"/>
      <c r="M70" s="214" t="s">
        <v>215</v>
      </c>
      <c r="N70" s="213"/>
      <c r="O70" s="214"/>
      <c r="P70" s="213"/>
      <c r="Q70" s="214"/>
      <c r="R70" s="214" t="s">
        <v>215</v>
      </c>
      <c r="S70" s="214"/>
      <c r="T70" s="214"/>
      <c r="U70" s="215">
        <f t="shared" si="214"/>
        <v>6</v>
      </c>
      <c r="V70" s="845" t="s">
        <v>219</v>
      </c>
      <c r="W70" s="216">
        <v>204975</v>
      </c>
      <c r="X70" s="217">
        <v>2.96</v>
      </c>
      <c r="Y70" s="218">
        <f t="shared" si="57"/>
        <v>1.0296000000000001</v>
      </c>
      <c r="Z70" s="196">
        <v>19</v>
      </c>
      <c r="AA70" s="218">
        <f t="shared" si="184"/>
        <v>1.7406126843598355</v>
      </c>
      <c r="AB70" s="196">
        <f t="shared" si="171"/>
        <v>356782.08497665729</v>
      </c>
      <c r="AC70">
        <v>17.399999999999999</v>
      </c>
      <c r="AD70" s="196">
        <f t="shared" si="172"/>
        <v>62080.082785938364</v>
      </c>
      <c r="AE70" s="196">
        <f t="shared" si="95"/>
        <v>58976.078646641443</v>
      </c>
      <c r="AF70" s="196">
        <f t="shared" si="215"/>
        <v>58976.078646641443</v>
      </c>
      <c r="AG70" s="606">
        <f t="shared" si="250"/>
        <v>2.7267949667841734E-3</v>
      </c>
      <c r="AH70" s="196">
        <f t="shared" si="227"/>
        <v>17839.104248832864</v>
      </c>
      <c r="AI70" s="248">
        <f t="shared" si="216"/>
        <v>1.3819683772740672E-3</v>
      </c>
      <c r="AJ70" s="196">
        <f t="shared" si="228"/>
        <v>79919.187034771225</v>
      </c>
      <c r="AK70" s="196">
        <f t="shared" si="99"/>
        <v>14271.283399066291</v>
      </c>
      <c r="AL70" s="196">
        <f t="shared" si="100"/>
        <v>14271.283399066291</v>
      </c>
      <c r="AM70" s="196">
        <f t="shared" si="229"/>
        <v>28542.566798132582</v>
      </c>
      <c r="AN70" s="627">
        <f t="shared" si="230"/>
        <v>1.3819683772740672E-3</v>
      </c>
      <c r="AO70" s="196">
        <f t="shared" si="231"/>
        <v>13557.719229112978</v>
      </c>
      <c r="AP70" s="589">
        <f t="shared" si="251"/>
        <v>1.3819683772740674E-3</v>
      </c>
      <c r="AQ70" s="196"/>
      <c r="AR70" s="589"/>
      <c r="AS70">
        <v>1</v>
      </c>
      <c r="AT70" s="589">
        <f t="shared" si="252"/>
        <v>1.2919896640826874E-3</v>
      </c>
      <c r="AU70" s="196">
        <v>15</v>
      </c>
      <c r="AV70" s="245">
        <f t="shared" si="232"/>
        <v>1.7043517782070218E-3</v>
      </c>
      <c r="AX70" s="245"/>
      <c r="AY70" s="245"/>
      <c r="AZ70" s="196">
        <v>92</v>
      </c>
      <c r="BA70" s="589">
        <f t="shared" si="62"/>
        <v>3.3710747132754387E-3</v>
      </c>
      <c r="BI70" s="196">
        <v>0</v>
      </c>
      <c r="BK70" s="246">
        <f t="shared" si="63"/>
        <v>0</v>
      </c>
      <c r="BL70" s="246"/>
      <c r="BM70" s="246">
        <f t="shared" si="64"/>
        <v>0</v>
      </c>
      <c r="BN70" s="196">
        <v>1</v>
      </c>
      <c r="BO70" s="196">
        <f t="shared" si="217"/>
        <v>26653.680823866536</v>
      </c>
      <c r="BP70" s="196">
        <f t="shared" si="233"/>
        <v>26653.680823866536</v>
      </c>
      <c r="BQ70" s="248">
        <f t="shared" si="65"/>
        <v>2.4933277215980704E-3</v>
      </c>
      <c r="BR70" s="248"/>
      <c r="BS70" s="248"/>
      <c r="BT70" s="276">
        <v>1</v>
      </c>
      <c r="BU70" s="196">
        <f t="shared" si="234"/>
        <v>49167.425566463186</v>
      </c>
      <c r="BV70" s="264">
        <f t="shared" si="66"/>
        <v>3.4103457681034324E-3</v>
      </c>
      <c r="BW70" s="196">
        <f t="shared" si="235"/>
        <v>210327.32047875918</v>
      </c>
      <c r="BX70" s="247">
        <f t="shared" si="67"/>
        <v>3.4103457988239579E-3</v>
      </c>
      <c r="BY70" s="196">
        <f t="shared" si="83"/>
        <v>259494.74604522236</v>
      </c>
      <c r="BZ70" s="620">
        <v>0</v>
      </c>
      <c r="CA70" s="196">
        <f t="shared" si="189"/>
        <v>109175.31800285712</v>
      </c>
      <c r="CB70" s="196">
        <f t="shared" si="190"/>
        <v>218350.63600571424</v>
      </c>
      <c r="CC70" s="196">
        <f t="shared" si="248"/>
        <v>327525.95400857134</v>
      </c>
      <c r="CD70" s="247">
        <f t="shared" si="236"/>
        <v>1.3819683772740669E-3</v>
      </c>
      <c r="CE70" s="196">
        <f t="shared" si="218"/>
        <v>39184.104020769184</v>
      </c>
      <c r="CF70" s="247">
        <f t="shared" si="237"/>
        <v>1.6920914720512947E-3</v>
      </c>
      <c r="CG70" s="196">
        <f t="shared" si="191"/>
        <v>54230.876916451911</v>
      </c>
      <c r="CH70" s="589">
        <f t="shared" si="253"/>
        <v>1.3819683772740674E-3</v>
      </c>
      <c r="CI70" s="196">
        <f t="shared" si="219"/>
        <v>83210.687608765715</v>
      </c>
      <c r="CJ70" s="248">
        <f t="shared" si="254"/>
        <v>1.3679834930714571E-3</v>
      </c>
      <c r="CK70" s="196">
        <f t="shared" si="220"/>
        <v>65853.142008898838</v>
      </c>
      <c r="CL70" s="589">
        <f t="shared" si="255"/>
        <v>9.4665246179133345E-4</v>
      </c>
      <c r="CM70" s="196">
        <f t="shared" si="221"/>
        <v>6379.537755532926</v>
      </c>
      <c r="CN70" s="589">
        <f t="shared" si="256"/>
        <v>9.1936389179267418E-4</v>
      </c>
      <c r="CO70" s="196">
        <f t="shared" si="222"/>
        <v>510.32489122678419</v>
      </c>
      <c r="CP70" s="589">
        <f t="shared" si="257"/>
        <v>9.6239414034990779E-4</v>
      </c>
      <c r="CQ70" s="196">
        <f>'Detailed Budget'!$AC$12</f>
        <v>292876014141.44696</v>
      </c>
      <c r="CR70" s="269">
        <f t="shared" si="143"/>
        <v>0</v>
      </c>
      <c r="CS70" s="269">
        <f>'Detailed Budget'!$AC$16</f>
        <v>10488008800.000002</v>
      </c>
      <c r="CT70" s="607">
        <f t="shared" si="193"/>
        <v>0</v>
      </c>
      <c r="CU70" s="269">
        <f>'Detailed Budget'!$AC$24</f>
        <v>30624985696</v>
      </c>
      <c r="CV70" s="269">
        <f t="shared" si="18"/>
        <v>0</v>
      </c>
      <c r="CW70" s="269"/>
      <c r="CX70" s="269">
        <f t="shared" si="249"/>
        <v>0</v>
      </c>
      <c r="CY70" s="196">
        <f>'Detailed Budget'!$AC$97</f>
        <v>74629165494.837845</v>
      </c>
      <c r="CZ70" s="269">
        <f t="shared" si="194"/>
        <v>186074967.16800937</v>
      </c>
      <c r="DA70" s="269">
        <f>'Detailed Budget'!$AC$100</f>
        <v>14925833098.967569</v>
      </c>
      <c r="DB70" s="269">
        <f t="shared" si="195"/>
        <v>37214993.433601879</v>
      </c>
      <c r="DC70" s="269">
        <f t="shared" si="238"/>
        <v>223289960.60161126</v>
      </c>
      <c r="DD70" s="207">
        <v>0</v>
      </c>
      <c r="DE70" s="606">
        <v>0</v>
      </c>
      <c r="DF70" s="269">
        <f>'Detailed Budget'!$AC$147</f>
        <v>5913600671000</v>
      </c>
      <c r="DG70" s="269">
        <f t="shared" si="23"/>
        <v>0</v>
      </c>
      <c r="DH70" s="269">
        <f>'Detailed Budget'!$AC$153</f>
        <v>226428026880.00003</v>
      </c>
      <c r="DI70" s="269"/>
      <c r="DJ70" s="269">
        <f>'Detailed Budget'!$AC$156</f>
        <v>27713070000</v>
      </c>
      <c r="DK70" s="269"/>
      <c r="DL70" s="269"/>
      <c r="DM70" s="196">
        <f>'Detailed Budget'!$AC$178</f>
        <v>5622683761.6229038</v>
      </c>
      <c r="DN70" s="269">
        <f t="shared" si="223"/>
        <v>19175295.77183456</v>
      </c>
      <c r="DO70" s="196">
        <f>'Detailed Budget'!$AC$179</f>
        <v>26827890683.128094</v>
      </c>
      <c r="DP70" s="269">
        <f t="shared" si="224"/>
        <v>91492384.282514289</v>
      </c>
      <c r="DQ70" s="269">
        <f t="shared" si="89"/>
        <v>110667680.05434886</v>
      </c>
      <c r="DR70" s="269">
        <f>'Detailed Budget'!$AC$181</f>
        <v>50888946855.375237</v>
      </c>
      <c r="DS70" s="269">
        <f t="shared" si="225"/>
        <v>138763724.15018448</v>
      </c>
      <c r="DT70" s="269">
        <f t="shared" si="226"/>
        <v>249431404.20453334</v>
      </c>
      <c r="DU70" s="272">
        <f>'Detailed Budget'!$AC$192</f>
        <v>77498869683.252869</v>
      </c>
      <c r="DV70" s="269">
        <f t="shared" si="196"/>
        <v>0</v>
      </c>
      <c r="DW70" s="140">
        <f>'Detailed Budget'!$AC$194</f>
        <v>2684962805.4134097</v>
      </c>
      <c r="DX70" s="269">
        <f t="shared" si="197"/>
        <v>0</v>
      </c>
      <c r="DY70" s="607">
        <f t="shared" si="239"/>
        <v>0</v>
      </c>
      <c r="DZ70" s="196">
        <f>'Detailed Budget'!$AC$198</f>
        <v>18732540018.380611</v>
      </c>
      <c r="EA70" s="269">
        <f t="shared" si="198"/>
        <v>31697171.214961436</v>
      </c>
      <c r="EB70" s="196">
        <f>'Detailed Budget'!$AC$200</f>
        <v>4683135004.5951529</v>
      </c>
      <c r="EC70" s="269">
        <f t="shared" si="199"/>
        <v>7924292.8037403589</v>
      </c>
      <c r="ED70" s="269">
        <f t="shared" si="240"/>
        <v>39621464.018701792</v>
      </c>
      <c r="EE70" s="196">
        <f>'Detailed Budget'!$AC$161</f>
        <v>251147290106.36197</v>
      </c>
      <c r="EF70" s="269">
        <f t="shared" si="200"/>
        <v>347077612.96506846</v>
      </c>
      <c r="EG70" s="196">
        <f>'Detailed Budget'!$AC$163</f>
        <v>15696705631.647623</v>
      </c>
      <c r="EH70" s="269">
        <f t="shared" si="201"/>
        <v>21692350.810316779</v>
      </c>
      <c r="EI70" s="269">
        <f t="shared" si="241"/>
        <v>368769963.77538526</v>
      </c>
      <c r="EJ70" s="196">
        <f>'Detailed Budget'!$AC$204</f>
        <v>45012172507.531975</v>
      </c>
      <c r="EK70" s="269">
        <f t="shared" si="202"/>
        <v>61575908.977588594</v>
      </c>
      <c r="EL70" s="201">
        <f>'Detailed Budget'!$AC$206</f>
        <v>11253043126.882994</v>
      </c>
      <c r="EM70" s="269">
        <f t="shared" si="203"/>
        <v>15393977.244397148</v>
      </c>
      <c r="EN70" s="269">
        <f t="shared" si="242"/>
        <v>76969886.221985742</v>
      </c>
      <c r="EO70" s="140">
        <f>'Detailed Budget'!$AC$209</f>
        <v>135789361677.54817</v>
      </c>
      <c r="EP70" s="269">
        <f t="shared" si="204"/>
        <v>128545333.51712473</v>
      </c>
      <c r="EQ70" s="196">
        <f>'Detailed Budget'!$AC$211</f>
        <v>33947340419.387043</v>
      </c>
      <c r="ER70" s="269">
        <f t="shared" si="205"/>
        <v>32136333.379281182</v>
      </c>
      <c r="ES70" s="269">
        <f t="shared" si="243"/>
        <v>160681666.89640591</v>
      </c>
      <c r="ET70" s="196">
        <f>'Detailed Budget'!$AC$214</f>
        <v>22239745544.201103</v>
      </c>
      <c r="EU70" s="269">
        <f t="shared" si="206"/>
        <v>20446419.01599551</v>
      </c>
      <c r="EV70" s="140">
        <f>'Detailed Budget'!$AC$217</f>
        <v>5559936386.0502758</v>
      </c>
      <c r="EW70" s="269">
        <f t="shared" si="207"/>
        <v>5111604.7539988775</v>
      </c>
      <c r="EX70" s="269">
        <f t="shared" si="244"/>
        <v>25558023.769994386</v>
      </c>
      <c r="EY70" s="196">
        <f>'Detailed Budget'!$AC$219</f>
        <v>372777004.58170313</v>
      </c>
      <c r="EZ70" s="269">
        <f t="shared" si="208"/>
        <v>358758.40486662183</v>
      </c>
      <c r="FA70" s="196">
        <f>'Detailed Budget'!$AC$222</f>
        <v>93194251.145425782</v>
      </c>
      <c r="FB70" s="269">
        <f t="shared" si="209"/>
        <v>89689.601216655457</v>
      </c>
      <c r="FC70" s="269">
        <f t="shared" si="245"/>
        <v>448448.00608327729</v>
      </c>
      <c r="FD70" s="269"/>
      <c r="FE70" s="269">
        <f t="shared" si="246"/>
        <v>263658024.89446929</v>
      </c>
      <c r="FF70" s="140">
        <f>'Detailed Budget'!$AC$165</f>
        <v>14927760000</v>
      </c>
      <c r="FG70" s="1087">
        <f t="shared" si="46"/>
        <v>359646998.49671108</v>
      </c>
      <c r="FH70" s="269">
        <f t="shared" si="210"/>
        <v>25442154.300647654</v>
      </c>
      <c r="FJ70" s="140">
        <f>'Detailed Budget'!$AC$235</f>
        <v>3623696172</v>
      </c>
      <c r="FK70" s="269">
        <f t="shared" si="211"/>
        <v>4681778</v>
      </c>
      <c r="FL70" s="269">
        <f t="shared" si="49"/>
        <v>4681778</v>
      </c>
      <c r="FO70" s="607"/>
      <c r="FP70" s="607"/>
      <c r="FQ70" s="607"/>
      <c r="FR70" s="269">
        <f>'Detailed Budget'!$AC$257</f>
        <v>13636439388</v>
      </c>
      <c r="FS70" s="269">
        <f t="shared" si="212"/>
        <v>45969456</v>
      </c>
      <c r="FT70" s="269">
        <f t="shared" si="51"/>
        <v>45969456</v>
      </c>
      <c r="FU70" s="269"/>
      <c r="FV70" s="269"/>
      <c r="FW70" s="605"/>
      <c r="FX70" s="140">
        <f>'Detailed Budget'!$AC$278</f>
        <v>1114560000</v>
      </c>
      <c r="FY70" s="269">
        <f t="shared" si="213"/>
        <v>1440000</v>
      </c>
      <c r="FZ70" s="269">
        <f t="shared" si="54"/>
        <v>1440000</v>
      </c>
      <c r="GB70" s="269">
        <f t="shared" si="74"/>
        <v>1581951204.2920597</v>
      </c>
      <c r="GC70" s="887">
        <f t="shared" si="247"/>
        <v>988719.50268253731</v>
      </c>
      <c r="GD70" s="1078">
        <f t="shared" si="75"/>
        <v>8.8768263495262085E-4</v>
      </c>
    </row>
    <row r="71" spans="1:186" hidden="1" outlineLevel="1">
      <c r="A71" s="211" t="s">
        <v>329</v>
      </c>
      <c r="B71" s="212" t="s">
        <v>330</v>
      </c>
      <c r="C71" s="213" t="s">
        <v>215</v>
      </c>
      <c r="D71" s="214" t="s">
        <v>215</v>
      </c>
      <c r="E71" s="213"/>
      <c r="F71" s="213"/>
      <c r="G71" s="213"/>
      <c r="H71" s="213" t="s">
        <v>215</v>
      </c>
      <c r="I71" s="214" t="s">
        <v>215</v>
      </c>
      <c r="J71" s="214"/>
      <c r="K71" s="213"/>
      <c r="L71" s="213"/>
      <c r="M71" s="214"/>
      <c r="N71" s="213" t="s">
        <v>215</v>
      </c>
      <c r="O71" s="214"/>
      <c r="P71" s="213"/>
      <c r="Q71" s="214" t="s">
        <v>215</v>
      </c>
      <c r="R71" s="214"/>
      <c r="S71" s="214"/>
      <c r="T71" s="214"/>
      <c r="U71" s="215">
        <f t="shared" si="214"/>
        <v>6</v>
      </c>
      <c r="V71" s="845" t="s">
        <v>265</v>
      </c>
      <c r="W71" s="216">
        <v>207462</v>
      </c>
      <c r="X71" s="217">
        <v>2.96</v>
      </c>
      <c r="Y71" s="218">
        <f t="shared" si="57"/>
        <v>1.0296000000000001</v>
      </c>
      <c r="Z71" s="196">
        <v>19</v>
      </c>
      <c r="AA71" s="218">
        <f t="shared" si="184"/>
        <v>1.7406126843598355</v>
      </c>
      <c r="AB71" s="196">
        <f t="shared" si="171"/>
        <v>361110.98872266017</v>
      </c>
      <c r="AC71">
        <v>17.399999999999999</v>
      </c>
      <c r="AD71" s="196">
        <f t="shared" si="172"/>
        <v>62833.312037742864</v>
      </c>
      <c r="AE71" s="196">
        <f t="shared" si="95"/>
        <v>59691.64643585572</v>
      </c>
      <c r="AF71" s="196">
        <f t="shared" si="215"/>
        <v>59691.64643585572</v>
      </c>
      <c r="AG71" s="606">
        <f t="shared" si="250"/>
        <v>2.7598796799559854E-3</v>
      </c>
      <c r="AH71" s="196">
        <f t="shared" si="227"/>
        <v>18055.549436133009</v>
      </c>
      <c r="AI71" s="248">
        <f t="shared" si="216"/>
        <v>1.3987360579877182E-3</v>
      </c>
      <c r="AJ71" s="196">
        <f t="shared" si="228"/>
        <v>80888.861473875877</v>
      </c>
      <c r="AK71" s="196">
        <f t="shared" si="99"/>
        <v>14444.439548906406</v>
      </c>
      <c r="AL71" s="196">
        <f t="shared" si="100"/>
        <v>14444.439548906406</v>
      </c>
      <c r="AM71" s="196">
        <f t="shared" si="229"/>
        <v>28888.879097812813</v>
      </c>
      <c r="AN71" s="627">
        <f t="shared" si="230"/>
        <v>1.398736057987718E-3</v>
      </c>
      <c r="AO71" s="196">
        <f t="shared" si="231"/>
        <v>13722.217571461086</v>
      </c>
      <c r="AP71" s="589">
        <f t="shared" si="251"/>
        <v>1.398736057987718E-3</v>
      </c>
      <c r="AQ71" s="196"/>
      <c r="AR71" s="589"/>
      <c r="AS71">
        <v>1</v>
      </c>
      <c r="AT71" s="589">
        <f t="shared" si="252"/>
        <v>1.2919896640826874E-3</v>
      </c>
      <c r="AU71" s="196">
        <v>12</v>
      </c>
      <c r="AV71" s="245">
        <f t="shared" si="232"/>
        <v>1.3634814225656176E-3</v>
      </c>
      <c r="AX71" s="245"/>
      <c r="AY71" s="245"/>
      <c r="AZ71" s="196">
        <v>38</v>
      </c>
      <c r="BA71" s="589">
        <f t="shared" si="62"/>
        <v>1.3924004250485508E-3</v>
      </c>
      <c r="BI71" s="196">
        <v>0</v>
      </c>
      <c r="BK71" s="246">
        <f t="shared" si="63"/>
        <v>0</v>
      </c>
      <c r="BL71" s="246"/>
      <c r="BM71" s="246">
        <f t="shared" si="64"/>
        <v>0</v>
      </c>
      <c r="BN71" s="196">
        <v>1</v>
      </c>
      <c r="BO71" s="196">
        <f t="shared" si="217"/>
        <v>26977.074916848396</v>
      </c>
      <c r="BP71" s="196">
        <f t="shared" si="233"/>
        <v>26977.074916848396</v>
      </c>
      <c r="BQ71" s="248">
        <f t="shared" si="65"/>
        <v>2.5235797330317301E-3</v>
      </c>
      <c r="BR71" s="248"/>
      <c r="BS71" s="248"/>
      <c r="BT71" s="276">
        <v>1</v>
      </c>
      <c r="BU71" s="196">
        <f t="shared" si="234"/>
        <v>49763.983133892347</v>
      </c>
      <c r="BV71" s="264">
        <f t="shared" si="66"/>
        <v>3.4517241309538929E-3</v>
      </c>
      <c r="BW71" s="196">
        <f t="shared" si="235"/>
        <v>212879.26118387282</v>
      </c>
      <c r="BX71" s="247">
        <f t="shared" si="67"/>
        <v>3.4517241620471563E-3</v>
      </c>
      <c r="BY71" s="196">
        <f t="shared" si="83"/>
        <v>262643.24431776517</v>
      </c>
      <c r="BZ71" s="620">
        <v>0</v>
      </c>
      <c r="CA71" s="196">
        <f t="shared" si="189"/>
        <v>110499.96254913401</v>
      </c>
      <c r="CB71" s="196">
        <f t="shared" si="190"/>
        <v>220999.92509826802</v>
      </c>
      <c r="CC71" s="196">
        <f t="shared" si="248"/>
        <v>331499.88764740201</v>
      </c>
      <c r="CD71" s="247">
        <f t="shared" si="236"/>
        <v>1.398736057987718E-3</v>
      </c>
      <c r="CE71" s="196">
        <f t="shared" si="218"/>
        <v>39659.532081262674</v>
      </c>
      <c r="CF71" s="247">
        <f t="shared" si="237"/>
        <v>1.7126219342588399E-3</v>
      </c>
      <c r="CG71" s="196">
        <f t="shared" si="191"/>
        <v>54888.870285844343</v>
      </c>
      <c r="CH71" s="589">
        <f t="shared" si="253"/>
        <v>1.398736057987718E-3</v>
      </c>
      <c r="CI71" s="196">
        <f t="shared" si="219"/>
        <v>84220.298439759732</v>
      </c>
      <c r="CJ71" s="248">
        <f t="shared" si="254"/>
        <v>1.3845814925702675E-3</v>
      </c>
      <c r="CK71" s="196">
        <f t="shared" si="220"/>
        <v>66652.150493719557</v>
      </c>
      <c r="CL71" s="589">
        <f t="shared" si="255"/>
        <v>9.5813837310966489E-4</v>
      </c>
      <c r="CM71" s="196">
        <f t="shared" si="221"/>
        <v>6456.9418799286332</v>
      </c>
      <c r="CN71" s="589">
        <f t="shared" si="256"/>
        <v>9.3051870578895828E-4</v>
      </c>
      <c r="CO71" s="196">
        <f t="shared" si="222"/>
        <v>516.51675854953578</v>
      </c>
      <c r="CP71" s="589">
        <f t="shared" si="257"/>
        <v>9.7407104839747555E-4</v>
      </c>
      <c r="CQ71" s="196">
        <f>'Detailed Budget'!$AC$12</f>
        <v>292876014141.44696</v>
      </c>
      <c r="CR71" s="269">
        <f t="shared" si="143"/>
        <v>0</v>
      </c>
      <c r="CS71" s="269">
        <f>'Detailed Budget'!$AC$16</f>
        <v>10488008800.000002</v>
      </c>
      <c r="CT71" s="607">
        <f t="shared" si="193"/>
        <v>0</v>
      </c>
      <c r="CU71" s="269">
        <f>'Detailed Budget'!$AC$24</f>
        <v>30624985696</v>
      </c>
      <c r="CV71" s="269">
        <f t="shared" si="18"/>
        <v>0</v>
      </c>
      <c r="CW71" s="269"/>
      <c r="CX71" s="269">
        <f t="shared" si="249"/>
        <v>0</v>
      </c>
      <c r="CY71" s="196">
        <f>'Detailed Budget'!$AC$97</f>
        <v>74629165494.837845</v>
      </c>
      <c r="CZ71" s="269">
        <f t="shared" si="194"/>
        <v>188332649.5358437</v>
      </c>
      <c r="DA71" s="269">
        <f>'Detailed Budget'!$AC$100</f>
        <v>14925833098.967569</v>
      </c>
      <c r="DB71" s="269">
        <f t="shared" si="195"/>
        <v>37666529.907168739</v>
      </c>
      <c r="DC71" s="269">
        <f t="shared" si="238"/>
        <v>225999179.44301245</v>
      </c>
      <c r="DD71" s="207">
        <v>0</v>
      </c>
      <c r="DE71" s="606">
        <v>0</v>
      </c>
      <c r="DF71" s="269">
        <f>'Detailed Budget'!$AC$147</f>
        <v>5913600671000</v>
      </c>
      <c r="DG71" s="269">
        <f t="shared" ref="DG71:DG134" si="258">DE71*DF71</f>
        <v>0</v>
      </c>
      <c r="DH71" s="269">
        <f>'Detailed Budget'!$AC$153</f>
        <v>226428026880.00003</v>
      </c>
      <c r="DI71" s="269"/>
      <c r="DJ71" s="269">
        <f>'Detailed Budget'!$AC$156</f>
        <v>27713070000</v>
      </c>
      <c r="DK71" s="269"/>
      <c r="DL71" s="269"/>
      <c r="DM71" s="196">
        <f>'Detailed Budget'!$AC$178</f>
        <v>5622683761.6229038</v>
      </c>
      <c r="DN71" s="269">
        <f t="shared" si="223"/>
        <v>19407953.220716383</v>
      </c>
      <c r="DO71" s="196">
        <f>'Detailed Budget'!$AC$179</f>
        <v>26827890683.128094</v>
      </c>
      <c r="DP71" s="269">
        <f t="shared" si="224"/>
        <v>92602478.487713024</v>
      </c>
      <c r="DQ71" s="269">
        <f t="shared" si="89"/>
        <v>112010431.70842941</v>
      </c>
      <c r="DR71" s="269">
        <f>'Detailed Budget'!$AC$181</f>
        <v>50888946855.375237</v>
      </c>
      <c r="DS71" s="269">
        <f t="shared" si="225"/>
        <v>140447370.36051017</v>
      </c>
      <c r="DT71" s="269">
        <f t="shared" si="226"/>
        <v>252457802.06893957</v>
      </c>
      <c r="DU71" s="272">
        <f>'Detailed Budget'!$AC$192</f>
        <v>77498869683.252869</v>
      </c>
      <c r="DV71" s="269">
        <f t="shared" si="196"/>
        <v>0</v>
      </c>
      <c r="DW71" s="140">
        <f>'Detailed Budget'!$AC$194</f>
        <v>2684962805.4134097</v>
      </c>
      <c r="DX71" s="269">
        <f t="shared" si="197"/>
        <v>0</v>
      </c>
      <c r="DY71" s="607">
        <f t="shared" si="239"/>
        <v>0</v>
      </c>
      <c r="DZ71" s="196">
        <f>'Detailed Budget'!$AC$198</f>
        <v>18732540018.380611</v>
      </c>
      <c r="EA71" s="269">
        <f t="shared" si="198"/>
        <v>32081758.919860128</v>
      </c>
      <c r="EB71" s="196">
        <f>'Detailed Budget'!$AC$200</f>
        <v>4683135004.5951529</v>
      </c>
      <c r="EC71" s="269">
        <f t="shared" si="199"/>
        <v>8020439.7299650321</v>
      </c>
      <c r="ED71" s="269">
        <f t="shared" si="240"/>
        <v>40102198.649825163</v>
      </c>
      <c r="EE71" s="196">
        <f>'Detailed Budget'!$AC$161</f>
        <v>251147290106.36197</v>
      </c>
      <c r="EF71" s="269">
        <f t="shared" si="200"/>
        <v>351288770.53767055</v>
      </c>
      <c r="EG71" s="196">
        <f>'Detailed Budget'!$AC$163</f>
        <v>15696705631.647623</v>
      </c>
      <c r="EH71" s="269">
        <f t="shared" si="201"/>
        <v>21955548.15860441</v>
      </c>
      <c r="EI71" s="269">
        <f t="shared" si="241"/>
        <v>373244318.69627494</v>
      </c>
      <c r="EJ71" s="196">
        <f>'Detailed Budget'!$AC$204</f>
        <v>45012172507.531975</v>
      </c>
      <c r="EK71" s="269">
        <f t="shared" si="202"/>
        <v>62323020.994308986</v>
      </c>
      <c r="EL71" s="201">
        <f>'Detailed Budget'!$AC$206</f>
        <v>11253043126.882994</v>
      </c>
      <c r="EM71" s="269">
        <f t="shared" si="203"/>
        <v>15580755.248577246</v>
      </c>
      <c r="EN71" s="269">
        <f t="shared" si="242"/>
        <v>77903776.24288623</v>
      </c>
      <c r="EO71" s="140">
        <f>'Detailed Budget'!$AC$209</f>
        <v>135789361677.54817</v>
      </c>
      <c r="EP71" s="269">
        <f t="shared" si="204"/>
        <v>130104998.08332588</v>
      </c>
      <c r="EQ71" s="196">
        <f>'Detailed Budget'!$AC$211</f>
        <v>33947340419.387043</v>
      </c>
      <c r="ER71" s="269">
        <f t="shared" si="205"/>
        <v>32526249.520831469</v>
      </c>
      <c r="ES71" s="269">
        <f t="shared" si="243"/>
        <v>162631247.60415736</v>
      </c>
      <c r="ET71" s="196">
        <f>'Detailed Budget'!$AC$214</f>
        <v>22239745544.201103</v>
      </c>
      <c r="EU71" s="269">
        <f t="shared" si="206"/>
        <v>20694499.240865763</v>
      </c>
      <c r="EV71" s="140">
        <f>'Detailed Budget'!$AC$217</f>
        <v>5559936386.0502758</v>
      </c>
      <c r="EW71" s="269">
        <f t="shared" si="207"/>
        <v>5173624.8102164408</v>
      </c>
      <c r="EX71" s="269">
        <f t="shared" si="244"/>
        <v>25868124.051082205</v>
      </c>
      <c r="EY71" s="196">
        <f>'Detailed Budget'!$AC$219</f>
        <v>372777004.58170313</v>
      </c>
      <c r="EZ71" s="269">
        <f t="shared" si="208"/>
        <v>363111.28767137014</v>
      </c>
      <c r="FA71" s="196">
        <f>'Detailed Budget'!$AC$222</f>
        <v>93194251.145425782</v>
      </c>
      <c r="FB71" s="269">
        <f t="shared" si="209"/>
        <v>90777.821917842535</v>
      </c>
      <c r="FC71" s="269">
        <f t="shared" si="245"/>
        <v>453889.10958921269</v>
      </c>
      <c r="FD71" s="269"/>
      <c r="FE71" s="269">
        <f t="shared" si="246"/>
        <v>266857037.00771499</v>
      </c>
      <c r="FF71" s="140">
        <f>'Detailed Budget'!$AC$165</f>
        <v>14927760000</v>
      </c>
      <c r="FG71" s="1087">
        <f t="shared" ref="FG71:FG134" si="259">FE71/0.423*0.577</f>
        <v>364010662.77411711</v>
      </c>
      <c r="FH71" s="269">
        <f t="shared" si="210"/>
        <v>20353723.440518126</v>
      </c>
      <c r="FJ71" s="140">
        <f>'Detailed Budget'!$AC$235</f>
        <v>3623696172</v>
      </c>
      <c r="FK71" s="269">
        <f t="shared" si="211"/>
        <v>4681778</v>
      </c>
      <c r="FL71" s="269">
        <f t="shared" ref="FL71:FL134" si="260">FI71+FK71</f>
        <v>4681778</v>
      </c>
      <c r="FO71" s="607"/>
      <c r="FP71" s="607"/>
      <c r="FQ71" s="607"/>
      <c r="FR71" s="269">
        <f>'Detailed Budget'!$AC$257</f>
        <v>13636439388</v>
      </c>
      <c r="FS71" s="269">
        <f t="shared" si="212"/>
        <v>18987384</v>
      </c>
      <c r="FT71" s="269">
        <f t="shared" ref="FT71:FT134" si="261">FM71+FO71+FQ71+FS71</f>
        <v>18987384</v>
      </c>
      <c r="FU71" s="269"/>
      <c r="FV71" s="269"/>
      <c r="FW71" s="605"/>
      <c r="FX71" s="140">
        <f>'Detailed Budget'!$AC$278</f>
        <v>1114560000</v>
      </c>
      <c r="FY71" s="269">
        <f t="shared" si="213"/>
        <v>1440000</v>
      </c>
      <c r="FZ71" s="269">
        <f t="shared" ref="FZ71:FZ134" si="262">FU71+FW71+FY71</f>
        <v>1440000</v>
      </c>
      <c r="GB71" s="269">
        <f t="shared" si="74"/>
        <v>1568134084.0804021</v>
      </c>
      <c r="GC71" s="887">
        <f t="shared" si="247"/>
        <v>980083.80255025136</v>
      </c>
      <c r="GD71" s="1078">
        <f t="shared" si="75"/>
        <v>8.7992941371313883E-4</v>
      </c>
    </row>
    <row r="72" spans="1:186" hidden="1" outlineLevel="1">
      <c r="A72" s="211" t="s">
        <v>331</v>
      </c>
      <c r="B72" s="212" t="s">
        <v>332</v>
      </c>
      <c r="C72" s="213" t="s">
        <v>215</v>
      </c>
      <c r="D72" s="214" t="s">
        <v>215</v>
      </c>
      <c r="E72" s="213"/>
      <c r="F72" s="213"/>
      <c r="G72" s="213"/>
      <c r="H72" s="213" t="s">
        <v>215</v>
      </c>
      <c r="I72" s="214" t="s">
        <v>215</v>
      </c>
      <c r="J72" s="214"/>
      <c r="K72" s="213"/>
      <c r="L72" s="213"/>
      <c r="M72" s="214"/>
      <c r="N72" s="213" t="s">
        <v>215</v>
      </c>
      <c r="O72" s="214"/>
      <c r="P72" s="213"/>
      <c r="Q72" s="214" t="s">
        <v>215</v>
      </c>
      <c r="R72" s="214"/>
      <c r="S72" s="214"/>
      <c r="T72" s="214"/>
      <c r="U72" s="215">
        <f t="shared" si="214"/>
        <v>6</v>
      </c>
      <c r="V72" s="845" t="s">
        <v>265</v>
      </c>
      <c r="W72" s="216">
        <v>209251</v>
      </c>
      <c r="X72" s="217">
        <v>2.96</v>
      </c>
      <c r="Y72" s="218">
        <f t="shared" si="57"/>
        <v>1.0296000000000001</v>
      </c>
      <c r="Z72" s="196">
        <v>19</v>
      </c>
      <c r="AA72" s="218">
        <f t="shared" si="184"/>
        <v>1.7406126843598355</v>
      </c>
      <c r="AB72" s="196">
        <f t="shared" si="171"/>
        <v>364224.94481497991</v>
      </c>
      <c r="AC72">
        <v>17.399999999999999</v>
      </c>
      <c r="AD72" s="196">
        <f t="shared" si="172"/>
        <v>63375.140397806506</v>
      </c>
      <c r="AE72" s="196">
        <f t="shared" si="95"/>
        <v>60206.38337791618</v>
      </c>
      <c r="AF72" s="196">
        <f t="shared" si="215"/>
        <v>60206.38337791618</v>
      </c>
      <c r="AG72" s="606">
        <f t="shared" si="250"/>
        <v>2.7836788564193442E-3</v>
      </c>
      <c r="AH72" s="196">
        <f t="shared" si="227"/>
        <v>18211.247240748995</v>
      </c>
      <c r="AI72" s="248">
        <f t="shared" si="216"/>
        <v>1.4107977310061021E-3</v>
      </c>
      <c r="AJ72" s="196">
        <f t="shared" si="228"/>
        <v>81586.387638555505</v>
      </c>
      <c r="AK72" s="196">
        <f t="shared" si="99"/>
        <v>14568.997792599197</v>
      </c>
      <c r="AL72" s="196">
        <f t="shared" si="100"/>
        <v>14568.997792599197</v>
      </c>
      <c r="AM72" s="196">
        <f t="shared" si="229"/>
        <v>29137.995585198394</v>
      </c>
      <c r="AN72" s="627">
        <f t="shared" si="230"/>
        <v>1.4107977310061023E-3</v>
      </c>
      <c r="AO72" s="196">
        <f t="shared" si="231"/>
        <v>13840.547902969236</v>
      </c>
      <c r="AP72" s="589">
        <f t="shared" si="251"/>
        <v>1.4107977310061021E-3</v>
      </c>
      <c r="AQ72" s="196"/>
      <c r="AR72" s="589"/>
      <c r="AS72">
        <v>1</v>
      </c>
      <c r="AT72" s="589">
        <f t="shared" si="252"/>
        <v>1.2919896640826874E-3</v>
      </c>
      <c r="AU72" s="196">
        <v>11</v>
      </c>
      <c r="AV72" s="245">
        <f t="shared" si="232"/>
        <v>1.2498579706851495E-3</v>
      </c>
      <c r="AX72" s="245"/>
      <c r="AY72" s="245"/>
      <c r="AZ72" s="196">
        <v>36</v>
      </c>
      <c r="BA72" s="589">
        <f t="shared" si="62"/>
        <v>1.3191161921512586E-3</v>
      </c>
      <c r="BI72" s="196">
        <v>0</v>
      </c>
      <c r="BK72" s="246">
        <f t="shared" si="63"/>
        <v>0</v>
      </c>
      <c r="BL72" s="246"/>
      <c r="BM72" s="246">
        <f t="shared" si="64"/>
        <v>0</v>
      </c>
      <c r="BN72" s="196">
        <v>1</v>
      </c>
      <c r="BO72" s="196">
        <f t="shared" si="217"/>
        <v>27209.705408341979</v>
      </c>
      <c r="BP72" s="196">
        <f t="shared" si="233"/>
        <v>27209.705408341979</v>
      </c>
      <c r="BQ72" s="248">
        <f t="shared" si="65"/>
        <v>2.5453412322093811E-3</v>
      </c>
      <c r="BR72" s="248"/>
      <c r="BS72" s="248"/>
      <c r="BT72" s="276">
        <v>1</v>
      </c>
      <c r="BU72" s="196">
        <f t="shared" si="234"/>
        <v>50193.111195062753</v>
      </c>
      <c r="BV72" s="264">
        <f t="shared" si="66"/>
        <v>3.4814892661125083E-3</v>
      </c>
      <c r="BW72" s="196">
        <f t="shared" si="235"/>
        <v>214714.97566776845</v>
      </c>
      <c r="BX72" s="247">
        <f t="shared" si="67"/>
        <v>3.4814892974738966E-3</v>
      </c>
      <c r="BY72" s="196">
        <f t="shared" si="83"/>
        <v>264908.0868628312</v>
      </c>
      <c r="BZ72" s="620">
        <v>0</v>
      </c>
      <c r="CA72" s="196">
        <f t="shared" si="189"/>
        <v>111452.83311338385</v>
      </c>
      <c r="CB72" s="196">
        <f t="shared" si="190"/>
        <v>222905.6662267677</v>
      </c>
      <c r="CC72" s="196">
        <f t="shared" si="248"/>
        <v>334358.49934015155</v>
      </c>
      <c r="CD72" s="247">
        <f t="shared" si="236"/>
        <v>1.4107977310061023E-3</v>
      </c>
      <c r="CE72" s="196">
        <f t="shared" si="218"/>
        <v>40001.526773752761</v>
      </c>
      <c r="CF72" s="247">
        <f t="shared" si="237"/>
        <v>1.7273903286654736E-3</v>
      </c>
      <c r="CG72" s="196">
        <f t="shared" si="191"/>
        <v>55362.191611876944</v>
      </c>
      <c r="CH72" s="589">
        <f t="shared" si="253"/>
        <v>1.4107977310061021E-3</v>
      </c>
      <c r="CI72" s="196">
        <f t="shared" si="219"/>
        <v>84946.552471383518</v>
      </c>
      <c r="CJ72" s="248">
        <f t="shared" si="254"/>
        <v>1.396521107006686E-3</v>
      </c>
      <c r="CK72" s="196">
        <f t="shared" si="220"/>
        <v>67226.90971339964</v>
      </c>
      <c r="CL72" s="589">
        <f t="shared" si="255"/>
        <v>9.6640065511549372E-4</v>
      </c>
      <c r="CM72" s="196">
        <f t="shared" si="221"/>
        <v>6512.6218069668021</v>
      </c>
      <c r="CN72" s="589">
        <f t="shared" si="256"/>
        <v>9.3854281605809913E-4</v>
      </c>
      <c r="CO72" s="196">
        <f t="shared" si="222"/>
        <v>520.97081992484857</v>
      </c>
      <c r="CP72" s="589">
        <f t="shared" si="257"/>
        <v>9.8247072209956617E-4</v>
      </c>
      <c r="CQ72" s="196">
        <f>'Detailed Budget'!$AC$12</f>
        <v>292876014141.44696</v>
      </c>
      <c r="CR72" s="269">
        <f t="shared" ref="CR72:CR96" si="263">BK72*CQ72</f>
        <v>0</v>
      </c>
      <c r="CS72" s="269">
        <f>'Detailed Budget'!$AC$16</f>
        <v>10488008800.000002</v>
      </c>
      <c r="CT72" s="607">
        <f t="shared" si="193"/>
        <v>0</v>
      </c>
      <c r="CU72" s="269">
        <f>'Detailed Budget'!$AC$24</f>
        <v>30624985696</v>
      </c>
      <c r="CV72" s="269">
        <f t="shared" ref="CV72:CV135" si="264">BK72*CU72</f>
        <v>0</v>
      </c>
      <c r="CW72" s="269"/>
      <c r="CX72" s="269">
        <f t="shared" si="249"/>
        <v>0</v>
      </c>
      <c r="CY72" s="196">
        <f>'Detailed Budget'!$AC$97</f>
        <v>74629165494.837845</v>
      </c>
      <c r="CZ72" s="269">
        <f t="shared" si="194"/>
        <v>189956692.0593884</v>
      </c>
      <c r="DA72" s="269">
        <f>'Detailed Budget'!$AC$100</f>
        <v>14925833098.967569</v>
      </c>
      <c r="DB72" s="269">
        <f t="shared" si="195"/>
        <v>37991338.411877677</v>
      </c>
      <c r="DC72" s="269">
        <f t="shared" si="238"/>
        <v>227948030.47126609</v>
      </c>
      <c r="DD72" s="207">
        <v>0</v>
      </c>
      <c r="DE72" s="606">
        <v>0</v>
      </c>
      <c r="DF72" s="269">
        <f>'Detailed Budget'!$AC$147</f>
        <v>5913600671000</v>
      </c>
      <c r="DG72" s="269">
        <f t="shared" si="258"/>
        <v>0</v>
      </c>
      <c r="DH72" s="269">
        <f>'Detailed Budget'!$AC$153</f>
        <v>226428026880.00003</v>
      </c>
      <c r="DI72" s="269"/>
      <c r="DJ72" s="269">
        <f>'Detailed Budget'!$AC$156</f>
        <v>27713070000</v>
      </c>
      <c r="DK72" s="269"/>
      <c r="DL72" s="269"/>
      <c r="DM72" s="196">
        <f>'Detailed Budget'!$AC$178</f>
        <v>5622683761.6229038</v>
      </c>
      <c r="DN72" s="269">
        <f t="shared" si="223"/>
        <v>19575313.16283524</v>
      </c>
      <c r="DO72" s="196">
        <f>'Detailed Budget'!$AC$179</f>
        <v>26827890683.128094</v>
      </c>
      <c r="DP72" s="269">
        <f t="shared" si="224"/>
        <v>93401014.28711012</v>
      </c>
      <c r="DQ72" s="269">
        <f t="shared" si="89"/>
        <v>112976327.44994536</v>
      </c>
      <c r="DR72" s="269">
        <f>'Detailed Budget'!$AC$181</f>
        <v>50888946855.375237</v>
      </c>
      <c r="DS72" s="269">
        <f t="shared" si="225"/>
        <v>141658485.38675573</v>
      </c>
      <c r="DT72" s="269">
        <f t="shared" si="226"/>
        <v>254634812.8367011</v>
      </c>
      <c r="DU72" s="272">
        <f>'Detailed Budget'!$AC$192</f>
        <v>77498869683.252869</v>
      </c>
      <c r="DV72" s="269">
        <f t="shared" si="196"/>
        <v>0</v>
      </c>
      <c r="DW72" s="140">
        <f>'Detailed Budget'!$AC$194</f>
        <v>2684962805.4134097</v>
      </c>
      <c r="DX72" s="269">
        <f t="shared" si="197"/>
        <v>0</v>
      </c>
      <c r="DY72" s="607">
        <f t="shared" si="239"/>
        <v>0</v>
      </c>
      <c r="DZ72" s="196">
        <f>'Detailed Budget'!$AC$198</f>
        <v>18732540018.380611</v>
      </c>
      <c r="EA72" s="269">
        <f t="shared" si="198"/>
        <v>32358408.459089622</v>
      </c>
      <c r="EB72" s="196">
        <f>'Detailed Budget'!$AC$200</f>
        <v>4683135004.5951529</v>
      </c>
      <c r="EC72" s="269">
        <f t="shared" si="199"/>
        <v>8089602.1147724055</v>
      </c>
      <c r="ED72" s="269">
        <f t="shared" si="240"/>
        <v>40448010.573862031</v>
      </c>
      <c r="EE72" s="196">
        <f>'Detailed Budget'!$AC$161</f>
        <v>251147290106.36197</v>
      </c>
      <c r="EF72" s="269">
        <f t="shared" si="200"/>
        <v>354318027.03038675</v>
      </c>
      <c r="EG72" s="196">
        <f>'Detailed Budget'!$AC$163</f>
        <v>15696705631.647623</v>
      </c>
      <c r="EH72" s="269">
        <f t="shared" si="201"/>
        <v>22144876.689399172</v>
      </c>
      <c r="EI72" s="269">
        <f t="shared" si="241"/>
        <v>376462903.71978593</v>
      </c>
      <c r="EJ72" s="196">
        <f>'Detailed Budget'!$AC$204</f>
        <v>45012172507.531975</v>
      </c>
      <c r="EK72" s="269">
        <f t="shared" si="202"/>
        <v>62860448.978994474</v>
      </c>
      <c r="EL72" s="201">
        <f>'Detailed Budget'!$AC$206</f>
        <v>11253043126.882994</v>
      </c>
      <c r="EM72" s="269">
        <f t="shared" si="203"/>
        <v>15715112.244748618</v>
      </c>
      <c r="EN72" s="269">
        <f t="shared" si="242"/>
        <v>78575561.223743096</v>
      </c>
      <c r="EO72" s="140">
        <f>'Detailed Budget'!$AC$209</f>
        <v>135789361677.54817</v>
      </c>
      <c r="EP72" s="269">
        <f t="shared" si="204"/>
        <v>131226928.08289728</v>
      </c>
      <c r="EQ72" s="196">
        <f>'Detailed Budget'!$AC$211</f>
        <v>33947340419.387043</v>
      </c>
      <c r="ER72" s="269">
        <f t="shared" si="205"/>
        <v>32806732.020724319</v>
      </c>
      <c r="ES72" s="269">
        <f t="shared" si="243"/>
        <v>164033660.1036216</v>
      </c>
      <c r="ET72" s="196">
        <f>'Detailed Budget'!$AC$214</f>
        <v>22239745544.201103</v>
      </c>
      <c r="EU72" s="269">
        <f t="shared" si="206"/>
        <v>20872953.411470067</v>
      </c>
      <c r="EV72" s="140">
        <f>'Detailed Budget'!$AC$217</f>
        <v>5559936386.0502758</v>
      </c>
      <c r="EW72" s="269">
        <f t="shared" si="207"/>
        <v>5218238.3528675167</v>
      </c>
      <c r="EX72" s="269">
        <f t="shared" si="244"/>
        <v>26091191.764337584</v>
      </c>
      <c r="EY72" s="196">
        <f>'Detailed Budget'!$AC$219</f>
        <v>372777004.58170313</v>
      </c>
      <c r="EZ72" s="269">
        <f t="shared" si="208"/>
        <v>366242.49287349917</v>
      </c>
      <c r="FA72" s="196">
        <f>'Detailed Budget'!$AC$222</f>
        <v>93194251.145425782</v>
      </c>
      <c r="FB72" s="269">
        <f t="shared" si="209"/>
        <v>91560.623218374792</v>
      </c>
      <c r="FC72" s="269">
        <f t="shared" si="245"/>
        <v>457803.11609187396</v>
      </c>
      <c r="FD72" s="269"/>
      <c r="FE72" s="269">
        <f t="shared" si="246"/>
        <v>269158216.20779413</v>
      </c>
      <c r="FF72" s="140">
        <f>'Detailed Budget'!$AC$165</f>
        <v>14927760000</v>
      </c>
      <c r="FG72" s="1087">
        <f t="shared" si="259"/>
        <v>367149623.52694374</v>
      </c>
      <c r="FH72" s="269">
        <f t="shared" si="210"/>
        <v>18657579.820474949</v>
      </c>
      <c r="FJ72" s="140">
        <f>'Detailed Budget'!$AC$235</f>
        <v>3623696172</v>
      </c>
      <c r="FK72" s="269">
        <f t="shared" si="211"/>
        <v>4681778</v>
      </c>
      <c r="FL72" s="269">
        <f t="shared" si="260"/>
        <v>4681778</v>
      </c>
      <c r="FO72" s="607"/>
      <c r="FP72" s="607"/>
      <c r="FQ72" s="607"/>
      <c r="FR72" s="269">
        <f>'Detailed Budget'!$AC$257</f>
        <v>13636439388</v>
      </c>
      <c r="FS72" s="269">
        <f t="shared" si="212"/>
        <v>17988048</v>
      </c>
      <c r="FT72" s="269">
        <f t="shared" si="261"/>
        <v>17988048</v>
      </c>
      <c r="FU72" s="269"/>
      <c r="FV72" s="269"/>
      <c r="FW72" s="605"/>
      <c r="FX72" s="140">
        <f>'Detailed Budget'!$AC$278</f>
        <v>1114560000</v>
      </c>
      <c r="FY72" s="269">
        <f t="shared" si="213"/>
        <v>1440000</v>
      </c>
      <c r="FZ72" s="269">
        <f t="shared" si="262"/>
        <v>1440000</v>
      </c>
      <c r="GB72" s="269">
        <f t="shared" si="74"/>
        <v>1578569003.1568279</v>
      </c>
      <c r="GC72" s="887">
        <f t="shared" si="247"/>
        <v>986605.62697301747</v>
      </c>
      <c r="GD72" s="1078">
        <f t="shared" si="75"/>
        <v>8.8578477539316247E-4</v>
      </c>
    </row>
    <row r="73" spans="1:186" hidden="1" outlineLevel="1">
      <c r="A73" s="211" t="s">
        <v>333</v>
      </c>
      <c r="B73" s="212" t="s">
        <v>334</v>
      </c>
      <c r="C73" s="213" t="s">
        <v>215</v>
      </c>
      <c r="D73" s="214" t="s">
        <v>215</v>
      </c>
      <c r="E73" s="213"/>
      <c r="F73" s="213"/>
      <c r="G73" s="213"/>
      <c r="H73" s="213" t="s">
        <v>215</v>
      </c>
      <c r="I73" s="214" t="s">
        <v>215</v>
      </c>
      <c r="J73" s="214"/>
      <c r="K73" s="213"/>
      <c r="L73" s="213"/>
      <c r="M73" s="214"/>
      <c r="N73" s="213" t="s">
        <v>215</v>
      </c>
      <c r="O73" s="214"/>
      <c r="P73" s="213"/>
      <c r="Q73" s="214" t="s">
        <v>215</v>
      </c>
      <c r="R73" s="214"/>
      <c r="S73" s="214"/>
      <c r="T73" s="214"/>
      <c r="U73" s="215">
        <f t="shared" si="214"/>
        <v>6</v>
      </c>
      <c r="V73" s="845" t="s">
        <v>265</v>
      </c>
      <c r="W73" s="216">
        <v>365221</v>
      </c>
      <c r="X73" s="217">
        <v>2.96</v>
      </c>
      <c r="Y73" s="218">
        <f t="shared" si="57"/>
        <v>1.0296000000000001</v>
      </c>
      <c r="Z73" s="196">
        <v>19</v>
      </c>
      <c r="AA73" s="218">
        <f t="shared" si="184"/>
        <v>1.7406126843598355</v>
      </c>
      <c r="AB73" s="196">
        <f t="shared" si="171"/>
        <v>635708.30519458349</v>
      </c>
      <c r="AC73">
        <v>17.399999999999999</v>
      </c>
      <c r="AD73" s="196">
        <f t="shared" si="172"/>
        <v>110613.24510385752</v>
      </c>
      <c r="AE73" s="196">
        <f t="shared" si="95"/>
        <v>105082.58284866465</v>
      </c>
      <c r="AF73" s="196">
        <f t="shared" si="215"/>
        <v>105082.58284866465</v>
      </c>
      <c r="AG73" s="606">
        <f t="shared" si="250"/>
        <v>4.8585573097396396E-3</v>
      </c>
      <c r="AH73" s="196">
        <f t="shared" si="227"/>
        <v>31785.415259729176</v>
      </c>
      <c r="AI73" s="248">
        <f t="shared" si="216"/>
        <v>2.4623679605630545E-3</v>
      </c>
      <c r="AJ73" s="196">
        <f t="shared" si="228"/>
        <v>142398.66036358671</v>
      </c>
      <c r="AK73" s="196">
        <f t="shared" si="99"/>
        <v>25428.33220778334</v>
      </c>
      <c r="AL73" s="196">
        <f t="shared" si="100"/>
        <v>25428.33220778334</v>
      </c>
      <c r="AM73" s="196">
        <f t="shared" si="229"/>
        <v>50856.66441556668</v>
      </c>
      <c r="AN73" s="627">
        <f t="shared" si="230"/>
        <v>2.4623679605630545E-3</v>
      </c>
      <c r="AO73" s="196">
        <f t="shared" si="231"/>
        <v>24156.915597394171</v>
      </c>
      <c r="AP73" s="589">
        <f t="shared" si="251"/>
        <v>2.4623679605630545E-3</v>
      </c>
      <c r="AQ73" s="196"/>
      <c r="AR73" s="589"/>
      <c r="AS73">
        <v>1</v>
      </c>
      <c r="AT73" s="589">
        <f t="shared" si="252"/>
        <v>1.2919896640826874E-3</v>
      </c>
      <c r="AU73" s="196">
        <v>12</v>
      </c>
      <c r="AV73" s="245">
        <f t="shared" si="232"/>
        <v>1.3634814225656176E-3</v>
      </c>
      <c r="AX73" s="245"/>
      <c r="AY73" s="245"/>
      <c r="AZ73" s="196">
        <v>26</v>
      </c>
      <c r="BA73" s="589">
        <f t="shared" ref="BA73:BA136" si="265">AZ73/27291</f>
        <v>9.526950276647979E-4</v>
      </c>
      <c r="BI73" s="196">
        <v>0</v>
      </c>
      <c r="BK73" s="246">
        <f t="shared" ref="BK73:BK136" si="266">BJ73/52440044</f>
        <v>0</v>
      </c>
      <c r="BL73" s="246"/>
      <c r="BM73" s="246">
        <f t="shared" ref="BM73:BM136" si="267">BL73/1048801</f>
        <v>0</v>
      </c>
      <c r="BN73" s="196">
        <v>1</v>
      </c>
      <c r="BO73" s="196">
        <f t="shared" si="217"/>
        <v>47491.079225141417</v>
      </c>
      <c r="BP73" s="196">
        <f t="shared" si="233"/>
        <v>47491.079225141417</v>
      </c>
      <c r="BQ73" s="248">
        <f t="shared" ref="BQ73:BQ136" si="268">BP73/10690003</f>
        <v>4.442569307524181E-3</v>
      </c>
      <c r="BR73" s="248"/>
      <c r="BS73" s="248"/>
      <c r="BT73" s="276">
        <v>1</v>
      </c>
      <c r="BU73" s="196">
        <f t="shared" si="234"/>
        <v>87605.690122255168</v>
      </c>
      <c r="BV73" s="264">
        <f t="shared" ref="BV73:BV136" si="269">BU73/14417138</f>
        <v>6.0764966057934083E-3</v>
      </c>
      <c r="BW73" s="196">
        <f t="shared" si="235"/>
        <v>374757.67441186932</v>
      </c>
      <c r="BX73" s="247">
        <f t="shared" ref="BX73:BX136" si="270">BW73/61673312</f>
        <v>6.0764966605307219E-3</v>
      </c>
      <c r="BY73" s="196">
        <f t="shared" si="83"/>
        <v>462363.3645341245</v>
      </c>
      <c r="BZ73" s="620">
        <v>0</v>
      </c>
      <c r="CA73" s="196">
        <f t="shared" si="189"/>
        <v>194526.74138954253</v>
      </c>
      <c r="CB73" s="196">
        <f t="shared" si="190"/>
        <v>389053.48277908505</v>
      </c>
      <c r="CC73" s="196">
        <f t="shared" si="248"/>
        <v>583580.22416862752</v>
      </c>
      <c r="CD73" s="247">
        <f t="shared" si="236"/>
        <v>2.462367960563054E-3</v>
      </c>
      <c r="CE73" s="196">
        <f t="shared" si="218"/>
        <v>69817.576068151451</v>
      </c>
      <c r="CF73" s="247">
        <f t="shared" si="237"/>
        <v>3.0149400634908938E-3</v>
      </c>
      <c r="CG73" s="196">
        <f t="shared" si="191"/>
        <v>96627.662389576682</v>
      </c>
      <c r="CH73" s="589">
        <f t="shared" si="253"/>
        <v>2.4623679605630545E-3</v>
      </c>
      <c r="CI73" s="196">
        <f t="shared" si="219"/>
        <v>148263.40060573741</v>
      </c>
      <c r="CJ73" s="248">
        <f t="shared" si="254"/>
        <v>2.4374499296160538E-3</v>
      </c>
      <c r="CK73" s="196">
        <f t="shared" si="220"/>
        <v>117336.01842972089</v>
      </c>
      <c r="CL73" s="589">
        <f t="shared" si="255"/>
        <v>1.6867293999165388E-3</v>
      </c>
      <c r="CM73" s="196">
        <f t="shared" si="221"/>
        <v>11366.952841143997</v>
      </c>
      <c r="CN73" s="589">
        <f t="shared" si="256"/>
        <v>1.6381070858612623E-3</v>
      </c>
      <c r="CO73" s="196">
        <f t="shared" si="222"/>
        <v>909.2882892974136</v>
      </c>
      <c r="CP73" s="589">
        <f t="shared" si="257"/>
        <v>1.7147776574349734E-3</v>
      </c>
      <c r="CQ73" s="196">
        <f>'Detailed Budget'!$AC$12</f>
        <v>292876014141.44696</v>
      </c>
      <c r="CR73" s="269">
        <f t="shared" si="263"/>
        <v>0</v>
      </c>
      <c r="CS73" s="269">
        <f>'Detailed Budget'!$AC$16</f>
        <v>10488008800.000002</v>
      </c>
      <c r="CT73" s="607">
        <f t="shared" si="193"/>
        <v>0</v>
      </c>
      <c r="CU73" s="269">
        <f>'Detailed Budget'!$AC$24</f>
        <v>30624985696</v>
      </c>
      <c r="CV73" s="269">
        <f t="shared" si="264"/>
        <v>0</v>
      </c>
      <c r="CW73" s="269"/>
      <c r="CX73" s="269">
        <f t="shared" si="249"/>
        <v>0</v>
      </c>
      <c r="CY73" s="196">
        <f>'Detailed Budget'!$AC$97</f>
        <v>74629165494.837845</v>
      </c>
      <c r="CZ73" s="269">
        <f t="shared" si="194"/>
        <v>331545240.07350928</v>
      </c>
      <c r="DA73" s="269">
        <f>'Detailed Budget'!$AC$100</f>
        <v>14925833098.967569</v>
      </c>
      <c r="DB73" s="269">
        <f t="shared" si="195"/>
        <v>66309048.014701858</v>
      </c>
      <c r="DC73" s="269">
        <f t="shared" si="238"/>
        <v>397854288.08821112</v>
      </c>
      <c r="DD73" s="207">
        <v>0</v>
      </c>
      <c r="DE73" s="606">
        <v>0</v>
      </c>
      <c r="DF73" s="269">
        <f>'Detailed Budget'!$AC$147</f>
        <v>5913600671000</v>
      </c>
      <c r="DG73" s="269">
        <f t="shared" si="258"/>
        <v>0</v>
      </c>
      <c r="DH73" s="269">
        <f>'Detailed Budget'!$AC$153</f>
        <v>226428026880.00003</v>
      </c>
      <c r="DI73" s="269"/>
      <c r="DJ73" s="269">
        <f>'Detailed Budget'!$AC$156</f>
        <v>27713070000</v>
      </c>
      <c r="DK73" s="269"/>
      <c r="DL73" s="269"/>
      <c r="DM73" s="196">
        <f>'Detailed Budget'!$AC$178</f>
        <v>5622683761.6229038</v>
      </c>
      <c r="DN73" s="269">
        <f t="shared" si="223"/>
        <v>34166218.792951286</v>
      </c>
      <c r="DO73" s="196">
        <f>'Detailed Budget'!$AC$179</f>
        <v>26827890683.128094</v>
      </c>
      <c r="DP73" s="269">
        <f t="shared" si="224"/>
        <v>163019588.14511114</v>
      </c>
      <c r="DQ73" s="269">
        <f t="shared" si="89"/>
        <v>197185806.93806243</v>
      </c>
      <c r="DR73" s="269">
        <f>'Detailed Budget'!$AC$181</f>
        <v>50888946855.375237</v>
      </c>
      <c r="DS73" s="269">
        <f t="shared" si="225"/>
        <v>247246864.72913539</v>
      </c>
      <c r="DT73" s="269">
        <f t="shared" si="226"/>
        <v>444432671.66719782</v>
      </c>
      <c r="DU73" s="272">
        <f>'Detailed Budget'!$AC$192</f>
        <v>77498869683.252869</v>
      </c>
      <c r="DV73" s="269">
        <f t="shared" si="196"/>
        <v>0</v>
      </c>
      <c r="DW73" s="140">
        <f>'Detailed Budget'!$AC$194</f>
        <v>2684962805.4134097</v>
      </c>
      <c r="DX73" s="269">
        <f t="shared" si="197"/>
        <v>0</v>
      </c>
      <c r="DY73" s="607">
        <f t="shared" si="239"/>
        <v>0</v>
      </c>
      <c r="DZ73" s="196">
        <f>'Detailed Budget'!$AC$198</f>
        <v>18732540018.380611</v>
      </c>
      <c r="EA73" s="269">
        <f t="shared" si="198"/>
        <v>56477485.392362148</v>
      </c>
      <c r="EB73" s="196">
        <f>'Detailed Budget'!$AC$200</f>
        <v>4683135004.5951529</v>
      </c>
      <c r="EC73" s="269">
        <f t="shared" si="199"/>
        <v>14119371.348090537</v>
      </c>
      <c r="ED73" s="269">
        <f t="shared" si="240"/>
        <v>70596856.740452677</v>
      </c>
      <c r="EE73" s="196">
        <f>'Detailed Budget'!$AC$161</f>
        <v>251147290106.36197</v>
      </c>
      <c r="EF73" s="269">
        <f t="shared" si="200"/>
        <v>618417040.54014027</v>
      </c>
      <c r="EG73" s="196">
        <f>'Detailed Budget'!$AC$163</f>
        <v>15696705631.647623</v>
      </c>
      <c r="EH73" s="269">
        <f t="shared" si="201"/>
        <v>38651065.033758767</v>
      </c>
      <c r="EI73" s="269">
        <f t="shared" si="241"/>
        <v>657068105.57389903</v>
      </c>
      <c r="EJ73" s="196">
        <f>'Detailed Budget'!$AC$204</f>
        <v>45012172507.531975</v>
      </c>
      <c r="EK73" s="269">
        <f t="shared" si="202"/>
        <v>109714916.71034949</v>
      </c>
      <c r="EL73" s="201">
        <f>'Detailed Budget'!$AC$206</f>
        <v>11253043126.882994</v>
      </c>
      <c r="EM73" s="269">
        <f t="shared" si="203"/>
        <v>27428729.177587371</v>
      </c>
      <c r="EN73" s="269">
        <f t="shared" si="242"/>
        <v>137143645.88793686</v>
      </c>
      <c r="EO73" s="140">
        <f>'Detailed Budget'!$AC$209</f>
        <v>135789361677.54817</v>
      </c>
      <c r="EP73" s="269">
        <f t="shared" si="204"/>
        <v>229039908.53742069</v>
      </c>
      <c r="EQ73" s="196">
        <f>'Detailed Budget'!$AC$211</f>
        <v>33947340419.387043</v>
      </c>
      <c r="ER73" s="269">
        <f t="shared" si="205"/>
        <v>57259977.134355173</v>
      </c>
      <c r="ES73" s="269">
        <f t="shared" si="243"/>
        <v>286299885.67177588</v>
      </c>
      <c r="ET73" s="196">
        <f>'Detailed Budget'!$AC$214</f>
        <v>22239745544.201103</v>
      </c>
      <c r="EU73" s="269">
        <f t="shared" si="206"/>
        <v>36431084.763707265</v>
      </c>
      <c r="EV73" s="140">
        <f>'Detailed Budget'!$AC$217</f>
        <v>5559936386.0502758</v>
      </c>
      <c r="EW73" s="269">
        <f t="shared" si="207"/>
        <v>9107771.1909268163</v>
      </c>
      <c r="EX73" s="269">
        <f t="shared" si="244"/>
        <v>45538855.954634085</v>
      </c>
      <c r="EY73" s="196">
        <f>'Detailed Budget'!$AC$219</f>
        <v>372777004.58170313</v>
      </c>
      <c r="EZ73" s="269">
        <f t="shared" si="208"/>
        <v>639229.67866223922</v>
      </c>
      <c r="FA73" s="196">
        <f>'Detailed Budget'!$AC$222</f>
        <v>93194251.145425782</v>
      </c>
      <c r="FB73" s="269">
        <f t="shared" si="209"/>
        <v>159807.41966555981</v>
      </c>
      <c r="FC73" s="269">
        <f t="shared" si="245"/>
        <v>799037.098327799</v>
      </c>
      <c r="FD73" s="269"/>
      <c r="FE73" s="269">
        <f t="shared" si="246"/>
        <v>469781424.61267465</v>
      </c>
      <c r="FF73" s="140">
        <f>'Detailed Budget'!$AC$165</f>
        <v>14927760000</v>
      </c>
      <c r="FG73" s="1087">
        <f t="shared" si="259"/>
        <v>640812959.81445217</v>
      </c>
      <c r="FH73" s="269">
        <f t="shared" si="210"/>
        <v>20353723.440518126</v>
      </c>
      <c r="FJ73" s="140">
        <f>'Detailed Budget'!$AC$235</f>
        <v>3623696172</v>
      </c>
      <c r="FK73" s="269">
        <f t="shared" si="211"/>
        <v>4681778</v>
      </c>
      <c r="FL73" s="269">
        <f t="shared" si="260"/>
        <v>4681778</v>
      </c>
      <c r="FO73" s="607"/>
      <c r="FP73" s="607"/>
      <c r="FQ73" s="607"/>
      <c r="FR73" s="269">
        <f>'Detailed Budget'!$AC$257</f>
        <v>13636439388</v>
      </c>
      <c r="FS73" s="269">
        <f t="shared" si="212"/>
        <v>12991368</v>
      </c>
      <c r="FT73" s="269">
        <f t="shared" si="261"/>
        <v>12991368</v>
      </c>
      <c r="FU73" s="269"/>
      <c r="FV73" s="269"/>
      <c r="FW73" s="605"/>
      <c r="FX73" s="140">
        <f>'Detailed Budget'!$AC$278</f>
        <v>1114560000</v>
      </c>
      <c r="FY73" s="269">
        <f t="shared" si="213"/>
        <v>1440000</v>
      </c>
      <c r="FZ73" s="269">
        <f t="shared" si="262"/>
        <v>1440000</v>
      </c>
      <c r="GB73" s="269">
        <f t="shared" ref="GB73:GB136" si="271">SUM(CX73,DC73,DG73,DL73,DT73,DY73,ED73,EI73,FE73,FG73,FH73,FL73,FT73,FZ73,GA73)</f>
        <v>2720013175.9374056</v>
      </c>
      <c r="GC73" s="887">
        <f t="shared" si="247"/>
        <v>1700008.2349608785</v>
      </c>
      <c r="GD73" s="1078">
        <f t="shared" ref="GD73:GD136" si="272">GB73/1782113496426</f>
        <v>1.5262850437934219E-3</v>
      </c>
    </row>
    <row r="74" spans="1:186" hidden="1" outlineLevel="1">
      <c r="A74" s="211" t="s">
        <v>335</v>
      </c>
      <c r="B74" s="212" t="s">
        <v>336</v>
      </c>
      <c r="C74" s="213" t="s">
        <v>215</v>
      </c>
      <c r="D74" s="214"/>
      <c r="E74" s="213"/>
      <c r="F74" s="213"/>
      <c r="G74" s="213" t="s">
        <v>215</v>
      </c>
      <c r="H74" s="213" t="s">
        <v>215</v>
      </c>
      <c r="I74" s="214" t="s">
        <v>215</v>
      </c>
      <c r="J74" s="214"/>
      <c r="K74" s="213"/>
      <c r="L74" s="213"/>
      <c r="M74" s="214"/>
      <c r="N74" s="213" t="s">
        <v>215</v>
      </c>
      <c r="O74" s="214"/>
      <c r="P74" s="213"/>
      <c r="Q74" s="214"/>
      <c r="R74" s="214" t="s">
        <v>215</v>
      </c>
      <c r="S74" s="214"/>
      <c r="T74" s="214"/>
      <c r="U74" s="215">
        <f t="shared" si="214"/>
        <v>6</v>
      </c>
      <c r="V74" s="845" t="s">
        <v>216</v>
      </c>
      <c r="W74" s="216">
        <v>147594</v>
      </c>
      <c r="X74" s="217">
        <v>2.96</v>
      </c>
      <c r="Y74" s="218">
        <f t="shared" si="57"/>
        <v>1.0296000000000001</v>
      </c>
      <c r="Z74" s="196">
        <v>19</v>
      </c>
      <c r="AA74" s="218">
        <f t="shared" si="184"/>
        <v>1.7406126843598355</v>
      </c>
      <c r="AB74" s="196">
        <f t="shared" si="171"/>
        <v>256903.98853540557</v>
      </c>
      <c r="AC74">
        <v>17.399999999999999</v>
      </c>
      <c r="AD74" s="196">
        <f t="shared" si="172"/>
        <v>44701.294005160562</v>
      </c>
      <c r="AE74" s="196">
        <f t="shared" si="95"/>
        <v>42466.229304902532</v>
      </c>
      <c r="AF74" s="196">
        <f t="shared" si="215"/>
        <v>0</v>
      </c>
      <c r="AG74" s="606">
        <f t="shared" si="250"/>
        <v>1.9634520128188476E-3</v>
      </c>
      <c r="AH74" s="196">
        <f t="shared" si="227"/>
        <v>12845.199426770279</v>
      </c>
      <c r="AI74" s="248">
        <f t="shared" si="216"/>
        <v>9.9509813721375146E-4</v>
      </c>
      <c r="AJ74" s="196">
        <f t="shared" si="228"/>
        <v>57546.493431930838</v>
      </c>
      <c r="AK74" s="196">
        <f t="shared" si="99"/>
        <v>10276.159541416224</v>
      </c>
      <c r="AL74" s="196">
        <f t="shared" si="100"/>
        <v>10276.159541416224</v>
      </c>
      <c r="AM74" s="196">
        <f t="shared" si="229"/>
        <v>20552.319082832448</v>
      </c>
      <c r="AN74" s="627">
        <f t="shared" si="230"/>
        <v>9.9509813721375146E-4</v>
      </c>
      <c r="AO74" s="196">
        <f t="shared" si="231"/>
        <v>9762.351564345412</v>
      </c>
      <c r="AP74" s="589">
        <f t="shared" si="251"/>
        <v>9.9509813721375146E-4</v>
      </c>
      <c r="AQ74" s="196"/>
      <c r="AR74" s="589"/>
      <c r="AS74">
        <v>1</v>
      </c>
      <c r="AT74" s="589">
        <f t="shared" si="252"/>
        <v>1.2919896640826874E-3</v>
      </c>
      <c r="AU74" s="196">
        <v>11</v>
      </c>
      <c r="AV74" s="245">
        <f t="shared" si="232"/>
        <v>1.2498579706851495E-3</v>
      </c>
      <c r="AX74" s="245"/>
      <c r="AY74" s="245"/>
      <c r="AZ74" s="196">
        <v>41</v>
      </c>
      <c r="BA74" s="589">
        <f t="shared" si="265"/>
        <v>1.5023267743944891E-3</v>
      </c>
      <c r="BI74" s="196">
        <v>0</v>
      </c>
      <c r="BK74" s="246">
        <f t="shared" si="266"/>
        <v>0</v>
      </c>
      <c r="BL74" s="246"/>
      <c r="BM74" s="246">
        <f t="shared" si="267"/>
        <v>0</v>
      </c>
      <c r="BN74" s="196">
        <v>1</v>
      </c>
      <c r="BO74" s="196">
        <f t="shared" si="217"/>
        <v>19192.21059894015</v>
      </c>
      <c r="BP74" s="196">
        <f t="shared" si="233"/>
        <v>19192.21059894015</v>
      </c>
      <c r="BQ74" s="248">
        <f t="shared" si="268"/>
        <v>1.7953419282426908E-3</v>
      </c>
      <c r="BR74" s="248"/>
      <c r="BS74" s="248"/>
      <c r="BT74" s="276">
        <v>0</v>
      </c>
      <c r="BU74" s="196">
        <f t="shared" si="234"/>
        <v>0</v>
      </c>
      <c r="BV74" s="264">
        <f t="shared" si="269"/>
        <v>0</v>
      </c>
      <c r="BW74" s="196">
        <f t="shared" si="235"/>
        <v>0</v>
      </c>
      <c r="BX74" s="247">
        <f t="shared" si="270"/>
        <v>0</v>
      </c>
      <c r="BY74" s="196">
        <f t="shared" si="83"/>
        <v>0</v>
      </c>
      <c r="BZ74" s="620">
        <v>1</v>
      </c>
      <c r="CA74" s="196">
        <f t="shared" si="189"/>
        <v>78612.620491834125</v>
      </c>
      <c r="CB74" s="196">
        <f t="shared" si="190"/>
        <v>157225.24098366825</v>
      </c>
      <c r="CC74" s="196">
        <f t="shared" si="248"/>
        <v>235837.86147550237</v>
      </c>
      <c r="CD74" s="247">
        <f t="shared" si="236"/>
        <v>9.9509813721375146E-4</v>
      </c>
      <c r="CE74" s="196">
        <f t="shared" si="218"/>
        <v>28214.848878357887</v>
      </c>
      <c r="CF74" s="247">
        <f t="shared" si="237"/>
        <v>1.2184049212144838E-3</v>
      </c>
      <c r="CG74" s="196">
        <f t="shared" si="191"/>
        <v>39049.406257381648</v>
      </c>
      <c r="CH74" s="589">
        <f t="shared" si="253"/>
        <v>9.9509813721375146E-4</v>
      </c>
      <c r="CI74" s="196">
        <f t="shared" si="219"/>
        <v>59916.566541910797</v>
      </c>
      <c r="CJ74" s="248">
        <f t="shared" si="254"/>
        <v>9.8502820186065904E-4</v>
      </c>
      <c r="CK74" s="196">
        <f t="shared" si="220"/>
        <v>47418.117534633064</v>
      </c>
      <c r="CL74" s="589">
        <f t="shared" si="255"/>
        <v>6.8164519305100632E-4</v>
      </c>
      <c r="CM74" s="196">
        <f t="shared" si="221"/>
        <v>4593.6406658867008</v>
      </c>
      <c r="CN74" s="589">
        <f t="shared" si="256"/>
        <v>6.6199582507743841E-4</v>
      </c>
      <c r="CO74" s="196">
        <f t="shared" si="222"/>
        <v>367.46379800329788</v>
      </c>
      <c r="CP74" s="589">
        <f t="shared" si="257"/>
        <v>6.9298012318967813E-4</v>
      </c>
      <c r="CQ74" s="196">
        <f>'Detailed Budget'!$AC$12</f>
        <v>292876014141.44696</v>
      </c>
      <c r="CR74" s="269">
        <f t="shared" si="263"/>
        <v>0</v>
      </c>
      <c r="CS74" s="269">
        <f>'Detailed Budget'!$AC$16</f>
        <v>10488008800.000002</v>
      </c>
      <c r="CT74" s="607">
        <f t="shared" si="193"/>
        <v>0</v>
      </c>
      <c r="CU74" s="269">
        <f>'Detailed Budget'!$AC$24</f>
        <v>30624985696</v>
      </c>
      <c r="CV74" s="269">
        <f t="shared" si="264"/>
        <v>0</v>
      </c>
      <c r="CW74" s="269"/>
      <c r="CX74" s="269">
        <f t="shared" si="249"/>
        <v>0</v>
      </c>
      <c r="CY74" s="196">
        <f>'Detailed Budget'!$AC$97</f>
        <v>74629165494.837845</v>
      </c>
      <c r="CZ74" s="269">
        <f t="shared" si="194"/>
        <v>133984869.88264507</v>
      </c>
      <c r="DA74" s="269">
        <f>'Detailed Budget'!$AC$100</f>
        <v>14925833098.967569</v>
      </c>
      <c r="DB74" s="269">
        <f t="shared" si="195"/>
        <v>26796973.976529013</v>
      </c>
      <c r="DC74" s="269">
        <f t="shared" si="238"/>
        <v>160781843.85917407</v>
      </c>
      <c r="DD74" s="207">
        <v>0</v>
      </c>
      <c r="DE74" s="606">
        <v>0</v>
      </c>
      <c r="DF74" s="269">
        <f>'Detailed Budget'!$AC$147</f>
        <v>5913600671000</v>
      </c>
      <c r="DG74" s="269">
        <f t="shared" si="258"/>
        <v>0</v>
      </c>
      <c r="DH74" s="269">
        <f>'Detailed Budget'!$AC$153</f>
        <v>226428026880.00003</v>
      </c>
      <c r="DI74" s="269"/>
      <c r="DJ74" s="269">
        <f>'Detailed Budget'!$AC$156</f>
        <v>27713070000</v>
      </c>
      <c r="DK74" s="269"/>
      <c r="DL74" s="269"/>
      <c r="DM74" s="196">
        <f>'Detailed Budget'!$AC$178</f>
        <v>5622683761.6229038</v>
      </c>
      <c r="DN74" s="269">
        <f t="shared" si="223"/>
        <v>0</v>
      </c>
      <c r="DO74" s="196">
        <f>'Detailed Budget'!$AC$179</f>
        <v>26827890683.128094</v>
      </c>
      <c r="DP74" s="269">
        <f t="shared" si="224"/>
        <v>0</v>
      </c>
      <c r="DQ74" s="269">
        <f t="shared" si="89"/>
        <v>0</v>
      </c>
      <c r="DR74" s="269">
        <f>'Detailed Budget'!$AC$181</f>
        <v>50888946855.375237</v>
      </c>
      <c r="DS74" s="269">
        <f t="shared" si="225"/>
        <v>0</v>
      </c>
      <c r="DT74" s="269">
        <f t="shared" si="226"/>
        <v>0</v>
      </c>
      <c r="DU74" s="272">
        <f>'Detailed Budget'!$AC$192</f>
        <v>77498869683.252869</v>
      </c>
      <c r="DV74" s="269">
        <f t="shared" si="196"/>
        <v>77118980.857976213</v>
      </c>
      <c r="DW74" s="140">
        <f>'Detailed Budget'!$AC$194</f>
        <v>2684962805.4134097</v>
      </c>
      <c r="DX74" s="269">
        <f t="shared" si="197"/>
        <v>2671801.4861550923</v>
      </c>
      <c r="DY74" s="607">
        <f t="shared" si="239"/>
        <v>79790782.344131306</v>
      </c>
      <c r="DZ74" s="196">
        <f>'Detailed Budget'!$AC$198</f>
        <v>18732540018.380611</v>
      </c>
      <c r="EA74" s="269">
        <f t="shared" si="198"/>
        <v>22823818.945242193</v>
      </c>
      <c r="EB74" s="196">
        <f>'Detailed Budget'!$AC$200</f>
        <v>4683135004.5951529</v>
      </c>
      <c r="EC74" s="269">
        <f t="shared" si="199"/>
        <v>5705954.7363105481</v>
      </c>
      <c r="ED74" s="269">
        <f t="shared" si="240"/>
        <v>28529773.681552742</v>
      </c>
      <c r="EE74" s="196">
        <f>'Detailed Budget'!$AC$161</f>
        <v>251147290106.36197</v>
      </c>
      <c r="EF74" s="269">
        <f t="shared" si="200"/>
        <v>249916200.55112243</v>
      </c>
      <c r="EG74" s="196">
        <f>'Detailed Budget'!$AC$163</f>
        <v>15696705631.647623</v>
      </c>
      <c r="EH74" s="269">
        <f t="shared" si="201"/>
        <v>15619762.534445152</v>
      </c>
      <c r="EI74" s="269">
        <f t="shared" si="241"/>
        <v>265535963.08556759</v>
      </c>
      <c r="EJ74" s="196">
        <f>'Detailed Budget'!$AC$204</f>
        <v>45012172507.531975</v>
      </c>
      <c r="EK74" s="269">
        <f t="shared" si="202"/>
        <v>44338259.34693601</v>
      </c>
      <c r="EL74" s="201">
        <f>'Detailed Budget'!$AC$206</f>
        <v>11253043126.882994</v>
      </c>
      <c r="EM74" s="269">
        <f t="shared" si="203"/>
        <v>11084564.836734002</v>
      </c>
      <c r="EN74" s="269">
        <f t="shared" si="242"/>
        <v>55422824.183670014</v>
      </c>
      <c r="EO74" s="140">
        <f>'Detailed Budget'!$AC$209</f>
        <v>135789361677.54817</v>
      </c>
      <c r="EP74" s="269">
        <f t="shared" si="204"/>
        <v>92560165.654965237</v>
      </c>
      <c r="EQ74" s="196">
        <f>'Detailed Budget'!$AC$211</f>
        <v>33947340419.387043</v>
      </c>
      <c r="ER74" s="269">
        <f t="shared" si="205"/>
        <v>23140041.413741309</v>
      </c>
      <c r="ES74" s="269">
        <f t="shared" si="243"/>
        <v>115700207.06870654</v>
      </c>
      <c r="ET74" s="196">
        <f>'Detailed Budget'!$AC$214</f>
        <v>22239745544.201103</v>
      </c>
      <c r="EU74" s="269">
        <f t="shared" si="206"/>
        <v>14722618.701045694</v>
      </c>
      <c r="EV74" s="140">
        <f>'Detailed Budget'!$AC$217</f>
        <v>5559936386.0502758</v>
      </c>
      <c r="EW74" s="269">
        <f t="shared" si="207"/>
        <v>3680654.6752614235</v>
      </c>
      <c r="EX74" s="269">
        <f t="shared" si="244"/>
        <v>18403273.376307119</v>
      </c>
      <c r="EY74" s="196">
        <f>'Detailed Budget'!$AC$219</f>
        <v>372777004.58170313</v>
      </c>
      <c r="EZ74" s="269">
        <f t="shared" si="208"/>
        <v>258327.05455730783</v>
      </c>
      <c r="FA74" s="196">
        <f>'Detailed Budget'!$AC$222</f>
        <v>93194251.145425782</v>
      </c>
      <c r="FB74" s="269">
        <f t="shared" si="209"/>
        <v>64581.763639326957</v>
      </c>
      <c r="FC74" s="269">
        <f t="shared" si="245"/>
        <v>322908.81819663476</v>
      </c>
      <c r="FD74" s="269"/>
      <c r="FE74" s="269">
        <f t="shared" si="246"/>
        <v>189849213.44688031</v>
      </c>
      <c r="FF74" s="140">
        <f>'Detailed Budget'!$AC$165</f>
        <v>14927760000</v>
      </c>
      <c r="FG74" s="1087">
        <f t="shared" si="259"/>
        <v>258966893.99255306</v>
      </c>
      <c r="FH74" s="269">
        <f t="shared" si="210"/>
        <v>18657579.820474949</v>
      </c>
      <c r="FJ74" s="140">
        <f>'Detailed Budget'!$AC$235</f>
        <v>3623696172</v>
      </c>
      <c r="FK74" s="269">
        <f t="shared" si="211"/>
        <v>4681778</v>
      </c>
      <c r="FL74" s="269">
        <f t="shared" si="260"/>
        <v>4681778</v>
      </c>
      <c r="FO74" s="607"/>
      <c r="FP74" s="607"/>
      <c r="FQ74" s="607"/>
      <c r="FR74" s="269">
        <f>'Detailed Budget'!$AC$257</f>
        <v>13636439388</v>
      </c>
      <c r="FS74" s="269">
        <f t="shared" si="212"/>
        <v>20486388</v>
      </c>
      <c r="FT74" s="269">
        <f t="shared" si="261"/>
        <v>20486388</v>
      </c>
      <c r="FU74" s="269"/>
      <c r="FV74" s="269"/>
      <c r="FW74" s="605"/>
      <c r="FX74" s="140">
        <f>'Detailed Budget'!$AC$278</f>
        <v>1114560000</v>
      </c>
      <c r="FY74" s="269">
        <f t="shared" si="213"/>
        <v>1440000</v>
      </c>
      <c r="FZ74" s="269">
        <f t="shared" si="262"/>
        <v>1440000</v>
      </c>
      <c r="GB74" s="269">
        <f t="shared" si="271"/>
        <v>1028720216.2303342</v>
      </c>
      <c r="GC74" s="887">
        <f t="shared" si="247"/>
        <v>642950.13514395885</v>
      </c>
      <c r="GD74" s="1078">
        <f t="shared" si="272"/>
        <v>5.7724730680364415E-4</v>
      </c>
    </row>
    <row r="75" spans="1:186" hidden="1" outlineLevel="1">
      <c r="A75" s="211" t="s">
        <v>337</v>
      </c>
      <c r="B75" s="212" t="s">
        <v>338</v>
      </c>
      <c r="C75" s="213" t="s">
        <v>215</v>
      </c>
      <c r="D75" s="214"/>
      <c r="E75" s="213"/>
      <c r="F75" s="213"/>
      <c r="G75" s="213" t="s">
        <v>215</v>
      </c>
      <c r="H75" s="213" t="s">
        <v>215</v>
      </c>
      <c r="I75" s="214" t="s">
        <v>215</v>
      </c>
      <c r="J75" s="214"/>
      <c r="K75" s="213"/>
      <c r="L75" s="213"/>
      <c r="M75" s="214"/>
      <c r="N75" s="213" t="s">
        <v>215</v>
      </c>
      <c r="O75" s="214"/>
      <c r="P75" s="213"/>
      <c r="Q75" s="214"/>
      <c r="R75" s="214" t="s">
        <v>215</v>
      </c>
      <c r="S75" s="214"/>
      <c r="T75" s="214"/>
      <c r="U75" s="215">
        <f t="shared" si="214"/>
        <v>6</v>
      </c>
      <c r="V75" s="845" t="s">
        <v>216</v>
      </c>
      <c r="W75" s="216">
        <v>59481</v>
      </c>
      <c r="X75" s="217">
        <v>2.96</v>
      </c>
      <c r="Y75" s="218">
        <f t="shared" si="57"/>
        <v>1.0296000000000001</v>
      </c>
      <c r="Z75" s="196">
        <v>19</v>
      </c>
      <c r="AA75" s="218">
        <f t="shared" si="184"/>
        <v>1.7406126843598355</v>
      </c>
      <c r="AB75" s="196">
        <f t="shared" si="171"/>
        <v>103533.38307840738</v>
      </c>
      <c r="AC75">
        <v>17.399999999999999</v>
      </c>
      <c r="AD75" s="196">
        <f t="shared" si="172"/>
        <v>18014.808655642883</v>
      </c>
      <c r="AE75" s="196">
        <f t="shared" si="95"/>
        <v>17114.068222860737</v>
      </c>
      <c r="AF75" s="196">
        <f t="shared" si="215"/>
        <v>0</v>
      </c>
      <c r="AG75" s="606">
        <f t="shared" si="250"/>
        <v>7.91279382457809E-4</v>
      </c>
      <c r="AH75" s="196">
        <f t="shared" si="227"/>
        <v>5176.6691539203694</v>
      </c>
      <c r="AI75" s="248">
        <f t="shared" si="216"/>
        <v>4.0102871593432761E-4</v>
      </c>
      <c r="AJ75" s="196">
        <f t="shared" si="228"/>
        <v>23191.47780956325</v>
      </c>
      <c r="AK75" s="196">
        <f t="shared" si="99"/>
        <v>4141.3353231362953</v>
      </c>
      <c r="AL75" s="196">
        <f t="shared" si="100"/>
        <v>4141.3353231362953</v>
      </c>
      <c r="AM75" s="196">
        <f t="shared" si="229"/>
        <v>8282.6706462725906</v>
      </c>
      <c r="AN75" s="627">
        <f t="shared" si="230"/>
        <v>4.0102871593432755E-4</v>
      </c>
      <c r="AO75" s="196">
        <f t="shared" si="231"/>
        <v>3934.2685569794803</v>
      </c>
      <c r="AP75" s="589">
        <f t="shared" si="251"/>
        <v>4.0102871593432755E-4</v>
      </c>
      <c r="AQ75" s="196"/>
      <c r="AR75" s="589"/>
      <c r="AS75">
        <v>1</v>
      </c>
      <c r="AT75" s="589">
        <f t="shared" si="252"/>
        <v>1.2919896640826874E-3</v>
      </c>
      <c r="AU75" s="196">
        <v>11</v>
      </c>
      <c r="AV75" s="245">
        <f t="shared" si="232"/>
        <v>1.2498579706851495E-3</v>
      </c>
      <c r="AX75" s="245"/>
      <c r="AY75" s="245"/>
      <c r="AZ75" s="196">
        <v>26</v>
      </c>
      <c r="BA75" s="589">
        <f t="shared" si="265"/>
        <v>9.526950276647979E-4</v>
      </c>
      <c r="BI75" s="196">
        <v>0</v>
      </c>
      <c r="BK75" s="246">
        <f t="shared" si="266"/>
        <v>0</v>
      </c>
      <c r="BL75" s="246"/>
      <c r="BM75" s="246">
        <f t="shared" si="267"/>
        <v>0</v>
      </c>
      <c r="BN75" s="196">
        <v>1</v>
      </c>
      <c r="BO75" s="196">
        <f t="shared" si="217"/>
        <v>7734.5412322693282</v>
      </c>
      <c r="BP75" s="196">
        <f t="shared" si="233"/>
        <v>7734.5412322693282</v>
      </c>
      <c r="BQ75" s="248">
        <f t="shared" si="268"/>
        <v>7.2353031446944669E-4</v>
      </c>
      <c r="BR75" s="248"/>
      <c r="BS75" s="248"/>
      <c r="BT75" s="276">
        <v>0</v>
      </c>
      <c r="BU75" s="196">
        <f t="shared" si="234"/>
        <v>0</v>
      </c>
      <c r="BV75" s="264">
        <f t="shared" si="269"/>
        <v>0</v>
      </c>
      <c r="BW75" s="196">
        <f t="shared" si="235"/>
        <v>0</v>
      </c>
      <c r="BX75" s="247">
        <f t="shared" si="270"/>
        <v>0</v>
      </c>
      <c r="BY75" s="196">
        <f t="shared" si="83"/>
        <v>0</v>
      </c>
      <c r="BZ75" s="620">
        <v>1</v>
      </c>
      <c r="CA75" s="196">
        <f t="shared" si="189"/>
        <v>31681.215221992657</v>
      </c>
      <c r="CB75" s="196">
        <f t="shared" si="190"/>
        <v>63362.430443985315</v>
      </c>
      <c r="CC75" s="196">
        <f t="shared" si="248"/>
        <v>95043.645665977965</v>
      </c>
      <c r="CD75" s="247">
        <f t="shared" si="236"/>
        <v>4.010287159343275E-4</v>
      </c>
      <c r="CE75" s="196">
        <f t="shared" si="218"/>
        <v>11370.702238123537</v>
      </c>
      <c r="CF75" s="247">
        <f t="shared" si="237"/>
        <v>4.9102228490832082E-4</v>
      </c>
      <c r="CG75" s="196">
        <f t="shared" si="191"/>
        <v>15737.074227917921</v>
      </c>
      <c r="CH75" s="589">
        <f t="shared" si="253"/>
        <v>4.0102871593432755E-4</v>
      </c>
      <c r="CI75" s="196">
        <f t="shared" si="219"/>
        <v>24146.627196765428</v>
      </c>
      <c r="CJ75" s="248">
        <f t="shared" si="254"/>
        <v>3.9697048982258003E-4</v>
      </c>
      <c r="CK75" s="196">
        <f t="shared" si="220"/>
        <v>19109.699913800763</v>
      </c>
      <c r="CL75" s="589">
        <f t="shared" si="255"/>
        <v>2.7470586695845981E-4</v>
      </c>
      <c r="CM75" s="196">
        <f t="shared" si="221"/>
        <v>1851.2564226703448</v>
      </c>
      <c r="CN75" s="589">
        <f t="shared" si="256"/>
        <v>2.6678708939002342E-4</v>
      </c>
      <c r="CO75" s="196">
        <f t="shared" si="222"/>
        <v>148.08944922580974</v>
      </c>
      <c r="CP75" s="589">
        <f t="shared" si="257"/>
        <v>2.7927389126553416E-4</v>
      </c>
      <c r="CQ75" s="196">
        <f>'Detailed Budget'!$AC$12</f>
        <v>292876014141.44696</v>
      </c>
      <c r="CR75" s="269">
        <f t="shared" si="263"/>
        <v>0</v>
      </c>
      <c r="CS75" s="269">
        <f>'Detailed Budget'!$AC$16</f>
        <v>10488008800.000002</v>
      </c>
      <c r="CT75" s="607">
        <f t="shared" si="193"/>
        <v>0</v>
      </c>
      <c r="CU75" s="269">
        <f>'Detailed Budget'!$AC$24</f>
        <v>30624985696</v>
      </c>
      <c r="CV75" s="269">
        <f t="shared" si="264"/>
        <v>0</v>
      </c>
      <c r="CW75" s="269"/>
      <c r="CX75" s="269">
        <f t="shared" si="249"/>
        <v>0</v>
      </c>
      <c r="CY75" s="196">
        <f>'Detailed Budget'!$AC$97</f>
        <v>74629165494.837845</v>
      </c>
      <c r="CZ75" s="269">
        <f t="shared" si="194"/>
        <v>53996463.579072408</v>
      </c>
      <c r="DA75" s="269">
        <f>'Detailed Budget'!$AC$100</f>
        <v>14925833098.967569</v>
      </c>
      <c r="DB75" s="269">
        <f t="shared" si="195"/>
        <v>10799292.715814482</v>
      </c>
      <c r="DC75" s="269">
        <f t="shared" si="238"/>
        <v>64795756.294886887</v>
      </c>
      <c r="DD75" s="207">
        <v>0</v>
      </c>
      <c r="DE75" s="606">
        <v>0</v>
      </c>
      <c r="DF75" s="269">
        <f>'Detailed Budget'!$AC$147</f>
        <v>5913600671000</v>
      </c>
      <c r="DG75" s="269">
        <f t="shared" si="258"/>
        <v>0</v>
      </c>
      <c r="DH75" s="269">
        <f>'Detailed Budget'!$AC$153</f>
        <v>226428026880.00003</v>
      </c>
      <c r="DI75" s="269"/>
      <c r="DJ75" s="269">
        <f>'Detailed Budget'!$AC$156</f>
        <v>27713070000</v>
      </c>
      <c r="DK75" s="269"/>
      <c r="DL75" s="269"/>
      <c r="DM75" s="196">
        <f>'Detailed Budget'!$AC$178</f>
        <v>5622683761.6229038</v>
      </c>
      <c r="DN75" s="269">
        <f t="shared" si="223"/>
        <v>0</v>
      </c>
      <c r="DO75" s="196">
        <f>'Detailed Budget'!$AC$179</f>
        <v>26827890683.128094</v>
      </c>
      <c r="DP75" s="269">
        <f t="shared" si="224"/>
        <v>0</v>
      </c>
      <c r="DQ75" s="269">
        <f t="shared" ref="DQ75:DQ141" si="273">DN75+DP75</f>
        <v>0</v>
      </c>
      <c r="DR75" s="269">
        <f>'Detailed Budget'!$AC$181</f>
        <v>50888946855.375237</v>
      </c>
      <c r="DS75" s="269">
        <f t="shared" si="225"/>
        <v>0</v>
      </c>
      <c r="DT75" s="269">
        <f t="shared" si="226"/>
        <v>0</v>
      </c>
      <c r="DU75" s="272">
        <f>'Detailed Budget'!$AC$192</f>
        <v>77498869683.252869</v>
      </c>
      <c r="DV75" s="269">
        <f t="shared" si="196"/>
        <v>31079272.195436679</v>
      </c>
      <c r="DW75" s="140">
        <f>'Detailed Budget'!$AC$194</f>
        <v>2684962805.4134097</v>
      </c>
      <c r="DX75" s="269">
        <f t="shared" si="197"/>
        <v>1076747.1861863695</v>
      </c>
      <c r="DY75" s="607">
        <f t="shared" si="239"/>
        <v>32156019.381623048</v>
      </c>
      <c r="DZ75" s="196">
        <f>'Detailed Budget'!$AC$198</f>
        <v>18732540018.380611</v>
      </c>
      <c r="EA75" s="269">
        <f t="shared" si="198"/>
        <v>9198094.6019618064</v>
      </c>
      <c r="EB75" s="196">
        <f>'Detailed Budget'!$AC$200</f>
        <v>4683135004.5951529</v>
      </c>
      <c r="EC75" s="269">
        <f t="shared" si="199"/>
        <v>2299523.6504904516</v>
      </c>
      <c r="ED75" s="269">
        <f t="shared" si="240"/>
        <v>11497618.252452258</v>
      </c>
      <c r="EE75" s="196">
        <f>'Detailed Budget'!$AC$161</f>
        <v>251147290106.36197</v>
      </c>
      <c r="EF75" s="269">
        <f t="shared" si="200"/>
        <v>100717275.26174039</v>
      </c>
      <c r="EG75" s="196">
        <f>'Detailed Budget'!$AC$163</f>
        <v>15696705631.647623</v>
      </c>
      <c r="EH75" s="269">
        <f t="shared" si="201"/>
        <v>6294829.7038587742</v>
      </c>
      <c r="EI75" s="269">
        <f t="shared" si="241"/>
        <v>107012104.96559916</v>
      </c>
      <c r="EJ75" s="196">
        <f>'Detailed Budget'!$AC$204</f>
        <v>45012172507.531975</v>
      </c>
      <c r="EK75" s="269">
        <f t="shared" si="202"/>
        <v>17868504.168293439</v>
      </c>
      <c r="EL75" s="201">
        <f>'Detailed Budget'!$AC$206</f>
        <v>11253043126.882994</v>
      </c>
      <c r="EM75" s="269">
        <f t="shared" si="203"/>
        <v>4467126.0420733597</v>
      </c>
      <c r="EN75" s="269">
        <f t="shared" si="242"/>
        <v>22335630.2103668</v>
      </c>
      <c r="EO75" s="140">
        <f>'Detailed Budget'!$AC$209</f>
        <v>135789361677.54817</v>
      </c>
      <c r="EP75" s="269">
        <f t="shared" si="204"/>
        <v>37302134.323366731</v>
      </c>
      <c r="EQ75" s="196">
        <f>'Detailed Budget'!$AC$211</f>
        <v>33947340419.387043</v>
      </c>
      <c r="ER75" s="269">
        <f t="shared" si="205"/>
        <v>9325533.5808416829</v>
      </c>
      <c r="ES75" s="269">
        <f t="shared" si="243"/>
        <v>46627667.904208414</v>
      </c>
      <c r="ET75" s="196">
        <f>'Detailed Budget'!$AC$214</f>
        <v>22239745544.201103</v>
      </c>
      <c r="EU75" s="269">
        <f t="shared" si="206"/>
        <v>5933276.9825121546</v>
      </c>
      <c r="EV75" s="140">
        <f>'Detailed Budget'!$AC$217</f>
        <v>5559936386.0502758</v>
      </c>
      <c r="EW75" s="269">
        <f t="shared" si="207"/>
        <v>1483319.2456280387</v>
      </c>
      <c r="EX75" s="269">
        <f t="shared" si="244"/>
        <v>7416596.228140193</v>
      </c>
      <c r="EY75" s="196">
        <f>'Detailed Budget'!$AC$219</f>
        <v>372777004.58170313</v>
      </c>
      <c r="EZ75" s="269">
        <f t="shared" si="208"/>
        <v>104106.88464384209</v>
      </c>
      <c r="FA75" s="196">
        <f>'Detailed Budget'!$AC$222</f>
        <v>93194251.145425782</v>
      </c>
      <c r="FB75" s="269">
        <f t="shared" si="209"/>
        <v>26026.721160960522</v>
      </c>
      <c r="FC75" s="269">
        <f t="shared" si="245"/>
        <v>130133.60580480262</v>
      </c>
      <c r="FD75" s="269"/>
      <c r="FE75" s="269">
        <f t="shared" si="246"/>
        <v>76510027.948520198</v>
      </c>
      <c r="FF75" s="140">
        <f>'Detailed Budget'!$AC$165</f>
        <v>14927760000</v>
      </c>
      <c r="FG75" s="1087">
        <f t="shared" si="259"/>
        <v>104364742.61535734</v>
      </c>
      <c r="FH75" s="269">
        <f t="shared" si="210"/>
        <v>18657579.820474949</v>
      </c>
      <c r="FJ75" s="140">
        <f>'Detailed Budget'!$AC$235</f>
        <v>3623696172</v>
      </c>
      <c r="FK75" s="269">
        <f t="shared" si="211"/>
        <v>4681778</v>
      </c>
      <c r="FL75" s="269">
        <f t="shared" si="260"/>
        <v>4681778</v>
      </c>
      <c r="FO75" s="607"/>
      <c r="FP75" s="607"/>
      <c r="FQ75" s="607"/>
      <c r="FR75" s="269">
        <f>'Detailed Budget'!$AC$257</f>
        <v>13636439388</v>
      </c>
      <c r="FS75" s="269">
        <f t="shared" si="212"/>
        <v>12991368</v>
      </c>
      <c r="FT75" s="269">
        <f t="shared" si="261"/>
        <v>12991368</v>
      </c>
      <c r="FU75" s="269"/>
      <c r="FV75" s="269"/>
      <c r="FW75" s="605"/>
      <c r="FX75" s="140">
        <f>'Detailed Budget'!$AC$278</f>
        <v>1114560000</v>
      </c>
      <c r="FY75" s="269">
        <f t="shared" si="213"/>
        <v>1440000</v>
      </c>
      <c r="FZ75" s="269">
        <f t="shared" si="262"/>
        <v>1440000</v>
      </c>
      <c r="GB75" s="269">
        <f t="shared" si="271"/>
        <v>434106995.2789138</v>
      </c>
      <c r="GC75" s="887">
        <f t="shared" si="247"/>
        <v>271316.87204932113</v>
      </c>
      <c r="GD75" s="1078">
        <f t="shared" si="272"/>
        <v>2.4359110469086755E-4</v>
      </c>
    </row>
    <row r="76" spans="1:186" hidden="1" outlineLevel="1">
      <c r="A76" s="211" t="s">
        <v>339</v>
      </c>
      <c r="B76" s="212" t="s">
        <v>340</v>
      </c>
      <c r="C76" s="213" t="s">
        <v>215</v>
      </c>
      <c r="D76" s="214" t="s">
        <v>215</v>
      </c>
      <c r="E76" s="213"/>
      <c r="F76" s="213"/>
      <c r="G76" s="213"/>
      <c r="H76" s="213" t="s">
        <v>215</v>
      </c>
      <c r="I76" s="214" t="s">
        <v>215</v>
      </c>
      <c r="J76" s="214"/>
      <c r="K76" s="213" t="s">
        <v>215</v>
      </c>
      <c r="L76" s="213"/>
      <c r="M76" s="214"/>
      <c r="N76" s="213"/>
      <c r="O76" s="214"/>
      <c r="P76" s="213"/>
      <c r="Q76" s="214"/>
      <c r="R76" s="214" t="s">
        <v>215</v>
      </c>
      <c r="S76" s="214"/>
      <c r="T76" s="214"/>
      <c r="U76" s="215">
        <f t="shared" si="214"/>
        <v>6</v>
      </c>
      <c r="V76" s="845" t="s">
        <v>219</v>
      </c>
      <c r="W76" s="216">
        <v>124015</v>
      </c>
      <c r="X76" s="217">
        <v>2.96</v>
      </c>
      <c r="Y76" s="218">
        <f t="shared" si="57"/>
        <v>1.0296000000000001</v>
      </c>
      <c r="Z76" s="196">
        <v>19</v>
      </c>
      <c r="AA76" s="218">
        <f t="shared" si="184"/>
        <v>1.7406126843598355</v>
      </c>
      <c r="AB76" s="196">
        <f t="shared" ref="AB76:AB109" si="274">W76*AA76</f>
        <v>215862.08205088502</v>
      </c>
      <c r="AC76">
        <v>17.399999999999999</v>
      </c>
      <c r="AD76" s="196">
        <f t="shared" ref="AD76:AD109" si="275">AB76*AC76/100</f>
        <v>37560.002276853986</v>
      </c>
      <c r="AE76" s="196">
        <f t="shared" si="95"/>
        <v>35682.002163011282</v>
      </c>
      <c r="AF76" s="196">
        <f t="shared" si="215"/>
        <v>35682.002163011282</v>
      </c>
      <c r="AG76" s="606">
        <f t="shared" si="250"/>
        <v>1.6497791330930076E-3</v>
      </c>
      <c r="AH76" s="196">
        <f t="shared" si="227"/>
        <v>10793.104102544252</v>
      </c>
      <c r="AI76" s="248">
        <f t="shared" si="216"/>
        <v>8.3612542167407474E-4</v>
      </c>
      <c r="AJ76" s="196">
        <f t="shared" si="228"/>
        <v>48353.106379398239</v>
      </c>
      <c r="AK76" s="196">
        <f t="shared" si="99"/>
        <v>8634.4832820354004</v>
      </c>
      <c r="AL76" s="196">
        <f t="shared" si="100"/>
        <v>8634.4832820354004</v>
      </c>
      <c r="AM76" s="196">
        <f t="shared" si="229"/>
        <v>17268.966564070801</v>
      </c>
      <c r="AN76" s="627">
        <f t="shared" si="230"/>
        <v>8.3612542167407463E-4</v>
      </c>
      <c r="AO76" s="196">
        <f t="shared" si="231"/>
        <v>8202.7591179336305</v>
      </c>
      <c r="AP76" s="589">
        <f t="shared" si="251"/>
        <v>8.3612542167407463E-4</v>
      </c>
      <c r="AQ76" s="196"/>
      <c r="AR76" s="589"/>
      <c r="AS76">
        <v>1</v>
      </c>
      <c r="AT76" s="589">
        <f t="shared" si="252"/>
        <v>1.2919896640826874E-3</v>
      </c>
      <c r="AU76" s="196">
        <v>10</v>
      </c>
      <c r="AV76" s="245">
        <f t="shared" si="232"/>
        <v>1.1362345188046814E-3</v>
      </c>
      <c r="AX76" s="245"/>
      <c r="AY76" s="245"/>
      <c r="AZ76" s="196">
        <v>28</v>
      </c>
      <c r="BA76" s="589">
        <f t="shared" si="265"/>
        <v>1.0259792605620901E-3</v>
      </c>
      <c r="BI76" s="196">
        <v>0</v>
      </c>
      <c r="BK76" s="246">
        <f t="shared" si="266"/>
        <v>0</v>
      </c>
      <c r="BL76" s="246"/>
      <c r="BM76" s="246">
        <f t="shared" si="267"/>
        <v>0</v>
      </c>
      <c r="BN76" s="196">
        <v>1</v>
      </c>
      <c r="BO76" s="196">
        <f t="shared" si="217"/>
        <v>16126.143321730986</v>
      </c>
      <c r="BP76" s="196">
        <f t="shared" si="233"/>
        <v>16126.143321730986</v>
      </c>
      <c r="BQ76" s="248">
        <f t="shared" si="268"/>
        <v>1.5085256123624088E-3</v>
      </c>
      <c r="BR76" s="248"/>
      <c r="BS76" s="248"/>
      <c r="BT76" s="276">
        <v>1</v>
      </c>
      <c r="BU76" s="196">
        <f t="shared" si="234"/>
        <v>29747.521803268355</v>
      </c>
      <c r="BV76" s="264">
        <f t="shared" si="269"/>
        <v>2.0633444587454426E-3</v>
      </c>
      <c r="BW76" s="196">
        <f t="shared" si="235"/>
        <v>127253.28771398132</v>
      </c>
      <c r="BX76" s="247">
        <f t="shared" si="270"/>
        <v>2.0633444773321291E-3</v>
      </c>
      <c r="BY76" s="196">
        <f t="shared" ref="BY76:BY142" si="276">BU76+BW76</f>
        <v>157000.80951724967</v>
      </c>
      <c r="BZ76" s="620">
        <v>0</v>
      </c>
      <c r="CA76" s="196">
        <f t="shared" si="189"/>
        <v>66053.797107570805</v>
      </c>
      <c r="CB76" s="196">
        <f t="shared" si="190"/>
        <v>132107.59421514161</v>
      </c>
      <c r="CC76" s="196">
        <f t="shared" si="248"/>
        <v>198161.39132271241</v>
      </c>
      <c r="CD76" s="247">
        <f t="shared" si="236"/>
        <v>8.3612542167407452E-4</v>
      </c>
      <c r="CE76" s="196">
        <f t="shared" si="218"/>
        <v>23707.362654644181</v>
      </c>
      <c r="CF76" s="247">
        <f t="shared" si="237"/>
        <v>1.0237576480372794E-3</v>
      </c>
      <c r="CG76" s="196">
        <f t="shared" si="191"/>
        <v>32811.036471734522</v>
      </c>
      <c r="CH76" s="589">
        <f t="shared" si="253"/>
        <v>8.3612542167407463E-4</v>
      </c>
      <c r="CI76" s="196">
        <f t="shared" si="219"/>
        <v>50344.546524215541</v>
      </c>
      <c r="CJ76" s="248">
        <f t="shared" si="254"/>
        <v>8.2766421706674835E-4</v>
      </c>
      <c r="CK76" s="196">
        <f t="shared" si="220"/>
        <v>39842.797444730277</v>
      </c>
      <c r="CL76" s="589">
        <f t="shared" si="255"/>
        <v>5.7274840858178905E-4</v>
      </c>
      <c r="CM76" s="196">
        <f t="shared" si="221"/>
        <v>3859.7798499934906</v>
      </c>
      <c r="CN76" s="589">
        <f t="shared" si="256"/>
        <v>5.5623814143514324E-4</v>
      </c>
      <c r="CO76" s="196">
        <f t="shared" si="222"/>
        <v>308.75931887054344</v>
      </c>
      <c r="CP76" s="589">
        <f t="shared" si="257"/>
        <v>5.8227251769968932E-4</v>
      </c>
      <c r="CQ76" s="196">
        <f>'Detailed Budget'!$AC$12</f>
        <v>292876014141.44696</v>
      </c>
      <c r="CR76" s="269">
        <f t="shared" si="263"/>
        <v>0</v>
      </c>
      <c r="CS76" s="269">
        <f>'Detailed Budget'!$AC$16</f>
        <v>10488008800.000002</v>
      </c>
      <c r="CT76" s="607">
        <f t="shared" si="193"/>
        <v>0</v>
      </c>
      <c r="CU76" s="269">
        <f>'Detailed Budget'!$AC$24</f>
        <v>30624985696</v>
      </c>
      <c r="CV76" s="269">
        <f t="shared" si="264"/>
        <v>0</v>
      </c>
      <c r="CW76" s="269"/>
      <c r="CX76" s="269">
        <f t="shared" si="249"/>
        <v>0</v>
      </c>
      <c r="CY76" s="196">
        <f>'Detailed Budget'!$AC$97</f>
        <v>74629165494.837845</v>
      </c>
      <c r="CZ76" s="269">
        <f t="shared" si="194"/>
        <v>112580007.57819581</v>
      </c>
      <c r="DA76" s="269">
        <f>'Detailed Budget'!$AC$100</f>
        <v>14925833098.967569</v>
      </c>
      <c r="DB76" s="269">
        <f t="shared" si="195"/>
        <v>22516001.515639164</v>
      </c>
      <c r="DC76" s="269">
        <f t="shared" si="238"/>
        <v>135096009.09383497</v>
      </c>
      <c r="DD76" s="207">
        <v>0</v>
      </c>
      <c r="DE76" s="606">
        <v>0</v>
      </c>
      <c r="DF76" s="269">
        <f>'Detailed Budget'!$AC$147</f>
        <v>5913600671000</v>
      </c>
      <c r="DG76" s="269">
        <f t="shared" si="258"/>
        <v>0</v>
      </c>
      <c r="DH76" s="269">
        <f>'Detailed Budget'!$AC$153</f>
        <v>226428026880.00003</v>
      </c>
      <c r="DI76" s="269"/>
      <c r="DJ76" s="269">
        <f>'Detailed Budget'!$AC$156</f>
        <v>27713070000</v>
      </c>
      <c r="DK76" s="269"/>
      <c r="DL76" s="269"/>
      <c r="DM76" s="196">
        <f>'Detailed Budget'!$AC$178</f>
        <v>5622683761.6229038</v>
      </c>
      <c r="DN76" s="269">
        <f t="shared" si="223"/>
        <v>11601533.382822599</v>
      </c>
      <c r="DO76" s="196">
        <f>'Detailed Budget'!$AC$179</f>
        <v>26827890683.128094</v>
      </c>
      <c r="DP76" s="269">
        <f t="shared" si="224"/>
        <v>55355180.079502434</v>
      </c>
      <c r="DQ76" s="269">
        <f t="shared" si="273"/>
        <v>66956713.462325037</v>
      </c>
      <c r="DR76" s="269">
        <f>'Detailed Budget'!$AC$181</f>
        <v>50888946855.375237</v>
      </c>
      <c r="DS76" s="269">
        <f t="shared" si="225"/>
        <v>83955522.627077088</v>
      </c>
      <c r="DT76" s="269">
        <f t="shared" si="226"/>
        <v>150912236.08940214</v>
      </c>
      <c r="DU76" s="272">
        <f>'Detailed Budget'!$AC$192</f>
        <v>77498869683.252869</v>
      </c>
      <c r="DV76" s="269">
        <f t="shared" si="196"/>
        <v>0</v>
      </c>
      <c r="DW76" s="140">
        <f>'Detailed Budget'!$AC$194</f>
        <v>2684962805.4134097</v>
      </c>
      <c r="DX76" s="269">
        <f t="shared" si="197"/>
        <v>0</v>
      </c>
      <c r="DY76" s="607">
        <f t="shared" si="239"/>
        <v>0</v>
      </c>
      <c r="DZ76" s="196">
        <f>'Detailed Budget'!$AC$198</f>
        <v>18732540018.380611</v>
      </c>
      <c r="EA76" s="269">
        <f t="shared" si="198"/>
        <v>19177581.11098155</v>
      </c>
      <c r="EB76" s="196">
        <f>'Detailed Budget'!$AC$200</f>
        <v>4683135004.5951529</v>
      </c>
      <c r="EC76" s="269">
        <f t="shared" si="199"/>
        <v>4794395.2777453875</v>
      </c>
      <c r="ED76" s="269">
        <f t="shared" si="240"/>
        <v>23971976.388726939</v>
      </c>
      <c r="EE76" s="196">
        <f>'Detailed Budget'!$AC$161</f>
        <v>251147290106.36197</v>
      </c>
      <c r="EF76" s="269">
        <f t="shared" si="200"/>
        <v>209990633.84248304</v>
      </c>
      <c r="EG76" s="196">
        <f>'Detailed Budget'!$AC$163</f>
        <v>15696705631.647623</v>
      </c>
      <c r="EH76" s="269">
        <f t="shared" si="201"/>
        <v>13124414.61515519</v>
      </c>
      <c r="EI76" s="269">
        <f t="shared" si="241"/>
        <v>223115048.45763823</v>
      </c>
      <c r="EJ76" s="196">
        <f>'Detailed Budget'!$AC$204</f>
        <v>45012172507.531975</v>
      </c>
      <c r="EK76" s="269">
        <f t="shared" si="202"/>
        <v>37254964.516919866</v>
      </c>
      <c r="EL76" s="201">
        <f>'Detailed Budget'!$AC$206</f>
        <v>11253043126.882994</v>
      </c>
      <c r="EM76" s="269">
        <f t="shared" si="203"/>
        <v>9313741.1292299666</v>
      </c>
      <c r="EN76" s="269">
        <f t="shared" si="242"/>
        <v>46568705.646149829</v>
      </c>
      <c r="EO76" s="140">
        <f>'Detailed Budget'!$AC$209</f>
        <v>135789361677.54817</v>
      </c>
      <c r="EP76" s="269">
        <f t="shared" si="204"/>
        <v>77773140.803152695</v>
      </c>
      <c r="EQ76" s="196">
        <f>'Detailed Budget'!$AC$211</f>
        <v>33947340419.387043</v>
      </c>
      <c r="ER76" s="269">
        <f t="shared" si="205"/>
        <v>19443285.200788174</v>
      </c>
      <c r="ES76" s="269">
        <f t="shared" si="243"/>
        <v>97216426.003940865</v>
      </c>
      <c r="ET76" s="196">
        <f>'Detailed Budget'!$AC$214</f>
        <v>22239745544.201103</v>
      </c>
      <c r="EU76" s="269">
        <f t="shared" si="206"/>
        <v>12370594.727496929</v>
      </c>
      <c r="EV76" s="140">
        <f>'Detailed Budget'!$AC$217</f>
        <v>5559936386.0502758</v>
      </c>
      <c r="EW76" s="269">
        <f t="shared" si="207"/>
        <v>3092648.6818742324</v>
      </c>
      <c r="EX76" s="269">
        <f t="shared" si="244"/>
        <v>15463243.409371162</v>
      </c>
      <c r="EY76" s="196">
        <f>'Detailed Budget'!$AC$219</f>
        <v>372777004.58170313</v>
      </c>
      <c r="EZ76" s="269">
        <f t="shared" si="208"/>
        <v>217057.80499833691</v>
      </c>
      <c r="FA76" s="196">
        <f>'Detailed Budget'!$AC$222</f>
        <v>93194251.145425782</v>
      </c>
      <c r="FB76" s="269">
        <f t="shared" si="209"/>
        <v>54264.451249584228</v>
      </c>
      <c r="FC76" s="269">
        <f t="shared" si="245"/>
        <v>271322.25624792115</v>
      </c>
      <c r="FD76" s="269"/>
      <c r="FE76" s="269">
        <f t="shared" si="246"/>
        <v>159519697.31570977</v>
      </c>
      <c r="FF76" s="140">
        <f>'Detailed Budget'!$AC$165</f>
        <v>14927760000</v>
      </c>
      <c r="FG76" s="1087">
        <f t="shared" si="259"/>
        <v>217595426.36209109</v>
      </c>
      <c r="FH76" s="269">
        <f t="shared" si="210"/>
        <v>16961436.200431772</v>
      </c>
      <c r="FJ76" s="140">
        <f>'Detailed Budget'!$AC$235</f>
        <v>3623696172</v>
      </c>
      <c r="FK76" s="269">
        <f t="shared" si="211"/>
        <v>4681778</v>
      </c>
      <c r="FL76" s="269">
        <f t="shared" si="260"/>
        <v>4681778</v>
      </c>
      <c r="FO76" s="607"/>
      <c r="FP76" s="607"/>
      <c r="FQ76" s="607"/>
      <c r="FR76" s="269">
        <f>'Detailed Budget'!$AC$257</f>
        <v>13636439388</v>
      </c>
      <c r="FS76" s="269">
        <f t="shared" si="212"/>
        <v>13990704</v>
      </c>
      <c r="FT76" s="269">
        <f t="shared" si="261"/>
        <v>13990704</v>
      </c>
      <c r="FU76" s="269"/>
      <c r="FV76" s="269"/>
      <c r="FW76" s="605"/>
      <c r="FX76" s="140">
        <f>'Detailed Budget'!$AC$278</f>
        <v>1114560000</v>
      </c>
      <c r="FY76" s="269">
        <f t="shared" si="213"/>
        <v>1440000</v>
      </c>
      <c r="FZ76" s="269">
        <f t="shared" si="262"/>
        <v>1440000</v>
      </c>
      <c r="GB76" s="269">
        <f t="shared" si="271"/>
        <v>947284311.90783501</v>
      </c>
      <c r="GC76" s="887">
        <f t="shared" si="247"/>
        <v>592052.69494239683</v>
      </c>
      <c r="GD76" s="1078">
        <f t="shared" si="272"/>
        <v>5.3155105654471412E-4</v>
      </c>
    </row>
    <row r="77" spans="1:186" hidden="1" outlineLevel="1">
      <c r="A77" s="211" t="s">
        <v>341</v>
      </c>
      <c r="B77" s="212" t="s">
        <v>342</v>
      </c>
      <c r="C77" s="213" t="s">
        <v>215</v>
      </c>
      <c r="D77" s="214" t="s">
        <v>215</v>
      </c>
      <c r="E77" s="213"/>
      <c r="F77" s="213"/>
      <c r="G77" s="213"/>
      <c r="H77" s="213" t="s">
        <v>215</v>
      </c>
      <c r="I77" s="214" t="s">
        <v>215</v>
      </c>
      <c r="J77" s="214"/>
      <c r="K77" s="213"/>
      <c r="L77" s="213"/>
      <c r="M77" s="214" t="s">
        <v>215</v>
      </c>
      <c r="N77" s="213"/>
      <c r="O77" s="214"/>
      <c r="P77" s="213"/>
      <c r="Q77" s="214"/>
      <c r="R77" s="214" t="s">
        <v>215</v>
      </c>
      <c r="S77" s="214"/>
      <c r="T77" s="214"/>
      <c r="U77" s="215">
        <f t="shared" si="214"/>
        <v>6</v>
      </c>
      <c r="V77" s="845" t="s">
        <v>219</v>
      </c>
      <c r="W77" s="216">
        <v>108715</v>
      </c>
      <c r="X77" s="217">
        <v>2.96</v>
      </c>
      <c r="Y77" s="218">
        <f t="shared" ref="Y77:Y142" si="277">1+X77/100</f>
        <v>1.0296000000000001</v>
      </c>
      <c r="Z77" s="196">
        <v>19</v>
      </c>
      <c r="AA77" s="218">
        <f t="shared" si="184"/>
        <v>1.7406126843598355</v>
      </c>
      <c r="AB77" s="196">
        <f t="shared" si="274"/>
        <v>189230.70798017952</v>
      </c>
      <c r="AC77">
        <v>17.399999999999999</v>
      </c>
      <c r="AD77" s="196">
        <f t="shared" si="275"/>
        <v>32926.143188551228</v>
      </c>
      <c r="AE77" s="196">
        <f t="shared" si="95"/>
        <v>31279.836029123664</v>
      </c>
      <c r="AF77" s="196">
        <f t="shared" si="215"/>
        <v>31279.836029123664</v>
      </c>
      <c r="AG77" s="606">
        <f t="shared" si="250"/>
        <v>1.4462422969334862E-3</v>
      </c>
      <c r="AH77" s="196">
        <f t="shared" si="227"/>
        <v>9461.535399008977</v>
      </c>
      <c r="AI77" s="248">
        <f t="shared" si="216"/>
        <v>7.3297081173484687E-4</v>
      </c>
      <c r="AJ77" s="196">
        <f t="shared" si="228"/>
        <v>42387.678587560207</v>
      </c>
      <c r="AK77" s="196">
        <f t="shared" ref="AK77:AK137" si="278">AB77*0.04</f>
        <v>7569.2283192071809</v>
      </c>
      <c r="AL77" s="196">
        <f t="shared" ref="AL77:AL137" si="279">AB77*0.04</f>
        <v>7569.2283192071809</v>
      </c>
      <c r="AM77" s="196">
        <f t="shared" si="229"/>
        <v>15138.456638414362</v>
      </c>
      <c r="AN77" s="627">
        <f t="shared" si="230"/>
        <v>7.3297081173484676E-4</v>
      </c>
      <c r="AO77" s="196">
        <f t="shared" si="231"/>
        <v>7190.7669032468211</v>
      </c>
      <c r="AP77" s="589">
        <f t="shared" si="251"/>
        <v>7.3297081173484665E-4</v>
      </c>
      <c r="AQ77" s="196"/>
      <c r="AR77" s="589"/>
      <c r="AS77">
        <v>1</v>
      </c>
      <c r="AT77" s="589">
        <f t="shared" si="252"/>
        <v>1.2919896640826874E-3</v>
      </c>
      <c r="AU77" s="196">
        <v>15</v>
      </c>
      <c r="AV77" s="245">
        <f t="shared" si="232"/>
        <v>1.7043517782070218E-3</v>
      </c>
      <c r="AX77" s="245"/>
      <c r="AY77" s="245"/>
      <c r="AZ77" s="196">
        <v>36</v>
      </c>
      <c r="BA77" s="589">
        <f t="shared" si="265"/>
        <v>1.3191161921512586E-3</v>
      </c>
      <c r="BI77" s="196">
        <v>0</v>
      </c>
      <c r="BK77" s="246">
        <f t="shared" si="266"/>
        <v>0</v>
      </c>
      <c r="BL77" s="246"/>
      <c r="BM77" s="246">
        <f t="shared" si="267"/>
        <v>0</v>
      </c>
      <c r="BN77" s="196">
        <v>1</v>
      </c>
      <c r="BO77" s="196">
        <f t="shared" si="217"/>
        <v>14136.625982518113</v>
      </c>
      <c r="BP77" s="196">
        <f t="shared" si="233"/>
        <v>14136.625982518113</v>
      </c>
      <c r="BQ77" s="248">
        <f t="shared" si="268"/>
        <v>1.3224155299599179E-3</v>
      </c>
      <c r="BR77" s="248"/>
      <c r="BS77" s="248"/>
      <c r="BT77" s="276">
        <v>1</v>
      </c>
      <c r="BU77" s="196">
        <f t="shared" si="234"/>
        <v>26077.505405332577</v>
      </c>
      <c r="BV77" s="264">
        <f t="shared" si="269"/>
        <v>1.8087851697980955E-3</v>
      </c>
      <c r="BW77" s="196">
        <f t="shared" si="235"/>
        <v>111553.77312281157</v>
      </c>
      <c r="BX77" s="247">
        <f t="shared" si="270"/>
        <v>1.8087851860917015E-3</v>
      </c>
      <c r="BY77" s="196">
        <f t="shared" si="276"/>
        <v>137631.27852814415</v>
      </c>
      <c r="BZ77" s="620">
        <v>0</v>
      </c>
      <c r="CA77" s="196">
        <f t="shared" si="189"/>
        <v>57904.596641934928</v>
      </c>
      <c r="CB77" s="196">
        <f t="shared" si="190"/>
        <v>115809.19328386986</v>
      </c>
      <c r="CC77" s="196">
        <f t="shared" si="248"/>
        <v>173713.78992580477</v>
      </c>
      <c r="CD77" s="247">
        <f t="shared" si="236"/>
        <v>7.3297081173484665E-4</v>
      </c>
      <c r="CE77" s="196">
        <f t="shared" si="218"/>
        <v>20782.533814455041</v>
      </c>
      <c r="CF77" s="247">
        <f t="shared" si="237"/>
        <v>8.9745444265913645E-4</v>
      </c>
      <c r="CG77" s="196">
        <f t="shared" si="191"/>
        <v>28763.067612987285</v>
      </c>
      <c r="CH77" s="589">
        <f t="shared" si="253"/>
        <v>7.3297081173484665E-4</v>
      </c>
      <c r="CI77" s="196">
        <f t="shared" si="219"/>
        <v>44133.430434867485</v>
      </c>
      <c r="CJ77" s="248">
        <f t="shared" si="254"/>
        <v>7.2555348432376348E-4</v>
      </c>
      <c r="CK77" s="196">
        <f t="shared" si="220"/>
        <v>34927.304956689521</v>
      </c>
      <c r="CL77" s="589">
        <f t="shared" si="255"/>
        <v>5.0208719299253462E-4</v>
      </c>
      <c r="CM77" s="196">
        <f t="shared" si="221"/>
        <v>3383.5904236748961</v>
      </c>
      <c r="CN77" s="589">
        <f t="shared" si="256"/>
        <v>4.8761383337597535E-4</v>
      </c>
      <c r="CO77" s="196">
        <f t="shared" si="222"/>
        <v>270.66701085361547</v>
      </c>
      <c r="CP77" s="589">
        <f t="shared" si="257"/>
        <v>5.1043629207532721E-4</v>
      </c>
      <c r="CQ77" s="196">
        <f>'Detailed Budget'!$AC$12</f>
        <v>292876014141.44696</v>
      </c>
      <c r="CR77" s="269">
        <f t="shared" si="263"/>
        <v>0</v>
      </c>
      <c r="CS77" s="269">
        <f>'Detailed Budget'!$AC$16</f>
        <v>10488008800.000002</v>
      </c>
      <c r="CT77" s="607">
        <f t="shared" si="193"/>
        <v>0</v>
      </c>
      <c r="CU77" s="269">
        <f>'Detailed Budget'!$AC$24</f>
        <v>30624985696</v>
      </c>
      <c r="CV77" s="269">
        <f t="shared" si="264"/>
        <v>0</v>
      </c>
      <c r="CW77" s="269"/>
      <c r="CX77" s="269">
        <f t="shared" si="249"/>
        <v>0</v>
      </c>
      <c r="CY77" s="196">
        <f>'Detailed Budget'!$AC$97</f>
        <v>74629165494.837845</v>
      </c>
      <c r="CZ77" s="269">
        <f t="shared" si="194"/>
        <v>98690767.43832241</v>
      </c>
      <c r="DA77" s="269">
        <f>'Detailed Budget'!$AC$100</f>
        <v>14925833098.967569</v>
      </c>
      <c r="DB77" s="269">
        <f t="shared" si="195"/>
        <v>19738153.487664483</v>
      </c>
      <c r="DC77" s="269">
        <f t="shared" si="238"/>
        <v>118428920.92598689</v>
      </c>
      <c r="DD77" s="207">
        <v>0</v>
      </c>
      <c r="DE77" s="606">
        <v>0</v>
      </c>
      <c r="DF77" s="269">
        <f>'Detailed Budget'!$AC$147</f>
        <v>5913600671000</v>
      </c>
      <c r="DG77" s="269">
        <f t="shared" si="258"/>
        <v>0</v>
      </c>
      <c r="DH77" s="269">
        <f>'Detailed Budget'!$AC$153</f>
        <v>226428026880.00003</v>
      </c>
      <c r="DI77" s="269"/>
      <c r="DJ77" s="269">
        <f>'Detailed Budget'!$AC$156</f>
        <v>27713070000</v>
      </c>
      <c r="DK77" s="269"/>
      <c r="DL77" s="269"/>
      <c r="DM77" s="196">
        <f>'Detailed Budget'!$AC$178</f>
        <v>5622683761.6229038</v>
      </c>
      <c r="DN77" s="269">
        <f t="shared" si="223"/>
        <v>10170227.002488079</v>
      </c>
      <c r="DO77" s="196">
        <f>'Detailed Budget'!$AC$179</f>
        <v>26827890683.128094</v>
      </c>
      <c r="DP77" s="269">
        <f t="shared" si="224"/>
        <v>48525891.241729677</v>
      </c>
      <c r="DQ77" s="269">
        <f t="shared" si="273"/>
        <v>58696118.244217753</v>
      </c>
      <c r="DR77" s="269">
        <f>'Detailed Budget'!$AC$181</f>
        <v>50888946855.375237</v>
      </c>
      <c r="DS77" s="269">
        <f t="shared" si="225"/>
        <v>73597747.388643995</v>
      </c>
      <c r="DT77" s="269">
        <f t="shared" si="226"/>
        <v>132293865.63286175</v>
      </c>
      <c r="DU77" s="272">
        <f>'Detailed Budget'!$AC$192</f>
        <v>77498869683.252869</v>
      </c>
      <c r="DV77" s="269">
        <f t="shared" si="196"/>
        <v>0</v>
      </c>
      <c r="DW77" s="140">
        <f>'Detailed Budget'!$AC$194</f>
        <v>2684962805.4134097</v>
      </c>
      <c r="DX77" s="269">
        <f t="shared" si="197"/>
        <v>0</v>
      </c>
      <c r="DY77" s="607">
        <f t="shared" si="239"/>
        <v>0</v>
      </c>
      <c r="DZ77" s="196">
        <f>'Detailed Budget'!$AC$198</f>
        <v>18732540018.380611</v>
      </c>
      <c r="EA77" s="269">
        <f t="shared" si="198"/>
        <v>16811601.261785742</v>
      </c>
      <c r="EB77" s="196">
        <f>'Detailed Budget'!$AC$200</f>
        <v>4683135004.5951529</v>
      </c>
      <c r="EC77" s="269">
        <f t="shared" si="199"/>
        <v>4202900.3154464355</v>
      </c>
      <c r="ED77" s="269">
        <f t="shared" si="240"/>
        <v>21014501.577232178</v>
      </c>
      <c r="EE77" s="196">
        <f>'Detailed Budget'!$AC$161</f>
        <v>251147290106.36197</v>
      </c>
      <c r="EF77" s="269">
        <f t="shared" si="200"/>
        <v>184083633.09426716</v>
      </c>
      <c r="EG77" s="196">
        <f>'Detailed Budget'!$AC$163</f>
        <v>15696705631.647623</v>
      </c>
      <c r="EH77" s="269">
        <f t="shared" si="201"/>
        <v>11505227.068391697</v>
      </c>
      <c r="EI77" s="269">
        <f t="shared" si="241"/>
        <v>195588860.16265887</v>
      </c>
      <c r="EJ77" s="196">
        <f>'Detailed Budget'!$AC$204</f>
        <v>45012172507.531975</v>
      </c>
      <c r="EK77" s="269">
        <f t="shared" si="202"/>
        <v>32658738.599822138</v>
      </c>
      <c r="EL77" s="201">
        <f>'Detailed Budget'!$AC$206</f>
        <v>11253043126.882994</v>
      </c>
      <c r="EM77" s="269">
        <f t="shared" si="203"/>
        <v>8164684.6499555344</v>
      </c>
      <c r="EN77" s="269">
        <f t="shared" si="242"/>
        <v>40823423.249777675</v>
      </c>
      <c r="EO77" s="140">
        <f>'Detailed Budget'!$AC$209</f>
        <v>135789361677.54817</v>
      </c>
      <c r="EP77" s="269">
        <f t="shared" si="204"/>
        <v>68178099.44292821</v>
      </c>
      <c r="EQ77" s="196">
        <f>'Detailed Budget'!$AC$211</f>
        <v>33947340419.387043</v>
      </c>
      <c r="ER77" s="269">
        <f t="shared" si="205"/>
        <v>17044524.860732052</v>
      </c>
      <c r="ES77" s="269">
        <f t="shared" si="243"/>
        <v>85222624.303660259</v>
      </c>
      <c r="ET77" s="196">
        <f>'Detailed Budget'!$AC$214</f>
        <v>22239745544.201103</v>
      </c>
      <c r="EU77" s="269">
        <f t="shared" si="206"/>
        <v>10844407.578114167</v>
      </c>
      <c r="EV77" s="140">
        <f>'Detailed Budget'!$AC$217</f>
        <v>5559936386.0502758</v>
      </c>
      <c r="EW77" s="269">
        <f t="shared" si="207"/>
        <v>2711101.8945285417</v>
      </c>
      <c r="EX77" s="269">
        <f t="shared" si="244"/>
        <v>13555509.472642709</v>
      </c>
      <c r="EY77" s="196">
        <f>'Detailed Budget'!$AC$219</f>
        <v>372777004.58170313</v>
      </c>
      <c r="EZ77" s="269">
        <f t="shared" si="208"/>
        <v>190278.9119896318</v>
      </c>
      <c r="FA77" s="196">
        <f>'Detailed Budget'!$AC$222</f>
        <v>93194251.145425782</v>
      </c>
      <c r="FB77" s="269">
        <f t="shared" si="209"/>
        <v>47569.72799740795</v>
      </c>
      <c r="FC77" s="269">
        <f t="shared" si="245"/>
        <v>237848.63998703976</v>
      </c>
      <c r="FD77" s="269"/>
      <c r="FE77" s="269">
        <f t="shared" si="246"/>
        <v>139839405.66606769</v>
      </c>
      <c r="FF77" s="140">
        <f>'Detailed Budget'!$AC$165</f>
        <v>14927760000</v>
      </c>
      <c r="FG77" s="1087">
        <f t="shared" si="259"/>
        <v>190750205.83763844</v>
      </c>
      <c r="FH77" s="269">
        <f t="shared" si="210"/>
        <v>25442154.300647654</v>
      </c>
      <c r="FJ77" s="140">
        <f>'Detailed Budget'!$AC$235</f>
        <v>3623696172</v>
      </c>
      <c r="FK77" s="269">
        <f t="shared" si="211"/>
        <v>4681778</v>
      </c>
      <c r="FL77" s="269">
        <f t="shared" si="260"/>
        <v>4681778</v>
      </c>
      <c r="FO77" s="607"/>
      <c r="FP77" s="607"/>
      <c r="FQ77" s="607"/>
      <c r="FR77" s="269">
        <f>'Detailed Budget'!$AC$257</f>
        <v>13636439388</v>
      </c>
      <c r="FS77" s="269">
        <f t="shared" si="212"/>
        <v>17988048</v>
      </c>
      <c r="FT77" s="269">
        <f t="shared" si="261"/>
        <v>17988048</v>
      </c>
      <c r="FU77" s="269"/>
      <c r="FV77" s="269"/>
      <c r="FW77" s="605"/>
      <c r="FX77" s="140">
        <f>'Detailed Budget'!$AC$278</f>
        <v>1114560000</v>
      </c>
      <c r="FY77" s="269">
        <f t="shared" si="213"/>
        <v>1440000</v>
      </c>
      <c r="FZ77" s="269">
        <f t="shared" si="262"/>
        <v>1440000</v>
      </c>
      <c r="GB77" s="269">
        <f t="shared" si="271"/>
        <v>847467740.1030935</v>
      </c>
      <c r="GC77" s="887">
        <f t="shared" si="247"/>
        <v>529667.33756443346</v>
      </c>
      <c r="GD77" s="1078">
        <f t="shared" si="272"/>
        <v>4.7554083497076727E-4</v>
      </c>
    </row>
    <row r="78" spans="1:186" hidden="1" outlineLevel="1">
      <c r="A78" s="211" t="s">
        <v>343</v>
      </c>
      <c r="B78" s="212" t="s">
        <v>344</v>
      </c>
      <c r="C78" s="213" t="s">
        <v>215</v>
      </c>
      <c r="D78" s="214"/>
      <c r="E78" s="213"/>
      <c r="F78" s="213"/>
      <c r="G78" s="213" t="s">
        <v>215</v>
      </c>
      <c r="H78" s="213" t="s">
        <v>215</v>
      </c>
      <c r="I78" s="214" t="s">
        <v>215</v>
      </c>
      <c r="J78" s="214"/>
      <c r="K78" s="213"/>
      <c r="L78" s="213"/>
      <c r="M78" s="214"/>
      <c r="N78" s="213" t="s">
        <v>215</v>
      </c>
      <c r="O78" s="214"/>
      <c r="P78" s="213"/>
      <c r="Q78" s="214"/>
      <c r="R78" s="214" t="s">
        <v>215</v>
      </c>
      <c r="S78" s="214"/>
      <c r="T78" s="214"/>
      <c r="U78" s="215">
        <f t="shared" si="214"/>
        <v>6</v>
      </c>
      <c r="V78" s="845" t="s">
        <v>216</v>
      </c>
      <c r="W78" s="216">
        <v>88975</v>
      </c>
      <c r="X78" s="217">
        <v>2.96</v>
      </c>
      <c r="Y78" s="218">
        <f t="shared" si="277"/>
        <v>1.0296000000000001</v>
      </c>
      <c r="Z78" s="196">
        <v>19</v>
      </c>
      <c r="AA78" s="218">
        <f t="shared" si="184"/>
        <v>1.7406126843598355</v>
      </c>
      <c r="AB78" s="196">
        <f t="shared" si="274"/>
        <v>154871.01359091635</v>
      </c>
      <c r="AC78">
        <v>17.399999999999999</v>
      </c>
      <c r="AD78" s="196">
        <f t="shared" si="275"/>
        <v>26947.556364819444</v>
      </c>
      <c r="AE78" s="196">
        <f t="shared" ref="AE78:AE144" si="280">AD78*0.95</f>
        <v>25600.178546578471</v>
      </c>
      <c r="AF78" s="196">
        <f t="shared" si="215"/>
        <v>0</v>
      </c>
      <c r="AG78" s="606">
        <f t="shared" si="250"/>
        <v>1.1836398691041435E-3</v>
      </c>
      <c r="AH78" s="196">
        <f t="shared" si="227"/>
        <v>7743.5506795458177</v>
      </c>
      <c r="AI78" s="248">
        <f t="shared" si="216"/>
        <v>5.9988113851913705E-4</v>
      </c>
      <c r="AJ78" s="196">
        <f t="shared" si="228"/>
        <v>34691.107044365264</v>
      </c>
      <c r="AK78" s="196">
        <f t="shared" si="278"/>
        <v>6194.8405436366538</v>
      </c>
      <c r="AL78" s="196">
        <f t="shared" si="279"/>
        <v>6194.8405436366538</v>
      </c>
      <c r="AM78" s="196">
        <f t="shared" si="229"/>
        <v>12389.681087273308</v>
      </c>
      <c r="AN78" s="627">
        <f t="shared" si="230"/>
        <v>5.9988113851913705E-4</v>
      </c>
      <c r="AO78" s="196">
        <f t="shared" si="231"/>
        <v>5885.098516454821</v>
      </c>
      <c r="AP78" s="589">
        <f t="shared" si="251"/>
        <v>5.9988113851913705E-4</v>
      </c>
      <c r="AQ78" s="196"/>
      <c r="AR78" s="589"/>
      <c r="AS78">
        <v>1</v>
      </c>
      <c r="AT78" s="589">
        <f t="shared" si="252"/>
        <v>1.2919896640826874E-3</v>
      </c>
      <c r="AU78" s="196">
        <v>12</v>
      </c>
      <c r="AV78" s="245">
        <f t="shared" si="232"/>
        <v>1.3634814225656176E-3</v>
      </c>
      <c r="AX78" s="245"/>
      <c r="AY78" s="245"/>
      <c r="AZ78" s="196">
        <v>23</v>
      </c>
      <c r="BA78" s="589">
        <f t="shared" si="265"/>
        <v>8.4276867831885966E-4</v>
      </c>
      <c r="BI78" s="196">
        <v>0</v>
      </c>
      <c r="BK78" s="246">
        <f t="shared" si="266"/>
        <v>0</v>
      </c>
      <c r="BL78" s="246"/>
      <c r="BM78" s="246">
        <f t="shared" si="267"/>
        <v>0</v>
      </c>
      <c r="BN78" s="196">
        <v>1</v>
      </c>
      <c r="BO78" s="196">
        <f t="shared" si="217"/>
        <v>11569.758513494451</v>
      </c>
      <c r="BP78" s="196">
        <f t="shared" si="233"/>
        <v>11569.758513494451</v>
      </c>
      <c r="BQ78" s="248">
        <f t="shared" si="268"/>
        <v>1.0822970314876854E-3</v>
      </c>
      <c r="BR78" s="248"/>
      <c r="BS78" s="248"/>
      <c r="BT78" s="276">
        <v>0</v>
      </c>
      <c r="BU78" s="196">
        <f t="shared" si="234"/>
        <v>0</v>
      </c>
      <c r="BV78" s="264">
        <f t="shared" si="269"/>
        <v>0</v>
      </c>
      <c r="BW78" s="196">
        <f t="shared" si="235"/>
        <v>0</v>
      </c>
      <c r="BX78" s="247">
        <f t="shared" si="270"/>
        <v>0</v>
      </c>
      <c r="BY78" s="196">
        <f t="shared" si="276"/>
        <v>0</v>
      </c>
      <c r="BZ78" s="620">
        <v>1</v>
      </c>
      <c r="CA78" s="196">
        <f t="shared" si="189"/>
        <v>47390.530158820402</v>
      </c>
      <c r="CB78" s="196">
        <f t="shared" si="190"/>
        <v>94781.060317640804</v>
      </c>
      <c r="CC78" s="196">
        <f t="shared" si="248"/>
        <v>142171.59047646122</v>
      </c>
      <c r="CD78" s="247">
        <f t="shared" si="236"/>
        <v>5.9988113851913705E-4</v>
      </c>
      <c r="CE78" s="196">
        <f t="shared" si="218"/>
        <v>17008.931114760035</v>
      </c>
      <c r="CF78" s="247">
        <f t="shared" si="237"/>
        <v>7.3449854238694448E-4</v>
      </c>
      <c r="CG78" s="196">
        <f t="shared" si="191"/>
        <v>23540.394065819284</v>
      </c>
      <c r="CH78" s="589">
        <f t="shared" si="253"/>
        <v>5.9988113851913705E-4</v>
      </c>
      <c r="CI78" s="196">
        <f t="shared" si="219"/>
        <v>36119.872813708644</v>
      </c>
      <c r="CJ78" s="248">
        <f t="shared" si="254"/>
        <v>5.9381061737301074E-4</v>
      </c>
      <c r="CK78" s="196">
        <f t="shared" si="220"/>
        <v>28585.355825060484</v>
      </c>
      <c r="CL78" s="589">
        <f t="shared" si="255"/>
        <v>4.1092036974208499E-4</v>
      </c>
      <c r="CM78" s="196">
        <f t="shared" si="221"/>
        <v>2769.2126932481619</v>
      </c>
      <c r="CN78" s="589">
        <f t="shared" si="256"/>
        <v>3.9907502023297072E-4</v>
      </c>
      <c r="CO78" s="196">
        <f t="shared" si="222"/>
        <v>221.5204644317752</v>
      </c>
      <c r="CP78" s="589">
        <f t="shared" si="257"/>
        <v>4.1775347548546424E-4</v>
      </c>
      <c r="CQ78" s="196">
        <f>'Detailed Budget'!$AC$12</f>
        <v>292876014141.44696</v>
      </c>
      <c r="CR78" s="269">
        <f t="shared" si="263"/>
        <v>0</v>
      </c>
      <c r="CS78" s="269">
        <f>'Detailed Budget'!$AC$16</f>
        <v>10488008800.000002</v>
      </c>
      <c r="CT78" s="607">
        <f t="shared" si="193"/>
        <v>0</v>
      </c>
      <c r="CU78" s="269">
        <f>'Detailed Budget'!$AC$24</f>
        <v>30624985696</v>
      </c>
      <c r="CV78" s="269">
        <f t="shared" si="264"/>
        <v>0</v>
      </c>
      <c r="CW78" s="269"/>
      <c r="CX78" s="269">
        <f t="shared" si="249"/>
        <v>0</v>
      </c>
      <c r="CY78" s="196">
        <f>'Detailed Budget'!$AC$97</f>
        <v>74629165494.837845</v>
      </c>
      <c r="CZ78" s="269">
        <f t="shared" si="194"/>
        <v>80770924.277466193</v>
      </c>
      <c r="DA78" s="269">
        <f>'Detailed Budget'!$AC$100</f>
        <v>14925833098.967569</v>
      </c>
      <c r="DB78" s="269">
        <f t="shared" si="195"/>
        <v>16154184.85549324</v>
      </c>
      <c r="DC78" s="269">
        <f t="shared" si="238"/>
        <v>96925109.132959425</v>
      </c>
      <c r="DD78" s="207">
        <v>0</v>
      </c>
      <c r="DE78" s="606">
        <v>0</v>
      </c>
      <c r="DF78" s="269">
        <f>'Detailed Budget'!$AC$147</f>
        <v>5913600671000</v>
      </c>
      <c r="DG78" s="269">
        <f t="shared" si="258"/>
        <v>0</v>
      </c>
      <c r="DH78" s="269">
        <f>'Detailed Budget'!$AC$153</f>
        <v>226428026880.00003</v>
      </c>
      <c r="DI78" s="269"/>
      <c r="DJ78" s="269">
        <f>'Detailed Budget'!$AC$156</f>
        <v>27713070000</v>
      </c>
      <c r="DK78" s="269"/>
      <c r="DL78" s="269"/>
      <c r="DM78" s="196">
        <f>'Detailed Budget'!$AC$178</f>
        <v>5622683761.6229038</v>
      </c>
      <c r="DN78" s="269">
        <f t="shared" si="223"/>
        <v>0</v>
      </c>
      <c r="DO78" s="196">
        <f>'Detailed Budget'!$AC$179</f>
        <v>26827890683.128094</v>
      </c>
      <c r="DP78" s="269">
        <f t="shared" si="224"/>
        <v>0</v>
      </c>
      <c r="DQ78" s="269">
        <f t="shared" si="273"/>
        <v>0</v>
      </c>
      <c r="DR78" s="269">
        <f>'Detailed Budget'!$AC$181</f>
        <v>50888946855.375237</v>
      </c>
      <c r="DS78" s="269">
        <f t="shared" si="225"/>
        <v>0</v>
      </c>
      <c r="DT78" s="269">
        <f t="shared" si="226"/>
        <v>0</v>
      </c>
      <c r="DU78" s="272">
        <f>'Detailed Budget'!$AC$192</f>
        <v>77498869683.252869</v>
      </c>
      <c r="DV78" s="269">
        <f t="shared" si="196"/>
        <v>46490110.179535963</v>
      </c>
      <c r="DW78" s="140">
        <f>'Detailed Budget'!$AC$194</f>
        <v>2684962805.4134097</v>
      </c>
      <c r="DX78" s="269">
        <f t="shared" si="197"/>
        <v>1610658.5445929323</v>
      </c>
      <c r="DY78" s="607">
        <f t="shared" si="239"/>
        <v>48100768.724128895</v>
      </c>
      <c r="DZ78" s="196">
        <f>'Detailed Budget'!$AC$198</f>
        <v>18732540018.380611</v>
      </c>
      <c r="EA78" s="269">
        <f t="shared" si="198"/>
        <v>13759023.338705665</v>
      </c>
      <c r="EB78" s="196">
        <f>'Detailed Budget'!$AC$200</f>
        <v>4683135004.5951529</v>
      </c>
      <c r="EC78" s="269">
        <f t="shared" si="199"/>
        <v>3439755.8346764161</v>
      </c>
      <c r="ED78" s="269">
        <f t="shared" si="240"/>
        <v>17198779.173382081</v>
      </c>
      <c r="EE78" s="196">
        <f>'Detailed Budget'!$AC$161</f>
        <v>251147290106.36197</v>
      </c>
      <c r="EF78" s="269">
        <f t="shared" si="200"/>
        <v>150658522.32500044</v>
      </c>
      <c r="EG78" s="196">
        <f>'Detailed Budget'!$AC$163</f>
        <v>15696705631.647623</v>
      </c>
      <c r="EH78" s="269">
        <f t="shared" si="201"/>
        <v>9416157.6453125272</v>
      </c>
      <c r="EI78" s="269">
        <f t="shared" si="241"/>
        <v>160074679.97031295</v>
      </c>
      <c r="EJ78" s="196">
        <f>'Detailed Budget'!$AC$204</f>
        <v>45012172507.531975</v>
      </c>
      <c r="EK78" s="269">
        <f t="shared" si="202"/>
        <v>26728705.945998024</v>
      </c>
      <c r="EL78" s="201">
        <f>'Detailed Budget'!$AC$206</f>
        <v>11253043126.882994</v>
      </c>
      <c r="EM78" s="269">
        <f t="shared" si="203"/>
        <v>6682176.486499506</v>
      </c>
      <c r="EN78" s="269">
        <f t="shared" si="242"/>
        <v>33410882.432497531</v>
      </c>
      <c r="EO78" s="140">
        <f>'Detailed Budget'!$AC$209</f>
        <v>135789361677.54817</v>
      </c>
      <c r="EP78" s="269">
        <f t="shared" si="204"/>
        <v>55798614.707579799</v>
      </c>
      <c r="EQ78" s="196">
        <f>'Detailed Budget'!$AC$211</f>
        <v>33947340419.387043</v>
      </c>
      <c r="ER78" s="269">
        <f t="shared" si="205"/>
        <v>13949653.67689495</v>
      </c>
      <c r="ES78" s="269">
        <f t="shared" si="243"/>
        <v>69748268.384474754</v>
      </c>
      <c r="ET78" s="196">
        <f>'Detailed Budget'!$AC$214</f>
        <v>22239745544.201103</v>
      </c>
      <c r="EU78" s="269">
        <f t="shared" si="206"/>
        <v>8875326.9030281752</v>
      </c>
      <c r="EV78" s="140">
        <f>'Detailed Budget'!$AC$217</f>
        <v>5559936386.0502758</v>
      </c>
      <c r="EW78" s="269">
        <f t="shared" si="207"/>
        <v>2218831.7257570438</v>
      </c>
      <c r="EX78" s="269">
        <f t="shared" si="244"/>
        <v>11094158.628785219</v>
      </c>
      <c r="EY78" s="196">
        <f>'Detailed Budget'!$AC$219</f>
        <v>372777004.58170313</v>
      </c>
      <c r="EZ78" s="269">
        <f t="shared" si="208"/>
        <v>155728.88924506732</v>
      </c>
      <c r="FA78" s="196">
        <f>'Detailed Budget'!$AC$222</f>
        <v>93194251.145425782</v>
      </c>
      <c r="FB78" s="269">
        <f t="shared" si="209"/>
        <v>38932.222311266829</v>
      </c>
      <c r="FC78" s="269">
        <f t="shared" si="245"/>
        <v>194661.11155633413</v>
      </c>
      <c r="FD78" s="269"/>
      <c r="FE78" s="269">
        <f t="shared" si="246"/>
        <v>114447970.55731384</v>
      </c>
      <c r="FF78" s="140">
        <f>'Detailed Budget'!$AC$165</f>
        <v>14927760000</v>
      </c>
      <c r="FG78" s="1087">
        <f t="shared" si="259"/>
        <v>156114607.59236425</v>
      </c>
      <c r="FH78" s="269">
        <f t="shared" si="210"/>
        <v>20353723.440518126</v>
      </c>
      <c r="FJ78" s="140">
        <f>'Detailed Budget'!$AC$235</f>
        <v>3623696172</v>
      </c>
      <c r="FK78" s="269">
        <f t="shared" si="211"/>
        <v>4681778</v>
      </c>
      <c r="FL78" s="269">
        <f t="shared" si="260"/>
        <v>4681778</v>
      </c>
      <c r="FO78" s="607"/>
      <c r="FP78" s="607"/>
      <c r="FQ78" s="607"/>
      <c r="FR78" s="269">
        <f>'Detailed Budget'!$AC$257</f>
        <v>13636439388</v>
      </c>
      <c r="FS78" s="269">
        <f t="shared" si="212"/>
        <v>11492364</v>
      </c>
      <c r="FT78" s="269">
        <f t="shared" si="261"/>
        <v>11492364</v>
      </c>
      <c r="FU78" s="269"/>
      <c r="FV78" s="269"/>
      <c r="FW78" s="605"/>
      <c r="FX78" s="140">
        <f>'Detailed Budget'!$AC$278</f>
        <v>1114560000</v>
      </c>
      <c r="FY78" s="269">
        <f t="shared" si="213"/>
        <v>1440000</v>
      </c>
      <c r="FZ78" s="269">
        <f t="shared" si="262"/>
        <v>1440000</v>
      </c>
      <c r="GB78" s="269">
        <f t="shared" si="271"/>
        <v>630829780.59097958</v>
      </c>
      <c r="GC78" s="887">
        <f t="shared" si="247"/>
        <v>394268.61286936223</v>
      </c>
      <c r="GD78" s="1078">
        <f t="shared" si="272"/>
        <v>3.5397845415350849E-4</v>
      </c>
    </row>
    <row r="79" spans="1:186" hidden="1" outlineLevel="1">
      <c r="A79" s="211" t="s">
        <v>345</v>
      </c>
      <c r="B79" s="212" t="s">
        <v>346</v>
      </c>
      <c r="C79" s="213" t="s">
        <v>215</v>
      </c>
      <c r="D79" s="214" t="s">
        <v>215</v>
      </c>
      <c r="E79" s="213"/>
      <c r="F79" s="213"/>
      <c r="G79" s="213"/>
      <c r="H79" s="213" t="s">
        <v>215</v>
      </c>
      <c r="I79" s="214" t="s">
        <v>215</v>
      </c>
      <c r="J79" s="214"/>
      <c r="K79" s="213"/>
      <c r="L79" s="213"/>
      <c r="M79" s="214"/>
      <c r="N79" s="213" t="s">
        <v>215</v>
      </c>
      <c r="O79" s="214"/>
      <c r="P79" s="213"/>
      <c r="Q79" s="214"/>
      <c r="R79" s="214" t="s">
        <v>215</v>
      </c>
      <c r="S79" s="214"/>
      <c r="T79" s="214"/>
      <c r="U79" s="215">
        <f t="shared" si="214"/>
        <v>6</v>
      </c>
      <c r="V79" s="845" t="s">
        <v>219</v>
      </c>
      <c r="W79" s="216">
        <v>56970</v>
      </c>
      <c r="X79" s="217">
        <v>2.96</v>
      </c>
      <c r="Y79" s="218">
        <f t="shared" si="277"/>
        <v>1.0296000000000001</v>
      </c>
      <c r="Z79" s="196">
        <v>19</v>
      </c>
      <c r="AA79" s="218">
        <f t="shared" si="184"/>
        <v>1.7406126843598355</v>
      </c>
      <c r="AB79" s="196">
        <f t="shared" si="274"/>
        <v>99162.704627979823</v>
      </c>
      <c r="AC79">
        <v>17.399999999999999</v>
      </c>
      <c r="AD79" s="196">
        <f t="shared" si="275"/>
        <v>17254.310605268489</v>
      </c>
      <c r="AE79" s="196">
        <f t="shared" si="280"/>
        <v>16391.595075005065</v>
      </c>
      <c r="AF79" s="196">
        <f t="shared" si="215"/>
        <v>16391.595075005065</v>
      </c>
      <c r="AG79" s="606">
        <f t="shared" si="250"/>
        <v>7.5787539581751123E-4</v>
      </c>
      <c r="AH79" s="196">
        <f t="shared" si="227"/>
        <v>4958.1352313989919</v>
      </c>
      <c r="AI79" s="248">
        <f t="shared" si="216"/>
        <v>3.840992240678308E-4</v>
      </c>
      <c r="AJ79" s="196">
        <f t="shared" si="228"/>
        <v>22212.445836667481</v>
      </c>
      <c r="AK79" s="196">
        <f t="shared" si="278"/>
        <v>3966.5081851191931</v>
      </c>
      <c r="AL79" s="196">
        <f t="shared" si="279"/>
        <v>3966.5081851191931</v>
      </c>
      <c r="AM79" s="196">
        <f t="shared" si="229"/>
        <v>7933.0163702383861</v>
      </c>
      <c r="AN79" s="627">
        <f t="shared" si="230"/>
        <v>3.8409922406783075E-4</v>
      </c>
      <c r="AO79" s="196">
        <f t="shared" si="231"/>
        <v>3768.182775863233</v>
      </c>
      <c r="AP79" s="589">
        <f t="shared" si="251"/>
        <v>3.8409922406783069E-4</v>
      </c>
      <c r="AQ79" s="196"/>
      <c r="AR79" s="589"/>
      <c r="AS79">
        <v>1</v>
      </c>
      <c r="AT79" s="589">
        <f t="shared" si="252"/>
        <v>1.2919896640826874E-3</v>
      </c>
      <c r="AU79" s="196">
        <v>10</v>
      </c>
      <c r="AV79" s="245">
        <f t="shared" si="232"/>
        <v>1.1362345188046814E-3</v>
      </c>
      <c r="AX79" s="245"/>
      <c r="AY79" s="245"/>
      <c r="AZ79" s="196">
        <v>29</v>
      </c>
      <c r="BA79" s="589">
        <f t="shared" si="265"/>
        <v>1.0626213770107361E-3</v>
      </c>
      <c r="BI79" s="196">
        <v>0</v>
      </c>
      <c r="BK79" s="246">
        <f t="shared" si="266"/>
        <v>0</v>
      </c>
      <c r="BL79" s="246"/>
      <c r="BM79" s="246">
        <f t="shared" si="267"/>
        <v>0</v>
      </c>
      <c r="BN79" s="196">
        <v>1</v>
      </c>
      <c r="BO79" s="196">
        <f t="shared" si="217"/>
        <v>7408.02632777498</v>
      </c>
      <c r="BP79" s="196">
        <f t="shared" si="233"/>
        <v>7408.02632777498</v>
      </c>
      <c r="BQ79" s="248">
        <f t="shared" si="268"/>
        <v>6.9298636565162609E-4</v>
      </c>
      <c r="BR79" s="248"/>
      <c r="BS79" s="248"/>
      <c r="BT79" s="276">
        <v>1</v>
      </c>
      <c r="BU79" s="196">
        <f t="shared" si="234"/>
        <v>13665.413999372644</v>
      </c>
      <c r="BV79" s="264">
        <f t="shared" si="269"/>
        <v>9.47858999433358E-4</v>
      </c>
      <c r="BW79" s="196">
        <f t="shared" si="235"/>
        <v>58457.60433064965</v>
      </c>
      <c r="BX79" s="247">
        <f t="shared" si="270"/>
        <v>9.4785900797170826E-4</v>
      </c>
      <c r="BY79" s="196">
        <f t="shared" si="276"/>
        <v>72123.0183300223</v>
      </c>
      <c r="BZ79" s="620">
        <v>0</v>
      </c>
      <c r="CA79" s="196">
        <f t="shared" si="189"/>
        <v>30343.787616161826</v>
      </c>
      <c r="CB79" s="196">
        <f t="shared" si="190"/>
        <v>60687.575232323652</v>
      </c>
      <c r="CC79" s="196">
        <f t="shared" si="248"/>
        <v>91031.362848485471</v>
      </c>
      <c r="CD79" s="247">
        <f t="shared" si="236"/>
        <v>3.8409922406783069E-4</v>
      </c>
      <c r="CE79" s="196">
        <f t="shared" si="218"/>
        <v>10890.686210821908</v>
      </c>
      <c r="CF79" s="247">
        <f t="shared" si="237"/>
        <v>4.7029370002567273E-4</v>
      </c>
      <c r="CG79" s="196">
        <f t="shared" si="191"/>
        <v>15072.731103452932</v>
      </c>
      <c r="CH79" s="589">
        <f t="shared" si="253"/>
        <v>3.8409922406783069E-4</v>
      </c>
      <c r="CI79" s="196">
        <f t="shared" si="219"/>
        <v>23127.273438572425</v>
      </c>
      <c r="CJ79" s="248">
        <f t="shared" si="254"/>
        <v>3.8021231662534898E-4</v>
      </c>
      <c r="CK79" s="196">
        <f t="shared" si="220"/>
        <v>18302.980852528191</v>
      </c>
      <c r="CL79" s="589">
        <f t="shared" si="255"/>
        <v>2.631091145176351E-4</v>
      </c>
      <c r="CM79" s="196">
        <f t="shared" si="221"/>
        <v>1773.1053344686463</v>
      </c>
      <c r="CN79" s="589">
        <f t="shared" si="256"/>
        <v>2.5552462942031294E-4</v>
      </c>
      <c r="CO79" s="196">
        <f t="shared" si="222"/>
        <v>141.83782926303158</v>
      </c>
      <c r="CP79" s="589">
        <f t="shared" si="257"/>
        <v>2.6748429894247713E-4</v>
      </c>
      <c r="CQ79" s="196">
        <f>'Detailed Budget'!$AC$12</f>
        <v>292876014141.44696</v>
      </c>
      <c r="CR79" s="269">
        <f t="shared" si="263"/>
        <v>0</v>
      </c>
      <c r="CS79" s="269">
        <f>'Detailed Budget'!$AC$16</f>
        <v>10488008800.000002</v>
      </c>
      <c r="CT79" s="607">
        <f t="shared" si="193"/>
        <v>0</v>
      </c>
      <c r="CU79" s="269">
        <f>'Detailed Budget'!$AC$24</f>
        <v>30624985696</v>
      </c>
      <c r="CV79" s="269">
        <f t="shared" si="264"/>
        <v>0</v>
      </c>
      <c r="CW79" s="269"/>
      <c r="CX79" s="269">
        <f t="shared" si="249"/>
        <v>0</v>
      </c>
      <c r="CY79" s="196">
        <f>'Detailed Budget'!$AC$97</f>
        <v>74629165494.837845</v>
      </c>
      <c r="CZ79" s="269">
        <f t="shared" si="194"/>
        <v>51716994.167881414</v>
      </c>
      <c r="DA79" s="269">
        <f>'Detailed Budget'!$AC$100</f>
        <v>14925833098.967569</v>
      </c>
      <c r="DB79" s="269">
        <f t="shared" si="195"/>
        <v>10343398.833576284</v>
      </c>
      <c r="DC79" s="269">
        <f t="shared" si="238"/>
        <v>62060393.001457699</v>
      </c>
      <c r="DD79" s="207">
        <v>0</v>
      </c>
      <c r="DE79" s="606">
        <v>0</v>
      </c>
      <c r="DF79" s="269">
        <f>'Detailed Budget'!$AC$147</f>
        <v>5913600671000</v>
      </c>
      <c r="DG79" s="269">
        <f t="shared" si="258"/>
        <v>0</v>
      </c>
      <c r="DH79" s="269">
        <f>'Detailed Budget'!$AC$153</f>
        <v>226428026880.00003</v>
      </c>
      <c r="DI79" s="269"/>
      <c r="DJ79" s="269">
        <f>'Detailed Budget'!$AC$156</f>
        <v>27713070000</v>
      </c>
      <c r="DK79" s="269"/>
      <c r="DL79" s="269"/>
      <c r="DM79" s="196">
        <f>'Detailed Budget'!$AC$178</f>
        <v>5622683761.6229038</v>
      </c>
      <c r="DN79" s="269">
        <f t="shared" si="223"/>
        <v>5329511.4044220755</v>
      </c>
      <c r="DO79" s="196">
        <f>'Detailed Budget'!$AC$179</f>
        <v>26827890683.128094</v>
      </c>
      <c r="DP79" s="269">
        <f t="shared" si="224"/>
        <v>25429057.84888323</v>
      </c>
      <c r="DQ79" s="269">
        <f t="shared" si="273"/>
        <v>30758569.253305305</v>
      </c>
      <c r="DR79" s="269">
        <f>'Detailed Budget'!$AC$181</f>
        <v>50888946855.375237</v>
      </c>
      <c r="DS79" s="269">
        <f t="shared" si="225"/>
        <v>38567480.7407538</v>
      </c>
      <c r="DT79" s="269">
        <f t="shared" si="226"/>
        <v>69326049.994059101</v>
      </c>
      <c r="DU79" s="272">
        <f>'Detailed Budget'!$AC$192</f>
        <v>77498869683.252869</v>
      </c>
      <c r="DV79" s="269">
        <f t="shared" si="196"/>
        <v>0</v>
      </c>
      <c r="DW79" s="140">
        <f>'Detailed Budget'!$AC$194</f>
        <v>2684962805.4134097</v>
      </c>
      <c r="DX79" s="269">
        <f t="shared" si="197"/>
        <v>0</v>
      </c>
      <c r="DY79" s="607">
        <f t="shared" si="239"/>
        <v>0</v>
      </c>
      <c r="DZ79" s="196">
        <f>'Detailed Budget'!$AC$198</f>
        <v>18732540018.380611</v>
      </c>
      <c r="EA79" s="269">
        <f t="shared" si="198"/>
        <v>8809795.5561232008</v>
      </c>
      <c r="EB79" s="196">
        <f>'Detailed Budget'!$AC$200</f>
        <v>4683135004.5951529</v>
      </c>
      <c r="EC79" s="269">
        <f t="shared" si="199"/>
        <v>2202448.8890308002</v>
      </c>
      <c r="ED79" s="269">
        <f t="shared" si="240"/>
        <v>11012244.445154</v>
      </c>
      <c r="EE79" s="196">
        <f>'Detailed Budget'!$AC$161</f>
        <v>251147290106.36197</v>
      </c>
      <c r="EF79" s="269">
        <f t="shared" si="200"/>
        <v>96465479.256592005</v>
      </c>
      <c r="EG79" s="196">
        <f>'Detailed Budget'!$AC$163</f>
        <v>15696705631.647623</v>
      </c>
      <c r="EH79" s="269">
        <f t="shared" si="201"/>
        <v>6029092.4535370003</v>
      </c>
      <c r="EI79" s="269">
        <f t="shared" si="241"/>
        <v>102494571.71012901</v>
      </c>
      <c r="EJ79" s="196">
        <f>'Detailed Budget'!$AC$204</f>
        <v>45012172507.531975</v>
      </c>
      <c r="EK79" s="269">
        <f t="shared" si="202"/>
        <v>17114182.385428578</v>
      </c>
      <c r="EL79" s="201">
        <f>'Detailed Budget'!$AC$206</f>
        <v>11253043126.882994</v>
      </c>
      <c r="EM79" s="269">
        <f t="shared" si="203"/>
        <v>4278545.5963571444</v>
      </c>
      <c r="EN79" s="269">
        <f t="shared" si="242"/>
        <v>21392727.981785722</v>
      </c>
      <c r="EO79" s="140">
        <f>'Detailed Budget'!$AC$209</f>
        <v>135789361677.54817</v>
      </c>
      <c r="EP79" s="269">
        <f t="shared" si="204"/>
        <v>35727418.711894594</v>
      </c>
      <c r="EQ79" s="196">
        <f>'Detailed Budget'!$AC$211</f>
        <v>33947340419.387043</v>
      </c>
      <c r="ER79" s="269">
        <f t="shared" si="205"/>
        <v>8931854.6779736485</v>
      </c>
      <c r="ES79" s="269">
        <f t="shared" si="243"/>
        <v>44659273.389868245</v>
      </c>
      <c r="ET79" s="196">
        <f>'Detailed Budget'!$AC$214</f>
        <v>22239745544.201103</v>
      </c>
      <c r="EU79" s="269">
        <f t="shared" si="206"/>
        <v>5682802.7385840425</v>
      </c>
      <c r="EV79" s="140">
        <f>'Detailed Budget'!$AC$217</f>
        <v>5559936386.0502758</v>
      </c>
      <c r="EW79" s="269">
        <f t="shared" si="207"/>
        <v>1420700.6846460106</v>
      </c>
      <c r="EX79" s="269">
        <f t="shared" si="244"/>
        <v>7103503.4232300529</v>
      </c>
      <c r="EY79" s="196">
        <f>'Detailed Budget'!$AC$219</f>
        <v>372777004.58170313</v>
      </c>
      <c r="EZ79" s="269">
        <f t="shared" si="208"/>
        <v>99711.995732413445</v>
      </c>
      <c r="FA79" s="196">
        <f>'Detailed Budget'!$AC$222</f>
        <v>93194251.145425782</v>
      </c>
      <c r="FB79" s="269">
        <f t="shared" si="209"/>
        <v>24927.998933103361</v>
      </c>
      <c r="FC79" s="269">
        <f t="shared" si="245"/>
        <v>124639.9946655168</v>
      </c>
      <c r="FD79" s="269"/>
      <c r="FE79" s="269">
        <f t="shared" si="246"/>
        <v>73280144.789549544</v>
      </c>
      <c r="FF79" s="140">
        <f>'Detailed Budget'!$AC$165</f>
        <v>14927760000</v>
      </c>
      <c r="FG79" s="1087">
        <f t="shared" si="259"/>
        <v>99958968.188108951</v>
      </c>
      <c r="FH79" s="269">
        <f t="shared" si="210"/>
        <v>16961436.200431772</v>
      </c>
      <c r="FJ79" s="140">
        <f>'Detailed Budget'!$AC$235</f>
        <v>3623696172</v>
      </c>
      <c r="FK79" s="269">
        <f t="shared" si="211"/>
        <v>4681778</v>
      </c>
      <c r="FL79" s="269">
        <f t="shared" si="260"/>
        <v>4681778</v>
      </c>
      <c r="FO79" s="607"/>
      <c r="FP79" s="607"/>
      <c r="FQ79" s="607"/>
      <c r="FR79" s="269">
        <f>'Detailed Budget'!$AC$257</f>
        <v>13636439388</v>
      </c>
      <c r="FS79" s="269">
        <f t="shared" si="212"/>
        <v>14490372</v>
      </c>
      <c r="FT79" s="269">
        <f t="shared" si="261"/>
        <v>14490372</v>
      </c>
      <c r="FU79" s="269"/>
      <c r="FV79" s="269"/>
      <c r="FW79" s="605"/>
      <c r="FX79" s="140">
        <f>'Detailed Budget'!$AC$278</f>
        <v>1114560000</v>
      </c>
      <c r="FY79" s="269">
        <f t="shared" si="213"/>
        <v>1440000</v>
      </c>
      <c r="FZ79" s="269">
        <f t="shared" si="262"/>
        <v>1440000</v>
      </c>
      <c r="GB79" s="269">
        <f t="shared" si="271"/>
        <v>455705958.32889003</v>
      </c>
      <c r="GC79" s="887">
        <f t="shared" si="247"/>
        <v>284816.22395555628</v>
      </c>
      <c r="GD79" s="1078">
        <f t="shared" si="272"/>
        <v>2.5571096299018047E-4</v>
      </c>
    </row>
    <row r="80" spans="1:186" hidden="1" outlineLevel="1">
      <c r="A80" s="211" t="s">
        <v>347</v>
      </c>
      <c r="B80" s="212" t="s">
        <v>348</v>
      </c>
      <c r="C80" s="213" t="s">
        <v>215</v>
      </c>
      <c r="D80" s="214"/>
      <c r="E80" s="213"/>
      <c r="F80" s="213"/>
      <c r="G80" s="213" t="s">
        <v>215</v>
      </c>
      <c r="H80" s="213" t="s">
        <v>215</v>
      </c>
      <c r="I80" s="214" t="s">
        <v>215</v>
      </c>
      <c r="J80" s="214"/>
      <c r="K80" s="213"/>
      <c r="L80" s="213"/>
      <c r="M80" s="214"/>
      <c r="N80" s="213" t="s">
        <v>215</v>
      </c>
      <c r="O80" s="214"/>
      <c r="P80" s="213"/>
      <c r="Q80" s="214"/>
      <c r="R80" s="214" t="s">
        <v>215</v>
      </c>
      <c r="S80" s="214"/>
      <c r="T80" s="214"/>
      <c r="U80" s="215">
        <f t="shared" si="214"/>
        <v>6</v>
      </c>
      <c r="V80" s="845" t="s">
        <v>216</v>
      </c>
      <c r="W80" s="216">
        <v>94454</v>
      </c>
      <c r="X80" s="217">
        <v>2.96</v>
      </c>
      <c r="Y80" s="218">
        <f t="shared" si="277"/>
        <v>1.0296000000000001</v>
      </c>
      <c r="Z80" s="196">
        <v>19</v>
      </c>
      <c r="AA80" s="218">
        <f t="shared" si="184"/>
        <v>1.7406126843598355</v>
      </c>
      <c r="AB80" s="196">
        <f t="shared" si="274"/>
        <v>164407.8304885239</v>
      </c>
      <c r="AC80">
        <v>17.399999999999999</v>
      </c>
      <c r="AD80" s="196">
        <f t="shared" si="275"/>
        <v>28606.962505003157</v>
      </c>
      <c r="AE80" s="196">
        <f t="shared" si="280"/>
        <v>27176.614379752999</v>
      </c>
      <c r="AF80" s="196">
        <f t="shared" si="215"/>
        <v>0</v>
      </c>
      <c r="AG80" s="606">
        <f t="shared" si="250"/>
        <v>1.2565273413471512E-3</v>
      </c>
      <c r="AH80" s="196">
        <f t="shared" si="227"/>
        <v>8220.3915244261952</v>
      </c>
      <c r="AI80" s="248">
        <f t="shared" si="216"/>
        <v>6.3682127628757038E-4</v>
      </c>
      <c r="AJ80" s="196">
        <f t="shared" si="228"/>
        <v>36827.354029429349</v>
      </c>
      <c r="AK80" s="196">
        <f t="shared" si="278"/>
        <v>6576.3132195409562</v>
      </c>
      <c r="AL80" s="196">
        <f t="shared" si="279"/>
        <v>6576.3132195409562</v>
      </c>
      <c r="AM80" s="196">
        <f t="shared" si="229"/>
        <v>13152.626439081912</v>
      </c>
      <c r="AN80" s="627">
        <f t="shared" si="230"/>
        <v>6.3682127628757038E-4</v>
      </c>
      <c r="AO80" s="196">
        <f t="shared" si="231"/>
        <v>6247.4975585639086</v>
      </c>
      <c r="AP80" s="589">
        <f t="shared" si="251"/>
        <v>6.3682127628757038E-4</v>
      </c>
      <c r="AQ80" s="196"/>
      <c r="AR80" s="589"/>
      <c r="AS80">
        <v>1</v>
      </c>
      <c r="AT80" s="589">
        <f t="shared" si="252"/>
        <v>1.2919896640826874E-3</v>
      </c>
      <c r="AU80" s="196">
        <v>11</v>
      </c>
      <c r="AV80" s="245">
        <f t="shared" si="232"/>
        <v>1.2498579706851495E-3</v>
      </c>
      <c r="AX80" s="245"/>
      <c r="AY80" s="245"/>
      <c r="AZ80" s="196">
        <v>23</v>
      </c>
      <c r="BA80" s="589">
        <f t="shared" si="265"/>
        <v>8.4276867831885966E-4</v>
      </c>
      <c r="BI80" s="196">
        <v>0</v>
      </c>
      <c r="BK80" s="246">
        <f t="shared" si="266"/>
        <v>0</v>
      </c>
      <c r="BL80" s="246"/>
      <c r="BM80" s="246">
        <f t="shared" si="267"/>
        <v>0</v>
      </c>
      <c r="BN80" s="196">
        <v>1</v>
      </c>
      <c r="BO80" s="196">
        <f t="shared" si="217"/>
        <v>12282.21377503349</v>
      </c>
      <c r="BP80" s="196">
        <f t="shared" si="233"/>
        <v>12282.21377503349</v>
      </c>
      <c r="BQ80" s="248">
        <f t="shared" si="268"/>
        <v>1.1489439034800542E-3</v>
      </c>
      <c r="BR80" s="248"/>
      <c r="BS80" s="248"/>
      <c r="BT80" s="276">
        <v>0</v>
      </c>
      <c r="BU80" s="196">
        <f t="shared" si="234"/>
        <v>0</v>
      </c>
      <c r="BV80" s="264">
        <f t="shared" si="269"/>
        <v>0</v>
      </c>
      <c r="BW80" s="196">
        <f t="shared" si="235"/>
        <v>0</v>
      </c>
      <c r="BX80" s="247">
        <f t="shared" si="270"/>
        <v>0</v>
      </c>
      <c r="BY80" s="196">
        <f t="shared" si="276"/>
        <v>0</v>
      </c>
      <c r="BZ80" s="620">
        <v>1</v>
      </c>
      <c r="CA80" s="196">
        <f t="shared" si="189"/>
        <v>50308.796129488306</v>
      </c>
      <c r="CB80" s="196">
        <f t="shared" si="190"/>
        <v>100617.59225897661</v>
      </c>
      <c r="CC80" s="196">
        <f t="shared" si="248"/>
        <v>150926.38838846493</v>
      </c>
      <c r="CD80" s="247">
        <f t="shared" si="236"/>
        <v>6.3682127628757028E-4</v>
      </c>
      <c r="CE80" s="196">
        <f t="shared" si="218"/>
        <v>18056.325704001621</v>
      </c>
      <c r="CF80" s="247">
        <f t="shared" si="237"/>
        <v>7.7972829809065973E-4</v>
      </c>
      <c r="CG80" s="196">
        <f t="shared" si="191"/>
        <v>24989.990234255634</v>
      </c>
      <c r="CH80" s="589">
        <f t="shared" si="253"/>
        <v>6.3682127628757038E-4</v>
      </c>
      <c r="CI80" s="196">
        <f t="shared" si="219"/>
        <v>38344.101902175178</v>
      </c>
      <c r="CJ80" s="248">
        <f t="shared" si="254"/>
        <v>6.3037693794156067E-4</v>
      </c>
      <c r="CK80" s="196">
        <f t="shared" si="220"/>
        <v>30345.616174209197</v>
      </c>
      <c r="CL80" s="589">
        <f t="shared" si="255"/>
        <v>4.3622447433120428E-4</v>
      </c>
      <c r="CM80" s="196">
        <f t="shared" si="221"/>
        <v>2939.7383054572852</v>
      </c>
      <c r="CN80" s="589">
        <f t="shared" si="256"/>
        <v>4.2364969891638127E-4</v>
      </c>
      <c r="CO80" s="196">
        <f t="shared" si="222"/>
        <v>235.16149421117052</v>
      </c>
      <c r="CP80" s="589">
        <f t="shared" si="257"/>
        <v>4.4347835654401851E-4</v>
      </c>
      <c r="CQ80" s="196">
        <f>'Detailed Budget'!$AC$12</f>
        <v>292876014141.44696</v>
      </c>
      <c r="CR80" s="269">
        <f t="shared" si="263"/>
        <v>0</v>
      </c>
      <c r="CS80" s="269">
        <f>'Detailed Budget'!$AC$16</f>
        <v>10488008800.000002</v>
      </c>
      <c r="CT80" s="607">
        <f t="shared" si="193"/>
        <v>0</v>
      </c>
      <c r="CU80" s="269">
        <f>'Detailed Budget'!$AC$24</f>
        <v>30624985696</v>
      </c>
      <c r="CV80" s="269">
        <f t="shared" si="264"/>
        <v>0</v>
      </c>
      <c r="CW80" s="269"/>
      <c r="CX80" s="269">
        <f t="shared" si="249"/>
        <v>0</v>
      </c>
      <c r="CY80" s="196">
        <f>'Detailed Budget'!$AC$97</f>
        <v>74629165494.837845</v>
      </c>
      <c r="CZ80" s="269">
        <f t="shared" si="194"/>
        <v>85744724.717097968</v>
      </c>
      <c r="DA80" s="269">
        <f>'Detailed Budget'!$AC$100</f>
        <v>14925833098.967569</v>
      </c>
      <c r="DB80" s="269">
        <f t="shared" si="195"/>
        <v>17148944.943419594</v>
      </c>
      <c r="DC80" s="269">
        <f t="shared" si="238"/>
        <v>102893669.66051756</v>
      </c>
      <c r="DD80" s="207">
        <v>0</v>
      </c>
      <c r="DE80" s="606">
        <v>0</v>
      </c>
      <c r="DF80" s="269">
        <f>'Detailed Budget'!$AC$147</f>
        <v>5913600671000</v>
      </c>
      <c r="DG80" s="269">
        <f t="shared" si="258"/>
        <v>0</v>
      </c>
      <c r="DH80" s="269">
        <f>'Detailed Budget'!$AC$153</f>
        <v>226428026880.00003</v>
      </c>
      <c r="DI80" s="269"/>
      <c r="DJ80" s="269">
        <f>'Detailed Budget'!$AC$156</f>
        <v>27713070000</v>
      </c>
      <c r="DK80" s="269"/>
      <c r="DL80" s="269"/>
      <c r="DM80" s="196">
        <f>'Detailed Budget'!$AC$178</f>
        <v>5622683761.6229038</v>
      </c>
      <c r="DN80" s="269">
        <f t="shared" si="223"/>
        <v>0</v>
      </c>
      <c r="DO80" s="196">
        <f>'Detailed Budget'!$AC$179</f>
        <v>26827890683.128094</v>
      </c>
      <c r="DP80" s="269">
        <f t="shared" si="224"/>
        <v>0</v>
      </c>
      <c r="DQ80" s="269">
        <f t="shared" si="273"/>
        <v>0</v>
      </c>
      <c r="DR80" s="269">
        <f>'Detailed Budget'!$AC$181</f>
        <v>50888946855.375237</v>
      </c>
      <c r="DS80" s="269">
        <f t="shared" si="225"/>
        <v>0</v>
      </c>
      <c r="DT80" s="269">
        <f t="shared" si="226"/>
        <v>0</v>
      </c>
      <c r="DU80" s="272">
        <f>'Detailed Budget'!$AC$192</f>
        <v>77498869683.252869</v>
      </c>
      <c r="DV80" s="269">
        <f t="shared" si="196"/>
        <v>49352929.102533177</v>
      </c>
      <c r="DW80" s="140">
        <f>'Detailed Budget'!$AC$194</f>
        <v>2684962805.4134097</v>
      </c>
      <c r="DX80" s="269">
        <f t="shared" si="197"/>
        <v>1709841.4405280231</v>
      </c>
      <c r="DY80" s="607">
        <f t="shared" si="239"/>
        <v>51062770.543061197</v>
      </c>
      <c r="DZ80" s="196">
        <f>'Detailed Budget'!$AC$198</f>
        <v>18732540018.380611</v>
      </c>
      <c r="EA80" s="269">
        <f t="shared" si="198"/>
        <v>14606291.547447089</v>
      </c>
      <c r="EB80" s="196">
        <f>'Detailed Budget'!$AC$200</f>
        <v>4683135004.5951529</v>
      </c>
      <c r="EC80" s="269">
        <f t="shared" si="199"/>
        <v>3651572.8868617723</v>
      </c>
      <c r="ED80" s="269">
        <f t="shared" si="240"/>
        <v>18257864.43430886</v>
      </c>
      <c r="EE80" s="196">
        <f>'Detailed Budget'!$AC$161</f>
        <v>251147290106.36197</v>
      </c>
      <c r="EF80" s="269">
        <f t="shared" si="200"/>
        <v>159935937.82169813</v>
      </c>
      <c r="EG80" s="196">
        <f>'Detailed Budget'!$AC$163</f>
        <v>15696705631.647623</v>
      </c>
      <c r="EH80" s="269">
        <f t="shared" si="201"/>
        <v>9995996.1138561331</v>
      </c>
      <c r="EI80" s="269">
        <f t="shared" si="241"/>
        <v>169931933.93555427</v>
      </c>
      <c r="EJ80" s="196">
        <f>'Detailed Budget'!$AC$204</f>
        <v>45012172507.531975</v>
      </c>
      <c r="EK80" s="269">
        <f t="shared" si="202"/>
        <v>28374635.475395307</v>
      </c>
      <c r="EL80" s="201">
        <f>'Detailed Budget'!$AC$206</f>
        <v>11253043126.882994</v>
      </c>
      <c r="EM80" s="269">
        <f t="shared" si="203"/>
        <v>7093658.8688488267</v>
      </c>
      <c r="EN80" s="269">
        <f t="shared" si="242"/>
        <v>35468294.344244137</v>
      </c>
      <c r="EO80" s="140">
        <f>'Detailed Budget'!$AC$209</f>
        <v>135789361677.54817</v>
      </c>
      <c r="EP80" s="269">
        <f t="shared" si="204"/>
        <v>59234642.91755823</v>
      </c>
      <c r="EQ80" s="196">
        <f>'Detailed Budget'!$AC$211</f>
        <v>33947340419.387043</v>
      </c>
      <c r="ER80" s="269">
        <f t="shared" si="205"/>
        <v>14808660.729389558</v>
      </c>
      <c r="ES80" s="269">
        <f t="shared" si="243"/>
        <v>74043303.646947786</v>
      </c>
      <c r="ET80" s="196">
        <f>'Detailed Budget'!$AC$214</f>
        <v>22239745544.201103</v>
      </c>
      <c r="EU80" s="269">
        <f t="shared" si="206"/>
        <v>9421861.5037777293</v>
      </c>
      <c r="EV80" s="140">
        <f>'Detailed Budget'!$AC$217</f>
        <v>5559936386.0502758</v>
      </c>
      <c r="EW80" s="269">
        <f t="shared" si="207"/>
        <v>2355465.3759444323</v>
      </c>
      <c r="EX80" s="269">
        <f t="shared" si="244"/>
        <v>11777326.879722161</v>
      </c>
      <c r="EY80" s="196">
        <f>'Detailed Budget'!$AC$219</f>
        <v>372777004.58170313</v>
      </c>
      <c r="EZ80" s="269">
        <f t="shared" si="208"/>
        <v>165318.53334929576</v>
      </c>
      <c r="FA80" s="196">
        <f>'Detailed Budget'!$AC$222</f>
        <v>93194251.145425782</v>
      </c>
      <c r="FB80" s="269">
        <f t="shared" si="209"/>
        <v>41329.633337323939</v>
      </c>
      <c r="FC80" s="269">
        <f t="shared" si="245"/>
        <v>206648.16668661969</v>
      </c>
      <c r="FD80" s="269"/>
      <c r="FE80" s="269">
        <f t="shared" si="246"/>
        <v>121495573.03760071</v>
      </c>
      <c r="FF80" s="140">
        <f>'Detailed Budget'!$AC$165</f>
        <v>14927760000</v>
      </c>
      <c r="FG80" s="1087">
        <f t="shared" si="259"/>
        <v>165728003.88344118</v>
      </c>
      <c r="FH80" s="269">
        <f t="shared" si="210"/>
        <v>18657579.820474949</v>
      </c>
      <c r="FJ80" s="140">
        <f>'Detailed Budget'!$AC$235</f>
        <v>3623696172</v>
      </c>
      <c r="FK80" s="269">
        <f t="shared" si="211"/>
        <v>4681778</v>
      </c>
      <c r="FL80" s="269">
        <f t="shared" si="260"/>
        <v>4681778</v>
      </c>
      <c r="FO80" s="607"/>
      <c r="FP80" s="607"/>
      <c r="FQ80" s="607"/>
      <c r="FR80" s="269">
        <f>'Detailed Budget'!$AC$257</f>
        <v>13636439388</v>
      </c>
      <c r="FS80" s="269">
        <f t="shared" si="212"/>
        <v>11492364</v>
      </c>
      <c r="FT80" s="269">
        <f t="shared" si="261"/>
        <v>11492364</v>
      </c>
      <c r="FU80" s="269"/>
      <c r="FV80" s="269"/>
      <c r="FW80" s="605"/>
      <c r="FX80" s="140">
        <f>'Detailed Budget'!$AC$278</f>
        <v>1114560000</v>
      </c>
      <c r="FY80" s="269">
        <f t="shared" si="213"/>
        <v>1440000</v>
      </c>
      <c r="FZ80" s="269">
        <f t="shared" si="262"/>
        <v>1440000</v>
      </c>
      <c r="GB80" s="269">
        <f t="shared" si="271"/>
        <v>665641537.31495869</v>
      </c>
      <c r="GC80" s="887">
        <f t="shared" si="247"/>
        <v>416025.96082184918</v>
      </c>
      <c r="GD80" s="1078">
        <f t="shared" si="272"/>
        <v>3.7351242704232479E-4</v>
      </c>
    </row>
    <row r="81" spans="1:186" hidden="1" outlineLevel="1">
      <c r="A81" s="211" t="s">
        <v>349</v>
      </c>
      <c r="B81" s="212" t="s">
        <v>350</v>
      </c>
      <c r="C81" s="213" t="s">
        <v>215</v>
      </c>
      <c r="D81" s="214" t="s">
        <v>215</v>
      </c>
      <c r="E81" s="213"/>
      <c r="F81" s="213"/>
      <c r="G81" s="213"/>
      <c r="H81" s="213" t="s">
        <v>215</v>
      </c>
      <c r="I81" s="214" t="s">
        <v>215</v>
      </c>
      <c r="J81" s="214"/>
      <c r="K81" s="213"/>
      <c r="L81" s="213"/>
      <c r="M81" s="214" t="s">
        <v>215</v>
      </c>
      <c r="N81" s="213"/>
      <c r="O81" s="214"/>
      <c r="P81" s="213"/>
      <c r="Q81" s="214"/>
      <c r="R81" s="214" t="s">
        <v>215</v>
      </c>
      <c r="S81" s="214"/>
      <c r="T81" s="214"/>
      <c r="U81" s="215">
        <f t="shared" si="214"/>
        <v>6</v>
      </c>
      <c r="V81" s="845" t="s">
        <v>219</v>
      </c>
      <c r="W81" s="216">
        <v>110852</v>
      </c>
      <c r="X81" s="217">
        <v>2.96</v>
      </c>
      <c r="Y81" s="218">
        <f t="shared" si="277"/>
        <v>1.0296000000000001</v>
      </c>
      <c r="Z81" s="196">
        <v>19</v>
      </c>
      <c r="AA81" s="218">
        <f t="shared" si="184"/>
        <v>1.7406126843598355</v>
      </c>
      <c r="AB81" s="196">
        <f t="shared" si="274"/>
        <v>192950.39728665649</v>
      </c>
      <c r="AC81">
        <v>17.399999999999999</v>
      </c>
      <c r="AD81" s="196">
        <f t="shared" si="275"/>
        <v>33573.369127878228</v>
      </c>
      <c r="AE81" s="196">
        <f t="shared" si="280"/>
        <v>31894.700671484316</v>
      </c>
      <c r="AF81" s="196">
        <f t="shared" si="215"/>
        <v>31894.700671484316</v>
      </c>
      <c r="AG81" s="606">
        <f t="shared" si="250"/>
        <v>1.4746709386898851E-3</v>
      </c>
      <c r="AH81" s="196">
        <f t="shared" si="227"/>
        <v>9647.519864332824</v>
      </c>
      <c r="AI81" s="248">
        <f t="shared" si="216"/>
        <v>7.4737874646949574E-4</v>
      </c>
      <c r="AJ81" s="196">
        <f t="shared" si="228"/>
        <v>43220.888992211054</v>
      </c>
      <c r="AK81" s="196">
        <f t="shared" si="278"/>
        <v>7718.0158914662597</v>
      </c>
      <c r="AL81" s="196">
        <f t="shared" si="279"/>
        <v>7718.0158914662597</v>
      </c>
      <c r="AM81" s="196">
        <f t="shared" si="229"/>
        <v>15436.031782932519</v>
      </c>
      <c r="AN81" s="627">
        <f t="shared" si="230"/>
        <v>7.4737874646949574E-4</v>
      </c>
      <c r="AO81" s="196">
        <f t="shared" si="231"/>
        <v>7332.115096892946</v>
      </c>
      <c r="AP81" s="589">
        <f t="shared" si="251"/>
        <v>7.4737874646949574E-4</v>
      </c>
      <c r="AQ81" s="196"/>
      <c r="AR81" s="589"/>
      <c r="AS81">
        <v>1</v>
      </c>
      <c r="AT81" s="589">
        <f t="shared" si="252"/>
        <v>1.2919896640826874E-3</v>
      </c>
      <c r="AU81" s="196">
        <v>10</v>
      </c>
      <c r="AV81" s="245">
        <f t="shared" si="232"/>
        <v>1.1362345188046814E-3</v>
      </c>
      <c r="AX81" s="245"/>
      <c r="AY81" s="245"/>
      <c r="AZ81" s="196">
        <v>35</v>
      </c>
      <c r="BA81" s="589">
        <f t="shared" si="265"/>
        <v>1.2824740757026126E-3</v>
      </c>
      <c r="BI81" s="196">
        <v>0</v>
      </c>
      <c r="BK81" s="246">
        <f t="shared" si="266"/>
        <v>0</v>
      </c>
      <c r="BL81" s="246"/>
      <c r="BM81" s="246">
        <f t="shared" si="267"/>
        <v>0</v>
      </c>
      <c r="BN81" s="196">
        <v>1</v>
      </c>
      <c r="BO81" s="196">
        <f t="shared" si="217"/>
        <v>14414.508240942816</v>
      </c>
      <c r="BP81" s="196">
        <f t="shared" si="233"/>
        <v>14414.508240942816</v>
      </c>
      <c r="BQ81" s="248">
        <f t="shared" si="268"/>
        <v>1.3484101212079E-3</v>
      </c>
      <c r="BR81" s="248"/>
      <c r="BS81" s="248"/>
      <c r="BT81" s="276">
        <v>1</v>
      </c>
      <c r="BU81" s="196">
        <f t="shared" si="234"/>
        <v>26590.108349279559</v>
      </c>
      <c r="BV81" s="264">
        <f t="shared" si="269"/>
        <v>1.8443402809406109E-3</v>
      </c>
      <c r="BW81" s="196">
        <f t="shared" si="235"/>
        <v>113746.57460525144</v>
      </c>
      <c r="BX81" s="247">
        <f t="shared" si="270"/>
        <v>1.8443402975544989E-3</v>
      </c>
      <c r="BY81" s="196">
        <f t="shared" si="276"/>
        <v>140336.68295453099</v>
      </c>
      <c r="BZ81" s="620">
        <v>0</v>
      </c>
      <c r="CA81" s="196">
        <f t="shared" si="189"/>
        <v>59042.821569716885</v>
      </c>
      <c r="CB81" s="196">
        <f t="shared" si="190"/>
        <v>118085.64313943377</v>
      </c>
      <c r="CC81" s="196">
        <f t="shared" si="248"/>
        <v>177128.46470915066</v>
      </c>
      <c r="CD81" s="247">
        <f t="shared" si="236"/>
        <v>7.4737874646949585E-4</v>
      </c>
      <c r="CE81" s="196">
        <f t="shared" si="218"/>
        <v>21191.054025663158</v>
      </c>
      <c r="CF81" s="247">
        <f t="shared" si="237"/>
        <v>9.1509561585476334E-4</v>
      </c>
      <c r="CG81" s="196">
        <f t="shared" si="191"/>
        <v>29328.460387571784</v>
      </c>
      <c r="CH81" s="589">
        <f t="shared" si="253"/>
        <v>7.4737874646949574E-4</v>
      </c>
      <c r="CI81" s="196">
        <f t="shared" si="219"/>
        <v>45000.956910876434</v>
      </c>
      <c r="CJ81" s="248">
        <f t="shared" si="254"/>
        <v>7.3981561738727726E-4</v>
      </c>
      <c r="CK81" s="196">
        <f t="shared" si="220"/>
        <v>35613.867534921104</v>
      </c>
      <c r="CL81" s="589">
        <f t="shared" si="255"/>
        <v>5.1195667127451096E-4</v>
      </c>
      <c r="CM81" s="196">
        <f t="shared" si="221"/>
        <v>3450.1013258999187</v>
      </c>
      <c r="CN81" s="589">
        <f t="shared" si="256"/>
        <v>4.9719881025979515E-4</v>
      </c>
      <c r="CO81" s="196">
        <f t="shared" si="222"/>
        <v>275.98748550931322</v>
      </c>
      <c r="CP81" s="589">
        <f t="shared" si="257"/>
        <v>5.2046988777201104E-4</v>
      </c>
      <c r="CQ81" s="196">
        <f>'Detailed Budget'!$AC$12</f>
        <v>292876014141.44696</v>
      </c>
      <c r="CR81" s="269">
        <f t="shared" si="263"/>
        <v>0</v>
      </c>
      <c r="CS81" s="269">
        <f>'Detailed Budget'!$AC$16</f>
        <v>10488008800.000002</v>
      </c>
      <c r="CT81" s="607">
        <f t="shared" si="193"/>
        <v>0</v>
      </c>
      <c r="CU81" s="269">
        <f>'Detailed Budget'!$AC$24</f>
        <v>30624985696</v>
      </c>
      <c r="CV81" s="269">
        <f t="shared" si="264"/>
        <v>0</v>
      </c>
      <c r="CW81" s="269"/>
      <c r="CX81" s="269">
        <f t="shared" si="249"/>
        <v>0</v>
      </c>
      <c r="CY81" s="196">
        <f>'Detailed Budget'!$AC$97</f>
        <v>74629165494.837845</v>
      </c>
      <c r="CZ81" s="269">
        <f t="shared" si="194"/>
        <v>100630722.09053873</v>
      </c>
      <c r="DA81" s="269">
        <f>'Detailed Budget'!$AC$100</f>
        <v>14925833098.967569</v>
      </c>
      <c r="DB81" s="269">
        <f t="shared" si="195"/>
        <v>20126144.418107748</v>
      </c>
      <c r="DC81" s="269">
        <f t="shared" si="238"/>
        <v>120756866.50864647</v>
      </c>
      <c r="DD81" s="207">
        <v>0</v>
      </c>
      <c r="DE81" s="606">
        <v>0</v>
      </c>
      <c r="DF81" s="269">
        <f>'Detailed Budget'!$AC$147</f>
        <v>5913600671000</v>
      </c>
      <c r="DG81" s="269">
        <f t="shared" si="258"/>
        <v>0</v>
      </c>
      <c r="DH81" s="269">
        <f>'Detailed Budget'!$AC$153</f>
        <v>226428026880.00003</v>
      </c>
      <c r="DI81" s="269"/>
      <c r="DJ81" s="269">
        <f>'Detailed Budget'!$AC$156</f>
        <v>27713070000</v>
      </c>
      <c r="DK81" s="269"/>
      <c r="DL81" s="269"/>
      <c r="DM81" s="196">
        <f>'Detailed Budget'!$AC$178</f>
        <v>5622683761.6229038</v>
      </c>
      <c r="DN81" s="269">
        <f t="shared" si="223"/>
        <v>10370142.148551797</v>
      </c>
      <c r="DO81" s="196">
        <f>'Detailed Budget'!$AC$179</f>
        <v>26827890683.128094</v>
      </c>
      <c r="DP81" s="269">
        <f t="shared" si="224"/>
        <v>49479759.885280035</v>
      </c>
      <c r="DQ81" s="269">
        <f t="shared" si="273"/>
        <v>59849902.033831835</v>
      </c>
      <c r="DR81" s="269">
        <f>'Detailed Budget'!$AC$181</f>
        <v>50888946855.375237</v>
      </c>
      <c r="DS81" s="269">
        <f t="shared" si="225"/>
        <v>75044451.028155878</v>
      </c>
      <c r="DT81" s="269">
        <f t="shared" si="226"/>
        <v>134894353.0619877</v>
      </c>
      <c r="DU81" s="272">
        <f>'Detailed Budget'!$AC$192</f>
        <v>77498869683.252869</v>
      </c>
      <c r="DV81" s="269">
        <f t="shared" si="196"/>
        <v>0</v>
      </c>
      <c r="DW81" s="140">
        <f>'Detailed Budget'!$AC$194</f>
        <v>2684962805.4134097</v>
      </c>
      <c r="DX81" s="269">
        <f t="shared" si="197"/>
        <v>0</v>
      </c>
      <c r="DY81" s="607">
        <f t="shared" si="239"/>
        <v>0</v>
      </c>
      <c r="DZ81" s="196">
        <f>'Detailed Budget'!$AC$198</f>
        <v>18732540018.380611</v>
      </c>
      <c r="EA81" s="269">
        <f t="shared" si="198"/>
        <v>17142065.244644005</v>
      </c>
      <c r="EB81" s="196">
        <f>'Detailed Budget'!$AC$200</f>
        <v>4683135004.5951529</v>
      </c>
      <c r="EC81" s="269">
        <f t="shared" si="199"/>
        <v>4285516.3111610012</v>
      </c>
      <c r="ED81" s="269">
        <f t="shared" si="240"/>
        <v>21427581.555805005</v>
      </c>
      <c r="EE81" s="196">
        <f>'Detailed Budget'!$AC$161</f>
        <v>251147290106.36197</v>
      </c>
      <c r="EF81" s="269">
        <f t="shared" si="200"/>
        <v>187702146.85890359</v>
      </c>
      <c r="EG81" s="196">
        <f>'Detailed Budget'!$AC$163</f>
        <v>15696705631.647623</v>
      </c>
      <c r="EH81" s="269">
        <f t="shared" si="201"/>
        <v>11731384.178681474</v>
      </c>
      <c r="EI81" s="269">
        <f t="shared" si="241"/>
        <v>199433531.03758505</v>
      </c>
      <c r="EJ81" s="196">
        <f>'Detailed Budget'!$AC$204</f>
        <v>45012172507.531975</v>
      </c>
      <c r="EK81" s="269">
        <f t="shared" si="202"/>
        <v>33300708.193602394</v>
      </c>
      <c r="EL81" s="201">
        <f>'Detailed Budget'!$AC$206</f>
        <v>11253043126.882994</v>
      </c>
      <c r="EM81" s="269">
        <f t="shared" si="203"/>
        <v>8325177.0484005986</v>
      </c>
      <c r="EN81" s="269">
        <f t="shared" si="242"/>
        <v>41625885.242002994</v>
      </c>
      <c r="EO81" s="140">
        <f>'Detailed Budget'!$AC$209</f>
        <v>135789361677.54817</v>
      </c>
      <c r="EP81" s="269">
        <f t="shared" si="204"/>
        <v>69518269.598928198</v>
      </c>
      <c r="EQ81" s="196">
        <f>'Detailed Budget'!$AC$211</f>
        <v>33947340419.387043</v>
      </c>
      <c r="ER81" s="269">
        <f t="shared" si="205"/>
        <v>17379567.39973205</v>
      </c>
      <c r="ES81" s="269">
        <f t="shared" si="243"/>
        <v>86897836.998660251</v>
      </c>
      <c r="ET81" s="196">
        <f>'Detailed Budget'!$AC$214</f>
        <v>22239745544.201103</v>
      </c>
      <c r="EU81" s="269">
        <f t="shared" si="206"/>
        <v>11057575.02505737</v>
      </c>
      <c r="EV81" s="140">
        <f>'Detailed Budget'!$AC$217</f>
        <v>5559936386.0502758</v>
      </c>
      <c r="EW81" s="269">
        <f t="shared" si="207"/>
        <v>2764393.7562643425</v>
      </c>
      <c r="EX81" s="269">
        <f t="shared" si="244"/>
        <v>13821968.781321712</v>
      </c>
      <c r="EY81" s="196">
        <f>'Detailed Budget'!$AC$219</f>
        <v>372777004.58170313</v>
      </c>
      <c r="EZ81" s="269">
        <f t="shared" si="208"/>
        <v>194019.20573862546</v>
      </c>
      <c r="FA81" s="196">
        <f>'Detailed Budget'!$AC$222</f>
        <v>93194251.145425782</v>
      </c>
      <c r="FB81" s="269">
        <f t="shared" si="209"/>
        <v>48504.801434656365</v>
      </c>
      <c r="FC81" s="269">
        <f t="shared" si="245"/>
        <v>242524.00717328183</v>
      </c>
      <c r="FD81" s="269"/>
      <c r="FE81" s="269">
        <f t="shared" si="246"/>
        <v>142588215.02915823</v>
      </c>
      <c r="FF81" s="140">
        <f>'Detailed Budget'!$AC$165</f>
        <v>14927760000</v>
      </c>
      <c r="FG81" s="1087">
        <f t="shared" si="259"/>
        <v>194499763.76317802</v>
      </c>
      <c r="FH81" s="269">
        <f t="shared" si="210"/>
        <v>16961436.200431772</v>
      </c>
      <c r="FJ81" s="140">
        <f>'Detailed Budget'!$AC$235</f>
        <v>3623696172</v>
      </c>
      <c r="FK81" s="269">
        <f t="shared" si="211"/>
        <v>4681778</v>
      </c>
      <c r="FL81" s="269">
        <f t="shared" si="260"/>
        <v>4681778</v>
      </c>
      <c r="FO81" s="607"/>
      <c r="FP81" s="607"/>
      <c r="FQ81" s="607"/>
      <c r="FR81" s="269">
        <f>'Detailed Budget'!$AC$257</f>
        <v>13636439388</v>
      </c>
      <c r="FS81" s="269">
        <f t="shared" si="212"/>
        <v>17488380</v>
      </c>
      <c r="FT81" s="269">
        <f t="shared" si="261"/>
        <v>17488380</v>
      </c>
      <c r="FU81" s="269"/>
      <c r="FV81" s="269"/>
      <c r="FW81" s="605"/>
      <c r="FX81" s="140">
        <f>'Detailed Budget'!$AC$278</f>
        <v>1114560000</v>
      </c>
      <c r="FY81" s="269">
        <f t="shared" si="213"/>
        <v>1440000</v>
      </c>
      <c r="FZ81" s="269">
        <f t="shared" si="262"/>
        <v>1440000</v>
      </c>
      <c r="GB81" s="269">
        <f t="shared" si="271"/>
        <v>854171905.15679228</v>
      </c>
      <c r="GC81" s="887">
        <f t="shared" si="247"/>
        <v>533857.4407229952</v>
      </c>
      <c r="GD81" s="1078">
        <f t="shared" si="272"/>
        <v>4.7930275309054129E-4</v>
      </c>
    </row>
    <row r="82" spans="1:186" hidden="1" outlineLevel="1">
      <c r="A82" s="211"/>
      <c r="B82" s="212"/>
      <c r="C82" s="213"/>
      <c r="D82" s="214"/>
      <c r="E82" s="213"/>
      <c r="F82" s="213"/>
      <c r="G82" s="213"/>
      <c r="H82" s="213"/>
      <c r="I82" s="214"/>
      <c r="J82" s="214"/>
      <c r="K82" s="213"/>
      <c r="L82" s="213"/>
      <c r="M82" s="214"/>
      <c r="N82" s="213"/>
      <c r="O82" s="214"/>
      <c r="P82" s="213"/>
      <c r="Q82" s="214"/>
      <c r="R82" s="214"/>
      <c r="S82" s="214"/>
      <c r="T82" s="214"/>
      <c r="U82" s="215"/>
      <c r="V82" s="845"/>
      <c r="W82" s="216"/>
      <c r="X82" s="217"/>
      <c r="Y82" s="218"/>
      <c r="Z82" s="196"/>
      <c r="AA82" s="218"/>
      <c r="AG82" s="606"/>
      <c r="AJ82" s="196"/>
      <c r="AK82" s="196"/>
      <c r="AL82" s="196"/>
      <c r="AM82" s="196"/>
      <c r="AO82" s="196"/>
      <c r="AP82" s="589"/>
      <c r="AQ82" s="196"/>
      <c r="AR82" s="589"/>
      <c r="AS82"/>
      <c r="AT82" s="589">
        <f t="shared" si="252"/>
        <v>0</v>
      </c>
      <c r="AV82" s="245"/>
      <c r="AX82" s="245"/>
      <c r="AY82" s="245"/>
      <c r="BA82" s="589">
        <f t="shared" si="265"/>
        <v>0</v>
      </c>
      <c r="BK82" s="246">
        <f t="shared" si="266"/>
        <v>0</v>
      </c>
      <c r="BL82" s="246"/>
      <c r="BM82" s="246">
        <f t="shared" si="267"/>
        <v>0</v>
      </c>
      <c r="BN82" s="196"/>
      <c r="BQ82" s="248">
        <f t="shared" si="268"/>
        <v>0</v>
      </c>
      <c r="BR82" s="248"/>
      <c r="BS82" s="248"/>
      <c r="BT82" s="276"/>
      <c r="BV82" s="264">
        <f t="shared" si="269"/>
        <v>0</v>
      </c>
      <c r="BX82" s="247">
        <f t="shared" si="270"/>
        <v>0</v>
      </c>
      <c r="BY82" s="196"/>
      <c r="BZ82" s="620"/>
      <c r="CA82" s="196"/>
      <c r="CB82" s="196"/>
      <c r="CC82" s="196"/>
      <c r="CD82" s="247"/>
      <c r="CF82" s="247"/>
      <c r="CG82" s="196"/>
      <c r="CH82" s="589"/>
      <c r="CI82" s="196"/>
      <c r="CJ82" s="248"/>
      <c r="CK82" s="196"/>
      <c r="CL82" s="589"/>
      <c r="CM82" s="196"/>
      <c r="CN82" s="589"/>
      <c r="CO82" s="196"/>
      <c r="CP82" s="589"/>
      <c r="CQ82" s="196"/>
      <c r="CR82" s="269">
        <f t="shared" si="263"/>
        <v>0</v>
      </c>
      <c r="CS82" s="269"/>
      <c r="CT82" s="607"/>
      <c r="CU82" s="269">
        <f>'Detailed Budget'!$AC$24</f>
        <v>30624985696</v>
      </c>
      <c r="CV82" s="269">
        <f t="shared" si="264"/>
        <v>0</v>
      </c>
      <c r="CW82" s="269"/>
      <c r="CX82" s="269"/>
      <c r="CY82" s="196"/>
      <c r="DC82" s="269"/>
      <c r="DD82" s="207"/>
      <c r="DE82" s="606">
        <v>0</v>
      </c>
      <c r="DF82" s="269">
        <f>'Detailed Budget'!$AC$147</f>
        <v>5913600671000</v>
      </c>
      <c r="DG82" s="269">
        <f t="shared" si="258"/>
        <v>0</v>
      </c>
      <c r="DH82" s="269">
        <f>'Detailed Budget'!$AC$153</f>
        <v>226428026880.00003</v>
      </c>
      <c r="DI82" s="269"/>
      <c r="DJ82" s="269">
        <f>'Detailed Budget'!$AC$156</f>
        <v>27713070000</v>
      </c>
      <c r="DK82" s="269"/>
      <c r="DL82" s="269"/>
      <c r="DM82" s="196"/>
      <c r="DN82" s="269"/>
      <c r="DO82" s="196"/>
      <c r="DP82" s="269"/>
      <c r="DQ82" s="269"/>
      <c r="DR82" s="269"/>
      <c r="DS82" s="269"/>
      <c r="DT82" s="269"/>
      <c r="DU82" s="272"/>
      <c r="DV82" s="269"/>
      <c r="DW82" s="140"/>
      <c r="DX82" s="269"/>
      <c r="DY82" s="607"/>
      <c r="DZ82" s="196"/>
      <c r="EA82" s="269"/>
      <c r="EB82" s="196"/>
      <c r="ED82" s="269"/>
      <c r="EE82" s="196"/>
      <c r="EG82" s="196"/>
      <c r="EI82" s="269"/>
      <c r="EJ82" s="196"/>
      <c r="EL82" s="201"/>
      <c r="EN82" s="269"/>
      <c r="EO82" s="140"/>
      <c r="EQ82" s="196"/>
      <c r="ES82" s="269"/>
      <c r="ET82" s="196"/>
      <c r="EV82" s="140"/>
      <c r="EX82" s="269"/>
      <c r="EY82" s="196"/>
      <c r="FA82" s="196"/>
      <c r="FC82" s="269"/>
      <c r="FD82" s="269"/>
      <c r="FE82" s="269"/>
      <c r="FF82" s="140"/>
      <c r="FG82" s="1087">
        <f t="shared" si="259"/>
        <v>0</v>
      </c>
      <c r="FJ82" s="140">
        <f>'Detailed Budget'!$AC$235</f>
        <v>3623696172</v>
      </c>
      <c r="FL82" s="269">
        <f t="shared" si="260"/>
        <v>0</v>
      </c>
      <c r="FO82" s="607"/>
      <c r="FP82" s="607"/>
      <c r="FQ82" s="607"/>
      <c r="FT82" s="269">
        <f t="shared" si="261"/>
        <v>0</v>
      </c>
      <c r="FU82" s="269"/>
      <c r="FV82" s="269"/>
      <c r="FW82" s="605"/>
      <c r="FX82" s="140">
        <f>'Detailed Budget'!$AC$278</f>
        <v>1114560000</v>
      </c>
      <c r="FY82" s="269"/>
      <c r="FZ82" s="269"/>
      <c r="GB82" s="269">
        <f t="shared" si="271"/>
        <v>0</v>
      </c>
      <c r="GD82" s="1078">
        <f t="shared" si="272"/>
        <v>0</v>
      </c>
    </row>
    <row r="83" spans="1:186" s="210" customFormat="1" collapsed="1">
      <c r="A83" s="203">
        <v>1.5</v>
      </c>
      <c r="B83" s="204" t="s">
        <v>351</v>
      </c>
      <c r="C83" s="205">
        <f t="shared" ref="C83:T83" si="281">COUNTA(C84:C96)</f>
        <v>13</v>
      </c>
      <c r="D83" s="205">
        <f t="shared" si="281"/>
        <v>13</v>
      </c>
      <c r="E83" s="205">
        <f t="shared" si="281"/>
        <v>0</v>
      </c>
      <c r="F83" s="205">
        <f t="shared" si="281"/>
        <v>0</v>
      </c>
      <c r="G83" s="205">
        <f t="shared" si="281"/>
        <v>0</v>
      </c>
      <c r="H83" s="205">
        <f t="shared" si="281"/>
        <v>13</v>
      </c>
      <c r="I83" s="205">
        <f t="shared" si="281"/>
        <v>13</v>
      </c>
      <c r="J83" s="205">
        <f t="shared" si="281"/>
        <v>0</v>
      </c>
      <c r="K83" s="205">
        <f t="shared" si="281"/>
        <v>11</v>
      </c>
      <c r="L83" s="205">
        <f t="shared" si="281"/>
        <v>0</v>
      </c>
      <c r="M83" s="205">
        <f t="shared" si="281"/>
        <v>2</v>
      </c>
      <c r="N83" s="205">
        <f t="shared" si="281"/>
        <v>0</v>
      </c>
      <c r="O83" s="205">
        <f t="shared" si="281"/>
        <v>0</v>
      </c>
      <c r="P83" s="205">
        <f t="shared" si="281"/>
        <v>0</v>
      </c>
      <c r="Q83" s="205">
        <f t="shared" si="281"/>
        <v>0</v>
      </c>
      <c r="R83" s="205">
        <f t="shared" si="281"/>
        <v>13</v>
      </c>
      <c r="S83" s="205">
        <f t="shared" si="281"/>
        <v>0</v>
      </c>
      <c r="T83" s="205">
        <f t="shared" si="281"/>
        <v>0</v>
      </c>
      <c r="U83" s="206">
        <f>SUM(C83:T83)</f>
        <v>78</v>
      </c>
      <c r="V83" s="844"/>
      <c r="W83" s="207">
        <f>SUM(W84:W96)</f>
        <v>1869377</v>
      </c>
      <c r="X83" s="208">
        <v>3.05</v>
      </c>
      <c r="Y83" s="209">
        <f t="shared" si="277"/>
        <v>1.0305</v>
      </c>
      <c r="Z83" s="207">
        <v>19</v>
      </c>
      <c r="AA83" s="209">
        <f t="shared" si="184"/>
        <v>1.7697500211431931</v>
      </c>
      <c r="AB83" s="207">
        <f>SUM(AB84:AB96)</f>
        <v>3308329.9852745989</v>
      </c>
      <c r="AC83" s="210">
        <v>19.100000000000001</v>
      </c>
      <c r="AD83" s="207">
        <f>SUM(AD84:AD96)</f>
        <v>631891.02718744846</v>
      </c>
      <c r="AE83" s="207">
        <f>SUM(AE84:AE96)</f>
        <v>600296.47582807601</v>
      </c>
      <c r="AF83" s="207">
        <f>SUM(AF84:AF96)</f>
        <v>600296.47582807601</v>
      </c>
      <c r="AG83" s="588">
        <f t="shared" si="250"/>
        <v>2.7755073691382019E-2</v>
      </c>
      <c r="AH83" s="207">
        <f>SUM(AH84:AH96)</f>
        <v>165416.49926372999</v>
      </c>
      <c r="AI83" s="633">
        <f t="shared" si="216"/>
        <v>1.2814565567484152E-2</v>
      </c>
      <c r="AJ83" s="207">
        <f>SUM(AJ84:AJ96)</f>
        <v>797307.52645117848</v>
      </c>
      <c r="AK83" s="207">
        <f t="shared" si="278"/>
        <v>132333.19941098397</v>
      </c>
      <c r="AL83" s="207">
        <f t="shared" si="279"/>
        <v>132333.19941098397</v>
      </c>
      <c r="AM83" s="207">
        <f t="shared" si="229"/>
        <v>264666.39882196794</v>
      </c>
      <c r="AN83" s="632">
        <f t="shared" si="230"/>
        <v>1.281456556748415E-2</v>
      </c>
      <c r="AO83" s="207">
        <f t="shared" si="231"/>
        <v>125716.53944043476</v>
      </c>
      <c r="AP83" s="588">
        <f t="shared" si="251"/>
        <v>1.2814565567484148E-2</v>
      </c>
      <c r="AQ83" s="207">
        <v>1</v>
      </c>
      <c r="AR83" s="588">
        <f>AQ83/37</f>
        <v>2.7027027027027029E-2</v>
      </c>
      <c r="AS83" s="207">
        <f>SUM(AS84:AS96)</f>
        <v>13</v>
      </c>
      <c r="AT83" s="588">
        <f t="shared" si="252"/>
        <v>1.6795865633074936E-2</v>
      </c>
      <c r="AU83" s="207">
        <f>SUM(AU84:AU96)</f>
        <v>147</v>
      </c>
      <c r="AV83" s="892">
        <f t="shared" si="232"/>
        <v>1.6702647426428813E-2</v>
      </c>
      <c r="AW83" s="207">
        <v>27117</v>
      </c>
      <c r="AX83" s="208">
        <f>AW83*0.002</f>
        <v>54.234000000000002</v>
      </c>
      <c r="AY83" s="207">
        <f>AX83*100</f>
        <v>5423.4000000000005</v>
      </c>
      <c r="AZ83" s="207">
        <f>SUM(AZ84:AZ96)</f>
        <v>782</v>
      </c>
      <c r="BA83" s="588">
        <f t="shared" si="265"/>
        <v>2.8654135062841229E-2</v>
      </c>
      <c r="BB83" s="207">
        <f>SUM(BB84:BB96)</f>
        <v>22</v>
      </c>
      <c r="BC83" s="207">
        <f>SUM(BC84:BC96)</f>
        <v>2</v>
      </c>
      <c r="BD83" s="207">
        <f>BB83+BC83</f>
        <v>24</v>
      </c>
      <c r="BE83" s="633">
        <f>BD83/1306</f>
        <v>1.8376722817764167E-2</v>
      </c>
      <c r="BF83" s="207">
        <f>AZ83+BD83</f>
        <v>806</v>
      </c>
      <c r="BG83" s="588">
        <f>BF83/28597</f>
        <v>2.8184774626709097E-2</v>
      </c>
      <c r="BH83" s="1084">
        <v>32.1</v>
      </c>
      <c r="BI83" s="207"/>
      <c r="BJ83" s="207">
        <v>1837961</v>
      </c>
      <c r="BK83" s="892">
        <f t="shared" si="266"/>
        <v>3.5048807357980098E-2</v>
      </c>
      <c r="BL83" s="207">
        <f>BJ83/50</f>
        <v>36759.22</v>
      </c>
      <c r="BM83" s="892">
        <f t="shared" si="267"/>
        <v>3.5048803347822899E-2</v>
      </c>
      <c r="BN83" s="207"/>
      <c r="BO83" s="207">
        <v>271008</v>
      </c>
      <c r="BP83" s="207">
        <f>SUM(BP84:BP96)</f>
        <v>0</v>
      </c>
      <c r="BQ83" s="633">
        <f t="shared" si="268"/>
        <v>0</v>
      </c>
      <c r="BR83" s="207">
        <f>AY83*0.5*24</f>
        <v>65080.800000000003</v>
      </c>
      <c r="BS83" s="633">
        <f>BR83/2211211</f>
        <v>2.9432198012763144E-2</v>
      </c>
      <c r="BT83" s="634"/>
      <c r="BU83" s="207">
        <f>SUM(BU84:BU96)</f>
        <v>500457.69353245921</v>
      </c>
      <c r="BV83" s="264">
        <f t="shared" si="269"/>
        <v>3.4712693568755407E-2</v>
      </c>
      <c r="BW83" s="207">
        <f>SUM(BW84:BW96)</f>
        <v>2140846.8001110754</v>
      </c>
      <c r="BX83" s="247">
        <f t="shared" si="270"/>
        <v>3.4712693881448681E-2</v>
      </c>
      <c r="BY83" s="207">
        <f>SUM(BY84:BY96)</f>
        <v>2641304.4936435344</v>
      </c>
      <c r="CA83" s="207">
        <f t="shared" ref="CA83:CA96" si="282">AK83*0.85*0.75*12</f>
        <v>1012348.9754940273</v>
      </c>
      <c r="CB83" s="207">
        <f t="shared" ref="CB83:CB96" si="283">AL83*0.85*0.75*2*12</f>
        <v>2024697.9509880545</v>
      </c>
      <c r="CC83" s="207">
        <f t="shared" si="248"/>
        <v>3037046.9264820819</v>
      </c>
      <c r="CD83" s="633">
        <f t="shared" si="236"/>
        <v>1.2814565567484148E-2</v>
      </c>
      <c r="CE83" s="207">
        <v>376037</v>
      </c>
      <c r="CF83" s="633">
        <f t="shared" si="237"/>
        <v>1.6238447114638462E-2</v>
      </c>
      <c r="CG83" s="207">
        <f t="shared" ref="CG83:CG96" si="284">AO83*4</f>
        <v>502866.15776173904</v>
      </c>
      <c r="CH83" s="588">
        <f t="shared" si="253"/>
        <v>1.2814565567484148E-2</v>
      </c>
      <c r="CI83" s="207">
        <f>SUM(CI84:CI96)</f>
        <v>742602.03195084841</v>
      </c>
      <c r="CJ83" s="633">
        <f t="shared" si="254"/>
        <v>1.2208375520298768E-2</v>
      </c>
      <c r="CK83" s="207">
        <f>SUM(CK84:CK96)</f>
        <v>491102.02112992643</v>
      </c>
      <c r="CL83" s="588">
        <f t="shared" si="255"/>
        <v>7.0596925691187411E-3</v>
      </c>
      <c r="CM83" s="207">
        <f>SUM(CM84:CM96)</f>
        <v>47575.002046939837</v>
      </c>
      <c r="CN83" s="588">
        <f t="shared" si="256"/>
        <v>6.856098468260457E-3</v>
      </c>
      <c r="CO83" s="207">
        <f>SUM(CO84:CO96)</f>
        <v>3806.0001637551868</v>
      </c>
      <c r="CP83" s="588">
        <f t="shared" si="257"/>
        <v>7.1775300768957221E-3</v>
      </c>
      <c r="CQ83" s="207">
        <f>'Detailed Budget'!$AC$12</f>
        <v>292876014141.44696</v>
      </c>
      <c r="CR83" s="605">
        <f t="shared" si="263"/>
        <v>10264954999.41663</v>
      </c>
      <c r="CS83" s="605">
        <f>'Detailed Budget'!$AC$16</f>
        <v>10488008800.000002</v>
      </c>
      <c r="CT83" s="605">
        <f t="shared" ref="CT83:CT96" si="285">BM83*CS83</f>
        <v>367592157.94143611</v>
      </c>
      <c r="CU83" s="605">
        <f>'Detailed Budget'!$AC$24</f>
        <v>30624985696</v>
      </c>
      <c r="CV83" s="605">
        <f t="shared" si="264"/>
        <v>1073369224</v>
      </c>
      <c r="CW83" s="605"/>
      <c r="CX83" s="605">
        <f t="shared" si="249"/>
        <v>11705916381.358067</v>
      </c>
      <c r="CY83" s="207">
        <f>'Detailed Budget'!$AC$97</f>
        <v>74629165494.837845</v>
      </c>
      <c r="CZ83" s="605">
        <f t="shared" ref="CZ83:CZ96" si="286">BQ83*CY83</f>
        <v>0</v>
      </c>
      <c r="DA83" s="605">
        <f>'Detailed Budget'!$AC$100</f>
        <v>14925833098.967569</v>
      </c>
      <c r="DB83" s="605">
        <f t="shared" ref="DB83:DB96" si="287">BQ83*DA83</f>
        <v>0</v>
      </c>
      <c r="DC83" s="605">
        <f t="shared" si="238"/>
        <v>0</v>
      </c>
      <c r="DD83" s="207">
        <f>SUM(DD84:DD96)</f>
        <v>0</v>
      </c>
      <c r="DE83" s="606">
        <v>0</v>
      </c>
      <c r="DF83" s="605">
        <f>'Detailed Budget'!$AC$147</f>
        <v>5913600671000</v>
      </c>
      <c r="DG83" s="605">
        <f t="shared" si="258"/>
        <v>0</v>
      </c>
      <c r="DH83" s="605">
        <f>'Detailed Budget'!$AC$153</f>
        <v>226428026880.00003</v>
      </c>
      <c r="DI83" s="605">
        <f>BS83*DH83</f>
        <v>6664274522.7714167</v>
      </c>
      <c r="DJ83" s="605">
        <f>'Detailed Budget'!$AC$156</f>
        <v>27713070000</v>
      </c>
      <c r="DK83" s="605">
        <f>AT83*DJ83</f>
        <v>465465000</v>
      </c>
      <c r="DL83" s="605">
        <f>DI83+DK83</f>
        <v>7129739522.7714167</v>
      </c>
      <c r="DM83" s="207">
        <f>'Detailed Budget'!$AC$178</f>
        <v>5622683761.6229038</v>
      </c>
      <c r="DN83" s="207">
        <f>SUM(DN84:DN96)</f>
        <v>195178498.45123282</v>
      </c>
      <c r="DO83" s="207">
        <f>'Detailed Budget'!$AC$179</f>
        <v>26827890683.128094</v>
      </c>
      <c r="DP83" s="207">
        <f>SUM(DP84:DP96)</f>
        <v>931268356.76839471</v>
      </c>
      <c r="DQ83" s="605">
        <f>SUM(DQ84:DQ96)</f>
        <v>1126446855.2196276</v>
      </c>
      <c r="DR83" s="605">
        <f>'Detailed Budget'!$AC$181</f>
        <v>50888946855.375237</v>
      </c>
      <c r="DS83" s="605">
        <f>SUM(DS84:DS96)</f>
        <v>1412426470.0477629</v>
      </c>
      <c r="DT83" s="605">
        <f>SUM(DT84:DT96)</f>
        <v>2538873325.2673903</v>
      </c>
      <c r="DU83" s="634">
        <f>'Detailed Budget'!$AC$192</f>
        <v>77498869683.252869</v>
      </c>
      <c r="DV83" s="605">
        <f t="shared" ref="DV83:DV96" si="288">BZ83*CD83*DU83</f>
        <v>0</v>
      </c>
      <c r="DW83" s="930">
        <f>'Detailed Budget'!$AC$194</f>
        <v>2684962805.4134097</v>
      </c>
      <c r="DX83" s="605">
        <f t="shared" ref="DX83:DX96" si="289">BZ83*AN83*DW83</f>
        <v>0</v>
      </c>
      <c r="DY83" s="605">
        <f t="shared" si="239"/>
        <v>0</v>
      </c>
      <c r="DZ83" s="207">
        <f>'Detailed Budget'!$AC$198</f>
        <v>18732540018.380611</v>
      </c>
      <c r="EA83" s="605">
        <f t="shared" ref="EA83:EA96" si="290">CF83*DZ83</f>
        <v>304187360.41132218</v>
      </c>
      <c r="EB83" s="207">
        <f>'Detailed Budget'!$AC$200</f>
        <v>4683135004.5951529</v>
      </c>
      <c r="EC83" s="605">
        <f t="shared" ref="EC83:EC96" si="291">CF83*EB83</f>
        <v>76046840.102830544</v>
      </c>
      <c r="ED83" s="605">
        <f t="shared" si="240"/>
        <v>380234200.51415271</v>
      </c>
      <c r="EE83" s="207">
        <f>'Detailed Budget'!$AC$161</f>
        <v>251147290106.36197</v>
      </c>
      <c r="EF83" s="605">
        <f t="shared" ref="EF83:EF96" si="292">CH83*EE83</f>
        <v>3218343416.1639385</v>
      </c>
      <c r="EG83" s="207">
        <f>'Detailed Budget'!$AC$163</f>
        <v>15696705631.647623</v>
      </c>
      <c r="EH83" s="605">
        <f t="shared" ref="EH83:EH96" si="293">AP83*EG83</f>
        <v>201146463.51024616</v>
      </c>
      <c r="EI83" s="605">
        <f t="shared" si="241"/>
        <v>3419489879.6741848</v>
      </c>
      <c r="EJ83" s="207">
        <f>'Detailed Budget'!$AC$204</f>
        <v>45012172507.531975</v>
      </c>
      <c r="EK83" s="605">
        <f t="shared" ref="EK83:EK96" si="294">CJ83*EJ83</f>
        <v>549525504.95641863</v>
      </c>
      <c r="EL83" s="207">
        <f>'Detailed Budget'!$AC$206</f>
        <v>11253043126.882994</v>
      </c>
      <c r="EM83" s="605">
        <f t="shared" ref="EM83:EM96" si="295">CJ83*EL83</f>
        <v>137381376.23910466</v>
      </c>
      <c r="EN83" s="605">
        <f t="shared" si="242"/>
        <v>686906881.19552326</v>
      </c>
      <c r="EO83" s="930">
        <f>'Detailed Budget'!$AC$209</f>
        <v>135789361677.54817</v>
      </c>
      <c r="EP83" s="605">
        <f t="shared" ref="EP83:EP96" si="296">CL83*EO83</f>
        <v>958631147.60036397</v>
      </c>
      <c r="EQ83" s="207">
        <f>'Detailed Budget'!$AC$211</f>
        <v>33947340419.387043</v>
      </c>
      <c r="ER83" s="605">
        <f t="shared" ref="ER83:ER96" si="297">CL83*EQ83</f>
        <v>239657786.90009099</v>
      </c>
      <c r="ES83" s="605">
        <f t="shared" si="243"/>
        <v>1198288934.5004549</v>
      </c>
      <c r="ET83" s="207">
        <f>'Detailed Budget'!$AC$214</f>
        <v>22239745544.201103</v>
      </c>
      <c r="EU83" s="605">
        <f t="shared" ref="EU83:EU96" si="298">CN83*ET83</f>
        <v>152477885.36009949</v>
      </c>
      <c r="EV83" s="930">
        <f>'Detailed Budget'!$AC$217</f>
        <v>5559936386.0502758</v>
      </c>
      <c r="EW83" s="605">
        <f t="shared" ref="EW83:EW96" si="299">CN83*EV83</f>
        <v>38119471.340024874</v>
      </c>
      <c r="EX83" s="605">
        <f t="shared" si="244"/>
        <v>190597356.70012438</v>
      </c>
      <c r="EY83" s="207">
        <f>'Detailed Budget'!$AC$219</f>
        <v>372777004.58170313</v>
      </c>
      <c r="EZ83" s="605">
        <f t="shared" ref="EZ83:EZ96" si="300">CP83*EY83</f>
        <v>2675618.1623602686</v>
      </c>
      <c r="FA83" s="207">
        <f>'Detailed Budget'!$AC$222</f>
        <v>93194251.145425782</v>
      </c>
      <c r="FB83" s="605">
        <f t="shared" ref="FB83:FB96" si="301">CP83*FA83</f>
        <v>668904.54059006716</v>
      </c>
      <c r="FC83" s="605">
        <f t="shared" si="245"/>
        <v>3344522.702950336</v>
      </c>
      <c r="FD83" s="605"/>
      <c r="FE83" s="605">
        <f t="shared" si="246"/>
        <v>2079137695.0990527</v>
      </c>
      <c r="FF83" s="930">
        <f>'Detailed Budget'!$AC$165</f>
        <v>14927760000</v>
      </c>
      <c r="FG83" s="1087">
        <f t="shared" si="259"/>
        <v>2836081442.2509532</v>
      </c>
      <c r="FH83" s="605">
        <f t="shared" ref="FH83:FH96" si="302">AV83*FF83</f>
        <v>249333112.14634699</v>
      </c>
      <c r="FI83" s="605"/>
      <c r="FJ83" s="930">
        <f>'Detailed Budget'!$AC$235</f>
        <v>3623696172</v>
      </c>
      <c r="FK83" s="605">
        <f t="shared" ref="FK83:FK96" si="303">AT83*FJ83</f>
        <v>60863114</v>
      </c>
      <c r="FL83" s="605">
        <f t="shared" si="260"/>
        <v>60863114</v>
      </c>
      <c r="FM83" s="605"/>
      <c r="FN83" s="605">
        <f>'Detailed Budget'!$AC$251</f>
        <v>1047595800</v>
      </c>
      <c r="FO83" s="605">
        <f>AR83*FN83</f>
        <v>28313400</v>
      </c>
      <c r="FP83" s="605">
        <f>'Detailed Budget'!$AB$254</f>
        <v>2773297530</v>
      </c>
      <c r="FQ83" s="605">
        <f>BE83*FP83</f>
        <v>50964120.000000007</v>
      </c>
      <c r="FR83" s="605">
        <f>'Detailed Budget'!$AC$257</f>
        <v>13636439388</v>
      </c>
      <c r="FS83" s="605">
        <f t="shared" ref="FS83:FS96" si="304">BA83*FR83</f>
        <v>390740376</v>
      </c>
      <c r="FT83" s="605">
        <f t="shared" si="261"/>
        <v>470017896</v>
      </c>
      <c r="FU83" s="605"/>
      <c r="FV83" s="605">
        <f>'Detailed Budget'!$AC$265</f>
        <v>6277805540</v>
      </c>
      <c r="FW83" s="605">
        <f>AR83*FV83</f>
        <v>169670420</v>
      </c>
      <c r="FX83" s="930">
        <f>'Detailed Budget'!$AC$278</f>
        <v>1114560000</v>
      </c>
      <c r="FY83" s="605">
        <f t="shared" ref="FY83:FY96" si="305">AT83*FX83</f>
        <v>18720000</v>
      </c>
      <c r="FZ83" s="605">
        <f t="shared" si="262"/>
        <v>188390420</v>
      </c>
      <c r="GB83" s="269">
        <f t="shared" si="271"/>
        <v>31058076989.081566</v>
      </c>
      <c r="GC83" s="889">
        <f t="shared" si="247"/>
        <v>19411298.11817598</v>
      </c>
      <c r="GD83" s="1078">
        <f t="shared" si="272"/>
        <v>1.7427664989557647E-2</v>
      </c>
    </row>
    <row r="84" spans="1:186" hidden="1" outlineLevel="1">
      <c r="A84" s="211" t="s">
        <v>352</v>
      </c>
      <c r="B84" s="212" t="s">
        <v>353</v>
      </c>
      <c r="C84" s="213" t="s">
        <v>215</v>
      </c>
      <c r="D84" s="214" t="s">
        <v>215</v>
      </c>
      <c r="E84" s="213"/>
      <c r="F84" s="213"/>
      <c r="G84" s="213"/>
      <c r="H84" s="213" t="s">
        <v>215</v>
      </c>
      <c r="I84" s="214" t="s">
        <v>215</v>
      </c>
      <c r="J84" s="214"/>
      <c r="K84" s="213" t="s">
        <v>215</v>
      </c>
      <c r="L84" s="213"/>
      <c r="M84" s="214"/>
      <c r="N84" s="213"/>
      <c r="O84" s="214"/>
      <c r="P84" s="213"/>
      <c r="Q84" s="214"/>
      <c r="R84" s="214" t="s">
        <v>215</v>
      </c>
      <c r="S84" s="214"/>
      <c r="T84" s="214"/>
      <c r="U84" s="215">
        <f t="shared" ref="U84:U96" si="306">COUNTA(C84:T84)</f>
        <v>6</v>
      </c>
      <c r="V84" s="845" t="s">
        <v>219</v>
      </c>
      <c r="W84" s="216">
        <v>111902</v>
      </c>
      <c r="X84" s="217">
        <v>3.05</v>
      </c>
      <c r="Y84" s="218">
        <f t="shared" si="277"/>
        <v>1.0305</v>
      </c>
      <c r="Z84" s="196">
        <v>19</v>
      </c>
      <c r="AA84" s="218">
        <f t="shared" si="184"/>
        <v>1.7697500211431931</v>
      </c>
      <c r="AB84" s="196">
        <f t="shared" si="274"/>
        <v>198038.56686596561</v>
      </c>
      <c r="AC84">
        <v>19.100000000000001</v>
      </c>
      <c r="AD84" s="196">
        <f t="shared" si="275"/>
        <v>37825.366271399434</v>
      </c>
      <c r="AE84" s="196">
        <f t="shared" si="280"/>
        <v>35934.097957829465</v>
      </c>
      <c r="AF84" s="196">
        <f t="shared" ref="AF84:AF96" si="307">AE84*BT84</f>
        <v>35934.097957829465</v>
      </c>
      <c r="AG84" s="606">
        <f t="shared" si="250"/>
        <v>1.6614349359241241E-3</v>
      </c>
      <c r="AH84" s="196">
        <f>AB84*0.05</f>
        <v>9901.9283432982811</v>
      </c>
      <c r="AI84" s="248">
        <f t="shared" si="216"/>
        <v>7.6708738586845314E-4</v>
      </c>
      <c r="AJ84" s="196">
        <f t="shared" si="228"/>
        <v>47727.294614697719</v>
      </c>
      <c r="AK84" s="196">
        <f t="shared" si="278"/>
        <v>7921.5426746386247</v>
      </c>
      <c r="AL84" s="196">
        <f t="shared" si="279"/>
        <v>7921.5426746386247</v>
      </c>
      <c r="AM84" s="196">
        <f t="shared" si="229"/>
        <v>15843.085349277249</v>
      </c>
      <c r="AN84" s="627">
        <f t="shared" si="230"/>
        <v>7.6708738586845314E-4</v>
      </c>
      <c r="AO84" s="196">
        <f t="shared" si="231"/>
        <v>7525.4655409066927</v>
      </c>
      <c r="AP84" s="589">
        <f t="shared" si="251"/>
        <v>7.6708738586845303E-4</v>
      </c>
      <c r="AQ84" s="196"/>
      <c r="AR84" s="589"/>
      <c r="AS84">
        <v>1</v>
      </c>
      <c r="AT84" s="589">
        <f t="shared" si="252"/>
        <v>1.2919896640826874E-3</v>
      </c>
      <c r="AU84" s="196">
        <v>11</v>
      </c>
      <c r="AV84" s="245">
        <f t="shared" si="232"/>
        <v>1.2498579706851495E-3</v>
      </c>
      <c r="AX84" s="245"/>
      <c r="AY84" s="245"/>
      <c r="AZ84" s="196">
        <v>35</v>
      </c>
      <c r="BA84" s="589">
        <f t="shared" si="265"/>
        <v>1.2824740757026126E-3</v>
      </c>
      <c r="BB84" s="196">
        <v>2</v>
      </c>
      <c r="BI84" s="196">
        <v>1</v>
      </c>
      <c r="BJ84" s="196">
        <f t="shared" ref="BJ84:BJ96" si="308">AB84/3308330*1837961</f>
        <v>110021.41938547153</v>
      </c>
      <c r="BK84" s="246">
        <f t="shared" si="266"/>
        <v>2.0980420875594905E-3</v>
      </c>
      <c r="BL84" s="196">
        <f>BJ84/50</f>
        <v>2200.4283877094304</v>
      </c>
      <c r="BM84" s="246">
        <f t="shared" si="267"/>
        <v>2.0980418475091368E-3</v>
      </c>
      <c r="BN84" s="196">
        <v>0</v>
      </c>
      <c r="BO84" s="196">
        <f t="shared" ref="BO84:BO96" si="309">AJ84/797308*271008</f>
        <v>16222.687667676732</v>
      </c>
      <c r="BP84" s="196">
        <f t="shared" si="233"/>
        <v>0</v>
      </c>
      <c r="BQ84" s="248">
        <f t="shared" si="268"/>
        <v>0</v>
      </c>
      <c r="BR84" s="248"/>
      <c r="BS84" s="248"/>
      <c r="BT84" s="276">
        <v>1</v>
      </c>
      <c r="BU84" s="196">
        <f>AD84*BT84*0.18*4*1.1</f>
        <v>29957.690086948354</v>
      </c>
      <c r="BV84" s="264">
        <f t="shared" si="269"/>
        <v>2.0779221289931715E-3</v>
      </c>
      <c r="BW84" s="196">
        <f>AD84*BT84*0.77*4*1.1</f>
        <v>128152.3409275013</v>
      </c>
      <c r="BX84" s="247">
        <f t="shared" si="270"/>
        <v>2.0779221477111734E-3</v>
      </c>
      <c r="BY84" s="196">
        <f t="shared" si="276"/>
        <v>158110.03101444966</v>
      </c>
      <c r="BZ84" s="620">
        <v>0</v>
      </c>
      <c r="CA84" s="196">
        <f t="shared" si="282"/>
        <v>60599.80146098548</v>
      </c>
      <c r="CB84" s="196">
        <f t="shared" si="283"/>
        <v>121199.60292197096</v>
      </c>
      <c r="CC84" s="196">
        <f t="shared" si="248"/>
        <v>181799.40438295645</v>
      </c>
      <c r="CD84" s="247">
        <f t="shared" si="236"/>
        <v>7.6708738586845325E-4</v>
      </c>
      <c r="CE84" s="196">
        <f t="shared" ref="CE84:CE96" si="310">AH84/165416*376037</f>
        <v>22509.862579368717</v>
      </c>
      <c r="CF84" s="247">
        <f t="shared" si="237"/>
        <v>9.7204587062671552E-4</v>
      </c>
      <c r="CG84" s="196">
        <f t="shared" si="284"/>
        <v>30101.862163626771</v>
      </c>
      <c r="CH84" s="589">
        <f t="shared" si="253"/>
        <v>7.6708738586845303E-4</v>
      </c>
      <c r="CI84" s="196">
        <f t="shared" ref="CI84:CI96" si="311">AD84/631891*742602</f>
        <v>44452.591734767171</v>
      </c>
      <c r="CJ84" s="248">
        <f t="shared" si="254"/>
        <v>7.3080049528397582E-4</v>
      </c>
      <c r="CK84" s="196">
        <f t="shared" ref="CK84:CK96" si="312">AD84/631891*491102</f>
        <v>29397.654067895895</v>
      </c>
      <c r="CL84" s="589">
        <f t="shared" si="255"/>
        <v>4.2259732406546422E-4</v>
      </c>
      <c r="CM84" s="196">
        <f t="shared" ref="CM84:CM96" si="313">AD84/631891*47575</f>
        <v>2847.867433405173</v>
      </c>
      <c r="CN84" s="589">
        <f t="shared" si="256"/>
        <v>4.1041006217327043E-4</v>
      </c>
      <c r="CO84" s="196">
        <f t="shared" ref="CO84:CO96" si="314">AD84/631891*3806</f>
        <v>227.82939467241383</v>
      </c>
      <c r="CP84" s="589">
        <f t="shared" si="257"/>
        <v>4.2965114616515829E-4</v>
      </c>
      <c r="CQ84" s="196">
        <f>'Detailed Budget'!$AC$12</f>
        <v>292876014141.44696</v>
      </c>
      <c r="CR84" s="269">
        <f t="shared" si="263"/>
        <v>614466204.10542428</v>
      </c>
      <c r="CS84" s="269">
        <f>'Detailed Budget'!$AC$16</f>
        <v>10488008800.000002</v>
      </c>
      <c r="CT84" s="607">
        <f t="shared" si="285"/>
        <v>22004281.359444089</v>
      </c>
      <c r="CU84" s="269">
        <f>'Detailed Budget'!$AC$24</f>
        <v>30624985696</v>
      </c>
      <c r="CV84" s="269">
        <f t="shared" si="264"/>
        <v>64252508.921115376</v>
      </c>
      <c r="CW84" s="269"/>
      <c r="CX84" s="269">
        <f t="shared" si="249"/>
        <v>700722994.38598382</v>
      </c>
      <c r="CY84" s="196">
        <f>'Detailed Budget'!$AC$97</f>
        <v>74629165494.837845</v>
      </c>
      <c r="CZ84" s="269">
        <f t="shared" si="286"/>
        <v>0</v>
      </c>
      <c r="DA84" s="269">
        <f>'Detailed Budget'!$AC$100</f>
        <v>14925833098.967569</v>
      </c>
      <c r="DB84" s="269">
        <f t="shared" si="287"/>
        <v>0</v>
      </c>
      <c r="DC84" s="269">
        <f t="shared" si="238"/>
        <v>0</v>
      </c>
      <c r="DD84" s="207">
        <v>0</v>
      </c>
      <c r="DE84" s="606">
        <v>0</v>
      </c>
      <c r="DF84" s="269">
        <f>'Detailed Budget'!$AC$147</f>
        <v>5913600671000</v>
      </c>
      <c r="DG84" s="269">
        <f t="shared" si="258"/>
        <v>0</v>
      </c>
      <c r="DH84" s="269">
        <f>'Detailed Budget'!$AC$153</f>
        <v>226428026880.00003</v>
      </c>
      <c r="DI84" s="269"/>
      <c r="DJ84" s="269">
        <f>'Detailed Budget'!$AC$156</f>
        <v>27713070000</v>
      </c>
      <c r="DK84" s="269"/>
      <c r="DL84" s="269"/>
      <c r="DM84" s="196">
        <f>'Detailed Budget'!$AC$178</f>
        <v>5622683761.6229038</v>
      </c>
      <c r="DN84" s="269">
        <f t="shared" ref="DN84:DN96" si="315">BT84*BV84*DM84</f>
        <v>11683499.012606798</v>
      </c>
      <c r="DO84" s="196">
        <f>'Detailed Budget'!$AC$179</f>
        <v>26827890683.128094</v>
      </c>
      <c r="DP84" s="269">
        <f t="shared" ref="DP84:DP96" si="316">BT84*BX84*DO84</f>
        <v>55746268.226846106</v>
      </c>
      <c r="DQ84" s="269">
        <f t="shared" si="273"/>
        <v>67429767.239452899</v>
      </c>
      <c r="DR84" s="269">
        <f>'Detailed Budget'!$AC$181</f>
        <v>50888946855.375237</v>
      </c>
      <c r="DS84" s="269">
        <f t="shared" ref="DS84:DS96" si="317">BT84*AG84*DR84</f>
        <v>84548674.157906517</v>
      </c>
      <c r="DT84" s="269">
        <f t="shared" ref="DT84:DT96" si="318">DQ84+DS84</f>
        <v>151978441.39735943</v>
      </c>
      <c r="DU84" s="272">
        <f>'Detailed Budget'!$AC$192</f>
        <v>77498869683.252869</v>
      </c>
      <c r="DV84" s="269">
        <f t="shared" si="288"/>
        <v>0</v>
      </c>
      <c r="DW84" s="140">
        <f>'Detailed Budget'!$AC$194</f>
        <v>2684962805.4134097</v>
      </c>
      <c r="DX84" s="269">
        <f t="shared" si="289"/>
        <v>0</v>
      </c>
      <c r="DY84" s="607">
        <f t="shared" si="239"/>
        <v>0</v>
      </c>
      <c r="DZ84" s="196">
        <f>'Detailed Budget'!$AC$198</f>
        <v>18732540018.380611</v>
      </c>
      <c r="EA84" s="269">
        <f t="shared" si="290"/>
        <v>18208888.17121657</v>
      </c>
      <c r="EB84" s="196">
        <f>'Detailed Budget'!$AC$200</f>
        <v>4683135004.5951529</v>
      </c>
      <c r="EC84" s="269">
        <f t="shared" si="291"/>
        <v>4552222.0428041425</v>
      </c>
      <c r="ED84" s="269">
        <f t="shared" si="240"/>
        <v>22761110.214020714</v>
      </c>
      <c r="EE84" s="196">
        <f>'Detailed Budget'!$AC$161</f>
        <v>251147290106.36197</v>
      </c>
      <c r="EF84" s="269">
        <f t="shared" si="292"/>
        <v>192651918.23563519</v>
      </c>
      <c r="EG84" s="196">
        <f>'Detailed Budget'!$AC$163</f>
        <v>15696705631.647623</v>
      </c>
      <c r="EH84" s="269">
        <f t="shared" si="293"/>
        <v>12040744.889727199</v>
      </c>
      <c r="EI84" s="269">
        <f t="shared" si="241"/>
        <v>204692663.1253624</v>
      </c>
      <c r="EJ84" s="196">
        <f>'Detailed Budget'!$AC$204</f>
        <v>45012172507.531975</v>
      </c>
      <c r="EK84" s="269">
        <f t="shared" si="294"/>
        <v>32894917.962312128</v>
      </c>
      <c r="EL84" s="201">
        <f>'Detailed Budget'!$AC$206</f>
        <v>11253043126.882994</v>
      </c>
      <c r="EM84" s="269">
        <f t="shared" si="295"/>
        <v>8223729.4905780321</v>
      </c>
      <c r="EN84" s="269">
        <f t="shared" si="242"/>
        <v>41118647.452890158</v>
      </c>
      <c r="EO84" s="140">
        <f>'Detailed Budget'!$AC$209</f>
        <v>135789361677.54817</v>
      </c>
      <c r="EP84" s="269">
        <f t="shared" si="296"/>
        <v>57384220.881489351</v>
      </c>
      <c r="EQ84" s="196">
        <f>'Detailed Budget'!$AC$211</f>
        <v>33947340419.387043</v>
      </c>
      <c r="ER84" s="269">
        <f t="shared" si="297"/>
        <v>14346055.220372338</v>
      </c>
      <c r="ES84" s="269">
        <f t="shared" si="243"/>
        <v>71730276.101861686</v>
      </c>
      <c r="ET84" s="196">
        <f>'Detailed Budget'!$AC$214</f>
        <v>22239745544.201103</v>
      </c>
      <c r="EU84" s="269">
        <f t="shared" si="298"/>
        <v>9127415.3515132889</v>
      </c>
      <c r="EV84" s="140">
        <f>'Detailed Budget'!$AC$217</f>
        <v>5559936386.0502758</v>
      </c>
      <c r="EW84" s="269">
        <f t="shared" si="299"/>
        <v>2281853.8378783222</v>
      </c>
      <c r="EX84" s="269">
        <f t="shared" si="244"/>
        <v>11409269.189391611</v>
      </c>
      <c r="EY84" s="196">
        <f>'Detailed Budget'!$AC$219</f>
        <v>372777004.58170313</v>
      </c>
      <c r="EZ84" s="269">
        <f t="shared" si="300"/>
        <v>160164.0672825432</v>
      </c>
      <c r="FA84" s="196">
        <f>'Detailed Budget'!$AC$222</f>
        <v>93194251.145425782</v>
      </c>
      <c r="FB84" s="269">
        <f t="shared" si="301"/>
        <v>40041.016820635799</v>
      </c>
      <c r="FC84" s="269">
        <f t="shared" si="245"/>
        <v>200205.08410317899</v>
      </c>
      <c r="FD84" s="269"/>
      <c r="FE84" s="269">
        <f t="shared" si="246"/>
        <v>124458397.82824664</v>
      </c>
      <c r="FF84" s="140">
        <f>'Detailed Budget'!$AC$165</f>
        <v>14927760000</v>
      </c>
      <c r="FG84" s="1087">
        <f t="shared" si="259"/>
        <v>169769493.01867211</v>
      </c>
      <c r="FH84" s="269">
        <f t="shared" si="302"/>
        <v>18657579.820474949</v>
      </c>
      <c r="FJ84" s="140">
        <f>'Detailed Budget'!$AC$235</f>
        <v>3623696172</v>
      </c>
      <c r="FK84" s="269">
        <f t="shared" si="303"/>
        <v>4681778</v>
      </c>
      <c r="FL84" s="269">
        <f t="shared" si="260"/>
        <v>4681778</v>
      </c>
      <c r="FO84" s="607"/>
      <c r="FP84" s="607"/>
      <c r="FQ84" s="607"/>
      <c r="FR84" s="269">
        <f>'Detailed Budget'!$AC$257</f>
        <v>13636439388</v>
      </c>
      <c r="FS84" s="269">
        <f t="shared" si="304"/>
        <v>17488380</v>
      </c>
      <c r="FT84" s="269">
        <f t="shared" si="261"/>
        <v>17488380</v>
      </c>
      <c r="FU84" s="269"/>
      <c r="FV84" s="269"/>
      <c r="FW84" s="616"/>
      <c r="FX84" s="140">
        <f>'Detailed Budget'!$AC$278</f>
        <v>1114560000</v>
      </c>
      <c r="FY84" s="269">
        <f t="shared" si="305"/>
        <v>1440000</v>
      </c>
      <c r="FZ84" s="269">
        <f t="shared" si="262"/>
        <v>1440000</v>
      </c>
      <c r="GB84" s="269">
        <f t="shared" si="271"/>
        <v>1416650837.7901199</v>
      </c>
      <c r="GC84" s="887">
        <f t="shared" si="247"/>
        <v>885406.7736188249</v>
      </c>
      <c r="GD84" s="1078">
        <f t="shared" si="272"/>
        <v>7.9492739414812263E-4</v>
      </c>
    </row>
    <row r="85" spans="1:186" hidden="1" outlineLevel="1">
      <c r="A85" s="211" t="s">
        <v>354</v>
      </c>
      <c r="B85" s="212" t="s">
        <v>355</v>
      </c>
      <c r="C85" s="213" t="s">
        <v>215</v>
      </c>
      <c r="D85" s="214" t="s">
        <v>215</v>
      </c>
      <c r="E85" s="213"/>
      <c r="F85" s="213"/>
      <c r="G85" s="213"/>
      <c r="H85" s="213" t="s">
        <v>215</v>
      </c>
      <c r="I85" s="214" t="s">
        <v>215</v>
      </c>
      <c r="J85" s="214"/>
      <c r="K85" s="213" t="s">
        <v>215</v>
      </c>
      <c r="L85" s="213"/>
      <c r="M85" s="214"/>
      <c r="N85" s="213"/>
      <c r="O85" s="214"/>
      <c r="P85" s="213"/>
      <c r="Q85" s="214"/>
      <c r="R85" s="214" t="s">
        <v>215</v>
      </c>
      <c r="S85" s="214"/>
      <c r="T85" s="214"/>
      <c r="U85" s="215">
        <f t="shared" si="306"/>
        <v>6</v>
      </c>
      <c r="V85" s="845" t="s">
        <v>219</v>
      </c>
      <c r="W85" s="216">
        <v>113083</v>
      </c>
      <c r="X85" s="217">
        <v>3.05</v>
      </c>
      <c r="Y85" s="218">
        <f t="shared" si="277"/>
        <v>1.0305</v>
      </c>
      <c r="Z85" s="196">
        <v>19</v>
      </c>
      <c r="AA85" s="218">
        <f t="shared" si="184"/>
        <v>1.7697500211431931</v>
      </c>
      <c r="AB85" s="196">
        <f t="shared" si="274"/>
        <v>200128.6416409357</v>
      </c>
      <c r="AC85">
        <v>19.100000000000001</v>
      </c>
      <c r="AD85" s="196">
        <f t="shared" si="275"/>
        <v>38224.570553418722</v>
      </c>
      <c r="AE85" s="196">
        <f t="shared" si="280"/>
        <v>36313.342025747785</v>
      </c>
      <c r="AF85" s="196">
        <f t="shared" si="307"/>
        <v>36313.342025747785</v>
      </c>
      <c r="AG85" s="606">
        <f t="shared" si="250"/>
        <v>1.678969516712013E-3</v>
      </c>
      <c r="AH85" s="196">
        <f t="shared" ref="AH85:AH96" si="319">AB85*0.05</f>
        <v>10006.432082046786</v>
      </c>
      <c r="AI85" s="248">
        <f t="shared" si="216"/>
        <v>7.7518313217066973E-4</v>
      </c>
      <c r="AJ85" s="196">
        <f t="shared" si="228"/>
        <v>48231.002635465506</v>
      </c>
      <c r="AK85" s="196">
        <f t="shared" si="278"/>
        <v>8005.1456656374285</v>
      </c>
      <c r="AL85" s="196">
        <f t="shared" si="279"/>
        <v>8005.1456656374285</v>
      </c>
      <c r="AM85" s="196">
        <f t="shared" si="229"/>
        <v>16010.291331274857</v>
      </c>
      <c r="AN85" s="627">
        <f t="shared" si="230"/>
        <v>7.7518313217066973E-4</v>
      </c>
      <c r="AO85" s="196">
        <f t="shared" si="231"/>
        <v>7604.8883823555561</v>
      </c>
      <c r="AP85" s="589">
        <f t="shared" si="251"/>
        <v>7.7518313217066963E-4</v>
      </c>
      <c r="AQ85" s="196"/>
      <c r="AR85" s="589"/>
      <c r="AS85">
        <v>1</v>
      </c>
      <c r="AT85" s="589">
        <f t="shared" si="252"/>
        <v>1.2919896640826874E-3</v>
      </c>
      <c r="AU85" s="196">
        <v>10</v>
      </c>
      <c r="AV85" s="245">
        <f t="shared" si="232"/>
        <v>1.1362345188046814E-3</v>
      </c>
      <c r="AX85" s="245"/>
      <c r="AY85" s="245"/>
      <c r="AZ85" s="196">
        <v>31</v>
      </c>
      <c r="BA85" s="589">
        <f t="shared" si="265"/>
        <v>1.1359056099080284E-3</v>
      </c>
      <c r="BB85" s="196">
        <v>1</v>
      </c>
      <c r="BI85" s="196">
        <v>1</v>
      </c>
      <c r="BJ85" s="196">
        <f t="shared" si="308"/>
        <v>111182.57196803699</v>
      </c>
      <c r="BK85" s="246">
        <f t="shared" si="266"/>
        <v>2.1201845667413437E-3</v>
      </c>
      <c r="BL85" s="196">
        <f t="shared" ref="BL85:BL96" si="320">BJ85/50</f>
        <v>2223.6514393607399</v>
      </c>
      <c r="BM85" s="246">
        <f t="shared" si="267"/>
        <v>2.1201843241575283E-3</v>
      </c>
      <c r="BN85" s="196">
        <v>0</v>
      </c>
      <c r="BO85" s="196">
        <f t="shared" si="309"/>
        <v>16393.899926041424</v>
      </c>
      <c r="BP85" s="196">
        <f t="shared" si="233"/>
        <v>0</v>
      </c>
      <c r="BQ85" s="248">
        <f t="shared" si="268"/>
        <v>0</v>
      </c>
      <c r="BR85" s="248"/>
      <c r="BS85" s="248"/>
      <c r="BT85" s="276">
        <v>1</v>
      </c>
      <c r="BU85" s="196">
        <f t="shared" ref="BU85:BU96" si="321">AD85*BT85*0.18*4*1.1</f>
        <v>30273.859878307627</v>
      </c>
      <c r="BV85" s="264">
        <f t="shared" si="269"/>
        <v>2.0998522645970115E-3</v>
      </c>
      <c r="BW85" s="196">
        <f t="shared" ref="BW85:BW96" si="322">AD85*BT85*0.77*4*1.1</f>
        <v>129504.84503498265</v>
      </c>
      <c r="BX85" s="247">
        <f t="shared" si="270"/>
        <v>2.0998522835125612E-3</v>
      </c>
      <c r="BY85" s="196">
        <f t="shared" si="276"/>
        <v>159778.70491329028</v>
      </c>
      <c r="BZ85" s="620">
        <v>0</v>
      </c>
      <c r="CA85" s="196">
        <f t="shared" si="282"/>
        <v>61239.364342126333</v>
      </c>
      <c r="CB85" s="196">
        <f t="shared" si="283"/>
        <v>122478.72868425267</v>
      </c>
      <c r="CC85" s="196">
        <f t="shared" si="248"/>
        <v>183718.09302637901</v>
      </c>
      <c r="CD85" s="247">
        <f t="shared" si="236"/>
        <v>7.7518313217066984E-4</v>
      </c>
      <c r="CE85" s="196">
        <f t="shared" si="310"/>
        <v>22747.428911572199</v>
      </c>
      <c r="CF85" s="247">
        <f t="shared" si="237"/>
        <v>9.8230472366964703E-4</v>
      </c>
      <c r="CG85" s="196">
        <f t="shared" si="284"/>
        <v>30419.553529422225</v>
      </c>
      <c r="CH85" s="589">
        <f t="shared" si="253"/>
        <v>7.7518313217066963E-4</v>
      </c>
      <c r="CI85" s="196">
        <f t="shared" si="311"/>
        <v>44921.738942491429</v>
      </c>
      <c r="CJ85" s="248">
        <f t="shared" si="254"/>
        <v>7.385132741881096E-4</v>
      </c>
      <c r="CK85" s="196">
        <f t="shared" si="312"/>
        <v>29707.913307714531</v>
      </c>
      <c r="CL85" s="589">
        <f t="shared" si="255"/>
        <v>4.2705736445546001E-4</v>
      </c>
      <c r="CM85" s="196">
        <f t="shared" si="313"/>
        <v>2877.9234774334432</v>
      </c>
      <c r="CN85" s="589">
        <f t="shared" si="256"/>
        <v>4.1474147969419614E-4</v>
      </c>
      <c r="CO85" s="196">
        <f t="shared" si="314"/>
        <v>230.23387819467544</v>
      </c>
      <c r="CP85" s="589">
        <f t="shared" si="257"/>
        <v>4.3418563172950076E-4</v>
      </c>
      <c r="CQ85" s="196">
        <f>'Detailed Budget'!$AC$12</f>
        <v>292876014141.44696</v>
      </c>
      <c r="CR85" s="269">
        <f t="shared" si="263"/>
        <v>620951205.15141535</v>
      </c>
      <c r="CS85" s="269">
        <f>'Detailed Budget'!$AC$16</f>
        <v>10488008800.000002</v>
      </c>
      <c r="CT85" s="607">
        <f t="shared" si="285"/>
        <v>22236511.849386215</v>
      </c>
      <c r="CU85" s="269">
        <f>'Detailed Budget'!$AC$24</f>
        <v>30624985696</v>
      </c>
      <c r="CV85" s="269">
        <f t="shared" si="264"/>
        <v>64930622.029333606</v>
      </c>
      <c r="CW85" s="269"/>
      <c r="CX85" s="269">
        <f t="shared" si="249"/>
        <v>708118339.03013515</v>
      </c>
      <c r="CY85" s="196">
        <f>'Detailed Budget'!$AC$97</f>
        <v>74629165494.837845</v>
      </c>
      <c r="CZ85" s="269">
        <f t="shared" si="286"/>
        <v>0</v>
      </c>
      <c r="DA85" s="269">
        <f>'Detailed Budget'!$AC$100</f>
        <v>14925833098.967569</v>
      </c>
      <c r="DB85" s="269">
        <f t="shared" si="287"/>
        <v>0</v>
      </c>
      <c r="DC85" s="269">
        <f t="shared" si="238"/>
        <v>0</v>
      </c>
      <c r="DD85" s="207">
        <v>0</v>
      </c>
      <c r="DE85" s="606">
        <v>0</v>
      </c>
      <c r="DF85" s="269">
        <f>'Detailed Budget'!$AC$147</f>
        <v>5913600671000</v>
      </c>
      <c r="DG85" s="269">
        <f t="shared" si="258"/>
        <v>0</v>
      </c>
      <c r="DH85" s="269">
        <f>'Detailed Budget'!$AC$153</f>
        <v>226428026880.00003</v>
      </c>
      <c r="DI85" s="269"/>
      <c r="DJ85" s="269">
        <f>'Detailed Budget'!$AC$156</f>
        <v>27713070000</v>
      </c>
      <c r="DK85" s="269"/>
      <c r="DL85" s="269"/>
      <c r="DM85" s="196">
        <f>'Detailed Budget'!$AC$178</f>
        <v>5622683761.6229038</v>
      </c>
      <c r="DN85" s="269">
        <f t="shared" si="315"/>
        <v>11806805.229956698</v>
      </c>
      <c r="DO85" s="196">
        <f>'Detailed Budget'!$AC$179</f>
        <v>26827890683.128094</v>
      </c>
      <c r="DP85" s="269">
        <f t="shared" si="316"/>
        <v>56334607.512791894</v>
      </c>
      <c r="DQ85" s="269">
        <f t="shared" si="273"/>
        <v>68141412.742748588</v>
      </c>
      <c r="DR85" s="269">
        <f>'Detailed Budget'!$AC$181</f>
        <v>50888946855.375237</v>
      </c>
      <c r="DS85" s="269">
        <f t="shared" si="317"/>
        <v>85440990.507752672</v>
      </c>
      <c r="DT85" s="269">
        <f t="shared" si="318"/>
        <v>153582403.25050128</v>
      </c>
      <c r="DU85" s="272">
        <f>'Detailed Budget'!$AC$192</f>
        <v>77498869683.252869</v>
      </c>
      <c r="DV85" s="269">
        <f t="shared" si="288"/>
        <v>0</v>
      </c>
      <c r="DW85" s="140">
        <f>'Detailed Budget'!$AC$194</f>
        <v>2684962805.4134097</v>
      </c>
      <c r="DX85" s="269">
        <f t="shared" si="289"/>
        <v>0</v>
      </c>
      <c r="DY85" s="607">
        <f t="shared" si="239"/>
        <v>0</v>
      </c>
      <c r="DZ85" s="196">
        <f>'Detailed Budget'!$AC$198</f>
        <v>18732540018.380611</v>
      </c>
      <c r="EA85" s="269">
        <f t="shared" si="290"/>
        <v>18401062.54638597</v>
      </c>
      <c r="EB85" s="196">
        <f>'Detailed Budget'!$AC$200</f>
        <v>4683135004.5951529</v>
      </c>
      <c r="EC85" s="269">
        <f t="shared" si="291"/>
        <v>4600265.6365964925</v>
      </c>
      <c r="ED85" s="269">
        <f t="shared" si="240"/>
        <v>23001328.182982463</v>
      </c>
      <c r="EE85" s="196">
        <f>'Detailed Budget'!$AC$161</f>
        <v>251147290106.36197</v>
      </c>
      <c r="EF85" s="269">
        <f t="shared" si="292"/>
        <v>194685142.98082548</v>
      </c>
      <c r="EG85" s="196">
        <f>'Detailed Budget'!$AC$163</f>
        <v>15696705631.647623</v>
      </c>
      <c r="EH85" s="269">
        <f t="shared" si="293"/>
        <v>12167821.436301593</v>
      </c>
      <c r="EI85" s="269">
        <f t="shared" si="241"/>
        <v>206852964.41712707</v>
      </c>
      <c r="EJ85" s="196">
        <f>'Detailed Budget'!$AC$204</f>
        <v>45012172507.531975</v>
      </c>
      <c r="EK85" s="269">
        <f t="shared" si="294"/>
        <v>33242086.896857452</v>
      </c>
      <c r="EL85" s="201">
        <f>'Detailed Budget'!$AC$206</f>
        <v>11253043126.882994</v>
      </c>
      <c r="EM85" s="269">
        <f t="shared" si="295"/>
        <v>8310521.7242143629</v>
      </c>
      <c r="EN85" s="269">
        <f t="shared" si="242"/>
        <v>41552608.621071815</v>
      </c>
      <c r="EO85" s="140">
        <f>'Detailed Budget'!$AC$209</f>
        <v>135789361677.54817</v>
      </c>
      <c r="EP85" s="269">
        <f t="shared" si="296"/>
        <v>57989846.919102967</v>
      </c>
      <c r="EQ85" s="196">
        <f>'Detailed Budget'!$AC$211</f>
        <v>33947340419.387043</v>
      </c>
      <c r="ER85" s="269">
        <f t="shared" si="297"/>
        <v>14497461.729775742</v>
      </c>
      <c r="ES85" s="269">
        <f t="shared" si="243"/>
        <v>72487308.648878708</v>
      </c>
      <c r="ET85" s="196">
        <f>'Detailed Budget'!$AC$214</f>
        <v>22239745544.201103</v>
      </c>
      <c r="EU85" s="269">
        <f t="shared" si="298"/>
        <v>9223744.9750243705</v>
      </c>
      <c r="EV85" s="140">
        <f>'Detailed Budget'!$AC$217</f>
        <v>5559936386.0502758</v>
      </c>
      <c r="EW85" s="269">
        <f t="shared" si="299"/>
        <v>2305936.2437560926</v>
      </c>
      <c r="EX85" s="269">
        <f t="shared" si="244"/>
        <v>11529681.218780464</v>
      </c>
      <c r="EY85" s="196">
        <f>'Detailed Budget'!$AC$219</f>
        <v>372777004.58170313</v>
      </c>
      <c r="EZ85" s="269">
        <f t="shared" si="300"/>
        <v>161854.41922853776</v>
      </c>
      <c r="FA85" s="196">
        <f>'Detailed Budget'!$AC$222</f>
        <v>93194251.145425782</v>
      </c>
      <c r="FB85" s="269">
        <f t="shared" si="301"/>
        <v>40463.604807134441</v>
      </c>
      <c r="FC85" s="269">
        <f t="shared" si="245"/>
        <v>202318.02403567219</v>
      </c>
      <c r="FD85" s="269"/>
      <c r="FE85" s="269">
        <f t="shared" si="246"/>
        <v>125771916.51276666</v>
      </c>
      <c r="FF85" s="140">
        <f>'Detailed Budget'!$AC$165</f>
        <v>14927760000</v>
      </c>
      <c r="FG85" s="1087">
        <f t="shared" si="259"/>
        <v>171561219.45122072</v>
      </c>
      <c r="FH85" s="269">
        <f t="shared" si="302"/>
        <v>16961436.200431772</v>
      </c>
      <c r="FJ85" s="140">
        <f>'Detailed Budget'!$AC$235</f>
        <v>3623696172</v>
      </c>
      <c r="FK85" s="269">
        <f t="shared" si="303"/>
        <v>4681778</v>
      </c>
      <c r="FL85" s="269">
        <f t="shared" si="260"/>
        <v>4681778</v>
      </c>
      <c r="FO85" s="607"/>
      <c r="FP85" s="607"/>
      <c r="FQ85" s="607"/>
      <c r="FR85" s="269">
        <f>'Detailed Budget'!$AC$257</f>
        <v>13636439388</v>
      </c>
      <c r="FS85" s="269">
        <f t="shared" si="304"/>
        <v>15489708.000000002</v>
      </c>
      <c r="FT85" s="269">
        <f t="shared" si="261"/>
        <v>15489708.000000002</v>
      </c>
      <c r="FU85" s="269"/>
      <c r="FV85" s="269"/>
      <c r="FW85" s="616"/>
      <c r="FX85" s="140">
        <f>'Detailed Budget'!$AC$278</f>
        <v>1114560000</v>
      </c>
      <c r="FY85" s="269">
        <f t="shared" si="305"/>
        <v>1440000</v>
      </c>
      <c r="FZ85" s="269">
        <f t="shared" si="262"/>
        <v>1440000</v>
      </c>
      <c r="GB85" s="269">
        <f t="shared" si="271"/>
        <v>1427461093.0451651</v>
      </c>
      <c r="GC85" s="887">
        <f t="shared" si="247"/>
        <v>892163.18315322814</v>
      </c>
      <c r="GD85" s="1078">
        <f t="shared" si="272"/>
        <v>8.009933687769692E-4</v>
      </c>
    </row>
    <row r="86" spans="1:186" hidden="1" outlineLevel="1">
      <c r="A86" s="211" t="s">
        <v>356</v>
      </c>
      <c r="B86" s="212" t="s">
        <v>357</v>
      </c>
      <c r="C86" s="213" t="s">
        <v>215</v>
      </c>
      <c r="D86" s="214" t="s">
        <v>215</v>
      </c>
      <c r="E86" s="213"/>
      <c r="F86" s="213"/>
      <c r="G86" s="213"/>
      <c r="H86" s="213" t="s">
        <v>215</v>
      </c>
      <c r="I86" s="214" t="s">
        <v>215</v>
      </c>
      <c r="J86" s="214"/>
      <c r="K86" s="213" t="s">
        <v>215</v>
      </c>
      <c r="L86" s="213"/>
      <c r="M86" s="214"/>
      <c r="N86" s="213"/>
      <c r="O86" s="214"/>
      <c r="P86" s="213"/>
      <c r="Q86" s="214"/>
      <c r="R86" s="214" t="s">
        <v>215</v>
      </c>
      <c r="S86" s="214"/>
      <c r="T86" s="214"/>
      <c r="U86" s="215">
        <f t="shared" si="306"/>
        <v>6</v>
      </c>
      <c r="V86" s="845" t="s">
        <v>219</v>
      </c>
      <c r="W86" s="216">
        <v>138991</v>
      </c>
      <c r="X86" s="217">
        <v>3.05</v>
      </c>
      <c r="Y86" s="218">
        <f t="shared" si="277"/>
        <v>1.0305</v>
      </c>
      <c r="Z86" s="196">
        <v>19</v>
      </c>
      <c r="AA86" s="218">
        <f t="shared" si="184"/>
        <v>1.7697500211431931</v>
      </c>
      <c r="AB86" s="196">
        <f t="shared" si="274"/>
        <v>245979.32518871356</v>
      </c>
      <c r="AC86">
        <v>19.100000000000001</v>
      </c>
      <c r="AD86" s="196">
        <f t="shared" si="275"/>
        <v>46982.051111044297</v>
      </c>
      <c r="AE86" s="196">
        <f t="shared" si="280"/>
        <v>44632.948555492083</v>
      </c>
      <c r="AF86" s="196">
        <f t="shared" si="307"/>
        <v>44632.948555492083</v>
      </c>
      <c r="AG86" s="606">
        <f t="shared" si="250"/>
        <v>2.0636315988903677E-3</v>
      </c>
      <c r="AH86" s="196">
        <f t="shared" si="319"/>
        <v>12298.966259435678</v>
      </c>
      <c r="AI86" s="248">
        <f t="shared" si="216"/>
        <v>9.5278228136442742E-4</v>
      </c>
      <c r="AJ86" s="196">
        <f t="shared" si="228"/>
        <v>59281.017370479974</v>
      </c>
      <c r="AK86" s="196">
        <f t="shared" si="278"/>
        <v>9839.173007548543</v>
      </c>
      <c r="AL86" s="196">
        <f t="shared" si="279"/>
        <v>9839.173007548543</v>
      </c>
      <c r="AM86" s="196">
        <f t="shared" si="229"/>
        <v>19678.346015097086</v>
      </c>
      <c r="AN86" s="627">
        <f t="shared" si="230"/>
        <v>9.5278228136442752E-4</v>
      </c>
      <c r="AO86" s="196">
        <f t="shared" si="231"/>
        <v>9347.2143571711149</v>
      </c>
      <c r="AP86" s="589">
        <f t="shared" si="251"/>
        <v>9.5278228136442742E-4</v>
      </c>
      <c r="AQ86" s="196"/>
      <c r="AR86" s="589"/>
      <c r="AS86">
        <v>1</v>
      </c>
      <c r="AT86" s="589">
        <f t="shared" si="252"/>
        <v>1.2919896640826874E-3</v>
      </c>
      <c r="AU86" s="196">
        <v>10</v>
      </c>
      <c r="AV86" s="245">
        <f t="shared" si="232"/>
        <v>1.1362345188046814E-3</v>
      </c>
      <c r="AX86" s="245"/>
      <c r="AY86" s="245"/>
      <c r="AZ86" s="196">
        <v>37</v>
      </c>
      <c r="BA86" s="589">
        <f t="shared" si="265"/>
        <v>1.3557583085999048E-3</v>
      </c>
      <c r="BB86" s="196">
        <v>2</v>
      </c>
      <c r="BI86" s="196">
        <v>1</v>
      </c>
      <c r="BJ86" s="196">
        <f t="shared" si="308"/>
        <v>136655.17239911773</v>
      </c>
      <c r="BK86" s="246">
        <f t="shared" si="266"/>
        <v>2.6059316883700122E-3</v>
      </c>
      <c r="BL86" s="196">
        <f t="shared" si="320"/>
        <v>2733.1034479823547</v>
      </c>
      <c r="BM86" s="246">
        <f t="shared" si="267"/>
        <v>2.6059313902087764E-3</v>
      </c>
      <c r="BN86" s="196">
        <v>0</v>
      </c>
      <c r="BO86" s="196">
        <f t="shared" si="309"/>
        <v>20149.841661615133</v>
      </c>
      <c r="BP86" s="196">
        <f t="shared" si="233"/>
        <v>0</v>
      </c>
      <c r="BQ86" s="248">
        <f t="shared" si="268"/>
        <v>0</v>
      </c>
      <c r="BR86" s="248"/>
      <c r="BS86" s="248"/>
      <c r="BT86" s="276">
        <v>1</v>
      </c>
      <c r="BU86" s="196">
        <f t="shared" si="321"/>
        <v>37209.784479947084</v>
      </c>
      <c r="BV86" s="264">
        <f t="shared" si="269"/>
        <v>2.5809411326954824E-3</v>
      </c>
      <c r="BW86" s="196">
        <f t="shared" si="322"/>
        <v>159175.18916421809</v>
      </c>
      <c r="BX86" s="247">
        <f t="shared" si="270"/>
        <v>2.5809411559446992E-3</v>
      </c>
      <c r="BY86" s="196">
        <f t="shared" si="276"/>
        <v>196384.97364416518</v>
      </c>
      <c r="BZ86" s="620">
        <v>0</v>
      </c>
      <c r="CA86" s="196">
        <f t="shared" si="282"/>
        <v>75269.673507746338</v>
      </c>
      <c r="CB86" s="196">
        <f t="shared" si="283"/>
        <v>150539.34701549268</v>
      </c>
      <c r="CC86" s="196">
        <f t="shared" si="248"/>
        <v>225809.02052323901</v>
      </c>
      <c r="CD86" s="247">
        <f t="shared" si="236"/>
        <v>9.5278228136442731E-4</v>
      </c>
      <c r="CE86" s="196">
        <f t="shared" si="310"/>
        <v>27959.00260736213</v>
      </c>
      <c r="CF86" s="247">
        <f t="shared" si="237"/>
        <v>1.2073566835648854E-3</v>
      </c>
      <c r="CG86" s="196">
        <f t="shared" si="284"/>
        <v>37388.85742868446</v>
      </c>
      <c r="CH86" s="589">
        <f t="shared" si="253"/>
        <v>9.5278228136442742E-4</v>
      </c>
      <c r="CI86" s="196">
        <f t="shared" si="311"/>
        <v>55213.581328367894</v>
      </c>
      <c r="CJ86" s="248">
        <f t="shared" si="254"/>
        <v>9.0771113688776865E-4</v>
      </c>
      <c r="CK86" s="196">
        <f t="shared" si="312"/>
        <v>36514.176123312529</v>
      </c>
      <c r="CL86" s="589">
        <f t="shared" si="255"/>
        <v>5.2489879241821361E-4</v>
      </c>
      <c r="CM86" s="196">
        <f t="shared" si="313"/>
        <v>3537.2731714930778</v>
      </c>
      <c r="CN86" s="589">
        <f t="shared" si="256"/>
        <v>5.0976126388737491E-4</v>
      </c>
      <c r="CO86" s="196">
        <f t="shared" si="314"/>
        <v>282.98185371944624</v>
      </c>
      <c r="CP86" s="589">
        <f t="shared" si="257"/>
        <v>5.336601888852882E-4</v>
      </c>
      <c r="CQ86" s="196">
        <f>'Detailed Budget'!$AC$12</f>
        <v>292876014141.44696</v>
      </c>
      <c r="CR86" s="269">
        <f t="shared" si="263"/>
        <v>763214886.01470041</v>
      </c>
      <c r="CS86" s="269">
        <f>'Detailed Budget'!$AC$16</f>
        <v>10488008800.000002</v>
      </c>
      <c r="CT86" s="607">
        <f t="shared" si="285"/>
        <v>27331031.352705885</v>
      </c>
      <c r="CU86" s="269">
        <f>'Detailed Budget'!$AC$24</f>
        <v>30624985696</v>
      </c>
      <c r="CV86" s="269">
        <f t="shared" si="264"/>
        <v>79806620.681084752</v>
      </c>
      <c r="CW86" s="269"/>
      <c r="CX86" s="269">
        <f t="shared" si="249"/>
        <v>870352538.048491</v>
      </c>
      <c r="CY86" s="196">
        <f>'Detailed Budget'!$AC$97</f>
        <v>74629165494.837845</v>
      </c>
      <c r="CZ86" s="269">
        <f t="shared" si="286"/>
        <v>0</v>
      </c>
      <c r="DA86" s="269">
        <f>'Detailed Budget'!$AC$100</f>
        <v>14925833098.967569</v>
      </c>
      <c r="DB86" s="269">
        <f t="shared" si="287"/>
        <v>0</v>
      </c>
      <c r="DC86" s="269">
        <f t="shared" si="238"/>
        <v>0</v>
      </c>
      <c r="DD86" s="207">
        <v>0</v>
      </c>
      <c r="DE86" s="606">
        <v>0</v>
      </c>
      <c r="DF86" s="269">
        <f>'Detailed Budget'!$AC$147</f>
        <v>5913600671000</v>
      </c>
      <c r="DG86" s="269">
        <f t="shared" si="258"/>
        <v>0</v>
      </c>
      <c r="DH86" s="269">
        <f>'Detailed Budget'!$AC$153</f>
        <v>226428026880.00003</v>
      </c>
      <c r="DI86" s="269"/>
      <c r="DJ86" s="269">
        <f>'Detailed Budget'!$AC$156</f>
        <v>27713070000</v>
      </c>
      <c r="DK86" s="269"/>
      <c r="DL86" s="269"/>
      <c r="DM86" s="196">
        <f>'Detailed Budget'!$AC$178</f>
        <v>5622683761.6229038</v>
      </c>
      <c r="DN86" s="269">
        <f t="shared" si="315"/>
        <v>14511815.796511514</v>
      </c>
      <c r="DO86" s="196">
        <f>'Detailed Budget'!$AC$179</f>
        <v>26827890683.128094</v>
      </c>
      <c r="DP86" s="269">
        <f t="shared" si="316"/>
        <v>69241207.191270649</v>
      </c>
      <c r="DQ86" s="269">
        <f t="shared" si="273"/>
        <v>83753022.987782165</v>
      </c>
      <c r="DR86" s="269">
        <f>'Detailed Budget'!$AC$181</f>
        <v>50888946855.375237</v>
      </c>
      <c r="DS86" s="269">
        <f t="shared" si="317"/>
        <v>105016038.76500495</v>
      </c>
      <c r="DT86" s="269">
        <f t="shared" si="318"/>
        <v>188769061.75278711</v>
      </c>
      <c r="DU86" s="272">
        <f>'Detailed Budget'!$AC$192</f>
        <v>77498869683.252869</v>
      </c>
      <c r="DV86" s="269">
        <f t="shared" si="288"/>
        <v>0</v>
      </c>
      <c r="DW86" s="140">
        <f>'Detailed Budget'!$AC$194</f>
        <v>2684962805.4134097</v>
      </c>
      <c r="DX86" s="269">
        <f t="shared" si="289"/>
        <v>0</v>
      </c>
      <c r="DY86" s="607">
        <f t="shared" si="239"/>
        <v>0</v>
      </c>
      <c r="DZ86" s="196">
        <f>'Detailed Budget'!$AC$198</f>
        <v>18732540018.380611</v>
      </c>
      <c r="EA86" s="269">
        <f t="shared" si="290"/>
        <v>22616857.391338512</v>
      </c>
      <c r="EB86" s="196">
        <f>'Detailed Budget'!$AC$200</f>
        <v>4683135004.5951529</v>
      </c>
      <c r="EC86" s="269">
        <f t="shared" si="291"/>
        <v>5654214.3478346281</v>
      </c>
      <c r="ED86" s="269">
        <f t="shared" si="240"/>
        <v>28271071.73917314</v>
      </c>
      <c r="EE86" s="196">
        <f>'Detailed Budget'!$AC$161</f>
        <v>251147290106.36197</v>
      </c>
      <c r="EF86" s="269">
        <f t="shared" si="292"/>
        <v>239288688.02603325</v>
      </c>
      <c r="EG86" s="196">
        <f>'Detailed Budget'!$AC$163</f>
        <v>15696705631.647623</v>
      </c>
      <c r="EH86" s="269">
        <f t="shared" si="293"/>
        <v>14955543.001627078</v>
      </c>
      <c r="EI86" s="269">
        <f t="shared" si="241"/>
        <v>254244231.02766034</v>
      </c>
      <c r="EJ86" s="196">
        <f>'Detailed Budget'!$AC$204</f>
        <v>45012172507.531975</v>
      </c>
      <c r="EK86" s="269">
        <f t="shared" si="294"/>
        <v>40858050.280600213</v>
      </c>
      <c r="EL86" s="201">
        <f>'Detailed Budget'!$AC$206</f>
        <v>11253043126.882994</v>
      </c>
      <c r="EM86" s="269">
        <f t="shared" si="295"/>
        <v>10214512.570150053</v>
      </c>
      <c r="EN86" s="269">
        <f t="shared" si="242"/>
        <v>51072562.850750268</v>
      </c>
      <c r="EO86" s="140">
        <f>'Detailed Budget'!$AC$209</f>
        <v>135789361677.54817</v>
      </c>
      <c r="EP86" s="269">
        <f t="shared" si="296"/>
        <v>71275671.96778509</v>
      </c>
      <c r="EQ86" s="196">
        <f>'Detailed Budget'!$AC$211</f>
        <v>33947340419.387043</v>
      </c>
      <c r="ER86" s="269">
        <f t="shared" si="297"/>
        <v>17818917.991946273</v>
      </c>
      <c r="ES86" s="269">
        <f t="shared" si="243"/>
        <v>89094589.95973137</v>
      </c>
      <c r="ET86" s="196">
        <f>'Detailed Budget'!$AC$214</f>
        <v>22239745544.201103</v>
      </c>
      <c r="EU86" s="269">
        <f t="shared" si="298"/>
        <v>11336960.79714557</v>
      </c>
      <c r="EV86" s="140">
        <f>'Detailed Budget'!$AC$217</f>
        <v>5559936386.0502758</v>
      </c>
      <c r="EW86" s="269">
        <f t="shared" si="299"/>
        <v>2834240.1992863924</v>
      </c>
      <c r="EX86" s="269">
        <f t="shared" si="244"/>
        <v>14171200.996431962</v>
      </c>
      <c r="EY86" s="196">
        <f>'Detailed Budget'!$AC$219</f>
        <v>372777004.58170313</v>
      </c>
      <c r="EZ86" s="269">
        <f t="shared" si="300"/>
        <v>198936.24667716364</v>
      </c>
      <c r="FA86" s="196">
        <f>'Detailed Budget'!$AC$222</f>
        <v>93194251.145425782</v>
      </c>
      <c r="FB86" s="269">
        <f t="shared" si="301"/>
        <v>49734.06166929091</v>
      </c>
      <c r="FC86" s="269">
        <f t="shared" si="245"/>
        <v>248670.30834645455</v>
      </c>
      <c r="FD86" s="269"/>
      <c r="FE86" s="269">
        <f t="shared" si="246"/>
        <v>154587024.11526006</v>
      </c>
      <c r="FF86" s="140">
        <f>'Detailed Budget'!$AC$165</f>
        <v>14927760000</v>
      </c>
      <c r="FG86" s="1087">
        <f t="shared" si="259"/>
        <v>210866933.60403088</v>
      </c>
      <c r="FH86" s="269">
        <f t="shared" si="302"/>
        <v>16961436.200431772</v>
      </c>
      <c r="FJ86" s="140">
        <f>'Detailed Budget'!$AC$235</f>
        <v>3623696172</v>
      </c>
      <c r="FK86" s="269">
        <f t="shared" si="303"/>
        <v>4681778</v>
      </c>
      <c r="FL86" s="269">
        <f t="shared" si="260"/>
        <v>4681778</v>
      </c>
      <c r="FO86" s="607"/>
      <c r="FP86" s="607"/>
      <c r="FQ86" s="607"/>
      <c r="FR86" s="269">
        <f>'Detailed Budget'!$AC$257</f>
        <v>13636439388</v>
      </c>
      <c r="FS86" s="269">
        <f t="shared" si="304"/>
        <v>18487716</v>
      </c>
      <c r="FT86" s="269">
        <f t="shared" si="261"/>
        <v>18487716</v>
      </c>
      <c r="FU86" s="269"/>
      <c r="FV86" s="269"/>
      <c r="FW86" s="616"/>
      <c r="FX86" s="140">
        <f>'Detailed Budget'!$AC$278</f>
        <v>1114560000</v>
      </c>
      <c r="FY86" s="269">
        <f t="shared" si="305"/>
        <v>1440000</v>
      </c>
      <c r="FZ86" s="269">
        <f t="shared" si="262"/>
        <v>1440000</v>
      </c>
      <c r="GB86" s="269">
        <f t="shared" si="271"/>
        <v>1748661790.4878345</v>
      </c>
      <c r="GC86" s="887">
        <f t="shared" si="247"/>
        <v>1092913.6190548965</v>
      </c>
      <c r="GD86" s="1078">
        <f t="shared" si="272"/>
        <v>9.8122919443388297E-4</v>
      </c>
    </row>
    <row r="87" spans="1:186" hidden="1" outlineLevel="1">
      <c r="A87" s="211" t="s">
        <v>358</v>
      </c>
      <c r="B87" s="212" t="s">
        <v>359</v>
      </c>
      <c r="C87" s="213" t="s">
        <v>215</v>
      </c>
      <c r="D87" s="214" t="s">
        <v>215</v>
      </c>
      <c r="E87" s="213"/>
      <c r="F87" s="213"/>
      <c r="G87" s="213"/>
      <c r="H87" s="213" t="s">
        <v>215</v>
      </c>
      <c r="I87" s="214" t="s">
        <v>215</v>
      </c>
      <c r="J87" s="214"/>
      <c r="K87" s="213" t="s">
        <v>215</v>
      </c>
      <c r="L87" s="213"/>
      <c r="M87" s="214"/>
      <c r="N87" s="213"/>
      <c r="O87" s="214"/>
      <c r="P87" s="213"/>
      <c r="Q87" s="214"/>
      <c r="R87" s="214" t="s">
        <v>215</v>
      </c>
      <c r="S87" s="214"/>
      <c r="T87" s="214"/>
      <c r="U87" s="215">
        <f t="shared" si="306"/>
        <v>6</v>
      </c>
      <c r="V87" s="845" t="s">
        <v>219</v>
      </c>
      <c r="W87" s="216">
        <v>216230</v>
      </c>
      <c r="X87" s="217">
        <v>3.05</v>
      </c>
      <c r="Y87" s="218">
        <f t="shared" si="277"/>
        <v>1.0305</v>
      </c>
      <c r="Z87" s="196">
        <v>19</v>
      </c>
      <c r="AA87" s="218">
        <f t="shared" si="184"/>
        <v>1.7697500211431931</v>
      </c>
      <c r="AB87" s="196">
        <f t="shared" si="274"/>
        <v>382673.04707179265</v>
      </c>
      <c r="AC87">
        <v>19.100000000000001</v>
      </c>
      <c r="AD87" s="196">
        <f t="shared" si="275"/>
        <v>73090.551990712411</v>
      </c>
      <c r="AE87" s="196">
        <f t="shared" si="280"/>
        <v>69436.02439117679</v>
      </c>
      <c r="AF87" s="196">
        <f t="shared" si="307"/>
        <v>69436.02439117679</v>
      </c>
      <c r="AG87" s="606">
        <f t="shared" si="250"/>
        <v>3.2104169379892525E-3</v>
      </c>
      <c r="AH87" s="196">
        <f t="shared" si="319"/>
        <v>19133.652353589634</v>
      </c>
      <c r="AI87" s="248">
        <f t="shared" si="216"/>
        <v>1.4822550575176103E-3</v>
      </c>
      <c r="AJ87" s="196">
        <f t="shared" si="228"/>
        <v>92224.204344302037</v>
      </c>
      <c r="AK87" s="196">
        <f t="shared" si="278"/>
        <v>15306.921882871706</v>
      </c>
      <c r="AL87" s="196">
        <f t="shared" si="279"/>
        <v>15306.921882871706</v>
      </c>
      <c r="AM87" s="196">
        <f t="shared" si="229"/>
        <v>30613.843765743411</v>
      </c>
      <c r="AN87" s="627">
        <f t="shared" si="230"/>
        <v>1.4822550575176101E-3</v>
      </c>
      <c r="AO87" s="196">
        <f t="shared" si="231"/>
        <v>14541.57578872812</v>
      </c>
      <c r="AP87" s="589">
        <f t="shared" si="251"/>
        <v>1.4822550575176101E-3</v>
      </c>
      <c r="AQ87" s="196"/>
      <c r="AR87" s="589"/>
      <c r="AS87">
        <v>1</v>
      </c>
      <c r="AT87" s="589">
        <f t="shared" si="252"/>
        <v>1.2919896640826874E-3</v>
      </c>
      <c r="AU87" s="196">
        <v>11</v>
      </c>
      <c r="AV87" s="245">
        <f t="shared" si="232"/>
        <v>1.2498579706851495E-3</v>
      </c>
      <c r="AX87" s="245"/>
      <c r="AY87" s="245"/>
      <c r="AZ87" s="196">
        <v>127</v>
      </c>
      <c r="BA87" s="589">
        <f t="shared" si="265"/>
        <v>4.6535487889780517E-3</v>
      </c>
      <c r="BB87" s="196">
        <v>3</v>
      </c>
      <c r="BI87" s="196">
        <v>1</v>
      </c>
      <c r="BJ87" s="196">
        <f t="shared" si="308"/>
        <v>212596.12440993465</v>
      </c>
      <c r="BK87" s="246">
        <f t="shared" si="266"/>
        <v>4.0540798251415397E-3</v>
      </c>
      <c r="BL87" s="196">
        <f t="shared" si="320"/>
        <v>4251.9224881986929</v>
      </c>
      <c r="BM87" s="246">
        <f t="shared" si="267"/>
        <v>4.0540793612884552E-3</v>
      </c>
      <c r="BN87" s="196">
        <v>0</v>
      </c>
      <c r="BO87" s="196">
        <f t="shared" si="309"/>
        <v>31347.355314308406</v>
      </c>
      <c r="BP87" s="196">
        <f t="shared" si="233"/>
        <v>0</v>
      </c>
      <c r="BQ87" s="248">
        <f t="shared" si="268"/>
        <v>0</v>
      </c>
      <c r="BR87" s="248"/>
      <c r="BS87" s="248"/>
      <c r="BT87" s="276">
        <v>1</v>
      </c>
      <c r="BU87" s="196">
        <f t="shared" si="321"/>
        <v>57887.717176644233</v>
      </c>
      <c r="BV87" s="264">
        <f t="shared" si="269"/>
        <v>4.0152017117852544E-3</v>
      </c>
      <c r="BW87" s="196">
        <f t="shared" si="322"/>
        <v>247630.79014453368</v>
      </c>
      <c r="BX87" s="247">
        <f t="shared" si="270"/>
        <v>4.0152017479543447E-3</v>
      </c>
      <c r="BY87" s="196">
        <f t="shared" si="276"/>
        <v>305518.50732117792</v>
      </c>
      <c r="BZ87" s="620">
        <v>0</v>
      </c>
      <c r="CA87" s="196">
        <f t="shared" si="282"/>
        <v>117097.95240396853</v>
      </c>
      <c r="CB87" s="196">
        <f t="shared" si="283"/>
        <v>234195.90480793707</v>
      </c>
      <c r="CC87" s="196">
        <f t="shared" si="248"/>
        <v>351293.85721190559</v>
      </c>
      <c r="CD87" s="247">
        <f t="shared" si="236"/>
        <v>1.4822550575176098E-3</v>
      </c>
      <c r="CE87" s="196">
        <f t="shared" si="310"/>
        <v>43496.162584555212</v>
      </c>
      <c r="CF87" s="247">
        <f t="shared" si="237"/>
        <v>1.878299571103418E-3</v>
      </c>
      <c r="CG87" s="196">
        <f t="shared" si="284"/>
        <v>58166.303154912479</v>
      </c>
      <c r="CH87" s="589">
        <f t="shared" si="253"/>
        <v>1.4822550575176101E-3</v>
      </c>
      <c r="CI87" s="196">
        <f t="shared" si="311"/>
        <v>85896.444306703241</v>
      </c>
      <c r="CJ87" s="248">
        <f t="shared" si="254"/>
        <v>1.412137326368198E-3</v>
      </c>
      <c r="CK87" s="196">
        <f t="shared" si="312"/>
        <v>56805.550741730527</v>
      </c>
      <c r="CL87" s="589">
        <f t="shared" si="255"/>
        <v>8.165914763156631E-4</v>
      </c>
      <c r="CM87" s="196">
        <f t="shared" si="313"/>
        <v>5502.9791703919554</v>
      </c>
      <c r="CN87" s="589">
        <f t="shared" si="256"/>
        <v>7.9304183789142527E-4</v>
      </c>
      <c r="CO87" s="196">
        <f t="shared" si="314"/>
        <v>440.2383336313564</v>
      </c>
      <c r="CP87" s="589">
        <f t="shared" si="257"/>
        <v>8.3022168804214563E-4</v>
      </c>
      <c r="CQ87" s="196">
        <f>'Detailed Budget'!$AC$12</f>
        <v>292876014141.44696</v>
      </c>
      <c r="CR87" s="269">
        <f t="shared" si="263"/>
        <v>1187342740.1987083</v>
      </c>
      <c r="CS87" s="269">
        <f>'Detailed Budget'!$AC$16</f>
        <v>10488008800.000002</v>
      </c>
      <c r="CT87" s="607">
        <f t="shared" si="285"/>
        <v>42519220.017091706</v>
      </c>
      <c r="CU87" s="269">
        <f>'Detailed Budget'!$AC$24</f>
        <v>30624985696</v>
      </c>
      <c r="CV87" s="269">
        <f t="shared" si="264"/>
        <v>124156136.65540183</v>
      </c>
      <c r="CW87" s="269"/>
      <c r="CX87" s="269">
        <f t="shared" si="249"/>
        <v>1354018096.871202</v>
      </c>
      <c r="CY87" s="196">
        <f>'Detailed Budget'!$AC$97</f>
        <v>74629165494.837845</v>
      </c>
      <c r="CZ87" s="269">
        <f t="shared" si="286"/>
        <v>0</v>
      </c>
      <c r="DA87" s="269">
        <f>'Detailed Budget'!$AC$100</f>
        <v>14925833098.967569</v>
      </c>
      <c r="DB87" s="269">
        <f t="shared" si="287"/>
        <v>0</v>
      </c>
      <c r="DC87" s="269">
        <f t="shared" si="238"/>
        <v>0</v>
      </c>
      <c r="DD87" s="207">
        <v>0</v>
      </c>
      <c r="DE87" s="606">
        <v>0</v>
      </c>
      <c r="DF87" s="269">
        <f>'Detailed Budget'!$AC$147</f>
        <v>5913600671000</v>
      </c>
      <c r="DG87" s="269">
        <f t="shared" si="258"/>
        <v>0</v>
      </c>
      <c r="DH87" s="269">
        <f>'Detailed Budget'!$AC$153</f>
        <v>226428026880.00003</v>
      </c>
      <c r="DI87" s="269"/>
      <c r="DJ87" s="269">
        <f>'Detailed Budget'!$AC$156</f>
        <v>27713070000</v>
      </c>
      <c r="DK87" s="269"/>
      <c r="DL87" s="269"/>
      <c r="DM87" s="196">
        <f>'Detailed Budget'!$AC$178</f>
        <v>5622683761.6229038</v>
      </c>
      <c r="DN87" s="269">
        <f t="shared" si="315"/>
        <v>22576209.464495435</v>
      </c>
      <c r="DO87" s="196">
        <f>'Detailed Budget'!$AC$179</f>
        <v>26827890683.128094</v>
      </c>
      <c r="DP87" s="269">
        <f t="shared" si="316"/>
        <v>107719393.564824</v>
      </c>
      <c r="DQ87" s="269">
        <f t="shared" si="273"/>
        <v>130295603.02931944</v>
      </c>
      <c r="DR87" s="269">
        <f>'Detailed Budget'!$AC$181</f>
        <v>50888946855.375237</v>
      </c>
      <c r="DS87" s="269">
        <f t="shared" si="317"/>
        <v>163374736.94093156</v>
      </c>
      <c r="DT87" s="269">
        <f t="shared" si="318"/>
        <v>293670339.97025096</v>
      </c>
      <c r="DU87" s="272">
        <f>'Detailed Budget'!$AC$192</f>
        <v>77498869683.252869</v>
      </c>
      <c r="DV87" s="269">
        <f t="shared" si="288"/>
        <v>0</v>
      </c>
      <c r="DW87" s="140">
        <f>'Detailed Budget'!$AC$194</f>
        <v>2684962805.4134097</v>
      </c>
      <c r="DX87" s="269">
        <f t="shared" si="289"/>
        <v>0</v>
      </c>
      <c r="DY87" s="607">
        <f t="shared" si="239"/>
        <v>0</v>
      </c>
      <c r="DZ87" s="196">
        <f>'Detailed Budget'!$AC$198</f>
        <v>18732540018.380611</v>
      </c>
      <c r="EA87" s="269">
        <f t="shared" si="290"/>
        <v>35185321.882201917</v>
      </c>
      <c r="EB87" s="196">
        <f>'Detailed Budget'!$AC$200</f>
        <v>4683135004.5951529</v>
      </c>
      <c r="EC87" s="269">
        <f t="shared" si="291"/>
        <v>8796330.4705504794</v>
      </c>
      <c r="ED87" s="269">
        <f t="shared" si="240"/>
        <v>43981652.352752395</v>
      </c>
      <c r="EE87" s="196">
        <f>'Detailed Budget'!$AC$161</f>
        <v>251147290106.36197</v>
      </c>
      <c r="EF87" s="269">
        <f t="shared" si="292"/>
        <v>372264340.94199747</v>
      </c>
      <c r="EG87" s="196">
        <f>'Detailed Budget'!$AC$163</f>
        <v>15696705631.647623</v>
      </c>
      <c r="EH87" s="269">
        <f t="shared" si="293"/>
        <v>23266521.308874842</v>
      </c>
      <c r="EI87" s="269">
        <f t="shared" si="241"/>
        <v>395530862.25087231</v>
      </c>
      <c r="EJ87" s="196">
        <f>'Detailed Budget'!$AC$204</f>
        <v>45012172507.531975</v>
      </c>
      <c r="EK87" s="269">
        <f t="shared" si="294"/>
        <v>63563368.938810311</v>
      </c>
      <c r="EL87" s="201">
        <f>'Detailed Budget'!$AC$206</f>
        <v>11253043126.882994</v>
      </c>
      <c r="EM87" s="269">
        <f t="shared" si="295"/>
        <v>15890842.234702578</v>
      </c>
      <c r="EN87" s="269">
        <f t="shared" si="242"/>
        <v>79454211.173512891</v>
      </c>
      <c r="EO87" s="140">
        <f>'Detailed Budget'!$AC$209</f>
        <v>135789361677.54817</v>
      </c>
      <c r="EP87" s="269">
        <f t="shared" si="296"/>
        <v>110884435.32023059</v>
      </c>
      <c r="EQ87" s="196">
        <f>'Detailed Budget'!$AC$211</f>
        <v>33947340419.387043</v>
      </c>
      <c r="ER87" s="269">
        <f t="shared" si="297"/>
        <v>27721108.830057647</v>
      </c>
      <c r="ES87" s="269">
        <f t="shared" si="243"/>
        <v>138605544.15028822</v>
      </c>
      <c r="ET87" s="196">
        <f>'Detailed Budget'!$AC$214</f>
        <v>22239745544.201103</v>
      </c>
      <c r="EU87" s="269">
        <f t="shared" si="298"/>
        <v>17637048.68061088</v>
      </c>
      <c r="EV87" s="140">
        <f>'Detailed Budget'!$AC$217</f>
        <v>5559936386.0502758</v>
      </c>
      <c r="EW87" s="269">
        <f t="shared" si="299"/>
        <v>4409262.1701527201</v>
      </c>
      <c r="EX87" s="269">
        <f t="shared" si="244"/>
        <v>22046310.8507636</v>
      </c>
      <c r="EY87" s="196">
        <f>'Detailed Budget'!$AC$219</f>
        <v>372777004.58170313</v>
      </c>
      <c r="EZ87" s="269">
        <f t="shared" si="300"/>
        <v>309487.55400711624</v>
      </c>
      <c r="FA87" s="196">
        <f>'Detailed Budget'!$AC$222</f>
        <v>93194251.145425782</v>
      </c>
      <c r="FB87" s="269">
        <f t="shared" si="301"/>
        <v>77371.88850177906</v>
      </c>
      <c r="FC87" s="269">
        <f t="shared" si="245"/>
        <v>386859.4425088953</v>
      </c>
      <c r="FD87" s="269"/>
      <c r="FE87" s="269">
        <f t="shared" si="246"/>
        <v>240492925.6170736</v>
      </c>
      <c r="FF87" s="140">
        <f>'Detailed Budget'!$AC$165</f>
        <v>14927760000</v>
      </c>
      <c r="FG87" s="1087">
        <f t="shared" si="259"/>
        <v>328048269.69515711</v>
      </c>
      <c r="FH87" s="269">
        <f t="shared" si="302"/>
        <v>18657579.820474949</v>
      </c>
      <c r="FJ87" s="140">
        <f>'Detailed Budget'!$AC$235</f>
        <v>3623696172</v>
      </c>
      <c r="FK87" s="269">
        <f t="shared" si="303"/>
        <v>4681778</v>
      </c>
      <c r="FL87" s="269">
        <f t="shared" si="260"/>
        <v>4681778</v>
      </c>
      <c r="FO87" s="607"/>
      <c r="FP87" s="607"/>
      <c r="FQ87" s="607"/>
      <c r="FR87" s="269">
        <f>'Detailed Budget'!$AC$257</f>
        <v>13636439388</v>
      </c>
      <c r="FS87" s="269">
        <f t="shared" si="304"/>
        <v>63457836.000000007</v>
      </c>
      <c r="FT87" s="269">
        <f t="shared" si="261"/>
        <v>63457836.000000007</v>
      </c>
      <c r="FU87" s="269"/>
      <c r="FV87" s="269"/>
      <c r="FW87" s="616"/>
      <c r="FX87" s="140">
        <f>'Detailed Budget'!$AC$278</f>
        <v>1114560000</v>
      </c>
      <c r="FY87" s="269">
        <f t="shared" si="305"/>
        <v>1440000</v>
      </c>
      <c r="FZ87" s="269">
        <f t="shared" si="262"/>
        <v>1440000</v>
      </c>
      <c r="GB87" s="269">
        <f t="shared" si="271"/>
        <v>2743979340.5777836</v>
      </c>
      <c r="GC87" s="887">
        <f t="shared" si="247"/>
        <v>1714987.0878611146</v>
      </c>
      <c r="GD87" s="1078">
        <f t="shared" si="272"/>
        <v>1.5397332134461639E-3</v>
      </c>
    </row>
    <row r="88" spans="1:186" hidden="1" outlineLevel="1">
      <c r="A88" s="211" t="s">
        <v>360</v>
      </c>
      <c r="B88" s="212" t="s">
        <v>361</v>
      </c>
      <c r="C88" s="213" t="s">
        <v>215</v>
      </c>
      <c r="D88" s="214" t="s">
        <v>215</v>
      </c>
      <c r="E88" s="213"/>
      <c r="F88" s="213"/>
      <c r="G88" s="213"/>
      <c r="H88" s="213" t="s">
        <v>215</v>
      </c>
      <c r="I88" s="214" t="s">
        <v>215</v>
      </c>
      <c r="J88" s="214"/>
      <c r="K88" s="213" t="s">
        <v>215</v>
      </c>
      <c r="L88" s="213"/>
      <c r="M88" s="214"/>
      <c r="N88" s="213"/>
      <c r="O88" s="214"/>
      <c r="P88" s="213"/>
      <c r="Q88" s="214"/>
      <c r="R88" s="214" t="s">
        <v>215</v>
      </c>
      <c r="S88" s="214"/>
      <c r="T88" s="214"/>
      <c r="U88" s="215">
        <f t="shared" si="306"/>
        <v>6</v>
      </c>
      <c r="V88" s="845" t="s">
        <v>219</v>
      </c>
      <c r="W88" s="216">
        <v>81801</v>
      </c>
      <c r="X88" s="217">
        <v>3.05</v>
      </c>
      <c r="Y88" s="218">
        <f t="shared" si="277"/>
        <v>1.0305</v>
      </c>
      <c r="Z88" s="196">
        <v>19</v>
      </c>
      <c r="AA88" s="218">
        <f t="shared" si="184"/>
        <v>1.7697500211431931</v>
      </c>
      <c r="AB88" s="196">
        <f t="shared" si="274"/>
        <v>144767.32147953435</v>
      </c>
      <c r="AC88">
        <v>19.100000000000001</v>
      </c>
      <c r="AD88" s="196">
        <f t="shared" si="275"/>
        <v>27650.558402591065</v>
      </c>
      <c r="AE88" s="196">
        <f t="shared" si="280"/>
        <v>26268.030482461509</v>
      </c>
      <c r="AF88" s="196">
        <f t="shared" si="307"/>
        <v>26268.030482461509</v>
      </c>
      <c r="AG88" s="606">
        <f t="shared" si="250"/>
        <v>1.2145184106944404E-3</v>
      </c>
      <c r="AH88" s="196">
        <f t="shared" si="319"/>
        <v>7238.3660739767183</v>
      </c>
      <c r="AI88" s="248">
        <f t="shared" si="216"/>
        <v>5.6074525255514062E-4</v>
      </c>
      <c r="AJ88" s="196">
        <f t="shared" si="228"/>
        <v>34888.924476567787</v>
      </c>
      <c r="AK88" s="196">
        <f t="shared" si="278"/>
        <v>5790.6928591813739</v>
      </c>
      <c r="AL88" s="196">
        <f t="shared" si="279"/>
        <v>5790.6928591813739</v>
      </c>
      <c r="AM88" s="196">
        <f t="shared" si="229"/>
        <v>11581.385718362748</v>
      </c>
      <c r="AN88" s="627">
        <f t="shared" si="230"/>
        <v>5.6074525255514051E-4</v>
      </c>
      <c r="AO88" s="196">
        <f t="shared" si="231"/>
        <v>5501.1582162223049</v>
      </c>
      <c r="AP88" s="589">
        <f t="shared" si="251"/>
        <v>5.6074525255514051E-4</v>
      </c>
      <c r="AQ88" s="196"/>
      <c r="AR88" s="589"/>
      <c r="AS88">
        <v>1</v>
      </c>
      <c r="AT88" s="589">
        <f t="shared" si="252"/>
        <v>1.2919896640826874E-3</v>
      </c>
      <c r="AU88" s="196">
        <v>10</v>
      </c>
      <c r="AV88" s="245">
        <f t="shared" si="232"/>
        <v>1.1362345188046814E-3</v>
      </c>
      <c r="AX88" s="245"/>
      <c r="AY88" s="245"/>
      <c r="AZ88" s="196">
        <v>30</v>
      </c>
      <c r="BA88" s="589">
        <f t="shared" si="265"/>
        <v>1.0992634934593821E-3</v>
      </c>
      <c r="BB88" s="196">
        <v>1</v>
      </c>
      <c r="BI88" s="196">
        <v>1</v>
      </c>
      <c r="BJ88" s="196">
        <f t="shared" si="308"/>
        <v>80426.284848804818</v>
      </c>
      <c r="BK88" s="246">
        <f t="shared" si="266"/>
        <v>1.5336807278194659E-3</v>
      </c>
      <c r="BL88" s="196">
        <f t="shared" si="320"/>
        <v>1608.5256969760965</v>
      </c>
      <c r="BM88" s="246">
        <f t="shared" si="267"/>
        <v>1.5336805523412892E-3</v>
      </c>
      <c r="BN88" s="196">
        <v>0</v>
      </c>
      <c r="BO88" s="196">
        <f t="shared" si="309"/>
        <v>11858.877177384002</v>
      </c>
      <c r="BP88" s="196">
        <f t="shared" si="233"/>
        <v>0</v>
      </c>
      <c r="BQ88" s="248">
        <f t="shared" si="268"/>
        <v>0</v>
      </c>
      <c r="BR88" s="248"/>
      <c r="BS88" s="248"/>
      <c r="BT88" s="276">
        <v>1</v>
      </c>
      <c r="BU88" s="196">
        <f t="shared" si="321"/>
        <v>21899.242254852124</v>
      </c>
      <c r="BV88" s="264">
        <f t="shared" si="269"/>
        <v>1.5189729233952068E-3</v>
      </c>
      <c r="BW88" s="196">
        <f t="shared" si="322"/>
        <v>93680.091867978525</v>
      </c>
      <c r="BX88" s="247">
        <f t="shared" si="270"/>
        <v>1.5189729370781728E-3</v>
      </c>
      <c r="BY88" s="196">
        <f t="shared" si="276"/>
        <v>115579.33412283065</v>
      </c>
      <c r="BZ88" s="620">
        <v>0</v>
      </c>
      <c r="CA88" s="196">
        <f t="shared" si="282"/>
        <v>44298.800372737511</v>
      </c>
      <c r="CB88" s="196">
        <f t="shared" si="283"/>
        <v>88597.600745475022</v>
      </c>
      <c r="CC88" s="196">
        <f t="shared" si="248"/>
        <v>132896.40111821253</v>
      </c>
      <c r="CD88" s="247">
        <f t="shared" si="236"/>
        <v>5.6074525255514051E-4</v>
      </c>
      <c r="CE88" s="196">
        <f t="shared" si="310"/>
        <v>16454.837883638724</v>
      </c>
      <c r="CF88" s="247">
        <f t="shared" si="237"/>
        <v>7.1057107346728348E-4</v>
      </c>
      <c r="CG88" s="196">
        <f t="shared" si="284"/>
        <v>22004.632864889219</v>
      </c>
      <c r="CH88" s="589">
        <f t="shared" si="253"/>
        <v>5.6074525255514051E-4</v>
      </c>
      <c r="CI88" s="196">
        <f t="shared" si="311"/>
        <v>32495.098000890866</v>
      </c>
      <c r="CJ88" s="248">
        <f t="shared" si="254"/>
        <v>5.3421932865118152E-4</v>
      </c>
      <c r="CK88" s="196">
        <f t="shared" si="312"/>
        <v>21489.852731925723</v>
      </c>
      <c r="CL88" s="589">
        <f t="shared" si="255"/>
        <v>3.089210532955536E-4</v>
      </c>
      <c r="CM88" s="196">
        <f t="shared" si="313"/>
        <v>2081.8073306998672</v>
      </c>
      <c r="CN88" s="589">
        <f t="shared" si="256"/>
        <v>3.0001209536769399E-4</v>
      </c>
      <c r="CO88" s="196">
        <f t="shared" si="314"/>
        <v>166.54458645598939</v>
      </c>
      <c r="CP88" s="589">
        <f t="shared" si="257"/>
        <v>3.140774374672134E-4</v>
      </c>
      <c r="CQ88" s="196">
        <f>'Detailed Budget'!$AC$12</f>
        <v>292876014141.44696</v>
      </c>
      <c r="CR88" s="269">
        <f t="shared" si="263"/>
        <v>449178298.52931857</v>
      </c>
      <c r="CS88" s="269">
        <f>'Detailed Budget'!$AC$16</f>
        <v>10488008800.000002</v>
      </c>
      <c r="CT88" s="607">
        <f t="shared" si="285"/>
        <v>16085255.129344305</v>
      </c>
      <c r="CU88" s="269">
        <f>'Detailed Budget'!$AC$24</f>
        <v>30624985696</v>
      </c>
      <c r="CV88" s="269">
        <f t="shared" si="264"/>
        <v>46968950.351702012</v>
      </c>
      <c r="CW88" s="269"/>
      <c r="CX88" s="269">
        <f t="shared" si="249"/>
        <v>512232504.01036489</v>
      </c>
      <c r="CY88" s="196">
        <f>'Detailed Budget'!$AC$97</f>
        <v>74629165494.837845</v>
      </c>
      <c r="CZ88" s="269">
        <f t="shared" si="286"/>
        <v>0</v>
      </c>
      <c r="DA88" s="269">
        <f>'Detailed Budget'!$AC$100</f>
        <v>14925833098.967569</v>
      </c>
      <c r="DB88" s="269">
        <f t="shared" si="287"/>
        <v>0</v>
      </c>
      <c r="DC88" s="269">
        <f t="shared" si="238"/>
        <v>0</v>
      </c>
      <c r="DD88" s="207">
        <v>0</v>
      </c>
      <c r="DE88" s="606">
        <v>0</v>
      </c>
      <c r="DF88" s="269">
        <f>'Detailed Budget'!$AC$147</f>
        <v>5913600671000</v>
      </c>
      <c r="DG88" s="269">
        <f t="shared" si="258"/>
        <v>0</v>
      </c>
      <c r="DH88" s="269">
        <f>'Detailed Budget'!$AC$153</f>
        <v>226428026880.00003</v>
      </c>
      <c r="DI88" s="269"/>
      <c r="DJ88" s="269">
        <f>'Detailed Budget'!$AC$156</f>
        <v>27713070000</v>
      </c>
      <c r="DK88" s="269"/>
      <c r="DL88" s="269"/>
      <c r="DM88" s="196">
        <f>'Detailed Budget'!$AC$178</f>
        <v>5622683761.6229038</v>
      </c>
      <c r="DN88" s="269">
        <f t="shared" si="315"/>
        <v>8540704.3907191008</v>
      </c>
      <c r="DO88" s="196">
        <f>'Detailed Budget'!$AC$179</f>
        <v>26827890683.128094</v>
      </c>
      <c r="DP88" s="269">
        <f t="shared" si="316"/>
        <v>40750839.90656323</v>
      </c>
      <c r="DQ88" s="269">
        <f t="shared" si="273"/>
        <v>49291544.297282331</v>
      </c>
      <c r="DR88" s="269">
        <f>'Detailed Budget'!$AC$181</f>
        <v>50888946855.375237</v>
      </c>
      <c r="DS88" s="269">
        <f t="shared" si="317"/>
        <v>61805562.856704175</v>
      </c>
      <c r="DT88" s="269">
        <f t="shared" si="318"/>
        <v>111097107.15398651</v>
      </c>
      <c r="DU88" s="272">
        <f>'Detailed Budget'!$AC$192</f>
        <v>77498869683.252869</v>
      </c>
      <c r="DV88" s="269">
        <f t="shared" si="288"/>
        <v>0</v>
      </c>
      <c r="DW88" s="140">
        <f>'Detailed Budget'!$AC$194</f>
        <v>2684962805.4134097</v>
      </c>
      <c r="DX88" s="269">
        <f t="shared" si="289"/>
        <v>0</v>
      </c>
      <c r="DY88" s="607">
        <f t="shared" si="239"/>
        <v>0</v>
      </c>
      <c r="DZ88" s="196">
        <f>'Detailed Budget'!$AC$198</f>
        <v>18732540018.380611</v>
      </c>
      <c r="EA88" s="269">
        <f t="shared" si="290"/>
        <v>13310801.069629557</v>
      </c>
      <c r="EB88" s="196">
        <f>'Detailed Budget'!$AC$200</f>
        <v>4683135004.5951529</v>
      </c>
      <c r="EC88" s="269">
        <f t="shared" si="291"/>
        <v>3327700.2674073894</v>
      </c>
      <c r="ED88" s="269">
        <f t="shared" si="240"/>
        <v>16638501.337036947</v>
      </c>
      <c r="EE88" s="196">
        <f>'Detailed Budget'!$AC$161</f>
        <v>251147290106.36197</v>
      </c>
      <c r="EF88" s="269">
        <f t="shared" si="292"/>
        <v>140829650.61923108</v>
      </c>
      <c r="EG88" s="196">
        <f>'Detailed Budget'!$AC$163</f>
        <v>15696705631.647623</v>
      </c>
      <c r="EH88" s="269">
        <f t="shared" si="293"/>
        <v>8801853.1637019422</v>
      </c>
      <c r="EI88" s="269">
        <f t="shared" si="241"/>
        <v>149631503.78293303</v>
      </c>
      <c r="EJ88" s="196">
        <f>'Detailed Budget'!$AC$204</f>
        <v>45012172507.531975</v>
      </c>
      <c r="EK88" s="269">
        <f t="shared" si="294"/>
        <v>24046372.578104902</v>
      </c>
      <c r="EL88" s="201">
        <f>'Detailed Budget'!$AC$206</f>
        <v>11253043126.882994</v>
      </c>
      <c r="EM88" s="269">
        <f t="shared" si="295"/>
        <v>6011593.1445262255</v>
      </c>
      <c r="EN88" s="269">
        <f t="shared" si="242"/>
        <v>30057965.722631127</v>
      </c>
      <c r="EO88" s="140">
        <f>'Detailed Budget'!$AC$209</f>
        <v>135789361677.54817</v>
      </c>
      <c r="EP88" s="269">
        <f t="shared" si="296"/>
        <v>41948192.635759063</v>
      </c>
      <c r="EQ88" s="196">
        <f>'Detailed Budget'!$AC$211</f>
        <v>33947340419.387043</v>
      </c>
      <c r="ER88" s="269">
        <f t="shared" si="297"/>
        <v>10487048.158939766</v>
      </c>
      <c r="ES88" s="269">
        <f t="shared" si="243"/>
        <v>52435240.794698827</v>
      </c>
      <c r="ET88" s="196">
        <f>'Detailed Budget'!$AC$214</f>
        <v>22239745544.201103</v>
      </c>
      <c r="EU88" s="269">
        <f t="shared" si="298"/>
        <v>6672192.6611601086</v>
      </c>
      <c r="EV88" s="140">
        <f>'Detailed Budget'!$AC$217</f>
        <v>5559936386.0502758</v>
      </c>
      <c r="EW88" s="269">
        <f t="shared" si="299"/>
        <v>1668048.1652900272</v>
      </c>
      <c r="EX88" s="269">
        <f t="shared" si="244"/>
        <v>8340240.8264501356</v>
      </c>
      <c r="EY88" s="196">
        <f>'Detailed Budget'!$AC$219</f>
        <v>372777004.58170313</v>
      </c>
      <c r="EZ88" s="269">
        <f t="shared" si="300"/>
        <v>117080.84634572499</v>
      </c>
      <c r="FA88" s="196">
        <f>'Detailed Budget'!$AC$222</f>
        <v>93194251.145425782</v>
      </c>
      <c r="FB88" s="269">
        <f t="shared" si="301"/>
        <v>29270.211586431247</v>
      </c>
      <c r="FC88" s="269">
        <f t="shared" si="245"/>
        <v>146351.05793215623</v>
      </c>
      <c r="FD88" s="269"/>
      <c r="FE88" s="269">
        <f t="shared" si="246"/>
        <v>90979798.401712254</v>
      </c>
      <c r="FF88" s="140">
        <f>'Detailed Budget'!$AC$165</f>
        <v>14927760000</v>
      </c>
      <c r="FG88" s="1087">
        <f t="shared" si="259"/>
        <v>124102467.32337582</v>
      </c>
      <c r="FH88" s="269">
        <f t="shared" si="302"/>
        <v>16961436.200431772</v>
      </c>
      <c r="FJ88" s="140">
        <f>'Detailed Budget'!$AC$235</f>
        <v>3623696172</v>
      </c>
      <c r="FK88" s="269">
        <f t="shared" si="303"/>
        <v>4681778</v>
      </c>
      <c r="FL88" s="269">
        <f t="shared" si="260"/>
        <v>4681778</v>
      </c>
      <c r="FO88" s="607"/>
      <c r="FP88" s="607"/>
      <c r="FQ88" s="607"/>
      <c r="FR88" s="269">
        <f>'Detailed Budget'!$AC$257</f>
        <v>13636439388</v>
      </c>
      <c r="FS88" s="269">
        <f t="shared" si="304"/>
        <v>14990039.999999998</v>
      </c>
      <c r="FT88" s="269">
        <f t="shared" si="261"/>
        <v>14990039.999999998</v>
      </c>
      <c r="FU88" s="269"/>
      <c r="FV88" s="269"/>
      <c r="FW88" s="616"/>
      <c r="FX88" s="140">
        <f>'Detailed Budget'!$AC$278</f>
        <v>1114560000</v>
      </c>
      <c r="FY88" s="269">
        <f t="shared" si="305"/>
        <v>1440000</v>
      </c>
      <c r="FZ88" s="269">
        <f t="shared" si="262"/>
        <v>1440000</v>
      </c>
      <c r="GB88" s="269">
        <f t="shared" si="271"/>
        <v>1042755136.2098414</v>
      </c>
      <c r="GC88" s="887">
        <f t="shared" si="247"/>
        <v>651721.9601311509</v>
      </c>
      <c r="GD88" s="1078">
        <f t="shared" si="272"/>
        <v>5.8512274235118583E-4</v>
      </c>
    </row>
    <row r="89" spans="1:186" hidden="1" outlineLevel="1">
      <c r="A89" s="211" t="s">
        <v>362</v>
      </c>
      <c r="B89" s="212" t="s">
        <v>363</v>
      </c>
      <c r="C89" s="213" t="s">
        <v>215</v>
      </c>
      <c r="D89" s="214" t="s">
        <v>215</v>
      </c>
      <c r="E89" s="213"/>
      <c r="F89" s="213"/>
      <c r="G89" s="213"/>
      <c r="H89" s="213" t="s">
        <v>215</v>
      </c>
      <c r="I89" s="214" t="s">
        <v>215</v>
      </c>
      <c r="J89" s="214"/>
      <c r="K89" s="213"/>
      <c r="L89" s="213"/>
      <c r="M89" s="214" t="s">
        <v>215</v>
      </c>
      <c r="N89" s="213"/>
      <c r="O89" s="214"/>
      <c r="P89" s="213"/>
      <c r="Q89" s="214"/>
      <c r="R89" s="214" t="s">
        <v>215</v>
      </c>
      <c r="S89" s="214"/>
      <c r="T89" s="214"/>
      <c r="U89" s="215">
        <f t="shared" si="306"/>
        <v>6</v>
      </c>
      <c r="V89" s="845" t="s">
        <v>219</v>
      </c>
      <c r="W89" s="216">
        <v>92550</v>
      </c>
      <c r="X89" s="217">
        <v>3.05</v>
      </c>
      <c r="Y89" s="218">
        <f t="shared" si="277"/>
        <v>1.0305</v>
      </c>
      <c r="Z89" s="196">
        <v>19</v>
      </c>
      <c r="AA89" s="218">
        <f t="shared" si="184"/>
        <v>1.7697500211431931</v>
      </c>
      <c r="AB89" s="196">
        <f t="shared" si="274"/>
        <v>163790.36445680252</v>
      </c>
      <c r="AC89">
        <v>19.100000000000001</v>
      </c>
      <c r="AD89" s="196">
        <f t="shared" si="275"/>
        <v>31283.959611249284</v>
      </c>
      <c r="AE89" s="196">
        <f t="shared" si="280"/>
        <v>29719.761630686819</v>
      </c>
      <c r="AF89" s="196">
        <f t="shared" si="307"/>
        <v>29719.761630686819</v>
      </c>
      <c r="AG89" s="606">
        <f t="shared" si="250"/>
        <v>1.3741113056047046E-3</v>
      </c>
      <c r="AH89" s="196">
        <f t="shared" si="319"/>
        <v>8189.5182228401263</v>
      </c>
      <c r="AI89" s="248">
        <f t="shared" si="216"/>
        <v>6.3442956839131865E-4</v>
      </c>
      <c r="AJ89" s="196">
        <f t="shared" si="228"/>
        <v>39473.477834089412</v>
      </c>
      <c r="AK89" s="196">
        <f t="shared" si="278"/>
        <v>6551.6145782721005</v>
      </c>
      <c r="AL89" s="196">
        <f t="shared" si="279"/>
        <v>6551.6145782721005</v>
      </c>
      <c r="AM89" s="196">
        <f t="shared" si="229"/>
        <v>13103.229156544201</v>
      </c>
      <c r="AN89" s="627">
        <f t="shared" si="230"/>
        <v>6.3442956839131854E-4</v>
      </c>
      <c r="AO89" s="196">
        <f t="shared" si="231"/>
        <v>6224.0338493584959</v>
      </c>
      <c r="AP89" s="589">
        <f t="shared" si="251"/>
        <v>6.3442956839131854E-4</v>
      </c>
      <c r="AQ89" s="196"/>
      <c r="AR89" s="589"/>
      <c r="AS89">
        <v>1</v>
      </c>
      <c r="AT89" s="589">
        <f t="shared" si="252"/>
        <v>1.2919896640826874E-3</v>
      </c>
      <c r="AU89" s="196">
        <v>10</v>
      </c>
      <c r="AV89" s="245">
        <f t="shared" si="232"/>
        <v>1.1362345188046814E-3</v>
      </c>
      <c r="AX89" s="245"/>
      <c r="AY89" s="245"/>
      <c r="AZ89" s="196">
        <v>21</v>
      </c>
      <c r="BA89" s="589">
        <f t="shared" si="265"/>
        <v>7.6948444542156754E-4</v>
      </c>
      <c r="BB89" s="196">
        <v>2</v>
      </c>
      <c r="BC89" s="196">
        <v>1</v>
      </c>
      <c r="BI89" s="196">
        <v>1</v>
      </c>
      <c r="BJ89" s="196">
        <f t="shared" si="308"/>
        <v>90994.641419504478</v>
      </c>
      <c r="BK89" s="246">
        <f t="shared" si="266"/>
        <v>1.7352129113298318E-3</v>
      </c>
      <c r="BL89" s="196">
        <f t="shared" si="320"/>
        <v>1819.8928283900896</v>
      </c>
      <c r="BM89" s="246">
        <f t="shared" si="267"/>
        <v>1.7352127127930746E-3</v>
      </c>
      <c r="BN89" s="196">
        <v>0</v>
      </c>
      <c r="BO89" s="196">
        <f t="shared" si="309"/>
        <v>13417.18417582779</v>
      </c>
      <c r="BP89" s="196">
        <f t="shared" si="233"/>
        <v>0</v>
      </c>
      <c r="BQ89" s="248">
        <f t="shared" si="268"/>
        <v>0</v>
      </c>
      <c r="BR89" s="248"/>
      <c r="BS89" s="248"/>
      <c r="BT89" s="276">
        <v>1</v>
      </c>
      <c r="BU89" s="196">
        <f t="shared" si="321"/>
        <v>24776.896012109435</v>
      </c>
      <c r="BV89" s="264">
        <f t="shared" si="269"/>
        <v>1.7185724387260104E-3</v>
      </c>
      <c r="BW89" s="196">
        <f t="shared" si="322"/>
        <v>105990.05516291258</v>
      </c>
      <c r="BX89" s="247">
        <f t="shared" si="270"/>
        <v>1.7185724542069767E-3</v>
      </c>
      <c r="BY89" s="196">
        <f t="shared" si="276"/>
        <v>130766.95117502203</v>
      </c>
      <c r="BZ89" s="620">
        <v>0</v>
      </c>
      <c r="CA89" s="196">
        <f t="shared" si="282"/>
        <v>50119.851523781566</v>
      </c>
      <c r="CB89" s="196">
        <f t="shared" si="283"/>
        <v>100239.70304756313</v>
      </c>
      <c r="CC89" s="196">
        <f t="shared" si="248"/>
        <v>150359.55457134469</v>
      </c>
      <c r="CD89" s="247">
        <f t="shared" si="236"/>
        <v>6.3442956839131843E-4</v>
      </c>
      <c r="CE89" s="196">
        <f t="shared" si="310"/>
        <v>18617.073704854021</v>
      </c>
      <c r="CF89" s="247">
        <f t="shared" si="237"/>
        <v>8.0394314066328137E-4</v>
      </c>
      <c r="CG89" s="196">
        <f t="shared" si="284"/>
        <v>24896.135397433984</v>
      </c>
      <c r="CH89" s="589">
        <f t="shared" si="253"/>
        <v>6.3442956839131854E-4</v>
      </c>
      <c r="CI89" s="196">
        <f t="shared" si="311"/>
        <v>36765.092358069574</v>
      </c>
      <c r="CJ89" s="248">
        <f t="shared" si="254"/>
        <v>6.0441802504452072E-4</v>
      </c>
      <c r="CK89" s="196">
        <f t="shared" si="312"/>
        <v>24313.710961231835</v>
      </c>
      <c r="CL89" s="589">
        <f t="shared" si="255"/>
        <v>3.4951459618468575E-4</v>
      </c>
      <c r="CM89" s="196">
        <f t="shared" si="313"/>
        <v>2355.3656857039973</v>
      </c>
      <c r="CN89" s="589">
        <f t="shared" si="256"/>
        <v>3.3943496321903248E-4</v>
      </c>
      <c r="CO89" s="196">
        <f t="shared" si="314"/>
        <v>188.4292548563198</v>
      </c>
      <c r="CP89" s="589">
        <f t="shared" si="257"/>
        <v>3.5534855121075045E-4</v>
      </c>
      <c r="CQ89" s="196">
        <f>'Detailed Budget'!$AC$12</f>
        <v>292876014141.44696</v>
      </c>
      <c r="CR89" s="269">
        <f t="shared" si="263"/>
        <v>508202241.15705717</v>
      </c>
      <c r="CS89" s="269">
        <f>'Detailed Budget'!$AC$16</f>
        <v>10488008800.000002</v>
      </c>
      <c r="CT89" s="607">
        <f t="shared" si="285"/>
        <v>18198926.201645643</v>
      </c>
      <c r="CU89" s="269">
        <f>'Detailed Budget'!$AC$24</f>
        <v>30624985696</v>
      </c>
      <c r="CV89" s="269">
        <f t="shared" si="264"/>
        <v>53140870.588990614</v>
      </c>
      <c r="CW89" s="269"/>
      <c r="CX89" s="269">
        <f t="shared" si="249"/>
        <v>579542037.94769335</v>
      </c>
      <c r="CY89" s="196">
        <f>'Detailed Budget'!$AC$97</f>
        <v>74629165494.837845</v>
      </c>
      <c r="CZ89" s="269">
        <f t="shared" si="286"/>
        <v>0</v>
      </c>
      <c r="DA89" s="269">
        <f>'Detailed Budget'!$AC$100</f>
        <v>14925833098.967569</v>
      </c>
      <c r="DB89" s="269">
        <f t="shared" si="287"/>
        <v>0</v>
      </c>
      <c r="DC89" s="269">
        <f t="shared" si="238"/>
        <v>0</v>
      </c>
      <c r="DD89" s="207">
        <v>0</v>
      </c>
      <c r="DE89" s="606">
        <v>0</v>
      </c>
      <c r="DF89" s="269">
        <f>'Detailed Budget'!$AC$147</f>
        <v>5913600671000</v>
      </c>
      <c r="DG89" s="269">
        <f t="shared" si="258"/>
        <v>0</v>
      </c>
      <c r="DH89" s="269">
        <f>'Detailed Budget'!$AC$153</f>
        <v>226428026880.00003</v>
      </c>
      <c r="DI89" s="269"/>
      <c r="DJ89" s="269">
        <f>'Detailed Budget'!$AC$156</f>
        <v>27713070000</v>
      </c>
      <c r="DK89" s="269"/>
      <c r="DL89" s="269"/>
      <c r="DM89" s="196">
        <f>'Detailed Budget'!$AC$178</f>
        <v>5622683761.6229038</v>
      </c>
      <c r="DN89" s="269">
        <f t="shared" si="315"/>
        <v>9662989.3443974108</v>
      </c>
      <c r="DO89" s="196">
        <f>'Detailed Budget'!$AC$179</f>
        <v>26827890683.128094</v>
      </c>
      <c r="DP89" s="269">
        <f t="shared" si="316"/>
        <v>46105673.93249993</v>
      </c>
      <c r="DQ89" s="269">
        <f t="shared" si="273"/>
        <v>55768663.276897341</v>
      </c>
      <c r="DR89" s="269">
        <f>'Detailed Budget'!$AC$181</f>
        <v>50888946855.375237</v>
      </c>
      <c r="DS89" s="269">
        <f t="shared" si="317"/>
        <v>69927077.204288095</v>
      </c>
      <c r="DT89" s="269">
        <f t="shared" si="318"/>
        <v>125695740.48118544</v>
      </c>
      <c r="DU89" s="272">
        <f>'Detailed Budget'!$AC$192</f>
        <v>77498869683.252869</v>
      </c>
      <c r="DV89" s="269">
        <f t="shared" si="288"/>
        <v>0</v>
      </c>
      <c r="DW89" s="140">
        <f>'Detailed Budget'!$AC$194</f>
        <v>2684962805.4134097</v>
      </c>
      <c r="DX89" s="269">
        <f t="shared" si="289"/>
        <v>0</v>
      </c>
      <c r="DY89" s="607">
        <f t="shared" si="239"/>
        <v>0</v>
      </c>
      <c r="DZ89" s="196">
        <f>'Detailed Budget'!$AC$198</f>
        <v>18732540018.380611</v>
      </c>
      <c r="EA89" s="269">
        <f t="shared" si="290"/>
        <v>15059897.054977512</v>
      </c>
      <c r="EB89" s="196">
        <f>'Detailed Budget'!$AC$200</f>
        <v>4683135004.5951529</v>
      </c>
      <c r="EC89" s="269">
        <f t="shared" si="291"/>
        <v>3764974.263744378</v>
      </c>
      <c r="ED89" s="269">
        <f t="shared" si="240"/>
        <v>18824871.31872189</v>
      </c>
      <c r="EE89" s="196">
        <f>'Detailed Budget'!$AC$161</f>
        <v>251147290106.36197</v>
      </c>
      <c r="EF89" s="269">
        <f t="shared" si="292"/>
        <v>159335266.8648285</v>
      </c>
      <c r="EG89" s="196">
        <f>'Detailed Budget'!$AC$163</f>
        <v>15696705631.647623</v>
      </c>
      <c r="EH89" s="269">
        <f t="shared" si="293"/>
        <v>9958454.1790517811</v>
      </c>
      <c r="EI89" s="269">
        <f t="shared" si="241"/>
        <v>169293721.04388028</v>
      </c>
      <c r="EJ89" s="196">
        <f>'Detailed Budget'!$AC$204</f>
        <v>45012172507.531975</v>
      </c>
      <c r="EK89" s="269">
        <f t="shared" si="294"/>
        <v>27206168.40996575</v>
      </c>
      <c r="EL89" s="201">
        <f>'Detailed Budget'!$AC$206</f>
        <v>11253043126.882994</v>
      </c>
      <c r="EM89" s="269">
        <f t="shared" si="295"/>
        <v>6801542.1024914375</v>
      </c>
      <c r="EN89" s="269">
        <f t="shared" si="242"/>
        <v>34007710.512457184</v>
      </c>
      <c r="EO89" s="140">
        <f>'Detailed Budget'!$AC$209</f>
        <v>135789361677.54817</v>
      </c>
      <c r="EP89" s="269">
        <f t="shared" si="296"/>
        <v>47460363.912904494</v>
      </c>
      <c r="EQ89" s="196">
        <f>'Detailed Budget'!$AC$211</f>
        <v>33947340419.387043</v>
      </c>
      <c r="ER89" s="269">
        <f t="shared" si="297"/>
        <v>11865090.978226123</v>
      </c>
      <c r="ES89" s="269">
        <f t="shared" si="243"/>
        <v>59325454.891130619</v>
      </c>
      <c r="ET89" s="196">
        <f>'Detailed Budget'!$AC$214</f>
        <v>22239745544.201103</v>
      </c>
      <c r="EU89" s="269">
        <f t="shared" si="298"/>
        <v>7548947.2107965425</v>
      </c>
      <c r="EV89" s="140">
        <f>'Detailed Budget'!$AC$217</f>
        <v>5559936386.0502758</v>
      </c>
      <c r="EW89" s="269">
        <f t="shared" si="299"/>
        <v>1887236.8026991356</v>
      </c>
      <c r="EX89" s="269">
        <f t="shared" si="244"/>
        <v>9436184.0134956781</v>
      </c>
      <c r="EY89" s="196">
        <f>'Detailed Budget'!$AC$219</f>
        <v>372777004.58170313</v>
      </c>
      <c r="EZ89" s="269">
        <f t="shared" si="300"/>
        <v>132465.7685027915</v>
      </c>
      <c r="FA89" s="196">
        <f>'Detailed Budget'!$AC$222</f>
        <v>93194251.145425782</v>
      </c>
      <c r="FB89" s="269">
        <f t="shared" si="301"/>
        <v>33116.442125697875</v>
      </c>
      <c r="FC89" s="269">
        <f t="shared" si="245"/>
        <v>165582.21062848938</v>
      </c>
      <c r="FD89" s="269"/>
      <c r="FE89" s="269">
        <f t="shared" si="246"/>
        <v>102934931.62771198</v>
      </c>
      <c r="FF89" s="140">
        <f>'Detailed Budget'!$AC$165</f>
        <v>14927760000</v>
      </c>
      <c r="FG89" s="1087">
        <f t="shared" si="259"/>
        <v>140410060.39997593</v>
      </c>
      <c r="FH89" s="269">
        <f t="shared" si="302"/>
        <v>16961436.200431772</v>
      </c>
      <c r="FJ89" s="140">
        <f>'Detailed Budget'!$AC$235</f>
        <v>3623696172</v>
      </c>
      <c r="FK89" s="269">
        <f t="shared" si="303"/>
        <v>4681778</v>
      </c>
      <c r="FL89" s="269">
        <f t="shared" si="260"/>
        <v>4681778</v>
      </c>
      <c r="FO89" s="607"/>
      <c r="FP89" s="607"/>
      <c r="FQ89" s="607"/>
      <c r="FR89" s="269">
        <f>'Detailed Budget'!$AC$257</f>
        <v>13636439388</v>
      </c>
      <c r="FS89" s="269">
        <f t="shared" si="304"/>
        <v>10493028</v>
      </c>
      <c r="FT89" s="269">
        <f t="shared" si="261"/>
        <v>10493028</v>
      </c>
      <c r="FU89" s="269"/>
      <c r="FV89" s="269"/>
      <c r="FW89" s="616"/>
      <c r="FX89" s="140">
        <f>'Detailed Budget'!$AC$278</f>
        <v>1114560000</v>
      </c>
      <c r="FY89" s="269">
        <f t="shared" si="305"/>
        <v>1440000</v>
      </c>
      <c r="FZ89" s="269">
        <f t="shared" si="262"/>
        <v>1440000</v>
      </c>
      <c r="GB89" s="269">
        <f t="shared" si="271"/>
        <v>1170277605.0196009</v>
      </c>
      <c r="GC89" s="887">
        <f t="shared" si="247"/>
        <v>731423.50313725055</v>
      </c>
      <c r="GD89" s="1078">
        <f t="shared" si="272"/>
        <v>6.5667961516849174E-4</v>
      </c>
    </row>
    <row r="90" spans="1:186" hidden="1" outlineLevel="1">
      <c r="A90" s="211" t="s">
        <v>364</v>
      </c>
      <c r="B90" s="212" t="s">
        <v>365</v>
      </c>
      <c r="C90" s="213" t="s">
        <v>215</v>
      </c>
      <c r="D90" s="214" t="s">
        <v>215</v>
      </c>
      <c r="E90" s="213"/>
      <c r="F90" s="213"/>
      <c r="G90" s="213"/>
      <c r="H90" s="213" t="s">
        <v>215</v>
      </c>
      <c r="I90" s="214" t="s">
        <v>215</v>
      </c>
      <c r="J90" s="214"/>
      <c r="K90" s="213" t="s">
        <v>215</v>
      </c>
      <c r="L90" s="213"/>
      <c r="M90" s="214"/>
      <c r="N90" s="213"/>
      <c r="O90" s="214"/>
      <c r="P90" s="213"/>
      <c r="Q90" s="214"/>
      <c r="R90" s="214" t="s">
        <v>215</v>
      </c>
      <c r="S90" s="214"/>
      <c r="T90" s="214"/>
      <c r="U90" s="215">
        <f t="shared" si="306"/>
        <v>6</v>
      </c>
      <c r="V90" s="845" t="s">
        <v>219</v>
      </c>
      <c r="W90" s="216">
        <v>108558</v>
      </c>
      <c r="X90" s="217">
        <v>3.05</v>
      </c>
      <c r="Y90" s="218">
        <f t="shared" si="277"/>
        <v>1.0305</v>
      </c>
      <c r="Z90" s="196">
        <v>19</v>
      </c>
      <c r="AA90" s="218">
        <f t="shared" si="184"/>
        <v>1.7697500211431931</v>
      </c>
      <c r="AB90" s="196">
        <f t="shared" si="274"/>
        <v>192120.52279526275</v>
      </c>
      <c r="AC90">
        <v>19.100000000000001</v>
      </c>
      <c r="AD90" s="196">
        <f t="shared" si="275"/>
        <v>36695.019853895188</v>
      </c>
      <c r="AE90" s="196">
        <f t="shared" si="280"/>
        <v>34860.268861200428</v>
      </c>
      <c r="AF90" s="196">
        <f t="shared" si="307"/>
        <v>34860.268861200428</v>
      </c>
      <c r="AG90" s="606">
        <f t="shared" si="250"/>
        <v>1.6117857926940629E-3</v>
      </c>
      <c r="AH90" s="196">
        <f t="shared" si="319"/>
        <v>9606.0261397631384</v>
      </c>
      <c r="AI90" s="248">
        <f t="shared" si="216"/>
        <v>7.4416429049621569E-4</v>
      </c>
      <c r="AJ90" s="196">
        <f t="shared" si="228"/>
        <v>46301.045993658328</v>
      </c>
      <c r="AK90" s="196">
        <f t="shared" si="278"/>
        <v>7684.8209118105096</v>
      </c>
      <c r="AL90" s="196">
        <f t="shared" si="279"/>
        <v>7684.8209118105096</v>
      </c>
      <c r="AM90" s="196">
        <f t="shared" si="229"/>
        <v>15369.641823621019</v>
      </c>
      <c r="AN90" s="627">
        <f t="shared" si="230"/>
        <v>7.4416429049621558E-4</v>
      </c>
      <c r="AO90" s="196">
        <f t="shared" si="231"/>
        <v>7300.5798662199841</v>
      </c>
      <c r="AP90" s="589">
        <f t="shared" si="251"/>
        <v>7.4416429049621558E-4</v>
      </c>
      <c r="AQ90" s="196"/>
      <c r="AR90" s="589"/>
      <c r="AS90">
        <v>1</v>
      </c>
      <c r="AT90" s="589">
        <f t="shared" si="252"/>
        <v>1.2919896640826874E-3</v>
      </c>
      <c r="AU90" s="196">
        <v>11</v>
      </c>
      <c r="AV90" s="245">
        <f t="shared" si="232"/>
        <v>1.2498579706851495E-3</v>
      </c>
      <c r="AX90" s="245"/>
      <c r="AY90" s="245"/>
      <c r="AZ90" s="196">
        <v>51</v>
      </c>
      <c r="BA90" s="589">
        <f t="shared" si="265"/>
        <v>1.8687479388809498E-3</v>
      </c>
      <c r="BB90" s="196">
        <v>1</v>
      </c>
      <c r="BI90" s="196">
        <v>1</v>
      </c>
      <c r="BJ90" s="196">
        <f t="shared" si="308"/>
        <v>106733.61732272897</v>
      </c>
      <c r="BK90" s="246">
        <f t="shared" si="266"/>
        <v>2.0353456858794583E-3</v>
      </c>
      <c r="BL90" s="196">
        <f t="shared" si="320"/>
        <v>2134.6723464545794</v>
      </c>
      <c r="BM90" s="246">
        <f t="shared" si="267"/>
        <v>2.0353454530025994E-3</v>
      </c>
      <c r="BN90" s="196">
        <v>0</v>
      </c>
      <c r="BO90" s="196">
        <f t="shared" si="309"/>
        <v>15737.900375575507</v>
      </c>
      <c r="BP90" s="196">
        <f t="shared" si="233"/>
        <v>0</v>
      </c>
      <c r="BQ90" s="248">
        <f t="shared" si="268"/>
        <v>0</v>
      </c>
      <c r="BR90" s="248"/>
      <c r="BS90" s="248"/>
      <c r="BT90" s="276">
        <v>1</v>
      </c>
      <c r="BU90" s="196">
        <f t="shared" si="321"/>
        <v>29062.455724284988</v>
      </c>
      <c r="BV90" s="264">
        <f t="shared" si="269"/>
        <v>2.0158269778845833E-3</v>
      </c>
      <c r="BW90" s="196">
        <f t="shared" si="322"/>
        <v>124322.72726499691</v>
      </c>
      <c r="BX90" s="247">
        <f t="shared" si="270"/>
        <v>2.0158269960432302E-3</v>
      </c>
      <c r="BY90" s="196">
        <f t="shared" si="276"/>
        <v>153385.18298928189</v>
      </c>
      <c r="BZ90" s="620">
        <v>0</v>
      </c>
      <c r="CA90" s="196">
        <f t="shared" si="282"/>
        <v>58788.879975350399</v>
      </c>
      <c r="CB90" s="196">
        <f t="shared" si="283"/>
        <v>117577.7599507008</v>
      </c>
      <c r="CC90" s="196">
        <f t="shared" si="248"/>
        <v>176366.6399260512</v>
      </c>
      <c r="CD90" s="247">
        <f t="shared" si="236"/>
        <v>7.4416429049621558E-4</v>
      </c>
      <c r="CE90" s="196">
        <f t="shared" si="310"/>
        <v>21837.193811469937</v>
      </c>
      <c r="CF90" s="247">
        <f t="shared" si="237"/>
        <v>9.4299794126552667E-4</v>
      </c>
      <c r="CG90" s="196">
        <f t="shared" si="284"/>
        <v>29202.319464879936</v>
      </c>
      <c r="CH90" s="589">
        <f t="shared" si="253"/>
        <v>7.4416429049621558E-4</v>
      </c>
      <c r="CI90" s="196">
        <f t="shared" si="311"/>
        <v>43124.202011964524</v>
      </c>
      <c r="CJ90" s="248">
        <f t="shared" si="254"/>
        <v>7.0896177161299922E-4</v>
      </c>
      <c r="CK90" s="196">
        <f t="shared" si="312"/>
        <v>28519.155424412809</v>
      </c>
      <c r="CL90" s="589">
        <f t="shared" si="255"/>
        <v>4.099687253659332E-4</v>
      </c>
      <c r="CM90" s="196">
        <f t="shared" si="313"/>
        <v>2762.7637829136092</v>
      </c>
      <c r="CN90" s="589">
        <f t="shared" si="256"/>
        <v>3.9814565896414614E-4</v>
      </c>
      <c r="CO90" s="196">
        <f t="shared" si="314"/>
        <v>221.02110263308876</v>
      </c>
      <c r="CP90" s="589">
        <f t="shared" si="257"/>
        <v>4.1681175604901832E-4</v>
      </c>
      <c r="CQ90" s="196">
        <f>'Detailed Budget'!$AC$12</f>
        <v>292876014141.44696</v>
      </c>
      <c r="CR90" s="269">
        <f t="shared" si="263"/>
        <v>596103931.88036525</v>
      </c>
      <c r="CS90" s="269">
        <f>'Detailed Budget'!$AC$16</f>
        <v>10488008800.000002</v>
      </c>
      <c r="CT90" s="607">
        <f t="shared" si="285"/>
        <v>21346721.022131253</v>
      </c>
      <c r="CU90" s="269">
        <f>'Detailed Budget'!$AC$24</f>
        <v>30624985696</v>
      </c>
      <c r="CV90" s="269">
        <f t="shared" si="264"/>
        <v>62332432.516473718</v>
      </c>
      <c r="CW90" s="269"/>
      <c r="CX90" s="269">
        <f t="shared" si="249"/>
        <v>679783085.41897023</v>
      </c>
      <c r="CY90" s="196">
        <f>'Detailed Budget'!$AC$97</f>
        <v>74629165494.837845</v>
      </c>
      <c r="CZ90" s="269">
        <f t="shared" si="286"/>
        <v>0</v>
      </c>
      <c r="DA90" s="269">
        <f>'Detailed Budget'!$AC$100</f>
        <v>14925833098.967569</v>
      </c>
      <c r="DB90" s="269">
        <f t="shared" si="287"/>
        <v>0</v>
      </c>
      <c r="DC90" s="269">
        <f t="shared" si="238"/>
        <v>0</v>
      </c>
      <c r="DD90" s="207">
        <v>0</v>
      </c>
      <c r="DE90" s="606">
        <v>0</v>
      </c>
      <c r="DF90" s="269">
        <f>'Detailed Budget'!$AC$147</f>
        <v>5913600671000</v>
      </c>
      <c r="DG90" s="269">
        <f t="shared" si="258"/>
        <v>0</v>
      </c>
      <c r="DH90" s="269">
        <f>'Detailed Budget'!$AC$153</f>
        <v>226428026880.00003</v>
      </c>
      <c r="DI90" s="269"/>
      <c r="DJ90" s="269">
        <f>'Detailed Budget'!$AC$156</f>
        <v>27713070000</v>
      </c>
      <c r="DK90" s="269"/>
      <c r="DL90" s="269"/>
      <c r="DM90" s="196">
        <f>'Detailed Budget'!$AC$178</f>
        <v>5622683761.6229038</v>
      </c>
      <c r="DN90" s="269">
        <f t="shared" si="315"/>
        <v>11334357.614793019</v>
      </c>
      <c r="DO90" s="196">
        <f>'Detailed Budget'!$AC$179</f>
        <v>26827890683.128094</v>
      </c>
      <c r="DP90" s="269">
        <f t="shared" si="316"/>
        <v>54080386.285946265</v>
      </c>
      <c r="DQ90" s="269">
        <f t="shared" si="273"/>
        <v>65414743.900739282</v>
      </c>
      <c r="DR90" s="269">
        <f>'Detailed Budget'!$AC$181</f>
        <v>50888946855.375237</v>
      </c>
      <c r="DS90" s="269">
        <f t="shared" si="317"/>
        <v>82022081.546657011</v>
      </c>
      <c r="DT90" s="269">
        <f t="shared" si="318"/>
        <v>147436825.44739628</v>
      </c>
      <c r="DU90" s="272">
        <f>'Detailed Budget'!$AC$192</f>
        <v>77498869683.252869</v>
      </c>
      <c r="DV90" s="269">
        <f t="shared" si="288"/>
        <v>0</v>
      </c>
      <c r="DW90" s="140">
        <f>'Detailed Budget'!$AC$194</f>
        <v>2684962805.4134097</v>
      </c>
      <c r="DX90" s="269">
        <f t="shared" si="289"/>
        <v>0</v>
      </c>
      <c r="DY90" s="607">
        <f t="shared" si="239"/>
        <v>0</v>
      </c>
      <c r="DZ90" s="196">
        <f>'Detailed Budget'!$AC$198</f>
        <v>18732540018.380611</v>
      </c>
      <c r="EA90" s="269">
        <f t="shared" si="290"/>
        <v>17664746.672007009</v>
      </c>
      <c r="EB90" s="196">
        <f>'Detailed Budget'!$AC$200</f>
        <v>4683135004.5951529</v>
      </c>
      <c r="EC90" s="269">
        <f t="shared" si="291"/>
        <v>4416186.6680017523</v>
      </c>
      <c r="ED90" s="269">
        <f t="shared" si="240"/>
        <v>22080933.340008762</v>
      </c>
      <c r="EE90" s="196">
        <f>'Detailed Budget'!$AC$161</f>
        <v>251147290106.36197</v>
      </c>
      <c r="EF90" s="269">
        <f t="shared" si="292"/>
        <v>186894844.95204806</v>
      </c>
      <c r="EG90" s="196">
        <f>'Detailed Budget'!$AC$163</f>
        <v>15696705631.647623</v>
      </c>
      <c r="EH90" s="269">
        <f t="shared" si="293"/>
        <v>11680927.809503004</v>
      </c>
      <c r="EI90" s="269">
        <f t="shared" si="241"/>
        <v>198575772.76155108</v>
      </c>
      <c r="EJ90" s="196">
        <f>'Detailed Budget'!$AC$204</f>
        <v>45012172507.531975</v>
      </c>
      <c r="EK90" s="269">
        <f t="shared" si="294"/>
        <v>31911909.565089807</v>
      </c>
      <c r="EL90" s="201">
        <f>'Detailed Budget'!$AC$206</f>
        <v>11253043126.882994</v>
      </c>
      <c r="EM90" s="269">
        <f t="shared" si="295"/>
        <v>7977977.3912724517</v>
      </c>
      <c r="EN90" s="269">
        <f t="shared" si="242"/>
        <v>39889886.956362262</v>
      </c>
      <c r="EO90" s="140">
        <f>'Detailed Budget'!$AC$209</f>
        <v>135789361677.54817</v>
      </c>
      <c r="EP90" s="269">
        <f t="shared" si="296"/>
        <v>55669391.525198124</v>
      </c>
      <c r="EQ90" s="196">
        <f>'Detailed Budget'!$AC$211</f>
        <v>33947340419.387043</v>
      </c>
      <c r="ER90" s="269">
        <f t="shared" si="297"/>
        <v>13917347.881299531</v>
      </c>
      <c r="ES90" s="269">
        <f t="shared" si="243"/>
        <v>69586739.406497657</v>
      </c>
      <c r="ET90" s="196">
        <f>'Detailed Budget'!$AC$214</f>
        <v>22239745544.201103</v>
      </c>
      <c r="EU90" s="269">
        <f t="shared" si="298"/>
        <v>8854658.1448908802</v>
      </c>
      <c r="EV90" s="140">
        <f>'Detailed Budget'!$AC$217</f>
        <v>5559936386.0502758</v>
      </c>
      <c r="EW90" s="269">
        <f t="shared" si="299"/>
        <v>2213664.5362227201</v>
      </c>
      <c r="EX90" s="269">
        <f t="shared" si="244"/>
        <v>11068322.681113601</v>
      </c>
      <c r="EY90" s="196">
        <f>'Detailed Budget'!$AC$219</f>
        <v>372777004.58170313</v>
      </c>
      <c r="EZ90" s="269">
        <f t="shared" si="300"/>
        <v>155377.83789439264</v>
      </c>
      <c r="FA90" s="196">
        <f>'Detailed Budget'!$AC$222</f>
        <v>93194251.145425782</v>
      </c>
      <c r="FB90" s="269">
        <f t="shared" si="301"/>
        <v>38844.459473598159</v>
      </c>
      <c r="FC90" s="269">
        <f t="shared" si="245"/>
        <v>194222.2973679908</v>
      </c>
      <c r="FD90" s="269"/>
      <c r="FE90" s="269">
        <f t="shared" si="246"/>
        <v>120739171.34134151</v>
      </c>
      <c r="FF90" s="140">
        <f>'Detailed Budget'!$AC$165</f>
        <v>14927760000</v>
      </c>
      <c r="FG90" s="1087">
        <f t="shared" si="259"/>
        <v>164696221.90060058</v>
      </c>
      <c r="FH90" s="269">
        <f t="shared" si="302"/>
        <v>18657579.820474949</v>
      </c>
      <c r="FJ90" s="140">
        <f>'Detailed Budget'!$AC$235</f>
        <v>3623696172</v>
      </c>
      <c r="FK90" s="269">
        <f t="shared" si="303"/>
        <v>4681778</v>
      </c>
      <c r="FL90" s="269">
        <f t="shared" si="260"/>
        <v>4681778</v>
      </c>
      <c r="FO90" s="607"/>
      <c r="FP90" s="607"/>
      <c r="FQ90" s="607"/>
      <c r="FR90" s="269">
        <f>'Detailed Budget'!$AC$257</f>
        <v>13636439388</v>
      </c>
      <c r="FS90" s="269">
        <f t="shared" si="304"/>
        <v>25483068</v>
      </c>
      <c r="FT90" s="269">
        <f t="shared" si="261"/>
        <v>25483068</v>
      </c>
      <c r="FU90" s="269"/>
      <c r="FV90" s="269"/>
      <c r="FW90" s="616"/>
      <c r="FX90" s="140">
        <f>'Detailed Budget'!$AC$278</f>
        <v>1114560000</v>
      </c>
      <c r="FY90" s="269">
        <f t="shared" si="305"/>
        <v>1440000</v>
      </c>
      <c r="FZ90" s="269">
        <f t="shared" si="262"/>
        <v>1440000</v>
      </c>
      <c r="GB90" s="269">
        <f t="shared" si="271"/>
        <v>1383574436.0303433</v>
      </c>
      <c r="GC90" s="887">
        <f t="shared" si="247"/>
        <v>864734.0225189646</v>
      </c>
      <c r="GD90" s="1078">
        <f t="shared" si="272"/>
        <v>7.7636718357449157E-4</v>
      </c>
    </row>
    <row r="91" spans="1:186" hidden="1" outlineLevel="1">
      <c r="A91" s="211" t="s">
        <v>366</v>
      </c>
      <c r="B91" s="212" t="s">
        <v>367</v>
      </c>
      <c r="C91" s="213" t="s">
        <v>215</v>
      </c>
      <c r="D91" s="214" t="s">
        <v>215</v>
      </c>
      <c r="E91" s="213"/>
      <c r="F91" s="213"/>
      <c r="G91" s="213"/>
      <c r="H91" s="213" t="s">
        <v>215</v>
      </c>
      <c r="I91" s="214" t="s">
        <v>215</v>
      </c>
      <c r="J91" s="214"/>
      <c r="K91" s="213" t="s">
        <v>215</v>
      </c>
      <c r="L91" s="213"/>
      <c r="M91" s="214"/>
      <c r="N91" s="213"/>
      <c r="O91" s="214"/>
      <c r="P91" s="213"/>
      <c r="Q91" s="214"/>
      <c r="R91" s="214" t="s">
        <v>215</v>
      </c>
      <c r="S91" s="214"/>
      <c r="T91" s="214"/>
      <c r="U91" s="215">
        <f t="shared" si="306"/>
        <v>6</v>
      </c>
      <c r="V91" s="845" t="s">
        <v>219</v>
      </c>
      <c r="W91" s="216">
        <v>329922</v>
      </c>
      <c r="X91" s="217">
        <v>3.05</v>
      </c>
      <c r="Y91" s="218">
        <f t="shared" si="277"/>
        <v>1.0305</v>
      </c>
      <c r="Z91" s="196">
        <v>19</v>
      </c>
      <c r="AA91" s="218">
        <f t="shared" si="184"/>
        <v>1.7697500211431931</v>
      </c>
      <c r="AB91" s="196">
        <f t="shared" si="274"/>
        <v>583879.46647560457</v>
      </c>
      <c r="AC91">
        <v>19.100000000000001</v>
      </c>
      <c r="AD91" s="196">
        <f t="shared" si="275"/>
        <v>111520.97809684048</v>
      </c>
      <c r="AE91" s="196">
        <f t="shared" si="280"/>
        <v>105944.92919199845</v>
      </c>
      <c r="AF91" s="196">
        <f t="shared" si="307"/>
        <v>105944.92919199845</v>
      </c>
      <c r="AG91" s="606">
        <f t="shared" si="250"/>
        <v>4.8984284188840124E-3</v>
      </c>
      <c r="AH91" s="196">
        <f t="shared" si="319"/>
        <v>29193.973323780228</v>
      </c>
      <c r="AI91" s="248">
        <f t="shared" si="216"/>
        <v>2.2616128802031401E-3</v>
      </c>
      <c r="AJ91" s="196">
        <f t="shared" si="228"/>
        <v>140714.95142062072</v>
      </c>
      <c r="AK91" s="196">
        <f t="shared" si="278"/>
        <v>23355.178659024183</v>
      </c>
      <c r="AL91" s="196">
        <f t="shared" si="279"/>
        <v>23355.178659024183</v>
      </c>
      <c r="AM91" s="196">
        <f t="shared" si="229"/>
        <v>46710.357318048365</v>
      </c>
      <c r="AN91" s="627">
        <f t="shared" si="230"/>
        <v>2.2616128802031401E-3</v>
      </c>
      <c r="AO91" s="196">
        <f t="shared" si="231"/>
        <v>22187.419726072974</v>
      </c>
      <c r="AP91" s="589">
        <f t="shared" si="251"/>
        <v>2.2616128802031401E-3</v>
      </c>
      <c r="AQ91" s="196"/>
      <c r="AR91" s="589"/>
      <c r="AS91">
        <v>1</v>
      </c>
      <c r="AT91" s="589">
        <f t="shared" si="252"/>
        <v>1.2919896640826874E-3</v>
      </c>
      <c r="AU91" s="196">
        <v>13</v>
      </c>
      <c r="AV91" s="245">
        <f t="shared" si="232"/>
        <v>1.4771048744460858E-3</v>
      </c>
      <c r="AX91" s="245"/>
      <c r="AY91" s="245"/>
      <c r="AZ91" s="196">
        <v>97</v>
      </c>
      <c r="BA91" s="589">
        <f t="shared" si="265"/>
        <v>3.5542852955186693E-3</v>
      </c>
      <c r="BB91" s="196">
        <v>3</v>
      </c>
      <c r="BC91" s="196">
        <v>1</v>
      </c>
      <c r="BI91" s="196">
        <v>1</v>
      </c>
      <c r="BJ91" s="196">
        <f t="shared" si="308"/>
        <v>324377.46176559431</v>
      </c>
      <c r="BK91" s="246">
        <f t="shared" si="266"/>
        <v>6.1856824865668368E-3</v>
      </c>
      <c r="BL91" s="196">
        <f t="shared" si="320"/>
        <v>6487.5492353118862</v>
      </c>
      <c r="BM91" s="246">
        <f t="shared" si="267"/>
        <v>6.1856817788235197E-3</v>
      </c>
      <c r="BN91" s="196">
        <v>0</v>
      </c>
      <c r="BO91" s="196">
        <f t="shared" si="309"/>
        <v>47829.543356644579</v>
      </c>
      <c r="BP91" s="196">
        <f t="shared" si="233"/>
        <v>0</v>
      </c>
      <c r="BQ91" s="248">
        <f t="shared" si="268"/>
        <v>0</v>
      </c>
      <c r="BR91" s="248"/>
      <c r="BS91" s="248"/>
      <c r="BT91" s="276">
        <v>1</v>
      </c>
      <c r="BU91" s="196">
        <f t="shared" si="321"/>
        <v>88324.614652697666</v>
      </c>
      <c r="BV91" s="264">
        <f t="shared" si="269"/>
        <v>6.1263625729806887E-3</v>
      </c>
      <c r="BW91" s="196">
        <f t="shared" si="322"/>
        <v>377833.07379209559</v>
      </c>
      <c r="BX91" s="247">
        <f t="shared" si="270"/>
        <v>6.1263626281671977E-3</v>
      </c>
      <c r="BY91" s="196">
        <f t="shared" si="276"/>
        <v>466157.68844479322</v>
      </c>
      <c r="BZ91" s="620">
        <v>0</v>
      </c>
      <c r="CA91" s="196">
        <f t="shared" si="282"/>
        <v>178667.11674153499</v>
      </c>
      <c r="CB91" s="196">
        <f t="shared" si="283"/>
        <v>357334.23348306998</v>
      </c>
      <c r="CC91" s="196">
        <f t="shared" si="248"/>
        <v>536001.35022460495</v>
      </c>
      <c r="CD91" s="247">
        <f t="shared" si="236"/>
        <v>2.2616128802031401E-3</v>
      </c>
      <c r="CE91" s="196">
        <f t="shared" si="310"/>
        <v>66366.096065400838</v>
      </c>
      <c r="CF91" s="247">
        <f t="shared" si="237"/>
        <v>2.865894423056846E-3</v>
      </c>
      <c r="CG91" s="196">
        <f t="shared" si="284"/>
        <v>88749.678904291897</v>
      </c>
      <c r="CH91" s="589">
        <f t="shared" si="253"/>
        <v>2.2616128802031401E-3</v>
      </c>
      <c r="CI91" s="196">
        <f t="shared" si="311"/>
        <v>131060.1058990711</v>
      </c>
      <c r="CJ91" s="248">
        <f t="shared" si="254"/>
        <v>2.1546278083061955E-3</v>
      </c>
      <c r="CK91" s="196">
        <f t="shared" si="312"/>
        <v>86673.453784457379</v>
      </c>
      <c r="CL91" s="589">
        <f t="shared" si="255"/>
        <v>1.2459487261204097E-3</v>
      </c>
      <c r="CM91" s="196">
        <f t="shared" si="313"/>
        <v>8396.4014884801109</v>
      </c>
      <c r="CN91" s="589">
        <f t="shared" si="256"/>
        <v>1.2100168766628809E-3</v>
      </c>
      <c r="CO91" s="196">
        <f t="shared" si="314"/>
        <v>671.71211907840893</v>
      </c>
      <c r="CP91" s="589">
        <f t="shared" si="257"/>
        <v>1.2667455938687544E-3</v>
      </c>
      <c r="CQ91" s="196">
        <f>'Detailed Budget'!$AC$12</f>
        <v>292876014141.44696</v>
      </c>
      <c r="CR91" s="269">
        <f t="shared" si="263"/>
        <v>1811638031.4102497</v>
      </c>
      <c r="CS91" s="269">
        <f>'Detailed Budget'!$AC$16</f>
        <v>10488008800.000002</v>
      </c>
      <c r="CT91" s="607">
        <f t="shared" si="285"/>
        <v>64875484.930300742</v>
      </c>
      <c r="CU91" s="269">
        <f>'Detailed Budget'!$AC$24</f>
        <v>30624985696</v>
      </c>
      <c r="CV91" s="269">
        <f t="shared" si="264"/>
        <v>189436437.67110708</v>
      </c>
      <c r="CW91" s="269"/>
      <c r="CX91" s="269">
        <f t="shared" si="249"/>
        <v>2065949954.0116575</v>
      </c>
      <c r="CY91" s="196">
        <f>'Detailed Budget'!$AC$97</f>
        <v>74629165494.837845</v>
      </c>
      <c r="CZ91" s="269">
        <f t="shared" si="286"/>
        <v>0</v>
      </c>
      <c r="DA91" s="269">
        <f>'Detailed Budget'!$AC$100</f>
        <v>14925833098.967569</v>
      </c>
      <c r="DB91" s="269">
        <f t="shared" si="287"/>
        <v>0</v>
      </c>
      <c r="DC91" s="269">
        <f t="shared" si="238"/>
        <v>0</v>
      </c>
      <c r="DD91" s="207">
        <v>0</v>
      </c>
      <c r="DE91" s="606">
        <v>0</v>
      </c>
      <c r="DF91" s="269">
        <f>'Detailed Budget'!$AC$147</f>
        <v>5913600671000</v>
      </c>
      <c r="DG91" s="269">
        <f t="shared" si="258"/>
        <v>0</v>
      </c>
      <c r="DH91" s="269">
        <f>'Detailed Budget'!$AC$153</f>
        <v>226428026880.00003</v>
      </c>
      <c r="DI91" s="269"/>
      <c r="DJ91" s="269">
        <f>'Detailed Budget'!$AC$156</f>
        <v>27713070000</v>
      </c>
      <c r="DK91" s="269"/>
      <c r="DL91" s="269"/>
      <c r="DM91" s="196">
        <f>'Detailed Budget'!$AC$178</f>
        <v>5622683761.6229038</v>
      </c>
      <c r="DN91" s="269">
        <f t="shared" si="315"/>
        <v>34446599.356912829</v>
      </c>
      <c r="DO91" s="196">
        <f>'Detailed Budget'!$AC$179</f>
        <v>26827890683.128094</v>
      </c>
      <c r="DP91" s="269">
        <f t="shared" si="316"/>
        <v>164357386.87367091</v>
      </c>
      <c r="DQ91" s="269">
        <f t="shared" si="273"/>
        <v>198803986.23058373</v>
      </c>
      <c r="DR91" s="269">
        <f>'Detailed Budget'!$AC$181</f>
        <v>50888946855.375237</v>
      </c>
      <c r="DS91" s="269">
        <f t="shared" si="317"/>
        <v>249275863.48344827</v>
      </c>
      <c r="DT91" s="269">
        <f t="shared" si="318"/>
        <v>448079849.71403199</v>
      </c>
      <c r="DU91" s="272">
        <f>'Detailed Budget'!$AC$192</f>
        <v>77498869683.252869</v>
      </c>
      <c r="DV91" s="269">
        <f t="shared" si="288"/>
        <v>0</v>
      </c>
      <c r="DW91" s="140">
        <f>'Detailed Budget'!$AC$194</f>
        <v>2684962805.4134097</v>
      </c>
      <c r="DX91" s="269">
        <f t="shared" si="289"/>
        <v>0</v>
      </c>
      <c r="DY91" s="607">
        <f t="shared" si="239"/>
        <v>0</v>
      </c>
      <c r="DZ91" s="196">
        <f>'Detailed Budget'!$AC$198</f>
        <v>18732540018.380611</v>
      </c>
      <c r="EA91" s="269">
        <f t="shared" si="290"/>
        <v>53685481.968366183</v>
      </c>
      <c r="EB91" s="196">
        <f>'Detailed Budget'!$AC$200</f>
        <v>4683135004.5951529</v>
      </c>
      <c r="EC91" s="269">
        <f t="shared" si="291"/>
        <v>13421370.492091546</v>
      </c>
      <c r="ED91" s="269">
        <f t="shared" si="240"/>
        <v>67106852.460457727</v>
      </c>
      <c r="EE91" s="196">
        <f>'Detailed Budget'!$AC$161</f>
        <v>251147290106.36197</v>
      </c>
      <c r="EF91" s="269">
        <f t="shared" si="292"/>
        <v>567997946.13266289</v>
      </c>
      <c r="EG91" s="196">
        <f>'Detailed Budget'!$AC$163</f>
        <v>15696705631.647623</v>
      </c>
      <c r="EH91" s="269">
        <f t="shared" si="293"/>
        <v>35499871.633291431</v>
      </c>
      <c r="EI91" s="269">
        <f t="shared" si="241"/>
        <v>603497817.76595438</v>
      </c>
      <c r="EJ91" s="196">
        <f>'Detailed Budget'!$AC$204</f>
        <v>45012172507.531975</v>
      </c>
      <c r="EK91" s="269">
        <f t="shared" si="294"/>
        <v>96984478.597004011</v>
      </c>
      <c r="EL91" s="201">
        <f>'Detailed Budget'!$AC$206</f>
        <v>11253043126.882994</v>
      </c>
      <c r="EM91" s="269">
        <f t="shared" si="295"/>
        <v>24246119.649251003</v>
      </c>
      <c r="EN91" s="269">
        <f t="shared" si="242"/>
        <v>121230598.24625501</v>
      </c>
      <c r="EO91" s="140">
        <f>'Detailed Budget'!$AC$209</f>
        <v>135789361677.54817</v>
      </c>
      <c r="EP91" s="269">
        <f t="shared" si="296"/>
        <v>169186582.20284471</v>
      </c>
      <c r="EQ91" s="196">
        <f>'Detailed Budget'!$AC$211</f>
        <v>33947340419.387043</v>
      </c>
      <c r="ER91" s="269">
        <f t="shared" si="297"/>
        <v>42296645.550711177</v>
      </c>
      <c r="ES91" s="269">
        <f t="shared" si="243"/>
        <v>211483227.75355589</v>
      </c>
      <c r="ET91" s="196">
        <f>'Detailed Budget'!$AC$214</f>
        <v>22239745544.201103</v>
      </c>
      <c r="EU91" s="269">
        <f t="shared" si="298"/>
        <v>26910467.441171441</v>
      </c>
      <c r="EV91" s="140">
        <f>'Detailed Budget'!$AC$217</f>
        <v>5559936386.0502758</v>
      </c>
      <c r="EW91" s="269">
        <f t="shared" si="299"/>
        <v>6727616.8602928603</v>
      </c>
      <c r="EX91" s="269">
        <f t="shared" si="244"/>
        <v>33638084.301464304</v>
      </c>
      <c r="EY91" s="196">
        <f>'Detailed Budget'!$AC$219</f>
        <v>372777004.58170313</v>
      </c>
      <c r="EZ91" s="269">
        <f t="shared" si="300"/>
        <v>472213.6280494649</v>
      </c>
      <c r="FA91" s="196">
        <f>'Detailed Budget'!$AC$222</f>
        <v>93194251.145425782</v>
      </c>
      <c r="FB91" s="269">
        <f t="shared" si="301"/>
        <v>118053.40701236622</v>
      </c>
      <c r="FC91" s="269">
        <f t="shared" si="245"/>
        <v>590267.03506183112</v>
      </c>
      <c r="FD91" s="269"/>
      <c r="FE91" s="269">
        <f t="shared" si="246"/>
        <v>366942177.33633709</v>
      </c>
      <c r="FF91" s="140">
        <f>'Detailed Budget'!$AC$165</f>
        <v>14927760000</v>
      </c>
      <c r="FG91" s="1087">
        <f t="shared" si="259"/>
        <v>500533419.20346683</v>
      </c>
      <c r="FH91" s="269">
        <f t="shared" si="302"/>
        <v>22049867.060561303</v>
      </c>
      <c r="FJ91" s="140">
        <f>'Detailed Budget'!$AC$235</f>
        <v>3623696172</v>
      </c>
      <c r="FK91" s="269">
        <f t="shared" si="303"/>
        <v>4681778</v>
      </c>
      <c r="FL91" s="269">
        <f t="shared" si="260"/>
        <v>4681778</v>
      </c>
      <c r="FO91" s="607"/>
      <c r="FP91" s="607"/>
      <c r="FQ91" s="607"/>
      <c r="FR91" s="269">
        <f>'Detailed Budget'!$AC$257</f>
        <v>13636439388</v>
      </c>
      <c r="FS91" s="269">
        <f t="shared" si="304"/>
        <v>48467796</v>
      </c>
      <c r="FT91" s="269">
        <f t="shared" si="261"/>
        <v>48467796</v>
      </c>
      <c r="FU91" s="269"/>
      <c r="FV91" s="269"/>
      <c r="FW91" s="616"/>
      <c r="FX91" s="140">
        <f>'Detailed Budget'!$AC$278</f>
        <v>1114560000</v>
      </c>
      <c r="FY91" s="269">
        <f t="shared" si="305"/>
        <v>1440000</v>
      </c>
      <c r="FZ91" s="269">
        <f t="shared" si="262"/>
        <v>1440000</v>
      </c>
      <c r="GB91" s="269">
        <f t="shared" si="271"/>
        <v>4128749511.5524669</v>
      </c>
      <c r="GC91" s="887">
        <f t="shared" si="247"/>
        <v>2580468.444720292</v>
      </c>
      <c r="GD91" s="1078">
        <f t="shared" si="272"/>
        <v>2.3167713615505452E-3</v>
      </c>
    </row>
    <row r="92" spans="1:186" hidden="1" outlineLevel="1">
      <c r="A92" s="211" t="s">
        <v>368</v>
      </c>
      <c r="B92" s="212" t="s">
        <v>371</v>
      </c>
      <c r="C92" s="213" t="s">
        <v>215</v>
      </c>
      <c r="D92" s="214" t="s">
        <v>215</v>
      </c>
      <c r="E92" s="213"/>
      <c r="F92" s="213"/>
      <c r="G92" s="213"/>
      <c r="H92" s="213" t="s">
        <v>215</v>
      </c>
      <c r="I92" s="214" t="s">
        <v>215</v>
      </c>
      <c r="J92" s="214"/>
      <c r="K92" s="213" t="s">
        <v>215</v>
      </c>
      <c r="L92" s="213"/>
      <c r="M92" s="214"/>
      <c r="N92" s="213"/>
      <c r="O92" s="214"/>
      <c r="P92" s="213"/>
      <c r="Q92" s="214"/>
      <c r="R92" s="214" t="s">
        <v>215</v>
      </c>
      <c r="S92" s="214"/>
      <c r="T92" s="214"/>
      <c r="U92" s="215">
        <f>COUNTA(C92:T92)</f>
        <v>6</v>
      </c>
      <c r="V92" s="845" t="s">
        <v>219</v>
      </c>
      <c r="W92" s="216">
        <v>148405</v>
      </c>
      <c r="X92" s="217">
        <v>3.05</v>
      </c>
      <c r="Y92" s="218">
        <f>1+X92/100</f>
        <v>1.0305</v>
      </c>
      <c r="Z92" s="196">
        <v>19</v>
      </c>
      <c r="AA92" s="218">
        <f>POWER(Y92,Z92)</f>
        <v>1.7697500211431931</v>
      </c>
      <c r="AB92" s="196">
        <f>W92*AA92</f>
        <v>262639.75188775558</v>
      </c>
      <c r="AC92">
        <v>19.100000000000001</v>
      </c>
      <c r="AD92" s="196">
        <f>AB92*AC92/100</f>
        <v>50164.192610561317</v>
      </c>
      <c r="AE92" s="196">
        <f>AD92*0.95</f>
        <v>47655.982980033252</v>
      </c>
      <c r="AF92" s="196">
        <f t="shared" si="307"/>
        <v>47655.982980033252</v>
      </c>
      <c r="AG92" s="606">
        <f>AE92/21628351</f>
        <v>2.2034034393113582E-3</v>
      </c>
      <c r="AH92" s="196">
        <f>AB92*0.05</f>
        <v>13131.98759438778</v>
      </c>
      <c r="AI92" s="248">
        <f>AH92/12908475</f>
        <v>1.0173151820325624E-3</v>
      </c>
      <c r="AJ92" s="196">
        <f>AD92+AH92</f>
        <v>63296.180204949094</v>
      </c>
      <c r="AK92" s="196">
        <f>AB92*0.04</f>
        <v>10505.590075510223</v>
      </c>
      <c r="AL92" s="196">
        <f>AB92*0.04</f>
        <v>10505.590075510223</v>
      </c>
      <c r="AM92" s="196">
        <f>AK92+AL92</f>
        <v>21011.180151020446</v>
      </c>
      <c r="AN92" s="627">
        <f>AM92/20653560</f>
        <v>1.0173151820325622E-3</v>
      </c>
      <c r="AO92" s="196">
        <f>AB92*0.038</f>
        <v>9980.3105717347116</v>
      </c>
      <c r="AP92" s="589">
        <f>AO92/9810441</f>
        <v>1.0173151820325622E-3</v>
      </c>
      <c r="AQ92" s="196"/>
      <c r="AR92" s="589"/>
      <c r="AS92">
        <v>1</v>
      </c>
      <c r="AT92" s="589">
        <f>AS92/774</f>
        <v>1.2919896640826874E-3</v>
      </c>
      <c r="AU92" s="196">
        <v>15</v>
      </c>
      <c r="AV92" s="245">
        <f>AU92/8801</f>
        <v>1.7043517782070218E-3</v>
      </c>
      <c r="AX92" s="245"/>
      <c r="AY92" s="245"/>
      <c r="AZ92" s="196">
        <v>85</v>
      </c>
      <c r="BA92" s="589">
        <f t="shared" si="265"/>
        <v>3.1145798981349164E-3</v>
      </c>
      <c r="BB92" s="196">
        <v>2</v>
      </c>
      <c r="BI92" s="196">
        <v>1</v>
      </c>
      <c r="BJ92" s="196">
        <f t="shared" si="308"/>
        <v>145910.96445015192</v>
      </c>
      <c r="BK92" s="246">
        <f>BJ92/52440044</f>
        <v>2.7824340584106282E-3</v>
      </c>
      <c r="BL92" s="196">
        <f>BJ92/50</f>
        <v>2918.2192890030383</v>
      </c>
      <c r="BM92" s="246">
        <f>BL92/1048801</f>
        <v>2.7824337400546321E-3</v>
      </c>
      <c r="BN92" s="196">
        <v>0</v>
      </c>
      <c r="BO92" s="196">
        <f t="shared" si="309"/>
        <v>21514.610671136928</v>
      </c>
      <c r="BP92" s="196">
        <f>BN92*BO92</f>
        <v>0</v>
      </c>
      <c r="BQ92" s="248">
        <f>BP92/10690003</f>
        <v>0</v>
      </c>
      <c r="BR92" s="248"/>
      <c r="BS92" s="248"/>
      <c r="BT92" s="276">
        <v>1</v>
      </c>
      <c r="BU92" s="196">
        <f t="shared" si="321"/>
        <v>39730.040547564568</v>
      </c>
      <c r="BV92" s="264">
        <f t="shared" si="269"/>
        <v>2.7557508673056032E-3</v>
      </c>
      <c r="BW92" s="196">
        <f t="shared" si="322"/>
        <v>169956.28456458176</v>
      </c>
      <c r="BX92" s="247">
        <f t="shared" si="270"/>
        <v>2.7557508921295121E-3</v>
      </c>
      <c r="BY92" s="196">
        <f>BU92+BW92</f>
        <v>209686.32511214633</v>
      </c>
      <c r="BZ92" s="620">
        <v>0</v>
      </c>
      <c r="CA92" s="196">
        <f t="shared" si="282"/>
        <v>80367.764077653206</v>
      </c>
      <c r="CB92" s="196">
        <f t="shared" si="283"/>
        <v>160735.52815530641</v>
      </c>
      <c r="CC92" s="196">
        <f>CA92+CB92</f>
        <v>241103.29223295962</v>
      </c>
      <c r="CD92" s="247">
        <f>CC92/236999601</f>
        <v>1.0173151820325622E-3</v>
      </c>
      <c r="CE92" s="196">
        <f t="shared" si="310"/>
        <v>29852.693929431236</v>
      </c>
      <c r="CF92" s="247">
        <f>CE92/23157202</f>
        <v>1.2891321641289495E-3</v>
      </c>
      <c r="CG92" s="196">
        <f t="shared" si="284"/>
        <v>39921.242286938847</v>
      </c>
      <c r="CH92" s="589">
        <f>CG92/39241764</f>
        <v>1.0173151820325622E-3</v>
      </c>
      <c r="CI92" s="196">
        <f t="shared" si="311"/>
        <v>58953.252635324854</v>
      </c>
      <c r="CJ92" s="248">
        <f>CI92/60827260</f>
        <v>9.6919132368160018E-4</v>
      </c>
      <c r="CK92" s="196">
        <f t="shared" si="312"/>
        <v>38987.317938429071</v>
      </c>
      <c r="CL92" s="589">
        <f>CK92/69564222</f>
        <v>5.6045071471408207E-4</v>
      </c>
      <c r="CM92" s="196">
        <f t="shared" si="313"/>
        <v>3776.8562354068258</v>
      </c>
      <c r="CN92" s="589">
        <f>CM92/6939078</f>
        <v>5.4428790617526218E-4</v>
      </c>
      <c r="CO92" s="196">
        <f t="shared" si="314"/>
        <v>302.14849883254607</v>
      </c>
      <c r="CP92" s="589">
        <f>CO92/530266</f>
        <v>5.6980552936176574E-4</v>
      </c>
      <c r="CQ92" s="196">
        <f>'Detailed Budget'!$AC$12</f>
        <v>292876014141.44696</v>
      </c>
      <c r="CR92" s="269">
        <f t="shared" si="263"/>
        <v>814908196.63871479</v>
      </c>
      <c r="CS92" s="269">
        <f>'Detailed Budget'!$AC$16</f>
        <v>10488008800.000002</v>
      </c>
      <c r="CT92" s="607">
        <f t="shared" si="285"/>
        <v>29182189.551109899</v>
      </c>
      <c r="CU92" s="269">
        <f>'Detailed Budget'!$AC$24</f>
        <v>30624985696</v>
      </c>
      <c r="CV92" s="269">
        <f t="shared" si="264"/>
        <v>85212003.238888711</v>
      </c>
      <c r="CW92" s="269"/>
      <c r="CX92" s="269">
        <f>CR92+CT92+CV92+CW92</f>
        <v>929302389.42871344</v>
      </c>
      <c r="CY92" s="196">
        <f>'Detailed Budget'!$AC$97</f>
        <v>74629165494.837845</v>
      </c>
      <c r="CZ92" s="269">
        <f t="shared" si="286"/>
        <v>0</v>
      </c>
      <c r="DA92" s="269">
        <f>'Detailed Budget'!$AC$100</f>
        <v>14925833098.967569</v>
      </c>
      <c r="DB92" s="269">
        <f t="shared" si="287"/>
        <v>0</v>
      </c>
      <c r="DC92" s="269">
        <f>CZ92+DB92</f>
        <v>0</v>
      </c>
      <c r="DD92" s="207">
        <v>0</v>
      </c>
      <c r="DE92" s="606">
        <v>0</v>
      </c>
      <c r="DF92" s="269">
        <f>'Detailed Budget'!$AC$147</f>
        <v>5913600671000</v>
      </c>
      <c r="DG92" s="269">
        <f>DE92*DF92</f>
        <v>0</v>
      </c>
      <c r="DH92" s="269">
        <f>'Detailed Budget'!$AC$153</f>
        <v>226428026880.00003</v>
      </c>
      <c r="DI92" s="269"/>
      <c r="DJ92" s="269">
        <f>'Detailed Budget'!$AC$156</f>
        <v>27713070000</v>
      </c>
      <c r="DK92" s="269"/>
      <c r="DL92" s="269"/>
      <c r="DM92" s="196">
        <f>'Detailed Budget'!$AC$178</f>
        <v>5622683761.6229038</v>
      </c>
      <c r="DN92" s="269">
        <f t="shared" si="315"/>
        <v>15494715.652677448</v>
      </c>
      <c r="DO92" s="196">
        <f>'Detailed Budget'!$AC$179</f>
        <v>26827890683.128094</v>
      </c>
      <c r="DP92" s="269">
        <f t="shared" si="316"/>
        <v>73930983.683983266</v>
      </c>
      <c r="DQ92" s="269">
        <f>DN92+DP92</f>
        <v>89425699.336660713</v>
      </c>
      <c r="DR92" s="269">
        <f>'Detailed Budget'!$AC$181</f>
        <v>50888946855.375237</v>
      </c>
      <c r="DS92" s="269">
        <f t="shared" si="317"/>
        <v>112128880.52406672</v>
      </c>
      <c r="DT92" s="269">
        <f>DQ92+DS92</f>
        <v>201554579.86072743</v>
      </c>
      <c r="DU92" s="272">
        <f>'Detailed Budget'!$AC$192</f>
        <v>77498869683.252869</v>
      </c>
      <c r="DV92" s="269">
        <f t="shared" si="288"/>
        <v>0</v>
      </c>
      <c r="DW92" s="140">
        <f>'Detailed Budget'!$AC$194</f>
        <v>2684962805.4134097</v>
      </c>
      <c r="DX92" s="269">
        <f t="shared" si="289"/>
        <v>0</v>
      </c>
      <c r="DY92" s="607">
        <f>DV92+DX92</f>
        <v>0</v>
      </c>
      <c r="DZ92" s="196">
        <f>'Detailed Budget'!$AC$198</f>
        <v>18732540018.380611</v>
      </c>
      <c r="EA92" s="269">
        <f t="shared" si="290"/>
        <v>24148719.853527147</v>
      </c>
      <c r="EB92" s="196">
        <f>'Detailed Budget'!$AC$200</f>
        <v>4683135004.5951529</v>
      </c>
      <c r="EC92" s="269">
        <f t="shared" si="291"/>
        <v>6037179.9633817868</v>
      </c>
      <c r="ED92" s="269">
        <f>EA92+EC92</f>
        <v>30185899.816908933</v>
      </c>
      <c r="EE92" s="196">
        <f>'Detailed Budget'!$AC$161</f>
        <v>251147290106.36197</v>
      </c>
      <c r="EF92" s="269">
        <f t="shared" si="292"/>
        <v>255495951.15153834</v>
      </c>
      <c r="EG92" s="196">
        <f>'Detailed Budget'!$AC$163</f>
        <v>15696705631.647623</v>
      </c>
      <c r="EH92" s="269">
        <f t="shared" si="293"/>
        <v>15968496.946971146</v>
      </c>
      <c r="EI92" s="269">
        <f>EF92+EH92</f>
        <v>271464448.09850949</v>
      </c>
      <c r="EJ92" s="196">
        <f>'Detailed Budget'!$AC$204</f>
        <v>45012172507.531975</v>
      </c>
      <c r="EK92" s="269">
        <f t="shared" si="294"/>
        <v>43625407.054359443</v>
      </c>
      <c r="EL92" s="201">
        <f>'Detailed Budget'!$AC$206</f>
        <v>11253043126.882994</v>
      </c>
      <c r="EM92" s="269">
        <f t="shared" si="295"/>
        <v>10906351.763589861</v>
      </c>
      <c r="EN92" s="269">
        <f>EK92+EM92</f>
        <v>54531758.817949302</v>
      </c>
      <c r="EO92" s="140">
        <f>'Detailed Budget'!$AC$209</f>
        <v>135789361677.54817</v>
      </c>
      <c r="EP92" s="269">
        <f t="shared" si="296"/>
        <v>76103244.802750856</v>
      </c>
      <c r="EQ92" s="196">
        <f>'Detailed Budget'!$AC$211</f>
        <v>33947340419.387043</v>
      </c>
      <c r="ER92" s="269">
        <f t="shared" si="297"/>
        <v>19025811.200687714</v>
      </c>
      <c r="ES92" s="269">
        <f>EP92+ER92</f>
        <v>95129056.003438562</v>
      </c>
      <c r="ET92" s="196">
        <f>'Detailed Budget'!$AC$214</f>
        <v>22239745544.201103</v>
      </c>
      <c r="EU92" s="269">
        <f t="shared" si="298"/>
        <v>12104824.536123835</v>
      </c>
      <c r="EV92" s="140">
        <f>'Detailed Budget'!$AC$217</f>
        <v>5559936386.0502758</v>
      </c>
      <c r="EW92" s="269">
        <f t="shared" si="299"/>
        <v>3026206.1340309586</v>
      </c>
      <c r="EX92" s="269">
        <f>EU92+EW92</f>
        <v>15131030.670154793</v>
      </c>
      <c r="EY92" s="196">
        <f>'Detailed Budget'!$AC$219</f>
        <v>372777004.58170313</v>
      </c>
      <c r="EZ92" s="269">
        <f t="shared" si="300"/>
        <v>212410.39842957072</v>
      </c>
      <c r="FA92" s="196">
        <f>'Detailed Budget'!$AC$222</f>
        <v>93194251.145425782</v>
      </c>
      <c r="FB92" s="269">
        <f t="shared" si="301"/>
        <v>53102.59960739268</v>
      </c>
      <c r="FC92" s="269">
        <f>EZ92+FB92</f>
        <v>265512.9980369634</v>
      </c>
      <c r="FD92" s="269"/>
      <c r="FE92" s="269">
        <f>EN92+ES92+EX92+FC92</f>
        <v>165057358.48957959</v>
      </c>
      <c r="FF92" s="140">
        <f>'Detailed Budget'!$AC$165</f>
        <v>14927760000</v>
      </c>
      <c r="FG92" s="1087">
        <f t="shared" si="259"/>
        <v>225149162.76238161</v>
      </c>
      <c r="FH92" s="269">
        <f t="shared" si="302"/>
        <v>25442154.300647654</v>
      </c>
      <c r="FJ92" s="140">
        <f>'Detailed Budget'!$AC$235</f>
        <v>3623696172</v>
      </c>
      <c r="FK92" s="269">
        <f t="shared" si="303"/>
        <v>4681778</v>
      </c>
      <c r="FL92" s="269">
        <f>FI92+FK92</f>
        <v>4681778</v>
      </c>
      <c r="FO92" s="607"/>
      <c r="FP92" s="607"/>
      <c r="FQ92" s="607"/>
      <c r="FR92" s="269">
        <f>'Detailed Budget'!$AC$257</f>
        <v>13636439388</v>
      </c>
      <c r="FS92" s="269">
        <f t="shared" si="304"/>
        <v>42471780</v>
      </c>
      <c r="FT92" s="269">
        <f t="shared" si="261"/>
        <v>42471780</v>
      </c>
      <c r="FU92" s="269"/>
      <c r="FV92" s="269"/>
      <c r="FW92" s="616"/>
      <c r="FX92" s="140">
        <f>'Detailed Budget'!$AC$278</f>
        <v>1114560000</v>
      </c>
      <c r="FY92" s="269">
        <f t="shared" si="305"/>
        <v>1440000</v>
      </c>
      <c r="FZ92" s="269">
        <f>FU92+FW92+FY92</f>
        <v>1440000</v>
      </c>
      <c r="GB92" s="269">
        <f t="shared" si="271"/>
        <v>1896749550.7574682</v>
      </c>
      <c r="GC92" s="887">
        <f>GB92/1600</f>
        <v>1185468.4692234176</v>
      </c>
      <c r="GD92" s="1078">
        <f t="shared" si="272"/>
        <v>1.0643258998719043E-3</v>
      </c>
    </row>
    <row r="93" spans="1:186" hidden="1" outlineLevel="1">
      <c r="A93" s="211" t="s">
        <v>370</v>
      </c>
      <c r="B93" s="212" t="s">
        <v>369</v>
      </c>
      <c r="C93" s="213" t="s">
        <v>215</v>
      </c>
      <c r="D93" s="214" t="s">
        <v>215</v>
      </c>
      <c r="E93" s="213"/>
      <c r="F93" s="213"/>
      <c r="G93" s="213"/>
      <c r="H93" s="213" t="s">
        <v>215</v>
      </c>
      <c r="I93" s="214" t="s">
        <v>215</v>
      </c>
      <c r="J93" s="214"/>
      <c r="K93" s="213" t="s">
        <v>215</v>
      </c>
      <c r="L93" s="213"/>
      <c r="M93" s="214"/>
      <c r="N93" s="213"/>
      <c r="O93" s="214"/>
      <c r="P93" s="213"/>
      <c r="Q93" s="214"/>
      <c r="R93" s="214" t="s">
        <v>215</v>
      </c>
      <c r="S93" s="214"/>
      <c r="T93" s="214"/>
      <c r="U93" s="215">
        <f t="shared" si="306"/>
        <v>6</v>
      </c>
      <c r="V93" s="845" t="s">
        <v>219</v>
      </c>
      <c r="W93" s="216">
        <v>187220</v>
      </c>
      <c r="X93" s="217">
        <v>3.05</v>
      </c>
      <c r="Y93" s="218">
        <f t="shared" si="277"/>
        <v>1.0305</v>
      </c>
      <c r="Z93" s="196">
        <v>19</v>
      </c>
      <c r="AA93" s="218">
        <f t="shared" si="184"/>
        <v>1.7697500211431931</v>
      </c>
      <c r="AB93" s="196">
        <f t="shared" si="274"/>
        <v>331332.5989584286</v>
      </c>
      <c r="AC93">
        <v>19.100000000000001</v>
      </c>
      <c r="AD93" s="196">
        <f t="shared" si="275"/>
        <v>63284.526401059869</v>
      </c>
      <c r="AE93" s="196">
        <f t="shared" si="280"/>
        <v>60120.30008100687</v>
      </c>
      <c r="AF93" s="196">
        <f t="shared" si="307"/>
        <v>60120.30008100687</v>
      </c>
      <c r="AG93" s="606">
        <f t="shared" si="250"/>
        <v>2.779698742683012E-3</v>
      </c>
      <c r="AH93" s="196">
        <f t="shared" si="319"/>
        <v>16566.629947921432</v>
      </c>
      <c r="AI93" s="248">
        <f t="shared" si="216"/>
        <v>1.2833917211693428E-3</v>
      </c>
      <c r="AJ93" s="196">
        <f t="shared" si="228"/>
        <v>79851.156348981298</v>
      </c>
      <c r="AK93" s="196">
        <f t="shared" si="278"/>
        <v>13253.303958337145</v>
      </c>
      <c r="AL93" s="196">
        <f t="shared" si="279"/>
        <v>13253.303958337145</v>
      </c>
      <c r="AM93" s="196">
        <f t="shared" si="229"/>
        <v>26506.607916674289</v>
      </c>
      <c r="AN93" s="627">
        <f t="shared" si="230"/>
        <v>1.2833917211693426E-3</v>
      </c>
      <c r="AO93" s="196">
        <f t="shared" si="231"/>
        <v>12590.638760420286</v>
      </c>
      <c r="AP93" s="589">
        <f t="shared" si="251"/>
        <v>1.2833917211693426E-3</v>
      </c>
      <c r="AQ93" s="196"/>
      <c r="AR93" s="589"/>
      <c r="AS93">
        <v>1</v>
      </c>
      <c r="AT93" s="589">
        <f t="shared" si="252"/>
        <v>1.2919896640826874E-3</v>
      </c>
      <c r="AU93" s="196">
        <v>14</v>
      </c>
      <c r="AV93" s="245">
        <f t="shared" si="232"/>
        <v>1.5907283263265539E-3</v>
      </c>
      <c r="AX93" s="245"/>
      <c r="AY93" s="245"/>
      <c r="AZ93" s="196">
        <v>94</v>
      </c>
      <c r="BA93" s="589">
        <f t="shared" si="265"/>
        <v>3.4443589461727311E-3</v>
      </c>
      <c r="BB93" s="196">
        <v>1</v>
      </c>
      <c r="BI93" s="196">
        <v>1</v>
      </c>
      <c r="BJ93" s="196">
        <f t="shared" si="308"/>
        <v>184073.65496012563</v>
      </c>
      <c r="BK93" s="246">
        <f t="shared" si="266"/>
        <v>3.5101735414281047E-3</v>
      </c>
      <c r="BL93" s="196">
        <f t="shared" si="320"/>
        <v>3681.4730992025125</v>
      </c>
      <c r="BM93" s="246">
        <f t="shared" si="267"/>
        <v>3.5101731398068008E-3</v>
      </c>
      <c r="BN93" s="196">
        <v>0</v>
      </c>
      <c r="BO93" s="196">
        <f t="shared" si="309"/>
        <v>27141.709577509224</v>
      </c>
      <c r="BP93" s="196">
        <f t="shared" si="233"/>
        <v>0</v>
      </c>
      <c r="BQ93" s="248">
        <f t="shared" si="268"/>
        <v>0</v>
      </c>
      <c r="BR93" s="248"/>
      <c r="BS93" s="248"/>
      <c r="BT93" s="276">
        <v>1</v>
      </c>
      <c r="BU93" s="196">
        <f t="shared" si="321"/>
        <v>50121.344909639418</v>
      </c>
      <c r="BV93" s="264">
        <f t="shared" si="269"/>
        <v>3.4765114206189479E-3</v>
      </c>
      <c r="BW93" s="196">
        <f t="shared" si="322"/>
        <v>214407.97544679086</v>
      </c>
      <c r="BX93" s="247">
        <f t="shared" si="270"/>
        <v>3.4765114519354962E-3</v>
      </c>
      <c r="BY93" s="196">
        <f t="shared" si="276"/>
        <v>264529.32035643025</v>
      </c>
      <c r="BZ93" s="620">
        <v>0</v>
      </c>
      <c r="CA93" s="196">
        <f t="shared" si="282"/>
        <v>101387.77528127914</v>
      </c>
      <c r="CB93" s="196">
        <f t="shared" si="283"/>
        <v>202775.55056255829</v>
      </c>
      <c r="CC93" s="196">
        <f t="shared" si="248"/>
        <v>304163.32584383746</v>
      </c>
      <c r="CD93" s="247">
        <f t="shared" si="236"/>
        <v>1.2833917211693426E-3</v>
      </c>
      <c r="CE93" s="196">
        <f t="shared" si="310"/>
        <v>37660.600097490766</v>
      </c>
      <c r="CF93" s="247">
        <f t="shared" si="237"/>
        <v>1.626301834629709E-3</v>
      </c>
      <c r="CG93" s="196">
        <f t="shared" si="284"/>
        <v>50362.555041681146</v>
      </c>
      <c r="CH93" s="589">
        <f t="shared" si="253"/>
        <v>1.2833917211693426E-3</v>
      </c>
      <c r="CI93" s="196">
        <f t="shared" si="311"/>
        <v>74372.345664805893</v>
      </c>
      <c r="CJ93" s="248">
        <f t="shared" si="254"/>
        <v>1.2226811739474357E-3</v>
      </c>
      <c r="CK93" s="196">
        <f t="shared" si="312"/>
        <v>49184.364842375195</v>
      </c>
      <c r="CL93" s="589">
        <f t="shared" si="255"/>
        <v>7.0703536140137092E-4</v>
      </c>
      <c r="CM93" s="196">
        <f t="shared" si="313"/>
        <v>4764.6846426526463</v>
      </c>
      <c r="CN93" s="589">
        <f t="shared" si="256"/>
        <v>6.8664520598451931E-4</v>
      </c>
      <c r="CO93" s="196">
        <f t="shared" si="314"/>
        <v>381.17477141221167</v>
      </c>
      <c r="CP93" s="589">
        <f t="shared" si="257"/>
        <v>7.1883690716020203E-4</v>
      </c>
      <c r="CQ93" s="196">
        <f>'Detailed Budget'!$AC$12</f>
        <v>292876014141.44696</v>
      </c>
      <c r="CR93" s="269">
        <f t="shared" si="263"/>
        <v>1028045635.7582306</v>
      </c>
      <c r="CS93" s="269">
        <f>'Detailed Budget'!$AC$16</f>
        <v>10488008800.000002</v>
      </c>
      <c r="CT93" s="607">
        <f t="shared" si="285"/>
        <v>36814726.779817365</v>
      </c>
      <c r="CU93" s="269">
        <f>'Detailed Budget'!$AC$24</f>
        <v>30624985696</v>
      </c>
      <c r="CV93" s="269">
        <f t="shared" si="264"/>
        <v>107499014.49671337</v>
      </c>
      <c r="CW93" s="269"/>
      <c r="CX93" s="269">
        <f t="shared" si="249"/>
        <v>1172359377.0347612</v>
      </c>
      <c r="CY93" s="196">
        <f>'Detailed Budget'!$AC$97</f>
        <v>74629165494.837845</v>
      </c>
      <c r="CZ93" s="269">
        <f t="shared" si="286"/>
        <v>0</v>
      </c>
      <c r="DA93" s="269">
        <f>'Detailed Budget'!$AC$100</f>
        <v>14925833098.967569</v>
      </c>
      <c r="DB93" s="269">
        <f t="shared" si="287"/>
        <v>0</v>
      </c>
      <c r="DC93" s="269">
        <f t="shared" si="238"/>
        <v>0</v>
      </c>
      <c r="DD93" s="207">
        <v>0</v>
      </c>
      <c r="DE93" s="606">
        <v>0</v>
      </c>
      <c r="DF93" s="269">
        <f>'Detailed Budget'!$AC$147</f>
        <v>5913600671000</v>
      </c>
      <c r="DG93" s="269">
        <f t="shared" si="258"/>
        <v>0</v>
      </c>
      <c r="DH93" s="269">
        <f>'Detailed Budget'!$AC$153</f>
        <v>226428026880.00003</v>
      </c>
      <c r="DI93" s="269"/>
      <c r="DJ93" s="269">
        <f>'Detailed Budget'!$AC$156</f>
        <v>27713070000</v>
      </c>
      <c r="DK93" s="269"/>
      <c r="DL93" s="269"/>
      <c r="DM93" s="196">
        <f>'Detailed Budget'!$AC$178</f>
        <v>5622683761.6229038</v>
      </c>
      <c r="DN93" s="269">
        <f t="shared" si="315"/>
        <v>19547324.311810732</v>
      </c>
      <c r="DO93" s="196">
        <f>'Detailed Budget'!$AC$179</f>
        <v>26827890683.128094</v>
      </c>
      <c r="DP93" s="269">
        <f t="shared" si="316"/>
        <v>93267469.191168427</v>
      </c>
      <c r="DQ93" s="269">
        <f t="shared" si="273"/>
        <v>112814793.50297916</v>
      </c>
      <c r="DR93" s="269">
        <f>'Detailed Budget'!$AC$181</f>
        <v>50888946855.375237</v>
      </c>
      <c r="DS93" s="269">
        <f t="shared" si="317"/>
        <v>141455941.59034917</v>
      </c>
      <c r="DT93" s="269">
        <f t="shared" si="318"/>
        <v>254270735.09332833</v>
      </c>
      <c r="DU93" s="272">
        <f>'Detailed Budget'!$AC$192</f>
        <v>77498869683.252869</v>
      </c>
      <c r="DV93" s="269">
        <f t="shared" si="288"/>
        <v>0</v>
      </c>
      <c r="DW93" s="140">
        <f>'Detailed Budget'!$AC$194</f>
        <v>2684962805.4134097</v>
      </c>
      <c r="DX93" s="269">
        <f t="shared" si="289"/>
        <v>0</v>
      </c>
      <c r="DY93" s="607">
        <f t="shared" si="239"/>
        <v>0</v>
      </c>
      <c r="DZ93" s="196">
        <f>'Detailed Budget'!$AC$198</f>
        <v>18732540018.380611</v>
      </c>
      <c r="EA93" s="269">
        <f t="shared" si="290"/>
        <v>30464764.199166831</v>
      </c>
      <c r="EB93" s="196">
        <f>'Detailed Budget'!$AC$200</f>
        <v>4683135004.5951529</v>
      </c>
      <c r="EC93" s="269">
        <f t="shared" si="291"/>
        <v>7616191.0497917077</v>
      </c>
      <c r="ED93" s="269">
        <f t="shared" si="240"/>
        <v>38080955.248958535</v>
      </c>
      <c r="EE93" s="196">
        <f>'Detailed Budget'!$AC$161</f>
        <v>251147290106.36197</v>
      </c>
      <c r="EF93" s="269">
        <f t="shared" si="292"/>
        <v>322320352.91662008</v>
      </c>
      <c r="EG93" s="196">
        <f>'Detailed Budget'!$AC$163</f>
        <v>15696705631.647623</v>
      </c>
      <c r="EH93" s="269">
        <f t="shared" si="293"/>
        <v>20145022.057288755</v>
      </c>
      <c r="EI93" s="269">
        <f t="shared" si="241"/>
        <v>342465374.97390884</v>
      </c>
      <c r="EJ93" s="196">
        <f>'Detailed Budget'!$AC$204</f>
        <v>45012172507.531975</v>
      </c>
      <c r="EK93" s="269">
        <f t="shared" si="294"/>
        <v>55035535.923433684</v>
      </c>
      <c r="EL93" s="201">
        <f>'Detailed Budget'!$AC$206</f>
        <v>11253043126.882994</v>
      </c>
      <c r="EM93" s="269">
        <f t="shared" si="295"/>
        <v>13758883.980858421</v>
      </c>
      <c r="EN93" s="269">
        <f t="shared" si="242"/>
        <v>68794419.904292107</v>
      </c>
      <c r="EO93" s="140">
        <f>'Detailed Budget'!$AC$209</f>
        <v>135789361677.54817</v>
      </c>
      <c r="EP93" s="269">
        <f t="shared" si="296"/>
        <v>96007880.408146739</v>
      </c>
      <c r="EQ93" s="196">
        <f>'Detailed Budget'!$AC$211</f>
        <v>33947340419.387043</v>
      </c>
      <c r="ER93" s="269">
        <f t="shared" si="297"/>
        <v>24001970.102036685</v>
      </c>
      <c r="ES93" s="269">
        <f t="shared" si="243"/>
        <v>120009850.51018342</v>
      </c>
      <c r="ET93" s="196">
        <f>'Detailed Budget'!$AC$214</f>
        <v>22239745544.201103</v>
      </c>
      <c r="EU93" s="269">
        <f t="shared" si="298"/>
        <v>15270814.660241263</v>
      </c>
      <c r="EV93" s="140">
        <f>'Detailed Budget'!$AC$217</f>
        <v>5559936386.0502758</v>
      </c>
      <c r="EW93" s="269">
        <f t="shared" si="299"/>
        <v>3817703.6650603157</v>
      </c>
      <c r="EX93" s="269">
        <f t="shared" si="244"/>
        <v>19088518.32530158</v>
      </c>
      <c r="EY93" s="196">
        <f>'Detailed Budget'!$AC$219</f>
        <v>372777004.58170313</v>
      </c>
      <c r="EZ93" s="269">
        <f t="shared" si="300"/>
        <v>267965.86903395591</v>
      </c>
      <c r="FA93" s="196">
        <f>'Detailed Budget'!$AC$222</f>
        <v>93194251.145425782</v>
      </c>
      <c r="FB93" s="269">
        <f t="shared" si="301"/>
        <v>66991.467258488978</v>
      </c>
      <c r="FC93" s="269">
        <f t="shared" si="245"/>
        <v>334957.3362924449</v>
      </c>
      <c r="FD93" s="269"/>
      <c r="FE93" s="269">
        <f t="shared" si="246"/>
        <v>208227746.07606956</v>
      </c>
      <c r="FF93" s="140">
        <f>'Detailed Budget'!$AC$165</f>
        <v>14927760000</v>
      </c>
      <c r="FG93" s="1087">
        <f t="shared" si="259"/>
        <v>284036429.04466224</v>
      </c>
      <c r="FH93" s="269">
        <f t="shared" si="302"/>
        <v>23746010.68060448</v>
      </c>
      <c r="FJ93" s="140">
        <f>'Detailed Budget'!$AC$235</f>
        <v>3623696172</v>
      </c>
      <c r="FK93" s="269">
        <f t="shared" si="303"/>
        <v>4681778</v>
      </c>
      <c r="FL93" s="269">
        <f t="shared" si="260"/>
        <v>4681778</v>
      </c>
      <c r="FO93" s="607"/>
      <c r="FP93" s="607"/>
      <c r="FQ93" s="607"/>
      <c r="FR93" s="269">
        <f>'Detailed Budget'!$AC$257</f>
        <v>13636439388</v>
      </c>
      <c r="FS93" s="269">
        <f t="shared" si="304"/>
        <v>46968792</v>
      </c>
      <c r="FT93" s="269">
        <f t="shared" si="261"/>
        <v>46968792</v>
      </c>
      <c r="FU93" s="269"/>
      <c r="FV93" s="269"/>
      <c r="FW93" s="616"/>
      <c r="FX93" s="140">
        <f>'Detailed Budget'!$AC$278</f>
        <v>1114560000</v>
      </c>
      <c r="FY93" s="269">
        <f t="shared" si="305"/>
        <v>1440000</v>
      </c>
      <c r="FZ93" s="269">
        <f t="shared" si="262"/>
        <v>1440000</v>
      </c>
      <c r="GB93" s="269">
        <f t="shared" si="271"/>
        <v>2376277198.1522932</v>
      </c>
      <c r="GC93" s="887">
        <f t="shared" si="247"/>
        <v>1485173.2488451833</v>
      </c>
      <c r="GD93" s="1078">
        <f t="shared" si="272"/>
        <v>1.3334039627206007E-3</v>
      </c>
    </row>
    <row r="94" spans="1:186" hidden="1" outlineLevel="1">
      <c r="A94" s="211" t="s">
        <v>372</v>
      </c>
      <c r="B94" s="212" t="s">
        <v>373</v>
      </c>
      <c r="C94" s="213" t="s">
        <v>215</v>
      </c>
      <c r="D94" s="214" t="s">
        <v>215</v>
      </c>
      <c r="E94" s="213"/>
      <c r="F94" s="213"/>
      <c r="G94" s="213"/>
      <c r="H94" s="213" t="s">
        <v>215</v>
      </c>
      <c r="I94" s="214" t="s">
        <v>215</v>
      </c>
      <c r="J94" s="214"/>
      <c r="K94" s="213" t="s">
        <v>215</v>
      </c>
      <c r="L94" s="213"/>
      <c r="M94" s="214"/>
      <c r="N94" s="213"/>
      <c r="O94" s="214"/>
      <c r="P94" s="213"/>
      <c r="Q94" s="214"/>
      <c r="R94" s="214" t="s">
        <v>215</v>
      </c>
      <c r="S94" s="214"/>
      <c r="T94" s="214"/>
      <c r="U94" s="215">
        <f t="shared" si="306"/>
        <v>6</v>
      </c>
      <c r="V94" s="845" t="s">
        <v>219</v>
      </c>
      <c r="W94" s="216">
        <v>148977</v>
      </c>
      <c r="X94" s="217">
        <v>3.05</v>
      </c>
      <c r="Y94" s="218">
        <f t="shared" si="277"/>
        <v>1.0305</v>
      </c>
      <c r="Z94" s="196">
        <v>19</v>
      </c>
      <c r="AA94" s="218">
        <f t="shared" si="184"/>
        <v>1.7697500211431931</v>
      </c>
      <c r="AB94" s="196">
        <f t="shared" si="274"/>
        <v>263652.04889984947</v>
      </c>
      <c r="AC94">
        <v>19.100000000000001</v>
      </c>
      <c r="AD94" s="196">
        <f t="shared" si="275"/>
        <v>50357.541339871248</v>
      </c>
      <c r="AE94" s="196">
        <f t="shared" si="280"/>
        <v>47839.664272877686</v>
      </c>
      <c r="AF94" s="196">
        <f t="shared" si="307"/>
        <v>47839.664272877686</v>
      </c>
      <c r="AG94" s="606">
        <f t="shared" si="250"/>
        <v>2.2118960559164998E-3</v>
      </c>
      <c r="AH94" s="196">
        <f t="shared" si="319"/>
        <v>13182.602444992473</v>
      </c>
      <c r="AI94" s="248">
        <f t="shared" si="216"/>
        <v>1.0212362378199185E-3</v>
      </c>
      <c r="AJ94" s="196">
        <f t="shared" si="228"/>
        <v>63540.143784863722</v>
      </c>
      <c r="AK94" s="196">
        <f t="shared" si="278"/>
        <v>10546.081955993979</v>
      </c>
      <c r="AL94" s="196">
        <f t="shared" si="279"/>
        <v>10546.081955993979</v>
      </c>
      <c r="AM94" s="196">
        <f t="shared" si="229"/>
        <v>21092.163911987958</v>
      </c>
      <c r="AN94" s="627">
        <f t="shared" si="230"/>
        <v>1.0212362378199185E-3</v>
      </c>
      <c r="AO94" s="196">
        <f t="shared" si="231"/>
        <v>10018.77785819428</v>
      </c>
      <c r="AP94" s="589">
        <f t="shared" si="251"/>
        <v>1.0212362378199187E-3</v>
      </c>
      <c r="AQ94" s="196"/>
      <c r="AR94" s="589"/>
      <c r="AS94">
        <v>1</v>
      </c>
      <c r="AT94" s="589">
        <f t="shared" si="252"/>
        <v>1.2919896640826874E-3</v>
      </c>
      <c r="AU94" s="196">
        <v>10</v>
      </c>
      <c r="AV94" s="245">
        <f t="shared" si="232"/>
        <v>1.1362345188046814E-3</v>
      </c>
      <c r="AX94" s="245"/>
      <c r="AY94" s="245"/>
      <c r="AZ94" s="196">
        <v>57</v>
      </c>
      <c r="BA94" s="589">
        <f t="shared" si="265"/>
        <v>2.088600637572826E-3</v>
      </c>
      <c r="BB94" s="196">
        <v>1</v>
      </c>
      <c r="BI94" s="196">
        <v>1</v>
      </c>
      <c r="BJ94" s="196">
        <f t="shared" si="308"/>
        <v>146473.35164509472</v>
      </c>
      <c r="BK94" s="246">
        <f t="shared" si="266"/>
        <v>2.7931584429085284E-3</v>
      </c>
      <c r="BL94" s="196">
        <f t="shared" si="320"/>
        <v>2929.4670329018945</v>
      </c>
      <c r="BM94" s="246">
        <f t="shared" si="267"/>
        <v>2.7931581233254874E-3</v>
      </c>
      <c r="BN94" s="196">
        <v>0</v>
      </c>
      <c r="BO94" s="196">
        <f t="shared" si="309"/>
        <v>21597.534813206872</v>
      </c>
      <c r="BP94" s="196">
        <f t="shared" si="233"/>
        <v>0</v>
      </c>
      <c r="BQ94" s="248">
        <f t="shared" si="268"/>
        <v>0</v>
      </c>
      <c r="BR94" s="248"/>
      <c r="BS94" s="248"/>
      <c r="BT94" s="276">
        <v>1</v>
      </c>
      <c r="BU94" s="196">
        <f t="shared" si="321"/>
        <v>39883.17274117803</v>
      </c>
      <c r="BV94" s="264">
        <f t="shared" si="269"/>
        <v>2.7663724063110187E-3</v>
      </c>
      <c r="BW94" s="196">
        <f t="shared" si="322"/>
        <v>170611.35005948378</v>
      </c>
      <c r="BX94" s="247">
        <f t="shared" si="270"/>
        <v>2.7663724312306072E-3</v>
      </c>
      <c r="BY94" s="196">
        <f t="shared" si="276"/>
        <v>210494.5228006618</v>
      </c>
      <c r="BZ94" s="620">
        <v>0</v>
      </c>
      <c r="CA94" s="196">
        <f t="shared" si="282"/>
        <v>80677.526963353943</v>
      </c>
      <c r="CB94" s="196">
        <f t="shared" si="283"/>
        <v>161355.05392670789</v>
      </c>
      <c r="CC94" s="196">
        <f t="shared" si="248"/>
        <v>242032.58089006183</v>
      </c>
      <c r="CD94" s="247">
        <f t="shared" si="236"/>
        <v>1.0212362378199187E-3</v>
      </c>
      <c r="CE94" s="196">
        <f t="shared" si="310"/>
        <v>29967.755692361286</v>
      </c>
      <c r="CF94" s="247">
        <f t="shared" si="237"/>
        <v>1.2941008888880999E-3</v>
      </c>
      <c r="CG94" s="196">
        <f t="shared" si="284"/>
        <v>40075.111432777121</v>
      </c>
      <c r="CH94" s="589">
        <f t="shared" si="253"/>
        <v>1.0212362378199187E-3</v>
      </c>
      <c r="CI94" s="196">
        <f t="shared" si="311"/>
        <v>59180.477193172665</v>
      </c>
      <c r="CJ94" s="248">
        <f t="shared" si="254"/>
        <v>9.7292689483584609E-4</v>
      </c>
      <c r="CK94" s="196">
        <f t="shared" si="312"/>
        <v>39137.587443235388</v>
      </c>
      <c r="CL94" s="589">
        <f t="shared" si="255"/>
        <v>5.6261086975479136E-4</v>
      </c>
      <c r="CM94" s="196">
        <f t="shared" si="313"/>
        <v>3791.4134387803824</v>
      </c>
      <c r="CN94" s="589">
        <f t="shared" si="256"/>
        <v>5.463857646189281E-4</v>
      </c>
      <c r="CO94" s="196">
        <f t="shared" si="314"/>
        <v>303.31307510243062</v>
      </c>
      <c r="CP94" s="589">
        <f t="shared" si="257"/>
        <v>5.7200174082900018E-4</v>
      </c>
      <c r="CQ94" s="196">
        <f>'Detailed Budget'!$AC$12</f>
        <v>292876014141.44696</v>
      </c>
      <c r="CR94" s="269">
        <f t="shared" si="263"/>
        <v>818049111.62458014</v>
      </c>
      <c r="CS94" s="269">
        <f>'Detailed Budget'!$AC$16</f>
        <v>10488008800.000002</v>
      </c>
      <c r="CT94" s="607">
        <f t="shared" si="285"/>
        <v>29294666.977229204</v>
      </c>
      <c r="CU94" s="269">
        <f>'Detailed Budget'!$AC$24</f>
        <v>30624985696</v>
      </c>
      <c r="CV94" s="269">
        <f t="shared" si="264"/>
        <v>85540437.360735312</v>
      </c>
      <c r="CW94" s="269"/>
      <c r="CX94" s="269">
        <f t="shared" si="249"/>
        <v>932884215.96254468</v>
      </c>
      <c r="CY94" s="196">
        <f>'Detailed Budget'!$AC$97</f>
        <v>74629165494.837845</v>
      </c>
      <c r="CZ94" s="269">
        <f t="shared" si="286"/>
        <v>0</v>
      </c>
      <c r="DA94" s="269">
        <f>'Detailed Budget'!$AC$100</f>
        <v>14925833098.967569</v>
      </c>
      <c r="DB94" s="269">
        <f t="shared" si="287"/>
        <v>0</v>
      </c>
      <c r="DC94" s="269">
        <f t="shared" si="238"/>
        <v>0</v>
      </c>
      <c r="DD94" s="207">
        <v>0</v>
      </c>
      <c r="DE94" s="606">
        <v>0</v>
      </c>
      <c r="DF94" s="269">
        <f>'Detailed Budget'!$AC$147</f>
        <v>5913600671000</v>
      </c>
      <c r="DG94" s="269">
        <f t="shared" si="258"/>
        <v>0</v>
      </c>
      <c r="DH94" s="269">
        <f>'Detailed Budget'!$AC$153</f>
        <v>226428026880.00003</v>
      </c>
      <c r="DI94" s="269"/>
      <c r="DJ94" s="269">
        <f>'Detailed Budget'!$AC$156</f>
        <v>27713070000</v>
      </c>
      <c r="DK94" s="269"/>
      <c r="DL94" s="269"/>
      <c r="DM94" s="196">
        <f>'Detailed Budget'!$AC$178</f>
        <v>5622683761.6229038</v>
      </c>
      <c r="DN94" s="269">
        <f t="shared" si="315"/>
        <v>15554437.207566643</v>
      </c>
      <c r="DO94" s="196">
        <f>'Detailed Budget'!$AC$179</f>
        <v>26827890683.128094</v>
      </c>
      <c r="DP94" s="269">
        <f t="shared" si="316"/>
        <v>74215937.173874021</v>
      </c>
      <c r="DQ94" s="269">
        <f t="shared" si="273"/>
        <v>89770374.381440669</v>
      </c>
      <c r="DR94" s="269">
        <f>'Detailed Budget'!$AC$181</f>
        <v>50888946855.375237</v>
      </c>
      <c r="DS94" s="269">
        <f t="shared" si="317"/>
        <v>112561060.83914885</v>
      </c>
      <c r="DT94" s="269">
        <f t="shared" si="318"/>
        <v>202331435.22058952</v>
      </c>
      <c r="DU94" s="272">
        <f>'Detailed Budget'!$AC$192</f>
        <v>77498869683.252869</v>
      </c>
      <c r="DV94" s="269">
        <f t="shared" si="288"/>
        <v>0</v>
      </c>
      <c r="DW94" s="140">
        <f>'Detailed Budget'!$AC$194</f>
        <v>2684962805.4134097</v>
      </c>
      <c r="DX94" s="269">
        <f t="shared" si="289"/>
        <v>0</v>
      </c>
      <c r="DY94" s="607">
        <f t="shared" si="239"/>
        <v>0</v>
      </c>
      <c r="DZ94" s="196">
        <f>'Detailed Budget'!$AC$198</f>
        <v>18732540018.380611</v>
      </c>
      <c r="EA94" s="269">
        <f t="shared" si="290"/>
        <v>24241796.688918252</v>
      </c>
      <c r="EB94" s="196">
        <f>'Detailed Budget'!$AC$200</f>
        <v>4683135004.5951529</v>
      </c>
      <c r="EC94" s="269">
        <f t="shared" si="291"/>
        <v>6060449.1722295629</v>
      </c>
      <c r="ED94" s="269">
        <f t="shared" si="240"/>
        <v>30302245.861147813</v>
      </c>
      <c r="EE94" s="196">
        <f>'Detailed Budget'!$AC$161</f>
        <v>251147290106.36197</v>
      </c>
      <c r="EF94" s="269">
        <f t="shared" si="292"/>
        <v>256480713.68688878</v>
      </c>
      <c r="EG94" s="196">
        <f>'Detailed Budget'!$AC$163</f>
        <v>15696705631.647623</v>
      </c>
      <c r="EH94" s="269">
        <f t="shared" si="293"/>
        <v>16030044.605430549</v>
      </c>
      <c r="EI94" s="269">
        <f t="shared" si="241"/>
        <v>272510758.29231936</v>
      </c>
      <c r="EJ94" s="196">
        <f>'Detailed Budget'!$AC$204</f>
        <v>45012172507.531975</v>
      </c>
      <c r="EK94" s="269">
        <f t="shared" si="294"/>
        <v>43793553.227568522</v>
      </c>
      <c r="EL94" s="201">
        <f>'Detailed Budget'!$AC$206</f>
        <v>11253043126.882994</v>
      </c>
      <c r="EM94" s="269">
        <f t="shared" si="295"/>
        <v>10948388.306892131</v>
      </c>
      <c r="EN94" s="269">
        <f t="shared" si="242"/>
        <v>54741941.534460649</v>
      </c>
      <c r="EO94" s="140">
        <f>'Detailed Budget'!$AC$209</f>
        <v>135789361677.54817</v>
      </c>
      <c r="EP94" s="269">
        <f t="shared" si="296"/>
        <v>76396570.876853317</v>
      </c>
      <c r="EQ94" s="196">
        <f>'Detailed Budget'!$AC$211</f>
        <v>33947340419.387043</v>
      </c>
      <c r="ER94" s="269">
        <f t="shared" si="297"/>
        <v>19099142.719213329</v>
      </c>
      <c r="ES94" s="269">
        <f t="shared" si="243"/>
        <v>95495713.596066654</v>
      </c>
      <c r="ET94" s="196">
        <f>'Detailed Budget'!$AC$214</f>
        <v>22239745544.201103</v>
      </c>
      <c r="EU94" s="269">
        <f t="shared" si="298"/>
        <v>12151480.374098718</v>
      </c>
      <c r="EV94" s="140">
        <f>'Detailed Budget'!$AC$217</f>
        <v>5559936386.0502758</v>
      </c>
      <c r="EW94" s="269">
        <f t="shared" si="299"/>
        <v>3037870.0935246795</v>
      </c>
      <c r="EX94" s="269">
        <f t="shared" si="244"/>
        <v>15189350.467623398</v>
      </c>
      <c r="EY94" s="196">
        <f>'Detailed Budget'!$AC$219</f>
        <v>372777004.58170313</v>
      </c>
      <c r="EZ94" s="269">
        <f t="shared" si="300"/>
        <v>213229.09556175437</v>
      </c>
      <c r="FA94" s="196">
        <f>'Detailed Budget'!$AC$222</f>
        <v>93194251.145425782</v>
      </c>
      <c r="FB94" s="269">
        <f t="shared" si="301"/>
        <v>53307.273890438591</v>
      </c>
      <c r="FC94" s="269">
        <f t="shared" si="245"/>
        <v>266536.36945219297</v>
      </c>
      <c r="FD94" s="269"/>
      <c r="FE94" s="269">
        <f t="shared" si="246"/>
        <v>165693541.96760291</v>
      </c>
      <c r="FF94" s="140">
        <f>'Detailed Budget'!$AC$165</f>
        <v>14927760000</v>
      </c>
      <c r="FG94" s="1087">
        <f t="shared" si="259"/>
        <v>226016959.13784131</v>
      </c>
      <c r="FH94" s="269">
        <f t="shared" si="302"/>
        <v>16961436.200431772</v>
      </c>
      <c r="FJ94" s="140">
        <f>'Detailed Budget'!$AC$235</f>
        <v>3623696172</v>
      </c>
      <c r="FK94" s="269">
        <f t="shared" si="303"/>
        <v>4681778</v>
      </c>
      <c r="FL94" s="269">
        <f t="shared" si="260"/>
        <v>4681778</v>
      </c>
      <c r="FO94" s="607"/>
      <c r="FP94" s="607"/>
      <c r="FQ94" s="607"/>
      <c r="FR94" s="269">
        <f>'Detailed Budget'!$AC$257</f>
        <v>13636439388</v>
      </c>
      <c r="FS94" s="269">
        <f t="shared" si="304"/>
        <v>28481075.999999996</v>
      </c>
      <c r="FT94" s="269">
        <f t="shared" si="261"/>
        <v>28481075.999999996</v>
      </c>
      <c r="FU94" s="269"/>
      <c r="FV94" s="269"/>
      <c r="FW94" s="616"/>
      <c r="FX94" s="140">
        <f>'Detailed Budget'!$AC$278</f>
        <v>1114560000</v>
      </c>
      <c r="FY94" s="269">
        <f t="shared" si="305"/>
        <v>1440000</v>
      </c>
      <c r="FZ94" s="269">
        <f t="shared" si="262"/>
        <v>1440000</v>
      </c>
      <c r="GB94" s="269">
        <f t="shared" si="271"/>
        <v>1881303446.6424773</v>
      </c>
      <c r="GC94" s="887">
        <f t="shared" si="247"/>
        <v>1175814.6541515484</v>
      </c>
      <c r="GD94" s="1078">
        <f t="shared" si="272"/>
        <v>1.0556586044690201E-3</v>
      </c>
    </row>
    <row r="95" spans="1:186" hidden="1" outlineLevel="1">
      <c r="A95" s="211" t="s">
        <v>374</v>
      </c>
      <c r="B95" s="212" t="s">
        <v>375</v>
      </c>
      <c r="C95" s="213" t="s">
        <v>215</v>
      </c>
      <c r="D95" s="214" t="s">
        <v>215</v>
      </c>
      <c r="E95" s="213"/>
      <c r="F95" s="213"/>
      <c r="G95" s="213"/>
      <c r="H95" s="213" t="s">
        <v>215</v>
      </c>
      <c r="I95" s="214" t="s">
        <v>215</v>
      </c>
      <c r="J95" s="214"/>
      <c r="K95" s="213"/>
      <c r="L95" s="213"/>
      <c r="M95" s="214" t="s">
        <v>215</v>
      </c>
      <c r="N95" s="213"/>
      <c r="O95" s="214"/>
      <c r="P95" s="213"/>
      <c r="Q95" s="214"/>
      <c r="R95" s="214" t="s">
        <v>215</v>
      </c>
      <c r="S95" s="214"/>
      <c r="T95" s="214"/>
      <c r="U95" s="215">
        <f t="shared" si="306"/>
        <v>6</v>
      </c>
      <c r="V95" s="845" t="s">
        <v>219</v>
      </c>
      <c r="W95" s="216">
        <v>119051</v>
      </c>
      <c r="X95" s="217">
        <v>3.05</v>
      </c>
      <c r="Y95" s="218">
        <f t="shared" si="277"/>
        <v>1.0305</v>
      </c>
      <c r="Z95" s="196">
        <v>19</v>
      </c>
      <c r="AA95" s="218">
        <f t="shared" si="184"/>
        <v>1.7697500211431931</v>
      </c>
      <c r="AB95" s="196">
        <f t="shared" si="274"/>
        <v>210690.50976711829</v>
      </c>
      <c r="AC95">
        <v>19.100000000000001</v>
      </c>
      <c r="AD95" s="196">
        <f t="shared" si="275"/>
        <v>40241.887365519593</v>
      </c>
      <c r="AE95" s="196">
        <f t="shared" si="280"/>
        <v>38229.79299724361</v>
      </c>
      <c r="AF95" s="196">
        <f t="shared" si="307"/>
        <v>38229.79299724361</v>
      </c>
      <c r="AG95" s="606">
        <f t="shared" si="250"/>
        <v>1.7675777962565713E-3</v>
      </c>
      <c r="AH95" s="196">
        <f t="shared" si="319"/>
        <v>10534.525488355916</v>
      </c>
      <c r="AI95" s="248">
        <f t="shared" si="216"/>
        <v>8.1609372821777281E-4</v>
      </c>
      <c r="AJ95" s="196">
        <f t="shared" si="228"/>
        <v>50776.41285387551</v>
      </c>
      <c r="AK95" s="196">
        <f t="shared" si="278"/>
        <v>8427.6203906847313</v>
      </c>
      <c r="AL95" s="196">
        <f t="shared" si="279"/>
        <v>8427.6203906847313</v>
      </c>
      <c r="AM95" s="196">
        <f t="shared" si="229"/>
        <v>16855.240781369463</v>
      </c>
      <c r="AN95" s="627">
        <f t="shared" si="230"/>
        <v>8.1609372821777281E-4</v>
      </c>
      <c r="AO95" s="196">
        <f t="shared" si="231"/>
        <v>8006.2393711504947</v>
      </c>
      <c r="AP95" s="589">
        <f t="shared" si="251"/>
        <v>8.160937282177727E-4</v>
      </c>
      <c r="AQ95" s="196"/>
      <c r="AR95" s="589"/>
      <c r="AS95">
        <v>1</v>
      </c>
      <c r="AT95" s="589">
        <f t="shared" si="252"/>
        <v>1.2919896640826874E-3</v>
      </c>
      <c r="AU95" s="196">
        <v>12</v>
      </c>
      <c r="AV95" s="245">
        <f t="shared" si="232"/>
        <v>1.3634814225656176E-3</v>
      </c>
      <c r="AX95" s="245"/>
      <c r="AY95" s="245"/>
      <c r="AZ95" s="196">
        <v>61</v>
      </c>
      <c r="BA95" s="589">
        <f t="shared" si="265"/>
        <v>2.2351691033674105E-3</v>
      </c>
      <c r="BB95" s="196">
        <v>2</v>
      </c>
      <c r="BI95" s="196">
        <v>1</v>
      </c>
      <c r="BJ95" s="196">
        <f t="shared" si="308"/>
        <v>117050.27612785982</v>
      </c>
      <c r="BK95" s="246">
        <f t="shared" si="266"/>
        <v>2.2320781448592953E-3</v>
      </c>
      <c r="BL95" s="196">
        <f t="shared" si="320"/>
        <v>2341.0055225571964</v>
      </c>
      <c r="BM95" s="246">
        <f t="shared" si="267"/>
        <v>2.2320778894730233E-3</v>
      </c>
      <c r="BN95" s="196">
        <v>0</v>
      </c>
      <c r="BO95" s="196">
        <f t="shared" si="309"/>
        <v>17259.094471274708</v>
      </c>
      <c r="BP95" s="196">
        <f t="shared" si="233"/>
        <v>0</v>
      </c>
      <c r="BQ95" s="248">
        <f t="shared" si="268"/>
        <v>0</v>
      </c>
      <c r="BR95" s="248"/>
      <c r="BS95" s="248"/>
      <c r="BT95" s="276">
        <v>1</v>
      </c>
      <c r="BU95" s="196">
        <f t="shared" si="321"/>
        <v>31871.57479349152</v>
      </c>
      <c r="BV95" s="264">
        <f t="shared" si="269"/>
        <v>2.2106727974367394E-3</v>
      </c>
      <c r="BW95" s="196">
        <f t="shared" si="322"/>
        <v>136339.51439438041</v>
      </c>
      <c r="BX95" s="247">
        <f t="shared" si="270"/>
        <v>2.2106728173505652E-3</v>
      </c>
      <c r="BY95" s="196">
        <f t="shared" si="276"/>
        <v>168211.08918787193</v>
      </c>
      <c r="BZ95" s="620">
        <v>0</v>
      </c>
      <c r="CA95" s="196">
        <f t="shared" si="282"/>
        <v>64471.295988738195</v>
      </c>
      <c r="CB95" s="196">
        <f t="shared" si="283"/>
        <v>128942.59197747639</v>
      </c>
      <c r="CC95" s="196">
        <f t="shared" si="248"/>
        <v>193413.88796621459</v>
      </c>
      <c r="CD95" s="247">
        <f t="shared" si="236"/>
        <v>8.1609372821777281E-4</v>
      </c>
      <c r="CE95" s="196">
        <f t="shared" si="310"/>
        <v>23947.933459066193</v>
      </c>
      <c r="CF95" s="247">
        <f t="shared" si="237"/>
        <v>1.0341462435343525E-3</v>
      </c>
      <c r="CG95" s="196">
        <f t="shared" si="284"/>
        <v>32024.957484601979</v>
      </c>
      <c r="CH95" s="589">
        <f t="shared" si="253"/>
        <v>8.160937282177727E-4</v>
      </c>
      <c r="CI95" s="196">
        <f t="shared" si="311"/>
        <v>47292.501462134416</v>
      </c>
      <c r="CJ95" s="248">
        <f t="shared" si="254"/>
        <v>7.774886039932493E-4</v>
      </c>
      <c r="CK95" s="196">
        <f t="shared" si="312"/>
        <v>31275.760169050362</v>
      </c>
      <c r="CL95" s="589">
        <f t="shared" si="255"/>
        <v>4.4959548557950321E-4</v>
      </c>
      <c r="CM95" s="196">
        <f t="shared" si="313"/>
        <v>3029.8070259183855</v>
      </c>
      <c r="CN95" s="589">
        <f t="shared" si="256"/>
        <v>4.366296251344034E-4</v>
      </c>
      <c r="CO95" s="196">
        <f t="shared" si="314"/>
        <v>242.38456207347085</v>
      </c>
      <c r="CP95" s="589">
        <f t="shared" si="257"/>
        <v>4.5709994997505184E-4</v>
      </c>
      <c r="CQ95" s="196">
        <f>'Detailed Budget'!$AC$12</f>
        <v>292876014141.44696</v>
      </c>
      <c r="CR95" s="269">
        <f t="shared" si="263"/>
        <v>653722150.31862569</v>
      </c>
      <c r="CS95" s="269">
        <f>'Detailed Budget'!$AC$16</f>
        <v>10488008800.000002</v>
      </c>
      <c r="CT95" s="607">
        <f t="shared" si="285"/>
        <v>23410052.547078501</v>
      </c>
      <c r="CU95" s="269">
        <f>'Detailed Budget'!$AC$24</f>
        <v>30624985696</v>
      </c>
      <c r="CV95" s="269">
        <f t="shared" si="264"/>
        <v>68357361.258670136</v>
      </c>
      <c r="CW95" s="269"/>
      <c r="CX95" s="269">
        <f t="shared" si="249"/>
        <v>745489564.12437427</v>
      </c>
      <c r="CY95" s="196">
        <f>'Detailed Budget'!$AC$97</f>
        <v>74629165494.837845</v>
      </c>
      <c r="CZ95" s="269">
        <f t="shared" si="286"/>
        <v>0</v>
      </c>
      <c r="DA95" s="269">
        <f>'Detailed Budget'!$AC$100</f>
        <v>14925833098.967569</v>
      </c>
      <c r="DB95" s="269">
        <f t="shared" si="287"/>
        <v>0</v>
      </c>
      <c r="DC95" s="269">
        <f t="shared" si="238"/>
        <v>0</v>
      </c>
      <c r="DD95" s="207">
        <v>0</v>
      </c>
      <c r="DE95" s="606">
        <v>0</v>
      </c>
      <c r="DF95" s="269">
        <f>'Detailed Budget'!$AC$147</f>
        <v>5913600671000</v>
      </c>
      <c r="DG95" s="269">
        <f t="shared" si="258"/>
        <v>0</v>
      </c>
      <c r="DH95" s="269">
        <f>'Detailed Budget'!$AC$153</f>
        <v>226428026880.00003</v>
      </c>
      <c r="DI95" s="269"/>
      <c r="DJ95" s="269">
        <f>'Detailed Budget'!$AC$156</f>
        <v>27713070000</v>
      </c>
      <c r="DK95" s="269"/>
      <c r="DL95" s="269"/>
      <c r="DM95" s="196">
        <f>'Detailed Budget'!$AC$178</f>
        <v>5622683761.6229038</v>
      </c>
      <c r="DN95" s="269">
        <f t="shared" si="315"/>
        <v>12429914.040409034</v>
      </c>
      <c r="DO95" s="196">
        <f>'Detailed Budget'!$AC$179</f>
        <v>26827890683.128094</v>
      </c>
      <c r="DP95" s="269">
        <f t="shared" si="316"/>
        <v>59307688.680043764</v>
      </c>
      <c r="DQ95" s="269">
        <f t="shared" si="273"/>
        <v>71737602.7204528</v>
      </c>
      <c r="DR95" s="269">
        <f>'Detailed Budget'!$AC$181</f>
        <v>50888946855.375237</v>
      </c>
      <c r="DS95" s="269">
        <f t="shared" si="317"/>
        <v>89950172.536441937</v>
      </c>
      <c r="DT95" s="269">
        <f t="shared" si="318"/>
        <v>161687775.25689474</v>
      </c>
      <c r="DU95" s="272">
        <f>'Detailed Budget'!$AC$192</f>
        <v>77498869683.252869</v>
      </c>
      <c r="DV95" s="269">
        <f t="shared" si="288"/>
        <v>0</v>
      </c>
      <c r="DW95" s="140">
        <f>'Detailed Budget'!$AC$194</f>
        <v>2684962805.4134097</v>
      </c>
      <c r="DX95" s="269">
        <f t="shared" si="289"/>
        <v>0</v>
      </c>
      <c r="DY95" s="607">
        <f t="shared" si="239"/>
        <v>0</v>
      </c>
      <c r="DZ95" s="196">
        <f>'Detailed Budget'!$AC$198</f>
        <v>18732540018.380611</v>
      </c>
      <c r="EA95" s="269">
        <f t="shared" si="290"/>
        <v>19372185.891865239</v>
      </c>
      <c r="EB95" s="196">
        <f>'Detailed Budget'!$AC$200</f>
        <v>4683135004.5951529</v>
      </c>
      <c r="EC95" s="269">
        <f t="shared" si="291"/>
        <v>4843046.4729663096</v>
      </c>
      <c r="ED95" s="269">
        <f t="shared" si="240"/>
        <v>24215232.364831548</v>
      </c>
      <c r="EE95" s="196">
        <f>'Detailed Budget'!$AC$161</f>
        <v>251147290106.36197</v>
      </c>
      <c r="EF95" s="269">
        <f t="shared" si="292"/>
        <v>204959728.31469148</v>
      </c>
      <c r="EG95" s="196">
        <f>'Detailed Budget'!$AC$163</f>
        <v>15696705631.647623</v>
      </c>
      <c r="EH95" s="269">
        <f t="shared" si="293"/>
        <v>12809983.019668218</v>
      </c>
      <c r="EI95" s="269">
        <f t="shared" si="241"/>
        <v>217769711.33435971</v>
      </c>
      <c r="EJ95" s="196">
        <f>'Detailed Budget'!$AC$204</f>
        <v>45012172507.531975</v>
      </c>
      <c r="EK95" s="269">
        <f t="shared" si="294"/>
        <v>34996451.165584348</v>
      </c>
      <c r="EL95" s="201">
        <f>'Detailed Budget'!$AC$206</f>
        <v>11253043126.882994</v>
      </c>
      <c r="EM95" s="269">
        <f t="shared" si="295"/>
        <v>8749112.791396087</v>
      </c>
      <c r="EN95" s="269">
        <f t="shared" si="242"/>
        <v>43745563.956980437</v>
      </c>
      <c r="EO95" s="140">
        <f>'Detailed Budget'!$AC$209</f>
        <v>135789361677.54817</v>
      </c>
      <c r="EP95" s="269">
        <f t="shared" si="296"/>
        <v>61050283.999948055</v>
      </c>
      <c r="EQ95" s="196">
        <f>'Detailed Budget'!$AC$211</f>
        <v>33947340419.387043</v>
      </c>
      <c r="ER95" s="269">
        <f t="shared" si="297"/>
        <v>15262570.999987014</v>
      </c>
      <c r="ES95" s="269">
        <f t="shared" si="243"/>
        <v>76312854.999935061</v>
      </c>
      <c r="ET95" s="196">
        <f>'Detailed Budget'!$AC$214</f>
        <v>22239745544.201103</v>
      </c>
      <c r="EU95" s="269">
        <f t="shared" si="298"/>
        <v>9710531.7600490469</v>
      </c>
      <c r="EV95" s="140">
        <f>'Detailed Budget'!$AC$217</f>
        <v>5559936386.0502758</v>
      </c>
      <c r="EW95" s="269">
        <f t="shared" si="299"/>
        <v>2427632.9400122617</v>
      </c>
      <c r="EX95" s="269">
        <f t="shared" si="244"/>
        <v>12138164.700061308</v>
      </c>
      <c r="EY95" s="196">
        <f>'Detailed Budget'!$AC$219</f>
        <v>372777004.58170313</v>
      </c>
      <c r="EZ95" s="269">
        <f t="shared" si="300"/>
        <v>170396.35014614617</v>
      </c>
      <c r="FA95" s="196">
        <f>'Detailed Budget'!$AC$222</f>
        <v>93194251.145425782</v>
      </c>
      <c r="FB95" s="269">
        <f t="shared" si="301"/>
        <v>42599.087536536543</v>
      </c>
      <c r="FC95" s="269">
        <f t="shared" si="245"/>
        <v>212995.43768268271</v>
      </c>
      <c r="FD95" s="269"/>
      <c r="FE95" s="269">
        <f t="shared" si="246"/>
        <v>132409579.09465949</v>
      </c>
      <c r="FF95" s="140">
        <f>'Detailed Budget'!$AC$165</f>
        <v>14927760000</v>
      </c>
      <c r="FG95" s="1087">
        <f t="shared" si="259"/>
        <v>180615430.58538657</v>
      </c>
      <c r="FH95" s="269">
        <f t="shared" si="302"/>
        <v>20353723.440518126</v>
      </c>
      <c r="FJ95" s="140">
        <f>'Detailed Budget'!$AC$235</f>
        <v>3623696172</v>
      </c>
      <c r="FK95" s="269">
        <f t="shared" si="303"/>
        <v>4681778</v>
      </c>
      <c r="FL95" s="269">
        <f t="shared" si="260"/>
        <v>4681778</v>
      </c>
      <c r="FO95" s="607"/>
      <c r="FP95" s="607"/>
      <c r="FQ95" s="607"/>
      <c r="FR95" s="269">
        <f>'Detailed Budget'!$AC$257</f>
        <v>13636439388</v>
      </c>
      <c r="FS95" s="269">
        <f t="shared" si="304"/>
        <v>30479748</v>
      </c>
      <c r="FT95" s="269">
        <f t="shared" si="261"/>
        <v>30479748</v>
      </c>
      <c r="FU95" s="269"/>
      <c r="FV95" s="269"/>
      <c r="FW95" s="616"/>
      <c r="FX95" s="140">
        <f>'Detailed Budget'!$AC$278</f>
        <v>1114560000</v>
      </c>
      <c r="FY95" s="269">
        <f t="shared" si="305"/>
        <v>1440000</v>
      </c>
      <c r="FZ95" s="269">
        <f t="shared" si="262"/>
        <v>1440000</v>
      </c>
      <c r="GB95" s="269">
        <f t="shared" si="271"/>
        <v>1519142542.2010245</v>
      </c>
      <c r="GC95" s="887">
        <f t="shared" si="247"/>
        <v>949464.0888756403</v>
      </c>
      <c r="GD95" s="1078">
        <f t="shared" si="272"/>
        <v>8.5243871686491374E-4</v>
      </c>
    </row>
    <row r="96" spans="1:186" hidden="1" outlineLevel="1">
      <c r="A96" s="211" t="s">
        <v>376</v>
      </c>
      <c r="B96" s="212" t="s">
        <v>377</v>
      </c>
      <c r="C96" s="213" t="s">
        <v>215</v>
      </c>
      <c r="D96" s="214" t="s">
        <v>215</v>
      </c>
      <c r="E96" s="213"/>
      <c r="F96" s="213"/>
      <c r="G96" s="213"/>
      <c r="H96" s="213" t="s">
        <v>215</v>
      </c>
      <c r="I96" s="214" t="s">
        <v>215</v>
      </c>
      <c r="J96" s="214"/>
      <c r="K96" s="213" t="s">
        <v>215</v>
      </c>
      <c r="L96" s="213"/>
      <c r="M96" s="214"/>
      <c r="N96" s="213"/>
      <c r="O96" s="214"/>
      <c r="P96" s="213"/>
      <c r="Q96" s="214"/>
      <c r="R96" s="214" t="s">
        <v>215</v>
      </c>
      <c r="S96" s="214"/>
      <c r="T96" s="214"/>
      <c r="U96" s="215">
        <f t="shared" si="306"/>
        <v>6</v>
      </c>
      <c r="V96" s="845" t="s">
        <v>219</v>
      </c>
      <c r="W96" s="216">
        <v>72687</v>
      </c>
      <c r="X96" s="217">
        <v>3.05</v>
      </c>
      <c r="Y96" s="218">
        <f t="shared" si="277"/>
        <v>1.0305</v>
      </c>
      <c r="Z96" s="196">
        <v>19</v>
      </c>
      <c r="AA96" s="218">
        <f t="shared" si="184"/>
        <v>1.7697500211431931</v>
      </c>
      <c r="AB96" s="196">
        <f t="shared" si="274"/>
        <v>128637.81978683527</v>
      </c>
      <c r="AC96">
        <v>19.100000000000001</v>
      </c>
      <c r="AD96" s="196">
        <f t="shared" si="275"/>
        <v>24569.823579285541</v>
      </c>
      <c r="AE96" s="196">
        <f t="shared" si="280"/>
        <v>23341.332400321262</v>
      </c>
      <c r="AF96" s="196">
        <f t="shared" si="307"/>
        <v>23341.332400321262</v>
      </c>
      <c r="AG96" s="606">
        <f t="shared" si="250"/>
        <v>1.0792007398216009E-3</v>
      </c>
      <c r="AH96" s="196">
        <f t="shared" si="319"/>
        <v>6431.890989341764</v>
      </c>
      <c r="AI96" s="248">
        <f t="shared" si="216"/>
        <v>4.9826884967757727E-4</v>
      </c>
      <c r="AJ96" s="196">
        <f t="shared" si="228"/>
        <v>31001.714568627307</v>
      </c>
      <c r="AK96" s="196">
        <f t="shared" si="278"/>
        <v>5145.5127914734112</v>
      </c>
      <c r="AL96" s="196">
        <f t="shared" si="279"/>
        <v>5145.5127914734112</v>
      </c>
      <c r="AM96" s="196">
        <f t="shared" si="229"/>
        <v>10291.025582946822</v>
      </c>
      <c r="AN96" s="627">
        <f t="shared" si="230"/>
        <v>4.9826884967757727E-4</v>
      </c>
      <c r="AO96" s="196">
        <f t="shared" si="231"/>
        <v>4888.2371518997406</v>
      </c>
      <c r="AP96" s="589">
        <f t="shared" si="251"/>
        <v>4.9826884967757727E-4</v>
      </c>
      <c r="AQ96" s="196"/>
      <c r="AR96" s="589"/>
      <c r="AS96">
        <v>1</v>
      </c>
      <c r="AT96" s="589">
        <f t="shared" si="252"/>
        <v>1.2919896640826874E-3</v>
      </c>
      <c r="AU96" s="196">
        <v>10</v>
      </c>
      <c r="AV96" s="245">
        <f t="shared" si="232"/>
        <v>1.1362345188046814E-3</v>
      </c>
      <c r="AX96" s="245"/>
      <c r="AY96" s="245"/>
      <c r="AZ96" s="196">
        <v>56</v>
      </c>
      <c r="BA96" s="589">
        <f t="shared" si="265"/>
        <v>2.0519585211241803E-3</v>
      </c>
      <c r="BB96" s="196">
        <v>1</v>
      </c>
      <c r="BI96" s="196">
        <v>1</v>
      </c>
      <c r="BJ96" s="196">
        <f t="shared" si="308"/>
        <v>71465.451116796554</v>
      </c>
      <c r="BK96" s="246">
        <f t="shared" si="266"/>
        <v>1.3628030349630629E-3</v>
      </c>
      <c r="BL96" s="196">
        <f t="shared" si="320"/>
        <v>1429.3090223359311</v>
      </c>
      <c r="BM96" s="246">
        <f t="shared" si="267"/>
        <v>1.3628028790360909E-3</v>
      </c>
      <c r="BN96" s="196">
        <v>0</v>
      </c>
      <c r="BO96" s="196">
        <f t="shared" si="309"/>
        <v>10537.599850766015</v>
      </c>
      <c r="BP96" s="196">
        <f t="shared" si="233"/>
        <v>0</v>
      </c>
      <c r="BQ96" s="248">
        <f t="shared" si="268"/>
        <v>0</v>
      </c>
      <c r="BR96" s="248"/>
      <c r="BS96" s="248"/>
      <c r="BT96" s="276">
        <v>1</v>
      </c>
      <c r="BU96" s="196">
        <f t="shared" si="321"/>
        <v>19459.300274794146</v>
      </c>
      <c r="BV96" s="264">
        <f t="shared" si="269"/>
        <v>1.3497339260256887E-3</v>
      </c>
      <c r="BW96" s="196">
        <f t="shared" si="322"/>
        <v>83242.562286619417</v>
      </c>
      <c r="BX96" s="247">
        <f t="shared" si="270"/>
        <v>1.3497339381841438E-3</v>
      </c>
      <c r="BY96" s="196">
        <f t="shared" si="276"/>
        <v>102701.86256141357</v>
      </c>
      <c r="BZ96" s="620">
        <v>0</v>
      </c>
      <c r="CA96" s="196">
        <f t="shared" si="282"/>
        <v>39363.172854771597</v>
      </c>
      <c r="CB96" s="196">
        <f t="shared" si="283"/>
        <v>78726.345709543195</v>
      </c>
      <c r="CC96" s="196">
        <f t="shared" si="248"/>
        <v>118089.51856431479</v>
      </c>
      <c r="CD96" s="247">
        <f t="shared" si="236"/>
        <v>4.9826884967757727E-4</v>
      </c>
      <c r="CE96" s="196">
        <f t="shared" si="310"/>
        <v>14621.493640029435</v>
      </c>
      <c r="CF96" s="247">
        <f t="shared" si="237"/>
        <v>6.3140156742724947E-4</v>
      </c>
      <c r="CG96" s="196">
        <f t="shared" si="284"/>
        <v>19552.948607598963</v>
      </c>
      <c r="CH96" s="589">
        <f t="shared" si="253"/>
        <v>4.9826884967757727E-4</v>
      </c>
      <c r="CI96" s="196">
        <f t="shared" si="311"/>
        <v>28874.600413084852</v>
      </c>
      <c r="CJ96" s="248">
        <f t="shared" si="254"/>
        <v>4.7469835749768858E-4</v>
      </c>
      <c r="CK96" s="196">
        <f t="shared" si="312"/>
        <v>19095.523594155144</v>
      </c>
      <c r="CL96" s="589">
        <f t="shared" si="255"/>
        <v>2.745020794476095E-4</v>
      </c>
      <c r="CM96" s="196">
        <f t="shared" si="313"/>
        <v>1849.8591636603617</v>
      </c>
      <c r="CN96" s="589">
        <f t="shared" si="256"/>
        <v>2.6658572848732375E-4</v>
      </c>
      <c r="CO96" s="196">
        <f t="shared" si="314"/>
        <v>147.98873309282894</v>
      </c>
      <c r="CP96" s="589">
        <f t="shared" si="257"/>
        <v>2.790839561518727E-4</v>
      </c>
      <c r="CQ96" s="196">
        <f>'Detailed Budget'!$AC$12</f>
        <v>292876014141.44696</v>
      </c>
      <c r="CR96" s="269">
        <f t="shared" si="263"/>
        <v>399132320.93984884</v>
      </c>
      <c r="CS96" s="269">
        <f>'Detailed Budget'!$AC$16</f>
        <v>10488008800.000002</v>
      </c>
      <c r="CT96" s="607">
        <f t="shared" si="285"/>
        <v>14293088.587995859</v>
      </c>
      <c r="CU96" s="269">
        <f>'Detailed Budget'!$AC$24</f>
        <v>30624985696</v>
      </c>
      <c r="CV96" s="269">
        <f t="shared" si="264"/>
        <v>41735823.45220919</v>
      </c>
      <c r="CW96" s="269"/>
      <c r="CX96" s="269">
        <f t="shared" si="249"/>
        <v>455161232.9800539</v>
      </c>
      <c r="CY96" s="196">
        <f>'Detailed Budget'!$AC$97</f>
        <v>74629165494.837845</v>
      </c>
      <c r="CZ96" s="269">
        <f t="shared" si="286"/>
        <v>0</v>
      </c>
      <c r="DA96" s="269">
        <f>'Detailed Budget'!$AC$100</f>
        <v>14925833098.967569</v>
      </c>
      <c r="DB96" s="269">
        <f t="shared" si="287"/>
        <v>0</v>
      </c>
      <c r="DC96" s="269">
        <f t="shared" si="238"/>
        <v>0</v>
      </c>
      <c r="DD96" s="207">
        <v>0</v>
      </c>
      <c r="DE96" s="606">
        <v>0</v>
      </c>
      <c r="DF96" s="269">
        <f>'Detailed Budget'!$AC$147</f>
        <v>5913600671000</v>
      </c>
      <c r="DG96" s="269">
        <f t="shared" si="258"/>
        <v>0</v>
      </c>
      <c r="DH96" s="269">
        <f>'Detailed Budget'!$AC$153</f>
        <v>226428026880.00003</v>
      </c>
      <c r="DI96" s="269"/>
      <c r="DJ96" s="269">
        <f>'Detailed Budget'!$AC$156</f>
        <v>27713070000</v>
      </c>
      <c r="DK96" s="269"/>
      <c r="DL96" s="269"/>
      <c r="DM96" s="196">
        <f>'Detailed Budget'!$AC$178</f>
        <v>5622683761.6229038</v>
      </c>
      <c r="DN96" s="269">
        <f t="shared" si="315"/>
        <v>7589127.0283761695</v>
      </c>
      <c r="DO96" s="196">
        <f>'Detailed Budget'!$AC$179</f>
        <v>26827890683.128094</v>
      </c>
      <c r="DP96" s="269">
        <f t="shared" si="316"/>
        <v>36210514.544912182</v>
      </c>
      <c r="DQ96" s="269">
        <f t="shared" si="273"/>
        <v>43799641.573288351</v>
      </c>
      <c r="DR96" s="269">
        <f>'Detailed Budget'!$AC$181</f>
        <v>50888946855.375237</v>
      </c>
      <c r="DS96" s="269">
        <f t="shared" si="317"/>
        <v>54919389.095063083</v>
      </c>
      <c r="DT96" s="269">
        <f t="shared" si="318"/>
        <v>98719030.668351442</v>
      </c>
      <c r="DU96" s="272">
        <f>'Detailed Budget'!$AC$192</f>
        <v>77498869683.252869</v>
      </c>
      <c r="DV96" s="269">
        <f t="shared" si="288"/>
        <v>0</v>
      </c>
      <c r="DW96" s="140">
        <f>'Detailed Budget'!$AC$194</f>
        <v>2684962805.4134097</v>
      </c>
      <c r="DX96" s="269">
        <f t="shared" si="289"/>
        <v>0</v>
      </c>
      <c r="DY96" s="607">
        <f t="shared" si="239"/>
        <v>0</v>
      </c>
      <c r="DZ96" s="196">
        <f>'Detailed Budget'!$AC$198</f>
        <v>18732540018.380611</v>
      </c>
      <c r="EA96" s="269">
        <f t="shared" si="290"/>
        <v>11827755.129499195</v>
      </c>
      <c r="EB96" s="196">
        <f>'Detailed Budget'!$AC$200</f>
        <v>4683135004.5951529</v>
      </c>
      <c r="EC96" s="269">
        <f t="shared" si="291"/>
        <v>2956938.7823747988</v>
      </c>
      <c r="ED96" s="269">
        <f t="shared" si="240"/>
        <v>14784693.911873994</v>
      </c>
      <c r="EE96" s="196">
        <f>'Detailed Budget'!$AC$161</f>
        <v>251147290106.36197</v>
      </c>
      <c r="EF96" s="269">
        <f t="shared" si="292"/>
        <v>125138871.34093776</v>
      </c>
      <c r="EG96" s="196">
        <f>'Detailed Budget'!$AC$163</f>
        <v>15696705631.647623</v>
      </c>
      <c r="EH96" s="269">
        <f t="shared" si="293"/>
        <v>7821179.4588086102</v>
      </c>
      <c r="EI96" s="269">
        <f t="shared" si="241"/>
        <v>132960050.79974638</v>
      </c>
      <c r="EJ96" s="196">
        <f>'Detailed Budget'!$AC$204</f>
        <v>45012172507.531975</v>
      </c>
      <c r="EK96" s="269">
        <f t="shared" si="294"/>
        <v>21367204.356728043</v>
      </c>
      <c r="EL96" s="201">
        <f>'Detailed Budget'!$AC$206</f>
        <v>11253043126.882994</v>
      </c>
      <c r="EM96" s="269">
        <f t="shared" si="295"/>
        <v>5341801.0891820109</v>
      </c>
      <c r="EN96" s="269">
        <f t="shared" si="242"/>
        <v>26709005.445910055</v>
      </c>
      <c r="EO96" s="140">
        <f>'Detailed Budget'!$AC$209</f>
        <v>135789361677.54817</v>
      </c>
      <c r="EP96" s="269">
        <f t="shared" si="296"/>
        <v>37274462.147350512</v>
      </c>
      <c r="EQ96" s="196">
        <f>'Detailed Budget'!$AC$211</f>
        <v>33947340419.387043</v>
      </c>
      <c r="ER96" s="269">
        <f t="shared" si="297"/>
        <v>9318615.5368376281</v>
      </c>
      <c r="ES96" s="269">
        <f t="shared" si="243"/>
        <v>46593077.684188142</v>
      </c>
      <c r="ET96" s="196">
        <f>'Detailed Budget'!$AC$214</f>
        <v>22239745544.201103</v>
      </c>
      <c r="EU96" s="269">
        <f t="shared" si="298"/>
        <v>5928798.7672735639</v>
      </c>
      <c r="EV96" s="140">
        <f>'Detailed Budget'!$AC$217</f>
        <v>5559936386.0502758</v>
      </c>
      <c r="EW96" s="269">
        <f t="shared" si="299"/>
        <v>1482199.691818391</v>
      </c>
      <c r="EX96" s="269">
        <f t="shared" si="244"/>
        <v>7410998.4590919549</v>
      </c>
      <c r="EY96" s="196">
        <f>'Detailed Budget'!$AC$219</f>
        <v>372777004.58170313</v>
      </c>
      <c r="EZ96" s="269">
        <f t="shared" si="300"/>
        <v>104036.08120110648</v>
      </c>
      <c r="FA96" s="196">
        <f>'Detailed Budget'!$AC$222</f>
        <v>93194251.145425782</v>
      </c>
      <c r="FB96" s="269">
        <f t="shared" si="301"/>
        <v>26009.020300276621</v>
      </c>
      <c r="FC96" s="269">
        <f t="shared" si="245"/>
        <v>130045.10150138311</v>
      </c>
      <c r="FD96" s="269"/>
      <c r="FE96" s="269">
        <f t="shared" si="246"/>
        <v>80843126.690691546</v>
      </c>
      <c r="FF96" s="140">
        <f>'Detailed Budget'!$AC$165</f>
        <v>14927760000</v>
      </c>
      <c r="FG96" s="1087">
        <f t="shared" si="259"/>
        <v>110275376.12418208</v>
      </c>
      <c r="FH96" s="269">
        <f t="shared" si="302"/>
        <v>16961436.200431772</v>
      </c>
      <c r="FJ96" s="140">
        <f>'Detailed Budget'!$AC$235</f>
        <v>3623696172</v>
      </c>
      <c r="FK96" s="269">
        <f t="shared" si="303"/>
        <v>4681778</v>
      </c>
      <c r="FL96" s="269">
        <f t="shared" si="260"/>
        <v>4681778</v>
      </c>
      <c r="FO96" s="607"/>
      <c r="FP96" s="607"/>
      <c r="FQ96" s="607"/>
      <c r="FR96" s="269">
        <f>'Detailed Budget'!$AC$257</f>
        <v>13636439388</v>
      </c>
      <c r="FS96" s="269">
        <f t="shared" si="304"/>
        <v>27981408</v>
      </c>
      <c r="FT96" s="269">
        <f t="shared" si="261"/>
        <v>27981408</v>
      </c>
      <c r="FU96" s="269"/>
      <c r="FV96" s="269"/>
      <c r="FW96" s="616"/>
      <c r="FX96" s="140">
        <f>'Detailed Budget'!$AC$278</f>
        <v>1114560000</v>
      </c>
      <c r="FY96" s="269">
        <f t="shared" si="305"/>
        <v>1440000</v>
      </c>
      <c r="FZ96" s="269">
        <f t="shared" si="262"/>
        <v>1440000</v>
      </c>
      <c r="GB96" s="269">
        <f t="shared" si="271"/>
        <v>943808133.37533116</v>
      </c>
      <c r="GC96" s="887">
        <f t="shared" si="247"/>
        <v>589880.083359582</v>
      </c>
      <c r="GD96" s="1078">
        <f t="shared" si="272"/>
        <v>5.2960046330838252E-4</v>
      </c>
    </row>
    <row r="97" spans="1:186" hidden="1" outlineLevel="1">
      <c r="A97" s="211"/>
      <c r="B97" s="212"/>
      <c r="C97" s="213"/>
      <c r="D97" s="214"/>
      <c r="E97" s="213"/>
      <c r="F97" s="213"/>
      <c r="G97" s="213"/>
      <c r="H97" s="213"/>
      <c r="I97" s="214"/>
      <c r="J97" s="214"/>
      <c r="K97" s="213"/>
      <c r="L97" s="213"/>
      <c r="M97" s="214"/>
      <c r="N97" s="213"/>
      <c r="O97" s="214"/>
      <c r="P97" s="213"/>
      <c r="Q97" s="214"/>
      <c r="R97" s="214"/>
      <c r="S97" s="214"/>
      <c r="T97" s="214"/>
      <c r="U97" s="215"/>
      <c r="V97" s="845"/>
      <c r="W97" s="216"/>
      <c r="X97" s="217"/>
      <c r="Y97" s="218"/>
      <c r="Z97" s="196"/>
      <c r="AA97" s="218"/>
      <c r="AG97" s="606"/>
      <c r="AJ97" s="196"/>
      <c r="AK97" s="196"/>
      <c r="AL97" s="196"/>
      <c r="AM97" s="196"/>
      <c r="AO97" s="196"/>
      <c r="AP97" s="589"/>
      <c r="AQ97" s="196"/>
      <c r="AR97" s="589"/>
      <c r="AS97"/>
      <c r="AT97" s="589">
        <f t="shared" si="252"/>
        <v>0</v>
      </c>
      <c r="AV97" s="245"/>
      <c r="AX97" s="245"/>
      <c r="AY97" s="245"/>
      <c r="BA97" s="589">
        <f t="shared" si="265"/>
        <v>0</v>
      </c>
      <c r="BK97" s="246">
        <f t="shared" si="266"/>
        <v>0</v>
      </c>
      <c r="BL97" s="246"/>
      <c r="BM97" s="246">
        <f t="shared" si="267"/>
        <v>0</v>
      </c>
      <c r="BN97" s="196"/>
      <c r="BQ97" s="248">
        <f t="shared" si="268"/>
        <v>0</v>
      </c>
      <c r="BR97" s="248"/>
      <c r="BS97" s="248"/>
      <c r="BT97" s="276"/>
      <c r="BV97" s="264">
        <f t="shared" si="269"/>
        <v>0</v>
      </c>
      <c r="BX97" s="247">
        <f t="shared" si="270"/>
        <v>0</v>
      </c>
      <c r="BY97" s="196"/>
      <c r="BZ97" s="620"/>
      <c r="CA97" s="196"/>
      <c r="CB97" s="196"/>
      <c r="CC97" s="196"/>
      <c r="CD97" s="247"/>
      <c r="CF97" s="247"/>
      <c r="CG97" s="196"/>
      <c r="CH97" s="589"/>
      <c r="CI97" s="196"/>
      <c r="CJ97" s="248"/>
      <c r="CK97" s="196"/>
      <c r="CL97" s="589"/>
      <c r="CM97" s="196"/>
      <c r="CN97" s="589"/>
      <c r="CO97" s="196"/>
      <c r="CP97" s="589"/>
      <c r="CQ97" s="196"/>
      <c r="CR97" s="269"/>
      <c r="CS97" s="269"/>
      <c r="CT97" s="607"/>
      <c r="CU97" s="269">
        <f>'Detailed Budget'!$AC$24</f>
        <v>30624985696</v>
      </c>
      <c r="CV97" s="269">
        <f t="shared" si="264"/>
        <v>0</v>
      </c>
      <c r="CW97" s="269"/>
      <c r="CX97" s="269"/>
      <c r="CY97" s="196"/>
      <c r="DC97" s="269"/>
      <c r="DD97" s="207"/>
      <c r="DE97" s="606">
        <v>0</v>
      </c>
      <c r="DF97" s="269">
        <f>'Detailed Budget'!$AC$147</f>
        <v>5913600671000</v>
      </c>
      <c r="DG97" s="269">
        <f t="shared" si="258"/>
        <v>0</v>
      </c>
      <c r="DH97" s="269">
        <f>'Detailed Budget'!$AC$153</f>
        <v>226428026880.00003</v>
      </c>
      <c r="DI97" s="269"/>
      <c r="DJ97" s="269">
        <f>'Detailed Budget'!$AC$156</f>
        <v>27713070000</v>
      </c>
      <c r="DK97" s="269"/>
      <c r="DL97" s="269"/>
      <c r="DM97" s="196"/>
      <c r="DN97" s="269"/>
      <c r="DO97" s="196"/>
      <c r="DP97" s="269"/>
      <c r="DQ97" s="269"/>
      <c r="DR97" s="269"/>
      <c r="DS97" s="269"/>
      <c r="DT97" s="269"/>
      <c r="DU97" s="272"/>
      <c r="DV97" s="269"/>
      <c r="DW97" s="140"/>
      <c r="DX97" s="269"/>
      <c r="DY97" s="607"/>
      <c r="DZ97" s="196"/>
      <c r="EA97" s="269"/>
      <c r="EB97" s="196"/>
      <c r="ED97" s="269"/>
      <c r="EE97" s="196"/>
      <c r="EG97" s="196"/>
      <c r="EI97" s="269"/>
      <c r="EJ97" s="196"/>
      <c r="EL97" s="201"/>
      <c r="EN97" s="269"/>
      <c r="EO97" s="140"/>
      <c r="EQ97" s="196"/>
      <c r="ES97" s="269"/>
      <c r="ET97" s="196"/>
      <c r="EV97" s="140"/>
      <c r="EX97" s="269"/>
      <c r="EY97" s="196"/>
      <c r="FA97" s="196"/>
      <c r="FC97" s="269"/>
      <c r="FD97" s="269"/>
      <c r="FE97" s="269"/>
      <c r="FF97" s="140"/>
      <c r="FG97" s="1087">
        <f t="shared" si="259"/>
        <v>0</v>
      </c>
      <c r="FJ97" s="140">
        <f>'Detailed Budget'!$AC$235</f>
        <v>3623696172</v>
      </c>
      <c r="FL97" s="269">
        <f t="shared" si="260"/>
        <v>0</v>
      </c>
      <c r="FO97" s="607"/>
      <c r="FP97" s="607"/>
      <c r="FQ97" s="607"/>
      <c r="FT97" s="269">
        <f t="shared" si="261"/>
        <v>0</v>
      </c>
      <c r="FU97" s="269"/>
      <c r="FV97" s="269"/>
      <c r="FW97" s="616"/>
      <c r="FX97" s="140">
        <f>'Detailed Budget'!$AC$278</f>
        <v>1114560000</v>
      </c>
      <c r="FY97" s="269"/>
      <c r="FZ97" s="269"/>
      <c r="GB97" s="269">
        <f t="shared" si="271"/>
        <v>0</v>
      </c>
      <c r="GD97" s="1078">
        <f t="shared" si="272"/>
        <v>0</v>
      </c>
    </row>
    <row r="98" spans="1:186" s="210" customFormat="1" collapsed="1">
      <c r="A98" s="203">
        <v>1.6</v>
      </c>
      <c r="B98" s="204" t="s">
        <v>378</v>
      </c>
      <c r="C98" s="205">
        <f t="shared" ref="C98:T98" si="323">COUNTA(C99:C123)</f>
        <v>25</v>
      </c>
      <c r="D98" s="205">
        <f t="shared" si="323"/>
        <v>25</v>
      </c>
      <c r="E98" s="205">
        <f t="shared" si="323"/>
        <v>0</v>
      </c>
      <c r="F98" s="205">
        <f t="shared" si="323"/>
        <v>0</v>
      </c>
      <c r="G98" s="205">
        <f t="shared" si="323"/>
        <v>0</v>
      </c>
      <c r="H98" s="205">
        <f t="shared" si="323"/>
        <v>25</v>
      </c>
      <c r="I98" s="205">
        <f t="shared" si="323"/>
        <v>25</v>
      </c>
      <c r="J98" s="205">
        <f t="shared" si="323"/>
        <v>0</v>
      </c>
      <c r="K98" s="205">
        <f t="shared" si="323"/>
        <v>22</v>
      </c>
      <c r="L98" s="205">
        <f t="shared" si="323"/>
        <v>0</v>
      </c>
      <c r="M98" s="205">
        <f t="shared" si="323"/>
        <v>3</v>
      </c>
      <c r="N98" s="205">
        <f t="shared" si="323"/>
        <v>0</v>
      </c>
      <c r="O98" s="205">
        <f t="shared" si="323"/>
        <v>0</v>
      </c>
      <c r="P98" s="205">
        <f t="shared" si="323"/>
        <v>0</v>
      </c>
      <c r="Q98" s="205">
        <f t="shared" si="323"/>
        <v>0</v>
      </c>
      <c r="R98" s="205">
        <f t="shared" si="323"/>
        <v>25</v>
      </c>
      <c r="S98" s="205">
        <f t="shared" si="323"/>
        <v>2</v>
      </c>
      <c r="T98" s="205">
        <f t="shared" si="323"/>
        <v>0</v>
      </c>
      <c r="U98" s="206">
        <f>SUM(C98:T98)</f>
        <v>152</v>
      </c>
      <c r="V98" s="844"/>
      <c r="W98" s="207">
        <f>SUM(W99:W123)</f>
        <v>3954772</v>
      </c>
      <c r="X98" s="208">
        <v>3.42</v>
      </c>
      <c r="Y98" s="209">
        <f t="shared" si="277"/>
        <v>1.0342</v>
      </c>
      <c r="Z98" s="207">
        <v>19</v>
      </c>
      <c r="AA98" s="209">
        <f t="shared" si="184"/>
        <v>1.8944630332534185</v>
      </c>
      <c r="AB98" s="207">
        <f>SUM(AB99:AB123)</f>
        <v>7492169.3589456901</v>
      </c>
      <c r="AC98" s="210">
        <v>19.899999999999999</v>
      </c>
      <c r="AD98" s="207">
        <f>SUM(AD99:AD123)</f>
        <v>1490941.7024301921</v>
      </c>
      <c r="AE98" s="207">
        <f>SUM(AE99:AE123)</f>
        <v>1416394.6173086823</v>
      </c>
      <c r="AF98" s="207">
        <f>SUM(AF99:AF123)</f>
        <v>1416394.6173086823</v>
      </c>
      <c r="AG98" s="588">
        <f t="shared" si="250"/>
        <v>6.5487869015473363E-2</v>
      </c>
      <c r="AH98" s="207">
        <f>SUM(AH99:AH123)</f>
        <v>374608.4679472844</v>
      </c>
      <c r="AI98" s="633">
        <f t="shared" si="216"/>
        <v>2.9020350424607429E-2</v>
      </c>
      <c r="AJ98" s="207">
        <f>SUM(AJ99:AJ123)</f>
        <v>1865550.1703774764</v>
      </c>
      <c r="AK98" s="207">
        <f t="shared" si="278"/>
        <v>299686.77435782761</v>
      </c>
      <c r="AL98" s="207">
        <f t="shared" si="279"/>
        <v>299686.77435782761</v>
      </c>
      <c r="AM98" s="207">
        <f t="shared" si="229"/>
        <v>599373.54871565523</v>
      </c>
      <c r="AN98" s="632">
        <f t="shared" si="230"/>
        <v>2.902035042460744E-2</v>
      </c>
      <c r="AO98" s="207">
        <f t="shared" si="231"/>
        <v>284702.43563993624</v>
      </c>
      <c r="AP98" s="588">
        <f t="shared" si="251"/>
        <v>2.902035042460744E-2</v>
      </c>
      <c r="AQ98" s="207">
        <v>1</v>
      </c>
      <c r="AR98" s="588">
        <f>AQ98/37</f>
        <v>2.7027027027027029E-2</v>
      </c>
      <c r="AS98" s="207">
        <f>SUM(AS99:AS123)</f>
        <v>25</v>
      </c>
      <c r="AT98" s="588">
        <f t="shared" si="252"/>
        <v>3.2299741602067181E-2</v>
      </c>
      <c r="AU98" s="207">
        <f>SUM(AU99:AU123)</f>
        <v>274</v>
      </c>
      <c r="AV98" s="892">
        <f t="shared" si="232"/>
        <v>3.1132825815248268E-2</v>
      </c>
      <c r="AW98" s="207">
        <v>13930</v>
      </c>
      <c r="AX98" s="208">
        <f>AW98*0.002</f>
        <v>27.86</v>
      </c>
      <c r="AY98" s="207">
        <f>AX98*100</f>
        <v>2786</v>
      </c>
      <c r="AZ98" s="207">
        <f>SUM(AZ99:AZ123)</f>
        <v>1338</v>
      </c>
      <c r="BA98" s="588">
        <f t="shared" si="265"/>
        <v>4.9027151808288448E-2</v>
      </c>
      <c r="BB98" s="207">
        <v>28</v>
      </c>
      <c r="BC98" s="207">
        <v>2</v>
      </c>
      <c r="BD98" s="207">
        <f>BB98+BC98</f>
        <v>30</v>
      </c>
      <c r="BE98" s="633">
        <f>BD98/1306</f>
        <v>2.2970903522205207E-2</v>
      </c>
      <c r="BF98" s="207">
        <f>AZ98+BD98</f>
        <v>1368</v>
      </c>
      <c r="BG98" s="588">
        <f>BF98/28597</f>
        <v>4.7837185718781691E-2</v>
      </c>
      <c r="BH98" s="1084">
        <v>43.8</v>
      </c>
      <c r="BI98" s="207"/>
      <c r="BJ98" s="207">
        <v>4162316</v>
      </c>
      <c r="BK98" s="892">
        <f t="shared" si="266"/>
        <v>7.9372854835896012E-2</v>
      </c>
      <c r="BL98" s="207">
        <f>BJ98/50</f>
        <v>83246.320000000007</v>
      </c>
      <c r="BM98" s="892">
        <f t="shared" si="267"/>
        <v>7.937284575434235E-2</v>
      </c>
      <c r="BN98" s="207"/>
      <c r="BO98" s="207">
        <v>548669</v>
      </c>
      <c r="BP98" s="207">
        <f>SUM(BP99:BP123)</f>
        <v>0</v>
      </c>
      <c r="BQ98" s="633">
        <f t="shared" si="268"/>
        <v>0</v>
      </c>
      <c r="BR98" s="207">
        <f>AY98*0.5*24</f>
        <v>33432</v>
      </c>
      <c r="BS98" s="633">
        <f>BR98/2211211</f>
        <v>1.5119316971559929E-2</v>
      </c>
      <c r="BT98" s="634"/>
      <c r="BU98" s="207">
        <f>SUM(BU99:BU123)</f>
        <v>1180825.8283247121</v>
      </c>
      <c r="BV98" s="264">
        <f t="shared" si="269"/>
        <v>8.190431612187607E-2</v>
      </c>
      <c r="BW98" s="207">
        <f>SUM(BW99:BW123)</f>
        <v>5051310.4878334915</v>
      </c>
      <c r="BX98" s="247">
        <f t="shared" si="270"/>
        <v>8.1904316859673296E-2</v>
      </c>
      <c r="BY98" s="207">
        <f>SUM(BY99:BY123)</f>
        <v>6232136.3161582025</v>
      </c>
      <c r="CA98" s="207">
        <f t="shared" ref="CA98:CA123" si="324">AK98*0.85*0.75*12</f>
        <v>2292603.8238373813</v>
      </c>
      <c r="CB98" s="207">
        <f t="shared" ref="CB98:CB123" si="325">AL98*0.85*0.75*2*12</f>
        <v>4585207.6476747626</v>
      </c>
      <c r="CC98" s="207">
        <f t="shared" si="248"/>
        <v>6877811.4715121444</v>
      </c>
      <c r="CD98" s="633">
        <f t="shared" si="236"/>
        <v>2.9020350424607443E-2</v>
      </c>
      <c r="CE98" s="207">
        <v>689311</v>
      </c>
      <c r="CF98" s="633">
        <f t="shared" si="237"/>
        <v>2.9766592699757077E-2</v>
      </c>
      <c r="CG98" s="207">
        <f t="shared" ref="CG98:CG123" si="326">AO98*4</f>
        <v>1138809.742559745</v>
      </c>
      <c r="CH98" s="588">
        <f t="shared" si="253"/>
        <v>2.902035042460744E-2</v>
      </c>
      <c r="CI98" s="207">
        <f t="shared" ref="CI98:CO98" si="327">SUM(CI99:CI123)</f>
        <v>1783301.644079492</v>
      </c>
      <c r="CJ98" s="633">
        <f t="shared" si="254"/>
        <v>2.9317474502048784E-2</v>
      </c>
      <c r="CK98" s="207">
        <f t="shared" si="327"/>
        <v>1530172.6946002692</v>
      </c>
      <c r="CL98" s="588">
        <f t="shared" si="255"/>
        <v>2.1996547227974016E-2</v>
      </c>
      <c r="CM98" s="207">
        <f t="shared" si="327"/>
        <v>148235.97041430316</v>
      </c>
      <c r="CN98" s="588">
        <f t="shared" si="256"/>
        <v>2.1362487986776219E-2</v>
      </c>
      <c r="CO98" s="207">
        <f t="shared" si="327"/>
        <v>11858.9976331203</v>
      </c>
      <c r="CP98" s="588">
        <f t="shared" si="257"/>
        <v>2.2364242914160629E-2</v>
      </c>
      <c r="CQ98" s="207">
        <f>'Detailed Budget'!$AC$12</f>
        <v>292876014141.44696</v>
      </c>
      <c r="CR98" s="605">
        <f t="shared" ref="CR98:CR129" si="328">BK98*CQ98</f>
        <v>23246405355.364899</v>
      </c>
      <c r="CS98" s="605">
        <f>'Detailed Budget'!$AC$16</f>
        <v>10488008800.000002</v>
      </c>
      <c r="CT98" s="605">
        <f t="shared" ref="CT98:CT123" si="329">BM98*CS98</f>
        <v>832463104.75258541</v>
      </c>
      <c r="CU98" s="605">
        <f>'Detailed Budget'!$AC$24</f>
        <v>30624985696</v>
      </c>
      <c r="CV98" s="605">
        <f t="shared" si="264"/>
        <v>2430792544</v>
      </c>
      <c r="CW98" s="605"/>
      <c r="CX98" s="605">
        <f t="shared" si="249"/>
        <v>26509661004.117485</v>
      </c>
      <c r="CY98" s="207">
        <f>'Detailed Budget'!$AC$97</f>
        <v>74629165494.837845</v>
      </c>
      <c r="CZ98" s="605">
        <f t="shared" ref="CZ98:CZ123" si="330">BQ98*CY98</f>
        <v>0</v>
      </c>
      <c r="DA98" s="605">
        <f>'Detailed Budget'!$AC$100</f>
        <v>14925833098.967569</v>
      </c>
      <c r="DB98" s="605">
        <f t="shared" ref="DB98:DB123" si="331">BQ98*DA98</f>
        <v>0</v>
      </c>
      <c r="DC98" s="605">
        <f t="shared" si="238"/>
        <v>0</v>
      </c>
      <c r="DD98" s="207">
        <f>SUM(DD99:DD123)</f>
        <v>2</v>
      </c>
      <c r="DE98" s="606">
        <v>0</v>
      </c>
      <c r="DF98" s="605">
        <f>'Detailed Budget'!$AC$147</f>
        <v>5913600671000</v>
      </c>
      <c r="DG98" s="605">
        <f t="shared" si="258"/>
        <v>0</v>
      </c>
      <c r="DH98" s="605">
        <f>'Detailed Budget'!$AC$153</f>
        <v>226428026880.00003</v>
      </c>
      <c r="DI98" s="605">
        <f>BS98*DH98</f>
        <v>3423437109.6436124</v>
      </c>
      <c r="DJ98" s="605">
        <f>'Detailed Budget'!$AC$156</f>
        <v>27713070000</v>
      </c>
      <c r="DK98" s="605">
        <f>AT98*DJ98</f>
        <v>895124999.99999988</v>
      </c>
      <c r="DL98" s="605">
        <f>DI98+DK98</f>
        <v>4318562109.6436119</v>
      </c>
      <c r="DM98" s="207">
        <f>'Detailed Budget'!$AC$178</f>
        <v>5622683761.6229038</v>
      </c>
      <c r="DN98" s="605">
        <f>SUM(DN99:DN123)</f>
        <v>460522068.26530153</v>
      </c>
      <c r="DO98" s="605">
        <f>'Detailed Budget'!$AC$179</f>
        <v>26827890683.128094</v>
      </c>
      <c r="DP98" s="605">
        <f>SUM(DP99:DP123)</f>
        <v>2197320059.1876001</v>
      </c>
      <c r="DQ98" s="605">
        <f>SUM(DQ99:DQ123)</f>
        <v>2657842127.4529018</v>
      </c>
      <c r="DR98" s="605">
        <f>'Detailed Budget'!$AC$181</f>
        <v>50888946855.375237</v>
      </c>
      <c r="DS98" s="605">
        <f>SUM(DS99:DS123)</f>
        <v>3332608686.0001979</v>
      </c>
      <c r="DT98" s="605">
        <f>SUM(DT99:DT123)</f>
        <v>5990450813.4530993</v>
      </c>
      <c r="DU98" s="634">
        <f>'Detailed Budget'!$AC$192</f>
        <v>77498869683.252869</v>
      </c>
      <c r="DV98" s="605">
        <f t="shared" ref="DV98:DV123" si="332">BZ98*CD98*DU98</f>
        <v>0</v>
      </c>
      <c r="DW98" s="930">
        <f>'Detailed Budget'!$AC$194</f>
        <v>2684962805.4134097</v>
      </c>
      <c r="DX98" s="605">
        <f t="shared" ref="DX98:DX123" si="333">BZ98*AN98*DW98</f>
        <v>0</v>
      </c>
      <c r="DY98" s="605">
        <f t="shared" si="239"/>
        <v>0</v>
      </c>
      <c r="DZ98" s="207">
        <f>'Detailed Budget'!$AC$198</f>
        <v>18732540018.380611</v>
      </c>
      <c r="EA98" s="605">
        <f t="shared" ref="EA98:EA123" si="334">CF98*DZ98</f>
        <v>557603888.95903563</v>
      </c>
      <c r="EB98" s="207">
        <f>'Detailed Budget'!$AC$200</f>
        <v>4683135004.5951529</v>
      </c>
      <c r="EC98" s="605">
        <f t="shared" ref="EC98:EC123" si="335">CF98*EB98</f>
        <v>139400972.23975891</v>
      </c>
      <c r="ED98" s="605">
        <f t="shared" si="240"/>
        <v>697004861.1987946</v>
      </c>
      <c r="EE98" s="207">
        <f>'Detailed Budget'!$AC$161</f>
        <v>251147290106.36197</v>
      </c>
      <c r="EF98" s="605">
        <f t="shared" ref="EF98:EF123" si="336">CH98*EE98</f>
        <v>7288382367.0771694</v>
      </c>
      <c r="EG98" s="207">
        <f>'Detailed Budget'!$AC$163</f>
        <v>15696705631.647623</v>
      </c>
      <c r="EH98" s="605">
        <f t="shared" ref="EH98:EH123" si="337">AP98*EG98</f>
        <v>455523897.94232309</v>
      </c>
      <c r="EI98" s="605">
        <f t="shared" si="241"/>
        <v>7743906265.0194921</v>
      </c>
      <c r="EJ98" s="207">
        <f>'Detailed Budget'!$AC$204</f>
        <v>45012172507.531975</v>
      </c>
      <c r="EK98" s="605">
        <f t="shared" ref="EK98:EK123" si="338">CJ98*EJ98</f>
        <v>1319643219.77139</v>
      </c>
      <c r="EL98" s="207">
        <f>'Detailed Budget'!$AC$206</f>
        <v>11253043126.882994</v>
      </c>
      <c r="EM98" s="605">
        <f t="shared" ref="EM98:EM123" si="339">CJ98*EL98</f>
        <v>329910804.94284749</v>
      </c>
      <c r="EN98" s="605">
        <f t="shared" si="242"/>
        <v>1649554024.7142375</v>
      </c>
      <c r="EO98" s="930">
        <f>'Detailed Budget'!$AC$209</f>
        <v>135789361677.54817</v>
      </c>
      <c r="EP98" s="605">
        <f t="shared" ref="EP98:EP123" si="340">CL98*EO98</f>
        <v>2986897107.1966333</v>
      </c>
      <c r="EQ98" s="207">
        <f>'Detailed Budget'!$AC$211</f>
        <v>33947340419.387043</v>
      </c>
      <c r="ER98" s="605">
        <f t="shared" ref="ER98:ER123" si="341">CL98*EQ98</f>
        <v>746724276.79915833</v>
      </c>
      <c r="ES98" s="605">
        <f t="shared" si="243"/>
        <v>3733621383.9957914</v>
      </c>
      <c r="ET98" s="207">
        <f>'Detailed Budget'!$AC$214</f>
        <v>22239745544.201103</v>
      </c>
      <c r="EU98" s="605">
        <f t="shared" ref="EU98:EU123" si="342">CN98*ET98</f>
        <v>475096297.01695603</v>
      </c>
      <c r="EV98" s="930">
        <f>'Detailed Budget'!$AC$217</f>
        <v>5559936386.0502758</v>
      </c>
      <c r="EW98" s="605">
        <f t="shared" ref="EW98:EW123" si="343">CN98*EV98</f>
        <v>118774074.25423901</v>
      </c>
      <c r="EX98" s="605">
        <f t="shared" si="244"/>
        <v>593870371.27119505</v>
      </c>
      <c r="EY98" s="207">
        <f>'Detailed Budget'!$AC$219</f>
        <v>372777004.58170313</v>
      </c>
      <c r="EZ98" s="605">
        <f t="shared" ref="EZ98:EZ123" si="344">CP98*EY98</f>
        <v>8336875.4832783779</v>
      </c>
      <c r="FA98" s="207">
        <f>'Detailed Budget'!$AC$222</f>
        <v>93194251.145425782</v>
      </c>
      <c r="FB98" s="605">
        <f t="shared" ref="FB98:FB123" si="345">CP98*FA98</f>
        <v>2084218.8708195945</v>
      </c>
      <c r="FC98" s="605">
        <f t="shared" si="245"/>
        <v>10421094.354097972</v>
      </c>
      <c r="FD98" s="605"/>
      <c r="FE98" s="605">
        <f t="shared" si="246"/>
        <v>5987466874.3353224</v>
      </c>
      <c r="FF98" s="930">
        <f>'Detailed Budget'!$AC$165</f>
        <v>14927760000</v>
      </c>
      <c r="FG98" s="1087">
        <f t="shared" si="259"/>
        <v>8167301150.0980635</v>
      </c>
      <c r="FH98" s="605">
        <f t="shared" ref="FH98:FH123" si="346">AV98*FF98</f>
        <v>464743351.8918305</v>
      </c>
      <c r="FI98" s="605"/>
      <c r="FJ98" s="930">
        <f>'Detailed Budget'!$AC$235</f>
        <v>3623696172</v>
      </c>
      <c r="FK98" s="605">
        <f t="shared" ref="FK98:FK123" si="347">AT98*FJ98</f>
        <v>117044449.99999999</v>
      </c>
      <c r="FL98" s="605">
        <f t="shared" si="260"/>
        <v>117044449.99999999</v>
      </c>
      <c r="FM98" s="605"/>
      <c r="FN98" s="605">
        <f>'Detailed Budget'!$AC$251</f>
        <v>1047595800</v>
      </c>
      <c r="FO98" s="605">
        <f>AR98*FN98</f>
        <v>28313400</v>
      </c>
      <c r="FP98" s="605">
        <f>'Detailed Budget'!$AB$254</f>
        <v>2773297530</v>
      </c>
      <c r="FQ98" s="605">
        <f>BE98*FP98</f>
        <v>63705150</v>
      </c>
      <c r="FR98" s="605">
        <f>'Detailed Budget'!$AC$257</f>
        <v>13636439388</v>
      </c>
      <c r="FS98" s="605">
        <f t="shared" ref="FS98:FS123" si="348">BA98*FR98</f>
        <v>668555784</v>
      </c>
      <c r="FT98" s="605">
        <f t="shared" si="261"/>
        <v>760574334</v>
      </c>
      <c r="FU98" s="605"/>
      <c r="FV98" s="605">
        <f>'Detailed Budget'!$AC$265</f>
        <v>6277805540</v>
      </c>
      <c r="FW98" s="605">
        <f>AR98*FV98</f>
        <v>169670420</v>
      </c>
      <c r="FX98" s="930">
        <f>'Detailed Budget'!$AC$278</f>
        <v>1114560000</v>
      </c>
      <c r="FY98" s="605">
        <f t="shared" ref="FY98:FY123" si="349">AT98*FX98</f>
        <v>36000000</v>
      </c>
      <c r="FZ98" s="605">
        <f t="shared" si="262"/>
        <v>205670420</v>
      </c>
      <c r="GB98" s="269">
        <f t="shared" si="271"/>
        <v>60962385633.75769</v>
      </c>
      <c r="GC98" s="889">
        <f t="shared" si="247"/>
        <v>38101491.021098554</v>
      </c>
      <c r="GD98" s="1078">
        <f t="shared" si="272"/>
        <v>3.4207914229939212E-2</v>
      </c>
    </row>
    <row r="99" spans="1:186" ht="15.6" hidden="1" customHeight="1" outlineLevel="1">
      <c r="A99" s="211" t="s">
        <v>379</v>
      </c>
      <c r="B99" s="212" t="s">
        <v>380</v>
      </c>
      <c r="C99" s="213" t="s">
        <v>215</v>
      </c>
      <c r="D99" s="214" t="s">
        <v>215</v>
      </c>
      <c r="E99" s="213"/>
      <c r="F99" s="213"/>
      <c r="G99" s="213"/>
      <c r="H99" s="213" t="s">
        <v>215</v>
      </c>
      <c r="I99" s="214" t="s">
        <v>215</v>
      </c>
      <c r="J99" s="214"/>
      <c r="K99" s="213" t="s">
        <v>215</v>
      </c>
      <c r="L99" s="213"/>
      <c r="M99" s="214"/>
      <c r="N99" s="213"/>
      <c r="O99" s="214"/>
      <c r="P99" s="213"/>
      <c r="Q99" s="214"/>
      <c r="R99" s="214" t="s">
        <v>215</v>
      </c>
      <c r="S99" s="214"/>
      <c r="T99" s="214"/>
      <c r="U99" s="215">
        <f t="shared" ref="U99:U123" si="350">COUNTA(C99:T99)</f>
        <v>6</v>
      </c>
      <c r="V99" s="845" t="s">
        <v>219</v>
      </c>
      <c r="W99" s="216">
        <v>132098</v>
      </c>
      <c r="X99" s="217">
        <v>3.42</v>
      </c>
      <c r="Y99" s="218">
        <f t="shared" si="277"/>
        <v>1.0342</v>
      </c>
      <c r="Z99" s="196">
        <v>19</v>
      </c>
      <c r="AA99" s="218">
        <f t="shared" si="184"/>
        <v>1.8944630332534185</v>
      </c>
      <c r="AB99" s="196">
        <f t="shared" si="274"/>
        <v>250254.77776671006</v>
      </c>
      <c r="AC99">
        <v>19.899999999999999</v>
      </c>
      <c r="AD99" s="196">
        <f t="shared" si="275"/>
        <v>49800.7007755753</v>
      </c>
      <c r="AE99" s="196">
        <f t="shared" si="280"/>
        <v>47310.665736796531</v>
      </c>
      <c r="AF99" s="196">
        <f t="shared" ref="AF99:AF123" si="351">AE99*BT99</f>
        <v>47310.665736796531</v>
      </c>
      <c r="AG99" s="606">
        <f t="shared" si="250"/>
        <v>2.1874374859551953E-3</v>
      </c>
      <c r="AH99" s="196">
        <f>AB99*0.05</f>
        <v>12512.738888335503</v>
      </c>
      <c r="AI99" s="248">
        <f t="shared" si="216"/>
        <v>9.6934292302812712E-4</v>
      </c>
      <c r="AJ99" s="196">
        <f t="shared" si="228"/>
        <v>62313.439663910802</v>
      </c>
      <c r="AK99" s="196">
        <f t="shared" si="278"/>
        <v>10010.191110668402</v>
      </c>
      <c r="AL99" s="196">
        <f t="shared" si="279"/>
        <v>10010.191110668402</v>
      </c>
      <c r="AM99" s="196">
        <f t="shared" si="229"/>
        <v>20020.382221336804</v>
      </c>
      <c r="AN99" s="627">
        <f t="shared" si="230"/>
        <v>9.6934292302812701E-4</v>
      </c>
      <c r="AO99" s="196">
        <f t="shared" si="231"/>
        <v>9509.6815551349828</v>
      </c>
      <c r="AP99" s="589">
        <f t="shared" si="251"/>
        <v>9.6934292302812712E-4</v>
      </c>
      <c r="AQ99" s="196"/>
      <c r="AR99" s="589"/>
      <c r="AS99">
        <v>1</v>
      </c>
      <c r="AT99" s="589">
        <f t="shared" si="252"/>
        <v>1.2919896640826874E-3</v>
      </c>
      <c r="AU99" s="196">
        <v>11</v>
      </c>
      <c r="AV99" s="245">
        <f t="shared" si="232"/>
        <v>1.2498579706851495E-3</v>
      </c>
      <c r="AX99" s="245"/>
      <c r="AY99" s="245"/>
      <c r="AZ99" s="196">
        <v>51</v>
      </c>
      <c r="BA99" s="589">
        <f t="shared" si="265"/>
        <v>1.8687479388809498E-3</v>
      </c>
      <c r="BI99" s="196">
        <v>1</v>
      </c>
      <c r="BJ99" s="196">
        <f t="shared" ref="BJ99:BJ123" si="352">AB99/7492169*4162316</f>
        <v>139030.42838126337</v>
      </c>
      <c r="BK99" s="246">
        <f t="shared" si="266"/>
        <v>2.65122638686694E-3</v>
      </c>
      <c r="BL99" s="196">
        <f>BJ99/50</f>
        <v>2780.6085676252674</v>
      </c>
      <c r="BM99" s="246">
        <f t="shared" si="267"/>
        <v>2.6512260835232491E-3</v>
      </c>
      <c r="BN99" s="196">
        <v>0</v>
      </c>
      <c r="BO99" s="196">
        <f t="shared" ref="BO99:BO123" si="353">AJ99/1865550*548669</f>
        <v>18326.741511596192</v>
      </c>
      <c r="BP99" s="196">
        <f t="shared" si="233"/>
        <v>0</v>
      </c>
      <c r="BQ99" s="248">
        <f t="shared" si="268"/>
        <v>0</v>
      </c>
      <c r="BR99" s="248"/>
      <c r="BS99" s="248"/>
      <c r="BT99" s="276">
        <v>1</v>
      </c>
      <c r="BU99" s="196">
        <f>AD99*BT99*0.18*4*1.1</f>
        <v>39442.155014255637</v>
      </c>
      <c r="BV99" s="264">
        <f t="shared" si="269"/>
        <v>2.7357825814149548E-3</v>
      </c>
      <c r="BW99" s="196">
        <f>AD99*BT99*0.77*4*1.1</f>
        <v>168724.77422764915</v>
      </c>
      <c r="BX99" s="247">
        <f t="shared" si="270"/>
        <v>2.7357826060589894E-3</v>
      </c>
      <c r="BY99" s="196">
        <f t="shared" si="276"/>
        <v>208166.92924190479</v>
      </c>
      <c r="BZ99" s="620">
        <v>0</v>
      </c>
      <c r="CA99" s="196">
        <f t="shared" si="324"/>
        <v>76577.961996613274</v>
      </c>
      <c r="CB99" s="196">
        <f t="shared" si="325"/>
        <v>153155.92399322655</v>
      </c>
      <c r="CC99" s="196">
        <f t="shared" si="248"/>
        <v>229733.88598983982</v>
      </c>
      <c r="CD99" s="247">
        <f t="shared" si="236"/>
        <v>9.6934292302812701E-4</v>
      </c>
      <c r="CE99" s="196">
        <f t="shared" ref="CE99:CE123" si="354">AH99/374608*689311</f>
        <v>23024.517778203972</v>
      </c>
      <c r="CF99" s="247">
        <f t="shared" si="237"/>
        <v>9.94270282662127E-4</v>
      </c>
      <c r="CG99" s="196">
        <f t="shared" si="326"/>
        <v>38038.726220539931</v>
      </c>
      <c r="CH99" s="589">
        <f t="shared" si="253"/>
        <v>9.6934292302812712E-4</v>
      </c>
      <c r="CI99" s="196">
        <f t="shared" ref="CI99:CI123" si="355">AD99/1490942*1783302</f>
        <v>59566.159712775538</v>
      </c>
      <c r="CJ99" s="248">
        <f t="shared" si="254"/>
        <v>9.7926751447912556E-4</v>
      </c>
      <c r="CK99" s="196">
        <f t="shared" ref="CK99:CK123" si="356">AD99/1490942*1530173</f>
        <v>51111.101376085979</v>
      </c>
      <c r="CL99" s="589">
        <f t="shared" si="255"/>
        <v>7.3473259538626014E-4</v>
      </c>
      <c r="CM99" s="196">
        <f t="shared" ref="CM99:CM123" si="357">AD99/1490942*148236</f>
        <v>4951.404333748852</v>
      </c>
      <c r="CN99" s="589">
        <f t="shared" si="256"/>
        <v>7.1355363547561388E-4</v>
      </c>
      <c r="CO99" s="196">
        <f t="shared" ref="CO99:CO123" si="358">AD99/1490942*11859</f>
        <v>396.11635496051991</v>
      </c>
      <c r="CP99" s="589">
        <f t="shared" si="257"/>
        <v>7.4701443230476767E-4</v>
      </c>
      <c r="CQ99" s="196">
        <f>'Detailed Budget'!$AC$12</f>
        <v>292876014141.44696</v>
      </c>
      <c r="CR99" s="269">
        <f t="shared" si="328"/>
        <v>776480616.7722193</v>
      </c>
      <c r="CS99" s="269">
        <f>'Detailed Budget'!$AC$16</f>
        <v>10488008800.000002</v>
      </c>
      <c r="CT99" s="607">
        <f t="shared" si="329"/>
        <v>27806082.494781375</v>
      </c>
      <c r="CU99" s="269">
        <f>'Detailed Budget'!$AC$24</f>
        <v>30624985696</v>
      </c>
      <c r="CV99" s="269">
        <f t="shared" si="264"/>
        <v>81193770.174657792</v>
      </c>
      <c r="CW99" s="269"/>
      <c r="CX99" s="269">
        <f t="shared" si="249"/>
        <v>885480469.4416585</v>
      </c>
      <c r="CY99" s="196">
        <f>'Detailed Budget'!$AC$97</f>
        <v>74629165494.837845</v>
      </c>
      <c r="CZ99" s="269">
        <f t="shared" si="330"/>
        <v>0</v>
      </c>
      <c r="DA99" s="269">
        <f>'Detailed Budget'!$AC$100</f>
        <v>14925833098.967569</v>
      </c>
      <c r="DB99" s="269">
        <f t="shared" si="331"/>
        <v>0</v>
      </c>
      <c r="DC99" s="269">
        <f t="shared" si="238"/>
        <v>0</v>
      </c>
      <c r="DD99" s="207">
        <v>0</v>
      </c>
      <c r="DE99" s="606">
        <v>0</v>
      </c>
      <c r="DF99" s="269">
        <f>'Detailed Budget'!$AC$147</f>
        <v>5913600671000</v>
      </c>
      <c r="DG99" s="269">
        <f t="shared" si="258"/>
        <v>0</v>
      </c>
      <c r="DH99" s="269">
        <f>'Detailed Budget'!$AC$153</f>
        <v>226428026880.00003</v>
      </c>
      <c r="DI99" s="269"/>
      <c r="DJ99" s="269">
        <f>'Detailed Budget'!$AC$156</f>
        <v>27713070000</v>
      </c>
      <c r="DK99" s="269"/>
      <c r="DL99" s="269"/>
      <c r="DM99" s="196">
        <f>'Detailed Budget'!$AC$178</f>
        <v>5622683761.6229038</v>
      </c>
      <c r="DN99" s="269">
        <f t="shared" ref="DN99:DN123" si="359">BT99*BV99*DM99</f>
        <v>15382440.295852656</v>
      </c>
      <c r="DO99" s="196">
        <f>'Detailed Budget'!$AC$179</f>
        <v>26827890683.128094</v>
      </c>
      <c r="DP99" s="269">
        <f t="shared" ref="DP99:DP123" si="360">BT99*BX99*DO99</f>
        <v>73395276.688153863</v>
      </c>
      <c r="DQ99" s="269">
        <f t="shared" si="273"/>
        <v>88777716.984006524</v>
      </c>
      <c r="DR99" s="269">
        <f>'Detailed Budget'!$AC$181</f>
        <v>50888946855.375237</v>
      </c>
      <c r="DS99" s="269">
        <f t="shared" ref="DS99:DS123" si="361">BT99*AG99*DR99</f>
        <v>111316389.97222956</v>
      </c>
      <c r="DT99" s="269">
        <f t="shared" ref="DT99:DT123" si="362">DQ99+DS99</f>
        <v>200094106.95623606</v>
      </c>
      <c r="DU99" s="272">
        <f>'Detailed Budget'!$AC$192</f>
        <v>77498869683.252869</v>
      </c>
      <c r="DV99" s="269">
        <f t="shared" si="332"/>
        <v>0</v>
      </c>
      <c r="DW99" s="140">
        <f>'Detailed Budget'!$AC$194</f>
        <v>2684962805.4134097</v>
      </c>
      <c r="DX99" s="269">
        <f t="shared" si="333"/>
        <v>0</v>
      </c>
      <c r="DY99" s="607">
        <f t="shared" si="239"/>
        <v>0</v>
      </c>
      <c r="DZ99" s="196">
        <f>'Detailed Budget'!$AC$198</f>
        <v>18732540018.380611</v>
      </c>
      <c r="EA99" s="269">
        <f t="shared" si="334"/>
        <v>18625207.859054897</v>
      </c>
      <c r="EB99" s="196">
        <f>'Detailed Budget'!$AC$200</f>
        <v>4683135004.5951529</v>
      </c>
      <c r="EC99" s="269">
        <f t="shared" si="335"/>
        <v>4656301.9647637242</v>
      </c>
      <c r="ED99" s="269">
        <f t="shared" si="240"/>
        <v>23281509.82381862</v>
      </c>
      <c r="EE99" s="196">
        <f>'Detailed Budget'!$AC$161</f>
        <v>251147290106.36197</v>
      </c>
      <c r="EF99" s="269">
        <f t="shared" si="336"/>
        <v>243447848.30229396</v>
      </c>
      <c r="EG99" s="196">
        <f>'Detailed Budget'!$AC$163</f>
        <v>15696705631.647623</v>
      </c>
      <c r="EH99" s="269">
        <f t="shared" si="337"/>
        <v>15215490.518893372</v>
      </c>
      <c r="EI99" s="269">
        <f t="shared" si="241"/>
        <v>258663338.82118732</v>
      </c>
      <c r="EJ99" s="196">
        <f>'Detailed Budget'!$AC$204</f>
        <v>45012172507.531975</v>
      </c>
      <c r="EK99" s="269">
        <f t="shared" si="338"/>
        <v>44078958.292756468</v>
      </c>
      <c r="EL99" s="201">
        <f>'Detailed Budget'!$AC$206</f>
        <v>11253043126.882994</v>
      </c>
      <c r="EM99" s="269">
        <f t="shared" si="339"/>
        <v>11019739.573189117</v>
      </c>
      <c r="EN99" s="269">
        <f t="shared" si="242"/>
        <v>55098697.865945585</v>
      </c>
      <c r="EO99" s="140">
        <f>'Detailed Budget'!$AC$209</f>
        <v>135789361677.54817</v>
      </c>
      <c r="EP99" s="269">
        <f t="shared" si="340"/>
        <v>99768870.131188542</v>
      </c>
      <c r="EQ99" s="196">
        <f>'Detailed Budget'!$AC$211</f>
        <v>33947340419.387043</v>
      </c>
      <c r="ER99" s="269">
        <f t="shared" si="341"/>
        <v>24942217.532797135</v>
      </c>
      <c r="ES99" s="269">
        <f t="shared" si="243"/>
        <v>124711087.66398567</v>
      </c>
      <c r="ET99" s="196">
        <f>'Detailed Budget'!$AC$214</f>
        <v>22239745544.201103</v>
      </c>
      <c r="EU99" s="269">
        <f t="shared" si="342"/>
        <v>15869251.285117282</v>
      </c>
      <c r="EV99" s="140">
        <f>'Detailed Budget'!$AC$217</f>
        <v>5559936386.0502758</v>
      </c>
      <c r="EW99" s="269">
        <f t="shared" si="343"/>
        <v>3967312.8212793204</v>
      </c>
      <c r="EX99" s="269">
        <f t="shared" si="244"/>
        <v>19836564.106396601</v>
      </c>
      <c r="EY99" s="196">
        <f>'Detailed Budget'!$AC$219</f>
        <v>372777004.58170313</v>
      </c>
      <c r="EZ99" s="269">
        <f t="shared" si="344"/>
        <v>278469.80245387275</v>
      </c>
      <c r="FA99" s="196">
        <f>'Detailed Budget'!$AC$222</f>
        <v>93194251.145425782</v>
      </c>
      <c r="FB99" s="269">
        <f t="shared" si="345"/>
        <v>69617.450613468187</v>
      </c>
      <c r="FC99" s="269">
        <f t="shared" si="245"/>
        <v>348087.25306734093</v>
      </c>
      <c r="FD99" s="269"/>
      <c r="FE99" s="269">
        <f t="shared" si="246"/>
        <v>199994436.88939521</v>
      </c>
      <c r="FF99" s="140">
        <f>'Detailed Budget'!$AC$165</f>
        <v>14927760000</v>
      </c>
      <c r="FG99" s="1087">
        <f t="shared" si="259"/>
        <v>272805650.31957692</v>
      </c>
      <c r="FH99" s="269">
        <f t="shared" si="346"/>
        <v>18657579.820474949</v>
      </c>
      <c r="FJ99" s="140">
        <f>'Detailed Budget'!$AC$235</f>
        <v>3623696172</v>
      </c>
      <c r="FK99" s="269">
        <f t="shared" si="347"/>
        <v>4681778</v>
      </c>
      <c r="FL99" s="269">
        <f t="shared" si="260"/>
        <v>4681778</v>
      </c>
      <c r="FO99" s="607"/>
      <c r="FP99" s="607"/>
      <c r="FQ99" s="607"/>
      <c r="FR99" s="269">
        <f>'Detailed Budget'!$AC$257</f>
        <v>13636439388</v>
      </c>
      <c r="FS99" s="269">
        <f t="shared" si="348"/>
        <v>25483068</v>
      </c>
      <c r="FT99" s="269">
        <f t="shared" si="261"/>
        <v>25483068</v>
      </c>
      <c r="FU99" s="269"/>
      <c r="FV99" s="269"/>
      <c r="FW99" s="616"/>
      <c r="FX99" s="140">
        <f>'Detailed Budget'!$AC$278</f>
        <v>1114560000</v>
      </c>
      <c r="FY99" s="269">
        <f t="shared" si="349"/>
        <v>1440000</v>
      </c>
      <c r="FZ99" s="269">
        <f t="shared" si="262"/>
        <v>1440000</v>
      </c>
      <c r="GB99" s="269">
        <f t="shared" si="271"/>
        <v>1890581938.0723476</v>
      </c>
      <c r="GC99" s="887">
        <f t="shared" si="247"/>
        <v>1181613.7112952173</v>
      </c>
      <c r="GD99" s="1078">
        <f t="shared" si="272"/>
        <v>1.0608650581816923E-3</v>
      </c>
    </row>
    <row r="100" spans="1:186" hidden="1" outlineLevel="1">
      <c r="A100" s="211" t="s">
        <v>381</v>
      </c>
      <c r="B100" s="212" t="s">
        <v>382</v>
      </c>
      <c r="C100" s="213" t="s">
        <v>215</v>
      </c>
      <c r="D100" s="214" t="s">
        <v>215</v>
      </c>
      <c r="E100" s="213"/>
      <c r="F100" s="213"/>
      <c r="G100" s="213"/>
      <c r="H100" s="213" t="s">
        <v>215</v>
      </c>
      <c r="I100" s="214" t="s">
        <v>215</v>
      </c>
      <c r="J100" s="214"/>
      <c r="K100" s="213" t="s">
        <v>215</v>
      </c>
      <c r="L100" s="213"/>
      <c r="M100" s="214"/>
      <c r="N100" s="213"/>
      <c r="O100" s="214"/>
      <c r="P100" s="213"/>
      <c r="Q100" s="214"/>
      <c r="R100" s="214" t="s">
        <v>215</v>
      </c>
      <c r="S100" s="214"/>
      <c r="T100" s="214"/>
      <c r="U100" s="215">
        <f t="shared" si="350"/>
        <v>6</v>
      </c>
      <c r="V100" s="845" t="s">
        <v>219</v>
      </c>
      <c r="W100" s="216">
        <v>57347</v>
      </c>
      <c r="X100" s="217">
        <v>3.42</v>
      </c>
      <c r="Y100" s="218">
        <f t="shared" si="277"/>
        <v>1.0342</v>
      </c>
      <c r="Z100" s="196">
        <v>19</v>
      </c>
      <c r="AA100" s="218">
        <f t="shared" si="184"/>
        <v>1.8944630332534185</v>
      </c>
      <c r="AB100" s="196">
        <f t="shared" si="274"/>
        <v>108641.77156798379</v>
      </c>
      <c r="AC100">
        <v>19.899999999999999</v>
      </c>
      <c r="AD100" s="196">
        <f t="shared" si="275"/>
        <v>21619.71254202877</v>
      </c>
      <c r="AE100" s="196">
        <f t="shared" si="280"/>
        <v>20538.726914927331</v>
      </c>
      <c r="AF100" s="196">
        <f t="shared" si="351"/>
        <v>20538.726914927331</v>
      </c>
      <c r="AG100" s="606">
        <f t="shared" si="250"/>
        <v>9.4962056584560375E-4</v>
      </c>
      <c r="AH100" s="196">
        <f t="shared" ref="AH100:AH123" si="363">AB100*0.05</f>
        <v>5432.0885783991898</v>
      </c>
      <c r="AI100" s="248">
        <f t="shared" si="216"/>
        <v>4.2081567175047323E-4</v>
      </c>
      <c r="AJ100" s="196">
        <f t="shared" si="228"/>
        <v>27051.801120427961</v>
      </c>
      <c r="AK100" s="196">
        <f t="shared" si="278"/>
        <v>4345.6708627193511</v>
      </c>
      <c r="AL100" s="196">
        <f t="shared" si="279"/>
        <v>4345.6708627193511</v>
      </c>
      <c r="AM100" s="196">
        <f t="shared" si="229"/>
        <v>8691.3417254387023</v>
      </c>
      <c r="AN100" s="627">
        <f t="shared" si="230"/>
        <v>4.2081567175047317E-4</v>
      </c>
      <c r="AO100" s="196">
        <f t="shared" si="231"/>
        <v>4128.3873195833839</v>
      </c>
      <c r="AP100" s="589">
        <f t="shared" si="251"/>
        <v>4.2081567175047317E-4</v>
      </c>
      <c r="AQ100" s="196"/>
      <c r="AR100" s="589"/>
      <c r="AS100">
        <v>1</v>
      </c>
      <c r="AT100" s="589">
        <f t="shared" si="252"/>
        <v>1.2919896640826874E-3</v>
      </c>
      <c r="AU100" s="196">
        <v>10</v>
      </c>
      <c r="AV100" s="245">
        <f t="shared" si="232"/>
        <v>1.1362345188046814E-3</v>
      </c>
      <c r="AX100" s="245"/>
      <c r="AY100" s="245"/>
      <c r="AZ100" s="196">
        <v>35</v>
      </c>
      <c r="BA100" s="589">
        <f t="shared" si="265"/>
        <v>1.2824740757026126E-3</v>
      </c>
      <c r="BI100" s="196">
        <v>1</v>
      </c>
      <c r="BJ100" s="196">
        <f t="shared" si="352"/>
        <v>60356.538148800966</v>
      </c>
      <c r="BK100" s="246">
        <f t="shared" si="266"/>
        <v>1.1509627670945692E-3</v>
      </c>
      <c r="BL100" s="196">
        <f t="shared" ref="BL100:BL123" si="364">BJ100/50</f>
        <v>1207.1307629760192</v>
      </c>
      <c r="BM100" s="246">
        <f t="shared" si="267"/>
        <v>1.1509626354055909E-3</v>
      </c>
      <c r="BN100" s="196">
        <v>0</v>
      </c>
      <c r="BO100" s="196">
        <f t="shared" si="353"/>
        <v>7956.0905196559133</v>
      </c>
      <c r="BP100" s="196">
        <f t="shared" si="233"/>
        <v>0</v>
      </c>
      <c r="BQ100" s="248">
        <f t="shared" si="268"/>
        <v>0</v>
      </c>
      <c r="BR100" s="248"/>
      <c r="BS100" s="248"/>
      <c r="BT100" s="276">
        <v>1</v>
      </c>
      <c r="BU100" s="196">
        <f t="shared" ref="BU100:BU123" si="365">AD100*BT100*0.18*4*1.1</f>
        <v>17122.812333286787</v>
      </c>
      <c r="BV100" s="264">
        <f t="shared" si="269"/>
        <v>1.1876706967282125E-3</v>
      </c>
      <c r="BW100" s="196">
        <f t="shared" ref="BW100:BW123" si="366">AD100*BT100*0.77*4*1.1</f>
        <v>73247.586092393482</v>
      </c>
      <c r="BX100" s="247">
        <f t="shared" si="270"/>
        <v>1.1876707074267956E-3</v>
      </c>
      <c r="BY100" s="196">
        <f t="shared" si="276"/>
        <v>90370.398425680265</v>
      </c>
      <c r="BZ100" s="620">
        <v>0</v>
      </c>
      <c r="CA100" s="196">
        <f t="shared" si="324"/>
        <v>33244.382099803035</v>
      </c>
      <c r="CB100" s="196">
        <f t="shared" si="325"/>
        <v>66488.76419960607</v>
      </c>
      <c r="CC100" s="196">
        <f t="shared" si="248"/>
        <v>99733.146299409098</v>
      </c>
      <c r="CD100" s="247">
        <f t="shared" si="236"/>
        <v>4.2081567175047312E-4</v>
      </c>
      <c r="CE100" s="196">
        <f t="shared" si="354"/>
        <v>9995.511067742611</v>
      </c>
      <c r="CF100" s="247">
        <f t="shared" si="237"/>
        <v>4.3163725340145202E-4</v>
      </c>
      <c r="CG100" s="196">
        <f t="shared" si="326"/>
        <v>16513.549278333536</v>
      </c>
      <c r="CH100" s="589">
        <f t="shared" si="253"/>
        <v>4.2081567175047317E-4</v>
      </c>
      <c r="CI100" s="196">
        <f t="shared" si="355"/>
        <v>25859.139131921289</v>
      </c>
      <c r="CJ100" s="248">
        <f t="shared" si="254"/>
        <v>4.2512418168961233E-4</v>
      </c>
      <c r="CK100" s="196">
        <f t="shared" si="356"/>
        <v>22188.589763769342</v>
      </c>
      <c r="CL100" s="589">
        <f t="shared" si="255"/>
        <v>3.1896554185238126E-4</v>
      </c>
      <c r="CM100" s="196">
        <f t="shared" si="357"/>
        <v>2149.5267477743446</v>
      </c>
      <c r="CN100" s="589">
        <f t="shared" si="256"/>
        <v>3.0977123297566976E-4</v>
      </c>
      <c r="CO100" s="196">
        <f t="shared" si="358"/>
        <v>171.96387990674296</v>
      </c>
      <c r="CP100" s="589">
        <f t="shared" si="257"/>
        <v>3.2429739019047604E-4</v>
      </c>
      <c r="CQ100" s="196">
        <f>'Detailed Budget'!$AC$12</f>
        <v>292876014141.44696</v>
      </c>
      <c r="CR100" s="269">
        <f t="shared" si="328"/>
        <v>337089387.65186799</v>
      </c>
      <c r="CS100" s="269">
        <f>'Detailed Budget'!$AC$16</f>
        <v>10488008800.000002</v>
      </c>
      <c r="CT100" s="607">
        <f t="shared" si="329"/>
        <v>12071306.248605032</v>
      </c>
      <c r="CU100" s="269">
        <f>'Detailed Budget'!$AC$24</f>
        <v>30624985696</v>
      </c>
      <c r="CV100" s="269">
        <f t="shared" si="264"/>
        <v>35248218.278899759</v>
      </c>
      <c r="CW100" s="269"/>
      <c r="CX100" s="269">
        <f t="shared" si="249"/>
        <v>384408912.17937279</v>
      </c>
      <c r="CY100" s="196">
        <f>'Detailed Budget'!$AC$97</f>
        <v>74629165494.837845</v>
      </c>
      <c r="CZ100" s="269">
        <f t="shared" si="330"/>
        <v>0</v>
      </c>
      <c r="DA100" s="269">
        <f>'Detailed Budget'!$AC$100</f>
        <v>14925833098.967569</v>
      </c>
      <c r="DB100" s="269">
        <f t="shared" si="331"/>
        <v>0</v>
      </c>
      <c r="DC100" s="269">
        <f t="shared" si="238"/>
        <v>0</v>
      </c>
      <c r="DD100" s="207">
        <v>0</v>
      </c>
      <c r="DE100" s="606">
        <v>0</v>
      </c>
      <c r="DF100" s="269">
        <f>'Detailed Budget'!$AC$147</f>
        <v>5913600671000</v>
      </c>
      <c r="DG100" s="269">
        <f t="shared" si="258"/>
        <v>0</v>
      </c>
      <c r="DH100" s="269">
        <f>'Detailed Budget'!$AC$153</f>
        <v>226428026880.00003</v>
      </c>
      <c r="DI100" s="269"/>
      <c r="DJ100" s="269">
        <f>'Detailed Budget'!$AC$156</f>
        <v>27713070000</v>
      </c>
      <c r="DK100" s="269"/>
      <c r="DL100" s="269"/>
      <c r="DM100" s="196">
        <f>'Detailed Budget'!$AC$178</f>
        <v>5622683761.6229038</v>
      </c>
      <c r="DN100" s="269">
        <f t="shared" si="359"/>
        <v>6677896.7406490808</v>
      </c>
      <c r="DO100" s="196">
        <f>'Detailed Budget'!$AC$179</f>
        <v>26827890683.128094</v>
      </c>
      <c r="DP100" s="269">
        <f t="shared" si="360"/>
        <v>31862699.906399481</v>
      </c>
      <c r="DQ100" s="269">
        <f t="shared" si="273"/>
        <v>38540596.647048563</v>
      </c>
      <c r="DR100" s="269">
        <f>'Detailed Budget'!$AC$181</f>
        <v>50888946855.375237</v>
      </c>
      <c r="DS100" s="269">
        <f t="shared" si="361"/>
        <v>48325190.508088291</v>
      </c>
      <c r="DT100" s="269">
        <f t="shared" si="362"/>
        <v>86865787.155136853</v>
      </c>
      <c r="DU100" s="272">
        <f>'Detailed Budget'!$AC$192</f>
        <v>77498869683.252869</v>
      </c>
      <c r="DV100" s="269">
        <f t="shared" si="332"/>
        <v>0</v>
      </c>
      <c r="DW100" s="140">
        <f>'Detailed Budget'!$AC$194</f>
        <v>2684962805.4134097</v>
      </c>
      <c r="DX100" s="269">
        <f t="shared" si="333"/>
        <v>0</v>
      </c>
      <c r="DY100" s="607">
        <f t="shared" si="239"/>
        <v>0</v>
      </c>
      <c r="DZ100" s="196">
        <f>'Detailed Budget'!$AC$198</f>
        <v>18732540018.380611</v>
      </c>
      <c r="EA100" s="269">
        <f t="shared" si="334"/>
        <v>8085662.1227665925</v>
      </c>
      <c r="EB100" s="196">
        <f>'Detailed Budget'!$AC$200</f>
        <v>4683135004.5951529</v>
      </c>
      <c r="EC100" s="269">
        <f t="shared" si="335"/>
        <v>2021415.5306916481</v>
      </c>
      <c r="ED100" s="269">
        <f t="shared" si="240"/>
        <v>10107077.653458241</v>
      </c>
      <c r="EE100" s="196">
        <f>'Detailed Budget'!$AC$161</f>
        <v>251147290106.36197</v>
      </c>
      <c r="EF100" s="269">
        <f t="shared" si="336"/>
        <v>105686715.59441967</v>
      </c>
      <c r="EG100" s="196">
        <f>'Detailed Budget'!$AC$163</f>
        <v>15696705631.647623</v>
      </c>
      <c r="EH100" s="269">
        <f t="shared" si="337"/>
        <v>6605419.7246512296</v>
      </c>
      <c r="EI100" s="269">
        <f t="shared" si="241"/>
        <v>112292135.31907091</v>
      </c>
      <c r="EJ100" s="196">
        <f>'Detailed Budget'!$AC$204</f>
        <v>45012172507.531975</v>
      </c>
      <c r="EK100" s="269">
        <f t="shared" si="338"/>
        <v>19135763.003336195</v>
      </c>
      <c r="EL100" s="201">
        <f>'Detailed Budget'!$AC$206</f>
        <v>11253043126.882994</v>
      </c>
      <c r="EM100" s="269">
        <f t="shared" si="339"/>
        <v>4783940.7508340487</v>
      </c>
      <c r="EN100" s="269">
        <f t="shared" si="242"/>
        <v>23919703.754170243</v>
      </c>
      <c r="EO100" s="140">
        <f>'Detailed Budget'!$AC$209</f>
        <v>135789361677.54817</v>
      </c>
      <c r="EP100" s="269">
        <f t="shared" si="340"/>
        <v>43312127.325268127</v>
      </c>
      <c r="EQ100" s="196">
        <f>'Detailed Budget'!$AC$211</f>
        <v>33947340419.387043</v>
      </c>
      <c r="ER100" s="269">
        <f t="shared" si="341"/>
        <v>10828031.831317032</v>
      </c>
      <c r="ES100" s="269">
        <f t="shared" si="243"/>
        <v>54140159.156585157</v>
      </c>
      <c r="ET100" s="196">
        <f>'Detailed Budget'!$AC$214</f>
        <v>22239745544.201103</v>
      </c>
      <c r="EU100" s="269">
        <f t="shared" si="342"/>
        <v>6889233.3982923338</v>
      </c>
      <c r="EV100" s="140">
        <f>'Detailed Budget'!$AC$217</f>
        <v>5559936386.0502758</v>
      </c>
      <c r="EW100" s="269">
        <f t="shared" si="343"/>
        <v>1722308.3495730835</v>
      </c>
      <c r="EX100" s="269">
        <f t="shared" si="244"/>
        <v>8611541.747865418</v>
      </c>
      <c r="EY100" s="196">
        <f>'Detailed Budget'!$AC$219</f>
        <v>372777004.58170313</v>
      </c>
      <c r="EZ100" s="269">
        <f t="shared" si="344"/>
        <v>120890.60970886945</v>
      </c>
      <c r="FA100" s="196">
        <f>'Detailed Budget'!$AC$222</f>
        <v>93194251.145425782</v>
      </c>
      <c r="FB100" s="269">
        <f t="shared" si="345"/>
        <v>30222.652427217363</v>
      </c>
      <c r="FC100" s="269">
        <f t="shared" si="245"/>
        <v>151113.26213608682</v>
      </c>
      <c r="FD100" s="269"/>
      <c r="FE100" s="269">
        <f t="shared" si="246"/>
        <v>86822517.920756906</v>
      </c>
      <c r="FF100" s="140">
        <f>'Detailed Budget'!$AC$165</f>
        <v>14927760000</v>
      </c>
      <c r="FG100" s="1087">
        <f t="shared" si="259"/>
        <v>118431661.5609379</v>
      </c>
      <c r="FH100" s="269">
        <f t="shared" si="346"/>
        <v>16961436.200431772</v>
      </c>
      <c r="FJ100" s="140">
        <f>'Detailed Budget'!$AC$235</f>
        <v>3623696172</v>
      </c>
      <c r="FK100" s="269">
        <f t="shared" si="347"/>
        <v>4681778</v>
      </c>
      <c r="FL100" s="269">
        <f t="shared" si="260"/>
        <v>4681778</v>
      </c>
      <c r="FO100" s="607"/>
      <c r="FP100" s="607"/>
      <c r="FQ100" s="607"/>
      <c r="FR100" s="269">
        <f>'Detailed Budget'!$AC$257</f>
        <v>13636439388</v>
      </c>
      <c r="FS100" s="269">
        <f t="shared" si="348"/>
        <v>17488380</v>
      </c>
      <c r="FT100" s="269">
        <f t="shared" si="261"/>
        <v>17488380</v>
      </c>
      <c r="FU100" s="269"/>
      <c r="FV100" s="269"/>
      <c r="FW100" s="616"/>
      <c r="FX100" s="140">
        <f>'Detailed Budget'!$AC$278</f>
        <v>1114560000</v>
      </c>
      <c r="FY100" s="269">
        <f t="shared" si="349"/>
        <v>1440000</v>
      </c>
      <c r="FZ100" s="269">
        <f t="shared" si="262"/>
        <v>1440000</v>
      </c>
      <c r="GB100" s="269">
        <f t="shared" si="271"/>
        <v>839499685.98916543</v>
      </c>
      <c r="GC100" s="887">
        <f t="shared" si="247"/>
        <v>524687.30374322843</v>
      </c>
      <c r="GD100" s="1078">
        <f t="shared" si="272"/>
        <v>4.7106970890056587E-4</v>
      </c>
    </row>
    <row r="101" spans="1:186" hidden="1" outlineLevel="1">
      <c r="A101" s="211" t="s">
        <v>383</v>
      </c>
      <c r="B101" s="212" t="s">
        <v>384</v>
      </c>
      <c r="C101" s="213" t="s">
        <v>215</v>
      </c>
      <c r="D101" s="214" t="s">
        <v>215</v>
      </c>
      <c r="E101" s="213"/>
      <c r="F101" s="213"/>
      <c r="G101" s="213"/>
      <c r="H101" s="213" t="s">
        <v>215</v>
      </c>
      <c r="I101" s="214" t="s">
        <v>215</v>
      </c>
      <c r="J101" s="214"/>
      <c r="K101" s="213" t="s">
        <v>215</v>
      </c>
      <c r="L101" s="213"/>
      <c r="M101" s="214"/>
      <c r="N101" s="213"/>
      <c r="O101" s="214"/>
      <c r="P101" s="213"/>
      <c r="Q101" s="214"/>
      <c r="R101" s="214" t="s">
        <v>215</v>
      </c>
      <c r="S101" s="214"/>
      <c r="T101" s="214"/>
      <c r="U101" s="215">
        <f t="shared" si="350"/>
        <v>6</v>
      </c>
      <c r="V101" s="845" t="s">
        <v>219</v>
      </c>
      <c r="W101" s="216">
        <v>185553</v>
      </c>
      <c r="X101" s="217">
        <v>3.42</v>
      </c>
      <c r="Y101" s="218">
        <f t="shared" si="277"/>
        <v>1.0342</v>
      </c>
      <c r="Z101" s="196">
        <v>19</v>
      </c>
      <c r="AA101" s="218">
        <f t="shared" si="184"/>
        <v>1.8944630332534185</v>
      </c>
      <c r="AB101" s="196">
        <f t="shared" si="274"/>
        <v>351523.29920927156</v>
      </c>
      <c r="AC101">
        <v>19.899999999999999</v>
      </c>
      <c r="AD101" s="196">
        <f t="shared" si="275"/>
        <v>69953.136542645036</v>
      </c>
      <c r="AE101" s="196">
        <f t="shared" si="280"/>
        <v>66455.479715512774</v>
      </c>
      <c r="AF101" s="196">
        <f t="shared" si="351"/>
        <v>66455.479715512774</v>
      </c>
      <c r="AG101" s="606">
        <f t="shared" si="250"/>
        <v>3.072609637022849E-3</v>
      </c>
      <c r="AH101" s="196">
        <f t="shared" si="363"/>
        <v>17576.164960463579</v>
      </c>
      <c r="AI101" s="248">
        <f t="shared" si="216"/>
        <v>1.3615988689960339E-3</v>
      </c>
      <c r="AJ101" s="196">
        <f t="shared" si="228"/>
        <v>87529.301503108611</v>
      </c>
      <c r="AK101" s="196">
        <f t="shared" si="278"/>
        <v>14060.931968370862</v>
      </c>
      <c r="AL101" s="196">
        <f t="shared" si="279"/>
        <v>14060.931968370862</v>
      </c>
      <c r="AM101" s="196">
        <f t="shared" si="229"/>
        <v>28121.863936741724</v>
      </c>
      <c r="AN101" s="627">
        <f t="shared" si="230"/>
        <v>1.3615988689960339E-3</v>
      </c>
      <c r="AO101" s="196">
        <f t="shared" si="231"/>
        <v>13357.885369952319</v>
      </c>
      <c r="AP101" s="589">
        <f t="shared" si="251"/>
        <v>1.3615988689960339E-3</v>
      </c>
      <c r="AQ101" s="196"/>
      <c r="AR101" s="589"/>
      <c r="AS101">
        <v>1</v>
      </c>
      <c r="AT101" s="589">
        <f t="shared" si="252"/>
        <v>1.2919896640826874E-3</v>
      </c>
      <c r="AU101" s="196">
        <v>14</v>
      </c>
      <c r="AV101" s="245">
        <f t="shared" si="232"/>
        <v>1.5907283263265539E-3</v>
      </c>
      <c r="AX101" s="245"/>
      <c r="AY101" s="245"/>
      <c r="AZ101" s="196">
        <v>20</v>
      </c>
      <c r="BA101" s="589">
        <f t="shared" si="265"/>
        <v>7.3284232897292143E-4</v>
      </c>
      <c r="BI101" s="196">
        <v>1</v>
      </c>
      <c r="BJ101" s="196">
        <f t="shared" si="352"/>
        <v>195290.71656973279</v>
      </c>
      <c r="BK101" s="246">
        <f t="shared" si="266"/>
        <v>3.7240761386419276E-3</v>
      </c>
      <c r="BL101" s="196">
        <f t="shared" si="364"/>
        <v>3905.8143313946557</v>
      </c>
      <c r="BM101" s="246">
        <f t="shared" si="267"/>
        <v>3.7240757125466661E-3</v>
      </c>
      <c r="BN101" s="196">
        <v>0</v>
      </c>
      <c r="BO101" s="196">
        <f t="shared" si="353"/>
        <v>25742.871714191042</v>
      </c>
      <c r="BP101" s="196">
        <f t="shared" si="233"/>
        <v>0</v>
      </c>
      <c r="BQ101" s="248">
        <f t="shared" si="268"/>
        <v>0</v>
      </c>
      <c r="BR101" s="248"/>
      <c r="BS101" s="248"/>
      <c r="BT101" s="276">
        <v>1</v>
      </c>
      <c r="BU101" s="196">
        <f t="shared" si="365"/>
        <v>55402.884141774877</v>
      </c>
      <c r="BV101" s="264">
        <f t="shared" si="269"/>
        <v>3.8428489858233221E-3</v>
      </c>
      <c r="BW101" s="196">
        <f t="shared" si="366"/>
        <v>237001.22660648142</v>
      </c>
      <c r="BX101" s="247">
        <f t="shared" si="270"/>
        <v>3.8428490204398527E-3</v>
      </c>
      <c r="BY101" s="196">
        <f t="shared" si="276"/>
        <v>292404.11074825632</v>
      </c>
      <c r="BZ101" s="620">
        <v>0</v>
      </c>
      <c r="CA101" s="196">
        <f t="shared" si="324"/>
        <v>107566.12955803709</v>
      </c>
      <c r="CB101" s="196">
        <f t="shared" si="325"/>
        <v>215132.25911607419</v>
      </c>
      <c r="CC101" s="196">
        <f t="shared" si="248"/>
        <v>322698.38867411128</v>
      </c>
      <c r="CD101" s="247">
        <f t="shared" si="236"/>
        <v>1.3615988689960339E-3</v>
      </c>
      <c r="CE101" s="196">
        <f t="shared" si="354"/>
        <v>32341.658066731383</v>
      </c>
      <c r="CF101" s="247">
        <f t="shared" si="237"/>
        <v>1.3966133761208017E-3</v>
      </c>
      <c r="CG101" s="196">
        <f t="shared" si="326"/>
        <v>53431.541479809275</v>
      </c>
      <c r="CH101" s="589">
        <f t="shared" si="253"/>
        <v>1.3615988689960339E-3</v>
      </c>
      <c r="CI101" s="196">
        <f t="shared" si="355"/>
        <v>83670.302602496929</v>
      </c>
      <c r="CJ101" s="248">
        <f t="shared" si="254"/>
        <v>1.3755395624017411E-3</v>
      </c>
      <c r="CK101" s="196">
        <f t="shared" si="356"/>
        <v>71793.806065473225</v>
      </c>
      <c r="CL101" s="589">
        <f t="shared" si="255"/>
        <v>1.0320507295470539E-3</v>
      </c>
      <c r="CM101" s="196">
        <f t="shared" si="357"/>
        <v>6955.0479821049576</v>
      </c>
      <c r="CN101" s="589">
        <f t="shared" si="256"/>
        <v>1.0023014559145981E-3</v>
      </c>
      <c r="CO101" s="196">
        <f t="shared" si="358"/>
        <v>556.40946881852381</v>
      </c>
      <c r="CP101" s="589">
        <f t="shared" si="257"/>
        <v>1.0493025553562246E-3</v>
      </c>
      <c r="CQ101" s="196">
        <f>'Detailed Budget'!$AC$12</f>
        <v>292876014141.44696</v>
      </c>
      <c r="CR101" s="269">
        <f t="shared" si="328"/>
        <v>1090692575.8447185</v>
      </c>
      <c r="CS101" s="269">
        <f>'Detailed Budget'!$AC$16</f>
        <v>10488008800.000002</v>
      </c>
      <c r="CT101" s="607">
        <f t="shared" si="329"/>
        <v>39058138.845055714</v>
      </c>
      <c r="CU101" s="269">
        <f>'Detailed Budget'!$AC$24</f>
        <v>30624985696</v>
      </c>
      <c r="CV101" s="269">
        <f t="shared" si="264"/>
        <v>114049778.47672394</v>
      </c>
      <c r="CW101" s="269"/>
      <c r="CX101" s="269">
        <f t="shared" si="249"/>
        <v>1243800493.1664982</v>
      </c>
      <c r="CY101" s="196">
        <f>'Detailed Budget'!$AC$97</f>
        <v>74629165494.837845</v>
      </c>
      <c r="CZ101" s="269">
        <f t="shared" si="330"/>
        <v>0</v>
      </c>
      <c r="DA101" s="269">
        <f>'Detailed Budget'!$AC$100</f>
        <v>14925833098.967569</v>
      </c>
      <c r="DB101" s="269">
        <f t="shared" si="331"/>
        <v>0</v>
      </c>
      <c r="DC101" s="269">
        <f t="shared" si="238"/>
        <v>0</v>
      </c>
      <c r="DD101" s="207">
        <v>0</v>
      </c>
      <c r="DE101" s="606">
        <v>0</v>
      </c>
      <c r="DF101" s="269">
        <f>'Detailed Budget'!$AC$147</f>
        <v>5913600671000</v>
      </c>
      <c r="DG101" s="269">
        <f t="shared" si="258"/>
        <v>0</v>
      </c>
      <c r="DH101" s="269">
        <f>'Detailed Budget'!$AC$153</f>
        <v>226428026880.00003</v>
      </c>
      <c r="DI101" s="269"/>
      <c r="DJ101" s="269">
        <f>'Detailed Budget'!$AC$156</f>
        <v>27713070000</v>
      </c>
      <c r="DK101" s="269"/>
      <c r="DL101" s="269"/>
      <c r="DM101" s="196">
        <f>'Detailed Budget'!$AC$178</f>
        <v>5622683761.6229038</v>
      </c>
      <c r="DN101" s="269">
        <f t="shared" si="359"/>
        <v>21607124.590957839</v>
      </c>
      <c r="DO101" s="196">
        <f>'Detailed Budget'!$AC$179</f>
        <v>26827890683.128094</v>
      </c>
      <c r="DP101" s="269">
        <f t="shared" si="360"/>
        <v>103095533.43212624</v>
      </c>
      <c r="DQ101" s="269">
        <f t="shared" si="273"/>
        <v>124702658.02308407</v>
      </c>
      <c r="DR101" s="269">
        <f>'Detailed Budget'!$AC$181</f>
        <v>50888946855.375237</v>
      </c>
      <c r="DS101" s="269">
        <f t="shared" si="361"/>
        <v>156361868.52576956</v>
      </c>
      <c r="DT101" s="269">
        <f t="shared" si="362"/>
        <v>281064526.54885364</v>
      </c>
      <c r="DU101" s="272">
        <f>'Detailed Budget'!$AC$192</f>
        <v>77498869683.252869</v>
      </c>
      <c r="DV101" s="269">
        <f t="shared" si="332"/>
        <v>0</v>
      </c>
      <c r="DW101" s="140">
        <f>'Detailed Budget'!$AC$194</f>
        <v>2684962805.4134097</v>
      </c>
      <c r="DX101" s="269">
        <f t="shared" si="333"/>
        <v>0</v>
      </c>
      <c r="DY101" s="607">
        <f t="shared" si="239"/>
        <v>0</v>
      </c>
      <c r="DZ101" s="196">
        <f>'Detailed Budget'!$AC$198</f>
        <v>18732540018.380611</v>
      </c>
      <c r="EA101" s="269">
        <f t="shared" si="334"/>
        <v>26162115.958388571</v>
      </c>
      <c r="EB101" s="196">
        <f>'Detailed Budget'!$AC$200</f>
        <v>4683135004.5951529</v>
      </c>
      <c r="EC101" s="269">
        <f t="shared" si="335"/>
        <v>6540528.9895971427</v>
      </c>
      <c r="ED101" s="269">
        <f t="shared" si="240"/>
        <v>32702644.947985712</v>
      </c>
      <c r="EE101" s="196">
        <f>'Detailed Budget'!$AC$161</f>
        <v>251147290106.36197</v>
      </c>
      <c r="EF101" s="269">
        <f t="shared" si="336"/>
        <v>341961866.16024125</v>
      </c>
      <c r="EG101" s="196">
        <f>'Detailed Budget'!$AC$163</f>
        <v>15696705631.647623</v>
      </c>
      <c r="EH101" s="269">
        <f t="shared" si="337"/>
        <v>21372616.635015078</v>
      </c>
      <c r="EI101" s="269">
        <f t="shared" si="241"/>
        <v>363334482.79525632</v>
      </c>
      <c r="EJ101" s="196">
        <f>'Detailed Budget'!$AC$204</f>
        <v>45012172507.531975</v>
      </c>
      <c r="EK101" s="269">
        <f t="shared" si="338"/>
        <v>61916024.073762216</v>
      </c>
      <c r="EL101" s="201">
        <f>'Detailed Budget'!$AC$206</f>
        <v>11253043126.882994</v>
      </c>
      <c r="EM101" s="269">
        <f t="shared" si="339"/>
        <v>15479006.018440554</v>
      </c>
      <c r="EN101" s="269">
        <f t="shared" si="242"/>
        <v>77395030.092202768</v>
      </c>
      <c r="EO101" s="140">
        <f>'Detailed Budget'!$AC$209</f>
        <v>135789361677.54817</v>
      </c>
      <c r="EP101" s="269">
        <f t="shared" si="340"/>
        <v>140141509.78404236</v>
      </c>
      <c r="EQ101" s="196">
        <f>'Detailed Budget'!$AC$211</f>
        <v>33947340419.387043</v>
      </c>
      <c r="ER101" s="269">
        <f t="shared" si="341"/>
        <v>35035377.44601059</v>
      </c>
      <c r="ES101" s="269">
        <f t="shared" si="243"/>
        <v>175176887.23005295</v>
      </c>
      <c r="ET101" s="196">
        <f>'Detailed Budget'!$AC$214</f>
        <v>22239745544.201103</v>
      </c>
      <c r="EU101" s="269">
        <f t="shared" si="342"/>
        <v>22290929.33812296</v>
      </c>
      <c r="EV101" s="140">
        <f>'Detailed Budget'!$AC$217</f>
        <v>5559936386.0502758</v>
      </c>
      <c r="EW101" s="269">
        <f t="shared" si="343"/>
        <v>5572732.33453074</v>
      </c>
      <c r="EX101" s="269">
        <f t="shared" si="244"/>
        <v>27863661.672653701</v>
      </c>
      <c r="EY101" s="196">
        <f>'Detailed Budget'!$AC$219</f>
        <v>372777004.58170313</v>
      </c>
      <c r="EZ101" s="269">
        <f t="shared" si="344"/>
        <v>391155.86348562012</v>
      </c>
      <c r="FA101" s="196">
        <f>'Detailed Budget'!$AC$222</f>
        <v>93194251.145425782</v>
      </c>
      <c r="FB101" s="269">
        <f t="shared" si="345"/>
        <v>97788.965871405031</v>
      </c>
      <c r="FC101" s="269">
        <f t="shared" si="245"/>
        <v>488944.82935702516</v>
      </c>
      <c r="FD101" s="269"/>
      <c r="FE101" s="269">
        <f t="shared" si="246"/>
        <v>280924523.82426643</v>
      </c>
      <c r="FF101" s="140">
        <f>'Detailed Budget'!$AC$165</f>
        <v>14927760000</v>
      </c>
      <c r="FG101" s="1087">
        <f t="shared" si="259"/>
        <v>383199645.97305375</v>
      </c>
      <c r="FH101" s="269">
        <f t="shared" si="346"/>
        <v>23746010.68060448</v>
      </c>
      <c r="FJ101" s="140">
        <f>'Detailed Budget'!$AC$235</f>
        <v>3623696172</v>
      </c>
      <c r="FK101" s="269">
        <f t="shared" si="347"/>
        <v>4681778</v>
      </c>
      <c r="FL101" s="269">
        <f t="shared" si="260"/>
        <v>4681778</v>
      </c>
      <c r="FO101" s="607"/>
      <c r="FP101" s="607"/>
      <c r="FQ101" s="607"/>
      <c r="FR101" s="269">
        <f>'Detailed Budget'!$AC$257</f>
        <v>13636439388</v>
      </c>
      <c r="FS101" s="269">
        <f t="shared" si="348"/>
        <v>9993360</v>
      </c>
      <c r="FT101" s="269">
        <f t="shared" si="261"/>
        <v>9993360</v>
      </c>
      <c r="FU101" s="269"/>
      <c r="FV101" s="269"/>
      <c r="FW101" s="616"/>
      <c r="FX101" s="140">
        <f>'Detailed Budget'!$AC$278</f>
        <v>1114560000</v>
      </c>
      <c r="FY101" s="269">
        <f t="shared" si="349"/>
        <v>1440000</v>
      </c>
      <c r="FZ101" s="269">
        <f t="shared" si="262"/>
        <v>1440000</v>
      </c>
      <c r="GB101" s="269">
        <f t="shared" si="271"/>
        <v>2624887465.9365187</v>
      </c>
      <c r="GC101" s="887">
        <f t="shared" si="247"/>
        <v>1640554.6662103243</v>
      </c>
      <c r="GD101" s="1078">
        <f t="shared" si="272"/>
        <v>1.472907012488648E-3</v>
      </c>
    </row>
    <row r="102" spans="1:186" hidden="1" outlineLevel="1">
      <c r="A102" s="211" t="s">
        <v>385</v>
      </c>
      <c r="B102" s="212" t="s">
        <v>386</v>
      </c>
      <c r="C102" s="213" t="s">
        <v>215</v>
      </c>
      <c r="D102" s="214" t="s">
        <v>215</v>
      </c>
      <c r="E102" s="213"/>
      <c r="F102" s="213"/>
      <c r="G102" s="213"/>
      <c r="H102" s="213" t="s">
        <v>215</v>
      </c>
      <c r="I102" s="214" t="s">
        <v>215</v>
      </c>
      <c r="J102" s="214"/>
      <c r="K102" s="213" t="s">
        <v>215</v>
      </c>
      <c r="L102" s="213"/>
      <c r="M102" s="214"/>
      <c r="N102" s="213"/>
      <c r="O102" s="214"/>
      <c r="P102" s="213"/>
      <c r="Q102" s="214"/>
      <c r="R102" s="214" t="s">
        <v>215</v>
      </c>
      <c r="S102" s="214"/>
      <c r="T102" s="214"/>
      <c r="U102" s="215">
        <f t="shared" si="350"/>
        <v>6</v>
      </c>
      <c r="V102" s="845" t="s">
        <v>219</v>
      </c>
      <c r="W102" s="216">
        <v>172835</v>
      </c>
      <c r="X102" s="217">
        <v>3.42</v>
      </c>
      <c r="Y102" s="218">
        <f t="shared" si="277"/>
        <v>1.0342</v>
      </c>
      <c r="Z102" s="196">
        <v>19</v>
      </c>
      <c r="AA102" s="218">
        <f t="shared" si="184"/>
        <v>1.8944630332534185</v>
      </c>
      <c r="AB102" s="196">
        <f t="shared" si="274"/>
        <v>327429.51835235459</v>
      </c>
      <c r="AC102">
        <v>19.899999999999999</v>
      </c>
      <c r="AD102" s="196">
        <f t="shared" si="275"/>
        <v>65158.474152118557</v>
      </c>
      <c r="AE102" s="196">
        <f t="shared" si="280"/>
        <v>61900.550444512628</v>
      </c>
      <c r="AF102" s="196">
        <f t="shared" si="351"/>
        <v>61900.550444512628</v>
      </c>
      <c r="AG102" s="606">
        <f t="shared" si="250"/>
        <v>2.8620097040459825E-3</v>
      </c>
      <c r="AH102" s="196">
        <f t="shared" si="363"/>
        <v>16371.47591761773</v>
      </c>
      <c r="AI102" s="248">
        <f t="shared" si="216"/>
        <v>1.2682734341289525E-3</v>
      </c>
      <c r="AJ102" s="196">
        <f t="shared" si="228"/>
        <v>81529.950069736282</v>
      </c>
      <c r="AK102" s="196">
        <f t="shared" si="278"/>
        <v>13097.180734094183</v>
      </c>
      <c r="AL102" s="196">
        <f t="shared" si="279"/>
        <v>13097.180734094183</v>
      </c>
      <c r="AM102" s="196">
        <f t="shared" si="229"/>
        <v>26194.361468188366</v>
      </c>
      <c r="AN102" s="627">
        <f t="shared" si="230"/>
        <v>1.2682734341289525E-3</v>
      </c>
      <c r="AO102" s="196">
        <f t="shared" si="231"/>
        <v>12442.321697389474</v>
      </c>
      <c r="AP102" s="589">
        <f t="shared" si="251"/>
        <v>1.2682734341289525E-3</v>
      </c>
      <c r="AQ102" s="196"/>
      <c r="AR102" s="589"/>
      <c r="AS102">
        <v>1</v>
      </c>
      <c r="AT102" s="589">
        <f t="shared" si="252"/>
        <v>1.2919896640826874E-3</v>
      </c>
      <c r="AU102" s="196">
        <v>10</v>
      </c>
      <c r="AV102" s="245">
        <f t="shared" si="232"/>
        <v>1.1362345188046814E-3</v>
      </c>
      <c r="AX102" s="245"/>
      <c r="AY102" s="245"/>
      <c r="AZ102" s="196">
        <v>55</v>
      </c>
      <c r="BA102" s="589">
        <f t="shared" si="265"/>
        <v>2.015316404675534E-3</v>
      </c>
      <c r="BI102" s="196">
        <v>1</v>
      </c>
      <c r="BJ102" s="196">
        <f t="shared" si="352"/>
        <v>181905.28311765246</v>
      </c>
      <c r="BK102" s="246">
        <f t="shared" si="266"/>
        <v>3.4688239986536331E-3</v>
      </c>
      <c r="BL102" s="196">
        <f t="shared" si="364"/>
        <v>3638.1056623530494</v>
      </c>
      <c r="BM102" s="246">
        <f t="shared" si="267"/>
        <v>3.4688236017633941E-3</v>
      </c>
      <c r="BN102" s="196">
        <v>0</v>
      </c>
      <c r="BO102" s="196">
        <f t="shared" si="353"/>
        <v>23978.427903198597</v>
      </c>
      <c r="BP102" s="196">
        <f t="shared" si="233"/>
        <v>0</v>
      </c>
      <c r="BQ102" s="248">
        <f t="shared" si="268"/>
        <v>0</v>
      </c>
      <c r="BR102" s="248"/>
      <c r="BS102" s="248"/>
      <c r="BT102" s="276">
        <v>1</v>
      </c>
      <c r="BU102" s="196">
        <f t="shared" si="365"/>
        <v>51605.511528477895</v>
      </c>
      <c r="BV102" s="264">
        <f t="shared" si="269"/>
        <v>3.5794560285458805E-3</v>
      </c>
      <c r="BW102" s="196">
        <f t="shared" si="366"/>
        <v>220756.9104273777</v>
      </c>
      <c r="BX102" s="247">
        <f t="shared" si="270"/>
        <v>3.5794560607897577E-3</v>
      </c>
      <c r="BY102" s="196">
        <f t="shared" si="276"/>
        <v>272362.42195585562</v>
      </c>
      <c r="BZ102" s="620">
        <v>0</v>
      </c>
      <c r="CA102" s="196">
        <f t="shared" si="324"/>
        <v>100193.43261582049</v>
      </c>
      <c r="CB102" s="196">
        <f t="shared" si="325"/>
        <v>200386.86523164099</v>
      </c>
      <c r="CC102" s="196">
        <f t="shared" si="248"/>
        <v>300580.29784746148</v>
      </c>
      <c r="CD102" s="247">
        <f t="shared" si="236"/>
        <v>1.2682734341289523E-3</v>
      </c>
      <c r="CE102" s="196">
        <f t="shared" si="354"/>
        <v>30124.926419748095</v>
      </c>
      <c r="CF102" s="247">
        <f t="shared" si="237"/>
        <v>1.3008880096890849E-3</v>
      </c>
      <c r="CG102" s="196">
        <f t="shared" si="326"/>
        <v>49769.286789557897</v>
      </c>
      <c r="CH102" s="589">
        <f t="shared" si="253"/>
        <v>1.2682734341289525E-3</v>
      </c>
      <c r="CI102" s="196">
        <f t="shared" si="355"/>
        <v>77935.451058740931</v>
      </c>
      <c r="CJ102" s="248">
        <f t="shared" si="254"/>
        <v>1.2812586175793704E-3</v>
      </c>
      <c r="CK102" s="196">
        <f t="shared" si="356"/>
        <v>66872.982227859771</v>
      </c>
      <c r="CL102" s="589">
        <f t="shared" si="255"/>
        <v>9.6131287471108023E-4</v>
      </c>
      <c r="CM102" s="196">
        <f t="shared" si="357"/>
        <v>6478.3415950542985</v>
      </c>
      <c r="CN102" s="589">
        <f t="shared" si="256"/>
        <v>9.3360264793886137E-4</v>
      </c>
      <c r="CO102" s="196">
        <f t="shared" si="358"/>
        <v>518.27257195113827</v>
      </c>
      <c r="CP102" s="589">
        <f t="shared" si="257"/>
        <v>9.7738224202784693E-4</v>
      </c>
      <c r="CQ102" s="196">
        <f>'Detailed Budget'!$AC$12</f>
        <v>292876014141.44696</v>
      </c>
      <c r="CR102" s="269">
        <f t="shared" si="328"/>
        <v>1015935346.4838721</v>
      </c>
      <c r="CS102" s="269">
        <f>'Detailed Budget'!$AC$16</f>
        <v>10488008800.000002</v>
      </c>
      <c r="CT102" s="607">
        <f t="shared" si="329"/>
        <v>36381052.460942179</v>
      </c>
      <c r="CU102" s="269">
        <f>'Detailed Budget'!$AC$24</f>
        <v>30624985696</v>
      </c>
      <c r="CV102" s="269">
        <f t="shared" si="264"/>
        <v>106232685.34070903</v>
      </c>
      <c r="CW102" s="269"/>
      <c r="CX102" s="269">
        <f t="shared" si="249"/>
        <v>1158549084.2855232</v>
      </c>
      <c r="CY102" s="196">
        <f>'Detailed Budget'!$AC$97</f>
        <v>74629165494.837845</v>
      </c>
      <c r="CZ102" s="269">
        <f t="shared" si="330"/>
        <v>0</v>
      </c>
      <c r="DA102" s="269">
        <f>'Detailed Budget'!$AC$100</f>
        <v>14925833098.967569</v>
      </c>
      <c r="DB102" s="269">
        <f t="shared" si="331"/>
        <v>0</v>
      </c>
      <c r="DC102" s="269">
        <f t="shared" si="238"/>
        <v>0</v>
      </c>
      <c r="DD102" s="207">
        <v>0</v>
      </c>
      <c r="DE102" s="606">
        <v>0</v>
      </c>
      <c r="DF102" s="269">
        <f>'Detailed Budget'!$AC$147</f>
        <v>5913600671000</v>
      </c>
      <c r="DG102" s="269">
        <f t="shared" si="258"/>
        <v>0</v>
      </c>
      <c r="DH102" s="269">
        <f>'Detailed Budget'!$AC$153</f>
        <v>226428026880.00003</v>
      </c>
      <c r="DI102" s="269"/>
      <c r="DJ102" s="269">
        <f>'Detailed Budget'!$AC$156</f>
        <v>27713070000</v>
      </c>
      <c r="DK102" s="269"/>
      <c r="DL102" s="269"/>
      <c r="DM102" s="196">
        <f>'Detailed Budget'!$AC$178</f>
        <v>5622683761.6229038</v>
      </c>
      <c r="DN102" s="269">
        <f t="shared" si="359"/>
        <v>20126149.287148133</v>
      </c>
      <c r="DO102" s="196">
        <f>'Detailed Budget'!$AC$179</f>
        <v>26827890683.128094</v>
      </c>
      <c r="DP102" s="269">
        <f t="shared" si="360"/>
        <v>96029255.903927922</v>
      </c>
      <c r="DQ102" s="269">
        <f t="shared" si="273"/>
        <v>116155405.19107606</v>
      </c>
      <c r="DR102" s="269">
        <f>'Detailed Budget'!$AC$181</f>
        <v>50888946855.375237</v>
      </c>
      <c r="DS102" s="269">
        <f t="shared" si="361"/>
        <v>145644659.72876421</v>
      </c>
      <c r="DT102" s="269">
        <f t="shared" si="362"/>
        <v>261800064.91984028</v>
      </c>
      <c r="DU102" s="272">
        <f>'Detailed Budget'!$AC$192</f>
        <v>77498869683.252869</v>
      </c>
      <c r="DV102" s="269">
        <f t="shared" si="332"/>
        <v>0</v>
      </c>
      <c r="DW102" s="140">
        <f>'Detailed Budget'!$AC$194</f>
        <v>2684962805.4134097</v>
      </c>
      <c r="DX102" s="269">
        <f t="shared" si="333"/>
        <v>0</v>
      </c>
      <c r="DY102" s="607">
        <f t="shared" si="239"/>
        <v>0</v>
      </c>
      <c r="DZ102" s="196">
        <f>'Detailed Budget'!$AC$198</f>
        <v>18732540018.380611</v>
      </c>
      <c r="EA102" s="269">
        <f t="shared" si="334"/>
        <v>24368936.700932287</v>
      </c>
      <c r="EB102" s="196">
        <f>'Detailed Budget'!$AC$200</f>
        <v>4683135004.5951529</v>
      </c>
      <c r="EC102" s="269">
        <f t="shared" si="335"/>
        <v>6092234.1752330717</v>
      </c>
      <c r="ED102" s="269">
        <f t="shared" si="240"/>
        <v>30461170.87616536</v>
      </c>
      <c r="EE102" s="196">
        <f>'Detailed Budget'!$AC$161</f>
        <v>251147290106.36197</v>
      </c>
      <c r="EF102" s="269">
        <f t="shared" si="336"/>
        <v>318523436.09537601</v>
      </c>
      <c r="EG102" s="196">
        <f>'Detailed Budget'!$AC$163</f>
        <v>15696705631.647623</v>
      </c>
      <c r="EH102" s="269">
        <f t="shared" si="337"/>
        <v>19907714.755961001</v>
      </c>
      <c r="EI102" s="269">
        <f t="shared" si="241"/>
        <v>338431150.85133702</v>
      </c>
      <c r="EJ102" s="196">
        <f>'Detailed Budget'!$AC$204</f>
        <v>45012172507.531975</v>
      </c>
      <c r="EK102" s="269">
        <f t="shared" si="338"/>
        <v>57672233.921244562</v>
      </c>
      <c r="EL102" s="201">
        <f>'Detailed Budget'!$AC$206</f>
        <v>11253043126.882994</v>
      </c>
      <c r="EM102" s="269">
        <f t="shared" si="339"/>
        <v>14418058.48031114</v>
      </c>
      <c r="EN102" s="269">
        <f t="shared" si="242"/>
        <v>72090292.401555702</v>
      </c>
      <c r="EO102" s="140">
        <f>'Detailed Budget'!$AC$209</f>
        <v>135789361677.54817</v>
      </c>
      <c r="EP102" s="269">
        <f t="shared" si="340"/>
        <v>130536061.62942642</v>
      </c>
      <c r="EQ102" s="196">
        <f>'Detailed Budget'!$AC$211</f>
        <v>33947340419.387043</v>
      </c>
      <c r="ER102" s="269">
        <f t="shared" si="341"/>
        <v>32634015.407356605</v>
      </c>
      <c r="ES102" s="269">
        <f t="shared" si="243"/>
        <v>163170077.03678304</v>
      </c>
      <c r="ET102" s="196">
        <f>'Detailed Budget'!$AC$214</f>
        <v>22239745544.201103</v>
      </c>
      <c r="EU102" s="269">
        <f t="shared" si="342"/>
        <v>20763085.329552643</v>
      </c>
      <c r="EV102" s="140">
        <f>'Detailed Budget'!$AC$217</f>
        <v>5559936386.0502758</v>
      </c>
      <c r="EW102" s="269">
        <f t="shared" si="343"/>
        <v>5190771.3323881608</v>
      </c>
      <c r="EX102" s="269">
        <f t="shared" si="244"/>
        <v>25953856.661940806</v>
      </c>
      <c r="EY102" s="196">
        <f>'Detailed Budget'!$AC$219</f>
        <v>372777004.58170313</v>
      </c>
      <c r="EZ102" s="269">
        <f t="shared" si="344"/>
        <v>364345.62451448996</v>
      </c>
      <c r="FA102" s="196">
        <f>'Detailed Budget'!$AC$222</f>
        <v>93194251.145425782</v>
      </c>
      <c r="FB102" s="269">
        <f t="shared" si="345"/>
        <v>91086.40612862249</v>
      </c>
      <c r="FC102" s="269">
        <f t="shared" si="245"/>
        <v>455432.03064311243</v>
      </c>
      <c r="FD102" s="269"/>
      <c r="FE102" s="269">
        <f t="shared" si="246"/>
        <v>261669658.13092268</v>
      </c>
      <c r="FF102" s="140">
        <f>'Detailed Budget'!$AC$165</f>
        <v>14927760000</v>
      </c>
      <c r="FG102" s="1087">
        <f t="shared" si="259"/>
        <v>356934734.61357534</v>
      </c>
      <c r="FH102" s="269">
        <f t="shared" si="346"/>
        <v>16961436.200431772</v>
      </c>
      <c r="FJ102" s="140">
        <f>'Detailed Budget'!$AC$235</f>
        <v>3623696172</v>
      </c>
      <c r="FK102" s="269">
        <f t="shared" si="347"/>
        <v>4681778</v>
      </c>
      <c r="FL102" s="269">
        <f t="shared" si="260"/>
        <v>4681778</v>
      </c>
      <c r="FO102" s="607"/>
      <c r="FP102" s="607"/>
      <c r="FQ102" s="607"/>
      <c r="FR102" s="269">
        <f>'Detailed Budget'!$AC$257</f>
        <v>13636439388</v>
      </c>
      <c r="FS102" s="269">
        <f t="shared" si="348"/>
        <v>27481740</v>
      </c>
      <c r="FT102" s="269">
        <f t="shared" si="261"/>
        <v>27481740</v>
      </c>
      <c r="FU102" s="269"/>
      <c r="FV102" s="269"/>
      <c r="FW102" s="616"/>
      <c r="FX102" s="140">
        <f>'Detailed Budget'!$AC$278</f>
        <v>1114560000</v>
      </c>
      <c r="FY102" s="269">
        <f t="shared" si="349"/>
        <v>1440000</v>
      </c>
      <c r="FZ102" s="269">
        <f t="shared" si="262"/>
        <v>1440000</v>
      </c>
      <c r="GB102" s="269">
        <f t="shared" si="271"/>
        <v>2458410817.8777957</v>
      </c>
      <c r="GC102" s="887">
        <f t="shared" si="247"/>
        <v>1536506.7611736222</v>
      </c>
      <c r="GD102" s="1078">
        <f t="shared" si="272"/>
        <v>1.3794917230625879E-3</v>
      </c>
    </row>
    <row r="103" spans="1:186" hidden="1" outlineLevel="1">
      <c r="A103" s="211" t="s">
        <v>387</v>
      </c>
      <c r="B103" s="212" t="s">
        <v>388</v>
      </c>
      <c r="C103" s="213" t="s">
        <v>215</v>
      </c>
      <c r="D103" s="214" t="s">
        <v>215</v>
      </c>
      <c r="E103" s="213"/>
      <c r="F103" s="213"/>
      <c r="G103" s="213"/>
      <c r="H103" s="213" t="s">
        <v>215</v>
      </c>
      <c r="I103" s="214" t="s">
        <v>215</v>
      </c>
      <c r="J103" s="214"/>
      <c r="K103" s="213" t="s">
        <v>215</v>
      </c>
      <c r="L103" s="213"/>
      <c r="M103" s="214"/>
      <c r="N103" s="213"/>
      <c r="O103" s="214"/>
      <c r="P103" s="213"/>
      <c r="Q103" s="214"/>
      <c r="R103" s="214" t="s">
        <v>215</v>
      </c>
      <c r="S103" s="214"/>
      <c r="T103" s="214"/>
      <c r="U103" s="215">
        <f t="shared" si="350"/>
        <v>6</v>
      </c>
      <c r="V103" s="845" t="s">
        <v>219</v>
      </c>
      <c r="W103" s="216">
        <v>148136</v>
      </c>
      <c r="X103" s="217">
        <v>3.42</v>
      </c>
      <c r="Y103" s="218">
        <f t="shared" si="277"/>
        <v>1.0342</v>
      </c>
      <c r="Z103" s="196">
        <v>19</v>
      </c>
      <c r="AA103" s="218">
        <f t="shared" si="184"/>
        <v>1.8944630332534185</v>
      </c>
      <c r="AB103" s="196">
        <f t="shared" si="274"/>
        <v>280638.17589402839</v>
      </c>
      <c r="AC103">
        <v>19.899999999999999</v>
      </c>
      <c r="AD103" s="196">
        <f t="shared" si="275"/>
        <v>55846.997002911645</v>
      </c>
      <c r="AE103" s="196">
        <f t="shared" si="280"/>
        <v>53054.647152766061</v>
      </c>
      <c r="AF103" s="196">
        <f t="shared" si="351"/>
        <v>53054.647152766061</v>
      </c>
      <c r="AG103" s="606">
        <f t="shared" si="250"/>
        <v>2.4530139700787205E-3</v>
      </c>
      <c r="AH103" s="196">
        <f t="shared" si="363"/>
        <v>14031.90879470142</v>
      </c>
      <c r="AI103" s="248">
        <f t="shared" si="216"/>
        <v>1.0870307139070588E-3</v>
      </c>
      <c r="AJ103" s="196">
        <f t="shared" si="228"/>
        <v>69878.905797613057</v>
      </c>
      <c r="AK103" s="196">
        <f t="shared" si="278"/>
        <v>11225.527035761135</v>
      </c>
      <c r="AL103" s="196">
        <f t="shared" si="279"/>
        <v>11225.527035761135</v>
      </c>
      <c r="AM103" s="196">
        <f t="shared" si="229"/>
        <v>22451.054071522271</v>
      </c>
      <c r="AN103" s="627">
        <f t="shared" si="230"/>
        <v>1.0870307139070586E-3</v>
      </c>
      <c r="AO103" s="196">
        <f t="shared" si="231"/>
        <v>10664.250683973078</v>
      </c>
      <c r="AP103" s="589">
        <f t="shared" si="251"/>
        <v>1.0870307139070586E-3</v>
      </c>
      <c r="AQ103" s="196"/>
      <c r="AR103" s="589"/>
      <c r="AS103">
        <v>1</v>
      </c>
      <c r="AT103" s="589">
        <f t="shared" si="252"/>
        <v>1.2919896640826874E-3</v>
      </c>
      <c r="AU103" s="196">
        <v>10</v>
      </c>
      <c r="AV103" s="245">
        <f t="shared" si="232"/>
        <v>1.1362345188046814E-3</v>
      </c>
      <c r="AX103" s="245"/>
      <c r="AY103" s="245"/>
      <c r="AZ103" s="196">
        <v>70</v>
      </c>
      <c r="BA103" s="589">
        <f t="shared" si="265"/>
        <v>2.5649481514052252E-3</v>
      </c>
      <c r="BI103" s="196">
        <v>1</v>
      </c>
      <c r="BJ103" s="196">
        <f t="shared" si="352"/>
        <v>155910.09355695642</v>
      </c>
      <c r="BK103" s="246">
        <f t="shared" si="266"/>
        <v>2.9731114176211678E-3</v>
      </c>
      <c r="BL103" s="196">
        <f t="shared" si="364"/>
        <v>3118.2018711391283</v>
      </c>
      <c r="BM103" s="246">
        <f t="shared" si="267"/>
        <v>2.9731110774485611E-3</v>
      </c>
      <c r="BN103" s="196">
        <v>0</v>
      </c>
      <c r="BO103" s="196">
        <f t="shared" si="353"/>
        <v>20551.788676299515</v>
      </c>
      <c r="BP103" s="196">
        <f t="shared" si="233"/>
        <v>0</v>
      </c>
      <c r="BQ103" s="248">
        <f t="shared" si="268"/>
        <v>0</v>
      </c>
      <c r="BR103" s="248"/>
      <c r="BS103" s="248"/>
      <c r="BT103" s="276">
        <v>1</v>
      </c>
      <c r="BU103" s="196">
        <f t="shared" si="365"/>
        <v>44230.821626306024</v>
      </c>
      <c r="BV103" s="264">
        <f t="shared" si="269"/>
        <v>3.0679335681122024E-3</v>
      </c>
      <c r="BW103" s="196">
        <f t="shared" si="366"/>
        <v>189209.62584586468</v>
      </c>
      <c r="BX103" s="247">
        <f t="shared" si="270"/>
        <v>3.0679335957482659E-3</v>
      </c>
      <c r="BY103" s="196">
        <f t="shared" si="276"/>
        <v>233440.44747217069</v>
      </c>
      <c r="BZ103" s="620">
        <v>0</v>
      </c>
      <c r="CA103" s="196">
        <f t="shared" si="324"/>
        <v>85875.281823572674</v>
      </c>
      <c r="CB103" s="196">
        <f t="shared" si="325"/>
        <v>171750.56364714535</v>
      </c>
      <c r="CC103" s="196">
        <f t="shared" si="248"/>
        <v>257625.84547071802</v>
      </c>
      <c r="CD103" s="247">
        <f t="shared" si="236"/>
        <v>1.0870307139070586E-3</v>
      </c>
      <c r="CE103" s="196">
        <f t="shared" si="354"/>
        <v>25819.921312904236</v>
      </c>
      <c r="CF103" s="247">
        <f t="shared" si="237"/>
        <v>1.1149845008435924E-3</v>
      </c>
      <c r="CG103" s="196">
        <f t="shared" si="326"/>
        <v>42657.002735892311</v>
      </c>
      <c r="CH103" s="589">
        <f t="shared" si="253"/>
        <v>1.0870307139070586E-3</v>
      </c>
      <c r="CI103" s="196">
        <f t="shared" si="355"/>
        <v>66798.078965705135</v>
      </c>
      <c r="CJ103" s="248">
        <f t="shared" si="254"/>
        <v>1.09816024864025E-3</v>
      </c>
      <c r="CK103" s="196">
        <f t="shared" si="356"/>
        <v>57316.493159986319</v>
      </c>
      <c r="CL103" s="589">
        <f t="shared" si="255"/>
        <v>8.2393637867446174E-4</v>
      </c>
      <c r="CM103" s="196">
        <f t="shared" si="357"/>
        <v>5552.5536524718</v>
      </c>
      <c r="CN103" s="589">
        <f t="shared" si="256"/>
        <v>8.0018608415582016E-4</v>
      </c>
      <c r="CO103" s="196">
        <f t="shared" si="358"/>
        <v>444.20878710072509</v>
      </c>
      <c r="CP103" s="589">
        <f t="shared" si="257"/>
        <v>8.3770935172295617E-4</v>
      </c>
      <c r="CQ103" s="196">
        <f>'Detailed Budget'!$AC$12</f>
        <v>292876014141.44696</v>
      </c>
      <c r="CR103" s="269">
        <f t="shared" si="328"/>
        <v>870753021.59131455</v>
      </c>
      <c r="CS103" s="269">
        <f>'Detailed Budget'!$AC$16</f>
        <v>10488008800.000002</v>
      </c>
      <c r="CT103" s="607">
        <f t="shared" si="329"/>
        <v>31182015.143657997</v>
      </c>
      <c r="CU103" s="269">
        <f>'Detailed Budget'!$AC$24</f>
        <v>30624985696</v>
      </c>
      <c r="CV103" s="269">
        <f t="shared" si="264"/>
        <v>91051494.637262538</v>
      </c>
      <c r="CW103" s="269"/>
      <c r="CX103" s="269">
        <f t="shared" si="249"/>
        <v>992986531.37223518</v>
      </c>
      <c r="CY103" s="196">
        <f>'Detailed Budget'!$AC$97</f>
        <v>74629165494.837845</v>
      </c>
      <c r="CZ103" s="269">
        <f t="shared" si="330"/>
        <v>0</v>
      </c>
      <c r="DA103" s="269">
        <f>'Detailed Budget'!$AC$100</f>
        <v>14925833098.967569</v>
      </c>
      <c r="DB103" s="269">
        <f t="shared" si="331"/>
        <v>0</v>
      </c>
      <c r="DC103" s="269">
        <f t="shared" si="238"/>
        <v>0</v>
      </c>
      <c r="DD103" s="207">
        <v>0</v>
      </c>
      <c r="DE103" s="606">
        <v>0</v>
      </c>
      <c r="DF103" s="269">
        <f>'Detailed Budget'!$AC$147</f>
        <v>5913600671000</v>
      </c>
      <c r="DG103" s="269">
        <f t="shared" si="258"/>
        <v>0</v>
      </c>
      <c r="DH103" s="269">
        <f>'Detailed Budget'!$AC$153</f>
        <v>226428026880.00003</v>
      </c>
      <c r="DI103" s="269"/>
      <c r="DJ103" s="269">
        <f>'Detailed Budget'!$AC$156</f>
        <v>27713070000</v>
      </c>
      <c r="DK103" s="269"/>
      <c r="DL103" s="269"/>
      <c r="DM103" s="196">
        <f>'Detailed Budget'!$AC$178</f>
        <v>5622683761.6229038</v>
      </c>
      <c r="DN103" s="269">
        <f t="shared" si="359"/>
        <v>17250020.255162295</v>
      </c>
      <c r="DO103" s="196">
        <f>'Detailed Budget'!$AC$179</f>
        <v>26827890683.128094</v>
      </c>
      <c r="DP103" s="269">
        <f t="shared" si="360"/>
        <v>82306187.129830569</v>
      </c>
      <c r="DQ103" s="269">
        <f t="shared" si="273"/>
        <v>99556207.384992868</v>
      </c>
      <c r="DR103" s="269">
        <f>'Detailed Budget'!$AC$181</f>
        <v>50888946855.375237</v>
      </c>
      <c r="DS103" s="269">
        <f t="shared" si="361"/>
        <v>124831297.55882902</v>
      </c>
      <c r="DT103" s="269">
        <f t="shared" si="362"/>
        <v>224387504.94382191</v>
      </c>
      <c r="DU103" s="272">
        <f>'Detailed Budget'!$AC$192</f>
        <v>77498869683.252869</v>
      </c>
      <c r="DV103" s="269">
        <f t="shared" si="332"/>
        <v>0</v>
      </c>
      <c r="DW103" s="140">
        <f>'Detailed Budget'!$AC$194</f>
        <v>2684962805.4134097</v>
      </c>
      <c r="DX103" s="269">
        <f t="shared" si="333"/>
        <v>0</v>
      </c>
      <c r="DY103" s="607">
        <f t="shared" si="239"/>
        <v>0</v>
      </c>
      <c r="DZ103" s="196">
        <f>'Detailed Budget'!$AC$198</f>
        <v>18732540018.380611</v>
      </c>
      <c r="EA103" s="269">
        <f t="shared" si="334"/>
        <v>20886491.781926725</v>
      </c>
      <c r="EB103" s="196">
        <f>'Detailed Budget'!$AC$200</f>
        <v>4683135004.5951529</v>
      </c>
      <c r="EC103" s="269">
        <f t="shared" si="335"/>
        <v>5221622.9454816813</v>
      </c>
      <c r="ED103" s="269">
        <f t="shared" si="240"/>
        <v>26108114.727408405</v>
      </c>
      <c r="EE103" s="196">
        <f>'Detailed Budget'!$AC$161</f>
        <v>251147290106.36197</v>
      </c>
      <c r="EF103" s="269">
        <f t="shared" si="336"/>
        <v>273004818.0601418</v>
      </c>
      <c r="EG103" s="196">
        <f>'Detailed Budget'!$AC$163</f>
        <v>15696705631.647623</v>
      </c>
      <c r="EH103" s="269">
        <f t="shared" si="337"/>
        <v>17062801.128758863</v>
      </c>
      <c r="EI103" s="269">
        <f t="shared" si="241"/>
        <v>290067619.18890065</v>
      </c>
      <c r="EJ103" s="196">
        <f>'Detailed Budget'!$AC$204</f>
        <v>45012172507.531975</v>
      </c>
      <c r="EK103" s="269">
        <f t="shared" si="338"/>
        <v>49430578.55270914</v>
      </c>
      <c r="EL103" s="201">
        <f>'Detailed Budget'!$AC$206</f>
        <v>11253043126.882994</v>
      </c>
      <c r="EM103" s="269">
        <f t="shared" si="339"/>
        <v>12357644.638177285</v>
      </c>
      <c r="EN103" s="269">
        <f t="shared" si="242"/>
        <v>61788223.190886423</v>
      </c>
      <c r="EO103" s="140">
        <f>'Detailed Budget'!$AC$209</f>
        <v>135789361677.54817</v>
      </c>
      <c r="EP103" s="269">
        <f t="shared" si="340"/>
        <v>111881794.92311577</v>
      </c>
      <c r="EQ103" s="196">
        <f>'Detailed Budget'!$AC$211</f>
        <v>33947340419.387043</v>
      </c>
      <c r="ER103" s="269">
        <f t="shared" si="341"/>
        <v>27970448.730778944</v>
      </c>
      <c r="ES103" s="269">
        <f t="shared" si="243"/>
        <v>139852243.65389472</v>
      </c>
      <c r="ET103" s="196">
        <f>'Detailed Budget'!$AC$214</f>
        <v>22239745544.201103</v>
      </c>
      <c r="EU103" s="269">
        <f t="shared" si="342"/>
        <v>17795934.899636131</v>
      </c>
      <c r="EV103" s="140">
        <f>'Detailed Budget'!$AC$217</f>
        <v>5559936386.0502758</v>
      </c>
      <c r="EW103" s="269">
        <f t="shared" si="343"/>
        <v>4448983.7249090327</v>
      </c>
      <c r="EX103" s="269">
        <f t="shared" si="244"/>
        <v>22244918.624545164</v>
      </c>
      <c r="EY103" s="196">
        <f>'Detailed Budget'!$AC$219</f>
        <v>372777004.58170313</v>
      </c>
      <c r="EZ103" s="269">
        <f t="shared" si="344"/>
        <v>312278.78284536401</v>
      </c>
      <c r="FA103" s="196">
        <f>'Detailed Budget'!$AC$222</f>
        <v>93194251.145425782</v>
      </c>
      <c r="FB103" s="269">
        <f t="shared" si="345"/>
        <v>78069.695711341003</v>
      </c>
      <c r="FC103" s="269">
        <f t="shared" si="245"/>
        <v>390348.478556705</v>
      </c>
      <c r="FD103" s="269"/>
      <c r="FE103" s="269">
        <f t="shared" si="246"/>
        <v>224275733.94788301</v>
      </c>
      <c r="FF103" s="140">
        <f>'Detailed Budget'!$AC$165</f>
        <v>14927760000</v>
      </c>
      <c r="FG103" s="1087">
        <f t="shared" si="259"/>
        <v>305926946.77997279</v>
      </c>
      <c r="FH103" s="269">
        <f t="shared" si="346"/>
        <v>16961436.200431772</v>
      </c>
      <c r="FJ103" s="140">
        <f>'Detailed Budget'!$AC$235</f>
        <v>3623696172</v>
      </c>
      <c r="FK103" s="269">
        <f t="shared" si="347"/>
        <v>4681778</v>
      </c>
      <c r="FL103" s="269">
        <f t="shared" si="260"/>
        <v>4681778</v>
      </c>
      <c r="FO103" s="607"/>
      <c r="FP103" s="607"/>
      <c r="FQ103" s="607"/>
      <c r="FR103" s="269">
        <f>'Detailed Budget'!$AC$257</f>
        <v>13636439388</v>
      </c>
      <c r="FS103" s="269">
        <f t="shared" si="348"/>
        <v>34976760</v>
      </c>
      <c r="FT103" s="269">
        <f t="shared" si="261"/>
        <v>34976760</v>
      </c>
      <c r="FU103" s="269"/>
      <c r="FV103" s="269"/>
      <c r="FW103" s="616"/>
      <c r="FX103" s="140">
        <f>'Detailed Budget'!$AC$278</f>
        <v>1114560000</v>
      </c>
      <c r="FY103" s="269">
        <f t="shared" si="349"/>
        <v>1440000</v>
      </c>
      <c r="FZ103" s="269">
        <f t="shared" si="262"/>
        <v>1440000</v>
      </c>
      <c r="GB103" s="269">
        <f t="shared" si="271"/>
        <v>2121812425.1606538</v>
      </c>
      <c r="GC103" s="887">
        <f t="shared" si="247"/>
        <v>1326132.7657254087</v>
      </c>
      <c r="GD103" s="1078">
        <f t="shared" si="272"/>
        <v>1.1906157657275559E-3</v>
      </c>
    </row>
    <row r="104" spans="1:186" hidden="1" outlineLevel="1">
      <c r="A104" s="211" t="s">
        <v>389</v>
      </c>
      <c r="B104" s="212" t="s">
        <v>390</v>
      </c>
      <c r="C104" s="213" t="s">
        <v>215</v>
      </c>
      <c r="D104" s="214" t="s">
        <v>215</v>
      </c>
      <c r="E104" s="213"/>
      <c r="F104" s="213"/>
      <c r="G104" s="213"/>
      <c r="H104" s="213" t="s">
        <v>215</v>
      </c>
      <c r="I104" s="214" t="s">
        <v>215</v>
      </c>
      <c r="J104" s="214"/>
      <c r="K104" s="213"/>
      <c r="L104" s="213"/>
      <c r="M104" s="214" t="s">
        <v>215</v>
      </c>
      <c r="N104" s="213"/>
      <c r="O104" s="214"/>
      <c r="P104" s="213"/>
      <c r="Q104" s="214"/>
      <c r="R104" s="214" t="s">
        <v>215</v>
      </c>
      <c r="S104" s="214"/>
      <c r="T104" s="214"/>
      <c r="U104" s="215">
        <f t="shared" si="350"/>
        <v>6</v>
      </c>
      <c r="V104" s="845" t="s">
        <v>219</v>
      </c>
      <c r="W104" s="216">
        <v>202151</v>
      </c>
      <c r="X104" s="217">
        <v>3.42</v>
      </c>
      <c r="Y104" s="218">
        <f t="shared" si="277"/>
        <v>1.0342</v>
      </c>
      <c r="Z104" s="196">
        <v>19</v>
      </c>
      <c r="AA104" s="218">
        <f t="shared" si="184"/>
        <v>1.8944630332534185</v>
      </c>
      <c r="AB104" s="196">
        <f t="shared" si="274"/>
        <v>382967.59663521178</v>
      </c>
      <c r="AC104">
        <v>19.899999999999999</v>
      </c>
      <c r="AD104" s="196">
        <f t="shared" si="275"/>
        <v>76210.55173040714</v>
      </c>
      <c r="AE104" s="196">
        <f t="shared" si="280"/>
        <v>72400.024143886782</v>
      </c>
      <c r="AF104" s="196">
        <f t="shared" si="351"/>
        <v>72400.024143886782</v>
      </c>
      <c r="AG104" s="606">
        <f t="shared" si="250"/>
        <v>3.3474592743518348E-3</v>
      </c>
      <c r="AH104" s="196">
        <f t="shared" si="363"/>
        <v>19148.379831760591</v>
      </c>
      <c r="AI104" s="248">
        <f t="shared" si="216"/>
        <v>1.4833959729372052E-3</v>
      </c>
      <c r="AJ104" s="196">
        <f t="shared" si="228"/>
        <v>95358.931562167738</v>
      </c>
      <c r="AK104" s="196">
        <f t="shared" si="278"/>
        <v>15318.703865408472</v>
      </c>
      <c r="AL104" s="196">
        <f t="shared" si="279"/>
        <v>15318.703865408472</v>
      </c>
      <c r="AM104" s="196">
        <f t="shared" si="229"/>
        <v>30637.407730816944</v>
      </c>
      <c r="AN104" s="627">
        <f t="shared" si="230"/>
        <v>1.4833959729372052E-3</v>
      </c>
      <c r="AO104" s="196">
        <f t="shared" si="231"/>
        <v>14552.768672138047</v>
      </c>
      <c r="AP104" s="589">
        <f t="shared" si="251"/>
        <v>1.483395972937205E-3</v>
      </c>
      <c r="AQ104" s="196"/>
      <c r="AR104" s="589"/>
      <c r="AS104">
        <v>1</v>
      </c>
      <c r="AT104" s="589">
        <f t="shared" si="252"/>
        <v>1.2919896640826874E-3</v>
      </c>
      <c r="AU104" s="196">
        <v>11</v>
      </c>
      <c r="AV104" s="245">
        <f t="shared" si="232"/>
        <v>1.2498579706851495E-3</v>
      </c>
      <c r="AX104" s="245"/>
      <c r="AY104" s="245"/>
      <c r="AZ104" s="196">
        <v>41</v>
      </c>
      <c r="BA104" s="589">
        <f t="shared" si="265"/>
        <v>1.5023267743944891E-3</v>
      </c>
      <c r="BI104" s="196">
        <v>1</v>
      </c>
      <c r="BJ104" s="196">
        <f t="shared" si="352"/>
        <v>212759.77022892676</v>
      </c>
      <c r="BK104" s="246">
        <f t="shared" si="266"/>
        <v>4.0572004521759507E-3</v>
      </c>
      <c r="BL104" s="196">
        <f t="shared" si="364"/>
        <v>4255.1954045785351</v>
      </c>
      <c r="BM104" s="246">
        <f t="shared" si="267"/>
        <v>4.0571999879658151E-3</v>
      </c>
      <c r="BN104" s="196">
        <v>0</v>
      </c>
      <c r="BO104" s="196">
        <f t="shared" si="353"/>
        <v>28045.611010845601</v>
      </c>
      <c r="BP104" s="196">
        <f t="shared" si="233"/>
        <v>0</v>
      </c>
      <c r="BQ104" s="248">
        <f t="shared" si="268"/>
        <v>0</v>
      </c>
      <c r="BR104" s="248"/>
      <c r="BS104" s="248"/>
      <c r="BT104" s="276">
        <v>1</v>
      </c>
      <c r="BU104" s="196">
        <f t="shared" si="365"/>
        <v>60358.756970482456</v>
      </c>
      <c r="BV104" s="264">
        <f t="shared" si="269"/>
        <v>4.1865977124227053E-3</v>
      </c>
      <c r="BW104" s="196">
        <f t="shared" si="366"/>
        <v>258201.34926261942</v>
      </c>
      <c r="BX104" s="247">
        <f t="shared" si="270"/>
        <v>4.1865977501357385E-3</v>
      </c>
      <c r="BY104" s="196">
        <f t="shared" si="276"/>
        <v>318560.10623310186</v>
      </c>
      <c r="BZ104" s="620">
        <v>0</v>
      </c>
      <c r="CA104" s="196">
        <f t="shared" si="324"/>
        <v>117188.08457037481</v>
      </c>
      <c r="CB104" s="196">
        <f t="shared" si="325"/>
        <v>234376.16914074961</v>
      </c>
      <c r="CC104" s="196">
        <f t="shared" si="248"/>
        <v>351564.25371112442</v>
      </c>
      <c r="CD104" s="247">
        <f t="shared" si="236"/>
        <v>1.4833959729372052E-3</v>
      </c>
      <c r="CE104" s="196">
        <f t="shared" si="354"/>
        <v>35234.668907793544</v>
      </c>
      <c r="CF104" s="247">
        <f t="shared" si="237"/>
        <v>1.5215425813443933E-3</v>
      </c>
      <c r="CG104" s="196">
        <f t="shared" si="326"/>
        <v>58211.074688552188</v>
      </c>
      <c r="CH104" s="589">
        <f t="shared" si="253"/>
        <v>1.483395972937205E-3</v>
      </c>
      <c r="CI104" s="196">
        <f t="shared" si="355"/>
        <v>91154.73930034737</v>
      </c>
      <c r="CJ104" s="248">
        <f t="shared" si="254"/>
        <v>1.4985836827163901E-3</v>
      </c>
      <c r="CK104" s="196">
        <f t="shared" si="356"/>
        <v>78215.871960795441</v>
      </c>
      <c r="CL104" s="589">
        <f t="shared" si="255"/>
        <v>1.1243692477549082E-3</v>
      </c>
      <c r="CM104" s="196">
        <f t="shared" si="357"/>
        <v>7577.1876748449185</v>
      </c>
      <c r="CN104" s="589">
        <f t="shared" si="256"/>
        <v>1.0919588560389317E-3</v>
      </c>
      <c r="CO104" s="196">
        <f t="shared" si="358"/>
        <v>606.18114787221657</v>
      </c>
      <c r="CP104" s="589">
        <f t="shared" si="257"/>
        <v>1.1431642758016102E-3</v>
      </c>
      <c r="CQ104" s="196">
        <f>'Detailed Budget'!$AC$12</f>
        <v>292876014141.44696</v>
      </c>
      <c r="CR104" s="269">
        <f t="shared" si="328"/>
        <v>1188256697.0061688</v>
      </c>
      <c r="CS104" s="269">
        <f>'Detailed Budget'!$AC$16</f>
        <v>10488008800.000002</v>
      </c>
      <c r="CT104" s="607">
        <f t="shared" si="329"/>
        <v>42551949.177145369</v>
      </c>
      <c r="CU104" s="269">
        <f>'Detailed Budget'!$AC$24</f>
        <v>30624985696</v>
      </c>
      <c r="CV104" s="269">
        <f t="shared" si="264"/>
        <v>124251705.81369323</v>
      </c>
      <c r="CW104" s="269"/>
      <c r="CX104" s="269">
        <f t="shared" si="249"/>
        <v>1355060351.9970076</v>
      </c>
      <c r="CY104" s="196">
        <f>'Detailed Budget'!$AC$97</f>
        <v>74629165494.837845</v>
      </c>
      <c r="CZ104" s="269">
        <f t="shared" si="330"/>
        <v>0</v>
      </c>
      <c r="DA104" s="269">
        <f>'Detailed Budget'!$AC$100</f>
        <v>14925833098.967569</v>
      </c>
      <c r="DB104" s="269">
        <f t="shared" si="331"/>
        <v>0</v>
      </c>
      <c r="DC104" s="269">
        <f t="shared" si="238"/>
        <v>0</v>
      </c>
      <c r="DD104" s="207">
        <v>0</v>
      </c>
      <c r="DE104" s="606">
        <v>0</v>
      </c>
      <c r="DF104" s="269">
        <f>'Detailed Budget'!$AC$147</f>
        <v>5913600671000</v>
      </c>
      <c r="DG104" s="269">
        <f t="shared" si="258"/>
        <v>0</v>
      </c>
      <c r="DH104" s="269">
        <f>'Detailed Budget'!$AC$153</f>
        <v>226428026880.00003</v>
      </c>
      <c r="DI104" s="269"/>
      <c r="DJ104" s="269">
        <f>'Detailed Budget'!$AC$156</f>
        <v>27713070000</v>
      </c>
      <c r="DK104" s="269"/>
      <c r="DL104" s="269"/>
      <c r="DM104" s="196">
        <f>'Detailed Budget'!$AC$178</f>
        <v>5622683761.6229038</v>
      </c>
      <c r="DN104" s="269">
        <f t="shared" si="359"/>
        <v>23539914.974086739</v>
      </c>
      <c r="DO104" s="196">
        <f>'Detailed Budget'!$AC$179</f>
        <v>26827890683.128094</v>
      </c>
      <c r="DP104" s="269">
        <f t="shared" si="360"/>
        <v>112317586.77487162</v>
      </c>
      <c r="DQ104" s="269">
        <f t="shared" si="273"/>
        <v>135857501.74895835</v>
      </c>
      <c r="DR104" s="269">
        <f>'Detailed Budget'!$AC$181</f>
        <v>50888946855.375237</v>
      </c>
      <c r="DS104" s="269">
        <f t="shared" si="361"/>
        <v>170348677.11302346</v>
      </c>
      <c r="DT104" s="269">
        <f t="shared" si="362"/>
        <v>306206178.86198181</v>
      </c>
      <c r="DU104" s="272">
        <f>'Detailed Budget'!$AC$192</f>
        <v>77498869683.252869</v>
      </c>
      <c r="DV104" s="269">
        <f t="shared" si="332"/>
        <v>0</v>
      </c>
      <c r="DW104" s="140">
        <f>'Detailed Budget'!$AC$194</f>
        <v>2684962805.4134097</v>
      </c>
      <c r="DX104" s="269">
        <f t="shared" si="333"/>
        <v>0</v>
      </c>
      <c r="DY104" s="607">
        <f t="shared" si="239"/>
        <v>0</v>
      </c>
      <c r="DZ104" s="196">
        <f>'Detailed Budget'!$AC$198</f>
        <v>18732540018.380611</v>
      </c>
      <c r="EA104" s="269">
        <f t="shared" si="334"/>
        <v>28502357.294703983</v>
      </c>
      <c r="EB104" s="196">
        <f>'Detailed Budget'!$AC$200</f>
        <v>4683135004.5951529</v>
      </c>
      <c r="EC104" s="269">
        <f t="shared" si="335"/>
        <v>7125589.3236759957</v>
      </c>
      <c r="ED104" s="269">
        <f t="shared" si="240"/>
        <v>35627946.61837998</v>
      </c>
      <c r="EE104" s="196">
        <f>'Detailed Budget'!$AC$161</f>
        <v>251147290106.36197</v>
      </c>
      <c r="EF104" s="269">
        <f t="shared" si="336"/>
        <v>372550878.7578693</v>
      </c>
      <c r="EG104" s="196">
        <f>'Detailed Budget'!$AC$163</f>
        <v>15696705631.647623</v>
      </c>
      <c r="EH104" s="269">
        <f t="shared" si="337"/>
        <v>23284429.922366831</v>
      </c>
      <c r="EI104" s="269">
        <f t="shared" si="241"/>
        <v>395835308.68023616</v>
      </c>
      <c r="EJ104" s="196">
        <f>'Detailed Budget'!$AC$204</f>
        <v>45012172507.531975</v>
      </c>
      <c r="EK104" s="269">
        <f t="shared" si="338"/>
        <v>67454507.243402719</v>
      </c>
      <c r="EL104" s="201">
        <f>'Detailed Budget'!$AC$206</f>
        <v>11253043126.882994</v>
      </c>
      <c r="EM104" s="269">
        <f t="shared" si="339"/>
        <v>16863626.81085068</v>
      </c>
      <c r="EN104" s="269">
        <f t="shared" si="242"/>
        <v>84318134.054253399</v>
      </c>
      <c r="EO104" s="140">
        <f>'Detailed Budget'!$AC$209</f>
        <v>135789361677.54817</v>
      </c>
      <c r="EP104" s="269">
        <f t="shared" si="340"/>
        <v>152677382.44250399</v>
      </c>
      <c r="EQ104" s="196">
        <f>'Detailed Budget'!$AC$211</f>
        <v>33947340419.387043</v>
      </c>
      <c r="ER104" s="269">
        <f t="shared" si="341"/>
        <v>38169345.610625997</v>
      </c>
      <c r="ES104" s="269">
        <f t="shared" si="243"/>
        <v>190846728.05312997</v>
      </c>
      <c r="ET104" s="196">
        <f>'Detailed Budget'!$AC$214</f>
        <v>22239745544.201103</v>
      </c>
      <c r="EU104" s="269">
        <f t="shared" si="342"/>
        <v>24284887.103042763</v>
      </c>
      <c r="EV104" s="140">
        <f>'Detailed Budget'!$AC$217</f>
        <v>5559936386.0502758</v>
      </c>
      <c r="EW104" s="269">
        <f t="shared" si="343"/>
        <v>6071221.7757606907</v>
      </c>
      <c r="EX104" s="269">
        <f t="shared" si="244"/>
        <v>30356108.878803454</v>
      </c>
      <c r="EY104" s="196">
        <f>'Detailed Budget'!$AC$219</f>
        <v>372777004.58170313</v>
      </c>
      <c r="EZ104" s="269">
        <f t="shared" si="344"/>
        <v>426145.35447813617</v>
      </c>
      <c r="FA104" s="196">
        <f>'Detailed Budget'!$AC$222</f>
        <v>93194251.145425782</v>
      </c>
      <c r="FB104" s="269">
        <f t="shared" si="345"/>
        <v>106536.33861953404</v>
      </c>
      <c r="FC104" s="269">
        <f t="shared" si="245"/>
        <v>532681.69309767021</v>
      </c>
      <c r="FD104" s="269"/>
      <c r="FE104" s="269">
        <f t="shared" si="246"/>
        <v>306053652.67928445</v>
      </c>
      <c r="FF104" s="140">
        <f>'Detailed Budget'!$AC$165</f>
        <v>14927760000</v>
      </c>
      <c r="FG104" s="1087">
        <f t="shared" si="259"/>
        <v>417477441.12517053</v>
      </c>
      <c r="FH104" s="269">
        <f t="shared" si="346"/>
        <v>18657579.820474949</v>
      </c>
      <c r="FJ104" s="140">
        <f>'Detailed Budget'!$AC$235</f>
        <v>3623696172</v>
      </c>
      <c r="FK104" s="269">
        <f t="shared" si="347"/>
        <v>4681778</v>
      </c>
      <c r="FL104" s="269">
        <f t="shared" si="260"/>
        <v>4681778</v>
      </c>
      <c r="FO104" s="607"/>
      <c r="FP104" s="607"/>
      <c r="FQ104" s="607"/>
      <c r="FR104" s="269">
        <f>'Detailed Budget'!$AC$257</f>
        <v>13636439388</v>
      </c>
      <c r="FS104" s="269">
        <f t="shared" si="348"/>
        <v>20486388</v>
      </c>
      <c r="FT104" s="269">
        <f t="shared" si="261"/>
        <v>20486388</v>
      </c>
      <c r="FU104" s="269"/>
      <c r="FV104" s="269"/>
      <c r="FW104" s="616"/>
      <c r="FX104" s="140">
        <f>'Detailed Budget'!$AC$278</f>
        <v>1114560000</v>
      </c>
      <c r="FY104" s="269">
        <f t="shared" si="349"/>
        <v>1440000</v>
      </c>
      <c r="FZ104" s="269">
        <f t="shared" si="262"/>
        <v>1440000</v>
      </c>
      <c r="GB104" s="269">
        <f t="shared" si="271"/>
        <v>2861526625.782536</v>
      </c>
      <c r="GC104" s="887">
        <f t="shared" si="247"/>
        <v>1788454.141114085</v>
      </c>
      <c r="GD104" s="1078">
        <f t="shared" si="272"/>
        <v>1.6056926966331166E-3</v>
      </c>
    </row>
    <row r="105" spans="1:186" hidden="1" outlineLevel="1">
      <c r="A105" s="211" t="s">
        <v>391</v>
      </c>
      <c r="B105" s="212" t="s">
        <v>392</v>
      </c>
      <c r="C105" s="213" t="s">
        <v>215</v>
      </c>
      <c r="D105" s="214" t="s">
        <v>215</v>
      </c>
      <c r="E105" s="213"/>
      <c r="F105" s="213"/>
      <c r="G105" s="213"/>
      <c r="H105" s="213" t="s">
        <v>215</v>
      </c>
      <c r="I105" s="214" t="s">
        <v>215</v>
      </c>
      <c r="J105" s="214"/>
      <c r="K105" s="213" t="s">
        <v>215</v>
      </c>
      <c r="L105" s="213"/>
      <c r="M105" s="214"/>
      <c r="N105" s="213"/>
      <c r="O105" s="214"/>
      <c r="P105" s="213"/>
      <c r="Q105" s="214"/>
      <c r="R105" s="214" t="s">
        <v>215</v>
      </c>
      <c r="S105" s="214"/>
      <c r="T105" s="214"/>
      <c r="U105" s="215">
        <f t="shared" si="350"/>
        <v>6</v>
      </c>
      <c r="V105" s="845" t="s">
        <v>219</v>
      </c>
      <c r="W105" s="216">
        <v>159818</v>
      </c>
      <c r="X105" s="217">
        <v>3.42</v>
      </c>
      <c r="Y105" s="218">
        <f t="shared" si="277"/>
        <v>1.0342</v>
      </c>
      <c r="Z105" s="196">
        <v>19</v>
      </c>
      <c r="AA105" s="218">
        <f t="shared" si="184"/>
        <v>1.8944630332534185</v>
      </c>
      <c r="AB105" s="196">
        <f t="shared" si="274"/>
        <v>302769.29304849484</v>
      </c>
      <c r="AC105">
        <v>19.899999999999999</v>
      </c>
      <c r="AD105" s="196">
        <f t="shared" si="275"/>
        <v>60251.089316650468</v>
      </c>
      <c r="AE105" s="196">
        <f t="shared" si="280"/>
        <v>57238.534850817945</v>
      </c>
      <c r="AF105" s="196">
        <f t="shared" si="351"/>
        <v>57238.534850817945</v>
      </c>
      <c r="AG105" s="606">
        <f t="shared" si="250"/>
        <v>2.6464585696254856E-3</v>
      </c>
      <c r="AH105" s="196">
        <f t="shared" si="363"/>
        <v>15138.464652424744</v>
      </c>
      <c r="AI105" s="248">
        <f t="shared" si="216"/>
        <v>1.1727539196089967E-3</v>
      </c>
      <c r="AJ105" s="196">
        <f t="shared" si="228"/>
        <v>75389.553969075205</v>
      </c>
      <c r="AK105" s="196">
        <f t="shared" si="278"/>
        <v>12110.771721939795</v>
      </c>
      <c r="AL105" s="196">
        <f t="shared" si="279"/>
        <v>12110.771721939795</v>
      </c>
      <c r="AM105" s="196">
        <f t="shared" si="229"/>
        <v>24221.543443879589</v>
      </c>
      <c r="AN105" s="627">
        <f t="shared" si="230"/>
        <v>1.1727539196089967E-3</v>
      </c>
      <c r="AO105" s="196">
        <f t="shared" si="231"/>
        <v>11505.233135842804</v>
      </c>
      <c r="AP105" s="589">
        <f t="shared" si="251"/>
        <v>1.1727539196089965E-3</v>
      </c>
      <c r="AQ105" s="196"/>
      <c r="AR105" s="589"/>
      <c r="AS105">
        <v>1</v>
      </c>
      <c r="AT105" s="589">
        <f t="shared" si="252"/>
        <v>1.2919896640826874E-3</v>
      </c>
      <c r="AU105" s="196">
        <v>10</v>
      </c>
      <c r="AV105" s="245">
        <f t="shared" si="232"/>
        <v>1.1362345188046814E-3</v>
      </c>
      <c r="AX105" s="245"/>
      <c r="AY105" s="245"/>
      <c r="AZ105" s="196">
        <v>57</v>
      </c>
      <c r="BA105" s="589">
        <f t="shared" si="265"/>
        <v>2.088600637572826E-3</v>
      </c>
      <c r="BI105" s="196">
        <v>1</v>
      </c>
      <c r="BJ105" s="196">
        <f t="shared" si="352"/>
        <v>168205.15831456002</v>
      </c>
      <c r="BK105" s="246">
        <f t="shared" si="266"/>
        <v>3.2075708844668403E-3</v>
      </c>
      <c r="BL105" s="196">
        <f t="shared" si="364"/>
        <v>3364.1031662912005</v>
      </c>
      <c r="BM105" s="246">
        <f t="shared" si="267"/>
        <v>3.2075705174682331E-3</v>
      </c>
      <c r="BN105" s="196">
        <v>0</v>
      </c>
      <c r="BO105" s="196">
        <f t="shared" si="353"/>
        <v>22172.502043182183</v>
      </c>
      <c r="BP105" s="196">
        <f t="shared" si="233"/>
        <v>0</v>
      </c>
      <c r="BQ105" s="248">
        <f t="shared" si="268"/>
        <v>0</v>
      </c>
      <c r="BR105" s="248"/>
      <c r="BS105" s="248"/>
      <c r="BT105" s="276">
        <v>1</v>
      </c>
      <c r="BU105" s="196">
        <f t="shared" si="365"/>
        <v>47718.862738787175</v>
      </c>
      <c r="BV105" s="264">
        <f t="shared" si="269"/>
        <v>3.3098707065706921E-3</v>
      </c>
      <c r="BW105" s="196">
        <f t="shared" si="366"/>
        <v>204130.6906048118</v>
      </c>
      <c r="BX105" s="247">
        <f t="shared" si="270"/>
        <v>3.3098707363861338E-3</v>
      </c>
      <c r="BY105" s="196">
        <f t="shared" si="276"/>
        <v>251849.55334359896</v>
      </c>
      <c r="BZ105" s="620">
        <v>0</v>
      </c>
      <c r="CA105" s="196">
        <f t="shared" si="324"/>
        <v>92647.403672839428</v>
      </c>
      <c r="CB105" s="196">
        <f t="shared" si="325"/>
        <v>185294.80734567886</v>
      </c>
      <c r="CC105" s="196">
        <f t="shared" si="248"/>
        <v>277942.21101851831</v>
      </c>
      <c r="CD105" s="247">
        <f t="shared" si="236"/>
        <v>1.1727539196089967E-3</v>
      </c>
      <c r="CE105" s="196">
        <f t="shared" si="354"/>
        <v>27856.079443118015</v>
      </c>
      <c r="CF105" s="247">
        <f t="shared" si="237"/>
        <v>1.2029121412473758E-3</v>
      </c>
      <c r="CG105" s="196">
        <f t="shared" si="326"/>
        <v>46020.932543371215</v>
      </c>
      <c r="CH105" s="589">
        <f t="shared" si="253"/>
        <v>1.1727539196089965E-3</v>
      </c>
      <c r="CI105" s="196">
        <f t="shared" si="355"/>
        <v>72065.773236357549</v>
      </c>
      <c r="CJ105" s="248">
        <f t="shared" si="254"/>
        <v>1.1847611290785997E-3</v>
      </c>
      <c r="CK105" s="196">
        <f t="shared" si="356"/>
        <v>61836.469891469278</v>
      </c>
      <c r="CL105" s="589">
        <f t="shared" si="255"/>
        <v>8.8891197390907756E-4</v>
      </c>
      <c r="CM105" s="196">
        <f t="shared" si="357"/>
        <v>5990.427847590985</v>
      </c>
      <c r="CN105" s="589">
        <f t="shared" si="256"/>
        <v>8.6328873195992109E-4</v>
      </c>
      <c r="CO105" s="196">
        <f t="shared" si="358"/>
        <v>479.23907717815842</v>
      </c>
      <c r="CP105" s="589">
        <f t="shared" si="257"/>
        <v>9.0377108315101932E-4</v>
      </c>
      <c r="CQ105" s="196">
        <f>'Detailed Budget'!$AC$12</f>
        <v>292876014141.44696</v>
      </c>
      <c r="CR105" s="269">
        <f t="shared" si="328"/>
        <v>939420575.71880388</v>
      </c>
      <c r="CS105" s="269">
        <f>'Detailed Budget'!$AC$16</f>
        <v>10488008800.000002</v>
      </c>
      <c r="CT105" s="607">
        <f t="shared" si="329"/>
        <v>33641027.813827388</v>
      </c>
      <c r="CU105" s="269">
        <f>'Detailed Budget'!$AC$24</f>
        <v>30624985696</v>
      </c>
      <c r="CV105" s="269">
        <f t="shared" si="264"/>
        <v>98231812.45570305</v>
      </c>
      <c r="CW105" s="269"/>
      <c r="CX105" s="269">
        <f t="shared" si="249"/>
        <v>1071293415.9883343</v>
      </c>
      <c r="CY105" s="196">
        <f>'Detailed Budget'!$AC$97</f>
        <v>74629165494.837845</v>
      </c>
      <c r="CZ105" s="269">
        <f t="shared" si="330"/>
        <v>0</v>
      </c>
      <c r="DA105" s="269">
        <f>'Detailed Budget'!$AC$100</f>
        <v>14925833098.967569</v>
      </c>
      <c r="DB105" s="269">
        <f t="shared" si="331"/>
        <v>0</v>
      </c>
      <c r="DC105" s="269">
        <f t="shared" si="238"/>
        <v>0</v>
      </c>
      <c r="DD105" s="207">
        <v>0</v>
      </c>
      <c r="DE105" s="606">
        <v>0</v>
      </c>
      <c r="DF105" s="269">
        <f>'Detailed Budget'!$AC$147</f>
        <v>5913600671000</v>
      </c>
      <c r="DG105" s="269">
        <f t="shared" si="258"/>
        <v>0</v>
      </c>
      <c r="DH105" s="269">
        <f>'Detailed Budget'!$AC$153</f>
        <v>226428026880.00003</v>
      </c>
      <c r="DI105" s="269"/>
      <c r="DJ105" s="269">
        <f>'Detailed Budget'!$AC$156</f>
        <v>27713070000</v>
      </c>
      <c r="DK105" s="269"/>
      <c r="DL105" s="269"/>
      <c r="DM105" s="196">
        <f>'Detailed Budget'!$AC$178</f>
        <v>5622683761.6229038</v>
      </c>
      <c r="DN105" s="269">
        <f t="shared" si="359"/>
        <v>18610356.274906356</v>
      </c>
      <c r="DO105" s="196">
        <f>'Detailed Budget'!$AC$179</f>
        <v>26827890683.128094</v>
      </c>
      <c r="DP105" s="269">
        <f t="shared" si="360"/>
        <v>88796850.29105188</v>
      </c>
      <c r="DQ105" s="269">
        <f t="shared" si="273"/>
        <v>107407206.56595823</v>
      </c>
      <c r="DR105" s="269">
        <f>'Detailed Budget'!$AC$181</f>
        <v>50888946855.375237</v>
      </c>
      <c r="DS105" s="269">
        <f t="shared" si="361"/>
        <v>134675489.50462371</v>
      </c>
      <c r="DT105" s="269">
        <f t="shared" si="362"/>
        <v>242082696.07058194</v>
      </c>
      <c r="DU105" s="272">
        <f>'Detailed Budget'!$AC$192</f>
        <v>77498869683.252869</v>
      </c>
      <c r="DV105" s="269">
        <f t="shared" si="332"/>
        <v>0</v>
      </c>
      <c r="DW105" s="140">
        <f>'Detailed Budget'!$AC$194</f>
        <v>2684962805.4134097</v>
      </c>
      <c r="DX105" s="269">
        <f t="shared" si="333"/>
        <v>0</v>
      </c>
      <c r="DY105" s="607">
        <f t="shared" si="239"/>
        <v>0</v>
      </c>
      <c r="DZ105" s="196">
        <f>'Detailed Budget'!$AC$198</f>
        <v>18732540018.380611</v>
      </c>
      <c r="EA105" s="269">
        <f t="shared" si="334"/>
        <v>22533599.824512377</v>
      </c>
      <c r="EB105" s="196">
        <f>'Detailed Budget'!$AC$200</f>
        <v>4683135004.5951529</v>
      </c>
      <c r="EC105" s="269">
        <f t="shared" si="335"/>
        <v>5633399.9561280943</v>
      </c>
      <c r="ED105" s="269">
        <f t="shared" si="240"/>
        <v>28166999.780640472</v>
      </c>
      <c r="EE105" s="196">
        <f>'Detailed Budget'!$AC$161</f>
        <v>251147290106.36197</v>
      </c>
      <c r="EF105" s="269">
        <f t="shared" si="336"/>
        <v>294533968.87141377</v>
      </c>
      <c r="EG105" s="196">
        <f>'Detailed Budget'!$AC$163</f>
        <v>15696705631.647623</v>
      </c>
      <c r="EH105" s="269">
        <f t="shared" si="337"/>
        <v>18408373.05446336</v>
      </c>
      <c r="EI105" s="269">
        <f t="shared" si="241"/>
        <v>312942341.92587715</v>
      </c>
      <c r="EJ105" s="196">
        <f>'Detailed Budget'!$AC$204</f>
        <v>45012172507.531975</v>
      </c>
      <c r="EK105" s="269">
        <f t="shared" si="338"/>
        <v>53328672.322304286</v>
      </c>
      <c r="EL105" s="201">
        <f>'Detailed Budget'!$AC$206</f>
        <v>11253043126.882994</v>
      </c>
      <c r="EM105" s="269">
        <f t="shared" si="339"/>
        <v>13332168.080576072</v>
      </c>
      <c r="EN105" s="269">
        <f t="shared" si="242"/>
        <v>66660840.402880356</v>
      </c>
      <c r="EO105" s="140">
        <f>'Detailed Budget'!$AC$209</f>
        <v>135789361677.54817</v>
      </c>
      <c r="EP105" s="269">
        <f t="shared" si="340"/>
        <v>120704789.524643</v>
      </c>
      <c r="EQ105" s="196">
        <f>'Detailed Budget'!$AC$211</f>
        <v>33947340419.387043</v>
      </c>
      <c r="ER105" s="269">
        <f t="shared" si="341"/>
        <v>30176197.381160751</v>
      </c>
      <c r="ES105" s="269">
        <f t="shared" si="243"/>
        <v>150880986.90580374</v>
      </c>
      <c r="ET105" s="196">
        <f>'Detailed Budget'!$AC$214</f>
        <v>22239745544.201103</v>
      </c>
      <c r="EU105" s="269">
        <f t="shared" si="342"/>
        <v>19199321.729964677</v>
      </c>
      <c r="EV105" s="140">
        <f>'Detailed Budget'!$AC$217</f>
        <v>5559936386.0502758</v>
      </c>
      <c r="EW105" s="269">
        <f t="shared" si="343"/>
        <v>4799830.4324911693</v>
      </c>
      <c r="EX105" s="269">
        <f t="shared" si="244"/>
        <v>23999152.162455846</v>
      </c>
      <c r="EY105" s="196">
        <f>'Detailed Budget'!$AC$219</f>
        <v>372777004.58170313</v>
      </c>
      <c r="EZ105" s="269">
        <f t="shared" si="344"/>
        <v>336905.07720459835</v>
      </c>
      <c r="FA105" s="196">
        <f>'Detailed Budget'!$AC$222</f>
        <v>93194251.145425782</v>
      </c>
      <c r="FB105" s="269">
        <f t="shared" si="345"/>
        <v>84226.269301149587</v>
      </c>
      <c r="FC105" s="269">
        <f t="shared" si="245"/>
        <v>421131.34650574793</v>
      </c>
      <c r="FD105" s="269"/>
      <c r="FE105" s="269">
        <f t="shared" si="246"/>
        <v>241962110.81764573</v>
      </c>
      <c r="FF105" s="140">
        <f>'Detailed Budget'!$AC$165</f>
        <v>14927760000</v>
      </c>
      <c r="FG105" s="1087">
        <f t="shared" si="259"/>
        <v>330052335.55976731</v>
      </c>
      <c r="FH105" s="269">
        <f t="shared" si="346"/>
        <v>16961436.200431772</v>
      </c>
      <c r="FJ105" s="140">
        <f>'Detailed Budget'!$AC$235</f>
        <v>3623696172</v>
      </c>
      <c r="FK105" s="269">
        <f t="shared" si="347"/>
        <v>4681778</v>
      </c>
      <c r="FL105" s="269">
        <f t="shared" si="260"/>
        <v>4681778</v>
      </c>
      <c r="FO105" s="607"/>
      <c r="FP105" s="607"/>
      <c r="FQ105" s="607"/>
      <c r="FR105" s="269">
        <f>'Detailed Budget'!$AC$257</f>
        <v>13636439388</v>
      </c>
      <c r="FS105" s="269">
        <f t="shared" si="348"/>
        <v>28481075.999999996</v>
      </c>
      <c r="FT105" s="269">
        <f t="shared" si="261"/>
        <v>28481075.999999996</v>
      </c>
      <c r="FU105" s="269"/>
      <c r="FV105" s="269"/>
      <c r="FW105" s="616"/>
      <c r="FX105" s="140">
        <f>'Detailed Budget'!$AC$278</f>
        <v>1114560000</v>
      </c>
      <c r="FY105" s="269">
        <f t="shared" si="349"/>
        <v>1440000</v>
      </c>
      <c r="FZ105" s="269">
        <f t="shared" si="262"/>
        <v>1440000</v>
      </c>
      <c r="GB105" s="269">
        <f t="shared" si="271"/>
        <v>2278064190.3432789</v>
      </c>
      <c r="GC105" s="887">
        <f t="shared" si="247"/>
        <v>1423790.1189645494</v>
      </c>
      <c r="GD105" s="1078">
        <f t="shared" si="272"/>
        <v>1.278293551399448E-3</v>
      </c>
    </row>
    <row r="106" spans="1:186" hidden="1" outlineLevel="1">
      <c r="A106" s="211" t="s">
        <v>393</v>
      </c>
      <c r="B106" s="212" t="s">
        <v>394</v>
      </c>
      <c r="C106" s="213" t="s">
        <v>215</v>
      </c>
      <c r="D106" s="214" t="s">
        <v>215</v>
      </c>
      <c r="E106" s="213"/>
      <c r="F106" s="213"/>
      <c r="G106" s="213"/>
      <c r="H106" s="213" t="s">
        <v>215</v>
      </c>
      <c r="I106" s="214" t="s">
        <v>215</v>
      </c>
      <c r="J106" s="214"/>
      <c r="K106" s="213" t="s">
        <v>215</v>
      </c>
      <c r="L106" s="213"/>
      <c r="M106" s="214"/>
      <c r="N106" s="213"/>
      <c r="O106" s="214"/>
      <c r="P106" s="213"/>
      <c r="Q106" s="214"/>
      <c r="R106" s="214" t="s">
        <v>215</v>
      </c>
      <c r="S106" s="214"/>
      <c r="T106" s="214"/>
      <c r="U106" s="215">
        <f t="shared" si="350"/>
        <v>6</v>
      </c>
      <c r="V106" s="845" t="s">
        <v>219</v>
      </c>
      <c r="W106" s="216">
        <v>126845</v>
      </c>
      <c r="X106" s="217">
        <v>3.42</v>
      </c>
      <c r="Y106" s="218">
        <f t="shared" si="277"/>
        <v>1.0342</v>
      </c>
      <c r="Z106" s="196">
        <v>19</v>
      </c>
      <c r="AA106" s="218">
        <f t="shared" si="184"/>
        <v>1.8944630332534185</v>
      </c>
      <c r="AB106" s="196">
        <f t="shared" si="274"/>
        <v>240303.16345302988</v>
      </c>
      <c r="AC106">
        <v>19.899999999999999</v>
      </c>
      <c r="AD106" s="196">
        <f t="shared" si="275"/>
        <v>47820.329527152942</v>
      </c>
      <c r="AE106" s="196">
        <f t="shared" si="280"/>
        <v>45429.313050795296</v>
      </c>
      <c r="AF106" s="196">
        <f t="shared" si="351"/>
        <v>45429.313050795296</v>
      </c>
      <c r="AG106" s="606">
        <f t="shared" si="250"/>
        <v>2.1004519970475462E-3</v>
      </c>
      <c r="AH106" s="196">
        <f t="shared" si="363"/>
        <v>12015.158172651494</v>
      </c>
      <c r="AI106" s="248">
        <f t="shared" si="216"/>
        <v>9.3079609889251008E-4</v>
      </c>
      <c r="AJ106" s="196">
        <f t="shared" si="228"/>
        <v>59835.487699804435</v>
      </c>
      <c r="AK106" s="196">
        <f t="shared" si="278"/>
        <v>9612.1265381211961</v>
      </c>
      <c r="AL106" s="196">
        <f t="shared" si="279"/>
        <v>9612.1265381211961</v>
      </c>
      <c r="AM106" s="196">
        <f t="shared" si="229"/>
        <v>19224.253076242392</v>
      </c>
      <c r="AN106" s="627">
        <f t="shared" si="230"/>
        <v>9.3079609889251019E-4</v>
      </c>
      <c r="AO106" s="196">
        <f t="shared" si="231"/>
        <v>9131.5202112151346</v>
      </c>
      <c r="AP106" s="589">
        <f t="shared" si="251"/>
        <v>9.3079609889250997E-4</v>
      </c>
      <c r="AQ106" s="196"/>
      <c r="AR106" s="589"/>
      <c r="AS106">
        <v>1</v>
      </c>
      <c r="AT106" s="589">
        <f t="shared" si="252"/>
        <v>1.2919896640826874E-3</v>
      </c>
      <c r="AU106" s="196">
        <v>10</v>
      </c>
      <c r="AV106" s="245">
        <f t="shared" si="232"/>
        <v>1.1362345188046814E-3</v>
      </c>
      <c r="AX106" s="245"/>
      <c r="AY106" s="245"/>
      <c r="AZ106" s="196">
        <v>90</v>
      </c>
      <c r="BA106" s="589">
        <f t="shared" si="265"/>
        <v>3.2977904803781466E-3</v>
      </c>
      <c r="BI106" s="196">
        <v>1</v>
      </c>
      <c r="BJ106" s="196">
        <f t="shared" si="352"/>
        <v>133501.75391013757</v>
      </c>
      <c r="BK106" s="246">
        <f t="shared" si="266"/>
        <v>2.54579790036289E-3</v>
      </c>
      <c r="BL106" s="196">
        <f t="shared" si="364"/>
        <v>2670.0350782027513</v>
      </c>
      <c r="BM106" s="246">
        <f t="shared" si="267"/>
        <v>2.5457976090819436E-3</v>
      </c>
      <c r="BN106" s="196">
        <v>0</v>
      </c>
      <c r="BO106" s="196">
        <f t="shared" si="353"/>
        <v>17597.961566703652</v>
      </c>
      <c r="BP106" s="196">
        <f t="shared" si="233"/>
        <v>0</v>
      </c>
      <c r="BQ106" s="248">
        <f t="shared" si="268"/>
        <v>0</v>
      </c>
      <c r="BR106" s="248"/>
      <c r="BS106" s="248"/>
      <c r="BT106" s="276">
        <v>1</v>
      </c>
      <c r="BU106" s="196">
        <f t="shared" si="365"/>
        <v>37873.700985505129</v>
      </c>
      <c r="BV106" s="264">
        <f t="shared" si="269"/>
        <v>2.6269916390829532E-3</v>
      </c>
      <c r="BW106" s="196">
        <f t="shared" si="366"/>
        <v>162015.27643799418</v>
      </c>
      <c r="BX106" s="247">
        <f t="shared" si="270"/>
        <v>2.6269916627469948E-3</v>
      </c>
      <c r="BY106" s="196">
        <f t="shared" si="276"/>
        <v>199888.97742349931</v>
      </c>
      <c r="BZ106" s="620">
        <v>0</v>
      </c>
      <c r="CA106" s="196">
        <f t="shared" si="324"/>
        <v>73532.768016627146</v>
      </c>
      <c r="CB106" s="196">
        <f t="shared" si="325"/>
        <v>147065.53603325429</v>
      </c>
      <c r="CC106" s="196">
        <f t="shared" si="248"/>
        <v>220598.30404988144</v>
      </c>
      <c r="CD106" s="247">
        <f t="shared" si="236"/>
        <v>9.3079609889251008E-4</v>
      </c>
      <c r="CE106" s="196">
        <f t="shared" si="354"/>
        <v>22108.926384777082</v>
      </c>
      <c r="CF106" s="247">
        <f t="shared" si="237"/>
        <v>9.5473219885446785E-4</v>
      </c>
      <c r="CG106" s="196">
        <f t="shared" si="326"/>
        <v>36526.080844860538</v>
      </c>
      <c r="CH106" s="589">
        <f t="shared" si="253"/>
        <v>9.3079609889250997E-4</v>
      </c>
      <c r="CI106" s="196">
        <f t="shared" si="355"/>
        <v>57197.455894616221</v>
      </c>
      <c r="CJ106" s="248">
        <f t="shared" si="254"/>
        <v>9.4032602972115166E-4</v>
      </c>
      <c r="CK106" s="196">
        <f t="shared" si="356"/>
        <v>49078.62082733748</v>
      </c>
      <c r="CL106" s="589">
        <f t="shared" si="255"/>
        <v>7.055152694345878E-4</v>
      </c>
      <c r="CM106" s="196">
        <f t="shared" si="357"/>
        <v>4754.5071289071229</v>
      </c>
      <c r="CN106" s="589">
        <f t="shared" si="256"/>
        <v>6.8517851058989723E-4</v>
      </c>
      <c r="CO106" s="196">
        <f t="shared" si="358"/>
        <v>380.36441918096529</v>
      </c>
      <c r="CP106" s="589">
        <f t="shared" si="257"/>
        <v>7.173087076692929E-4</v>
      </c>
      <c r="CQ106" s="196">
        <f>'Detailed Budget'!$AC$12</f>
        <v>292876014141.44696</v>
      </c>
      <c r="CR106" s="269">
        <f t="shared" si="328"/>
        <v>745603141.8679477</v>
      </c>
      <c r="CS106" s="269">
        <f>'Detailed Budget'!$AC$16</f>
        <v>10488008800.000002</v>
      </c>
      <c r="CT106" s="607">
        <f t="shared" si="329"/>
        <v>26700347.727070387</v>
      </c>
      <c r="CU106" s="269">
        <f>'Detailed Budget'!$AC$24</f>
        <v>30624985696</v>
      </c>
      <c r="CV106" s="269">
        <f t="shared" si="264"/>
        <v>77965024.283520341</v>
      </c>
      <c r="CW106" s="269"/>
      <c r="CX106" s="269">
        <f t="shared" si="249"/>
        <v>850268513.87853837</v>
      </c>
      <c r="CY106" s="196">
        <f>'Detailed Budget'!$AC$97</f>
        <v>74629165494.837845</v>
      </c>
      <c r="CZ106" s="269">
        <f t="shared" si="330"/>
        <v>0</v>
      </c>
      <c r="DA106" s="269">
        <f>'Detailed Budget'!$AC$100</f>
        <v>14925833098.967569</v>
      </c>
      <c r="DB106" s="269">
        <f t="shared" si="331"/>
        <v>0</v>
      </c>
      <c r="DC106" s="269">
        <f t="shared" si="238"/>
        <v>0</v>
      </c>
      <c r="DD106" s="207">
        <v>0</v>
      </c>
      <c r="DE106" s="606">
        <v>0</v>
      </c>
      <c r="DF106" s="269">
        <f>'Detailed Budget'!$AC$147</f>
        <v>5913600671000</v>
      </c>
      <c r="DG106" s="269">
        <f t="shared" si="258"/>
        <v>0</v>
      </c>
      <c r="DH106" s="269">
        <f>'Detailed Budget'!$AC$153</f>
        <v>226428026880.00003</v>
      </c>
      <c r="DI106" s="269"/>
      <c r="DJ106" s="269">
        <f>'Detailed Budget'!$AC$156</f>
        <v>27713070000</v>
      </c>
      <c r="DK106" s="269"/>
      <c r="DL106" s="269"/>
      <c r="DM106" s="196">
        <f>'Detailed Budget'!$AC$178</f>
        <v>5622683761.6229038</v>
      </c>
      <c r="DN106" s="269">
        <f t="shared" si="359"/>
        <v>14770743.230990857</v>
      </c>
      <c r="DO106" s="196">
        <f>'Detailed Budget'!$AC$179</f>
        <v>26827890683.128094</v>
      </c>
      <c r="DP106" s="269">
        <f t="shared" si="360"/>
        <v>70476645.153665289</v>
      </c>
      <c r="DQ106" s="269">
        <f t="shared" si="273"/>
        <v>85247388.384656146</v>
      </c>
      <c r="DR106" s="269">
        <f>'Detailed Budget'!$AC$181</f>
        <v>50888946855.375237</v>
      </c>
      <c r="DS106" s="269">
        <f t="shared" si="361"/>
        <v>106889790.05001937</v>
      </c>
      <c r="DT106" s="269">
        <f t="shared" si="362"/>
        <v>192137178.43467551</v>
      </c>
      <c r="DU106" s="272">
        <f>'Detailed Budget'!$AC$192</f>
        <v>77498869683.252869</v>
      </c>
      <c r="DV106" s="269">
        <f t="shared" si="332"/>
        <v>0</v>
      </c>
      <c r="DW106" s="140">
        <f>'Detailed Budget'!$AC$194</f>
        <v>2684962805.4134097</v>
      </c>
      <c r="DX106" s="269">
        <f t="shared" si="333"/>
        <v>0</v>
      </c>
      <c r="DY106" s="607">
        <f t="shared" si="239"/>
        <v>0</v>
      </c>
      <c r="DZ106" s="196">
        <f>'Detailed Budget'!$AC$198</f>
        <v>18732540018.380611</v>
      </c>
      <c r="EA106" s="269">
        <f t="shared" si="334"/>
        <v>17884559.121877834</v>
      </c>
      <c r="EB106" s="196">
        <f>'Detailed Budget'!$AC$200</f>
        <v>4683135004.5951529</v>
      </c>
      <c r="EC106" s="269">
        <f t="shared" si="335"/>
        <v>4471139.7804694586</v>
      </c>
      <c r="ED106" s="269">
        <f t="shared" si="240"/>
        <v>22355698.902347293</v>
      </c>
      <c r="EE106" s="196">
        <f>'Detailed Budget'!$AC$161</f>
        <v>251147290106.36197</v>
      </c>
      <c r="EF106" s="269">
        <f t="shared" si="336"/>
        <v>233766917.87842718</v>
      </c>
      <c r="EG106" s="196">
        <f>'Detailed Budget'!$AC$163</f>
        <v>15696705631.647623</v>
      </c>
      <c r="EH106" s="269">
        <f t="shared" si="337"/>
        <v>14610432.367401699</v>
      </c>
      <c r="EI106" s="269">
        <f t="shared" si="241"/>
        <v>248377350.24582887</v>
      </c>
      <c r="EJ106" s="196">
        <f>'Detailed Budget'!$AC$204</f>
        <v>45012172507.531975</v>
      </c>
      <c r="EK106" s="269">
        <f t="shared" si="338"/>
        <v>42326117.463131115</v>
      </c>
      <c r="EL106" s="201">
        <f>'Detailed Budget'!$AC$206</f>
        <v>11253043126.882994</v>
      </c>
      <c r="EM106" s="269">
        <f t="shared" si="339"/>
        <v>10581529.365782779</v>
      </c>
      <c r="EN106" s="269">
        <f t="shared" si="242"/>
        <v>52907646.828913897</v>
      </c>
      <c r="EO106" s="140">
        <f>'Detailed Budget'!$AC$209</f>
        <v>135789361677.54817</v>
      </c>
      <c r="EP106" s="269">
        <f t="shared" si="340"/>
        <v>95801468.090286091</v>
      </c>
      <c r="EQ106" s="196">
        <f>'Detailed Budget'!$AC$211</f>
        <v>33947340419.387043</v>
      </c>
      <c r="ER106" s="269">
        <f t="shared" si="341"/>
        <v>23950367.022571523</v>
      </c>
      <c r="ES106" s="269">
        <f t="shared" si="243"/>
        <v>119751835.11285761</v>
      </c>
      <c r="ET106" s="196">
        <f>'Detailed Budget'!$AC$214</f>
        <v>22239745544.201103</v>
      </c>
      <c r="EU106" s="269">
        <f t="shared" si="342"/>
        <v>15238195.727874015</v>
      </c>
      <c r="EV106" s="140">
        <f>'Detailed Budget'!$AC$217</f>
        <v>5559936386.0502758</v>
      </c>
      <c r="EW106" s="269">
        <f t="shared" si="343"/>
        <v>3809548.9319685036</v>
      </c>
      <c r="EX106" s="269">
        <f t="shared" si="244"/>
        <v>19047744.659842517</v>
      </c>
      <c r="EY106" s="196">
        <f>'Detailed Budget'!$AC$219</f>
        <v>372777004.58170313</v>
      </c>
      <c r="EZ106" s="269">
        <f t="shared" si="344"/>
        <v>267396.19140533154</v>
      </c>
      <c r="FA106" s="196">
        <f>'Detailed Budget'!$AC$222</f>
        <v>93194251.145425782</v>
      </c>
      <c r="FB106" s="269">
        <f t="shared" si="345"/>
        <v>66849.047851332885</v>
      </c>
      <c r="FC106" s="269">
        <f t="shared" si="245"/>
        <v>334245.23925666441</v>
      </c>
      <c r="FD106" s="269"/>
      <c r="FE106" s="269">
        <f t="shared" si="246"/>
        <v>192041471.84087068</v>
      </c>
      <c r="FF106" s="140">
        <f>'Detailed Budget'!$AC$165</f>
        <v>14927760000</v>
      </c>
      <c r="FG106" s="1087">
        <f t="shared" si="259"/>
        <v>261957279.5559867</v>
      </c>
      <c r="FH106" s="269">
        <f t="shared" si="346"/>
        <v>16961436.200431772</v>
      </c>
      <c r="FJ106" s="140">
        <f>'Detailed Budget'!$AC$235</f>
        <v>3623696172</v>
      </c>
      <c r="FK106" s="269">
        <f t="shared" si="347"/>
        <v>4681778</v>
      </c>
      <c r="FL106" s="269">
        <f t="shared" si="260"/>
        <v>4681778</v>
      </c>
      <c r="FO106" s="607"/>
      <c r="FP106" s="607"/>
      <c r="FQ106" s="607"/>
      <c r="FR106" s="269">
        <f>'Detailed Budget'!$AC$257</f>
        <v>13636439388</v>
      </c>
      <c r="FS106" s="269">
        <f t="shared" si="348"/>
        <v>44970120</v>
      </c>
      <c r="FT106" s="269">
        <f t="shared" si="261"/>
        <v>44970120</v>
      </c>
      <c r="FU106" s="269"/>
      <c r="FV106" s="269"/>
      <c r="FW106" s="616"/>
      <c r="FX106" s="140">
        <f>'Detailed Budget'!$AC$278</f>
        <v>1114560000</v>
      </c>
      <c r="FY106" s="269">
        <f t="shared" si="349"/>
        <v>1440000</v>
      </c>
      <c r="FZ106" s="269">
        <f t="shared" si="262"/>
        <v>1440000</v>
      </c>
      <c r="GB106" s="269">
        <f t="shared" si="271"/>
        <v>1835190827.0586791</v>
      </c>
      <c r="GC106" s="887">
        <f t="shared" si="247"/>
        <v>1146994.2669116745</v>
      </c>
      <c r="GD106" s="1078">
        <f t="shared" si="272"/>
        <v>1.0297833615755252E-3</v>
      </c>
    </row>
    <row r="107" spans="1:186" hidden="1" outlineLevel="1">
      <c r="A107" s="211" t="s">
        <v>395</v>
      </c>
      <c r="B107" s="212" t="s">
        <v>396</v>
      </c>
      <c r="C107" s="213" t="s">
        <v>215</v>
      </c>
      <c r="D107" s="214" t="s">
        <v>215</v>
      </c>
      <c r="E107" s="213"/>
      <c r="F107" s="213"/>
      <c r="G107" s="213"/>
      <c r="H107" s="213" t="s">
        <v>215</v>
      </c>
      <c r="I107" s="214" t="s">
        <v>215</v>
      </c>
      <c r="J107" s="214"/>
      <c r="K107" s="213" t="s">
        <v>215</v>
      </c>
      <c r="L107" s="213"/>
      <c r="M107" s="214"/>
      <c r="N107" s="213"/>
      <c r="O107" s="214"/>
      <c r="P107" s="213"/>
      <c r="Q107" s="214"/>
      <c r="R107" s="214" t="s">
        <v>215</v>
      </c>
      <c r="S107" s="214"/>
      <c r="T107" s="214"/>
      <c r="U107" s="215">
        <f t="shared" si="350"/>
        <v>6</v>
      </c>
      <c r="V107" s="845" t="s">
        <v>219</v>
      </c>
      <c r="W107" s="216">
        <v>90879</v>
      </c>
      <c r="X107" s="217">
        <v>3.42</v>
      </c>
      <c r="Y107" s="218">
        <f t="shared" si="277"/>
        <v>1.0342</v>
      </c>
      <c r="Z107" s="196">
        <v>19</v>
      </c>
      <c r="AA107" s="218">
        <f t="shared" si="184"/>
        <v>1.8944630332534185</v>
      </c>
      <c r="AB107" s="196">
        <f t="shared" si="274"/>
        <v>172166.90599903741</v>
      </c>
      <c r="AC107">
        <v>19.899999999999999</v>
      </c>
      <c r="AD107" s="196">
        <f t="shared" si="275"/>
        <v>34261.214293808443</v>
      </c>
      <c r="AE107" s="196">
        <f t="shared" si="280"/>
        <v>32548.153579118021</v>
      </c>
      <c r="AF107" s="196">
        <f t="shared" si="351"/>
        <v>32548.153579118021</v>
      </c>
      <c r="AG107" s="606">
        <f t="shared" si="250"/>
        <v>1.5048837324268512E-3</v>
      </c>
      <c r="AH107" s="196">
        <f t="shared" si="363"/>
        <v>8608.3452999518704</v>
      </c>
      <c r="AI107" s="248">
        <f t="shared" si="216"/>
        <v>6.6687546747015974E-4</v>
      </c>
      <c r="AJ107" s="196">
        <f t="shared" si="228"/>
        <v>42869.559593760314</v>
      </c>
      <c r="AK107" s="196">
        <f t="shared" si="278"/>
        <v>6886.6762399614963</v>
      </c>
      <c r="AL107" s="196">
        <f t="shared" si="279"/>
        <v>6886.6762399614963</v>
      </c>
      <c r="AM107" s="196">
        <f t="shared" si="229"/>
        <v>13773.352479922993</v>
      </c>
      <c r="AN107" s="627">
        <f t="shared" si="230"/>
        <v>6.6687546747015974E-4</v>
      </c>
      <c r="AO107" s="196">
        <f t="shared" si="231"/>
        <v>6542.342427963421</v>
      </c>
      <c r="AP107" s="589">
        <f t="shared" si="251"/>
        <v>6.6687546747015974E-4</v>
      </c>
      <c r="AQ107" s="196"/>
      <c r="AR107" s="589"/>
      <c r="AS107">
        <v>1</v>
      </c>
      <c r="AT107" s="589">
        <f t="shared" si="252"/>
        <v>1.2919896640826874E-3</v>
      </c>
      <c r="AU107" s="196">
        <v>10</v>
      </c>
      <c r="AV107" s="245">
        <f t="shared" si="232"/>
        <v>1.1362345188046814E-3</v>
      </c>
      <c r="AX107" s="245"/>
      <c r="AY107" s="245"/>
      <c r="AZ107" s="196">
        <v>48</v>
      </c>
      <c r="BA107" s="589">
        <f t="shared" si="265"/>
        <v>1.7588215895350116E-3</v>
      </c>
      <c r="BI107" s="196">
        <v>1</v>
      </c>
      <c r="BJ107" s="196">
        <f t="shared" si="352"/>
        <v>95648.278557289537</v>
      </c>
      <c r="BK107" s="246">
        <f t="shared" si="266"/>
        <v>1.8239549638304944E-3</v>
      </c>
      <c r="BL107" s="196">
        <f t="shared" si="364"/>
        <v>1912.9655711457908</v>
      </c>
      <c r="BM107" s="246">
        <f t="shared" si="267"/>
        <v>1.8239547551401941E-3</v>
      </c>
      <c r="BN107" s="196">
        <v>0</v>
      </c>
      <c r="BO107" s="196">
        <f t="shared" si="353"/>
        <v>12608.184392135765</v>
      </c>
      <c r="BP107" s="196">
        <f t="shared" si="233"/>
        <v>0</v>
      </c>
      <c r="BQ107" s="248">
        <f t="shared" si="268"/>
        <v>0</v>
      </c>
      <c r="BR107" s="248"/>
      <c r="BS107" s="248"/>
      <c r="BT107" s="276">
        <v>1</v>
      </c>
      <c r="BU107" s="196">
        <f t="shared" si="365"/>
        <v>27134.881720696289</v>
      </c>
      <c r="BV107" s="264">
        <f t="shared" si="269"/>
        <v>1.8821267938682622E-3</v>
      </c>
      <c r="BW107" s="196">
        <f t="shared" si="366"/>
        <v>116076.99402742303</v>
      </c>
      <c r="BX107" s="247">
        <f t="shared" si="270"/>
        <v>1.8821268108225326E-3</v>
      </c>
      <c r="BY107" s="196">
        <f t="shared" si="276"/>
        <v>143211.87574811932</v>
      </c>
      <c r="BZ107" s="620">
        <v>0</v>
      </c>
      <c r="CA107" s="196">
        <f t="shared" si="324"/>
        <v>52683.073235705451</v>
      </c>
      <c r="CB107" s="196">
        <f t="shared" si="325"/>
        <v>105366.1464714109</v>
      </c>
      <c r="CC107" s="196">
        <f t="shared" si="248"/>
        <v>158049.21970711637</v>
      </c>
      <c r="CD107" s="247">
        <f t="shared" si="236"/>
        <v>6.6687546747015985E-4</v>
      </c>
      <c r="CE107" s="196">
        <f t="shared" si="354"/>
        <v>15840.097133684076</v>
      </c>
      <c r="CF107" s="247">
        <f t="shared" si="237"/>
        <v>6.8402465607391068E-4</v>
      </c>
      <c r="CG107" s="196">
        <f t="shared" si="326"/>
        <v>26169.369711853684</v>
      </c>
      <c r="CH107" s="589">
        <f t="shared" si="253"/>
        <v>6.6687546747015974E-4</v>
      </c>
      <c r="CI107" s="196">
        <f t="shared" si="355"/>
        <v>40979.522994574691</v>
      </c>
      <c r="CJ107" s="248">
        <f t="shared" si="254"/>
        <v>6.7370325401102554E-4</v>
      </c>
      <c r="CK107" s="196">
        <f t="shared" si="356"/>
        <v>35162.726021266921</v>
      </c>
      <c r="CL107" s="589">
        <f t="shared" si="255"/>
        <v>5.0547141921988175E-4</v>
      </c>
      <c r="CM107" s="196">
        <f t="shared" si="357"/>
        <v>3406.4003576644755</v>
      </c>
      <c r="CN107" s="589">
        <f t="shared" si="256"/>
        <v>4.909010040908137E-4</v>
      </c>
      <c r="CO107" s="196">
        <f t="shared" si="358"/>
        <v>272.51478616222113</v>
      </c>
      <c r="CP107" s="589">
        <f t="shared" si="257"/>
        <v>5.1392091169756527E-4</v>
      </c>
      <c r="CQ107" s="196">
        <f>'Detailed Budget'!$AC$12</f>
        <v>292876014141.44696</v>
      </c>
      <c r="CR107" s="269">
        <f t="shared" si="328"/>
        <v>534192659.78018224</v>
      </c>
      <c r="CS107" s="269">
        <f>'Detailed Budget'!$AC$16</f>
        <v>10488008800.000002</v>
      </c>
      <c r="CT107" s="607">
        <f t="shared" si="329"/>
        <v>19129653.522712205</v>
      </c>
      <c r="CU107" s="269">
        <f>'Detailed Budget'!$AC$24</f>
        <v>30624985696</v>
      </c>
      <c r="CV107" s="269">
        <f t="shared" si="264"/>
        <v>55858594.677457087</v>
      </c>
      <c r="CW107" s="269"/>
      <c r="CX107" s="269">
        <f t="shared" si="249"/>
        <v>609180907.98035157</v>
      </c>
      <c r="CY107" s="196">
        <f>'Detailed Budget'!$AC$97</f>
        <v>74629165494.837845</v>
      </c>
      <c r="CZ107" s="269">
        <f t="shared" si="330"/>
        <v>0</v>
      </c>
      <c r="DA107" s="269">
        <f>'Detailed Budget'!$AC$100</f>
        <v>14925833098.967569</v>
      </c>
      <c r="DB107" s="269">
        <f t="shared" si="331"/>
        <v>0</v>
      </c>
      <c r="DC107" s="269">
        <f t="shared" si="238"/>
        <v>0</v>
      </c>
      <c r="DD107" s="207">
        <v>0</v>
      </c>
      <c r="DE107" s="606">
        <v>0</v>
      </c>
      <c r="DF107" s="269">
        <f>'Detailed Budget'!$AC$147</f>
        <v>5913600671000</v>
      </c>
      <c r="DG107" s="269">
        <f t="shared" si="258"/>
        <v>0</v>
      </c>
      <c r="DH107" s="269">
        <f>'Detailed Budget'!$AC$153</f>
        <v>226428026880.00003</v>
      </c>
      <c r="DI107" s="269"/>
      <c r="DJ107" s="269">
        <f>'Detailed Budget'!$AC$156</f>
        <v>27713070000</v>
      </c>
      <c r="DK107" s="269"/>
      <c r="DL107" s="269"/>
      <c r="DM107" s="196">
        <f>'Detailed Budget'!$AC$178</f>
        <v>5622683761.6229038</v>
      </c>
      <c r="DN107" s="269">
        <f t="shared" si="359"/>
        <v>10582603.761198455</v>
      </c>
      <c r="DO107" s="196">
        <f>'Detailed Budget'!$AC$179</f>
        <v>26827890683.128094</v>
      </c>
      <c r="DP107" s="269">
        <f t="shared" si="360"/>
        <v>50493492.332531415</v>
      </c>
      <c r="DQ107" s="269">
        <f t="shared" si="273"/>
        <v>61076096.093729869</v>
      </c>
      <c r="DR107" s="269">
        <f>'Detailed Budget'!$AC$181</f>
        <v>50888946855.375237</v>
      </c>
      <c r="DS107" s="269">
        <f t="shared" si="361"/>
        <v>76581948.282988757</v>
      </c>
      <c r="DT107" s="269">
        <f t="shared" si="362"/>
        <v>137658044.37671864</v>
      </c>
      <c r="DU107" s="272">
        <f>'Detailed Budget'!$AC$192</f>
        <v>77498869683.252869</v>
      </c>
      <c r="DV107" s="269">
        <f t="shared" si="332"/>
        <v>0</v>
      </c>
      <c r="DW107" s="140">
        <f>'Detailed Budget'!$AC$194</f>
        <v>2684962805.4134097</v>
      </c>
      <c r="DX107" s="269">
        <f t="shared" si="333"/>
        <v>0</v>
      </c>
      <c r="DY107" s="607">
        <f t="shared" si="239"/>
        <v>0</v>
      </c>
      <c r="DZ107" s="196">
        <f>'Detailed Budget'!$AC$198</f>
        <v>18732540018.380611</v>
      </c>
      <c r="EA107" s="269">
        <f t="shared" si="334"/>
        <v>12813519.243463567</v>
      </c>
      <c r="EB107" s="196">
        <f>'Detailed Budget'!$AC$200</f>
        <v>4683135004.5951529</v>
      </c>
      <c r="EC107" s="269">
        <f t="shared" si="335"/>
        <v>3203379.8108658916</v>
      </c>
      <c r="ED107" s="269">
        <f t="shared" si="240"/>
        <v>16016899.054329459</v>
      </c>
      <c r="EE107" s="196">
        <f>'Detailed Budget'!$AC$161</f>
        <v>251147290106.36197</v>
      </c>
      <c r="EF107" s="269">
        <f t="shared" si="336"/>
        <v>167483966.49354395</v>
      </c>
      <c r="EG107" s="196">
        <f>'Detailed Budget'!$AC$163</f>
        <v>15696705631.647623</v>
      </c>
      <c r="EH107" s="269">
        <f t="shared" si="337"/>
        <v>10467747.905846497</v>
      </c>
      <c r="EI107" s="269">
        <f t="shared" si="241"/>
        <v>177951714.39939046</v>
      </c>
      <c r="EJ107" s="196">
        <f>'Detailed Budget'!$AC$204</f>
        <v>45012172507.531975</v>
      </c>
      <c r="EK107" s="269">
        <f t="shared" si="338"/>
        <v>30324847.088429913</v>
      </c>
      <c r="EL107" s="201">
        <f>'Detailed Budget'!$AC$206</f>
        <v>11253043126.882994</v>
      </c>
      <c r="EM107" s="269">
        <f t="shared" si="339"/>
        <v>7581211.7721074782</v>
      </c>
      <c r="EN107" s="269">
        <f t="shared" si="242"/>
        <v>37906058.860537395</v>
      </c>
      <c r="EO107" s="140">
        <f>'Detailed Budget'!$AC$209</f>
        <v>135789361677.54817</v>
      </c>
      <c r="EP107" s="269">
        <f t="shared" si="340"/>
        <v>68637641.36211209</v>
      </c>
      <c r="EQ107" s="196">
        <f>'Detailed Budget'!$AC$211</f>
        <v>33947340419.387043</v>
      </c>
      <c r="ER107" s="269">
        <f t="shared" si="341"/>
        <v>17159410.340528022</v>
      </c>
      <c r="ES107" s="269">
        <f t="shared" si="243"/>
        <v>85797051.702640116</v>
      </c>
      <c r="ET107" s="196">
        <f>'Detailed Budget'!$AC$214</f>
        <v>22239745544.201103</v>
      </c>
      <c r="EU107" s="269">
        <f t="shared" si="342"/>
        <v>10917513.418372521</v>
      </c>
      <c r="EV107" s="140">
        <f>'Detailed Budget'!$AC$217</f>
        <v>5559936386.0502758</v>
      </c>
      <c r="EW107" s="269">
        <f t="shared" si="343"/>
        <v>2729378.3545931303</v>
      </c>
      <c r="EX107" s="269">
        <f t="shared" si="244"/>
        <v>13646891.772965651</v>
      </c>
      <c r="EY107" s="196">
        <f>'Detailed Budget'!$AC$219</f>
        <v>372777004.58170313</v>
      </c>
      <c r="EZ107" s="269">
        <f t="shared" si="344"/>
        <v>191577.89805451635</v>
      </c>
      <c r="FA107" s="196">
        <f>'Detailed Budget'!$AC$222</f>
        <v>93194251.145425782</v>
      </c>
      <c r="FB107" s="269">
        <f t="shared" si="345"/>
        <v>47894.474513629088</v>
      </c>
      <c r="FC107" s="269">
        <f t="shared" si="245"/>
        <v>239472.37256814545</v>
      </c>
      <c r="FD107" s="269"/>
      <c r="FE107" s="269">
        <f t="shared" si="246"/>
        <v>137589474.70871133</v>
      </c>
      <c r="FF107" s="140">
        <f>'Detailed Budget'!$AC$165</f>
        <v>14927760000</v>
      </c>
      <c r="FG107" s="1087">
        <f t="shared" si="259"/>
        <v>187681151.08020434</v>
      </c>
      <c r="FH107" s="269">
        <f t="shared" si="346"/>
        <v>16961436.200431772</v>
      </c>
      <c r="FJ107" s="140">
        <f>'Detailed Budget'!$AC$235</f>
        <v>3623696172</v>
      </c>
      <c r="FK107" s="269">
        <f t="shared" si="347"/>
        <v>4681778</v>
      </c>
      <c r="FL107" s="269">
        <f t="shared" si="260"/>
        <v>4681778</v>
      </c>
      <c r="FO107" s="607"/>
      <c r="FP107" s="607"/>
      <c r="FQ107" s="607"/>
      <c r="FR107" s="269">
        <f>'Detailed Budget'!$AC$257</f>
        <v>13636439388</v>
      </c>
      <c r="FS107" s="269">
        <f t="shared" si="348"/>
        <v>23984064</v>
      </c>
      <c r="FT107" s="269">
        <f t="shared" si="261"/>
        <v>23984064</v>
      </c>
      <c r="FU107" s="269"/>
      <c r="FV107" s="269"/>
      <c r="FW107" s="616"/>
      <c r="FX107" s="140">
        <f>'Detailed Budget'!$AC$278</f>
        <v>1114560000</v>
      </c>
      <c r="FY107" s="269">
        <f t="shared" si="349"/>
        <v>1440000</v>
      </c>
      <c r="FZ107" s="269">
        <f t="shared" si="262"/>
        <v>1440000</v>
      </c>
      <c r="GB107" s="269">
        <f t="shared" si="271"/>
        <v>1313145469.8001375</v>
      </c>
      <c r="GC107" s="887">
        <f t="shared" si="247"/>
        <v>820715.91862508596</v>
      </c>
      <c r="GD107" s="1078">
        <f t="shared" si="272"/>
        <v>7.3684727287775425E-4</v>
      </c>
    </row>
    <row r="108" spans="1:186" hidden="1" outlineLevel="1">
      <c r="A108" s="211" t="s">
        <v>397</v>
      </c>
      <c r="B108" s="212" t="s">
        <v>398</v>
      </c>
      <c r="C108" s="213" t="s">
        <v>215</v>
      </c>
      <c r="D108" s="214" t="s">
        <v>215</v>
      </c>
      <c r="E108" s="213"/>
      <c r="F108" s="213"/>
      <c r="G108" s="213"/>
      <c r="H108" s="213" t="s">
        <v>215</v>
      </c>
      <c r="I108" s="214" t="s">
        <v>215</v>
      </c>
      <c r="J108" s="214"/>
      <c r="K108" s="213" t="s">
        <v>215</v>
      </c>
      <c r="L108" s="213"/>
      <c r="M108" s="214"/>
      <c r="N108" s="213"/>
      <c r="O108" s="214"/>
      <c r="P108" s="213"/>
      <c r="Q108" s="214"/>
      <c r="R108" s="214" t="s">
        <v>215</v>
      </c>
      <c r="S108" s="214" t="s">
        <v>215</v>
      </c>
      <c r="T108" s="214"/>
      <c r="U108" s="215">
        <f t="shared" si="350"/>
        <v>7</v>
      </c>
      <c r="V108" s="845" t="s">
        <v>399</v>
      </c>
      <c r="W108" s="216">
        <v>120893</v>
      </c>
      <c r="X108" s="217">
        <v>3.42</v>
      </c>
      <c r="Y108" s="218">
        <f t="shared" si="277"/>
        <v>1.0342</v>
      </c>
      <c r="Z108" s="196">
        <v>19</v>
      </c>
      <c r="AA108" s="218">
        <f t="shared" si="184"/>
        <v>1.8944630332534185</v>
      </c>
      <c r="AB108" s="196">
        <f t="shared" si="274"/>
        <v>229027.31947910553</v>
      </c>
      <c r="AC108">
        <v>19.899999999999999</v>
      </c>
      <c r="AD108" s="196">
        <f t="shared" si="275"/>
        <v>45576.436576341999</v>
      </c>
      <c r="AE108" s="196">
        <f t="shared" si="280"/>
        <v>43297.614747524894</v>
      </c>
      <c r="AF108" s="196">
        <f t="shared" si="351"/>
        <v>43297.614747524894</v>
      </c>
      <c r="AG108" s="606">
        <f t="shared" si="250"/>
        <v>2.0018916258352239E-3</v>
      </c>
      <c r="AH108" s="196">
        <f t="shared" si="363"/>
        <v>11451.365973955277</v>
      </c>
      <c r="AI108" s="248">
        <f t="shared" si="216"/>
        <v>8.871199714881329E-4</v>
      </c>
      <c r="AJ108" s="196">
        <f t="shared" si="228"/>
        <v>57027.802550297274</v>
      </c>
      <c r="AK108" s="196">
        <f t="shared" si="278"/>
        <v>9161.0927791642207</v>
      </c>
      <c r="AL108" s="196">
        <f t="shared" si="279"/>
        <v>9161.0927791642207</v>
      </c>
      <c r="AM108" s="196">
        <f t="shared" si="229"/>
        <v>18322.185558328441</v>
      </c>
      <c r="AN108" s="627">
        <f t="shared" si="230"/>
        <v>8.871199714881329E-4</v>
      </c>
      <c r="AO108" s="196">
        <f t="shared" si="231"/>
        <v>8703.0381402060102</v>
      </c>
      <c r="AP108" s="589">
        <f t="shared" si="251"/>
        <v>8.871199714881329E-4</v>
      </c>
      <c r="AQ108" s="196"/>
      <c r="AR108" s="589"/>
      <c r="AS108">
        <v>1</v>
      </c>
      <c r="AT108" s="589">
        <f t="shared" si="252"/>
        <v>1.2919896640826874E-3</v>
      </c>
      <c r="AU108" s="196">
        <v>10</v>
      </c>
      <c r="AV108" s="245">
        <f t="shared" si="232"/>
        <v>1.1362345188046814E-3</v>
      </c>
      <c r="AX108" s="245"/>
      <c r="AY108" s="245"/>
      <c r="AZ108" s="196">
        <v>60</v>
      </c>
      <c r="BA108" s="589">
        <f t="shared" si="265"/>
        <v>2.1985269869187643E-3</v>
      </c>
      <c r="BI108" s="196">
        <v>1</v>
      </c>
      <c r="BJ108" s="196">
        <f t="shared" si="352"/>
        <v>127237.39631407041</v>
      </c>
      <c r="BK108" s="246">
        <f t="shared" si="266"/>
        <v>2.4263403805319158E-3</v>
      </c>
      <c r="BL108" s="196">
        <f t="shared" si="364"/>
        <v>2544.7479262814081</v>
      </c>
      <c r="BM108" s="246">
        <f t="shared" si="267"/>
        <v>2.4263401029188648E-3</v>
      </c>
      <c r="BN108" s="196">
        <v>0</v>
      </c>
      <c r="BO108" s="196">
        <f t="shared" si="353"/>
        <v>16772.205192821984</v>
      </c>
      <c r="BP108" s="196">
        <f t="shared" si="233"/>
        <v>0</v>
      </c>
      <c r="BQ108" s="248">
        <f t="shared" si="268"/>
        <v>0</v>
      </c>
      <c r="BR108" s="248"/>
      <c r="BS108" s="248"/>
      <c r="BT108" s="276">
        <v>1</v>
      </c>
      <c r="BU108" s="196">
        <f t="shared" si="365"/>
        <v>36096.537768462862</v>
      </c>
      <c r="BV108" s="264">
        <f t="shared" si="269"/>
        <v>2.5037242321231065E-3</v>
      </c>
      <c r="BW108" s="196">
        <f t="shared" si="366"/>
        <v>154412.9671206467</v>
      </c>
      <c r="BX108" s="247">
        <f t="shared" si="270"/>
        <v>2.5037242546767507E-3</v>
      </c>
      <c r="BY108" s="196">
        <f t="shared" si="276"/>
        <v>190509.50488910958</v>
      </c>
      <c r="BZ108" s="620">
        <v>0</v>
      </c>
      <c r="CA108" s="196">
        <f t="shared" si="324"/>
        <v>70082.359760606283</v>
      </c>
      <c r="CB108" s="196">
        <f t="shared" si="325"/>
        <v>140164.71952121257</v>
      </c>
      <c r="CC108" s="196">
        <f t="shared" si="248"/>
        <v>210247.07928181885</v>
      </c>
      <c r="CD108" s="247">
        <f t="shared" si="236"/>
        <v>8.8711997148813279E-4</v>
      </c>
      <c r="CE108" s="196">
        <f t="shared" si="354"/>
        <v>21071.500157159178</v>
      </c>
      <c r="CF108" s="247">
        <f t="shared" si="237"/>
        <v>9.0993290800672636E-4</v>
      </c>
      <c r="CG108" s="196">
        <f t="shared" si="326"/>
        <v>34812.152560824041</v>
      </c>
      <c r="CH108" s="589">
        <f t="shared" si="253"/>
        <v>8.871199714881329E-4</v>
      </c>
      <c r="CI108" s="196">
        <f t="shared" si="355"/>
        <v>54513.556194314624</v>
      </c>
      <c r="CJ108" s="248">
        <f t="shared" si="254"/>
        <v>8.9620272546083162E-4</v>
      </c>
      <c r="CK108" s="196">
        <f t="shared" si="356"/>
        <v>46775.684557367735</v>
      </c>
      <c r="CL108" s="589">
        <f t="shared" si="255"/>
        <v>6.7241008685999155E-4</v>
      </c>
      <c r="CM108" s="196">
        <f t="shared" si="357"/>
        <v>4531.409439354873</v>
      </c>
      <c r="CN108" s="589">
        <f t="shared" si="256"/>
        <v>6.5302759809802871E-4</v>
      </c>
      <c r="CO108" s="196">
        <f t="shared" si="358"/>
        <v>362.51642341475372</v>
      </c>
      <c r="CP108" s="589">
        <f t="shared" si="257"/>
        <v>6.8365013675165617E-4</v>
      </c>
      <c r="CQ108" s="196">
        <f>'Detailed Budget'!$AC$12</f>
        <v>292876014141.44696</v>
      </c>
      <c r="CR108" s="269">
        <f t="shared" si="328"/>
        <v>710616899.60062921</v>
      </c>
      <c r="CS108" s="269">
        <f>'Detailed Budget'!$AC$16</f>
        <v>10488008800.000002</v>
      </c>
      <c r="CT108" s="607">
        <f t="shared" si="329"/>
        <v>25447476.351205964</v>
      </c>
      <c r="CU108" s="269">
        <f>'Detailed Budget'!$AC$24</f>
        <v>30624985696</v>
      </c>
      <c r="CV108" s="269">
        <f t="shared" si="264"/>
        <v>74306639.447417125</v>
      </c>
      <c r="CW108" s="269"/>
      <c r="CX108" s="269">
        <f t="shared" si="249"/>
        <v>810371015.3992523</v>
      </c>
      <c r="CY108" s="196">
        <f>'Detailed Budget'!$AC$97</f>
        <v>74629165494.837845</v>
      </c>
      <c r="CZ108" s="269">
        <f t="shared" si="330"/>
        <v>0</v>
      </c>
      <c r="DA108" s="269">
        <f>'Detailed Budget'!$AC$100</f>
        <v>14925833098.967569</v>
      </c>
      <c r="DB108" s="269">
        <f t="shared" si="331"/>
        <v>0</v>
      </c>
      <c r="DC108" s="269">
        <f t="shared" si="238"/>
        <v>0</v>
      </c>
      <c r="DD108" s="207">
        <v>1</v>
      </c>
      <c r="DE108" s="606">
        <v>0</v>
      </c>
      <c r="DF108" s="269">
        <f>'Detailed Budget'!$AC$147</f>
        <v>5913600671000</v>
      </c>
      <c r="DG108" s="269">
        <f t="shared" si="258"/>
        <v>0</v>
      </c>
      <c r="DH108" s="269">
        <f>'Detailed Budget'!$AC$153</f>
        <v>226428026880.00003</v>
      </c>
      <c r="DI108" s="269"/>
      <c r="DJ108" s="269">
        <f>'Detailed Budget'!$AC$156</f>
        <v>27713070000</v>
      </c>
      <c r="DK108" s="269"/>
      <c r="DL108" s="269"/>
      <c r="DM108" s="196">
        <f>'Detailed Budget'!$AC$178</f>
        <v>5622683761.6229038</v>
      </c>
      <c r="DN108" s="269">
        <f t="shared" si="359"/>
        <v>14077649.583540365</v>
      </c>
      <c r="DO108" s="196">
        <f>'Detailed Budget'!$AC$179</f>
        <v>26827890683.128094</v>
      </c>
      <c r="DP108" s="269">
        <f t="shared" si="360"/>
        <v>67169640.60516423</v>
      </c>
      <c r="DQ108" s="269">
        <f t="shared" si="273"/>
        <v>81247290.188704595</v>
      </c>
      <c r="DR108" s="269">
        <f>'Detailed Budget'!$AC$181</f>
        <v>50888946855.375237</v>
      </c>
      <c r="DS108" s="269">
        <f t="shared" si="361"/>
        <v>101874156.55734944</v>
      </c>
      <c r="DT108" s="269">
        <f t="shared" si="362"/>
        <v>183121446.74605405</v>
      </c>
      <c r="DU108" s="272">
        <f>'Detailed Budget'!$AC$192</f>
        <v>77498869683.252869</v>
      </c>
      <c r="DV108" s="269">
        <f t="shared" si="332"/>
        <v>0</v>
      </c>
      <c r="DW108" s="140">
        <f>'Detailed Budget'!$AC$194</f>
        <v>2684962805.4134097</v>
      </c>
      <c r="DX108" s="269">
        <f t="shared" si="333"/>
        <v>0</v>
      </c>
      <c r="DY108" s="607">
        <f t="shared" si="239"/>
        <v>0</v>
      </c>
      <c r="DZ108" s="196">
        <f>'Detailed Budget'!$AC$198</f>
        <v>18732540018.380611</v>
      </c>
      <c r="EA108" s="269">
        <f t="shared" si="334"/>
        <v>17045354.613277446</v>
      </c>
      <c r="EB108" s="196">
        <f>'Detailed Budget'!$AC$200</f>
        <v>4683135004.5951529</v>
      </c>
      <c r="EC108" s="269">
        <f t="shared" si="335"/>
        <v>4261338.6533193616</v>
      </c>
      <c r="ED108" s="269">
        <f t="shared" si="240"/>
        <v>21306693.266596809</v>
      </c>
      <c r="EE108" s="196">
        <f>'Detailed Budget'!$AC$161</f>
        <v>251147290106.36197</v>
      </c>
      <c r="EF108" s="269">
        <f t="shared" si="336"/>
        <v>222797776.83847767</v>
      </c>
      <c r="EG108" s="196">
        <f>'Detailed Budget'!$AC$163</f>
        <v>15696705631.647623</v>
      </c>
      <c r="EH108" s="269">
        <f t="shared" si="337"/>
        <v>13924861.052404854</v>
      </c>
      <c r="EI108" s="269">
        <f t="shared" si="241"/>
        <v>236722637.89088252</v>
      </c>
      <c r="EJ108" s="196">
        <f>'Detailed Budget'!$AC$204</f>
        <v>45012172507.531975</v>
      </c>
      <c r="EK108" s="269">
        <f t="shared" si="338"/>
        <v>40340031.680163272</v>
      </c>
      <c r="EL108" s="201">
        <f>'Detailed Budget'!$AC$206</f>
        <v>11253043126.882994</v>
      </c>
      <c r="EM108" s="269">
        <f t="shared" si="339"/>
        <v>10085007.920040818</v>
      </c>
      <c r="EN108" s="269">
        <f t="shared" si="242"/>
        <v>50425039.600204088</v>
      </c>
      <c r="EO108" s="140">
        <f>'Detailed Budget'!$AC$209</f>
        <v>135789361677.54817</v>
      </c>
      <c r="EP108" s="269">
        <f t="shared" si="340"/>
        <v>91306136.48026298</v>
      </c>
      <c r="EQ108" s="196">
        <f>'Detailed Budget'!$AC$211</f>
        <v>33947340419.387043</v>
      </c>
      <c r="ER108" s="269">
        <f t="shared" si="341"/>
        <v>22826534.120065745</v>
      </c>
      <c r="ES108" s="269">
        <f t="shared" si="243"/>
        <v>114132670.60032873</v>
      </c>
      <c r="ET108" s="196">
        <f>'Detailed Budget'!$AC$214</f>
        <v>22239745544.201103</v>
      </c>
      <c r="EU108" s="269">
        <f t="shared" si="342"/>
        <v>14523167.615040982</v>
      </c>
      <c r="EV108" s="140">
        <f>'Detailed Budget'!$AC$217</f>
        <v>5559936386.0502758</v>
      </c>
      <c r="EW108" s="269">
        <f t="shared" si="343"/>
        <v>3630791.9037602455</v>
      </c>
      <c r="EX108" s="269">
        <f t="shared" si="244"/>
        <v>18153959.518801227</v>
      </c>
      <c r="EY108" s="196">
        <f>'Detailed Budget'!$AC$219</f>
        <v>372777004.58170313</v>
      </c>
      <c r="EZ108" s="269">
        <f t="shared" si="344"/>
        <v>254849.05016015409</v>
      </c>
      <c r="FA108" s="196">
        <f>'Detailed Budget'!$AC$222</f>
        <v>93194251.145425782</v>
      </c>
      <c r="FB108" s="269">
        <f t="shared" si="345"/>
        <v>63712.262540038522</v>
      </c>
      <c r="FC108" s="269">
        <f t="shared" si="245"/>
        <v>318561.31270019262</v>
      </c>
      <c r="FD108" s="269"/>
      <c r="FE108" s="269">
        <f t="shared" si="246"/>
        <v>183030231.03203425</v>
      </c>
      <c r="FF108" s="140">
        <f>'Detailed Budget'!$AC$165</f>
        <v>14927760000</v>
      </c>
      <c r="FG108" s="1087">
        <f t="shared" si="259"/>
        <v>249665350.60398051</v>
      </c>
      <c r="FH108" s="269">
        <f t="shared" si="346"/>
        <v>16961436.200431772</v>
      </c>
      <c r="FJ108" s="140">
        <f>'Detailed Budget'!$AC$235</f>
        <v>3623696172</v>
      </c>
      <c r="FK108" s="269">
        <f t="shared" si="347"/>
        <v>4681778</v>
      </c>
      <c r="FL108" s="269">
        <f t="shared" si="260"/>
        <v>4681778</v>
      </c>
      <c r="FO108" s="607"/>
      <c r="FP108" s="607"/>
      <c r="FQ108" s="607"/>
      <c r="FR108" s="269">
        <f>'Detailed Budget'!$AC$257</f>
        <v>13636439388</v>
      </c>
      <c r="FS108" s="269">
        <f t="shared" si="348"/>
        <v>29980079.999999996</v>
      </c>
      <c r="FT108" s="269">
        <f t="shared" si="261"/>
        <v>29980079.999999996</v>
      </c>
      <c r="FU108" s="269"/>
      <c r="FV108" s="269"/>
      <c r="FW108" s="616"/>
      <c r="FX108" s="140">
        <f>'Detailed Budget'!$AC$278</f>
        <v>1114560000</v>
      </c>
      <c r="FY108" s="269">
        <f t="shared" si="349"/>
        <v>1440000</v>
      </c>
      <c r="FZ108" s="269">
        <f t="shared" si="262"/>
        <v>1440000</v>
      </c>
      <c r="GB108" s="269">
        <f t="shared" si="271"/>
        <v>1737280669.1392322</v>
      </c>
      <c r="GC108" s="887">
        <f t="shared" si="247"/>
        <v>1085800.4182120201</v>
      </c>
      <c r="GD108" s="1078">
        <f t="shared" si="272"/>
        <v>9.7484288886388025E-4</v>
      </c>
    </row>
    <row r="109" spans="1:186" hidden="1" outlineLevel="1">
      <c r="A109" s="211" t="s">
        <v>400</v>
      </c>
      <c r="B109" s="212" t="s">
        <v>401</v>
      </c>
      <c r="C109" s="213" t="s">
        <v>215</v>
      </c>
      <c r="D109" s="214" t="s">
        <v>215</v>
      </c>
      <c r="E109" s="213"/>
      <c r="F109" s="213"/>
      <c r="G109" s="213"/>
      <c r="H109" s="213" t="s">
        <v>215</v>
      </c>
      <c r="I109" s="214" t="s">
        <v>215</v>
      </c>
      <c r="J109" s="214"/>
      <c r="K109" s="213" t="s">
        <v>215</v>
      </c>
      <c r="L109" s="213"/>
      <c r="M109" s="214"/>
      <c r="N109" s="213"/>
      <c r="O109" s="214"/>
      <c r="P109" s="213"/>
      <c r="Q109" s="214"/>
      <c r="R109" s="214" t="s">
        <v>215</v>
      </c>
      <c r="S109" s="214"/>
      <c r="T109" s="214"/>
      <c r="U109" s="215">
        <f t="shared" si="350"/>
        <v>6</v>
      </c>
      <c r="V109" s="845" t="s">
        <v>219</v>
      </c>
      <c r="W109" s="216">
        <v>151968</v>
      </c>
      <c r="X109" s="217">
        <v>3.42</v>
      </c>
      <c r="Y109" s="218">
        <f t="shared" si="277"/>
        <v>1.0342</v>
      </c>
      <c r="Z109" s="196">
        <v>19</v>
      </c>
      <c r="AA109" s="218">
        <f t="shared" si="184"/>
        <v>1.8944630332534185</v>
      </c>
      <c r="AB109" s="196">
        <f t="shared" si="274"/>
        <v>287897.75823745551</v>
      </c>
      <c r="AC109">
        <v>19.899999999999999</v>
      </c>
      <c r="AD109" s="196">
        <f t="shared" si="275"/>
        <v>57291.653889253641</v>
      </c>
      <c r="AE109" s="196">
        <f t="shared" si="280"/>
        <v>54427.071194790959</v>
      </c>
      <c r="AF109" s="196">
        <f t="shared" si="351"/>
        <v>54427.071194790959</v>
      </c>
      <c r="AG109" s="606">
        <f t="shared" si="250"/>
        <v>2.5164688327275141E-3</v>
      </c>
      <c r="AH109" s="196">
        <f t="shared" si="363"/>
        <v>14394.887911872776</v>
      </c>
      <c r="AI109" s="248">
        <f t="shared" si="216"/>
        <v>1.1151501561472426E-3</v>
      </c>
      <c r="AJ109" s="196">
        <f t="shared" si="228"/>
        <v>71686.541801126412</v>
      </c>
      <c r="AK109" s="196">
        <f t="shared" si="278"/>
        <v>11515.91032949822</v>
      </c>
      <c r="AL109" s="196">
        <f t="shared" si="279"/>
        <v>11515.91032949822</v>
      </c>
      <c r="AM109" s="196">
        <f t="shared" si="229"/>
        <v>23031.820658996439</v>
      </c>
      <c r="AN109" s="627">
        <f t="shared" si="230"/>
        <v>1.1151501561472424E-3</v>
      </c>
      <c r="AO109" s="196">
        <f t="shared" si="231"/>
        <v>10940.114813023309</v>
      </c>
      <c r="AP109" s="589">
        <f t="shared" si="251"/>
        <v>1.1151501561472424E-3</v>
      </c>
      <c r="AQ109" s="196"/>
      <c r="AR109" s="589"/>
      <c r="AS109">
        <v>1</v>
      </c>
      <c r="AT109" s="589">
        <f t="shared" si="252"/>
        <v>1.2919896640826874E-3</v>
      </c>
      <c r="AU109" s="196">
        <v>13</v>
      </c>
      <c r="AV109" s="245">
        <f t="shared" si="232"/>
        <v>1.4771048744460858E-3</v>
      </c>
      <c r="AX109" s="245"/>
      <c r="AY109" s="245"/>
      <c r="AZ109" s="196">
        <v>35</v>
      </c>
      <c r="BA109" s="589">
        <f t="shared" si="265"/>
        <v>1.2824740757026126E-3</v>
      </c>
      <c r="BI109" s="196">
        <v>1</v>
      </c>
      <c r="BJ109" s="196">
        <f t="shared" si="352"/>
        <v>159943.19475119861</v>
      </c>
      <c r="BK109" s="246">
        <f t="shared" si="266"/>
        <v>3.0500202240714863E-3</v>
      </c>
      <c r="BL109" s="196">
        <f t="shared" si="364"/>
        <v>3198.863895023972</v>
      </c>
      <c r="BM109" s="246">
        <f t="shared" si="267"/>
        <v>3.0500198750992532E-3</v>
      </c>
      <c r="BN109" s="196">
        <v>0</v>
      </c>
      <c r="BO109" s="196">
        <f t="shared" si="353"/>
        <v>21083.424836365808</v>
      </c>
      <c r="BP109" s="196">
        <f t="shared" si="233"/>
        <v>0</v>
      </c>
      <c r="BQ109" s="248">
        <f t="shared" si="268"/>
        <v>0</v>
      </c>
      <c r="BR109" s="248"/>
      <c r="BS109" s="248"/>
      <c r="BT109" s="276">
        <v>1</v>
      </c>
      <c r="BU109" s="196">
        <f t="shared" si="365"/>
        <v>45374.989880288886</v>
      </c>
      <c r="BV109" s="264">
        <f t="shared" si="269"/>
        <v>3.147295245442534E-3</v>
      </c>
      <c r="BW109" s="196">
        <f t="shared" si="366"/>
        <v>194104.12337679137</v>
      </c>
      <c r="BX109" s="247">
        <f t="shared" si="270"/>
        <v>3.1472952737934905E-3</v>
      </c>
      <c r="BY109" s="196">
        <f t="shared" si="276"/>
        <v>239479.11325708026</v>
      </c>
      <c r="BZ109" s="620">
        <v>0</v>
      </c>
      <c r="CA109" s="196">
        <f t="shared" si="324"/>
        <v>88096.714020661384</v>
      </c>
      <c r="CB109" s="196">
        <f t="shared" si="325"/>
        <v>176193.42804132277</v>
      </c>
      <c r="CC109" s="196">
        <f t="shared" si="248"/>
        <v>264290.14206198417</v>
      </c>
      <c r="CD109" s="247">
        <f t="shared" si="236"/>
        <v>1.1151501561472426E-3</v>
      </c>
      <c r="CE109" s="196">
        <f t="shared" si="354"/>
        <v>26487.834166437809</v>
      </c>
      <c r="CF109" s="247">
        <f t="shared" si="237"/>
        <v>1.1438270550318561E-3</v>
      </c>
      <c r="CG109" s="196">
        <f t="shared" si="326"/>
        <v>43760.459252093235</v>
      </c>
      <c r="CH109" s="589">
        <f t="shared" si="253"/>
        <v>1.1151501561472424E-3</v>
      </c>
      <c r="CI109" s="196">
        <f t="shared" si="355"/>
        <v>68526.019767377802</v>
      </c>
      <c r="CJ109" s="248">
        <f t="shared" si="254"/>
        <v>1.1265675910336549E-3</v>
      </c>
      <c r="CK109" s="196">
        <f t="shared" si="356"/>
        <v>58799.163151001791</v>
      </c>
      <c r="CL109" s="589">
        <f t="shared" si="255"/>
        <v>8.45250064767515E-4</v>
      </c>
      <c r="CM109" s="196">
        <f t="shared" si="357"/>
        <v>5696.1877832453592</v>
      </c>
      <c r="CN109" s="589">
        <f t="shared" si="256"/>
        <v>8.2088539475206354E-4</v>
      </c>
      <c r="CO109" s="196">
        <f t="shared" si="358"/>
        <v>455.69963383730482</v>
      </c>
      <c r="CP109" s="589">
        <f t="shared" si="257"/>
        <v>8.5937931875191848E-4</v>
      </c>
      <c r="CQ109" s="196">
        <f>'Detailed Budget'!$AC$12</f>
        <v>292876014141.44696</v>
      </c>
      <c r="CR109" s="269">
        <f t="shared" si="328"/>
        <v>893277766.27685988</v>
      </c>
      <c r="CS109" s="269">
        <f>'Detailed Budget'!$AC$16</f>
        <v>10488008800.000002</v>
      </c>
      <c r="CT109" s="607">
        <f t="shared" si="329"/>
        <v>31988635.290215876</v>
      </c>
      <c r="CU109" s="269">
        <f>'Detailed Budget'!$AC$24</f>
        <v>30624985696</v>
      </c>
      <c r="CV109" s="269">
        <f t="shared" si="264"/>
        <v>93406825.734699979</v>
      </c>
      <c r="CW109" s="269"/>
      <c r="CX109" s="269">
        <f t="shared" si="249"/>
        <v>1018673227.3017757</v>
      </c>
      <c r="CY109" s="196">
        <f>'Detailed Budget'!$AC$97</f>
        <v>74629165494.837845</v>
      </c>
      <c r="CZ109" s="269">
        <f t="shared" si="330"/>
        <v>0</v>
      </c>
      <c r="DA109" s="269">
        <f>'Detailed Budget'!$AC$100</f>
        <v>14925833098.967569</v>
      </c>
      <c r="DB109" s="269">
        <f t="shared" si="331"/>
        <v>0</v>
      </c>
      <c r="DC109" s="269">
        <f t="shared" si="238"/>
        <v>0</v>
      </c>
      <c r="DD109" s="207">
        <v>0</v>
      </c>
      <c r="DE109" s="606">
        <v>0</v>
      </c>
      <c r="DF109" s="269">
        <f>'Detailed Budget'!$AC$147</f>
        <v>5913600671000</v>
      </c>
      <c r="DG109" s="269">
        <f t="shared" si="258"/>
        <v>0</v>
      </c>
      <c r="DH109" s="269">
        <f>'Detailed Budget'!$AC$153</f>
        <v>226428026880.00003</v>
      </c>
      <c r="DI109" s="269"/>
      <c r="DJ109" s="269">
        <f>'Detailed Budget'!$AC$156</f>
        <v>27713070000</v>
      </c>
      <c r="DK109" s="269"/>
      <c r="DL109" s="269"/>
      <c r="DM109" s="196">
        <f>'Detailed Budget'!$AC$178</f>
        <v>5622683761.6229038</v>
      </c>
      <c r="DN109" s="269">
        <f t="shared" si="359"/>
        <v>17696245.869582709</v>
      </c>
      <c r="DO109" s="196">
        <f>'Detailed Budget'!$AC$179</f>
        <v>26827890683.128094</v>
      </c>
      <c r="DP109" s="269">
        <f t="shared" si="360"/>
        <v>84435293.552857473</v>
      </c>
      <c r="DQ109" s="269">
        <f t="shared" si="273"/>
        <v>102131539.42244019</v>
      </c>
      <c r="DR109" s="269">
        <f>'Detailed Budget'!$AC$181</f>
        <v>50888946855.375237</v>
      </c>
      <c r="DS109" s="269">
        <f t="shared" si="361"/>
        <v>128060448.69187862</v>
      </c>
      <c r="DT109" s="269">
        <f t="shared" si="362"/>
        <v>230191988.11431879</v>
      </c>
      <c r="DU109" s="272">
        <f>'Detailed Budget'!$AC$192</f>
        <v>77498869683.252869</v>
      </c>
      <c r="DV109" s="269">
        <f t="shared" si="332"/>
        <v>0</v>
      </c>
      <c r="DW109" s="140">
        <f>'Detailed Budget'!$AC$194</f>
        <v>2684962805.4134097</v>
      </c>
      <c r="DX109" s="269">
        <f t="shared" si="333"/>
        <v>0</v>
      </c>
      <c r="DY109" s="607">
        <f t="shared" si="239"/>
        <v>0</v>
      </c>
      <c r="DZ109" s="196">
        <f>'Detailed Budget'!$AC$198</f>
        <v>18732540018.380611</v>
      </c>
      <c r="EA109" s="269">
        <f t="shared" si="334"/>
        <v>21426786.082490686</v>
      </c>
      <c r="EB109" s="196">
        <f>'Detailed Budget'!$AC$200</f>
        <v>4683135004.5951529</v>
      </c>
      <c r="EC109" s="269">
        <f t="shared" si="335"/>
        <v>5356696.5206226716</v>
      </c>
      <c r="ED109" s="269">
        <f t="shared" si="240"/>
        <v>26783482.603113357</v>
      </c>
      <c r="EE109" s="196">
        <f>'Detailed Budget'!$AC$161</f>
        <v>251147290106.36197</v>
      </c>
      <c r="EF109" s="269">
        <f t="shared" si="336"/>
        <v>280066939.77806634</v>
      </c>
      <c r="EG109" s="196">
        <f>'Detailed Budget'!$AC$163</f>
        <v>15696705631.647623</v>
      </c>
      <c r="EH109" s="269">
        <f t="shared" si="337"/>
        <v>17504183.736129146</v>
      </c>
      <c r="EI109" s="269">
        <f t="shared" si="241"/>
        <v>297571123.5141955</v>
      </c>
      <c r="EJ109" s="196">
        <f>'Detailed Budget'!$AC$204</f>
        <v>45012172507.531975</v>
      </c>
      <c r="EK109" s="269">
        <f t="shared" si="338"/>
        <v>50709254.749001607</v>
      </c>
      <c r="EL109" s="201">
        <f>'Detailed Budget'!$AC$206</f>
        <v>11253043126.882994</v>
      </c>
      <c r="EM109" s="269">
        <f t="shared" si="339"/>
        <v>12677313.687250402</v>
      </c>
      <c r="EN109" s="269">
        <f t="shared" si="242"/>
        <v>63386568.436252013</v>
      </c>
      <c r="EO109" s="140">
        <f>'Detailed Budget'!$AC$209</f>
        <v>135789361677.54817</v>
      </c>
      <c r="EP109" s="269">
        <f t="shared" si="340"/>
        <v>114775966.75268711</v>
      </c>
      <c r="EQ109" s="196">
        <f>'Detailed Budget'!$AC$211</f>
        <v>33947340419.387043</v>
      </c>
      <c r="ER109" s="269">
        <f t="shared" si="341"/>
        <v>28693991.688171778</v>
      </c>
      <c r="ES109" s="269">
        <f t="shared" si="243"/>
        <v>143469958.4408589</v>
      </c>
      <c r="ET109" s="196">
        <f>'Detailed Budget'!$AC$214</f>
        <v>22239745544.201103</v>
      </c>
      <c r="EU109" s="269">
        <f t="shared" si="342"/>
        <v>18256282.30023697</v>
      </c>
      <c r="EV109" s="140">
        <f>'Detailed Budget'!$AC$217</f>
        <v>5559936386.0502758</v>
      </c>
      <c r="EW109" s="269">
        <f t="shared" si="343"/>
        <v>4564070.5750592425</v>
      </c>
      <c r="EX109" s="269">
        <f t="shared" si="244"/>
        <v>22820352.875296213</v>
      </c>
      <c r="EY109" s="196">
        <f>'Detailed Budget'!$AC$219</f>
        <v>372777004.58170313</v>
      </c>
      <c r="EZ109" s="269">
        <f t="shared" si="344"/>
        <v>320356.84824380482</v>
      </c>
      <c r="FA109" s="196">
        <f>'Detailed Budget'!$AC$222</f>
        <v>93194251.145425782</v>
      </c>
      <c r="FB109" s="269">
        <f t="shared" si="345"/>
        <v>80089.212060951206</v>
      </c>
      <c r="FC109" s="269">
        <f t="shared" si="245"/>
        <v>400446.06030475604</v>
      </c>
      <c r="FD109" s="269"/>
      <c r="FE109" s="269">
        <f t="shared" si="246"/>
        <v>230077325.81271186</v>
      </c>
      <c r="FF109" s="140">
        <f>'Detailed Budget'!$AC$165</f>
        <v>14927760000</v>
      </c>
      <c r="FG109" s="1087">
        <f t="shared" si="259"/>
        <v>313840702.11332089</v>
      </c>
      <c r="FH109" s="269">
        <f t="shared" si="346"/>
        <v>22049867.060561303</v>
      </c>
      <c r="FJ109" s="140">
        <f>'Detailed Budget'!$AC$235</f>
        <v>3623696172</v>
      </c>
      <c r="FK109" s="269">
        <f t="shared" si="347"/>
        <v>4681778</v>
      </c>
      <c r="FL109" s="269">
        <f t="shared" si="260"/>
        <v>4681778</v>
      </c>
      <c r="FO109" s="607"/>
      <c r="FP109" s="607"/>
      <c r="FQ109" s="607"/>
      <c r="FR109" s="269">
        <f>'Detailed Budget'!$AC$257</f>
        <v>13636439388</v>
      </c>
      <c r="FS109" s="269">
        <f t="shared" si="348"/>
        <v>17488380</v>
      </c>
      <c r="FT109" s="269">
        <f t="shared" si="261"/>
        <v>17488380</v>
      </c>
      <c r="FU109" s="269"/>
      <c r="FV109" s="269"/>
      <c r="FW109" s="616"/>
      <c r="FX109" s="140">
        <f>'Detailed Budget'!$AC$278</f>
        <v>1114560000</v>
      </c>
      <c r="FY109" s="269">
        <f t="shared" si="349"/>
        <v>1440000</v>
      </c>
      <c r="FZ109" s="269">
        <f t="shared" si="262"/>
        <v>1440000</v>
      </c>
      <c r="GB109" s="269">
        <f t="shared" si="271"/>
        <v>2162797874.5199976</v>
      </c>
      <c r="GC109" s="887">
        <f t="shared" si="247"/>
        <v>1351748.6715749984</v>
      </c>
      <c r="GD109" s="1078">
        <f t="shared" si="272"/>
        <v>1.2136139919581182E-3</v>
      </c>
    </row>
    <row r="110" spans="1:186" hidden="1" outlineLevel="1">
      <c r="A110" s="211" t="s">
        <v>402</v>
      </c>
      <c r="B110" s="212" t="s">
        <v>403</v>
      </c>
      <c r="C110" s="213" t="s">
        <v>215</v>
      </c>
      <c r="D110" s="214" t="s">
        <v>215</v>
      </c>
      <c r="E110" s="213"/>
      <c r="F110" s="213"/>
      <c r="G110" s="213"/>
      <c r="H110" s="213" t="s">
        <v>215</v>
      </c>
      <c r="I110" s="214" t="s">
        <v>215</v>
      </c>
      <c r="J110" s="214"/>
      <c r="K110" s="213" t="s">
        <v>215</v>
      </c>
      <c r="L110" s="213"/>
      <c r="M110" s="214"/>
      <c r="N110" s="213"/>
      <c r="O110" s="214"/>
      <c r="P110" s="213"/>
      <c r="Q110" s="214"/>
      <c r="R110" s="214" t="s">
        <v>215</v>
      </c>
      <c r="S110" s="214"/>
      <c r="T110" s="214"/>
      <c r="U110" s="215">
        <f t="shared" si="350"/>
        <v>6</v>
      </c>
      <c r="V110" s="845" t="s">
        <v>219</v>
      </c>
      <c r="W110" s="216">
        <v>117021</v>
      </c>
      <c r="X110" s="217">
        <v>3.42</v>
      </c>
      <c r="Y110" s="218">
        <f t="shared" si="277"/>
        <v>1.0342</v>
      </c>
      <c r="Z110" s="196">
        <v>19</v>
      </c>
      <c r="AA110" s="218">
        <f t="shared" si="184"/>
        <v>1.8944630332534185</v>
      </c>
      <c r="AB110" s="196">
        <f t="shared" ref="AB110:AB142" si="367">W110*AA110</f>
        <v>221691.95861434829</v>
      </c>
      <c r="AC110">
        <v>19.899999999999999</v>
      </c>
      <c r="AD110" s="196">
        <f t="shared" ref="AD110:AD142" si="368">AB110*AC110/100</f>
        <v>44116.699764255303</v>
      </c>
      <c r="AE110" s="196">
        <f t="shared" si="280"/>
        <v>41910.864776042537</v>
      </c>
      <c r="AF110" s="196">
        <f t="shared" si="351"/>
        <v>41910.864776042537</v>
      </c>
      <c r="AG110" s="606">
        <f t="shared" si="250"/>
        <v>1.9377743951003263E-3</v>
      </c>
      <c r="AH110" s="196">
        <f t="shared" si="363"/>
        <v>11084.597930717415</v>
      </c>
      <c r="AI110" s="248">
        <f t="shared" si="216"/>
        <v>8.5870700688636073E-4</v>
      </c>
      <c r="AJ110" s="196">
        <f t="shared" si="228"/>
        <v>55201.297694972716</v>
      </c>
      <c r="AK110" s="196">
        <f t="shared" si="278"/>
        <v>8867.6783445739311</v>
      </c>
      <c r="AL110" s="196">
        <f t="shared" si="279"/>
        <v>8867.6783445739311</v>
      </c>
      <c r="AM110" s="196">
        <f t="shared" si="229"/>
        <v>17735.356689147862</v>
      </c>
      <c r="AN110" s="627">
        <f t="shared" si="230"/>
        <v>8.5870700688636063E-4</v>
      </c>
      <c r="AO110" s="196">
        <f t="shared" si="231"/>
        <v>8424.294427345234</v>
      </c>
      <c r="AP110" s="589">
        <f t="shared" si="251"/>
        <v>8.5870700688636052E-4</v>
      </c>
      <c r="AQ110" s="196"/>
      <c r="AR110" s="589"/>
      <c r="AS110">
        <v>1</v>
      </c>
      <c r="AT110" s="589">
        <f t="shared" si="252"/>
        <v>1.2919896640826874E-3</v>
      </c>
      <c r="AU110" s="196">
        <v>10</v>
      </c>
      <c r="AV110" s="245">
        <f t="shared" si="232"/>
        <v>1.1362345188046814E-3</v>
      </c>
      <c r="AX110" s="245"/>
      <c r="AY110" s="245"/>
      <c r="AZ110" s="196">
        <v>54</v>
      </c>
      <c r="BA110" s="589">
        <f t="shared" si="265"/>
        <v>1.9786742882268878E-3</v>
      </c>
      <c r="BI110" s="196">
        <v>1</v>
      </c>
      <c r="BJ110" s="196">
        <f t="shared" si="352"/>
        <v>123162.19594243533</v>
      </c>
      <c r="BK110" s="246">
        <f t="shared" si="266"/>
        <v>2.3486287681687553E-3</v>
      </c>
      <c r="BL110" s="196">
        <f t="shared" si="364"/>
        <v>2463.2439188487065</v>
      </c>
      <c r="BM110" s="246">
        <f t="shared" si="267"/>
        <v>2.3486284994471843E-3</v>
      </c>
      <c r="BN110" s="196">
        <v>0</v>
      </c>
      <c r="BO110" s="196">
        <f t="shared" si="353"/>
        <v>16235.01959475918</v>
      </c>
      <c r="BP110" s="196">
        <f t="shared" si="233"/>
        <v>0</v>
      </c>
      <c r="BQ110" s="248">
        <f t="shared" si="268"/>
        <v>0</v>
      </c>
      <c r="BR110" s="248"/>
      <c r="BS110" s="248"/>
      <c r="BT110" s="276">
        <v>1</v>
      </c>
      <c r="BU110" s="196">
        <f t="shared" si="365"/>
        <v>34940.4262132902</v>
      </c>
      <c r="BV110" s="264">
        <f t="shared" si="269"/>
        <v>2.4235341447997653E-3</v>
      </c>
      <c r="BW110" s="196">
        <f t="shared" si="366"/>
        <v>149467.37880129699</v>
      </c>
      <c r="BX110" s="247">
        <f t="shared" si="270"/>
        <v>2.4235341666310542E-3</v>
      </c>
      <c r="BY110" s="196">
        <f t="shared" si="276"/>
        <v>184407.80501458718</v>
      </c>
      <c r="BZ110" s="620">
        <v>0</v>
      </c>
      <c r="CA110" s="196">
        <f t="shared" si="324"/>
        <v>67837.739335990569</v>
      </c>
      <c r="CB110" s="196">
        <f t="shared" si="325"/>
        <v>135675.47867198114</v>
      </c>
      <c r="CC110" s="196">
        <f t="shared" si="248"/>
        <v>203513.21800797171</v>
      </c>
      <c r="CD110" s="247">
        <f t="shared" si="236"/>
        <v>8.5870700688636052E-4</v>
      </c>
      <c r="CE110" s="196">
        <f t="shared" si="354"/>
        <v>20396.615353171186</v>
      </c>
      <c r="CF110" s="247">
        <f t="shared" si="237"/>
        <v>8.8078928331545344E-4</v>
      </c>
      <c r="CG110" s="196">
        <f t="shared" si="326"/>
        <v>33697.177709380936</v>
      </c>
      <c r="CH110" s="589">
        <f t="shared" si="253"/>
        <v>8.5870700688636052E-4</v>
      </c>
      <c r="CI110" s="196">
        <f t="shared" si="355"/>
        <v>52767.578432290466</v>
      </c>
      <c r="CJ110" s="248">
        <f t="shared" si="254"/>
        <v>8.6749885548503196E-4</v>
      </c>
      <c r="CK110" s="196">
        <f t="shared" si="356"/>
        <v>45277.537844107843</v>
      </c>
      <c r="CL110" s="589">
        <f t="shared" si="255"/>
        <v>6.5087391970124881E-4</v>
      </c>
      <c r="CM110" s="196">
        <f t="shared" si="357"/>
        <v>4386.2759961515267</v>
      </c>
      <c r="CN110" s="589">
        <f t="shared" si="256"/>
        <v>6.3211221954149045E-4</v>
      </c>
      <c r="CO110" s="196">
        <f t="shared" si="358"/>
        <v>350.90563047006771</v>
      </c>
      <c r="CP110" s="589">
        <f t="shared" si="257"/>
        <v>6.6175396964932259E-4</v>
      </c>
      <c r="CQ110" s="196">
        <f>'Detailed Budget'!$AC$12</f>
        <v>292876014141.44696</v>
      </c>
      <c r="CR110" s="269">
        <f t="shared" si="328"/>
        <v>687857032.31920159</v>
      </c>
      <c r="CS110" s="269">
        <f>'Detailed Budget'!$AC$16</f>
        <v>10488008800.000002</v>
      </c>
      <c r="CT110" s="607">
        <f t="shared" si="329"/>
        <v>24632436.370132867</v>
      </c>
      <c r="CU110" s="269">
        <f>'Detailed Budget'!$AC$24</f>
        <v>30624985696</v>
      </c>
      <c r="CV110" s="269">
        <f t="shared" si="264"/>
        <v>71926722.430382237</v>
      </c>
      <c r="CW110" s="269"/>
      <c r="CX110" s="269">
        <f t="shared" si="249"/>
        <v>784416191.11971676</v>
      </c>
      <c r="CY110" s="196">
        <f>'Detailed Budget'!$AC$97</f>
        <v>74629165494.837845</v>
      </c>
      <c r="CZ110" s="269">
        <f t="shared" si="330"/>
        <v>0</v>
      </c>
      <c r="DA110" s="269">
        <f>'Detailed Budget'!$AC$100</f>
        <v>14925833098.967569</v>
      </c>
      <c r="DB110" s="269">
        <f t="shared" si="331"/>
        <v>0</v>
      </c>
      <c r="DC110" s="269">
        <f t="shared" si="238"/>
        <v>0</v>
      </c>
      <c r="DD110" s="207">
        <v>0</v>
      </c>
      <c r="DE110" s="606">
        <v>0</v>
      </c>
      <c r="DF110" s="269">
        <f>'Detailed Budget'!$AC$147</f>
        <v>5913600671000</v>
      </c>
      <c r="DG110" s="269">
        <f t="shared" si="258"/>
        <v>0</v>
      </c>
      <c r="DH110" s="269">
        <f>'Detailed Budget'!$AC$153</f>
        <v>226428026880.00003</v>
      </c>
      <c r="DI110" s="269"/>
      <c r="DJ110" s="269">
        <f>'Detailed Budget'!$AC$156</f>
        <v>27713070000</v>
      </c>
      <c r="DK110" s="269"/>
      <c r="DL110" s="269"/>
      <c r="DM110" s="196">
        <f>'Detailed Budget'!$AC$178</f>
        <v>5622683761.6229038</v>
      </c>
      <c r="DN110" s="269">
        <f t="shared" si="359"/>
        <v>13626766.081704291</v>
      </c>
      <c r="DO110" s="196">
        <f>'Detailed Budget'!$AC$179</f>
        <v>26827890683.128094</v>
      </c>
      <c r="DP110" s="269">
        <f t="shared" si="360"/>
        <v>65018309.689203866</v>
      </c>
      <c r="DQ110" s="269">
        <f t="shared" si="273"/>
        <v>78645075.770908162</v>
      </c>
      <c r="DR110" s="269">
        <f>'Detailed Budget'!$AC$181</f>
        <v>50888946855.375237</v>
      </c>
      <c r="DS110" s="269">
        <f t="shared" si="361"/>
        <v>98611298.209967405</v>
      </c>
      <c r="DT110" s="269">
        <f t="shared" si="362"/>
        <v>177256373.98087555</v>
      </c>
      <c r="DU110" s="272">
        <f>'Detailed Budget'!$AC$192</f>
        <v>77498869683.252869</v>
      </c>
      <c r="DV110" s="269">
        <f t="shared" si="332"/>
        <v>0</v>
      </c>
      <c r="DW110" s="140">
        <f>'Detailed Budget'!$AC$194</f>
        <v>2684962805.4134097</v>
      </c>
      <c r="DX110" s="269">
        <f t="shared" si="333"/>
        <v>0</v>
      </c>
      <c r="DY110" s="607">
        <f t="shared" si="239"/>
        <v>0</v>
      </c>
      <c r="DZ110" s="196">
        <f>'Detailed Budget'!$AC$198</f>
        <v>18732540018.380611</v>
      </c>
      <c r="EA110" s="269">
        <f t="shared" si="334"/>
        <v>16499420.49746751</v>
      </c>
      <c r="EB110" s="196">
        <f>'Detailed Budget'!$AC$200</f>
        <v>4683135004.5951529</v>
      </c>
      <c r="EC110" s="269">
        <f t="shared" si="335"/>
        <v>4124855.1243668776</v>
      </c>
      <c r="ED110" s="269">
        <f t="shared" si="240"/>
        <v>20624275.62183439</v>
      </c>
      <c r="EE110" s="196">
        <f>'Detailed Budget'!$AC$161</f>
        <v>251147290106.36197</v>
      </c>
      <c r="EF110" s="269">
        <f t="shared" si="336"/>
        <v>215661937.77485454</v>
      </c>
      <c r="EG110" s="196">
        <f>'Detailed Budget'!$AC$163</f>
        <v>15696705631.647623</v>
      </c>
      <c r="EH110" s="269">
        <f t="shared" si="337"/>
        <v>13478871.110928409</v>
      </c>
      <c r="EI110" s="269">
        <f t="shared" si="241"/>
        <v>229140808.88578296</v>
      </c>
      <c r="EJ110" s="196">
        <f>'Detailed Budget'!$AC$204</f>
        <v>45012172507.531975</v>
      </c>
      <c r="EK110" s="269">
        <f t="shared" si="338"/>
        <v>39048008.133178808</v>
      </c>
      <c r="EL110" s="201">
        <f>'Detailed Budget'!$AC$206</f>
        <v>11253043126.882994</v>
      </c>
      <c r="EM110" s="269">
        <f t="shared" si="339"/>
        <v>9762002.0332947019</v>
      </c>
      <c r="EN110" s="269">
        <f t="shared" si="242"/>
        <v>48810010.166473508</v>
      </c>
      <c r="EO110" s="140">
        <f>'Detailed Budget'!$AC$209</f>
        <v>135789361677.54817</v>
      </c>
      <c r="EP110" s="269">
        <f t="shared" si="340"/>
        <v>88381754.088796318</v>
      </c>
      <c r="EQ110" s="196">
        <f>'Detailed Budget'!$AC$211</f>
        <v>33947340419.387043</v>
      </c>
      <c r="ER110" s="269">
        <f t="shared" si="341"/>
        <v>22095438.522199079</v>
      </c>
      <c r="ES110" s="269">
        <f t="shared" si="243"/>
        <v>110477192.6109954</v>
      </c>
      <c r="ET110" s="196">
        <f>'Detailed Budget'!$AC$214</f>
        <v>22239745544.201103</v>
      </c>
      <c r="EU110" s="269">
        <f t="shared" si="342"/>
        <v>14058014.917982932</v>
      </c>
      <c r="EV110" s="140">
        <f>'Detailed Budget'!$AC$217</f>
        <v>5559936386.0502758</v>
      </c>
      <c r="EW110" s="269">
        <f t="shared" si="343"/>
        <v>3514503.729495733</v>
      </c>
      <c r="EX110" s="269">
        <f t="shared" si="244"/>
        <v>17572518.647478666</v>
      </c>
      <c r="EY110" s="196">
        <f>'Detailed Budget'!$AC$219</f>
        <v>372777004.58170313</v>
      </c>
      <c r="EZ110" s="269">
        <f t="shared" si="344"/>
        <v>246686.66257592576</v>
      </c>
      <c r="FA110" s="196">
        <f>'Detailed Budget'!$AC$222</f>
        <v>93194251.145425782</v>
      </c>
      <c r="FB110" s="269">
        <f t="shared" si="345"/>
        <v>61671.66564398144</v>
      </c>
      <c r="FC110" s="269">
        <f t="shared" si="245"/>
        <v>308358.32821990718</v>
      </c>
      <c r="FD110" s="269"/>
      <c r="FE110" s="269">
        <f t="shared" si="246"/>
        <v>177168079.75316751</v>
      </c>
      <c r="FF110" s="140">
        <f>'Detailed Budget'!$AC$165</f>
        <v>14927760000</v>
      </c>
      <c r="FG110" s="1087">
        <f t="shared" si="259"/>
        <v>241668988.22122374</v>
      </c>
      <c r="FH110" s="269">
        <f t="shared" si="346"/>
        <v>16961436.200431772</v>
      </c>
      <c r="FJ110" s="140">
        <f>'Detailed Budget'!$AC$235</f>
        <v>3623696172</v>
      </c>
      <c r="FK110" s="269">
        <f t="shared" si="347"/>
        <v>4681778</v>
      </c>
      <c r="FL110" s="269">
        <f t="shared" si="260"/>
        <v>4681778</v>
      </c>
      <c r="FO110" s="607"/>
      <c r="FP110" s="607"/>
      <c r="FQ110" s="607"/>
      <c r="FR110" s="269">
        <f>'Detailed Budget'!$AC$257</f>
        <v>13636439388</v>
      </c>
      <c r="FS110" s="269">
        <f t="shared" si="348"/>
        <v>26982071.999999996</v>
      </c>
      <c r="FT110" s="269">
        <f t="shared" si="261"/>
        <v>26982071.999999996</v>
      </c>
      <c r="FU110" s="269"/>
      <c r="FV110" s="269"/>
      <c r="FW110" s="616"/>
      <c r="FX110" s="140">
        <f>'Detailed Budget'!$AC$278</f>
        <v>1114560000</v>
      </c>
      <c r="FY110" s="269">
        <f t="shared" si="349"/>
        <v>1440000</v>
      </c>
      <c r="FZ110" s="269">
        <f t="shared" si="262"/>
        <v>1440000</v>
      </c>
      <c r="GB110" s="269">
        <f t="shared" si="271"/>
        <v>1680340003.7830329</v>
      </c>
      <c r="GC110" s="887">
        <f t="shared" si="247"/>
        <v>1050212.5023643957</v>
      </c>
      <c r="GD110" s="1078">
        <f t="shared" si="272"/>
        <v>9.4289168852204294E-4</v>
      </c>
    </row>
    <row r="111" spans="1:186" hidden="1" outlineLevel="1">
      <c r="A111" s="211" t="s">
        <v>404</v>
      </c>
      <c r="B111" s="212" t="s">
        <v>405</v>
      </c>
      <c r="C111" s="213" t="s">
        <v>215</v>
      </c>
      <c r="D111" s="214" t="s">
        <v>215</v>
      </c>
      <c r="E111" s="213"/>
      <c r="F111" s="213"/>
      <c r="G111" s="213"/>
      <c r="H111" s="213" t="s">
        <v>215</v>
      </c>
      <c r="I111" s="214" t="s">
        <v>215</v>
      </c>
      <c r="J111" s="214"/>
      <c r="K111" s="213" t="s">
        <v>215</v>
      </c>
      <c r="L111" s="213"/>
      <c r="M111" s="214"/>
      <c r="N111" s="213"/>
      <c r="O111" s="214"/>
      <c r="P111" s="213"/>
      <c r="Q111" s="214"/>
      <c r="R111" s="214" t="s">
        <v>215</v>
      </c>
      <c r="S111" s="214" t="s">
        <v>215</v>
      </c>
      <c r="T111" s="214"/>
      <c r="U111" s="215">
        <f t="shared" si="350"/>
        <v>7</v>
      </c>
      <c r="V111" s="845" t="s">
        <v>399</v>
      </c>
      <c r="W111" s="216">
        <v>209777</v>
      </c>
      <c r="X111" s="217">
        <v>3.42</v>
      </c>
      <c r="Y111" s="218">
        <f t="shared" si="277"/>
        <v>1.0342</v>
      </c>
      <c r="Z111" s="196">
        <v>19</v>
      </c>
      <c r="AA111" s="218">
        <f t="shared" ref="AA111:AA142" si="369">POWER(Y111,Z111)</f>
        <v>1.8944630332534185</v>
      </c>
      <c r="AB111" s="196">
        <f t="shared" si="367"/>
        <v>397414.77172680234</v>
      </c>
      <c r="AC111">
        <v>19.899999999999999</v>
      </c>
      <c r="AD111" s="196">
        <f t="shared" si="368"/>
        <v>79085.539573633665</v>
      </c>
      <c r="AE111" s="196">
        <f t="shared" si="280"/>
        <v>75131.262594951972</v>
      </c>
      <c r="AF111" s="196">
        <f t="shared" si="351"/>
        <v>75131.262594951972</v>
      </c>
      <c r="AG111" s="606">
        <f t="shared" si="250"/>
        <v>3.4737397499676223E-3</v>
      </c>
      <c r="AH111" s="196">
        <f t="shared" si="363"/>
        <v>19870.738586340118</v>
      </c>
      <c r="AI111" s="248">
        <f t="shared" si="216"/>
        <v>1.5393560111740634E-3</v>
      </c>
      <c r="AJ111" s="196">
        <f t="shared" si="228"/>
        <v>98956.278159973779</v>
      </c>
      <c r="AK111" s="196">
        <f t="shared" si="278"/>
        <v>15896.590869072093</v>
      </c>
      <c r="AL111" s="196">
        <f t="shared" si="279"/>
        <v>15896.590869072093</v>
      </c>
      <c r="AM111" s="196">
        <f t="shared" si="229"/>
        <v>31793.181738144187</v>
      </c>
      <c r="AN111" s="627">
        <f t="shared" si="230"/>
        <v>1.5393560111740634E-3</v>
      </c>
      <c r="AO111" s="196">
        <f t="shared" si="231"/>
        <v>15101.761325618489</v>
      </c>
      <c r="AP111" s="589">
        <f t="shared" si="251"/>
        <v>1.5393560111740634E-3</v>
      </c>
      <c r="AQ111" s="196"/>
      <c r="AR111" s="589"/>
      <c r="AS111">
        <v>1</v>
      </c>
      <c r="AT111" s="589">
        <f t="shared" si="252"/>
        <v>1.2919896640826874E-3</v>
      </c>
      <c r="AU111" s="196">
        <v>12</v>
      </c>
      <c r="AV111" s="245">
        <f t="shared" si="232"/>
        <v>1.3634814225656176E-3</v>
      </c>
      <c r="AX111" s="245"/>
      <c r="AY111" s="245"/>
      <c r="AZ111" s="196">
        <v>87</v>
      </c>
      <c r="BA111" s="589">
        <f t="shared" si="265"/>
        <v>3.1878641310322084E-3</v>
      </c>
      <c r="BI111" s="196">
        <v>1</v>
      </c>
      <c r="BJ111" s="196">
        <f t="shared" si="352"/>
        <v>220785.97839888782</v>
      </c>
      <c r="BK111" s="246">
        <f t="shared" si="266"/>
        <v>4.210255399459387E-3</v>
      </c>
      <c r="BL111" s="196">
        <f t="shared" si="364"/>
        <v>4415.719567977756</v>
      </c>
      <c r="BM111" s="246">
        <f t="shared" si="267"/>
        <v>4.2102549177372604E-3</v>
      </c>
      <c r="BN111" s="196">
        <v>0</v>
      </c>
      <c r="BO111" s="196">
        <f t="shared" si="353"/>
        <v>29103.611364881486</v>
      </c>
      <c r="BP111" s="196">
        <f t="shared" si="233"/>
        <v>0</v>
      </c>
      <c r="BQ111" s="248">
        <f t="shared" si="268"/>
        <v>0</v>
      </c>
      <c r="BR111" s="248"/>
      <c r="BS111" s="248"/>
      <c r="BT111" s="276">
        <v>1</v>
      </c>
      <c r="BU111" s="196">
        <f t="shared" si="365"/>
        <v>62635.747342317867</v>
      </c>
      <c r="BV111" s="264">
        <f t="shared" si="269"/>
        <v>4.3445340775900088E-3</v>
      </c>
      <c r="BW111" s="196">
        <f t="shared" si="366"/>
        <v>267941.80807547085</v>
      </c>
      <c r="BX111" s="247">
        <f t="shared" si="270"/>
        <v>4.3445341167257382E-3</v>
      </c>
      <c r="BY111" s="196">
        <f t="shared" si="276"/>
        <v>330577.55541778874</v>
      </c>
      <c r="BZ111" s="620">
        <v>0</v>
      </c>
      <c r="CA111" s="196">
        <f t="shared" si="324"/>
        <v>121608.92014840152</v>
      </c>
      <c r="CB111" s="196">
        <f t="shared" si="325"/>
        <v>243217.84029680304</v>
      </c>
      <c r="CC111" s="196">
        <f t="shared" si="248"/>
        <v>364826.76044520456</v>
      </c>
      <c r="CD111" s="247">
        <f t="shared" si="236"/>
        <v>1.5393560111740634E-3</v>
      </c>
      <c r="CE111" s="196">
        <f t="shared" si="354"/>
        <v>36563.87126192898</v>
      </c>
      <c r="CF111" s="247">
        <f t="shared" si="237"/>
        <v>1.5789416727430619E-3</v>
      </c>
      <c r="CG111" s="196">
        <f t="shared" si="326"/>
        <v>60407.045302473955</v>
      </c>
      <c r="CH111" s="589">
        <f t="shared" si="253"/>
        <v>1.5393560111740634E-3</v>
      </c>
      <c r="CI111" s="196">
        <f t="shared" si="355"/>
        <v>94593.485791358791</v>
      </c>
      <c r="CJ111" s="248">
        <f t="shared" si="254"/>
        <v>1.5551166662999252E-3</v>
      </c>
      <c r="CK111" s="196">
        <f t="shared" si="356"/>
        <v>81166.50905669418</v>
      </c>
      <c r="CL111" s="589">
        <f t="shared" si="255"/>
        <v>1.1667852629286097E-3</v>
      </c>
      <c r="CM111" s="196">
        <f t="shared" si="357"/>
        <v>7863.0315895837393</v>
      </c>
      <c r="CN111" s="589">
        <f t="shared" si="256"/>
        <v>1.1331522126691383E-3</v>
      </c>
      <c r="CO111" s="196">
        <f t="shared" si="358"/>
        <v>629.04889244767514</v>
      </c>
      <c r="CP111" s="589">
        <f t="shared" si="257"/>
        <v>1.1862893197898321E-3</v>
      </c>
      <c r="CQ111" s="196">
        <f>'Detailed Budget'!$AC$12</f>
        <v>292876014141.44696</v>
      </c>
      <c r="CR111" s="269">
        <f t="shared" si="328"/>
        <v>1233082819.911171</v>
      </c>
      <c r="CS111" s="269">
        <f>'Detailed Budget'!$AC$16</f>
        <v>10488008800.000002</v>
      </c>
      <c r="CT111" s="607">
        <f t="shared" si="329"/>
        <v>44157190.627471671</v>
      </c>
      <c r="CU111" s="269">
        <f>'Detailed Budget'!$AC$24</f>
        <v>30624985696</v>
      </c>
      <c r="CV111" s="269">
        <f t="shared" si="264"/>
        <v>128939011.38495049</v>
      </c>
      <c r="CW111" s="269"/>
      <c r="CX111" s="269">
        <f t="shared" si="249"/>
        <v>1406179021.923593</v>
      </c>
      <c r="CY111" s="196">
        <f>'Detailed Budget'!$AC$97</f>
        <v>74629165494.837845</v>
      </c>
      <c r="CZ111" s="269">
        <f t="shared" si="330"/>
        <v>0</v>
      </c>
      <c r="DA111" s="269">
        <f>'Detailed Budget'!$AC$100</f>
        <v>14925833098.967569</v>
      </c>
      <c r="DB111" s="269">
        <f t="shared" si="331"/>
        <v>0</v>
      </c>
      <c r="DC111" s="269">
        <f t="shared" si="238"/>
        <v>0</v>
      </c>
      <c r="DD111" s="207">
        <v>1</v>
      </c>
      <c r="DE111" s="606">
        <v>0</v>
      </c>
      <c r="DF111" s="269">
        <f>'Detailed Budget'!$AC$147</f>
        <v>5913600671000</v>
      </c>
      <c r="DG111" s="269">
        <f t="shared" si="258"/>
        <v>0</v>
      </c>
      <c r="DH111" s="269">
        <f>'Detailed Budget'!$AC$153</f>
        <v>226428026880.00003</v>
      </c>
      <c r="DI111" s="269"/>
      <c r="DJ111" s="269">
        <f>'Detailed Budget'!$AC$156</f>
        <v>27713070000</v>
      </c>
      <c r="DK111" s="269"/>
      <c r="DL111" s="269"/>
      <c r="DM111" s="196">
        <f>'Detailed Budget'!$AC$178</f>
        <v>5622683761.6229038</v>
      </c>
      <c r="DN111" s="269">
        <f t="shared" si="359"/>
        <v>24427941.209882684</v>
      </c>
      <c r="DO111" s="196">
        <f>'Detailed Budget'!$AC$179</f>
        <v>26827890683.128094</v>
      </c>
      <c r="DP111" s="269">
        <f t="shared" si="360"/>
        <v>116554686.35263857</v>
      </c>
      <c r="DQ111" s="269">
        <f t="shared" si="273"/>
        <v>140982627.56252125</v>
      </c>
      <c r="DR111" s="269">
        <f>'Detailed Budget'!$AC$181</f>
        <v>50888946855.375237</v>
      </c>
      <c r="DS111" s="269">
        <f t="shared" si="361"/>
        <v>176774957.52550679</v>
      </c>
      <c r="DT111" s="269">
        <f t="shared" si="362"/>
        <v>317757585.08802807</v>
      </c>
      <c r="DU111" s="272">
        <f>'Detailed Budget'!$AC$192</f>
        <v>77498869683.252869</v>
      </c>
      <c r="DV111" s="269">
        <f t="shared" si="332"/>
        <v>0</v>
      </c>
      <c r="DW111" s="140">
        <f>'Detailed Budget'!$AC$194</f>
        <v>2684962805.4134097</v>
      </c>
      <c r="DX111" s="269">
        <f t="shared" si="333"/>
        <v>0</v>
      </c>
      <c r="DY111" s="607">
        <f t="shared" si="239"/>
        <v>0</v>
      </c>
      <c r="DZ111" s="196">
        <f>'Detailed Budget'!$AC$198</f>
        <v>18732540018.380611</v>
      </c>
      <c r="EA111" s="269">
        <f t="shared" si="334"/>
        <v>29577588.071348231</v>
      </c>
      <c r="EB111" s="196">
        <f>'Detailed Budget'!$AC$200</f>
        <v>4683135004.5951529</v>
      </c>
      <c r="EC111" s="269">
        <f t="shared" si="335"/>
        <v>7394397.0178370578</v>
      </c>
      <c r="ED111" s="269">
        <f t="shared" si="240"/>
        <v>36971985.08918529</v>
      </c>
      <c r="EE111" s="196">
        <f>'Detailed Budget'!$AC$161</f>
        <v>251147290106.36197</v>
      </c>
      <c r="EF111" s="269">
        <f t="shared" si="336"/>
        <v>386605090.71530467</v>
      </c>
      <c r="EG111" s="196">
        <f>'Detailed Budget'!$AC$163</f>
        <v>15696705631.647623</v>
      </c>
      <c r="EH111" s="269">
        <f t="shared" si="337"/>
        <v>24162818.169706542</v>
      </c>
      <c r="EI111" s="269">
        <f t="shared" si="241"/>
        <v>410767908.8850112</v>
      </c>
      <c r="EJ111" s="196">
        <f>'Detailed Budget'!$AC$204</f>
        <v>45012172507.531975</v>
      </c>
      <c r="EK111" s="269">
        <f t="shared" si="338"/>
        <v>69999179.652830273</v>
      </c>
      <c r="EL111" s="201">
        <f>'Detailed Budget'!$AC$206</f>
        <v>11253043126.882994</v>
      </c>
      <c r="EM111" s="269">
        <f t="shared" si="339"/>
        <v>17499794.913207568</v>
      </c>
      <c r="EN111" s="269">
        <f t="shared" si="242"/>
        <v>87498974.566037834</v>
      </c>
      <c r="EO111" s="140">
        <f>'Detailed Budget'!$AC$209</f>
        <v>135789361677.54817</v>
      </c>
      <c r="EP111" s="269">
        <f t="shared" si="340"/>
        <v>158437026.06784612</v>
      </c>
      <c r="EQ111" s="196">
        <f>'Detailed Budget'!$AC$211</f>
        <v>33947340419.387043</v>
      </c>
      <c r="ER111" s="269">
        <f t="shared" si="341"/>
        <v>39609256.51696153</v>
      </c>
      <c r="ES111" s="269">
        <f t="shared" si="243"/>
        <v>198046282.58480763</v>
      </c>
      <c r="ET111" s="196">
        <f>'Detailed Budget'!$AC$214</f>
        <v>22239745544.201103</v>
      </c>
      <c r="EU111" s="269">
        <f t="shared" si="342"/>
        <v>25201016.872610088</v>
      </c>
      <c r="EV111" s="140">
        <f>'Detailed Budget'!$AC$217</f>
        <v>5559936386.0502758</v>
      </c>
      <c r="EW111" s="269">
        <f t="shared" si="343"/>
        <v>6300254.2181525221</v>
      </c>
      <c r="EX111" s="269">
        <f t="shared" si="244"/>
        <v>31501271.090762611</v>
      </c>
      <c r="EY111" s="196">
        <f>'Detailed Budget'!$AC$219</f>
        <v>372777004.58170313</v>
      </c>
      <c r="EZ111" s="269">
        <f t="shared" si="344"/>
        <v>442221.37919851975</v>
      </c>
      <c r="FA111" s="196">
        <f>'Detailed Budget'!$AC$222</f>
        <v>93194251.145425782</v>
      </c>
      <c r="FB111" s="269">
        <f t="shared" si="345"/>
        <v>110555.34479962994</v>
      </c>
      <c r="FC111" s="269">
        <f t="shared" si="245"/>
        <v>552776.72399814962</v>
      </c>
      <c r="FD111" s="269"/>
      <c r="FE111" s="269">
        <f t="shared" si="246"/>
        <v>317599304.96560621</v>
      </c>
      <c r="FF111" s="140">
        <f>'Detailed Budget'!$AC$165</f>
        <v>14927760000</v>
      </c>
      <c r="FG111" s="1087">
        <f t="shared" si="259"/>
        <v>433226475.09492856</v>
      </c>
      <c r="FH111" s="269">
        <f t="shared" si="346"/>
        <v>20353723.440518126</v>
      </c>
      <c r="FJ111" s="140">
        <f>'Detailed Budget'!$AC$235</f>
        <v>3623696172</v>
      </c>
      <c r="FK111" s="269">
        <f t="shared" si="347"/>
        <v>4681778</v>
      </c>
      <c r="FL111" s="269">
        <f t="shared" si="260"/>
        <v>4681778</v>
      </c>
      <c r="FO111" s="607"/>
      <c r="FP111" s="607"/>
      <c r="FQ111" s="607"/>
      <c r="FR111" s="269">
        <f>'Detailed Budget'!$AC$257</f>
        <v>13636439388</v>
      </c>
      <c r="FS111" s="269">
        <f t="shared" si="348"/>
        <v>43471116</v>
      </c>
      <c r="FT111" s="269">
        <f t="shared" si="261"/>
        <v>43471116</v>
      </c>
      <c r="FU111" s="269"/>
      <c r="FV111" s="269"/>
      <c r="FW111" s="616"/>
      <c r="FX111" s="140">
        <f>'Detailed Budget'!$AC$278</f>
        <v>1114560000</v>
      </c>
      <c r="FY111" s="269">
        <f t="shared" si="349"/>
        <v>1440000</v>
      </c>
      <c r="FZ111" s="269">
        <f t="shared" si="262"/>
        <v>1440000</v>
      </c>
      <c r="GB111" s="269">
        <f t="shared" si="271"/>
        <v>2992448898.4868703</v>
      </c>
      <c r="GC111" s="887">
        <f t="shared" si="247"/>
        <v>1870280.5615542938</v>
      </c>
      <c r="GD111" s="1078">
        <f t="shared" si="272"/>
        <v>1.6791573064724433E-3</v>
      </c>
    </row>
    <row r="112" spans="1:186" hidden="1" outlineLevel="1">
      <c r="A112" s="211" t="s">
        <v>406</v>
      </c>
      <c r="B112" s="212" t="s">
        <v>407</v>
      </c>
      <c r="C112" s="213" t="s">
        <v>215</v>
      </c>
      <c r="D112" s="214" t="s">
        <v>215</v>
      </c>
      <c r="E112" s="213"/>
      <c r="F112" s="213"/>
      <c r="G112" s="213"/>
      <c r="H112" s="213" t="s">
        <v>215</v>
      </c>
      <c r="I112" s="214" t="s">
        <v>215</v>
      </c>
      <c r="J112" s="214"/>
      <c r="K112" s="213" t="s">
        <v>215</v>
      </c>
      <c r="L112" s="213"/>
      <c r="M112" s="214"/>
      <c r="N112" s="213"/>
      <c r="O112" s="214"/>
      <c r="P112" s="213"/>
      <c r="Q112" s="214"/>
      <c r="R112" s="214" t="s">
        <v>215</v>
      </c>
      <c r="S112" s="214"/>
      <c r="T112" s="214"/>
      <c r="U112" s="215">
        <f t="shared" si="350"/>
        <v>6</v>
      </c>
      <c r="V112" s="845" t="s">
        <v>219</v>
      </c>
      <c r="W112" s="216">
        <v>181470</v>
      </c>
      <c r="X112" s="217">
        <v>3.42</v>
      </c>
      <c r="Y112" s="218">
        <f t="shared" si="277"/>
        <v>1.0342</v>
      </c>
      <c r="Z112" s="196">
        <v>19</v>
      </c>
      <c r="AA112" s="218">
        <f t="shared" si="369"/>
        <v>1.8944630332534185</v>
      </c>
      <c r="AB112" s="196">
        <f t="shared" si="367"/>
        <v>343788.20664449787</v>
      </c>
      <c r="AC112">
        <v>19.899999999999999</v>
      </c>
      <c r="AD112" s="196">
        <f t="shared" si="368"/>
        <v>68413.853122255081</v>
      </c>
      <c r="AE112" s="196">
        <f t="shared" si="280"/>
        <v>64993.160466142326</v>
      </c>
      <c r="AF112" s="196">
        <f t="shared" si="351"/>
        <v>64993.160466142326</v>
      </c>
      <c r="AG112" s="606">
        <f t="shared" si="250"/>
        <v>3.0049984146337519E-3</v>
      </c>
      <c r="AH112" s="196">
        <f t="shared" si="363"/>
        <v>17189.410332224896</v>
      </c>
      <c r="AI112" s="248">
        <f t="shared" si="216"/>
        <v>1.3316375739368823E-3</v>
      </c>
      <c r="AJ112" s="196">
        <f t="shared" si="228"/>
        <v>85603.26345447998</v>
      </c>
      <c r="AK112" s="196">
        <f t="shared" si="278"/>
        <v>13751.528265779914</v>
      </c>
      <c r="AL112" s="196">
        <f t="shared" si="279"/>
        <v>13751.528265779914</v>
      </c>
      <c r="AM112" s="196">
        <f t="shared" si="229"/>
        <v>27503.056531559829</v>
      </c>
      <c r="AN112" s="627">
        <f t="shared" si="230"/>
        <v>1.3316375739368821E-3</v>
      </c>
      <c r="AO112" s="196">
        <f t="shared" si="231"/>
        <v>13063.951852490918</v>
      </c>
      <c r="AP112" s="589">
        <f t="shared" si="251"/>
        <v>1.3316375739368818E-3</v>
      </c>
      <c r="AQ112" s="196"/>
      <c r="AR112" s="589"/>
      <c r="AS112">
        <v>1</v>
      </c>
      <c r="AT112" s="589">
        <f t="shared" si="252"/>
        <v>1.2919896640826874E-3</v>
      </c>
      <c r="AU112" s="196">
        <v>11</v>
      </c>
      <c r="AV112" s="245">
        <f t="shared" si="232"/>
        <v>1.2498579706851495E-3</v>
      </c>
      <c r="AX112" s="245"/>
      <c r="AY112" s="245"/>
      <c r="AZ112" s="196">
        <v>48</v>
      </c>
      <c r="BA112" s="589">
        <f t="shared" si="265"/>
        <v>1.7588215895350116E-3</v>
      </c>
      <c r="BI112" s="196">
        <v>1</v>
      </c>
      <c r="BJ112" s="196">
        <f t="shared" si="352"/>
        <v>190993.44303735002</v>
      </c>
      <c r="BK112" s="246">
        <f t="shared" si="266"/>
        <v>3.6421297250885227E-3</v>
      </c>
      <c r="BL112" s="196">
        <f t="shared" si="364"/>
        <v>3819.8688607470003</v>
      </c>
      <c r="BM112" s="246">
        <f t="shared" si="267"/>
        <v>3.6421293083692716E-3</v>
      </c>
      <c r="BN112" s="196">
        <v>0</v>
      </c>
      <c r="BO112" s="196">
        <f t="shared" si="353"/>
        <v>25176.412830696619</v>
      </c>
      <c r="BP112" s="196">
        <f t="shared" si="233"/>
        <v>0</v>
      </c>
      <c r="BQ112" s="248">
        <f t="shared" si="268"/>
        <v>0</v>
      </c>
      <c r="BR112" s="248"/>
      <c r="BS112" s="248"/>
      <c r="BT112" s="276">
        <v>1</v>
      </c>
      <c r="BU112" s="196">
        <f t="shared" si="365"/>
        <v>54183.771672826027</v>
      </c>
      <c r="BV112" s="264">
        <f t="shared" si="269"/>
        <v>3.758289035786855E-3</v>
      </c>
      <c r="BW112" s="196">
        <f t="shared" si="366"/>
        <v>231786.13437820025</v>
      </c>
      <c r="BX112" s="247">
        <f t="shared" si="270"/>
        <v>3.7582890696416667E-3</v>
      </c>
      <c r="BY112" s="196">
        <f t="shared" si="276"/>
        <v>285969.90605102631</v>
      </c>
      <c r="BZ112" s="620">
        <v>0</v>
      </c>
      <c r="CA112" s="196">
        <f t="shared" si="324"/>
        <v>105199.19123321635</v>
      </c>
      <c r="CB112" s="196">
        <f t="shared" si="325"/>
        <v>210398.3824664327</v>
      </c>
      <c r="CC112" s="196">
        <f t="shared" si="248"/>
        <v>315597.57369964907</v>
      </c>
      <c r="CD112" s="247">
        <f t="shared" si="236"/>
        <v>1.3316375739368823E-3</v>
      </c>
      <c r="CE112" s="196">
        <f t="shared" si="354"/>
        <v>31629.996224096321</v>
      </c>
      <c r="CF112" s="247">
        <f t="shared" si="237"/>
        <v>1.3658816045261566E-3</v>
      </c>
      <c r="CG112" s="196">
        <f t="shared" si="326"/>
        <v>52255.807409963672</v>
      </c>
      <c r="CH112" s="589">
        <f t="shared" si="253"/>
        <v>1.3316375739368818E-3</v>
      </c>
      <c r="CI112" s="196">
        <f t="shared" si="355"/>
        <v>81829.179874618683</v>
      </c>
      <c r="CJ112" s="248">
        <f t="shared" si="254"/>
        <v>1.34527150942881E-3</v>
      </c>
      <c r="CK112" s="196">
        <f t="shared" si="356"/>
        <v>70214.019642374027</v>
      </c>
      <c r="CL112" s="589">
        <f t="shared" si="255"/>
        <v>1.0093409747667992E-3</v>
      </c>
      <c r="CM112" s="196">
        <f t="shared" si="357"/>
        <v>6802.0056658344884</v>
      </c>
      <c r="CN112" s="589">
        <f t="shared" si="256"/>
        <v>9.8024631886750482E-4</v>
      </c>
      <c r="CO112" s="196">
        <f t="shared" si="358"/>
        <v>544.16595962607732</v>
      </c>
      <c r="CP112" s="589">
        <f t="shared" si="257"/>
        <v>1.0262131828668579E-3</v>
      </c>
      <c r="CQ112" s="196">
        <f>'Detailed Budget'!$AC$12</f>
        <v>292876014141.44696</v>
      </c>
      <c r="CR112" s="269">
        <f t="shared" si="328"/>
        <v>1066692436.8700105</v>
      </c>
      <c r="CS112" s="269">
        <f>'Detailed Budget'!$AC$16</f>
        <v>10488008800.000002</v>
      </c>
      <c r="CT112" s="607">
        <f t="shared" si="329"/>
        <v>38198684.236914843</v>
      </c>
      <c r="CU112" s="269">
        <f>'Detailed Budget'!$AC$24</f>
        <v>30624985696</v>
      </c>
      <c r="CV112" s="269">
        <f t="shared" si="264"/>
        <v>111540170.73381242</v>
      </c>
      <c r="CW112" s="269"/>
      <c r="CX112" s="269">
        <f t="shared" si="249"/>
        <v>1216431291.8407376</v>
      </c>
      <c r="CY112" s="196">
        <f>'Detailed Budget'!$AC$97</f>
        <v>74629165494.837845</v>
      </c>
      <c r="CZ112" s="269">
        <f t="shared" si="330"/>
        <v>0</v>
      </c>
      <c r="DA112" s="269">
        <f>'Detailed Budget'!$AC$100</f>
        <v>14925833098.967569</v>
      </c>
      <c r="DB112" s="269">
        <f t="shared" si="331"/>
        <v>0</v>
      </c>
      <c r="DC112" s="269">
        <f t="shared" si="238"/>
        <v>0</v>
      </c>
      <c r="DD112" s="207">
        <v>0</v>
      </c>
      <c r="DE112" s="606">
        <v>0</v>
      </c>
      <c r="DF112" s="269">
        <f>'Detailed Budget'!$AC$147</f>
        <v>5913600671000</v>
      </c>
      <c r="DG112" s="269">
        <f t="shared" si="258"/>
        <v>0</v>
      </c>
      <c r="DH112" s="269">
        <f>'Detailed Budget'!$AC$153</f>
        <v>226428026880.00003</v>
      </c>
      <c r="DI112" s="269"/>
      <c r="DJ112" s="269">
        <f>'Detailed Budget'!$AC$156</f>
        <v>27713070000</v>
      </c>
      <c r="DK112" s="269"/>
      <c r="DL112" s="269"/>
      <c r="DM112" s="196">
        <f>'Detailed Budget'!$AC$178</f>
        <v>5622683761.6229038</v>
      </c>
      <c r="DN112" s="269">
        <f t="shared" si="359"/>
        <v>21131670.733004149</v>
      </c>
      <c r="DO112" s="196">
        <f>'Detailed Budget'!$AC$179</f>
        <v>26827890683.128094</v>
      </c>
      <c r="DP112" s="269">
        <f t="shared" si="360"/>
        <v>100826968.31594183</v>
      </c>
      <c r="DQ112" s="269">
        <f t="shared" si="273"/>
        <v>121958639.04894598</v>
      </c>
      <c r="DR112" s="269">
        <f>'Detailed Budget'!$AC$181</f>
        <v>50888946855.375237</v>
      </c>
      <c r="DS112" s="269">
        <f t="shared" si="361"/>
        <v>152921204.62278384</v>
      </c>
      <c r="DT112" s="269">
        <f t="shared" si="362"/>
        <v>274879843.6717298</v>
      </c>
      <c r="DU112" s="272">
        <f>'Detailed Budget'!$AC$192</f>
        <v>77498869683.252869</v>
      </c>
      <c r="DV112" s="269">
        <f t="shared" si="332"/>
        <v>0</v>
      </c>
      <c r="DW112" s="140">
        <f>'Detailed Budget'!$AC$194</f>
        <v>2684962805.4134097</v>
      </c>
      <c r="DX112" s="269">
        <f t="shared" si="333"/>
        <v>0</v>
      </c>
      <c r="DY112" s="607">
        <f t="shared" si="239"/>
        <v>0</v>
      </c>
      <c r="DZ112" s="196">
        <f>'Detailed Budget'!$AC$198</f>
        <v>18732540018.380611</v>
      </c>
      <c r="EA112" s="269">
        <f t="shared" si="334"/>
        <v>25586431.817156147</v>
      </c>
      <c r="EB112" s="196">
        <f>'Detailed Budget'!$AC$200</f>
        <v>4683135004.5951529</v>
      </c>
      <c r="EC112" s="269">
        <f t="shared" si="335"/>
        <v>6396607.9542890368</v>
      </c>
      <c r="ED112" s="269">
        <f t="shared" si="240"/>
        <v>31983039.771445185</v>
      </c>
      <c r="EE112" s="196">
        <f>'Detailed Budget'!$AC$161</f>
        <v>251147290106.36197</v>
      </c>
      <c r="EF112" s="269">
        <f t="shared" si="336"/>
        <v>334437168.0980581</v>
      </c>
      <c r="EG112" s="196">
        <f>'Detailed Budget'!$AC$163</f>
        <v>15696705631.647623</v>
      </c>
      <c r="EH112" s="269">
        <f t="shared" si="337"/>
        <v>20902323.006128632</v>
      </c>
      <c r="EI112" s="269">
        <f t="shared" si="241"/>
        <v>355339491.10418671</v>
      </c>
      <c r="EJ112" s="196">
        <f>'Detailed Budget'!$AC$204</f>
        <v>45012172507.531975</v>
      </c>
      <c r="EK112" s="269">
        <f t="shared" si="338"/>
        <v>60553593.251877524</v>
      </c>
      <c r="EL112" s="201">
        <f>'Detailed Budget'!$AC$206</f>
        <v>11253043126.882994</v>
      </c>
      <c r="EM112" s="269">
        <f t="shared" si="339"/>
        <v>15138398.312969381</v>
      </c>
      <c r="EN112" s="269">
        <f t="shared" si="242"/>
        <v>75691991.564846903</v>
      </c>
      <c r="EO112" s="140">
        <f>'Detailed Budget'!$AC$209</f>
        <v>135789361677.54817</v>
      </c>
      <c r="EP112" s="269">
        <f t="shared" si="340"/>
        <v>137057766.67857793</v>
      </c>
      <c r="EQ112" s="196">
        <f>'Detailed Budget'!$AC$211</f>
        <v>33947340419.387043</v>
      </c>
      <c r="ER112" s="269">
        <f t="shared" si="341"/>
        <v>34264441.669644482</v>
      </c>
      <c r="ES112" s="269">
        <f t="shared" si="243"/>
        <v>171322208.3482224</v>
      </c>
      <c r="ET112" s="196">
        <f>'Detailed Budget'!$AC$214</f>
        <v>22239745544.201103</v>
      </c>
      <c r="EU112" s="269">
        <f t="shared" si="342"/>
        <v>21800428.702253126</v>
      </c>
      <c r="EV112" s="140">
        <f>'Detailed Budget'!$AC$217</f>
        <v>5559936386.0502758</v>
      </c>
      <c r="EW112" s="269">
        <f t="shared" si="343"/>
        <v>5450107.1755632814</v>
      </c>
      <c r="EX112" s="269">
        <f t="shared" si="244"/>
        <v>27250535.877816409</v>
      </c>
      <c r="EY112" s="196">
        <f>'Detailed Budget'!$AC$219</f>
        <v>372777004.58170313</v>
      </c>
      <c r="EZ112" s="269">
        <f t="shared" si="344"/>
        <v>382548.67637136288</v>
      </c>
      <c r="FA112" s="196">
        <f>'Detailed Budget'!$AC$222</f>
        <v>93194251.145425782</v>
      </c>
      <c r="FB112" s="269">
        <f t="shared" si="345"/>
        <v>95637.169092840719</v>
      </c>
      <c r="FC112" s="269">
        <f t="shared" si="245"/>
        <v>478185.84546420362</v>
      </c>
      <c r="FD112" s="269"/>
      <c r="FE112" s="269">
        <f t="shared" si="246"/>
        <v>274742921.63634992</v>
      </c>
      <c r="FF112" s="140">
        <f>'Detailed Budget'!$AC$165</f>
        <v>14927760000</v>
      </c>
      <c r="FG112" s="1087">
        <f t="shared" si="259"/>
        <v>374767531.40466642</v>
      </c>
      <c r="FH112" s="269">
        <f t="shared" si="346"/>
        <v>18657579.820474949</v>
      </c>
      <c r="FJ112" s="140">
        <f>'Detailed Budget'!$AC$235</f>
        <v>3623696172</v>
      </c>
      <c r="FK112" s="269">
        <f t="shared" si="347"/>
        <v>4681778</v>
      </c>
      <c r="FL112" s="269">
        <f t="shared" si="260"/>
        <v>4681778</v>
      </c>
      <c r="FO112" s="607"/>
      <c r="FP112" s="607"/>
      <c r="FQ112" s="607"/>
      <c r="FR112" s="269">
        <f>'Detailed Budget'!$AC$257</f>
        <v>13636439388</v>
      </c>
      <c r="FS112" s="269">
        <f t="shared" si="348"/>
        <v>23984064</v>
      </c>
      <c r="FT112" s="269">
        <f t="shared" si="261"/>
        <v>23984064</v>
      </c>
      <c r="FU112" s="269"/>
      <c r="FV112" s="269"/>
      <c r="FW112" s="616"/>
      <c r="FX112" s="140">
        <f>'Detailed Budget'!$AC$278</f>
        <v>1114560000</v>
      </c>
      <c r="FY112" s="269">
        <f t="shared" si="349"/>
        <v>1440000</v>
      </c>
      <c r="FZ112" s="269">
        <f t="shared" si="262"/>
        <v>1440000</v>
      </c>
      <c r="GB112" s="269">
        <f t="shared" si="271"/>
        <v>2576907541.2495909</v>
      </c>
      <c r="GC112" s="887">
        <f t="shared" si="247"/>
        <v>1610567.2132809942</v>
      </c>
      <c r="GD112" s="1078">
        <f t="shared" si="272"/>
        <v>1.4459839659020245E-3</v>
      </c>
    </row>
    <row r="113" spans="1:186" hidden="1" outlineLevel="1">
      <c r="A113" s="211" t="s">
        <v>408</v>
      </c>
      <c r="B113" s="212" t="s">
        <v>409</v>
      </c>
      <c r="C113" s="213" t="s">
        <v>215</v>
      </c>
      <c r="D113" s="214" t="s">
        <v>215</v>
      </c>
      <c r="E113" s="213"/>
      <c r="F113" s="213"/>
      <c r="G113" s="213"/>
      <c r="H113" s="213" t="s">
        <v>215</v>
      </c>
      <c r="I113" s="214" t="s">
        <v>215</v>
      </c>
      <c r="J113" s="214"/>
      <c r="K113" s="213" t="s">
        <v>215</v>
      </c>
      <c r="L113" s="213"/>
      <c r="M113" s="214"/>
      <c r="N113" s="213"/>
      <c r="O113" s="214"/>
      <c r="P113" s="213"/>
      <c r="Q113" s="214"/>
      <c r="R113" s="214" t="s">
        <v>215</v>
      </c>
      <c r="S113" s="214"/>
      <c r="T113" s="214"/>
      <c r="U113" s="215">
        <f t="shared" si="350"/>
        <v>6</v>
      </c>
      <c r="V113" s="845" t="s">
        <v>219</v>
      </c>
      <c r="W113" s="216">
        <v>199600</v>
      </c>
      <c r="X113" s="217">
        <v>3.42</v>
      </c>
      <c r="Y113" s="218">
        <f t="shared" si="277"/>
        <v>1.0342</v>
      </c>
      <c r="Z113" s="196">
        <v>19</v>
      </c>
      <c r="AA113" s="218">
        <f t="shared" si="369"/>
        <v>1.8944630332534185</v>
      </c>
      <c r="AB113" s="196">
        <f t="shared" si="367"/>
        <v>378134.82143738231</v>
      </c>
      <c r="AC113">
        <v>19.899999999999999</v>
      </c>
      <c r="AD113" s="196">
        <f t="shared" si="368"/>
        <v>75248.829466039067</v>
      </c>
      <c r="AE113" s="196">
        <f t="shared" si="280"/>
        <v>71486.387992737116</v>
      </c>
      <c r="AF113" s="196">
        <f t="shared" si="351"/>
        <v>71486.387992737116</v>
      </c>
      <c r="AG113" s="606">
        <f t="shared" si="250"/>
        <v>3.3052167496605321E-3</v>
      </c>
      <c r="AH113" s="196">
        <f t="shared" si="363"/>
        <v>18906.741071869117</v>
      </c>
      <c r="AI113" s="248">
        <f t="shared" si="216"/>
        <v>1.4646765843268951E-3</v>
      </c>
      <c r="AJ113" s="196">
        <f t="shared" si="228"/>
        <v>94155.570537908177</v>
      </c>
      <c r="AK113" s="196">
        <f t="shared" si="278"/>
        <v>15125.392857495293</v>
      </c>
      <c r="AL113" s="196">
        <f t="shared" si="279"/>
        <v>15125.392857495293</v>
      </c>
      <c r="AM113" s="196">
        <f t="shared" si="229"/>
        <v>30250.785714990587</v>
      </c>
      <c r="AN113" s="627">
        <f t="shared" si="230"/>
        <v>1.4646765843268951E-3</v>
      </c>
      <c r="AO113" s="196">
        <f t="shared" si="231"/>
        <v>14369.123214620528</v>
      </c>
      <c r="AP113" s="589">
        <f t="shared" si="251"/>
        <v>1.4646765843268949E-3</v>
      </c>
      <c r="AQ113" s="196"/>
      <c r="AR113" s="589"/>
      <c r="AS113">
        <v>1</v>
      </c>
      <c r="AT113" s="589">
        <f t="shared" si="252"/>
        <v>1.2919896640826874E-3</v>
      </c>
      <c r="AU113" s="196">
        <v>11</v>
      </c>
      <c r="AV113" s="245">
        <f t="shared" si="232"/>
        <v>1.2498579706851495E-3</v>
      </c>
      <c r="AX113" s="245"/>
      <c r="AY113" s="245"/>
      <c r="AZ113" s="196">
        <v>57</v>
      </c>
      <c r="BA113" s="589">
        <f t="shared" si="265"/>
        <v>2.088600637572826E-3</v>
      </c>
      <c r="BI113" s="196">
        <v>1</v>
      </c>
      <c r="BJ113" s="196">
        <f t="shared" si="352"/>
        <v>210074.89519069303</v>
      </c>
      <c r="BK113" s="246">
        <f t="shared" si="266"/>
        <v>4.0060015050844165E-3</v>
      </c>
      <c r="BL113" s="196">
        <f t="shared" si="364"/>
        <v>4201.4979038138608</v>
      </c>
      <c r="BM113" s="246">
        <f t="shared" si="267"/>
        <v>4.006001046732279E-3</v>
      </c>
      <c r="BN113" s="196">
        <v>0</v>
      </c>
      <c r="BO113" s="196">
        <f t="shared" si="353"/>
        <v>27691.69560261775</v>
      </c>
      <c r="BP113" s="196">
        <f t="shared" si="233"/>
        <v>0</v>
      </c>
      <c r="BQ113" s="248">
        <f t="shared" si="268"/>
        <v>0</v>
      </c>
      <c r="BR113" s="248"/>
      <c r="BS113" s="248"/>
      <c r="BT113" s="276">
        <v>1</v>
      </c>
      <c r="BU113" s="196">
        <f t="shared" si="365"/>
        <v>59597.072937102945</v>
      </c>
      <c r="BV113" s="264">
        <f t="shared" si="269"/>
        <v>4.13376586511851E-3</v>
      </c>
      <c r="BW113" s="196">
        <f t="shared" si="366"/>
        <v>254943.03423094039</v>
      </c>
      <c r="BX113" s="247">
        <f t="shared" si="270"/>
        <v>4.1337659023556314E-3</v>
      </c>
      <c r="BY113" s="196">
        <f t="shared" si="276"/>
        <v>314540.10716804332</v>
      </c>
      <c r="BZ113" s="620">
        <v>0</v>
      </c>
      <c r="CA113" s="196">
        <f t="shared" si="324"/>
        <v>115709.25535983901</v>
      </c>
      <c r="CB113" s="196">
        <f t="shared" si="325"/>
        <v>231418.51071967802</v>
      </c>
      <c r="CC113" s="196">
        <f t="shared" si="248"/>
        <v>347127.76607951702</v>
      </c>
      <c r="CD113" s="247">
        <f t="shared" si="236"/>
        <v>1.4646765843268953E-3</v>
      </c>
      <c r="CE113" s="196">
        <f t="shared" si="354"/>
        <v>34790.032767562821</v>
      </c>
      <c r="CF113" s="247">
        <f t="shared" si="237"/>
        <v>1.5023418100149932E-3</v>
      </c>
      <c r="CG113" s="196">
        <f t="shared" si="326"/>
        <v>57476.49285848211</v>
      </c>
      <c r="CH113" s="589">
        <f t="shared" si="253"/>
        <v>1.4646765843268949E-3</v>
      </c>
      <c r="CI113" s="196">
        <f t="shared" si="355"/>
        <v>90004.432153931135</v>
      </c>
      <c r="CJ113" s="248">
        <f t="shared" si="254"/>
        <v>1.4796726361491729E-3</v>
      </c>
      <c r="CK113" s="196">
        <f t="shared" si="356"/>
        <v>77228.843999657533</v>
      </c>
      <c r="CL113" s="589">
        <f t="shared" si="255"/>
        <v>1.110180517790561E-3</v>
      </c>
      <c r="CM113" s="196">
        <f t="shared" si="357"/>
        <v>7481.569024635276</v>
      </c>
      <c r="CN113" s="589">
        <f t="shared" si="256"/>
        <v>1.0781791218711298E-3</v>
      </c>
      <c r="CO113" s="196">
        <f t="shared" si="358"/>
        <v>598.53157845023975</v>
      </c>
      <c r="CP113" s="589">
        <f t="shared" si="257"/>
        <v>1.1287383661223607E-3</v>
      </c>
      <c r="CQ113" s="196">
        <f>'Detailed Budget'!$AC$12</f>
        <v>292876014141.44696</v>
      </c>
      <c r="CR113" s="269">
        <f t="shared" si="328"/>
        <v>1173261753.4537613</v>
      </c>
      <c r="CS113" s="269">
        <f>'Detailed Budget'!$AC$16</f>
        <v>10488008800.000002</v>
      </c>
      <c r="CT113" s="607">
        <f t="shared" si="329"/>
        <v>42014974.230937362</v>
      </c>
      <c r="CU113" s="269">
        <f>'Detailed Budget'!$AC$24</f>
        <v>30624985696</v>
      </c>
      <c r="CV113" s="269">
        <f t="shared" si="264"/>
        <v>122683738.79136473</v>
      </c>
      <c r="CW113" s="269"/>
      <c r="CX113" s="269">
        <f t="shared" si="249"/>
        <v>1337960466.4760633</v>
      </c>
      <c r="CY113" s="196">
        <f>'Detailed Budget'!$AC$97</f>
        <v>74629165494.837845</v>
      </c>
      <c r="CZ113" s="269">
        <f t="shared" si="330"/>
        <v>0</v>
      </c>
      <c r="DA113" s="269">
        <f>'Detailed Budget'!$AC$100</f>
        <v>14925833098.967569</v>
      </c>
      <c r="DB113" s="269">
        <f t="shared" si="331"/>
        <v>0</v>
      </c>
      <c r="DC113" s="269">
        <f t="shared" si="238"/>
        <v>0</v>
      </c>
      <c r="DD113" s="207">
        <v>0</v>
      </c>
      <c r="DE113" s="606">
        <v>0</v>
      </c>
      <c r="DF113" s="269">
        <f>'Detailed Budget'!$AC$147</f>
        <v>5913600671000</v>
      </c>
      <c r="DG113" s="269">
        <f t="shared" si="258"/>
        <v>0</v>
      </c>
      <c r="DH113" s="269">
        <f>'Detailed Budget'!$AC$153</f>
        <v>226428026880.00003</v>
      </c>
      <c r="DI113" s="269"/>
      <c r="DJ113" s="269">
        <f>'Detailed Budget'!$AC$156</f>
        <v>27713070000</v>
      </c>
      <c r="DK113" s="269"/>
      <c r="DL113" s="269"/>
      <c r="DM113" s="196">
        <f>'Detailed Budget'!$AC$178</f>
        <v>5622683761.6229038</v>
      </c>
      <c r="DN113" s="269">
        <f t="shared" si="359"/>
        <v>23242858.204152901</v>
      </c>
      <c r="DO113" s="196">
        <f>'Detailed Budget'!$AC$179</f>
        <v>26827890683.128094</v>
      </c>
      <c r="DP113" s="269">
        <f t="shared" si="360"/>
        <v>110900219.73803924</v>
      </c>
      <c r="DQ113" s="269">
        <f t="shared" si="273"/>
        <v>134143077.94219214</v>
      </c>
      <c r="DR113" s="269">
        <f>'Detailed Budget'!$AC$181</f>
        <v>50888946855.375237</v>
      </c>
      <c r="DS113" s="269">
        <f t="shared" si="361"/>
        <v>168198999.51897091</v>
      </c>
      <c r="DT113" s="269">
        <f t="shared" si="362"/>
        <v>302342077.46116304</v>
      </c>
      <c r="DU113" s="272">
        <f>'Detailed Budget'!$AC$192</f>
        <v>77498869683.252869</v>
      </c>
      <c r="DV113" s="269">
        <f t="shared" si="332"/>
        <v>0</v>
      </c>
      <c r="DW113" s="140">
        <f>'Detailed Budget'!$AC$194</f>
        <v>2684962805.4134097</v>
      </c>
      <c r="DX113" s="269">
        <f t="shared" si="333"/>
        <v>0</v>
      </c>
      <c r="DY113" s="607">
        <f t="shared" si="239"/>
        <v>0</v>
      </c>
      <c r="DZ113" s="196">
        <f>'Detailed Budget'!$AC$198</f>
        <v>18732540018.380611</v>
      </c>
      <c r="EA113" s="269">
        <f t="shared" si="334"/>
        <v>28142678.07739222</v>
      </c>
      <c r="EB113" s="196">
        <f>'Detailed Budget'!$AC$200</f>
        <v>4683135004.5951529</v>
      </c>
      <c r="EC113" s="269">
        <f t="shared" si="335"/>
        <v>7035669.5193480551</v>
      </c>
      <c r="ED113" s="269">
        <f t="shared" si="240"/>
        <v>35178347.596740276</v>
      </c>
      <c r="EE113" s="196">
        <f>'Detailed Budget'!$AC$161</f>
        <v>251147290106.36197</v>
      </c>
      <c r="EF113" s="269">
        <f t="shared" si="336"/>
        <v>367849555.03594202</v>
      </c>
      <c r="EG113" s="196">
        <f>'Detailed Budget'!$AC$163</f>
        <v>15696705631.647623</v>
      </c>
      <c r="EH113" s="269">
        <f t="shared" si="337"/>
        <v>22990597.189746376</v>
      </c>
      <c r="EI113" s="269">
        <f t="shared" si="241"/>
        <v>390840152.2256884</v>
      </c>
      <c r="EJ113" s="196">
        <f>'Detailed Budget'!$AC$204</f>
        <v>45012172507.531975</v>
      </c>
      <c r="EK113" s="269">
        <f t="shared" si="338"/>
        <v>66603279.953021161</v>
      </c>
      <c r="EL113" s="201">
        <f>'Detailed Budget'!$AC$206</f>
        <v>11253043126.882994</v>
      </c>
      <c r="EM113" s="269">
        <f t="shared" si="339"/>
        <v>16650819.98825529</v>
      </c>
      <c r="EN113" s="269">
        <f t="shared" si="242"/>
        <v>83254099.941276446</v>
      </c>
      <c r="EO113" s="140">
        <f>'Detailed Budget'!$AC$209</f>
        <v>135789361677.54817</v>
      </c>
      <c r="EP113" s="269">
        <f t="shared" si="340"/>
        <v>150750703.85763019</v>
      </c>
      <c r="EQ113" s="196">
        <f>'Detailed Budget'!$AC$211</f>
        <v>33947340419.387043</v>
      </c>
      <c r="ER113" s="269">
        <f t="shared" si="341"/>
        <v>37687675.964407548</v>
      </c>
      <c r="ES113" s="269">
        <f t="shared" si="243"/>
        <v>188438379.82203776</v>
      </c>
      <c r="ET113" s="196">
        <f>'Detailed Budget'!$AC$214</f>
        <v>22239745544.201103</v>
      </c>
      <c r="EU113" s="269">
        <f t="shared" si="342"/>
        <v>23978429.321484119</v>
      </c>
      <c r="EV113" s="140">
        <f>'Detailed Budget'!$AC$217</f>
        <v>5559936386.0502758</v>
      </c>
      <c r="EW113" s="269">
        <f t="shared" si="343"/>
        <v>5994607.3303710297</v>
      </c>
      <c r="EX113" s="269">
        <f t="shared" si="244"/>
        <v>29973036.651855148</v>
      </c>
      <c r="EY113" s="196">
        <f>'Detailed Budget'!$AC$219</f>
        <v>372777004.58170313</v>
      </c>
      <c r="EZ113" s="269">
        <f t="shared" si="344"/>
        <v>420767.70707953937</v>
      </c>
      <c r="FA113" s="196">
        <f>'Detailed Budget'!$AC$222</f>
        <v>93194251.145425782</v>
      </c>
      <c r="FB113" s="269">
        <f t="shared" si="345"/>
        <v>105191.92676988484</v>
      </c>
      <c r="FC113" s="269">
        <f t="shared" si="245"/>
        <v>525959.63384942419</v>
      </c>
      <c r="FD113" s="269"/>
      <c r="FE113" s="269">
        <f t="shared" si="246"/>
        <v>302191476.0490188</v>
      </c>
      <c r="FF113" s="140">
        <f>'Detailed Budget'!$AC$165</f>
        <v>14927760000</v>
      </c>
      <c r="FG113" s="1087">
        <f t="shared" si="259"/>
        <v>412209176.54913437</v>
      </c>
      <c r="FH113" s="269">
        <f t="shared" si="346"/>
        <v>18657579.820474949</v>
      </c>
      <c r="FJ113" s="140">
        <f>'Detailed Budget'!$AC$235</f>
        <v>3623696172</v>
      </c>
      <c r="FK113" s="269">
        <f t="shared" si="347"/>
        <v>4681778</v>
      </c>
      <c r="FL113" s="269">
        <f t="shared" si="260"/>
        <v>4681778</v>
      </c>
      <c r="FO113" s="607"/>
      <c r="FP113" s="607"/>
      <c r="FQ113" s="607"/>
      <c r="FR113" s="269">
        <f>'Detailed Budget'!$AC$257</f>
        <v>13636439388</v>
      </c>
      <c r="FS113" s="269">
        <f t="shared" si="348"/>
        <v>28481075.999999996</v>
      </c>
      <c r="FT113" s="269">
        <f t="shared" si="261"/>
        <v>28481075.999999996</v>
      </c>
      <c r="FU113" s="269"/>
      <c r="FV113" s="269"/>
      <c r="FW113" s="616"/>
      <c r="FX113" s="140">
        <f>'Detailed Budget'!$AC$278</f>
        <v>1114560000</v>
      </c>
      <c r="FY113" s="269">
        <f t="shared" si="349"/>
        <v>1440000</v>
      </c>
      <c r="FZ113" s="269">
        <f t="shared" si="262"/>
        <v>1440000</v>
      </c>
      <c r="GB113" s="269">
        <f t="shared" si="271"/>
        <v>2833982130.1782832</v>
      </c>
      <c r="GC113" s="887">
        <f t="shared" si="247"/>
        <v>1771238.831361427</v>
      </c>
      <c r="GD113" s="1078">
        <f t="shared" si="272"/>
        <v>1.5902366127981125E-3</v>
      </c>
    </row>
    <row r="114" spans="1:186" hidden="1" outlineLevel="1">
      <c r="A114" s="211" t="s">
        <v>410</v>
      </c>
      <c r="B114" s="212" t="s">
        <v>411</v>
      </c>
      <c r="C114" s="213" t="s">
        <v>215</v>
      </c>
      <c r="D114" s="214" t="s">
        <v>215</v>
      </c>
      <c r="E114" s="213"/>
      <c r="F114" s="213"/>
      <c r="G114" s="213"/>
      <c r="H114" s="213" t="s">
        <v>215</v>
      </c>
      <c r="I114" s="214" t="s">
        <v>215</v>
      </c>
      <c r="J114" s="214"/>
      <c r="K114" s="213" t="s">
        <v>215</v>
      </c>
      <c r="L114" s="213"/>
      <c r="M114" s="214"/>
      <c r="N114" s="213"/>
      <c r="O114" s="214"/>
      <c r="P114" s="213"/>
      <c r="Q114" s="214"/>
      <c r="R114" s="214" t="s">
        <v>215</v>
      </c>
      <c r="S114" s="214"/>
      <c r="T114" s="214"/>
      <c r="U114" s="215">
        <f t="shared" si="350"/>
        <v>6</v>
      </c>
      <c r="V114" s="845" t="s">
        <v>219</v>
      </c>
      <c r="W114" s="216">
        <v>215197</v>
      </c>
      <c r="X114" s="217">
        <v>3.42</v>
      </c>
      <c r="Y114" s="218">
        <f t="shared" si="277"/>
        <v>1.0342</v>
      </c>
      <c r="Z114" s="196">
        <v>19</v>
      </c>
      <c r="AA114" s="218">
        <f t="shared" si="369"/>
        <v>1.8944630332534185</v>
      </c>
      <c r="AB114" s="196">
        <f t="shared" si="367"/>
        <v>407682.76136703591</v>
      </c>
      <c r="AC114">
        <v>19.899999999999999</v>
      </c>
      <c r="AD114" s="196">
        <f t="shared" si="368"/>
        <v>81128.869512040139</v>
      </c>
      <c r="AE114" s="196">
        <f t="shared" si="280"/>
        <v>77072.426036438133</v>
      </c>
      <c r="AF114" s="196">
        <f t="shared" si="351"/>
        <v>77072.426036438133</v>
      </c>
      <c r="AG114" s="606">
        <f t="shared" si="250"/>
        <v>3.5634906256347574E-3</v>
      </c>
      <c r="AH114" s="196">
        <f t="shared" si="363"/>
        <v>20384.138068351796</v>
      </c>
      <c r="AI114" s="248">
        <f t="shared" si="216"/>
        <v>1.579128291169313E-3</v>
      </c>
      <c r="AJ114" s="196">
        <f t="shared" si="228"/>
        <v>101513.00758039193</v>
      </c>
      <c r="AK114" s="196">
        <f t="shared" si="278"/>
        <v>16307.310454681437</v>
      </c>
      <c r="AL114" s="196">
        <f t="shared" si="279"/>
        <v>16307.310454681437</v>
      </c>
      <c r="AM114" s="196">
        <f t="shared" si="229"/>
        <v>32614.620909362875</v>
      </c>
      <c r="AN114" s="627">
        <f t="shared" si="230"/>
        <v>1.579128291169313E-3</v>
      </c>
      <c r="AO114" s="196">
        <f t="shared" si="231"/>
        <v>15491.944931947364</v>
      </c>
      <c r="AP114" s="589">
        <f t="shared" si="251"/>
        <v>1.5791282911693128E-3</v>
      </c>
      <c r="AQ114" s="196"/>
      <c r="AR114" s="589"/>
      <c r="AS114">
        <v>1</v>
      </c>
      <c r="AT114" s="589">
        <f t="shared" si="252"/>
        <v>1.2919896640826874E-3</v>
      </c>
      <c r="AU114" s="196">
        <v>10</v>
      </c>
      <c r="AV114" s="245">
        <f t="shared" si="232"/>
        <v>1.1362345188046814E-3</v>
      </c>
      <c r="AX114" s="245"/>
      <c r="AY114" s="245"/>
      <c r="AZ114" s="196">
        <v>43</v>
      </c>
      <c r="BA114" s="589">
        <f t="shared" si="265"/>
        <v>1.5756110072917811E-3</v>
      </c>
      <c r="BI114" s="196">
        <v>1</v>
      </c>
      <c r="BJ114" s="196">
        <f t="shared" si="352"/>
        <v>226490.41693562912</v>
      </c>
      <c r="BK114" s="246">
        <f t="shared" si="266"/>
        <v>4.3190356006495558E-3</v>
      </c>
      <c r="BL114" s="196">
        <f t="shared" si="364"/>
        <v>4529.8083387125826</v>
      </c>
      <c r="BM114" s="246">
        <f t="shared" si="267"/>
        <v>4.3190351064811942E-3</v>
      </c>
      <c r="BN114" s="196">
        <v>0</v>
      </c>
      <c r="BO114" s="196">
        <f t="shared" si="353"/>
        <v>29855.560213409484</v>
      </c>
      <c r="BP114" s="196">
        <f t="shared" si="233"/>
        <v>0</v>
      </c>
      <c r="BQ114" s="248">
        <f t="shared" si="268"/>
        <v>0</v>
      </c>
      <c r="BR114" s="248"/>
      <c r="BS114" s="248"/>
      <c r="BT114" s="276">
        <v>1</v>
      </c>
      <c r="BU114" s="196">
        <f t="shared" si="365"/>
        <v>64254.064653535788</v>
      </c>
      <c r="BV114" s="264">
        <f t="shared" si="269"/>
        <v>4.4567836316428263E-3</v>
      </c>
      <c r="BW114" s="196">
        <f t="shared" si="366"/>
        <v>274864.609906792</v>
      </c>
      <c r="BX114" s="247">
        <f t="shared" si="270"/>
        <v>4.4567836717897035E-3</v>
      </c>
      <c r="BY114" s="196">
        <f t="shared" si="276"/>
        <v>339118.67456032778</v>
      </c>
      <c r="BZ114" s="620">
        <v>0</v>
      </c>
      <c r="CA114" s="196">
        <f t="shared" si="324"/>
        <v>124750.92497831299</v>
      </c>
      <c r="CB114" s="196">
        <f t="shared" si="325"/>
        <v>249501.84995662599</v>
      </c>
      <c r="CC114" s="196">
        <f t="shared" si="248"/>
        <v>374252.77493493899</v>
      </c>
      <c r="CD114" s="247">
        <f t="shared" si="236"/>
        <v>1.579128291169313E-3</v>
      </c>
      <c r="CE114" s="196">
        <f t="shared" si="354"/>
        <v>37508.570548503085</v>
      </c>
      <c r="CF114" s="247">
        <f t="shared" si="237"/>
        <v>1.6197367259007838E-3</v>
      </c>
      <c r="CG114" s="196">
        <f t="shared" si="326"/>
        <v>61967.779727789457</v>
      </c>
      <c r="CH114" s="589">
        <f t="shared" si="253"/>
        <v>1.5791282911693128E-3</v>
      </c>
      <c r="CI114" s="196">
        <f t="shared" si="355"/>
        <v>97037.493918985594</v>
      </c>
      <c r="CJ114" s="248">
        <f t="shared" si="254"/>
        <v>1.5952961537143971E-3</v>
      </c>
      <c r="CK114" s="196">
        <f t="shared" si="356"/>
        <v>83263.604920813159</v>
      </c>
      <c r="CL114" s="589">
        <f t="shared" si="255"/>
        <v>1.1969314473295361E-3</v>
      </c>
      <c r="CM114" s="196">
        <f t="shared" si="357"/>
        <v>8066.1884238198281</v>
      </c>
      <c r="CN114" s="589">
        <f t="shared" si="256"/>
        <v>1.1624294212890861E-3</v>
      </c>
      <c r="CO114" s="196">
        <f t="shared" si="358"/>
        <v>645.30160364607343</v>
      </c>
      <c r="CP114" s="589">
        <f t="shared" si="257"/>
        <v>1.2169394297316318E-3</v>
      </c>
      <c r="CQ114" s="196">
        <f>'Detailed Budget'!$AC$12</f>
        <v>292876014141.44696</v>
      </c>
      <c r="CR114" s="269">
        <f t="shared" si="328"/>
        <v>1264941931.6532521</v>
      </c>
      <c r="CS114" s="269">
        <f>'Detailed Budget'!$AC$16</f>
        <v>10488008800.000002</v>
      </c>
      <c r="CT114" s="607">
        <f t="shared" si="329"/>
        <v>45298078.204283707</v>
      </c>
      <c r="CU114" s="269">
        <f>'Detailed Budget'!$AC$24</f>
        <v>30624985696</v>
      </c>
      <c r="CV114" s="269">
        <f t="shared" si="264"/>
        <v>132270403.49040742</v>
      </c>
      <c r="CW114" s="269"/>
      <c r="CX114" s="269">
        <f t="shared" si="249"/>
        <v>1442510413.3479433</v>
      </c>
      <c r="CY114" s="196">
        <f>'Detailed Budget'!$AC$97</f>
        <v>74629165494.837845</v>
      </c>
      <c r="CZ114" s="269">
        <f t="shared" si="330"/>
        <v>0</v>
      </c>
      <c r="DA114" s="269">
        <f>'Detailed Budget'!$AC$100</f>
        <v>14925833098.967569</v>
      </c>
      <c r="DB114" s="269">
        <f t="shared" si="331"/>
        <v>0</v>
      </c>
      <c r="DC114" s="269">
        <f t="shared" si="238"/>
        <v>0</v>
      </c>
      <c r="DD114" s="207">
        <v>0</v>
      </c>
      <c r="DE114" s="606">
        <v>0</v>
      </c>
      <c r="DF114" s="269">
        <f>'Detailed Budget'!$AC$147</f>
        <v>5913600671000</v>
      </c>
      <c r="DG114" s="269">
        <f t="shared" si="258"/>
        <v>0</v>
      </c>
      <c r="DH114" s="269">
        <f>'Detailed Budget'!$AC$153</f>
        <v>226428026880.00003</v>
      </c>
      <c r="DI114" s="269"/>
      <c r="DJ114" s="269">
        <f>'Detailed Budget'!$AC$156</f>
        <v>27713070000</v>
      </c>
      <c r="DK114" s="269"/>
      <c r="DL114" s="269"/>
      <c r="DM114" s="196">
        <f>'Detailed Budget'!$AC$178</f>
        <v>5622683761.6229038</v>
      </c>
      <c r="DN114" s="269">
        <f t="shared" si="359"/>
        <v>25059084.954704873</v>
      </c>
      <c r="DO114" s="196">
        <f>'Detailed Budget'!$AC$179</f>
        <v>26827890683.128094</v>
      </c>
      <c r="DP114" s="269">
        <f t="shared" si="360"/>
        <v>119566105.14512441</v>
      </c>
      <c r="DQ114" s="269">
        <f t="shared" si="273"/>
        <v>144625190.09982929</v>
      </c>
      <c r="DR114" s="269">
        <f>'Detailed Budget'!$AC$181</f>
        <v>50888946855.375237</v>
      </c>
      <c r="DS114" s="269">
        <f t="shared" si="361"/>
        <v>181342285.06755501</v>
      </c>
      <c r="DT114" s="269">
        <f t="shared" si="362"/>
        <v>325967475.16738427</v>
      </c>
      <c r="DU114" s="272">
        <f>'Detailed Budget'!$AC$192</f>
        <v>77498869683.252869</v>
      </c>
      <c r="DV114" s="269">
        <f t="shared" si="332"/>
        <v>0</v>
      </c>
      <c r="DW114" s="140">
        <f>'Detailed Budget'!$AC$194</f>
        <v>2684962805.4134097</v>
      </c>
      <c r="DX114" s="269">
        <f t="shared" si="333"/>
        <v>0</v>
      </c>
      <c r="DY114" s="607">
        <f t="shared" si="239"/>
        <v>0</v>
      </c>
      <c r="DZ114" s="196">
        <f>'Detailed Budget'!$AC$198</f>
        <v>18732540018.380611</v>
      </c>
      <c r="EA114" s="269">
        <f t="shared" si="334"/>
        <v>30341783.03717722</v>
      </c>
      <c r="EB114" s="196">
        <f>'Detailed Budget'!$AC$200</f>
        <v>4683135004.5951529</v>
      </c>
      <c r="EC114" s="269">
        <f t="shared" si="335"/>
        <v>7585445.759294305</v>
      </c>
      <c r="ED114" s="269">
        <f t="shared" si="240"/>
        <v>37927228.796471521</v>
      </c>
      <c r="EE114" s="196">
        <f>'Detailed Budget'!$AC$161</f>
        <v>251147290106.36197</v>
      </c>
      <c r="EF114" s="269">
        <f t="shared" si="336"/>
        <v>396593791.05746305</v>
      </c>
      <c r="EG114" s="196">
        <f>'Detailed Budget'!$AC$163</f>
        <v>15696705631.647623</v>
      </c>
      <c r="EH114" s="269">
        <f t="shared" si="337"/>
        <v>24787111.941091441</v>
      </c>
      <c r="EI114" s="269">
        <f t="shared" si="241"/>
        <v>421380902.99855447</v>
      </c>
      <c r="EJ114" s="196">
        <f>'Detailed Budget'!$AC$204</f>
        <v>45012172507.531975</v>
      </c>
      <c r="EK114" s="269">
        <f t="shared" si="338"/>
        <v>71807745.671594694</v>
      </c>
      <c r="EL114" s="201">
        <f>'Detailed Budget'!$AC$206</f>
        <v>11253043126.882994</v>
      </c>
      <c r="EM114" s="269">
        <f t="shared" si="339"/>
        <v>17951936.417898674</v>
      </c>
      <c r="EN114" s="269">
        <f t="shared" si="242"/>
        <v>89759682.089493364</v>
      </c>
      <c r="EO114" s="140">
        <f>'Detailed Budget'!$AC$209</f>
        <v>135789361677.54817</v>
      </c>
      <c r="EP114" s="269">
        <f t="shared" si="340"/>
        <v>162530557.20466158</v>
      </c>
      <c r="EQ114" s="196">
        <f>'Detailed Budget'!$AC$211</f>
        <v>33947340419.387043</v>
      </c>
      <c r="ER114" s="269">
        <f t="shared" si="341"/>
        <v>40632639.301165394</v>
      </c>
      <c r="ES114" s="269">
        <f t="shared" si="243"/>
        <v>203163196.50582698</v>
      </c>
      <c r="ET114" s="196">
        <f>'Detailed Budget'!$AC$214</f>
        <v>22239745544.201103</v>
      </c>
      <c r="EU114" s="269">
        <f t="shared" si="342"/>
        <v>25852134.54256222</v>
      </c>
      <c r="EV114" s="140">
        <f>'Detailed Budget'!$AC$217</f>
        <v>5559936386.0502758</v>
      </c>
      <c r="EW114" s="269">
        <f t="shared" si="343"/>
        <v>6463033.6356405551</v>
      </c>
      <c r="EX114" s="269">
        <f t="shared" si="244"/>
        <v>32315168.178202774</v>
      </c>
      <c r="EY114" s="196">
        <f>'Detailed Budget'!$AC$219</f>
        <v>372777004.58170313</v>
      </c>
      <c r="EZ114" s="269">
        <f t="shared" si="344"/>
        <v>453647.03537272371</v>
      </c>
      <c r="FA114" s="196">
        <f>'Detailed Budget'!$AC$222</f>
        <v>93194251.145425782</v>
      </c>
      <c r="FB114" s="269">
        <f t="shared" si="345"/>
        <v>113411.75884318093</v>
      </c>
      <c r="FC114" s="269">
        <f t="shared" si="245"/>
        <v>567058.79421590467</v>
      </c>
      <c r="FD114" s="269"/>
      <c r="FE114" s="269">
        <f t="shared" si="246"/>
        <v>325805105.56773901</v>
      </c>
      <c r="FF114" s="140">
        <f>'Detailed Budget'!$AC$165</f>
        <v>14927760000</v>
      </c>
      <c r="FG114" s="1087">
        <f t="shared" si="259"/>
        <v>444419730.28979999</v>
      </c>
      <c r="FH114" s="269">
        <f t="shared" si="346"/>
        <v>16961436.200431772</v>
      </c>
      <c r="FJ114" s="140">
        <f>'Detailed Budget'!$AC$235</f>
        <v>3623696172</v>
      </c>
      <c r="FK114" s="269">
        <f t="shared" si="347"/>
        <v>4681778</v>
      </c>
      <c r="FL114" s="269">
        <f t="shared" si="260"/>
        <v>4681778</v>
      </c>
      <c r="FO114" s="607"/>
      <c r="FP114" s="607"/>
      <c r="FQ114" s="607"/>
      <c r="FR114" s="269">
        <f>'Detailed Budget'!$AC$257</f>
        <v>13636439388</v>
      </c>
      <c r="FS114" s="269">
        <f t="shared" si="348"/>
        <v>21485724</v>
      </c>
      <c r="FT114" s="269">
        <f t="shared" si="261"/>
        <v>21485724</v>
      </c>
      <c r="FU114" s="269"/>
      <c r="FV114" s="269"/>
      <c r="FW114" s="616"/>
      <c r="FX114" s="140">
        <f>'Detailed Budget'!$AC$278</f>
        <v>1114560000</v>
      </c>
      <c r="FY114" s="269">
        <f t="shared" si="349"/>
        <v>1440000</v>
      </c>
      <c r="FZ114" s="269">
        <f t="shared" si="262"/>
        <v>1440000</v>
      </c>
      <c r="GB114" s="269">
        <f t="shared" si="271"/>
        <v>3042579794.3683243</v>
      </c>
      <c r="GC114" s="887">
        <f t="shared" si="247"/>
        <v>1901612.3714802028</v>
      </c>
      <c r="GD114" s="1078">
        <f t="shared" si="272"/>
        <v>1.707287330728469E-3</v>
      </c>
    </row>
    <row r="115" spans="1:186" hidden="1" outlineLevel="1">
      <c r="A115" s="211" t="s">
        <v>412</v>
      </c>
      <c r="B115" s="212" t="s">
        <v>413</v>
      </c>
      <c r="C115" s="213" t="s">
        <v>215</v>
      </c>
      <c r="D115" s="214" t="s">
        <v>215</v>
      </c>
      <c r="E115" s="213"/>
      <c r="F115" s="213"/>
      <c r="G115" s="213"/>
      <c r="H115" s="213" t="s">
        <v>215</v>
      </c>
      <c r="I115" s="214" t="s">
        <v>215</v>
      </c>
      <c r="J115" s="214"/>
      <c r="K115" s="213" t="s">
        <v>215</v>
      </c>
      <c r="L115" s="213"/>
      <c r="M115" s="214"/>
      <c r="N115" s="213"/>
      <c r="O115" s="214"/>
      <c r="P115" s="213"/>
      <c r="Q115" s="214"/>
      <c r="R115" s="214" t="s">
        <v>215</v>
      </c>
      <c r="S115" s="214"/>
      <c r="T115" s="214"/>
      <c r="U115" s="215">
        <f t="shared" si="350"/>
        <v>6</v>
      </c>
      <c r="V115" s="845" t="s">
        <v>219</v>
      </c>
      <c r="W115" s="216">
        <v>242858</v>
      </c>
      <c r="X115" s="217">
        <v>3.42</v>
      </c>
      <c r="Y115" s="218">
        <f t="shared" si="277"/>
        <v>1.0342</v>
      </c>
      <c r="Z115" s="196">
        <v>19</v>
      </c>
      <c r="AA115" s="218">
        <f t="shared" si="369"/>
        <v>1.8944630332534185</v>
      </c>
      <c r="AB115" s="196">
        <f t="shared" si="367"/>
        <v>460085.50332985871</v>
      </c>
      <c r="AC115">
        <v>19.899999999999999</v>
      </c>
      <c r="AD115" s="196">
        <f t="shared" si="368"/>
        <v>91557.015162641866</v>
      </c>
      <c r="AE115" s="196">
        <f t="shared" si="280"/>
        <v>86979.164404509764</v>
      </c>
      <c r="AF115" s="196">
        <f t="shared" si="351"/>
        <v>86979.164404509764</v>
      </c>
      <c r="AG115" s="606">
        <f t="shared" si="250"/>
        <v>4.021534716378043E-3</v>
      </c>
      <c r="AH115" s="196">
        <f t="shared" si="363"/>
        <v>23004.275166492938</v>
      </c>
      <c r="AI115" s="248">
        <f t="shared" si="216"/>
        <v>1.7821063422668393E-3</v>
      </c>
      <c r="AJ115" s="196">
        <f t="shared" si="228"/>
        <v>114561.2903291348</v>
      </c>
      <c r="AK115" s="196">
        <f t="shared" si="278"/>
        <v>18403.420133194348</v>
      </c>
      <c r="AL115" s="196">
        <f t="shared" si="279"/>
        <v>18403.420133194348</v>
      </c>
      <c r="AM115" s="196">
        <f t="shared" si="229"/>
        <v>36806.840266388695</v>
      </c>
      <c r="AN115" s="627">
        <f t="shared" si="230"/>
        <v>1.7821063422668391E-3</v>
      </c>
      <c r="AO115" s="196">
        <f t="shared" si="231"/>
        <v>17483.249126534629</v>
      </c>
      <c r="AP115" s="589">
        <f t="shared" si="251"/>
        <v>1.7821063422668389E-3</v>
      </c>
      <c r="AQ115" s="196"/>
      <c r="AR115" s="589"/>
      <c r="AS115">
        <v>1</v>
      </c>
      <c r="AT115" s="589">
        <f t="shared" si="252"/>
        <v>1.2919896640826874E-3</v>
      </c>
      <c r="AU115" s="196">
        <v>11</v>
      </c>
      <c r="AV115" s="245">
        <f t="shared" si="232"/>
        <v>1.2498579706851495E-3</v>
      </c>
      <c r="AX115" s="245"/>
      <c r="AY115" s="245"/>
      <c r="AZ115" s="196">
        <v>81</v>
      </c>
      <c r="BA115" s="589">
        <f t="shared" si="265"/>
        <v>2.9680114323403319E-3</v>
      </c>
      <c r="BI115" s="196">
        <v>1</v>
      </c>
      <c r="BJ115" s="196">
        <f t="shared" si="352"/>
        <v>255603.05058227119</v>
      </c>
      <c r="BK115" s="246">
        <f t="shared" si="266"/>
        <v>4.8741959595280122E-3</v>
      </c>
      <c r="BL115" s="196">
        <f t="shared" si="364"/>
        <v>5112.0610116454236</v>
      </c>
      <c r="BM115" s="246">
        <f t="shared" si="267"/>
        <v>4.8741954018402187E-3</v>
      </c>
      <c r="BN115" s="196">
        <v>0</v>
      </c>
      <c r="BO115" s="196">
        <f t="shared" si="353"/>
        <v>33693.135323950613</v>
      </c>
      <c r="BP115" s="196">
        <f t="shared" si="233"/>
        <v>0</v>
      </c>
      <c r="BQ115" s="248">
        <f t="shared" si="268"/>
        <v>0</v>
      </c>
      <c r="BR115" s="248"/>
      <c r="BS115" s="248"/>
      <c r="BT115" s="276">
        <v>1</v>
      </c>
      <c r="BU115" s="196">
        <f t="shared" si="365"/>
        <v>72513.156008812366</v>
      </c>
      <c r="BV115" s="264">
        <f t="shared" si="269"/>
        <v>5.0296498520588737E-3</v>
      </c>
      <c r="BW115" s="196">
        <f t="shared" si="366"/>
        <v>310195.16737103072</v>
      </c>
      <c r="BX115" s="247">
        <f t="shared" si="270"/>
        <v>5.0296498973661525E-3</v>
      </c>
      <c r="BY115" s="196">
        <f t="shared" si="276"/>
        <v>382708.32337984309</v>
      </c>
      <c r="BZ115" s="620">
        <v>0</v>
      </c>
      <c r="CA115" s="196">
        <f t="shared" si="324"/>
        <v>140786.16401893675</v>
      </c>
      <c r="CB115" s="196">
        <f t="shared" si="325"/>
        <v>281572.32803787349</v>
      </c>
      <c r="CC115" s="196">
        <f t="shared" si="248"/>
        <v>422358.49205681024</v>
      </c>
      <c r="CD115" s="247">
        <f t="shared" si="236"/>
        <v>1.7821063422668389E-3</v>
      </c>
      <c r="CE115" s="196">
        <f t="shared" si="354"/>
        <v>42329.848586496853</v>
      </c>
      <c r="CF115" s="247">
        <f t="shared" si="237"/>
        <v>1.8279345054940943E-3</v>
      </c>
      <c r="CG115" s="196">
        <f t="shared" si="326"/>
        <v>69932.996506138516</v>
      </c>
      <c r="CH115" s="589">
        <f t="shared" si="253"/>
        <v>1.7821063422668389E-3</v>
      </c>
      <c r="CI115" s="196">
        <f t="shared" si="355"/>
        <v>109510.50292604914</v>
      </c>
      <c r="CJ115" s="248">
        <f t="shared" si="254"/>
        <v>1.8003523901298389E-3</v>
      </c>
      <c r="CK115" s="196">
        <f t="shared" si="356"/>
        <v>93966.145270885914</v>
      </c>
      <c r="CL115" s="589">
        <f t="shared" si="255"/>
        <v>1.3507826662804612E-3</v>
      </c>
      <c r="CM115" s="196">
        <f t="shared" si="357"/>
        <v>9103.0004518280257</v>
      </c>
      <c r="CN115" s="589">
        <f t="shared" si="256"/>
        <v>1.3118458175319582E-3</v>
      </c>
      <c r="CO115" s="196">
        <f t="shared" si="358"/>
        <v>728.24740520675505</v>
      </c>
      <c r="CP115" s="589">
        <f t="shared" si="257"/>
        <v>1.3733624354696607E-3</v>
      </c>
      <c r="CQ115" s="196">
        <f>'Detailed Budget'!$AC$12</f>
        <v>292876014141.44696</v>
      </c>
      <c r="CR115" s="269">
        <f t="shared" si="328"/>
        <v>1427535084.7709098</v>
      </c>
      <c r="CS115" s="269">
        <f>'Detailed Budget'!$AC$16</f>
        <v>10488008800.000002</v>
      </c>
      <c r="CT115" s="607">
        <f t="shared" si="329"/>
        <v>51120604.267419755</v>
      </c>
      <c r="CU115" s="269">
        <f>'Detailed Budget'!$AC$24</f>
        <v>30624985696</v>
      </c>
      <c r="CV115" s="269">
        <f t="shared" si="264"/>
        <v>149272181.54004636</v>
      </c>
      <c r="CW115" s="269"/>
      <c r="CX115" s="269">
        <f t="shared" si="249"/>
        <v>1627927870.5783761</v>
      </c>
      <c r="CY115" s="196">
        <f>'Detailed Budget'!$AC$97</f>
        <v>74629165494.837845</v>
      </c>
      <c r="CZ115" s="269">
        <f t="shared" si="330"/>
        <v>0</v>
      </c>
      <c r="DA115" s="269">
        <f>'Detailed Budget'!$AC$100</f>
        <v>14925833098.967569</v>
      </c>
      <c r="DB115" s="269">
        <f t="shared" si="331"/>
        <v>0</v>
      </c>
      <c r="DC115" s="269">
        <f t="shared" si="238"/>
        <v>0</v>
      </c>
      <c r="DD115" s="207">
        <v>0</v>
      </c>
      <c r="DE115" s="606">
        <v>0</v>
      </c>
      <c r="DF115" s="269">
        <f>'Detailed Budget'!$AC$147</f>
        <v>5913600671000</v>
      </c>
      <c r="DG115" s="269">
        <f t="shared" si="258"/>
        <v>0</v>
      </c>
      <c r="DH115" s="269">
        <f>'Detailed Budget'!$AC$153</f>
        <v>226428026880.00003</v>
      </c>
      <c r="DI115" s="269"/>
      <c r="DJ115" s="269">
        <f>'Detailed Budget'!$AC$156</f>
        <v>27713070000</v>
      </c>
      <c r="DK115" s="269"/>
      <c r="DL115" s="269"/>
      <c r="DM115" s="196">
        <f>'Detailed Budget'!$AC$178</f>
        <v>5622683761.6229038</v>
      </c>
      <c r="DN115" s="269">
        <f t="shared" si="359"/>
        <v>28280130.549820472</v>
      </c>
      <c r="DO115" s="196">
        <f>'Detailed Budget'!$AC$179</f>
        <v>26827890683.128094</v>
      </c>
      <c r="DP115" s="269">
        <f t="shared" si="360"/>
        <v>134934897.62094557</v>
      </c>
      <c r="DQ115" s="269">
        <f t="shared" si="273"/>
        <v>163215028.17076606</v>
      </c>
      <c r="DR115" s="269">
        <f>'Detailed Budget'!$AC$181</f>
        <v>50888946855.375237</v>
      </c>
      <c r="DS115" s="269">
        <f t="shared" si="361"/>
        <v>204651666.45880875</v>
      </c>
      <c r="DT115" s="269">
        <f t="shared" si="362"/>
        <v>367866694.62957478</v>
      </c>
      <c r="DU115" s="272">
        <f>'Detailed Budget'!$AC$192</f>
        <v>77498869683.252869</v>
      </c>
      <c r="DV115" s="269">
        <f t="shared" si="332"/>
        <v>0</v>
      </c>
      <c r="DW115" s="140">
        <f>'Detailed Budget'!$AC$194</f>
        <v>2684962805.4134097</v>
      </c>
      <c r="DX115" s="269">
        <f t="shared" si="333"/>
        <v>0</v>
      </c>
      <c r="DY115" s="607">
        <f t="shared" si="239"/>
        <v>0</v>
      </c>
      <c r="DZ115" s="196">
        <f>'Detailed Budget'!$AC$198</f>
        <v>18732540018.380611</v>
      </c>
      <c r="EA115" s="269">
        <f t="shared" si="334"/>
        <v>34241856.275146894</v>
      </c>
      <c r="EB115" s="196">
        <f>'Detailed Budget'!$AC$200</f>
        <v>4683135004.5951529</v>
      </c>
      <c r="EC115" s="269">
        <f t="shared" si="335"/>
        <v>8560464.0687867235</v>
      </c>
      <c r="ED115" s="269">
        <f t="shared" si="240"/>
        <v>42802320.34393362</v>
      </c>
      <c r="EE115" s="196">
        <f>'Detailed Budget'!$AC$161</f>
        <v>251147290106.36197</v>
      </c>
      <c r="EF115" s="269">
        <f t="shared" si="336"/>
        <v>447571178.54167736</v>
      </c>
      <c r="EG115" s="196">
        <f>'Detailed Budget'!$AC$163</f>
        <v>15696705631.647623</v>
      </c>
      <c r="EH115" s="269">
        <f t="shared" si="337"/>
        <v>27973198.658854835</v>
      </c>
      <c r="EI115" s="269">
        <f t="shared" si="241"/>
        <v>475544377.2005322</v>
      </c>
      <c r="EJ115" s="196">
        <f>'Detailed Budget'!$AC$204</f>
        <v>45012172507.531975</v>
      </c>
      <c r="EK115" s="269">
        <f t="shared" si="338"/>
        <v>81037772.358871818</v>
      </c>
      <c r="EL115" s="201">
        <f>'Detailed Budget'!$AC$206</f>
        <v>11253043126.882994</v>
      </c>
      <c r="EM115" s="269">
        <f t="shared" si="339"/>
        <v>20259443.089717954</v>
      </c>
      <c r="EN115" s="269">
        <f t="shared" si="242"/>
        <v>101297215.44858977</v>
      </c>
      <c r="EO115" s="140">
        <f>'Detailed Budget'!$AC$209</f>
        <v>135789361677.54817</v>
      </c>
      <c r="EP115" s="269">
        <f t="shared" si="340"/>
        <v>183421916.0193204</v>
      </c>
      <c r="EQ115" s="196">
        <f>'Detailed Budget'!$AC$211</f>
        <v>33947340419.387043</v>
      </c>
      <c r="ER115" s="269">
        <f t="shared" si="341"/>
        <v>45855479.0048301</v>
      </c>
      <c r="ES115" s="269">
        <f t="shared" si="243"/>
        <v>229277395.02415049</v>
      </c>
      <c r="ET115" s="196">
        <f>'Detailed Budget'!$AC$214</f>
        <v>22239745544.201103</v>
      </c>
      <c r="EU115" s="269">
        <f t="shared" si="342"/>
        <v>29175117.175135221</v>
      </c>
      <c r="EV115" s="140">
        <f>'Detailed Budget'!$AC$217</f>
        <v>5559936386.0502758</v>
      </c>
      <c r="EW115" s="269">
        <f t="shared" si="343"/>
        <v>7293779.2937838053</v>
      </c>
      <c r="EX115" s="269">
        <f t="shared" si="244"/>
        <v>36468896.468919024</v>
      </c>
      <c r="EY115" s="196">
        <f>'Detailed Budget'!$AC$219</f>
        <v>372777004.58170313</v>
      </c>
      <c r="EZ115" s="269">
        <f t="shared" si="344"/>
        <v>511957.93489941268</v>
      </c>
      <c r="FA115" s="196">
        <f>'Detailed Budget'!$AC$222</f>
        <v>93194251.145425782</v>
      </c>
      <c r="FB115" s="269">
        <f t="shared" si="345"/>
        <v>127989.48372485317</v>
      </c>
      <c r="FC115" s="269">
        <f t="shared" si="245"/>
        <v>639947.41862426582</v>
      </c>
      <c r="FD115" s="269"/>
      <c r="FE115" s="269">
        <f t="shared" si="246"/>
        <v>367683454.36028361</v>
      </c>
      <c r="FF115" s="140">
        <f>'Detailed Budget'!$AC$165</f>
        <v>14927760000</v>
      </c>
      <c r="FG115" s="1087">
        <f t="shared" si="259"/>
        <v>501544570.13211256</v>
      </c>
      <c r="FH115" s="269">
        <f t="shared" si="346"/>
        <v>18657579.820474949</v>
      </c>
      <c r="FJ115" s="140">
        <f>'Detailed Budget'!$AC$235</f>
        <v>3623696172</v>
      </c>
      <c r="FK115" s="269">
        <f t="shared" si="347"/>
        <v>4681778</v>
      </c>
      <c r="FL115" s="269">
        <f t="shared" si="260"/>
        <v>4681778</v>
      </c>
      <c r="FO115" s="607"/>
      <c r="FP115" s="607"/>
      <c r="FQ115" s="607"/>
      <c r="FR115" s="269">
        <f>'Detailed Budget'!$AC$257</f>
        <v>13636439388</v>
      </c>
      <c r="FS115" s="269">
        <f t="shared" si="348"/>
        <v>40473108</v>
      </c>
      <c r="FT115" s="269">
        <f t="shared" si="261"/>
        <v>40473108</v>
      </c>
      <c r="FU115" s="269"/>
      <c r="FV115" s="269"/>
      <c r="FW115" s="616"/>
      <c r="FX115" s="140">
        <f>'Detailed Budget'!$AC$278</f>
        <v>1114560000</v>
      </c>
      <c r="FY115" s="269">
        <f t="shared" si="349"/>
        <v>1440000</v>
      </c>
      <c r="FZ115" s="269">
        <f t="shared" si="262"/>
        <v>1440000</v>
      </c>
      <c r="GB115" s="269">
        <f t="shared" si="271"/>
        <v>3448621753.0652881</v>
      </c>
      <c r="GC115" s="887">
        <f t="shared" si="247"/>
        <v>2155388.595665805</v>
      </c>
      <c r="GD115" s="1078">
        <f t="shared" si="272"/>
        <v>1.9351302596503778E-3</v>
      </c>
    </row>
    <row r="116" spans="1:186" hidden="1" outlineLevel="1">
      <c r="A116" s="211" t="s">
        <v>414</v>
      </c>
      <c r="B116" s="212" t="s">
        <v>415</v>
      </c>
      <c r="C116" s="213" t="s">
        <v>215</v>
      </c>
      <c r="D116" s="214" t="s">
        <v>215</v>
      </c>
      <c r="E116" s="213"/>
      <c r="F116" s="213"/>
      <c r="G116" s="213"/>
      <c r="H116" s="213" t="s">
        <v>215</v>
      </c>
      <c r="I116" s="214" t="s">
        <v>215</v>
      </c>
      <c r="J116" s="214"/>
      <c r="K116" s="213" t="s">
        <v>215</v>
      </c>
      <c r="L116" s="213"/>
      <c r="M116" s="214"/>
      <c r="N116" s="213"/>
      <c r="O116" s="214"/>
      <c r="P116" s="213"/>
      <c r="Q116" s="214"/>
      <c r="R116" s="214" t="s">
        <v>215</v>
      </c>
      <c r="S116" s="214"/>
      <c r="T116" s="214"/>
      <c r="U116" s="215">
        <f t="shared" si="350"/>
        <v>6</v>
      </c>
      <c r="V116" s="845" t="s">
        <v>219</v>
      </c>
      <c r="W116" s="216">
        <v>103461</v>
      </c>
      <c r="X116" s="217">
        <v>3.42</v>
      </c>
      <c r="Y116" s="218">
        <f t="shared" si="277"/>
        <v>1.0342</v>
      </c>
      <c r="Z116" s="196">
        <v>19</v>
      </c>
      <c r="AA116" s="218">
        <f t="shared" si="369"/>
        <v>1.8944630332534185</v>
      </c>
      <c r="AB116" s="196">
        <f t="shared" si="367"/>
        <v>196003.03988343192</v>
      </c>
      <c r="AC116">
        <v>19.899999999999999</v>
      </c>
      <c r="AD116" s="196">
        <f t="shared" si="368"/>
        <v>39004.604936802949</v>
      </c>
      <c r="AE116" s="196">
        <f t="shared" si="280"/>
        <v>37054.374689962802</v>
      </c>
      <c r="AF116" s="196">
        <f t="shared" si="351"/>
        <v>37054.374689962802</v>
      </c>
      <c r="AG116" s="606">
        <f t="shared" si="250"/>
        <v>1.7132316139109635E-3</v>
      </c>
      <c r="AH116" s="196">
        <f t="shared" si="363"/>
        <v>9800.151994171596</v>
      </c>
      <c r="AI116" s="248">
        <f t="shared" si="216"/>
        <v>7.5920292630784006E-4</v>
      </c>
      <c r="AJ116" s="196">
        <f t="shared" si="228"/>
        <v>48804.756930974545</v>
      </c>
      <c r="AK116" s="196">
        <f t="shared" si="278"/>
        <v>7840.1215953372766</v>
      </c>
      <c r="AL116" s="196">
        <f t="shared" si="279"/>
        <v>7840.1215953372766</v>
      </c>
      <c r="AM116" s="196">
        <f t="shared" si="229"/>
        <v>15680.243190674553</v>
      </c>
      <c r="AN116" s="627">
        <f t="shared" si="230"/>
        <v>7.5920292630784006E-4</v>
      </c>
      <c r="AO116" s="196">
        <f t="shared" si="231"/>
        <v>7448.1155155704128</v>
      </c>
      <c r="AP116" s="589">
        <f t="shared" si="251"/>
        <v>7.5920292630784006E-4</v>
      </c>
      <c r="AQ116" s="196"/>
      <c r="AR116" s="589"/>
      <c r="AS116">
        <v>1</v>
      </c>
      <c r="AT116" s="589">
        <f t="shared" si="252"/>
        <v>1.2919896640826874E-3</v>
      </c>
      <c r="AU116" s="196">
        <v>11</v>
      </c>
      <c r="AV116" s="245">
        <f t="shared" si="232"/>
        <v>1.2498579706851495E-3</v>
      </c>
      <c r="AX116" s="245"/>
      <c r="AY116" s="245"/>
      <c r="AZ116" s="196">
        <v>45</v>
      </c>
      <c r="BA116" s="589">
        <f t="shared" si="265"/>
        <v>1.6488952401890733E-3</v>
      </c>
      <c r="BI116" s="196">
        <v>1</v>
      </c>
      <c r="BJ116" s="196">
        <f t="shared" si="352"/>
        <v>108890.57480623393</v>
      </c>
      <c r="BK116" s="246">
        <f t="shared" si="266"/>
        <v>2.0764775637151242E-3</v>
      </c>
      <c r="BL116" s="196">
        <f t="shared" si="364"/>
        <v>2177.8114961246783</v>
      </c>
      <c r="BM116" s="246">
        <f t="shared" si="267"/>
        <v>2.0764773261321054E-3</v>
      </c>
      <c r="BN116" s="196">
        <v>0</v>
      </c>
      <c r="BO116" s="196">
        <f t="shared" si="353"/>
        <v>14353.760113940058</v>
      </c>
      <c r="BP116" s="196">
        <f t="shared" si="233"/>
        <v>0</v>
      </c>
      <c r="BQ116" s="248">
        <f t="shared" si="268"/>
        <v>0</v>
      </c>
      <c r="BR116" s="248"/>
      <c r="BS116" s="248"/>
      <c r="BT116" s="276">
        <v>1</v>
      </c>
      <c r="BU116" s="196">
        <f t="shared" si="365"/>
        <v>30891.647109947939</v>
      </c>
      <c r="BV116" s="264">
        <f t="shared" si="269"/>
        <v>2.1427031571694699E-3</v>
      </c>
      <c r="BW116" s="196">
        <f t="shared" si="366"/>
        <v>132147.6015258884</v>
      </c>
      <c r="BX116" s="247">
        <f t="shared" si="270"/>
        <v>2.142703176471022E-3</v>
      </c>
      <c r="BY116" s="196">
        <f t="shared" si="276"/>
        <v>163039.24863583635</v>
      </c>
      <c r="BZ116" s="620">
        <v>0</v>
      </c>
      <c r="CA116" s="196">
        <f t="shared" si="324"/>
        <v>59976.930204330165</v>
      </c>
      <c r="CB116" s="196">
        <f t="shared" si="325"/>
        <v>119953.86040866033</v>
      </c>
      <c r="CC116" s="196">
        <f t="shared" si="248"/>
        <v>179930.7906129905</v>
      </c>
      <c r="CD116" s="247">
        <f t="shared" si="236"/>
        <v>7.5920292630784006E-4</v>
      </c>
      <c r="CE116" s="196">
        <f t="shared" si="354"/>
        <v>18033.12414912233</v>
      </c>
      <c r="CF116" s="247">
        <f t="shared" si="237"/>
        <v>7.7872638279539682E-4</v>
      </c>
      <c r="CG116" s="196">
        <f t="shared" si="326"/>
        <v>29792.462062281651</v>
      </c>
      <c r="CH116" s="589">
        <f t="shared" si="253"/>
        <v>7.5920292630784006E-4</v>
      </c>
      <c r="CI116" s="196">
        <f t="shared" si="355"/>
        <v>46653.048873135624</v>
      </c>
      <c r="CJ116" s="248">
        <f t="shared" si="254"/>
        <v>7.6697600505325452E-4</v>
      </c>
      <c r="CK116" s="196">
        <f t="shared" si="356"/>
        <v>40030.929003249337</v>
      </c>
      <c r="CL116" s="589">
        <f t="shared" si="255"/>
        <v>5.754528384325112E-4</v>
      </c>
      <c r="CM116" s="196">
        <f t="shared" si="357"/>
        <v>3878.0090824538593</v>
      </c>
      <c r="CN116" s="589">
        <f t="shared" si="256"/>
        <v>5.5886518100154792E-4</v>
      </c>
      <c r="CO116" s="196">
        <f t="shared" si="358"/>
        <v>310.24386592204536</v>
      </c>
      <c r="CP116" s="589">
        <f t="shared" si="257"/>
        <v>5.850721447764808E-4</v>
      </c>
      <c r="CQ116" s="196">
        <f>'Detailed Budget'!$AC$12</f>
        <v>292876014141.44696</v>
      </c>
      <c r="CR116" s="269">
        <f t="shared" si="328"/>
        <v>608150472.31502807</v>
      </c>
      <c r="CS116" s="269">
        <f>'Detailed Budget'!$AC$16</f>
        <v>10488008800.000002</v>
      </c>
      <c r="CT116" s="607">
        <f t="shared" si="329"/>
        <v>21778112.469473995</v>
      </c>
      <c r="CU116" s="269">
        <f>'Detailed Budget'!$AC$24</f>
        <v>30624985696</v>
      </c>
      <c r="CV116" s="269">
        <f t="shared" si="264"/>
        <v>63592095.686840609</v>
      </c>
      <c r="CW116" s="269"/>
      <c r="CX116" s="269">
        <f t="shared" si="249"/>
        <v>693520680.47134268</v>
      </c>
      <c r="CY116" s="196">
        <f>'Detailed Budget'!$AC$97</f>
        <v>74629165494.837845</v>
      </c>
      <c r="CZ116" s="269">
        <f t="shared" si="330"/>
        <v>0</v>
      </c>
      <c r="DA116" s="269">
        <f>'Detailed Budget'!$AC$100</f>
        <v>14925833098.967569</v>
      </c>
      <c r="DB116" s="269">
        <f t="shared" si="331"/>
        <v>0</v>
      </c>
      <c r="DC116" s="269">
        <f t="shared" si="238"/>
        <v>0</v>
      </c>
      <c r="DD116" s="207">
        <v>0</v>
      </c>
      <c r="DE116" s="606">
        <v>0</v>
      </c>
      <c r="DF116" s="269">
        <f>'Detailed Budget'!$AC$147</f>
        <v>5913600671000</v>
      </c>
      <c r="DG116" s="269">
        <f t="shared" si="258"/>
        <v>0</v>
      </c>
      <c r="DH116" s="269">
        <f>'Detailed Budget'!$AC$153</f>
        <v>226428026880.00003</v>
      </c>
      <c r="DI116" s="269"/>
      <c r="DJ116" s="269">
        <f>'Detailed Budget'!$AC$156</f>
        <v>27713070000</v>
      </c>
      <c r="DK116" s="269"/>
      <c r="DL116" s="269"/>
      <c r="DM116" s="196">
        <f>'Detailed Budget'!$AC$178</f>
        <v>5622683761.6229038</v>
      </c>
      <c r="DN116" s="269">
        <f t="shared" si="359"/>
        <v>12047742.247794908</v>
      </c>
      <c r="DO116" s="196">
        <f>'Detailed Budget'!$AC$179</f>
        <v>26827890683.128094</v>
      </c>
      <c r="DP116" s="269">
        <f t="shared" si="360"/>
        <v>57484206.584755905</v>
      </c>
      <c r="DQ116" s="269">
        <f t="shared" si="273"/>
        <v>69531948.832550809</v>
      </c>
      <c r="DR116" s="269">
        <f>'Detailed Budget'!$AC$181</f>
        <v>50888946855.375237</v>
      </c>
      <c r="DS116" s="269">
        <f t="shared" si="361"/>
        <v>87184552.551263765</v>
      </c>
      <c r="DT116" s="269">
        <f t="shared" si="362"/>
        <v>156716501.38381457</v>
      </c>
      <c r="DU116" s="272">
        <f>'Detailed Budget'!$AC$192</f>
        <v>77498869683.252869</v>
      </c>
      <c r="DV116" s="269">
        <f t="shared" si="332"/>
        <v>0</v>
      </c>
      <c r="DW116" s="140">
        <f>'Detailed Budget'!$AC$194</f>
        <v>2684962805.4134097</v>
      </c>
      <c r="DX116" s="269">
        <f t="shared" si="333"/>
        <v>0</v>
      </c>
      <c r="DY116" s="607">
        <f t="shared" si="239"/>
        <v>0</v>
      </c>
      <c r="DZ116" s="196">
        <f>'Detailed Budget'!$AC$198</f>
        <v>18732540018.380611</v>
      </c>
      <c r="EA116" s="269">
        <f t="shared" si="334"/>
        <v>14587523.12908355</v>
      </c>
      <c r="EB116" s="196">
        <f>'Detailed Budget'!$AC$200</f>
        <v>4683135004.5951529</v>
      </c>
      <c r="EC116" s="269">
        <f t="shared" si="335"/>
        <v>3646880.7822708874</v>
      </c>
      <c r="ED116" s="269">
        <f t="shared" si="240"/>
        <v>18234403.911354437</v>
      </c>
      <c r="EE116" s="196">
        <f>'Detailed Budget'!$AC$161</f>
        <v>251147290106.36197</v>
      </c>
      <c r="EF116" s="269">
        <f t="shared" si="336"/>
        <v>190671757.58303407</v>
      </c>
      <c r="EG116" s="196">
        <f>'Detailed Budget'!$AC$163</f>
        <v>15696705631.647623</v>
      </c>
      <c r="EH116" s="269">
        <f t="shared" si="337"/>
        <v>11916984.848939629</v>
      </c>
      <c r="EI116" s="269">
        <f t="shared" si="241"/>
        <v>202588742.4319737</v>
      </c>
      <c r="EJ116" s="196">
        <f>'Detailed Budget'!$AC$204</f>
        <v>45012172507.531975</v>
      </c>
      <c r="EK116" s="269">
        <f t="shared" si="338"/>
        <v>34523256.248594806</v>
      </c>
      <c r="EL116" s="201">
        <f>'Detailed Budget'!$AC$206</f>
        <v>11253043126.882994</v>
      </c>
      <c r="EM116" s="269">
        <f t="shared" si="339"/>
        <v>8630814.0621487014</v>
      </c>
      <c r="EN116" s="269">
        <f t="shared" si="242"/>
        <v>43154070.310743511</v>
      </c>
      <c r="EO116" s="140">
        <f>'Detailed Budget'!$AC$209</f>
        <v>135789361677.54817</v>
      </c>
      <c r="EP116" s="269">
        <f t="shared" si="340"/>
        <v>78140373.606283963</v>
      </c>
      <c r="EQ116" s="196">
        <f>'Detailed Budget'!$AC$211</f>
        <v>33947340419.387043</v>
      </c>
      <c r="ER116" s="269">
        <f t="shared" si="341"/>
        <v>19535093.401570991</v>
      </c>
      <c r="ES116" s="269">
        <f t="shared" si="243"/>
        <v>97675467.007854953</v>
      </c>
      <c r="ET116" s="196">
        <f>'Detailed Budget'!$AC$214</f>
        <v>22239745544.201103</v>
      </c>
      <c r="EU116" s="269">
        <f t="shared" si="342"/>
        <v>12429019.418988319</v>
      </c>
      <c r="EV116" s="140">
        <f>'Detailed Budget'!$AC$217</f>
        <v>5559936386.0502758</v>
      </c>
      <c r="EW116" s="269">
        <f t="shared" si="343"/>
        <v>3107254.8547470798</v>
      </c>
      <c r="EX116" s="269">
        <f t="shared" si="244"/>
        <v>15536274.273735398</v>
      </c>
      <c r="EY116" s="196">
        <f>'Detailed Budget'!$AC$219</f>
        <v>372777004.58170313</v>
      </c>
      <c r="EZ116" s="269">
        <f t="shared" si="344"/>
        <v>218101.44159396907</v>
      </c>
      <c r="FA116" s="196">
        <f>'Detailed Budget'!$AC$222</f>
        <v>93194251.145425782</v>
      </c>
      <c r="FB116" s="269">
        <f t="shared" si="345"/>
        <v>54525.360398492267</v>
      </c>
      <c r="FC116" s="269">
        <f t="shared" si="245"/>
        <v>272626.80199246132</v>
      </c>
      <c r="FD116" s="269"/>
      <c r="FE116" s="269">
        <f t="shared" si="246"/>
        <v>156638438.39432633</v>
      </c>
      <c r="FF116" s="140">
        <f>'Detailed Budget'!$AC$165</f>
        <v>14927760000</v>
      </c>
      <c r="FG116" s="1087">
        <f t="shared" si="259"/>
        <v>213665198.47169337</v>
      </c>
      <c r="FH116" s="269">
        <f t="shared" si="346"/>
        <v>18657579.820474949</v>
      </c>
      <c r="FJ116" s="140">
        <f>'Detailed Budget'!$AC$235</f>
        <v>3623696172</v>
      </c>
      <c r="FK116" s="269">
        <f t="shared" si="347"/>
        <v>4681778</v>
      </c>
      <c r="FL116" s="269">
        <f t="shared" si="260"/>
        <v>4681778</v>
      </c>
      <c r="FO116" s="607"/>
      <c r="FP116" s="607"/>
      <c r="FQ116" s="607"/>
      <c r="FR116" s="269">
        <f>'Detailed Budget'!$AC$257</f>
        <v>13636439388</v>
      </c>
      <c r="FS116" s="269">
        <f t="shared" si="348"/>
        <v>22485060</v>
      </c>
      <c r="FT116" s="269">
        <f t="shared" si="261"/>
        <v>22485060</v>
      </c>
      <c r="FU116" s="269"/>
      <c r="FV116" s="269"/>
      <c r="FW116" s="616"/>
      <c r="FX116" s="140">
        <f>'Detailed Budget'!$AC$278</f>
        <v>1114560000</v>
      </c>
      <c r="FY116" s="269">
        <f t="shared" si="349"/>
        <v>1440000</v>
      </c>
      <c r="FZ116" s="269">
        <f t="shared" si="262"/>
        <v>1440000</v>
      </c>
      <c r="GB116" s="269">
        <f t="shared" si="271"/>
        <v>1488628382.8849797</v>
      </c>
      <c r="GC116" s="887">
        <f t="shared" si="247"/>
        <v>930392.73930311238</v>
      </c>
      <c r="GD116" s="1078">
        <f t="shared" si="272"/>
        <v>8.3531626120917669E-4</v>
      </c>
    </row>
    <row r="117" spans="1:186" hidden="1" outlineLevel="1">
      <c r="A117" s="211" t="s">
        <v>416</v>
      </c>
      <c r="B117" s="212" t="s">
        <v>2821</v>
      </c>
      <c r="C117" s="213" t="s">
        <v>215</v>
      </c>
      <c r="D117" s="214" t="s">
        <v>215</v>
      </c>
      <c r="E117" s="213"/>
      <c r="F117" s="213"/>
      <c r="G117" s="213"/>
      <c r="H117" s="213" t="s">
        <v>215</v>
      </c>
      <c r="I117" s="214" t="s">
        <v>215</v>
      </c>
      <c r="J117" s="214"/>
      <c r="K117" s="213" t="s">
        <v>215</v>
      </c>
      <c r="L117" s="213"/>
      <c r="M117" s="214"/>
      <c r="N117" s="213"/>
      <c r="O117" s="214"/>
      <c r="P117" s="213"/>
      <c r="Q117" s="214"/>
      <c r="R117" s="214" t="s">
        <v>215</v>
      </c>
      <c r="S117" s="214"/>
      <c r="T117" s="214"/>
      <c r="U117" s="215">
        <f t="shared" si="350"/>
        <v>6</v>
      </c>
      <c r="V117" s="845" t="s">
        <v>219</v>
      </c>
      <c r="W117" s="216">
        <v>158178</v>
      </c>
      <c r="X117" s="217">
        <v>3.42</v>
      </c>
      <c r="Y117" s="218">
        <f t="shared" si="277"/>
        <v>1.0342</v>
      </c>
      <c r="Z117" s="196">
        <v>19</v>
      </c>
      <c r="AA117" s="218">
        <f t="shared" si="369"/>
        <v>1.8944630332534185</v>
      </c>
      <c r="AB117" s="196">
        <f t="shared" si="367"/>
        <v>299662.37367395923</v>
      </c>
      <c r="AC117">
        <v>19.899999999999999</v>
      </c>
      <c r="AD117" s="196">
        <f t="shared" si="368"/>
        <v>59632.812361117882</v>
      </c>
      <c r="AE117" s="196">
        <f t="shared" si="280"/>
        <v>56651.171743061983</v>
      </c>
      <c r="AF117" s="196">
        <f t="shared" si="351"/>
        <v>56651.171743061983</v>
      </c>
      <c r="AG117" s="606">
        <f t="shared" si="250"/>
        <v>2.6193014780952085E-3</v>
      </c>
      <c r="AH117" s="196">
        <f t="shared" si="363"/>
        <v>14983.118683697961</v>
      </c>
      <c r="AI117" s="248">
        <f t="shared" si="216"/>
        <v>1.1607195027838657E-3</v>
      </c>
      <c r="AJ117" s="196">
        <f t="shared" si="228"/>
        <v>74615.931044815836</v>
      </c>
      <c r="AK117" s="196">
        <f t="shared" si="278"/>
        <v>11986.49494695837</v>
      </c>
      <c r="AL117" s="196">
        <f t="shared" si="279"/>
        <v>11986.49494695837</v>
      </c>
      <c r="AM117" s="196">
        <f t="shared" si="229"/>
        <v>23972.98989391674</v>
      </c>
      <c r="AN117" s="627">
        <f t="shared" si="230"/>
        <v>1.1607195027838659E-3</v>
      </c>
      <c r="AO117" s="196">
        <f t="shared" si="231"/>
        <v>11387.170199610451</v>
      </c>
      <c r="AP117" s="589">
        <f t="shared" si="251"/>
        <v>1.1607195027838657E-3</v>
      </c>
      <c r="AQ117" s="196"/>
      <c r="AR117" s="589"/>
      <c r="AS117">
        <v>1</v>
      </c>
      <c r="AT117" s="589">
        <f t="shared" si="252"/>
        <v>1.2919896640826874E-3</v>
      </c>
      <c r="AU117" s="196">
        <v>11</v>
      </c>
      <c r="AV117" s="245">
        <f t="shared" si="232"/>
        <v>1.2498579706851495E-3</v>
      </c>
      <c r="AX117" s="245"/>
      <c r="AY117" s="245"/>
      <c r="AZ117" s="196">
        <v>52</v>
      </c>
      <c r="BA117" s="589">
        <f t="shared" si="265"/>
        <v>1.9053900553295958E-3</v>
      </c>
      <c r="BI117" s="196">
        <v>1</v>
      </c>
      <c r="BJ117" s="196">
        <f t="shared" si="352"/>
        <v>166479.09204145012</v>
      </c>
      <c r="BK117" s="246">
        <f t="shared" si="266"/>
        <v>3.1746558420402949E-3</v>
      </c>
      <c r="BL117" s="196">
        <f t="shared" si="364"/>
        <v>3329.5818408290024</v>
      </c>
      <c r="BM117" s="246">
        <f t="shared" si="267"/>
        <v>3.1746554788077076E-3</v>
      </c>
      <c r="BN117" s="196">
        <v>0</v>
      </c>
      <c r="BO117" s="196">
        <f t="shared" si="353"/>
        <v>21944.975085325001</v>
      </c>
      <c r="BP117" s="196">
        <f t="shared" si="233"/>
        <v>0</v>
      </c>
      <c r="BQ117" s="248">
        <f t="shared" si="268"/>
        <v>0</v>
      </c>
      <c r="BR117" s="248"/>
      <c r="BS117" s="248"/>
      <c r="BT117" s="276">
        <v>1</v>
      </c>
      <c r="BU117" s="196">
        <f t="shared" si="365"/>
        <v>47229.187390005362</v>
      </c>
      <c r="BV117" s="264">
        <f t="shared" si="269"/>
        <v>3.2759058968572933E-3</v>
      </c>
      <c r="BW117" s="196">
        <f t="shared" si="366"/>
        <v>202035.9682794674</v>
      </c>
      <c r="BX117" s="247">
        <f t="shared" si="270"/>
        <v>3.2759059263667793E-3</v>
      </c>
      <c r="BY117" s="196">
        <f t="shared" si="276"/>
        <v>249265.15566947276</v>
      </c>
      <c r="BZ117" s="620">
        <v>0</v>
      </c>
      <c r="CA117" s="196">
        <f t="shared" si="324"/>
        <v>91696.686344231537</v>
      </c>
      <c r="CB117" s="196">
        <f t="shared" si="325"/>
        <v>183393.37268846307</v>
      </c>
      <c r="CC117" s="196">
        <f t="shared" si="248"/>
        <v>275090.05903269461</v>
      </c>
      <c r="CD117" s="247">
        <f t="shared" si="236"/>
        <v>1.1607195027838659E-3</v>
      </c>
      <c r="CE117" s="196">
        <f t="shared" si="354"/>
        <v>27570.229474486732</v>
      </c>
      <c r="CF117" s="247">
        <f t="shared" si="237"/>
        <v>1.1905682506240061E-3</v>
      </c>
      <c r="CG117" s="196">
        <f t="shared" si="326"/>
        <v>45548.680798441805</v>
      </c>
      <c r="CH117" s="589">
        <f t="shared" si="253"/>
        <v>1.1607195027838657E-3</v>
      </c>
      <c r="CI117" s="196">
        <f t="shared" si="355"/>
        <v>71326.257861946506</v>
      </c>
      <c r="CJ117" s="248">
        <f t="shared" si="254"/>
        <v>1.1726034982004205E-3</v>
      </c>
      <c r="CK117" s="196">
        <f t="shared" si="356"/>
        <v>61201.924279448052</v>
      </c>
      <c r="CL117" s="589">
        <f t="shared" si="255"/>
        <v>8.7979025021580855E-4</v>
      </c>
      <c r="CM117" s="196">
        <f t="shared" si="357"/>
        <v>5928.9560379697341</v>
      </c>
      <c r="CN117" s="589">
        <f t="shared" si="256"/>
        <v>8.544299455878337E-4</v>
      </c>
      <c r="CO117" s="196">
        <f t="shared" si="358"/>
        <v>474.32128264580177</v>
      </c>
      <c r="CP117" s="589">
        <f t="shared" si="257"/>
        <v>8.9449688014279962E-4</v>
      </c>
      <c r="CQ117" s="196">
        <f>'Detailed Budget'!$AC$12</f>
        <v>292876014141.44696</v>
      </c>
      <c r="CR117" s="269">
        <f t="shared" si="328"/>
        <v>929780549.28762066</v>
      </c>
      <c r="CS117" s="269">
        <f>'Detailed Budget'!$AC$16</f>
        <v>10488008800.000002</v>
      </c>
      <c r="CT117" s="607">
        <f t="shared" si="329"/>
        <v>33295814.598703459</v>
      </c>
      <c r="CU117" s="269">
        <f>'Detailed Budget'!$AC$24</f>
        <v>30624985696</v>
      </c>
      <c r="CV117" s="269">
        <f t="shared" si="264"/>
        <v>97223789.752206862</v>
      </c>
      <c r="CW117" s="269"/>
      <c r="CX117" s="269">
        <f t="shared" si="249"/>
        <v>1060300153.638531</v>
      </c>
      <c r="CY117" s="196">
        <f>'Detailed Budget'!$AC$97</f>
        <v>74629165494.837845</v>
      </c>
      <c r="CZ117" s="269">
        <f t="shared" si="330"/>
        <v>0</v>
      </c>
      <c r="DA117" s="269">
        <f>'Detailed Budget'!$AC$100</f>
        <v>14925833098.967569</v>
      </c>
      <c r="DB117" s="269">
        <f t="shared" si="331"/>
        <v>0</v>
      </c>
      <c r="DC117" s="269">
        <f t="shared" si="238"/>
        <v>0</v>
      </c>
      <c r="DD117" s="207">
        <v>0</v>
      </c>
      <c r="DE117" s="606">
        <v>0</v>
      </c>
      <c r="DF117" s="269">
        <f>'Detailed Budget'!$AC$147</f>
        <v>5913600671000</v>
      </c>
      <c r="DG117" s="269">
        <f t="shared" si="258"/>
        <v>0</v>
      </c>
      <c r="DH117" s="269">
        <f>'Detailed Budget'!$AC$153</f>
        <v>226428026880.00003</v>
      </c>
      <c r="DI117" s="269"/>
      <c r="DJ117" s="269">
        <f>'Detailed Budget'!$AC$156</f>
        <v>27713070000</v>
      </c>
      <c r="DK117" s="269"/>
      <c r="DL117" s="269"/>
      <c r="DM117" s="196">
        <f>'Detailed Budget'!$AC$178</f>
        <v>5622683761.6229038</v>
      </c>
      <c r="DN117" s="269">
        <f t="shared" si="359"/>
        <v>18419382.89086422</v>
      </c>
      <c r="DO117" s="196">
        <f>'Detailed Budget'!$AC$179</f>
        <v>26827890683.128094</v>
      </c>
      <c r="DP117" s="269">
        <f t="shared" si="360"/>
        <v>87885646.080779418</v>
      </c>
      <c r="DQ117" s="269">
        <f t="shared" si="273"/>
        <v>106305028.97164364</v>
      </c>
      <c r="DR117" s="269">
        <f>'Detailed Budget'!$AC$181</f>
        <v>50888946855.375237</v>
      </c>
      <c r="DS117" s="269">
        <f t="shared" si="361"/>
        <v>133293493.71699287</v>
      </c>
      <c r="DT117" s="269">
        <f t="shared" si="362"/>
        <v>239598522.68863651</v>
      </c>
      <c r="DU117" s="272">
        <f>'Detailed Budget'!$AC$192</f>
        <v>77498869683.252869</v>
      </c>
      <c r="DV117" s="269">
        <f t="shared" si="332"/>
        <v>0</v>
      </c>
      <c r="DW117" s="140">
        <f>'Detailed Budget'!$AC$194</f>
        <v>2684962805.4134097</v>
      </c>
      <c r="DX117" s="269">
        <f t="shared" si="333"/>
        <v>0</v>
      </c>
      <c r="DY117" s="607">
        <f t="shared" si="239"/>
        <v>0</v>
      </c>
      <c r="DZ117" s="196">
        <f>'Detailed Budget'!$AC$198</f>
        <v>18732540018.380611</v>
      </c>
      <c r="EA117" s="269">
        <f t="shared" si="334"/>
        <v>22302367.399427593</v>
      </c>
      <c r="EB117" s="196">
        <f>'Detailed Budget'!$AC$200</f>
        <v>4683135004.5951529</v>
      </c>
      <c r="EC117" s="269">
        <f t="shared" si="335"/>
        <v>5575591.8498568982</v>
      </c>
      <c r="ED117" s="269">
        <f t="shared" si="240"/>
        <v>27877959.249284491</v>
      </c>
      <c r="EE117" s="196">
        <f>'Detailed Budget'!$AC$161</f>
        <v>251147290106.36197</v>
      </c>
      <c r="EF117" s="269">
        <f t="shared" si="336"/>
        <v>291511557.69777173</v>
      </c>
      <c r="EG117" s="196">
        <f>'Detailed Budget'!$AC$163</f>
        <v>15696705631.647623</v>
      </c>
      <c r="EH117" s="269">
        <f t="shared" si="337"/>
        <v>18219472.356110733</v>
      </c>
      <c r="EI117" s="269">
        <f t="shared" si="241"/>
        <v>309731030.05388248</v>
      </c>
      <c r="EJ117" s="196">
        <f>'Detailed Budget'!$AC$204</f>
        <v>45012172507.531975</v>
      </c>
      <c r="EK117" s="269">
        <f t="shared" si="338"/>
        <v>52781430.943932787</v>
      </c>
      <c r="EL117" s="201">
        <f>'Detailed Budget'!$AC$206</f>
        <v>11253043126.882994</v>
      </c>
      <c r="EM117" s="269">
        <f t="shared" si="339"/>
        <v>13195357.735983197</v>
      </c>
      <c r="EN117" s="269">
        <f t="shared" si="242"/>
        <v>65976788.67991598</v>
      </c>
      <c r="EO117" s="140">
        <f>'Detailed Budget'!$AC$209</f>
        <v>135789361677.54817</v>
      </c>
      <c r="EP117" s="269">
        <f t="shared" si="340"/>
        <v>119466156.48693503</v>
      </c>
      <c r="EQ117" s="196">
        <f>'Detailed Budget'!$AC$211</f>
        <v>33947340419.387043</v>
      </c>
      <c r="ER117" s="269">
        <f t="shared" si="341"/>
        <v>29866539.121733759</v>
      </c>
      <c r="ES117" s="269">
        <f t="shared" si="243"/>
        <v>149332695.6086688</v>
      </c>
      <c r="ET117" s="196">
        <f>'Detailed Budget'!$AC$214</f>
        <v>22239745544.201103</v>
      </c>
      <c r="EU117" s="269">
        <f t="shared" si="342"/>
        <v>19002304.575219017</v>
      </c>
      <c r="EV117" s="140">
        <f>'Detailed Budget'!$AC$217</f>
        <v>5559936386.0502758</v>
      </c>
      <c r="EW117" s="269">
        <f t="shared" si="343"/>
        <v>4750576.1438047541</v>
      </c>
      <c r="EX117" s="269">
        <f t="shared" si="244"/>
        <v>23752880.719023772</v>
      </c>
      <c r="EY117" s="196">
        <f>'Detailed Budget'!$AC$219</f>
        <v>372777004.58170313</v>
      </c>
      <c r="EZ117" s="269">
        <f t="shared" si="344"/>
        <v>333447.86758731154</v>
      </c>
      <c r="FA117" s="196">
        <f>'Detailed Budget'!$AC$222</f>
        <v>93194251.145425782</v>
      </c>
      <c r="FB117" s="269">
        <f t="shared" si="345"/>
        <v>83361.966896827886</v>
      </c>
      <c r="FC117" s="269">
        <f t="shared" si="245"/>
        <v>416809.83448413946</v>
      </c>
      <c r="FD117" s="269"/>
      <c r="FE117" s="269">
        <f t="shared" si="246"/>
        <v>239479174.84209266</v>
      </c>
      <c r="FF117" s="140">
        <f>'Detailed Budget'!$AC$165</f>
        <v>14927760000</v>
      </c>
      <c r="FG117" s="1087">
        <f t="shared" si="259"/>
        <v>326665446.53401285</v>
      </c>
      <c r="FH117" s="269">
        <f t="shared" si="346"/>
        <v>18657579.820474949</v>
      </c>
      <c r="FJ117" s="140">
        <f>'Detailed Budget'!$AC$235</f>
        <v>3623696172</v>
      </c>
      <c r="FK117" s="269">
        <f t="shared" si="347"/>
        <v>4681778</v>
      </c>
      <c r="FL117" s="269">
        <f t="shared" si="260"/>
        <v>4681778</v>
      </c>
      <c r="FO117" s="607"/>
      <c r="FP117" s="607"/>
      <c r="FQ117" s="607"/>
      <c r="FR117" s="269">
        <f>'Detailed Budget'!$AC$257</f>
        <v>13636439388</v>
      </c>
      <c r="FS117" s="269">
        <f t="shared" si="348"/>
        <v>25982736</v>
      </c>
      <c r="FT117" s="269">
        <f t="shared" si="261"/>
        <v>25982736</v>
      </c>
      <c r="FU117" s="269"/>
      <c r="FV117" s="269"/>
      <c r="FW117" s="616"/>
      <c r="FX117" s="140">
        <f>'Detailed Budget'!$AC$278</f>
        <v>1114560000</v>
      </c>
      <c r="FY117" s="269">
        <f t="shared" si="349"/>
        <v>1440000</v>
      </c>
      <c r="FZ117" s="269">
        <f t="shared" si="262"/>
        <v>1440000</v>
      </c>
      <c r="GB117" s="269">
        <f t="shared" si="271"/>
        <v>2254414380.8269153</v>
      </c>
      <c r="GC117" s="887">
        <f t="shared" si="247"/>
        <v>1409008.9880168221</v>
      </c>
      <c r="GD117" s="1078">
        <f t="shared" si="272"/>
        <v>1.2650228985685295E-3</v>
      </c>
    </row>
    <row r="118" spans="1:186" hidden="1" outlineLevel="1">
      <c r="A118" s="211" t="s">
        <v>417</v>
      </c>
      <c r="B118" s="212" t="s">
        <v>418</v>
      </c>
      <c r="C118" s="213" t="s">
        <v>215</v>
      </c>
      <c r="D118" s="214" t="s">
        <v>215</v>
      </c>
      <c r="E118" s="213"/>
      <c r="F118" s="213"/>
      <c r="G118" s="213"/>
      <c r="H118" s="213" t="s">
        <v>215</v>
      </c>
      <c r="I118" s="214" t="s">
        <v>215</v>
      </c>
      <c r="J118" s="214"/>
      <c r="K118" s="213" t="s">
        <v>215</v>
      </c>
      <c r="L118" s="213"/>
      <c r="M118" s="214"/>
      <c r="N118" s="213"/>
      <c r="O118" s="214"/>
      <c r="P118" s="213"/>
      <c r="Q118" s="214"/>
      <c r="R118" s="214" t="s">
        <v>215</v>
      </c>
      <c r="S118" s="214"/>
      <c r="T118" s="214"/>
      <c r="U118" s="215">
        <f t="shared" si="350"/>
        <v>6</v>
      </c>
      <c r="V118" s="845" t="s">
        <v>219</v>
      </c>
      <c r="W118" s="216">
        <v>186118</v>
      </c>
      <c r="X118" s="217">
        <v>3.42</v>
      </c>
      <c r="Y118" s="218">
        <f t="shared" si="277"/>
        <v>1.0342</v>
      </c>
      <c r="Z118" s="196">
        <v>19</v>
      </c>
      <c r="AA118" s="218">
        <f t="shared" si="369"/>
        <v>1.8944630332534185</v>
      </c>
      <c r="AB118" s="196">
        <f t="shared" si="367"/>
        <v>352593.67082305974</v>
      </c>
      <c r="AC118">
        <v>19.899999999999999</v>
      </c>
      <c r="AD118" s="196">
        <f t="shared" si="368"/>
        <v>70166.140493788887</v>
      </c>
      <c r="AE118" s="196">
        <f t="shared" si="280"/>
        <v>66657.833469099438</v>
      </c>
      <c r="AF118" s="196">
        <f t="shared" si="351"/>
        <v>66657.833469099438</v>
      </c>
      <c r="AG118" s="606">
        <f t="shared" si="250"/>
        <v>3.0819655862390728E-3</v>
      </c>
      <c r="AH118" s="196">
        <f t="shared" si="363"/>
        <v>17629.683541152986</v>
      </c>
      <c r="AI118" s="248">
        <f t="shared" si="216"/>
        <v>1.3657448723534721E-3</v>
      </c>
      <c r="AJ118" s="196">
        <f t="shared" si="228"/>
        <v>87795.824034941877</v>
      </c>
      <c r="AK118" s="196">
        <f t="shared" si="278"/>
        <v>14103.74683292239</v>
      </c>
      <c r="AL118" s="196">
        <f t="shared" si="279"/>
        <v>14103.74683292239</v>
      </c>
      <c r="AM118" s="196">
        <f t="shared" si="229"/>
        <v>28207.49366584478</v>
      </c>
      <c r="AN118" s="627">
        <f t="shared" si="230"/>
        <v>1.3657448723534723E-3</v>
      </c>
      <c r="AO118" s="196">
        <f t="shared" si="231"/>
        <v>13398.55949127627</v>
      </c>
      <c r="AP118" s="589">
        <f t="shared" si="251"/>
        <v>1.3657448723534721E-3</v>
      </c>
      <c r="AQ118" s="196"/>
      <c r="AR118" s="589"/>
      <c r="AS118">
        <v>1</v>
      </c>
      <c r="AT118" s="589">
        <f t="shared" si="252"/>
        <v>1.2919896640826874E-3</v>
      </c>
      <c r="AU118" s="196">
        <v>11</v>
      </c>
      <c r="AV118" s="245">
        <f t="shared" si="232"/>
        <v>1.2498579706851495E-3</v>
      </c>
      <c r="AX118" s="245"/>
      <c r="AY118" s="245"/>
      <c r="AZ118" s="196">
        <v>68</v>
      </c>
      <c r="BA118" s="589">
        <f t="shared" si="265"/>
        <v>2.4916639185079332E-3</v>
      </c>
      <c r="BI118" s="196">
        <v>1</v>
      </c>
      <c r="BJ118" s="196">
        <f t="shared" si="352"/>
        <v>195885.36745040785</v>
      </c>
      <c r="BK118" s="246">
        <f t="shared" si="266"/>
        <v>3.7354157721608289E-3</v>
      </c>
      <c r="BL118" s="196">
        <f t="shared" si="364"/>
        <v>3917.7073490081571</v>
      </c>
      <c r="BM118" s="246">
        <f t="shared" si="267"/>
        <v>3.7354153447681279E-3</v>
      </c>
      <c r="BN118" s="196">
        <v>0</v>
      </c>
      <c r="BO118" s="196">
        <f t="shared" si="353"/>
        <v>25821.257525891844</v>
      </c>
      <c r="BP118" s="196">
        <f t="shared" si="233"/>
        <v>0</v>
      </c>
      <c r="BQ118" s="248">
        <f t="shared" si="268"/>
        <v>0</v>
      </c>
      <c r="BR118" s="248"/>
      <c r="BS118" s="248"/>
      <c r="BT118" s="276">
        <v>1</v>
      </c>
      <c r="BU118" s="196">
        <f t="shared" si="365"/>
        <v>55571.583271080803</v>
      </c>
      <c r="BV118" s="264">
        <f t="shared" si="269"/>
        <v>3.8545502769745843E-3</v>
      </c>
      <c r="BW118" s="196">
        <f t="shared" si="366"/>
        <v>237722.88399295678</v>
      </c>
      <c r="BX118" s="247">
        <f t="shared" si="270"/>
        <v>3.854550311696521E-3</v>
      </c>
      <c r="BY118" s="196">
        <f t="shared" si="276"/>
        <v>293294.46726403758</v>
      </c>
      <c r="BZ118" s="620">
        <v>0</v>
      </c>
      <c r="CA118" s="196">
        <f t="shared" si="324"/>
        <v>107893.66327185629</v>
      </c>
      <c r="CB118" s="196">
        <f t="shared" si="325"/>
        <v>215787.32654371258</v>
      </c>
      <c r="CC118" s="196">
        <f t="shared" si="248"/>
        <v>323680.9898155689</v>
      </c>
      <c r="CD118" s="247">
        <f t="shared" si="236"/>
        <v>1.3657448723534723E-3</v>
      </c>
      <c r="CE118" s="196">
        <f t="shared" si="354"/>
        <v>32440.13686690008</v>
      </c>
      <c r="CF118" s="247">
        <f t="shared" si="237"/>
        <v>1.4008659969758038E-3</v>
      </c>
      <c r="CG118" s="196">
        <f t="shared" si="326"/>
        <v>53594.23796510508</v>
      </c>
      <c r="CH118" s="589">
        <f t="shared" si="253"/>
        <v>1.3657448723534721E-3</v>
      </c>
      <c r="CI118" s="196">
        <f t="shared" si="355"/>
        <v>83925.074667461711</v>
      </c>
      <c r="CJ118" s="248">
        <f t="shared" si="254"/>
        <v>1.3797280145030652E-3</v>
      </c>
      <c r="CK118" s="196">
        <f t="shared" si="356"/>
        <v>72012.414767175665</v>
      </c>
      <c r="CL118" s="589">
        <f t="shared" si="255"/>
        <v>1.0351932745999181E-3</v>
      </c>
      <c r="CM118" s="196">
        <f t="shared" si="357"/>
        <v>6976.2257701756935</v>
      </c>
      <c r="CN118" s="589">
        <f t="shared" si="256"/>
        <v>1.0053534158537623E-3</v>
      </c>
      <c r="CO118" s="196">
        <f t="shared" si="358"/>
        <v>558.10370900802468</v>
      </c>
      <c r="CP118" s="589">
        <f t="shared" si="257"/>
        <v>1.0524976313925928E-3</v>
      </c>
      <c r="CQ118" s="196">
        <f>'Detailed Budget'!$AC$12</f>
        <v>292876014141.44696</v>
      </c>
      <c r="CR118" s="269">
        <f t="shared" si="328"/>
        <v>1094013682.511559</v>
      </c>
      <c r="CS118" s="269">
        <f>'Detailed Budget'!$AC$16</f>
        <v>10488008800.000002</v>
      </c>
      <c r="CT118" s="607">
        <f t="shared" si="329"/>
        <v>39177069.007583164</v>
      </c>
      <c r="CU118" s="269">
        <f>'Detailed Budget'!$AC$24</f>
        <v>30624985696</v>
      </c>
      <c r="CV118" s="269">
        <f t="shared" si="264"/>
        <v>114397054.59103818</v>
      </c>
      <c r="CW118" s="269"/>
      <c r="CX118" s="269">
        <f t="shared" si="249"/>
        <v>1247587806.1101804</v>
      </c>
      <c r="CY118" s="196">
        <f>'Detailed Budget'!$AC$97</f>
        <v>74629165494.837845</v>
      </c>
      <c r="CZ118" s="269">
        <f t="shared" si="330"/>
        <v>0</v>
      </c>
      <c r="DA118" s="269">
        <f>'Detailed Budget'!$AC$100</f>
        <v>14925833098.967569</v>
      </c>
      <c r="DB118" s="269">
        <f t="shared" si="331"/>
        <v>0</v>
      </c>
      <c r="DC118" s="269">
        <f t="shared" si="238"/>
        <v>0</v>
      </c>
      <c r="DD118" s="207">
        <v>0</v>
      </c>
      <c r="DE118" s="606">
        <v>0</v>
      </c>
      <c r="DF118" s="269">
        <f>'Detailed Budget'!$AC$147</f>
        <v>5913600671000</v>
      </c>
      <c r="DG118" s="269">
        <f t="shared" si="258"/>
        <v>0</v>
      </c>
      <c r="DH118" s="269">
        <f>'Detailed Budget'!$AC$153</f>
        <v>226428026880.00003</v>
      </c>
      <c r="DI118" s="269"/>
      <c r="DJ118" s="269">
        <f>'Detailed Budget'!$AC$156</f>
        <v>27713070000</v>
      </c>
      <c r="DK118" s="269"/>
      <c r="DL118" s="269"/>
      <c r="DM118" s="196">
        <f>'Detailed Budget'!$AC$178</f>
        <v>5622683761.6229038</v>
      </c>
      <c r="DN118" s="269">
        <f t="shared" si="359"/>
        <v>21672917.250704061</v>
      </c>
      <c r="DO118" s="196">
        <f>'Detailed Budget'!$AC$179</f>
        <v>26827890683.128094</v>
      </c>
      <c r="DP118" s="269">
        <f t="shared" si="360"/>
        <v>103409454.39481159</v>
      </c>
      <c r="DQ118" s="269">
        <f t="shared" si="273"/>
        <v>125082371.64551565</v>
      </c>
      <c r="DR118" s="269">
        <f>'Detailed Budget'!$AC$181</f>
        <v>50888946855.375237</v>
      </c>
      <c r="DS118" s="269">
        <f t="shared" si="361"/>
        <v>156837982.92821556</v>
      </c>
      <c r="DT118" s="269">
        <f t="shared" si="362"/>
        <v>281920354.57373118</v>
      </c>
      <c r="DU118" s="272">
        <f>'Detailed Budget'!$AC$192</f>
        <v>77498869683.252869</v>
      </c>
      <c r="DV118" s="269">
        <f t="shared" si="332"/>
        <v>0</v>
      </c>
      <c r="DW118" s="140">
        <f>'Detailed Budget'!$AC$194</f>
        <v>2684962805.4134097</v>
      </c>
      <c r="DX118" s="269">
        <f t="shared" si="333"/>
        <v>0</v>
      </c>
      <c r="DY118" s="607">
        <f t="shared" si="239"/>
        <v>0</v>
      </c>
      <c r="DZ118" s="196">
        <f>'Detailed Budget'!$AC$198</f>
        <v>18732540018.380611</v>
      </c>
      <c r="EA118" s="269">
        <f t="shared" si="334"/>
        <v>26241778.348737899</v>
      </c>
      <c r="EB118" s="196">
        <f>'Detailed Budget'!$AC$200</f>
        <v>4683135004.5951529</v>
      </c>
      <c r="EC118" s="269">
        <f t="shared" si="335"/>
        <v>6560444.5871844748</v>
      </c>
      <c r="ED118" s="269">
        <f t="shared" si="240"/>
        <v>32802222.935922373</v>
      </c>
      <c r="EE118" s="196">
        <f>'Detailed Budget'!$AC$161</f>
        <v>251147290106.36197</v>
      </c>
      <c r="EF118" s="269">
        <f t="shared" si="336"/>
        <v>343003123.66823375</v>
      </c>
      <c r="EG118" s="196">
        <f>'Detailed Budget'!$AC$163</f>
        <v>15696705631.647623</v>
      </c>
      <c r="EH118" s="269">
        <f t="shared" si="337"/>
        <v>21437695.22926461</v>
      </c>
      <c r="EI118" s="269">
        <f t="shared" si="241"/>
        <v>364440818.89749837</v>
      </c>
      <c r="EJ118" s="196">
        <f>'Detailed Budget'!$AC$204</f>
        <v>45012172507.531975</v>
      </c>
      <c r="EK118" s="269">
        <f t="shared" si="338"/>
        <v>62104555.402286552</v>
      </c>
      <c r="EL118" s="201">
        <f>'Detailed Budget'!$AC$206</f>
        <v>11253043126.882994</v>
      </c>
      <c r="EM118" s="269">
        <f t="shared" si="339"/>
        <v>15526138.850571638</v>
      </c>
      <c r="EN118" s="269">
        <f t="shared" si="242"/>
        <v>77630694.252858192</v>
      </c>
      <c r="EO118" s="140">
        <f>'Detailed Budget'!$AC$209</f>
        <v>135789361677.54817</v>
      </c>
      <c r="EP118" s="269">
        <f t="shared" si="340"/>
        <v>140568233.97081372</v>
      </c>
      <c r="EQ118" s="196">
        <f>'Detailed Budget'!$AC$211</f>
        <v>33947340419.387043</v>
      </c>
      <c r="ER118" s="269">
        <f t="shared" si="341"/>
        <v>35142058.49270343</v>
      </c>
      <c r="ES118" s="269">
        <f t="shared" si="243"/>
        <v>175710292.46351716</v>
      </c>
      <c r="ET118" s="196">
        <f>'Detailed Budget'!$AC$214</f>
        <v>22239745544.201103</v>
      </c>
      <c r="EU118" s="269">
        <f t="shared" si="342"/>
        <v>22358804.150581069</v>
      </c>
      <c r="EV118" s="140">
        <f>'Detailed Budget'!$AC$217</f>
        <v>5559936386.0502758</v>
      </c>
      <c r="EW118" s="269">
        <f t="shared" si="343"/>
        <v>5589701.0376452673</v>
      </c>
      <c r="EX118" s="269">
        <f t="shared" si="244"/>
        <v>27948505.188226335</v>
      </c>
      <c r="EY118" s="196">
        <f>'Detailed Budget'!$AC$219</f>
        <v>372777004.58170313</v>
      </c>
      <c r="EZ118" s="269">
        <f t="shared" si="344"/>
        <v>392346.91435986827</v>
      </c>
      <c r="FA118" s="196">
        <f>'Detailed Budget'!$AC$222</f>
        <v>93194251.145425782</v>
      </c>
      <c r="FB118" s="269">
        <f t="shared" si="345"/>
        <v>98086.728589967068</v>
      </c>
      <c r="FC118" s="269">
        <f t="shared" si="245"/>
        <v>490433.64294983534</v>
      </c>
      <c r="FD118" s="269"/>
      <c r="FE118" s="269">
        <f t="shared" si="246"/>
        <v>281779925.54755151</v>
      </c>
      <c r="FF118" s="140">
        <f>'Detailed Budget'!$AC$165</f>
        <v>14927760000</v>
      </c>
      <c r="FG118" s="1087">
        <f t="shared" si="259"/>
        <v>384366470.54595083</v>
      </c>
      <c r="FH118" s="269">
        <f t="shared" si="346"/>
        <v>18657579.820474949</v>
      </c>
      <c r="FJ118" s="140">
        <f>'Detailed Budget'!$AC$235</f>
        <v>3623696172</v>
      </c>
      <c r="FK118" s="269">
        <f t="shared" si="347"/>
        <v>4681778</v>
      </c>
      <c r="FL118" s="269">
        <f t="shared" si="260"/>
        <v>4681778</v>
      </c>
      <c r="FO118" s="607"/>
      <c r="FP118" s="607"/>
      <c r="FQ118" s="607"/>
      <c r="FR118" s="269">
        <f>'Detailed Budget'!$AC$257</f>
        <v>13636439388</v>
      </c>
      <c r="FS118" s="269">
        <f t="shared" si="348"/>
        <v>33977424</v>
      </c>
      <c r="FT118" s="269">
        <f t="shared" si="261"/>
        <v>33977424</v>
      </c>
      <c r="FU118" s="269"/>
      <c r="FV118" s="269"/>
      <c r="FW118" s="616"/>
      <c r="FX118" s="140">
        <f>'Detailed Budget'!$AC$278</f>
        <v>1114560000</v>
      </c>
      <c r="FY118" s="269">
        <f t="shared" si="349"/>
        <v>1440000</v>
      </c>
      <c r="FZ118" s="269">
        <f t="shared" si="262"/>
        <v>1440000</v>
      </c>
      <c r="GB118" s="269">
        <f t="shared" si="271"/>
        <v>2651654380.4313097</v>
      </c>
      <c r="GC118" s="887">
        <f t="shared" si="247"/>
        <v>1657283.9877695686</v>
      </c>
      <c r="GD118" s="1078">
        <f t="shared" si="272"/>
        <v>1.4879267710778017E-3</v>
      </c>
    </row>
    <row r="119" spans="1:186" hidden="1" outlineLevel="1">
      <c r="A119" s="211" t="s">
        <v>419</v>
      </c>
      <c r="B119" s="212" t="s">
        <v>420</v>
      </c>
      <c r="C119" s="213" t="s">
        <v>215</v>
      </c>
      <c r="D119" s="214" t="s">
        <v>215</v>
      </c>
      <c r="E119" s="213"/>
      <c r="F119" s="213"/>
      <c r="G119" s="213"/>
      <c r="H119" s="213" t="s">
        <v>215</v>
      </c>
      <c r="I119" s="214" t="s">
        <v>215</v>
      </c>
      <c r="J119" s="214"/>
      <c r="K119" s="213" t="s">
        <v>215</v>
      </c>
      <c r="L119" s="213"/>
      <c r="M119" s="214"/>
      <c r="N119" s="213"/>
      <c r="O119" s="214"/>
      <c r="P119" s="213"/>
      <c r="Q119" s="214"/>
      <c r="R119" s="214" t="s">
        <v>215</v>
      </c>
      <c r="S119" s="214"/>
      <c r="T119" s="214"/>
      <c r="U119" s="215">
        <f t="shared" si="350"/>
        <v>6</v>
      </c>
      <c r="V119" s="845" t="s">
        <v>219</v>
      </c>
      <c r="W119" s="216">
        <v>176199</v>
      </c>
      <c r="X119" s="217">
        <v>3.42</v>
      </c>
      <c r="Y119" s="218">
        <f t="shared" si="277"/>
        <v>1.0342</v>
      </c>
      <c r="Z119" s="196">
        <v>19</v>
      </c>
      <c r="AA119" s="218">
        <f t="shared" si="369"/>
        <v>1.8944630332534185</v>
      </c>
      <c r="AB119" s="196">
        <f t="shared" si="367"/>
        <v>333802.49199621909</v>
      </c>
      <c r="AC119">
        <v>19.899999999999999</v>
      </c>
      <c r="AD119" s="196">
        <f t="shared" si="368"/>
        <v>66426.695907247602</v>
      </c>
      <c r="AE119" s="196">
        <f t="shared" si="280"/>
        <v>63105.36111188522</v>
      </c>
      <c r="AF119" s="196">
        <f t="shared" si="351"/>
        <v>63105.36111188522</v>
      </c>
      <c r="AG119" s="606">
        <f t="shared" si="250"/>
        <v>2.9177148600873556E-3</v>
      </c>
      <c r="AH119" s="196">
        <f t="shared" si="363"/>
        <v>16690.124599810955</v>
      </c>
      <c r="AI119" s="248">
        <f t="shared" si="216"/>
        <v>1.2929586647385501E-3</v>
      </c>
      <c r="AJ119" s="196">
        <f t="shared" si="228"/>
        <v>83116.820507058554</v>
      </c>
      <c r="AK119" s="196">
        <f t="shared" si="278"/>
        <v>13352.099679848763</v>
      </c>
      <c r="AL119" s="196">
        <f t="shared" si="279"/>
        <v>13352.099679848763</v>
      </c>
      <c r="AM119" s="196">
        <f t="shared" si="229"/>
        <v>26704.199359697526</v>
      </c>
      <c r="AN119" s="627">
        <f t="shared" si="230"/>
        <v>1.2929586647385499E-3</v>
      </c>
      <c r="AO119" s="196">
        <f t="shared" si="231"/>
        <v>12684.494695856325</v>
      </c>
      <c r="AP119" s="589">
        <f t="shared" si="251"/>
        <v>1.2929586647385499E-3</v>
      </c>
      <c r="AQ119" s="196"/>
      <c r="AR119" s="589"/>
      <c r="AS119">
        <v>1</v>
      </c>
      <c r="AT119" s="589">
        <f t="shared" si="252"/>
        <v>1.2919896640826874E-3</v>
      </c>
      <c r="AU119" s="196">
        <v>11</v>
      </c>
      <c r="AV119" s="245">
        <f t="shared" si="232"/>
        <v>1.2498579706851495E-3</v>
      </c>
      <c r="AX119" s="245"/>
      <c r="AY119" s="245"/>
      <c r="AZ119" s="196">
        <v>44</v>
      </c>
      <c r="BA119" s="589">
        <f t="shared" si="265"/>
        <v>1.6122531237404273E-3</v>
      </c>
      <c r="BI119" s="196">
        <v>1</v>
      </c>
      <c r="BJ119" s="196">
        <f t="shared" si="352"/>
        <v>185445.82393639741</v>
      </c>
      <c r="BK119" s="246">
        <f t="shared" si="266"/>
        <v>3.5363399759236933E-3</v>
      </c>
      <c r="BL119" s="196">
        <f t="shared" si="364"/>
        <v>3708.9164787279483</v>
      </c>
      <c r="BM119" s="246">
        <f t="shared" si="267"/>
        <v>3.5363395713085212E-3</v>
      </c>
      <c r="BN119" s="196">
        <v>0</v>
      </c>
      <c r="BO119" s="196">
        <f t="shared" si="353"/>
        <v>24445.135638705644</v>
      </c>
      <c r="BP119" s="196">
        <f t="shared" si="233"/>
        <v>0</v>
      </c>
      <c r="BQ119" s="248">
        <f t="shared" si="268"/>
        <v>0</v>
      </c>
      <c r="BR119" s="248"/>
      <c r="BS119" s="248"/>
      <c r="BT119" s="276">
        <v>1</v>
      </c>
      <c r="BU119" s="196">
        <f t="shared" si="365"/>
        <v>52609.943158540103</v>
      </c>
      <c r="BV119" s="264">
        <f t="shared" si="269"/>
        <v>3.6491253089579985E-3</v>
      </c>
      <c r="BW119" s="196">
        <f t="shared" si="366"/>
        <v>225053.64573375491</v>
      </c>
      <c r="BX119" s="247">
        <f t="shared" si="270"/>
        <v>3.6491253418294597E-3</v>
      </c>
      <c r="BY119" s="196">
        <f t="shared" si="276"/>
        <v>277663.58889229503</v>
      </c>
      <c r="BZ119" s="620">
        <v>0</v>
      </c>
      <c r="CA119" s="196">
        <f t="shared" si="324"/>
        <v>102143.56255084305</v>
      </c>
      <c r="CB119" s="196">
        <f t="shared" si="325"/>
        <v>204287.12510168611</v>
      </c>
      <c r="CC119" s="196">
        <f t="shared" si="248"/>
        <v>306430.68765252916</v>
      </c>
      <c r="CD119" s="247">
        <f t="shared" si="236"/>
        <v>1.2929586647385501E-3</v>
      </c>
      <c r="CE119" s="196">
        <f t="shared" si="354"/>
        <v>30711.267452964934</v>
      </c>
      <c r="CF119" s="247">
        <f t="shared" si="237"/>
        <v>1.326208038992143E-3</v>
      </c>
      <c r="CG119" s="196">
        <f t="shared" si="326"/>
        <v>50737.9787834253</v>
      </c>
      <c r="CH119" s="589">
        <f t="shared" si="253"/>
        <v>1.2929586647385499E-3</v>
      </c>
      <c r="CI119" s="196">
        <f t="shared" si="355"/>
        <v>79452.35942430119</v>
      </c>
      <c r="CJ119" s="248">
        <f t="shared" si="254"/>
        <v>1.3061965872587585E-3</v>
      </c>
      <c r="CK119" s="196">
        <f t="shared" si="356"/>
        <v>68174.574568615528</v>
      </c>
      <c r="CL119" s="589">
        <f t="shared" si="255"/>
        <v>9.8002353233556647E-4</v>
      </c>
      <c r="CM119" s="196">
        <f t="shared" si="357"/>
        <v>6604.4337703993551</v>
      </c>
      <c r="CN119" s="589">
        <f t="shared" si="256"/>
        <v>9.5177396339965557E-4</v>
      </c>
      <c r="CO119" s="196">
        <f t="shared" si="358"/>
        <v>528.36004805287484</v>
      </c>
      <c r="CP119" s="589">
        <f t="shared" si="257"/>
        <v>9.9640566819836612E-4</v>
      </c>
      <c r="CQ119" s="196">
        <f>'Detailed Budget'!$AC$12</f>
        <v>292876014141.44696</v>
      </c>
      <c r="CR119" s="269">
        <f t="shared" si="328"/>
        <v>1035709156.7975918</v>
      </c>
      <c r="CS119" s="269">
        <f>'Detailed Budget'!$AC$16</f>
        <v>10488008800.000002</v>
      </c>
      <c r="CT119" s="607">
        <f t="shared" si="329"/>
        <v>37089160.543672003</v>
      </c>
      <c r="CU119" s="269">
        <f>'Detailed Budget'!$AC$24</f>
        <v>30624985696</v>
      </c>
      <c r="CV119" s="269">
        <f t="shared" si="264"/>
        <v>108300361.17885609</v>
      </c>
      <c r="CW119" s="269"/>
      <c r="CX119" s="269">
        <f t="shared" si="249"/>
        <v>1181098678.5201199</v>
      </c>
      <c r="CY119" s="196">
        <f>'Detailed Budget'!$AC$97</f>
        <v>74629165494.837845</v>
      </c>
      <c r="CZ119" s="269">
        <f t="shared" si="330"/>
        <v>0</v>
      </c>
      <c r="DA119" s="269">
        <f>'Detailed Budget'!$AC$100</f>
        <v>14925833098.967569</v>
      </c>
      <c r="DB119" s="269">
        <f t="shared" si="331"/>
        <v>0</v>
      </c>
      <c r="DC119" s="269">
        <f t="shared" si="238"/>
        <v>0</v>
      </c>
      <c r="DD119" s="207">
        <v>0</v>
      </c>
      <c r="DE119" s="606">
        <v>0</v>
      </c>
      <c r="DF119" s="269">
        <f>'Detailed Budget'!$AC$147</f>
        <v>5913600671000</v>
      </c>
      <c r="DG119" s="269">
        <f t="shared" si="258"/>
        <v>0</v>
      </c>
      <c r="DH119" s="269">
        <f>'Detailed Budget'!$AC$153</f>
        <v>226428026880.00003</v>
      </c>
      <c r="DI119" s="269"/>
      <c r="DJ119" s="269">
        <f>'Detailed Budget'!$AC$156</f>
        <v>27713070000</v>
      </c>
      <c r="DK119" s="269"/>
      <c r="DL119" s="269"/>
      <c r="DM119" s="196">
        <f>'Detailed Budget'!$AC$178</f>
        <v>5622683761.6229038</v>
      </c>
      <c r="DN119" s="269">
        <f t="shared" si="359"/>
        <v>20517877.6188053</v>
      </c>
      <c r="DO119" s="196">
        <f>'Detailed Budget'!$AC$179</f>
        <v>26827890683.128094</v>
      </c>
      <c r="DP119" s="269">
        <f t="shared" si="360"/>
        <v>97898335.759633183</v>
      </c>
      <c r="DQ119" s="269">
        <f t="shared" si="273"/>
        <v>118416213.37843849</v>
      </c>
      <c r="DR119" s="269">
        <f>'Detailed Budget'!$AC$181</f>
        <v>50888946855.375237</v>
      </c>
      <c r="DS119" s="269">
        <f t="shared" si="361"/>
        <v>148479436.45412403</v>
      </c>
      <c r="DT119" s="269">
        <f t="shared" si="362"/>
        <v>266895649.83256251</v>
      </c>
      <c r="DU119" s="272">
        <f>'Detailed Budget'!$AC$192</f>
        <v>77498869683.252869</v>
      </c>
      <c r="DV119" s="269">
        <f t="shared" si="332"/>
        <v>0</v>
      </c>
      <c r="DW119" s="140">
        <f>'Detailed Budget'!$AC$194</f>
        <v>2684962805.4134097</v>
      </c>
      <c r="DX119" s="269">
        <f t="shared" si="333"/>
        <v>0</v>
      </c>
      <c r="DY119" s="607">
        <f t="shared" si="239"/>
        <v>0</v>
      </c>
      <c r="DZ119" s="196">
        <f>'Detailed Budget'!$AC$198</f>
        <v>18732540018.380611</v>
      </c>
      <c r="EA119" s="269">
        <f t="shared" si="334"/>
        <v>24843245.163118392</v>
      </c>
      <c r="EB119" s="196">
        <f>'Detailed Budget'!$AC$200</f>
        <v>4683135004.5951529</v>
      </c>
      <c r="EC119" s="269">
        <f t="shared" si="335"/>
        <v>6210811.2907795981</v>
      </c>
      <c r="ED119" s="269">
        <f t="shared" si="240"/>
        <v>31054056.45389799</v>
      </c>
      <c r="EE119" s="196">
        <f>'Detailed Budget'!$AC$161</f>
        <v>251147290106.36197</v>
      </c>
      <c r="EF119" s="269">
        <f t="shared" si="336"/>
        <v>324723064.86862701</v>
      </c>
      <c r="EG119" s="196">
        <f>'Detailed Budget'!$AC$163</f>
        <v>15696705631.647623</v>
      </c>
      <c r="EH119" s="269">
        <f t="shared" si="337"/>
        <v>20295191.554289188</v>
      </c>
      <c r="EI119" s="269">
        <f t="shared" si="241"/>
        <v>345018256.42291617</v>
      </c>
      <c r="EJ119" s="196">
        <f>'Detailed Budget'!$AC$204</f>
        <v>45012172507.531975</v>
      </c>
      <c r="EK119" s="269">
        <f t="shared" si="338"/>
        <v>58794746.114440776</v>
      </c>
      <c r="EL119" s="201">
        <f>'Detailed Budget'!$AC$206</f>
        <v>11253043126.882994</v>
      </c>
      <c r="EM119" s="269">
        <f t="shared" si="339"/>
        <v>14698686.528610194</v>
      </c>
      <c r="EN119" s="269">
        <f t="shared" si="242"/>
        <v>73493432.643050969</v>
      </c>
      <c r="EO119" s="140">
        <f>'Detailed Budget'!$AC$209</f>
        <v>135789361677.54817</v>
      </c>
      <c r="EP119" s="269">
        <f t="shared" si="340"/>
        <v>133076769.88482256</v>
      </c>
      <c r="EQ119" s="196">
        <f>'Detailed Budget'!$AC$211</f>
        <v>33947340419.387043</v>
      </c>
      <c r="ER119" s="269">
        <f t="shared" si="341"/>
        <v>33269192.471205641</v>
      </c>
      <c r="ES119" s="269">
        <f t="shared" si="243"/>
        <v>166345962.3560282</v>
      </c>
      <c r="ET119" s="196">
        <f>'Detailed Budget'!$AC$214</f>
        <v>22239745544.201103</v>
      </c>
      <c r="EU119" s="269">
        <f t="shared" si="342"/>
        <v>21167210.761604115</v>
      </c>
      <c r="EV119" s="140">
        <f>'Detailed Budget'!$AC$217</f>
        <v>5559936386.0502758</v>
      </c>
      <c r="EW119" s="269">
        <f t="shared" si="343"/>
        <v>5291802.6904010288</v>
      </c>
      <c r="EX119" s="269">
        <f t="shared" si="244"/>
        <v>26459013.452005144</v>
      </c>
      <c r="EY119" s="196">
        <f>'Detailed Budget'!$AC$219</f>
        <v>372777004.58170313</v>
      </c>
      <c r="EZ119" s="269">
        <f t="shared" si="344"/>
        <v>371437.1203392173</v>
      </c>
      <c r="FA119" s="196">
        <f>'Detailed Budget'!$AC$222</f>
        <v>93194251.145425782</v>
      </c>
      <c r="FB119" s="269">
        <f t="shared" si="345"/>
        <v>92859.280084804326</v>
      </c>
      <c r="FC119" s="269">
        <f t="shared" si="245"/>
        <v>464296.40042402165</v>
      </c>
      <c r="FD119" s="269"/>
      <c r="FE119" s="269">
        <f t="shared" si="246"/>
        <v>266762704.85150835</v>
      </c>
      <c r="FF119" s="140">
        <f>'Detailed Budget'!$AC$165</f>
        <v>14927760000</v>
      </c>
      <c r="FG119" s="1087">
        <f t="shared" si="259"/>
        <v>363881987.46884239</v>
      </c>
      <c r="FH119" s="269">
        <f t="shared" si="346"/>
        <v>18657579.820474949</v>
      </c>
      <c r="FJ119" s="140">
        <f>'Detailed Budget'!$AC$235</f>
        <v>3623696172</v>
      </c>
      <c r="FK119" s="269">
        <f t="shared" si="347"/>
        <v>4681778</v>
      </c>
      <c r="FL119" s="269">
        <f t="shared" si="260"/>
        <v>4681778</v>
      </c>
      <c r="FO119" s="607"/>
      <c r="FP119" s="607"/>
      <c r="FQ119" s="607"/>
      <c r="FR119" s="269">
        <f>'Detailed Budget'!$AC$257</f>
        <v>13636439388</v>
      </c>
      <c r="FS119" s="269">
        <f t="shared" si="348"/>
        <v>21985392</v>
      </c>
      <c r="FT119" s="269">
        <f t="shared" si="261"/>
        <v>21985392</v>
      </c>
      <c r="FU119" s="269"/>
      <c r="FV119" s="269"/>
      <c r="FW119" s="616"/>
      <c r="FX119" s="140">
        <f>'Detailed Budget'!$AC$278</f>
        <v>1114560000</v>
      </c>
      <c r="FY119" s="269">
        <f t="shared" si="349"/>
        <v>1440000</v>
      </c>
      <c r="FZ119" s="269">
        <f t="shared" si="262"/>
        <v>1440000</v>
      </c>
      <c r="GB119" s="269">
        <f t="shared" si="271"/>
        <v>2501476083.3703222</v>
      </c>
      <c r="GC119" s="887">
        <f t="shared" si="247"/>
        <v>1563422.5521064515</v>
      </c>
      <c r="GD119" s="1078">
        <f t="shared" si="272"/>
        <v>1.4036569996170234E-3</v>
      </c>
    </row>
    <row r="120" spans="1:186" hidden="1" outlineLevel="1">
      <c r="A120" s="211" t="s">
        <v>421</v>
      </c>
      <c r="B120" s="212" t="s">
        <v>422</v>
      </c>
      <c r="C120" s="213" t="s">
        <v>215</v>
      </c>
      <c r="D120" s="214" t="s">
        <v>215</v>
      </c>
      <c r="E120" s="213"/>
      <c r="F120" s="213"/>
      <c r="G120" s="213"/>
      <c r="H120" s="213" t="s">
        <v>215</v>
      </c>
      <c r="I120" s="214" t="s">
        <v>215</v>
      </c>
      <c r="J120" s="214"/>
      <c r="K120" s="213" t="s">
        <v>215</v>
      </c>
      <c r="L120" s="213"/>
      <c r="M120" s="214"/>
      <c r="N120" s="213"/>
      <c r="O120" s="214"/>
      <c r="P120" s="213"/>
      <c r="Q120" s="214"/>
      <c r="R120" s="214" t="s">
        <v>215</v>
      </c>
      <c r="S120" s="214"/>
      <c r="T120" s="214"/>
      <c r="U120" s="215">
        <f t="shared" si="350"/>
        <v>6</v>
      </c>
      <c r="V120" s="845" t="s">
        <v>219</v>
      </c>
      <c r="W120" s="216">
        <v>235665</v>
      </c>
      <c r="X120" s="217">
        <v>3.42</v>
      </c>
      <c r="Y120" s="218">
        <f t="shared" si="277"/>
        <v>1.0342</v>
      </c>
      <c r="Z120" s="196">
        <v>19</v>
      </c>
      <c r="AA120" s="218">
        <f t="shared" si="369"/>
        <v>1.8944630332534185</v>
      </c>
      <c r="AB120" s="196">
        <f t="shared" si="367"/>
        <v>446458.63073166687</v>
      </c>
      <c r="AC120">
        <v>19.899999999999999</v>
      </c>
      <c r="AD120" s="196">
        <f t="shared" si="368"/>
        <v>88845.267515601707</v>
      </c>
      <c r="AE120" s="196">
        <f t="shared" si="280"/>
        <v>84403.004139821613</v>
      </c>
      <c r="AF120" s="196">
        <f t="shared" si="351"/>
        <v>84403.004139821613</v>
      </c>
      <c r="AG120" s="606">
        <f t="shared" si="250"/>
        <v>3.9024243752943354E-3</v>
      </c>
      <c r="AH120" s="196">
        <f t="shared" si="363"/>
        <v>22322.931536583346</v>
      </c>
      <c r="AI120" s="248">
        <f t="shared" si="216"/>
        <v>1.7293236835941772E-3</v>
      </c>
      <c r="AJ120" s="196">
        <f t="shared" si="228"/>
        <v>111168.19905218505</v>
      </c>
      <c r="AK120" s="196">
        <f t="shared" si="278"/>
        <v>17858.345229266673</v>
      </c>
      <c r="AL120" s="196">
        <f t="shared" si="279"/>
        <v>17858.345229266673</v>
      </c>
      <c r="AM120" s="196">
        <f t="shared" si="229"/>
        <v>35716.690458533347</v>
      </c>
      <c r="AN120" s="627">
        <f t="shared" si="230"/>
        <v>1.7293236835941768E-3</v>
      </c>
      <c r="AO120" s="196">
        <f t="shared" si="231"/>
        <v>16965.427967803342</v>
      </c>
      <c r="AP120" s="589">
        <f t="shared" si="251"/>
        <v>1.729323683594177E-3</v>
      </c>
      <c r="AQ120" s="196"/>
      <c r="AR120" s="589"/>
      <c r="AS120">
        <v>1</v>
      </c>
      <c r="AT120" s="589">
        <f t="shared" si="252"/>
        <v>1.2919896640826874E-3</v>
      </c>
      <c r="AU120" s="196">
        <v>15</v>
      </c>
      <c r="AV120" s="245">
        <f t="shared" si="232"/>
        <v>1.7043517782070218E-3</v>
      </c>
      <c r="AX120" s="245"/>
      <c r="AY120" s="245"/>
      <c r="AZ120" s="196">
        <v>109</v>
      </c>
      <c r="BA120" s="589">
        <f t="shared" si="265"/>
        <v>3.9939906929024223E-3</v>
      </c>
      <c r="BI120" s="196">
        <v>1</v>
      </c>
      <c r="BJ120" s="196">
        <f t="shared" si="352"/>
        <v>248032.56600758855</v>
      </c>
      <c r="BK120" s="246">
        <f t="shared" si="266"/>
        <v>4.7298313862510974E-3</v>
      </c>
      <c r="BL120" s="196">
        <f t="shared" si="364"/>
        <v>4960.651320151771</v>
      </c>
      <c r="BM120" s="246">
        <f t="shared" si="267"/>
        <v>4.7298308450809739E-3</v>
      </c>
      <c r="BN120" s="196">
        <v>0</v>
      </c>
      <c r="BO120" s="196">
        <f t="shared" si="353"/>
        <v>32695.207636227024</v>
      </c>
      <c r="BP120" s="196">
        <f t="shared" si="233"/>
        <v>0</v>
      </c>
      <c r="BQ120" s="248">
        <f t="shared" si="268"/>
        <v>0</v>
      </c>
      <c r="BR120" s="248"/>
      <c r="BS120" s="248"/>
      <c r="BT120" s="276">
        <v>1</v>
      </c>
      <c r="BU120" s="196">
        <f t="shared" si="365"/>
        <v>70365.451872356556</v>
      </c>
      <c r="BV120" s="264">
        <f t="shared" si="269"/>
        <v>4.8806810250659012E-3</v>
      </c>
      <c r="BW120" s="196">
        <f t="shared" si="366"/>
        <v>301007.76634285861</v>
      </c>
      <c r="BX120" s="247">
        <f t="shared" si="270"/>
        <v>4.8806810690312629E-3</v>
      </c>
      <c r="BY120" s="196">
        <f t="shared" si="276"/>
        <v>371373.21821521514</v>
      </c>
      <c r="BZ120" s="620">
        <v>0</v>
      </c>
      <c r="CA120" s="196">
        <f t="shared" si="324"/>
        <v>136616.34100389003</v>
      </c>
      <c r="CB120" s="196">
        <f t="shared" si="325"/>
        <v>273232.68200778007</v>
      </c>
      <c r="CC120" s="196">
        <f t="shared" si="248"/>
        <v>409849.0230116701</v>
      </c>
      <c r="CD120" s="247">
        <f t="shared" si="236"/>
        <v>1.7293236835941765E-3</v>
      </c>
      <c r="CE120" s="196">
        <f t="shared" si="354"/>
        <v>41076.117596030526</v>
      </c>
      <c r="CF120" s="247">
        <f t="shared" si="237"/>
        <v>1.773794502290498E-3</v>
      </c>
      <c r="CG120" s="196">
        <f t="shared" si="326"/>
        <v>67861.711871213367</v>
      </c>
      <c r="CH120" s="589">
        <f t="shared" si="253"/>
        <v>1.729323683594177E-3</v>
      </c>
      <c r="CI120" s="196">
        <f t="shared" si="355"/>
        <v>106267.00653084263</v>
      </c>
      <c r="CJ120" s="248">
        <f t="shared" si="254"/>
        <v>1.7470293176257261E-3</v>
      </c>
      <c r="CK120" s="196">
        <f t="shared" si="356"/>
        <v>91183.043693283049</v>
      </c>
      <c r="CL120" s="589">
        <f t="shared" si="255"/>
        <v>1.3107750086428487E-3</v>
      </c>
      <c r="CM120" s="196">
        <f t="shared" si="357"/>
        <v>8833.3865941416461</v>
      </c>
      <c r="CN120" s="589">
        <f t="shared" si="256"/>
        <v>1.272991396571943E-3</v>
      </c>
      <c r="CO120" s="196">
        <f t="shared" si="358"/>
        <v>706.67807833404697</v>
      </c>
      <c r="CP120" s="589">
        <f t="shared" si="257"/>
        <v>1.3326860072756823E-3</v>
      </c>
      <c r="CQ120" s="196">
        <f>'Detailed Budget'!$AC$12</f>
        <v>292876014141.44696</v>
      </c>
      <c r="CR120" s="269">
        <f t="shared" si="328"/>
        <v>1385254163.966336</v>
      </c>
      <c r="CS120" s="269">
        <f>'Detailed Budget'!$AC$16</f>
        <v>10488008800.000002</v>
      </c>
      <c r="CT120" s="607">
        <f t="shared" si="329"/>
        <v>49606507.525720701</v>
      </c>
      <c r="CU120" s="269">
        <f>'Detailed Budget'!$AC$24</f>
        <v>30624985696</v>
      </c>
      <c r="CV120" s="269">
        <f t="shared" si="264"/>
        <v>144851018.54843169</v>
      </c>
      <c r="CW120" s="269"/>
      <c r="CX120" s="269">
        <f t="shared" si="249"/>
        <v>1579711690.0404882</v>
      </c>
      <c r="CY120" s="196">
        <f>'Detailed Budget'!$AC$97</f>
        <v>74629165494.837845</v>
      </c>
      <c r="CZ120" s="269">
        <f t="shared" si="330"/>
        <v>0</v>
      </c>
      <c r="DA120" s="269">
        <f>'Detailed Budget'!$AC$100</f>
        <v>14925833098.967569</v>
      </c>
      <c r="DB120" s="269">
        <f t="shared" si="331"/>
        <v>0</v>
      </c>
      <c r="DC120" s="269">
        <f t="shared" si="238"/>
        <v>0</v>
      </c>
      <c r="DD120" s="207">
        <v>0</v>
      </c>
      <c r="DE120" s="606">
        <v>0</v>
      </c>
      <c r="DF120" s="269">
        <f>'Detailed Budget'!$AC$147</f>
        <v>5913600671000</v>
      </c>
      <c r="DG120" s="269">
        <f t="shared" si="258"/>
        <v>0</v>
      </c>
      <c r="DH120" s="269">
        <f>'Detailed Budget'!$AC$153</f>
        <v>226428026880.00003</v>
      </c>
      <c r="DI120" s="269"/>
      <c r="DJ120" s="269">
        <f>'Detailed Budget'!$AC$156</f>
        <v>27713070000</v>
      </c>
      <c r="DK120" s="269"/>
      <c r="DL120" s="269"/>
      <c r="DM120" s="196">
        <f>'Detailed Budget'!$AC$178</f>
        <v>5622683761.6229038</v>
      </c>
      <c r="DN120" s="269">
        <f t="shared" si="359"/>
        <v>27442525.94529907</v>
      </c>
      <c r="DO120" s="196">
        <f>'Detailed Budget'!$AC$179</f>
        <v>26827890683.128094</v>
      </c>
      <c r="DP120" s="269">
        <f t="shared" si="360"/>
        <v>130938378.17918348</v>
      </c>
      <c r="DQ120" s="269">
        <f t="shared" si="273"/>
        <v>158380904.12448254</v>
      </c>
      <c r="DR120" s="269">
        <f>'Detailed Budget'!$AC$181</f>
        <v>50888946855.375237</v>
      </c>
      <c r="DS120" s="269">
        <f t="shared" si="361"/>
        <v>198590266.64147434</v>
      </c>
      <c r="DT120" s="269">
        <f t="shared" si="362"/>
        <v>356971170.76595688</v>
      </c>
      <c r="DU120" s="272">
        <f>'Detailed Budget'!$AC$192</f>
        <v>77498869683.252869</v>
      </c>
      <c r="DV120" s="269">
        <f t="shared" si="332"/>
        <v>0</v>
      </c>
      <c r="DW120" s="140">
        <f>'Detailed Budget'!$AC$194</f>
        <v>2684962805.4134097</v>
      </c>
      <c r="DX120" s="269">
        <f t="shared" si="333"/>
        <v>0</v>
      </c>
      <c r="DY120" s="607">
        <f t="shared" si="239"/>
        <v>0</v>
      </c>
      <c r="DZ120" s="196">
        <f>'Detailed Budget'!$AC$198</f>
        <v>18732540018.380611</v>
      </c>
      <c r="EA120" s="269">
        <f t="shared" si="334"/>
        <v>33227676.498540275</v>
      </c>
      <c r="EB120" s="196">
        <f>'Detailed Budget'!$AC$200</f>
        <v>4683135004.5951529</v>
      </c>
      <c r="EC120" s="269">
        <f t="shared" si="335"/>
        <v>8306919.1246350687</v>
      </c>
      <c r="ED120" s="269">
        <f t="shared" si="240"/>
        <v>41534595.623175345</v>
      </c>
      <c r="EE120" s="196">
        <f>'Detailed Budget'!$AC$161</f>
        <v>251147290106.36197</v>
      </c>
      <c r="EF120" s="269">
        <f t="shared" si="336"/>
        <v>434314956.85142928</v>
      </c>
      <c r="EG120" s="196">
        <f>'Detailed Budget'!$AC$163</f>
        <v>15696705631.647623</v>
      </c>
      <c r="EH120" s="269">
        <f t="shared" si="337"/>
        <v>27144684.80321433</v>
      </c>
      <c r="EI120" s="269">
        <f t="shared" si="241"/>
        <v>461459641.6546436</v>
      </c>
      <c r="EJ120" s="196">
        <f>'Detailed Budget'!$AC$204</f>
        <v>45012172507.531975</v>
      </c>
      <c r="EK120" s="269">
        <f t="shared" si="338"/>
        <v>78637585.020685047</v>
      </c>
      <c r="EL120" s="201">
        <f>'Detailed Budget'!$AC$206</f>
        <v>11253043126.882994</v>
      </c>
      <c r="EM120" s="269">
        <f t="shared" si="339"/>
        <v>19659396.255171262</v>
      </c>
      <c r="EN120" s="269">
        <f t="shared" si="242"/>
        <v>98296981.275856316</v>
      </c>
      <c r="EO120" s="140">
        <f>'Detailed Budget'!$AC$209</f>
        <v>135789361677.54817</v>
      </c>
      <c r="EP120" s="269">
        <f t="shared" si="340"/>
        <v>177989301.72649512</v>
      </c>
      <c r="EQ120" s="196">
        <f>'Detailed Budget'!$AC$211</f>
        <v>33947340419.387043</v>
      </c>
      <c r="ER120" s="269">
        <f t="shared" si="341"/>
        <v>44497325.431623779</v>
      </c>
      <c r="ES120" s="269">
        <f t="shared" si="243"/>
        <v>222486627.1581189</v>
      </c>
      <c r="ET120" s="196">
        <f>'Detailed Budget'!$AC$214</f>
        <v>22239745544.201103</v>
      </c>
      <c r="EU120" s="269">
        <f t="shared" si="342"/>
        <v>28311004.739717212</v>
      </c>
      <c r="EV120" s="140">
        <f>'Detailed Budget'!$AC$217</f>
        <v>5559936386.0502758</v>
      </c>
      <c r="EW120" s="269">
        <f t="shared" si="343"/>
        <v>7077751.1849293029</v>
      </c>
      <c r="EX120" s="269">
        <f t="shared" si="244"/>
        <v>35388755.924646512</v>
      </c>
      <c r="EY120" s="196">
        <f>'Detailed Budget'!$AC$219</f>
        <v>372777004.58170313</v>
      </c>
      <c r="EZ120" s="269">
        <f t="shared" si="344"/>
        <v>496794.69784017868</v>
      </c>
      <c r="FA120" s="196">
        <f>'Detailed Budget'!$AC$222</f>
        <v>93194251.145425782</v>
      </c>
      <c r="FB120" s="269">
        <f t="shared" si="345"/>
        <v>124198.67446004467</v>
      </c>
      <c r="FC120" s="269">
        <f t="shared" si="245"/>
        <v>620993.37230022333</v>
      </c>
      <c r="FD120" s="269"/>
      <c r="FE120" s="269">
        <f t="shared" si="246"/>
        <v>356793357.73092192</v>
      </c>
      <c r="FF120" s="140">
        <f>'Detailed Budget'!$AC$165</f>
        <v>14927760000</v>
      </c>
      <c r="FG120" s="1087">
        <f t="shared" si="259"/>
        <v>486689757.47220314</v>
      </c>
      <c r="FH120" s="269">
        <f t="shared" si="346"/>
        <v>25442154.300647654</v>
      </c>
      <c r="FJ120" s="140">
        <f>'Detailed Budget'!$AC$235</f>
        <v>3623696172</v>
      </c>
      <c r="FK120" s="269">
        <f t="shared" si="347"/>
        <v>4681778</v>
      </c>
      <c r="FL120" s="269">
        <f t="shared" si="260"/>
        <v>4681778</v>
      </c>
      <c r="FO120" s="607"/>
      <c r="FP120" s="607"/>
      <c r="FQ120" s="607"/>
      <c r="FR120" s="269">
        <f>'Detailed Budget'!$AC$257</f>
        <v>13636439388</v>
      </c>
      <c r="FS120" s="269">
        <f t="shared" si="348"/>
        <v>54463812</v>
      </c>
      <c r="FT120" s="269">
        <f t="shared" si="261"/>
        <v>54463812</v>
      </c>
      <c r="FU120" s="269"/>
      <c r="FV120" s="269"/>
      <c r="FW120" s="616"/>
      <c r="FX120" s="140">
        <f>'Detailed Budget'!$AC$278</f>
        <v>1114560000</v>
      </c>
      <c r="FY120" s="269">
        <f t="shared" si="349"/>
        <v>1440000</v>
      </c>
      <c r="FZ120" s="269">
        <f t="shared" si="262"/>
        <v>1440000</v>
      </c>
      <c r="GB120" s="269">
        <f t="shared" si="271"/>
        <v>3369187957.588037</v>
      </c>
      <c r="GC120" s="887">
        <f t="shared" si="247"/>
        <v>2105742.4734925232</v>
      </c>
      <c r="GD120" s="1078">
        <f t="shared" si="272"/>
        <v>1.8905574557091282E-3</v>
      </c>
    </row>
    <row r="121" spans="1:186" hidden="1" outlineLevel="1">
      <c r="A121" s="211" t="s">
        <v>423</v>
      </c>
      <c r="B121" s="212" t="s">
        <v>424</v>
      </c>
      <c r="C121" s="213" t="s">
        <v>215</v>
      </c>
      <c r="D121" s="214" t="s">
        <v>215</v>
      </c>
      <c r="E121" s="213"/>
      <c r="F121" s="213"/>
      <c r="G121" s="213"/>
      <c r="H121" s="213" t="s">
        <v>215</v>
      </c>
      <c r="I121" s="214" t="s">
        <v>215</v>
      </c>
      <c r="J121" s="214"/>
      <c r="K121" s="213"/>
      <c r="L121" s="213"/>
      <c r="M121" s="214" t="s">
        <v>215</v>
      </c>
      <c r="N121" s="213"/>
      <c r="O121" s="214"/>
      <c r="P121" s="213"/>
      <c r="Q121" s="214"/>
      <c r="R121" s="214" t="s">
        <v>215</v>
      </c>
      <c r="S121" s="214"/>
      <c r="T121" s="214"/>
      <c r="U121" s="215">
        <f t="shared" si="350"/>
        <v>6</v>
      </c>
      <c r="V121" s="845" t="s">
        <v>219</v>
      </c>
      <c r="W121" s="216">
        <v>215075</v>
      </c>
      <c r="X121" s="217">
        <v>3.42</v>
      </c>
      <c r="Y121" s="218">
        <f t="shared" si="277"/>
        <v>1.0342</v>
      </c>
      <c r="Z121" s="196">
        <v>19</v>
      </c>
      <c r="AA121" s="218">
        <f t="shared" si="369"/>
        <v>1.8944630332534185</v>
      </c>
      <c r="AB121" s="196">
        <f t="shared" si="367"/>
        <v>407451.63687697897</v>
      </c>
      <c r="AC121">
        <v>19.899999999999999</v>
      </c>
      <c r="AD121" s="196">
        <f t="shared" si="368"/>
        <v>81082.875738518807</v>
      </c>
      <c r="AE121" s="196">
        <f t="shared" si="280"/>
        <v>77028.731951592868</v>
      </c>
      <c r="AF121" s="196">
        <f t="shared" si="351"/>
        <v>77028.731951592868</v>
      </c>
      <c r="AG121" s="606">
        <f t="shared" si="250"/>
        <v>3.5614704029721393E-3</v>
      </c>
      <c r="AH121" s="196">
        <f t="shared" si="363"/>
        <v>20372.581843848951</v>
      </c>
      <c r="AI121" s="248">
        <f t="shared" si="216"/>
        <v>1.5782330479664679E-3</v>
      </c>
      <c r="AJ121" s="196">
        <f t="shared" si="228"/>
        <v>101455.45758236776</v>
      </c>
      <c r="AK121" s="196">
        <f t="shared" si="278"/>
        <v>16298.06547507916</v>
      </c>
      <c r="AL121" s="196">
        <f t="shared" si="279"/>
        <v>16298.06547507916</v>
      </c>
      <c r="AM121" s="196">
        <f t="shared" si="229"/>
        <v>32596.13095015832</v>
      </c>
      <c r="AN121" s="627">
        <f t="shared" si="230"/>
        <v>1.5782330479664677E-3</v>
      </c>
      <c r="AO121" s="196">
        <f t="shared" si="231"/>
        <v>15483.1622013252</v>
      </c>
      <c r="AP121" s="589">
        <f t="shared" si="251"/>
        <v>1.5782330479664675E-3</v>
      </c>
      <c r="AQ121" s="196"/>
      <c r="AR121" s="589"/>
      <c r="AS121">
        <v>1</v>
      </c>
      <c r="AT121" s="589">
        <f t="shared" si="252"/>
        <v>1.2919896640826874E-3</v>
      </c>
      <c r="AU121" s="196">
        <v>10</v>
      </c>
      <c r="AV121" s="245">
        <f t="shared" si="232"/>
        <v>1.1362345188046814E-3</v>
      </c>
      <c r="AX121" s="245"/>
      <c r="AY121" s="245"/>
      <c r="AZ121" s="196">
        <v>28</v>
      </c>
      <c r="BA121" s="589">
        <f t="shared" si="265"/>
        <v>1.0259792605620901E-3</v>
      </c>
      <c r="BI121" s="196">
        <v>1</v>
      </c>
      <c r="BJ121" s="196">
        <f t="shared" si="352"/>
        <v>226362.01444458068</v>
      </c>
      <c r="BK121" s="246">
        <f t="shared" si="266"/>
        <v>4.3165870426153854E-3</v>
      </c>
      <c r="BL121" s="196">
        <f t="shared" si="364"/>
        <v>4527.240288891614</v>
      </c>
      <c r="BM121" s="246">
        <f t="shared" si="267"/>
        <v>4.316586548727179E-3</v>
      </c>
      <c r="BN121" s="196">
        <v>0</v>
      </c>
      <c r="BO121" s="196">
        <f t="shared" si="353"/>
        <v>29838.634427520108</v>
      </c>
      <c r="BP121" s="196">
        <f t="shared" si="233"/>
        <v>0</v>
      </c>
      <c r="BQ121" s="248">
        <f t="shared" si="268"/>
        <v>0</v>
      </c>
      <c r="BR121" s="248"/>
      <c r="BS121" s="248"/>
      <c r="BT121" s="276">
        <v>1</v>
      </c>
      <c r="BU121" s="196">
        <f t="shared" si="365"/>
        <v>64217.637584906894</v>
      </c>
      <c r="BV121" s="264">
        <f t="shared" si="269"/>
        <v>4.4542569811641458E-3</v>
      </c>
      <c r="BW121" s="196">
        <f t="shared" si="366"/>
        <v>274708.78300210176</v>
      </c>
      <c r="BX121" s="247">
        <f t="shared" si="270"/>
        <v>4.4542570212882642E-3</v>
      </c>
      <c r="BY121" s="196">
        <f t="shared" si="276"/>
        <v>338926.42058700864</v>
      </c>
      <c r="BZ121" s="620">
        <v>0</v>
      </c>
      <c r="CA121" s="196">
        <f t="shared" si="324"/>
        <v>124680.20088435557</v>
      </c>
      <c r="CB121" s="196">
        <f t="shared" si="325"/>
        <v>249360.40176871113</v>
      </c>
      <c r="CC121" s="196">
        <f t="shared" si="248"/>
        <v>374040.60265306669</v>
      </c>
      <c r="CD121" s="247">
        <f t="shared" si="236"/>
        <v>1.5782330479664677E-3</v>
      </c>
      <c r="CE121" s="196">
        <f t="shared" si="354"/>
        <v>37487.306099617104</v>
      </c>
      <c r="CF121" s="247">
        <f t="shared" si="237"/>
        <v>1.6188184608666065E-3</v>
      </c>
      <c r="CG121" s="196">
        <f t="shared" si="326"/>
        <v>61932.6488053008</v>
      </c>
      <c r="CH121" s="589">
        <f t="shared" si="253"/>
        <v>1.5782330479664675E-3</v>
      </c>
      <c r="CI121" s="196">
        <f t="shared" si="355"/>
        <v>96982.481189913538</v>
      </c>
      <c r="CJ121" s="248">
        <f t="shared" si="254"/>
        <v>1.5943917445880931E-3</v>
      </c>
      <c r="CK121" s="196">
        <f t="shared" si="356"/>
        <v>83216.400917967665</v>
      </c>
      <c r="CL121" s="589">
        <f t="shared" si="255"/>
        <v>1.196252880079183E-3</v>
      </c>
      <c r="CM121" s="196">
        <f t="shared" si="357"/>
        <v>8061.6155209089784</v>
      </c>
      <c r="CN121" s="589">
        <f t="shared" si="256"/>
        <v>1.1617704140101867E-3</v>
      </c>
      <c r="CO121" s="196">
        <f t="shared" si="358"/>
        <v>644.93576771134929</v>
      </c>
      <c r="CP121" s="589">
        <f t="shared" si="257"/>
        <v>1.2162495195078495E-3</v>
      </c>
      <c r="CQ121" s="196">
        <f>'Detailed Budget'!$AC$12</f>
        <v>292876014141.44696</v>
      </c>
      <c r="CR121" s="269">
        <f t="shared" si="328"/>
        <v>1264224807.7358103</v>
      </c>
      <c r="CS121" s="269">
        <f>'Detailed Budget'!$AC$16</f>
        <v>10488008800.000002</v>
      </c>
      <c r="CT121" s="607">
        <f t="shared" si="329"/>
        <v>45272397.709012292</v>
      </c>
      <c r="CU121" s="269">
        <f>'Detailed Budget'!$AC$24</f>
        <v>30624985696</v>
      </c>
      <c r="CV121" s="269">
        <f t="shared" si="264"/>
        <v>132195416.43563512</v>
      </c>
      <c r="CW121" s="269"/>
      <c r="CX121" s="269">
        <f t="shared" si="249"/>
        <v>1441692621.8804576</v>
      </c>
      <c r="CY121" s="196">
        <f>'Detailed Budget'!$AC$97</f>
        <v>74629165494.837845</v>
      </c>
      <c r="CZ121" s="269">
        <f t="shared" si="330"/>
        <v>0</v>
      </c>
      <c r="DA121" s="269">
        <f>'Detailed Budget'!$AC$100</f>
        <v>14925833098.967569</v>
      </c>
      <c r="DB121" s="269">
        <f t="shared" si="331"/>
        <v>0</v>
      </c>
      <c r="DC121" s="269">
        <f t="shared" si="238"/>
        <v>0</v>
      </c>
      <c r="DD121" s="207">
        <v>0</v>
      </c>
      <c r="DE121" s="606">
        <v>0</v>
      </c>
      <c r="DF121" s="269">
        <f>'Detailed Budget'!$AC$147</f>
        <v>5913600671000</v>
      </c>
      <c r="DG121" s="269">
        <f t="shared" si="258"/>
        <v>0</v>
      </c>
      <c r="DH121" s="269">
        <f>'Detailed Budget'!$AC$153</f>
        <v>226428026880.00003</v>
      </c>
      <c r="DI121" s="269"/>
      <c r="DJ121" s="269">
        <f>'Detailed Budget'!$AC$156</f>
        <v>27713070000</v>
      </c>
      <c r="DK121" s="269"/>
      <c r="DL121" s="269"/>
      <c r="DM121" s="196">
        <f>'Detailed Budget'!$AC$178</f>
        <v>5622683761.6229038</v>
      </c>
      <c r="DN121" s="269">
        <f t="shared" si="359"/>
        <v>25044878.398087099</v>
      </c>
      <c r="DO121" s="196">
        <f>'Detailed Budget'!$AC$179</f>
        <v>26827890683.128094</v>
      </c>
      <c r="DP121" s="269">
        <f t="shared" si="360"/>
        <v>119498320.44167732</v>
      </c>
      <c r="DQ121" s="269">
        <f t="shared" si="273"/>
        <v>144543198.83976442</v>
      </c>
      <c r="DR121" s="269">
        <f>'Detailed Budget'!$AC$181</f>
        <v>50888946855.375237</v>
      </c>
      <c r="DS121" s="269">
        <f t="shared" si="361"/>
        <v>181239478.06384102</v>
      </c>
      <c r="DT121" s="269">
        <f t="shared" si="362"/>
        <v>325782676.90360546</v>
      </c>
      <c r="DU121" s="272">
        <f>'Detailed Budget'!$AC$192</f>
        <v>77498869683.252869</v>
      </c>
      <c r="DV121" s="269">
        <f t="shared" si="332"/>
        <v>0</v>
      </c>
      <c r="DW121" s="140">
        <f>'Detailed Budget'!$AC$194</f>
        <v>2684962805.4134097</v>
      </c>
      <c r="DX121" s="269">
        <f t="shared" si="333"/>
        <v>0</v>
      </c>
      <c r="DY121" s="607">
        <f t="shared" si="239"/>
        <v>0</v>
      </c>
      <c r="DZ121" s="196">
        <f>'Detailed Budget'!$AC$198</f>
        <v>18732540018.380611</v>
      </c>
      <c r="EA121" s="269">
        <f t="shared" si="334"/>
        <v>30324581.600677013</v>
      </c>
      <c r="EB121" s="196">
        <f>'Detailed Budget'!$AC$200</f>
        <v>4683135004.5951529</v>
      </c>
      <c r="EC121" s="269">
        <f t="shared" si="335"/>
        <v>7581145.4001692533</v>
      </c>
      <c r="ED121" s="269">
        <f t="shared" si="240"/>
        <v>37905727.000846267</v>
      </c>
      <c r="EE121" s="196">
        <f>'Detailed Budget'!$AC$161</f>
        <v>251147290106.36197</v>
      </c>
      <c r="EF121" s="269">
        <f t="shared" si="336"/>
        <v>396368953.15308231</v>
      </c>
      <c r="EG121" s="196">
        <f>'Detailed Budget'!$AC$163</f>
        <v>15696705631.647623</v>
      </c>
      <c r="EH121" s="269">
        <f t="shared" si="337"/>
        <v>24773059.572067644</v>
      </c>
      <c r="EI121" s="269">
        <f t="shared" si="241"/>
        <v>421142012.72514993</v>
      </c>
      <c r="EJ121" s="196">
        <f>'Detailed Budget'!$AC$204</f>
        <v>45012172507.531975</v>
      </c>
      <c r="EK121" s="269">
        <f t="shared" si="338"/>
        <v>71767036.251984105</v>
      </c>
      <c r="EL121" s="201">
        <f>'Detailed Budget'!$AC$206</f>
        <v>11253043126.882994</v>
      </c>
      <c r="EM121" s="269">
        <f t="shared" si="339"/>
        <v>17941759.062996026</v>
      </c>
      <c r="EN121" s="269">
        <f t="shared" si="242"/>
        <v>89708795.314980134</v>
      </c>
      <c r="EO121" s="140">
        <f>'Detailed Budget'!$AC$209</f>
        <v>135789361677.54817</v>
      </c>
      <c r="EP121" s="269">
        <f t="shared" si="340"/>
        <v>162438414.99088085</v>
      </c>
      <c r="EQ121" s="196">
        <f>'Detailed Budget'!$AC$211</f>
        <v>33947340419.387043</v>
      </c>
      <c r="ER121" s="269">
        <f t="shared" si="341"/>
        <v>40609603.747720212</v>
      </c>
      <c r="ES121" s="269">
        <f t="shared" si="243"/>
        <v>203048018.73860106</v>
      </c>
      <c r="ET121" s="196">
        <f>'Detailed Budget'!$AC$214</f>
        <v>22239745544.201103</v>
      </c>
      <c r="EU121" s="269">
        <f t="shared" si="342"/>
        <v>25837478.38836772</v>
      </c>
      <c r="EV121" s="140">
        <f>'Detailed Budget'!$AC$217</f>
        <v>5559936386.0502758</v>
      </c>
      <c r="EW121" s="269">
        <f t="shared" si="343"/>
        <v>6459369.59709193</v>
      </c>
      <c r="EX121" s="269">
        <f t="shared" si="244"/>
        <v>32296847.985459648</v>
      </c>
      <c r="EY121" s="196">
        <f>'Detailed Budget'!$AC$219</f>
        <v>372777004.58170313</v>
      </c>
      <c r="EZ121" s="269">
        <f t="shared" si="344"/>
        <v>453389.8527060718</v>
      </c>
      <c r="FA121" s="196">
        <f>'Detailed Budget'!$AC$222</f>
        <v>93194251.145425782</v>
      </c>
      <c r="FB121" s="269">
        <f t="shared" si="345"/>
        <v>113347.46317651795</v>
      </c>
      <c r="FC121" s="269">
        <f t="shared" si="245"/>
        <v>566737.31588258978</v>
      </c>
      <c r="FD121" s="269"/>
      <c r="FE121" s="269">
        <f t="shared" si="246"/>
        <v>325620399.35492337</v>
      </c>
      <c r="FF121" s="140">
        <f>'Detailed Budget'!$AC$165</f>
        <v>14927760000</v>
      </c>
      <c r="FG121" s="1087">
        <f t="shared" si="259"/>
        <v>444167778.78910345</v>
      </c>
      <c r="FH121" s="269">
        <f t="shared" si="346"/>
        <v>16961436.200431772</v>
      </c>
      <c r="FJ121" s="140">
        <f>'Detailed Budget'!$AC$235</f>
        <v>3623696172</v>
      </c>
      <c r="FK121" s="269">
        <f t="shared" si="347"/>
        <v>4681778</v>
      </c>
      <c r="FL121" s="269">
        <f t="shared" si="260"/>
        <v>4681778</v>
      </c>
      <c r="FO121" s="607"/>
      <c r="FP121" s="607"/>
      <c r="FQ121" s="607"/>
      <c r="FR121" s="269">
        <f>'Detailed Budget'!$AC$257</f>
        <v>13636439388</v>
      </c>
      <c r="FS121" s="269">
        <f t="shared" si="348"/>
        <v>13990704</v>
      </c>
      <c r="FT121" s="269">
        <f t="shared" si="261"/>
        <v>13990704</v>
      </c>
      <c r="FU121" s="269"/>
      <c r="FV121" s="269"/>
      <c r="FW121" s="616"/>
      <c r="FX121" s="140">
        <f>'Detailed Budget'!$AC$278</f>
        <v>1114560000</v>
      </c>
      <c r="FY121" s="269">
        <f t="shared" si="349"/>
        <v>1440000</v>
      </c>
      <c r="FZ121" s="269">
        <f t="shared" si="262"/>
        <v>1440000</v>
      </c>
      <c r="GB121" s="269">
        <f t="shared" si="271"/>
        <v>3033385134.8545179</v>
      </c>
      <c r="GC121" s="887">
        <f t="shared" si="247"/>
        <v>1895865.7092840737</v>
      </c>
      <c r="GD121" s="1078">
        <f t="shared" si="272"/>
        <v>1.7021279177436921E-3</v>
      </c>
    </row>
    <row r="122" spans="1:186" hidden="1" outlineLevel="1">
      <c r="A122" s="211" t="s">
        <v>425</v>
      </c>
      <c r="B122" s="212" t="s">
        <v>426</v>
      </c>
      <c r="C122" s="213" t="s">
        <v>215</v>
      </c>
      <c r="D122" s="214" t="s">
        <v>215</v>
      </c>
      <c r="E122" s="213"/>
      <c r="F122" s="213"/>
      <c r="G122" s="213"/>
      <c r="H122" s="213" t="s">
        <v>215</v>
      </c>
      <c r="I122" s="214" t="s">
        <v>215</v>
      </c>
      <c r="J122" s="214"/>
      <c r="K122" s="213"/>
      <c r="L122" s="213"/>
      <c r="M122" s="214" t="s">
        <v>215</v>
      </c>
      <c r="N122" s="213"/>
      <c r="O122" s="214"/>
      <c r="P122" s="213"/>
      <c r="Q122" s="214"/>
      <c r="R122" s="214" t="s">
        <v>215</v>
      </c>
      <c r="S122" s="214"/>
      <c r="T122" s="214"/>
      <c r="U122" s="215">
        <f t="shared" si="350"/>
        <v>6</v>
      </c>
      <c r="V122" s="845" t="s">
        <v>219</v>
      </c>
      <c r="W122" s="216">
        <v>83874</v>
      </c>
      <c r="X122" s="217">
        <v>3.42</v>
      </c>
      <c r="Y122" s="218">
        <f t="shared" si="277"/>
        <v>1.0342</v>
      </c>
      <c r="Z122" s="196">
        <v>19</v>
      </c>
      <c r="AA122" s="218">
        <f t="shared" si="369"/>
        <v>1.8944630332534185</v>
      </c>
      <c r="AB122" s="196">
        <f t="shared" si="367"/>
        <v>158896.19245109722</v>
      </c>
      <c r="AC122">
        <v>19.899999999999999</v>
      </c>
      <c r="AD122" s="196">
        <f t="shared" si="368"/>
        <v>31620.342297768348</v>
      </c>
      <c r="AE122" s="196">
        <f t="shared" si="280"/>
        <v>30039.325182879929</v>
      </c>
      <c r="AF122" s="196">
        <f t="shared" si="351"/>
        <v>30039.325182879929</v>
      </c>
      <c r="AG122" s="606">
        <f t="shared" si="250"/>
        <v>1.3888865213478332E-3</v>
      </c>
      <c r="AH122" s="196">
        <f t="shared" si="363"/>
        <v>7944.8096225548616</v>
      </c>
      <c r="AI122" s="248">
        <f t="shared" si="216"/>
        <v>6.1547236389696393E-4</v>
      </c>
      <c r="AJ122" s="196">
        <f t="shared" si="228"/>
        <v>39565.151920323209</v>
      </c>
      <c r="AK122" s="196">
        <f t="shared" si="278"/>
        <v>6355.8476980438891</v>
      </c>
      <c r="AL122" s="196">
        <f t="shared" si="279"/>
        <v>6355.8476980438891</v>
      </c>
      <c r="AM122" s="196">
        <f t="shared" si="229"/>
        <v>12711.695396087778</v>
      </c>
      <c r="AN122" s="627">
        <f t="shared" si="230"/>
        <v>6.1547236389696393E-4</v>
      </c>
      <c r="AO122" s="196">
        <f t="shared" si="231"/>
        <v>6038.0553131416937</v>
      </c>
      <c r="AP122" s="589">
        <f t="shared" si="251"/>
        <v>6.1547236389696382E-4</v>
      </c>
      <c r="AQ122" s="196"/>
      <c r="AR122" s="589"/>
      <c r="AS122">
        <v>1</v>
      </c>
      <c r="AT122" s="589">
        <f t="shared" si="252"/>
        <v>1.2919896640826874E-3</v>
      </c>
      <c r="AU122" s="196">
        <v>10</v>
      </c>
      <c r="AV122" s="245">
        <f t="shared" si="232"/>
        <v>1.1362345188046814E-3</v>
      </c>
      <c r="AX122" s="245"/>
      <c r="AY122" s="245"/>
      <c r="AZ122" s="196">
        <v>28</v>
      </c>
      <c r="BA122" s="589">
        <f t="shared" si="265"/>
        <v>1.0259792605620901E-3</v>
      </c>
      <c r="BI122" s="196">
        <v>1</v>
      </c>
      <c r="BJ122" s="196">
        <f t="shared" si="352"/>
        <v>88275.660116353654</v>
      </c>
      <c r="BK122" s="246">
        <f t="shared" si="266"/>
        <v>1.6833635783439398E-3</v>
      </c>
      <c r="BL122" s="196">
        <f t="shared" si="364"/>
        <v>1765.513202327073</v>
      </c>
      <c r="BM122" s="246">
        <f t="shared" si="267"/>
        <v>1.683363385739595E-3</v>
      </c>
      <c r="BN122" s="196">
        <v>0</v>
      </c>
      <c r="BO122" s="196">
        <f t="shared" si="353"/>
        <v>11636.339062995799</v>
      </c>
      <c r="BP122" s="196">
        <f t="shared" si="233"/>
        <v>0</v>
      </c>
      <c r="BQ122" s="248">
        <f t="shared" si="268"/>
        <v>0</v>
      </c>
      <c r="BR122" s="248"/>
      <c r="BS122" s="248"/>
      <c r="BT122" s="276">
        <v>1</v>
      </c>
      <c r="BU122" s="196">
        <f t="shared" si="365"/>
        <v>25043.311099832532</v>
      </c>
      <c r="BV122" s="264">
        <f t="shared" si="269"/>
        <v>1.7370514938424347E-3</v>
      </c>
      <c r="BW122" s="196">
        <f t="shared" si="366"/>
        <v>107129.71970483917</v>
      </c>
      <c r="BX122" s="247">
        <f t="shared" si="270"/>
        <v>1.7370515094898612E-3</v>
      </c>
      <c r="BY122" s="196">
        <f t="shared" si="276"/>
        <v>132173.0308046717</v>
      </c>
      <c r="BZ122" s="620">
        <v>0</v>
      </c>
      <c r="CA122" s="196">
        <f t="shared" si="324"/>
        <v>48622.234890035747</v>
      </c>
      <c r="CB122" s="196">
        <f t="shared" si="325"/>
        <v>97244.469780071493</v>
      </c>
      <c r="CC122" s="196">
        <f t="shared" si="248"/>
        <v>145866.70467010722</v>
      </c>
      <c r="CD122" s="247">
        <f t="shared" si="236"/>
        <v>6.1547236389696382E-4</v>
      </c>
      <c r="CE122" s="196">
        <f t="shared" si="354"/>
        <v>14619.134310353527</v>
      </c>
      <c r="CF122" s="247">
        <f t="shared" si="237"/>
        <v>6.3129968423445662E-4</v>
      </c>
      <c r="CG122" s="196">
        <f t="shared" si="326"/>
        <v>24152.221252566775</v>
      </c>
      <c r="CH122" s="589">
        <f t="shared" si="253"/>
        <v>6.1547236389696382E-4</v>
      </c>
      <c r="CI122" s="196">
        <f t="shared" si="355"/>
        <v>37820.800313020154</v>
      </c>
      <c r="CJ122" s="248">
        <f t="shared" si="254"/>
        <v>6.217738611441672E-4</v>
      </c>
      <c r="CK122" s="196">
        <f t="shared" si="356"/>
        <v>32452.365038212811</v>
      </c>
      <c r="CL122" s="589">
        <f t="shared" si="255"/>
        <v>4.6650942259100965E-4</v>
      </c>
      <c r="CM122" s="196">
        <f t="shared" si="357"/>
        <v>3143.8332683980925</v>
      </c>
      <c r="CN122" s="589">
        <f t="shared" si="256"/>
        <v>4.530621025441842E-4</v>
      </c>
      <c r="CO122" s="196">
        <f t="shared" si="358"/>
        <v>251.50920646761233</v>
      </c>
      <c r="CP122" s="589">
        <f t="shared" si="257"/>
        <v>4.7430762384843139E-4</v>
      </c>
      <c r="CQ122" s="196">
        <f>'Detailed Budget'!$AC$12</f>
        <v>292876014141.44696</v>
      </c>
      <c r="CR122" s="269">
        <f t="shared" si="328"/>
        <v>493016815.17625648</v>
      </c>
      <c r="CS122" s="269">
        <f>'Detailed Budget'!$AC$16</f>
        <v>10488008800.000002</v>
      </c>
      <c r="CT122" s="607">
        <f t="shared" si="329"/>
        <v>17655130.00323467</v>
      </c>
      <c r="CU122" s="269">
        <f>'Detailed Budget'!$AC$24</f>
        <v>30624985696</v>
      </c>
      <c r="CV122" s="269">
        <f t="shared" si="264"/>
        <v>51552985.507950529</v>
      </c>
      <c r="CW122" s="269"/>
      <c r="CX122" s="269">
        <f t="shared" si="249"/>
        <v>562224930.68744171</v>
      </c>
      <c r="CY122" s="196">
        <f>'Detailed Budget'!$AC$97</f>
        <v>74629165494.837845</v>
      </c>
      <c r="CZ122" s="269">
        <f t="shared" si="330"/>
        <v>0</v>
      </c>
      <c r="DA122" s="269">
        <f>'Detailed Budget'!$AC$100</f>
        <v>14925833098.967569</v>
      </c>
      <c r="DB122" s="269">
        <f t="shared" si="331"/>
        <v>0</v>
      </c>
      <c r="DC122" s="269">
        <f t="shared" si="238"/>
        <v>0</v>
      </c>
      <c r="DD122" s="207">
        <v>0</v>
      </c>
      <c r="DE122" s="606">
        <v>0</v>
      </c>
      <c r="DF122" s="269">
        <f>'Detailed Budget'!$AC$147</f>
        <v>5913600671000</v>
      </c>
      <c r="DG122" s="269">
        <f t="shared" si="258"/>
        <v>0</v>
      </c>
      <c r="DH122" s="269">
        <f>'Detailed Budget'!$AC$153</f>
        <v>226428026880.00003</v>
      </c>
      <c r="DI122" s="269"/>
      <c r="DJ122" s="269">
        <f>'Detailed Budget'!$AC$156</f>
        <v>27713070000</v>
      </c>
      <c r="DK122" s="269"/>
      <c r="DL122" s="269"/>
      <c r="DM122" s="196">
        <f>'Detailed Budget'!$AC$178</f>
        <v>5622683761.6229038</v>
      </c>
      <c r="DN122" s="269">
        <f t="shared" si="359"/>
        <v>9766891.2275306657</v>
      </c>
      <c r="DO122" s="196">
        <f>'Detailed Budget'!$AC$179</f>
        <v>26827890683.128094</v>
      </c>
      <c r="DP122" s="269">
        <f t="shared" si="360"/>
        <v>46601428.00755664</v>
      </c>
      <c r="DQ122" s="269">
        <f t="shared" si="273"/>
        <v>56368319.235087305</v>
      </c>
      <c r="DR122" s="269">
        <f>'Detailed Budget'!$AC$181</f>
        <v>50888946855.375237</v>
      </c>
      <c r="DS122" s="269">
        <f t="shared" si="361"/>
        <v>70678972.373016864</v>
      </c>
      <c r="DT122" s="269">
        <f t="shared" si="362"/>
        <v>127047291.60810417</v>
      </c>
      <c r="DU122" s="272">
        <f>'Detailed Budget'!$AC$192</f>
        <v>77498869683.252869</v>
      </c>
      <c r="DV122" s="269">
        <f t="shared" si="332"/>
        <v>0</v>
      </c>
      <c r="DW122" s="140">
        <f>'Detailed Budget'!$AC$194</f>
        <v>2684962805.4134097</v>
      </c>
      <c r="DX122" s="269">
        <f t="shared" si="333"/>
        <v>0</v>
      </c>
      <c r="DY122" s="607">
        <f t="shared" si="239"/>
        <v>0</v>
      </c>
      <c r="DZ122" s="196">
        <f>'Detailed Budget'!$AC$198</f>
        <v>18732540018.380611</v>
      </c>
      <c r="EA122" s="269">
        <f t="shared" si="334"/>
        <v>11825846.598513002</v>
      </c>
      <c r="EB122" s="196">
        <f>'Detailed Budget'!$AC$200</f>
        <v>4683135004.5951529</v>
      </c>
      <c r="EC122" s="269">
        <f t="shared" si="335"/>
        <v>2956461.6496282504</v>
      </c>
      <c r="ED122" s="269">
        <f t="shared" si="240"/>
        <v>14782308.248141252</v>
      </c>
      <c r="EE122" s="196">
        <f>'Detailed Budget'!$AC$161</f>
        <v>251147290106.36197</v>
      </c>
      <c r="EF122" s="269">
        <f t="shared" si="336"/>
        <v>154574216.32807916</v>
      </c>
      <c r="EG122" s="196">
        <f>'Detailed Budget'!$AC$163</f>
        <v>15696705631.647623</v>
      </c>
      <c r="EH122" s="269">
        <f t="shared" si="337"/>
        <v>9660888.5205049478</v>
      </c>
      <c r="EI122" s="269">
        <f t="shared" si="241"/>
        <v>164235104.84858412</v>
      </c>
      <c r="EJ122" s="196">
        <f>'Detailed Budget'!$AC$204</f>
        <v>45012172507.531975</v>
      </c>
      <c r="EK122" s="269">
        <f t="shared" si="338"/>
        <v>27987392.298495486</v>
      </c>
      <c r="EL122" s="201">
        <f>'Detailed Budget'!$AC$206</f>
        <v>11253043126.882994</v>
      </c>
      <c r="EM122" s="269">
        <f t="shared" si="339"/>
        <v>6996848.0746238716</v>
      </c>
      <c r="EN122" s="269">
        <f t="shared" si="242"/>
        <v>34984240.373119354</v>
      </c>
      <c r="EO122" s="140">
        <f>'Detailed Budget'!$AC$209</f>
        <v>135789361677.54817</v>
      </c>
      <c r="EP122" s="269">
        <f t="shared" si="340"/>
        <v>63347016.710194774</v>
      </c>
      <c r="EQ122" s="196">
        <f>'Detailed Budget'!$AC$211</f>
        <v>33947340419.387043</v>
      </c>
      <c r="ER122" s="269">
        <f t="shared" si="341"/>
        <v>15836754.177548693</v>
      </c>
      <c r="ES122" s="269">
        <f t="shared" si="243"/>
        <v>79183770.887743473</v>
      </c>
      <c r="ET122" s="196">
        <f>'Detailed Budget'!$AC$214</f>
        <v>22239745544.201103</v>
      </c>
      <c r="EU122" s="269">
        <f t="shared" si="342"/>
        <v>10075985.876303405</v>
      </c>
      <c r="EV122" s="140">
        <f>'Detailed Budget'!$AC$217</f>
        <v>5559936386.0502758</v>
      </c>
      <c r="EW122" s="269">
        <f t="shared" si="343"/>
        <v>2518996.4690758511</v>
      </c>
      <c r="EX122" s="269">
        <f t="shared" si="244"/>
        <v>12594982.345379256</v>
      </c>
      <c r="EY122" s="196">
        <f>'Detailed Budget'!$AC$219</f>
        <v>372777004.58170313</v>
      </c>
      <c r="EZ122" s="269">
        <f t="shared" si="344"/>
        <v>176810.97526848342</v>
      </c>
      <c r="FA122" s="196">
        <f>'Detailed Budget'!$AC$222</f>
        <v>93194251.145425782</v>
      </c>
      <c r="FB122" s="269">
        <f t="shared" si="345"/>
        <v>44202.743817120856</v>
      </c>
      <c r="FC122" s="269">
        <f t="shared" si="245"/>
        <v>221013.71908560427</v>
      </c>
      <c r="FD122" s="269"/>
      <c r="FE122" s="269">
        <f t="shared" si="246"/>
        <v>126984007.32532769</v>
      </c>
      <c r="FF122" s="140">
        <f>'Detailed Budget'!$AC$165</f>
        <v>14927760000</v>
      </c>
      <c r="FG122" s="1087">
        <f t="shared" si="259"/>
        <v>173214591.55251554</v>
      </c>
      <c r="FH122" s="269">
        <f t="shared" si="346"/>
        <v>16961436.200431772</v>
      </c>
      <c r="FJ122" s="140">
        <f>'Detailed Budget'!$AC$235</f>
        <v>3623696172</v>
      </c>
      <c r="FK122" s="269">
        <f t="shared" si="347"/>
        <v>4681778</v>
      </c>
      <c r="FL122" s="269">
        <f t="shared" si="260"/>
        <v>4681778</v>
      </c>
      <c r="FO122" s="607"/>
      <c r="FP122" s="607"/>
      <c r="FQ122" s="607"/>
      <c r="FR122" s="269">
        <f>'Detailed Budget'!$AC$257</f>
        <v>13636439388</v>
      </c>
      <c r="FS122" s="269">
        <f t="shared" si="348"/>
        <v>13990704</v>
      </c>
      <c r="FT122" s="269">
        <f t="shared" si="261"/>
        <v>13990704</v>
      </c>
      <c r="FU122" s="269"/>
      <c r="FV122" s="269"/>
      <c r="FW122" s="616"/>
      <c r="FX122" s="140">
        <f>'Detailed Budget'!$AC$278</f>
        <v>1114560000</v>
      </c>
      <c r="FY122" s="269">
        <f t="shared" si="349"/>
        <v>1440000</v>
      </c>
      <c r="FZ122" s="269">
        <f t="shared" si="262"/>
        <v>1440000</v>
      </c>
      <c r="GB122" s="269">
        <f t="shared" si="271"/>
        <v>1205562152.4705462</v>
      </c>
      <c r="GC122" s="887">
        <f t="shared" si="247"/>
        <v>753476.34529409138</v>
      </c>
      <c r="GD122" s="1078">
        <f t="shared" si="272"/>
        <v>6.7647888582196461E-4</v>
      </c>
    </row>
    <row r="123" spans="1:186" hidden="1" outlineLevel="1">
      <c r="A123" s="211" t="s">
        <v>427</v>
      </c>
      <c r="B123" s="212" t="s">
        <v>428</v>
      </c>
      <c r="C123" s="213" t="s">
        <v>215</v>
      </c>
      <c r="D123" s="214" t="s">
        <v>215</v>
      </c>
      <c r="E123" s="213"/>
      <c r="F123" s="213"/>
      <c r="G123" s="213"/>
      <c r="H123" s="213" t="s">
        <v>215</v>
      </c>
      <c r="I123" s="214" t="s">
        <v>215</v>
      </c>
      <c r="J123" s="214"/>
      <c r="K123" s="213" t="s">
        <v>215</v>
      </c>
      <c r="L123" s="213"/>
      <c r="M123" s="214"/>
      <c r="N123" s="213"/>
      <c r="O123" s="214"/>
      <c r="P123" s="213"/>
      <c r="Q123" s="214"/>
      <c r="R123" s="214" t="s">
        <v>215</v>
      </c>
      <c r="S123" s="214"/>
      <c r="T123" s="214"/>
      <c r="U123" s="215">
        <f t="shared" si="350"/>
        <v>6</v>
      </c>
      <c r="V123" s="845" t="s">
        <v>219</v>
      </c>
      <c r="W123" s="216">
        <v>81756</v>
      </c>
      <c r="X123" s="217">
        <v>3.42</v>
      </c>
      <c r="Y123" s="218">
        <f t="shared" si="277"/>
        <v>1.0342</v>
      </c>
      <c r="Z123" s="196">
        <v>19</v>
      </c>
      <c r="AA123" s="218">
        <f t="shared" si="369"/>
        <v>1.8944630332534185</v>
      </c>
      <c r="AB123" s="196">
        <f t="shared" si="367"/>
        <v>154883.71974666649</v>
      </c>
      <c r="AC123">
        <v>19.899999999999999</v>
      </c>
      <c r="AD123" s="196">
        <f t="shared" si="368"/>
        <v>30821.860229586629</v>
      </c>
      <c r="AE123" s="196">
        <f t="shared" si="280"/>
        <v>29280.767218107296</v>
      </c>
      <c r="AF123" s="196">
        <f t="shared" si="351"/>
        <v>29280.767218107296</v>
      </c>
      <c r="AG123" s="606">
        <f t="shared" si="250"/>
        <v>1.3538141311886095E-3</v>
      </c>
      <c r="AH123" s="196">
        <f t="shared" si="363"/>
        <v>7744.1859873333251</v>
      </c>
      <c r="AI123" s="248">
        <f t="shared" si="216"/>
        <v>5.9993035485084991E-4</v>
      </c>
      <c r="AJ123" s="196">
        <f t="shared" si="228"/>
        <v>38566.046216919953</v>
      </c>
      <c r="AK123" s="196">
        <f t="shared" si="278"/>
        <v>6195.3487898666599</v>
      </c>
      <c r="AL123" s="196">
        <f t="shared" si="279"/>
        <v>6195.3487898666599</v>
      </c>
      <c r="AM123" s="196">
        <f t="shared" si="229"/>
        <v>12390.69757973332</v>
      </c>
      <c r="AN123" s="627">
        <f t="shared" si="230"/>
        <v>5.9993035485084991E-4</v>
      </c>
      <c r="AO123" s="196">
        <f t="shared" si="231"/>
        <v>5885.581350373327</v>
      </c>
      <c r="AP123" s="589">
        <f t="shared" si="251"/>
        <v>5.9993035485084991E-4</v>
      </c>
      <c r="AQ123" s="196"/>
      <c r="AR123" s="589"/>
      <c r="AS123">
        <v>1</v>
      </c>
      <c r="AT123" s="589">
        <f t="shared" si="252"/>
        <v>1.2919896640826874E-3</v>
      </c>
      <c r="AU123" s="196">
        <v>11</v>
      </c>
      <c r="AV123" s="245">
        <f t="shared" si="232"/>
        <v>1.2498579706851495E-3</v>
      </c>
      <c r="AX123" s="245"/>
      <c r="AY123" s="245"/>
      <c r="AZ123" s="196">
        <v>32</v>
      </c>
      <c r="BA123" s="589">
        <f t="shared" si="265"/>
        <v>1.1725477263566744E-3</v>
      </c>
      <c r="BI123" s="196">
        <v>1</v>
      </c>
      <c r="BJ123" s="196">
        <f t="shared" si="352"/>
        <v>86046.508673398304</v>
      </c>
      <c r="BK123" s="246">
        <f t="shared" si="266"/>
        <v>1.640855005258926E-3</v>
      </c>
      <c r="BL123" s="196">
        <f t="shared" si="364"/>
        <v>1720.9301734679661</v>
      </c>
      <c r="BM123" s="246">
        <f t="shared" si="267"/>
        <v>1.6408548175182577E-3</v>
      </c>
      <c r="BN123" s="196">
        <v>0</v>
      </c>
      <c r="BO123" s="196">
        <f t="shared" si="353"/>
        <v>11342.496321080247</v>
      </c>
      <c r="BP123" s="196">
        <f t="shared" si="233"/>
        <v>0</v>
      </c>
      <c r="BQ123" s="248">
        <f t="shared" si="268"/>
        <v>0</v>
      </c>
      <c r="BR123" s="248"/>
      <c r="BS123" s="248"/>
      <c r="BT123" s="276">
        <v>1</v>
      </c>
      <c r="BU123" s="196">
        <f t="shared" si="365"/>
        <v>24410.91330183261</v>
      </c>
      <c r="BV123" s="264">
        <f t="shared" si="269"/>
        <v>1.69318718471257E-3</v>
      </c>
      <c r="BW123" s="196">
        <f t="shared" si="366"/>
        <v>104424.46245783952</v>
      </c>
      <c r="BX123" s="247">
        <f t="shared" si="270"/>
        <v>1.6931871999648651E-3</v>
      </c>
      <c r="BY123" s="196">
        <f t="shared" si="276"/>
        <v>128835.37575967213</v>
      </c>
      <c r="BZ123" s="620">
        <v>0</v>
      </c>
      <c r="CA123" s="196">
        <f t="shared" si="324"/>
        <v>47394.418242479944</v>
      </c>
      <c r="CB123" s="196">
        <f t="shared" si="325"/>
        <v>94788.836484959887</v>
      </c>
      <c r="CC123" s="196">
        <f t="shared" si="248"/>
        <v>142183.25472743984</v>
      </c>
      <c r="CD123" s="247">
        <f t="shared" si="236"/>
        <v>5.9993035485084991E-4</v>
      </c>
      <c r="CE123" s="196">
        <f t="shared" si="354"/>
        <v>14249.969533791915</v>
      </c>
      <c r="CF123" s="247">
        <f t="shared" si="237"/>
        <v>6.153580011001292E-4</v>
      </c>
      <c r="CG123" s="196">
        <f t="shared" si="326"/>
        <v>23542.325401493308</v>
      </c>
      <c r="CH123" s="589">
        <f t="shared" si="253"/>
        <v>5.9993035485084991E-4</v>
      </c>
      <c r="CI123" s="196">
        <f t="shared" si="355"/>
        <v>36865.743262408796</v>
      </c>
      <c r="CJ123" s="248">
        <f t="shared" si="254"/>
        <v>6.0607272565637172E-4</v>
      </c>
      <c r="CK123" s="196">
        <f t="shared" si="356"/>
        <v>31632.872595370751</v>
      </c>
      <c r="CL123" s="589">
        <f t="shared" si="255"/>
        <v>4.5472905016275109E-4</v>
      </c>
      <c r="CM123" s="196">
        <f t="shared" si="357"/>
        <v>3064.4446752408903</v>
      </c>
      <c r="CN123" s="589">
        <f t="shared" si="256"/>
        <v>4.4162130404657368E-4</v>
      </c>
      <c r="CO123" s="196">
        <f t="shared" si="358"/>
        <v>245.15805474838581</v>
      </c>
      <c r="CP123" s="589">
        <f t="shared" si="257"/>
        <v>4.6233032996342556E-4</v>
      </c>
      <c r="CQ123" s="196">
        <f>'Detailed Budget'!$AC$12</f>
        <v>292876014141.44696</v>
      </c>
      <c r="CR123" s="269">
        <f t="shared" si="328"/>
        <v>480567073.72427726</v>
      </c>
      <c r="CS123" s="269">
        <f>'Detailed Budget'!$AC$16</f>
        <v>10488008800.000002</v>
      </c>
      <c r="CT123" s="607">
        <f t="shared" si="329"/>
        <v>17209299.765653886</v>
      </c>
      <c r="CU123" s="269">
        <f>'Detailed Budget'!$AC$24</f>
        <v>30624985696</v>
      </c>
      <c r="CV123" s="269">
        <f t="shared" si="264"/>
        <v>50251161.065264612</v>
      </c>
      <c r="CW123" s="269"/>
      <c r="CX123" s="269">
        <f t="shared" si="249"/>
        <v>548027534.55519581</v>
      </c>
      <c r="CY123" s="196">
        <f>'Detailed Budget'!$AC$97</f>
        <v>74629165494.837845</v>
      </c>
      <c r="CZ123" s="269">
        <f t="shared" si="330"/>
        <v>0</v>
      </c>
      <c r="DA123" s="269">
        <f>'Detailed Budget'!$AC$100</f>
        <v>14925833098.967569</v>
      </c>
      <c r="DB123" s="269">
        <f t="shared" si="331"/>
        <v>0</v>
      </c>
      <c r="DC123" s="269">
        <f t="shared" si="238"/>
        <v>0</v>
      </c>
      <c r="DD123" s="207">
        <v>0</v>
      </c>
      <c r="DE123" s="606">
        <v>0</v>
      </c>
      <c r="DF123" s="269">
        <f>'Detailed Budget'!$AC$147</f>
        <v>5913600671000</v>
      </c>
      <c r="DG123" s="269">
        <f t="shared" si="258"/>
        <v>0</v>
      </c>
      <c r="DH123" s="269">
        <f>'Detailed Budget'!$AC$153</f>
        <v>226428026880.00003</v>
      </c>
      <c r="DI123" s="269"/>
      <c r="DJ123" s="269">
        <f>'Detailed Budget'!$AC$156</f>
        <v>27713070000</v>
      </c>
      <c r="DK123" s="269"/>
      <c r="DL123" s="269"/>
      <c r="DM123" s="196">
        <f>'Detailed Budget'!$AC$178</f>
        <v>5622683761.6229038</v>
      </c>
      <c r="DN123" s="269">
        <f t="shared" si="359"/>
        <v>9520256.0888713673</v>
      </c>
      <c r="DO123" s="196">
        <f>'Detailed Budget'!$AC$179</f>
        <v>26827890683.128094</v>
      </c>
      <c r="DP123" s="269">
        <f t="shared" si="360"/>
        <v>45424641.10672915</v>
      </c>
      <c r="DQ123" s="269">
        <f t="shared" si="273"/>
        <v>54944897.195600517</v>
      </c>
      <c r="DR123" s="269">
        <f>'Detailed Budget'!$AC$181</f>
        <v>50888946855.375237</v>
      </c>
      <c r="DS123" s="269">
        <f t="shared" si="361"/>
        <v>68894175.374113142</v>
      </c>
      <c r="DT123" s="269">
        <f t="shared" si="362"/>
        <v>123839072.56971365</v>
      </c>
      <c r="DU123" s="272">
        <f>'Detailed Budget'!$AC$192</f>
        <v>77498869683.252869</v>
      </c>
      <c r="DV123" s="269">
        <f t="shared" si="332"/>
        <v>0</v>
      </c>
      <c r="DW123" s="140">
        <f>'Detailed Budget'!$AC$194</f>
        <v>2684962805.4134097</v>
      </c>
      <c r="DX123" s="269">
        <f t="shared" si="333"/>
        <v>0</v>
      </c>
      <c r="DY123" s="607">
        <f t="shared" si="239"/>
        <v>0</v>
      </c>
      <c r="DZ123" s="196">
        <f>'Detailed Budget'!$AC$198</f>
        <v>18732540018.380611</v>
      </c>
      <c r="EA123" s="269">
        <f t="shared" si="334"/>
        <v>11527218.38123887</v>
      </c>
      <c r="EB123" s="196">
        <f>'Detailed Budget'!$AC$200</f>
        <v>4683135004.5951529</v>
      </c>
      <c r="EC123" s="269">
        <f t="shared" si="335"/>
        <v>2881804.5953097176</v>
      </c>
      <c r="ED123" s="269">
        <f t="shared" si="240"/>
        <v>14409022.976548588</v>
      </c>
      <c r="EE123" s="196">
        <f>'Detailed Budget'!$AC$161</f>
        <v>251147290106.36197</v>
      </c>
      <c r="EF123" s="269">
        <f t="shared" si="336"/>
        <v>150670882.87333909</v>
      </c>
      <c r="EG123" s="196">
        <f>'Detailed Budget'!$AC$163</f>
        <v>15696705631.647623</v>
      </c>
      <c r="EH123" s="269">
        <f t="shared" si="337"/>
        <v>9416930.1795836929</v>
      </c>
      <c r="EI123" s="269">
        <f t="shared" si="241"/>
        <v>160087813.05292279</v>
      </c>
      <c r="EJ123" s="196">
        <f>'Detailed Budget'!$AC$204</f>
        <v>45012172507.531975</v>
      </c>
      <c r="EK123" s="269">
        <f t="shared" si="338"/>
        <v>27280650.079354703</v>
      </c>
      <c r="EL123" s="201">
        <f>'Detailed Budget'!$AC$206</f>
        <v>11253043126.882994</v>
      </c>
      <c r="EM123" s="269">
        <f t="shared" si="339"/>
        <v>6820162.5198386759</v>
      </c>
      <c r="EN123" s="269">
        <f t="shared" si="242"/>
        <v>34100812.599193379</v>
      </c>
      <c r="EO123" s="140">
        <f>'Detailed Budget'!$AC$209</f>
        <v>135789361677.54817</v>
      </c>
      <c r="EP123" s="269">
        <f t="shared" si="340"/>
        <v>61747367.457837753</v>
      </c>
      <c r="EQ123" s="196">
        <f>'Detailed Budget'!$AC$211</f>
        <v>33947340419.387043</v>
      </c>
      <c r="ER123" s="269">
        <f t="shared" si="341"/>
        <v>15436841.864459438</v>
      </c>
      <c r="ES123" s="269">
        <f t="shared" si="243"/>
        <v>77184209.322297186</v>
      </c>
      <c r="ET123" s="196">
        <f>'Detailed Budget'!$AC$214</f>
        <v>22239745544.201103</v>
      </c>
      <c r="EU123" s="269">
        <f t="shared" si="342"/>
        <v>9821545.4288940672</v>
      </c>
      <c r="EV123" s="140">
        <f>'Detailed Budget'!$AC$217</f>
        <v>5559936386.0502758</v>
      </c>
      <c r="EW123" s="269">
        <f t="shared" si="343"/>
        <v>2455386.3572235168</v>
      </c>
      <c r="EX123" s="269">
        <f t="shared" si="244"/>
        <v>12276931.786117584</v>
      </c>
      <c r="EY123" s="196">
        <f>'Detailed Budget'!$AC$219</f>
        <v>372777004.58170313</v>
      </c>
      <c r="EZ123" s="269">
        <f t="shared" si="344"/>
        <v>172346.11553103622</v>
      </c>
      <c r="FA123" s="196">
        <f>'Detailed Budget'!$AC$222</f>
        <v>93194251.145425782</v>
      </c>
      <c r="FB123" s="269">
        <f t="shared" si="345"/>
        <v>43086.528882759056</v>
      </c>
      <c r="FC123" s="269">
        <f t="shared" si="245"/>
        <v>215432.64441379526</v>
      </c>
      <c r="FD123" s="269"/>
      <c r="FE123" s="269">
        <f t="shared" si="246"/>
        <v>123777386.35202195</v>
      </c>
      <c r="FF123" s="140">
        <f>'Detailed Budget'!$AC$165</f>
        <v>14927760000</v>
      </c>
      <c r="FG123" s="1087">
        <f t="shared" si="259"/>
        <v>168840548.28632781</v>
      </c>
      <c r="FH123" s="269">
        <f t="shared" si="346"/>
        <v>18657579.820474949</v>
      </c>
      <c r="FJ123" s="140">
        <f>'Detailed Budget'!$AC$235</f>
        <v>3623696172</v>
      </c>
      <c r="FK123" s="269">
        <f t="shared" si="347"/>
        <v>4681778</v>
      </c>
      <c r="FL123" s="269">
        <f t="shared" si="260"/>
        <v>4681778</v>
      </c>
      <c r="FO123" s="607"/>
      <c r="FP123" s="607"/>
      <c r="FQ123" s="607"/>
      <c r="FR123" s="269">
        <f>'Detailed Budget'!$AC$257</f>
        <v>13636439388</v>
      </c>
      <c r="FS123" s="269">
        <f t="shared" si="348"/>
        <v>15989376</v>
      </c>
      <c r="FT123" s="269">
        <f t="shared" si="261"/>
        <v>15989376</v>
      </c>
      <c r="FU123" s="269"/>
      <c r="FV123" s="269"/>
      <c r="FW123" s="616"/>
      <c r="FX123" s="140">
        <f>'Detailed Budget'!$AC$278</f>
        <v>1114560000</v>
      </c>
      <c r="FY123" s="269">
        <f t="shared" si="349"/>
        <v>1440000</v>
      </c>
      <c r="FZ123" s="269">
        <f t="shared" si="262"/>
        <v>1440000</v>
      </c>
      <c r="GB123" s="269">
        <f t="shared" si="271"/>
        <v>1179750111.6132054</v>
      </c>
      <c r="GC123" s="887">
        <f t="shared" si="247"/>
        <v>737343.8197582534</v>
      </c>
      <c r="GD123" s="1078">
        <f t="shared" si="272"/>
        <v>6.6199493689889858E-4</v>
      </c>
    </row>
    <row r="124" spans="1:186" hidden="1" outlineLevel="1">
      <c r="A124" s="211"/>
      <c r="B124" s="212"/>
      <c r="C124" s="213"/>
      <c r="D124" s="214"/>
      <c r="E124" s="213"/>
      <c r="F124" s="213"/>
      <c r="G124" s="213"/>
      <c r="H124" s="213"/>
      <c r="I124" s="214"/>
      <c r="J124" s="214"/>
      <c r="K124" s="213"/>
      <c r="L124" s="213"/>
      <c r="M124" s="214"/>
      <c r="N124" s="213"/>
      <c r="O124" s="214"/>
      <c r="P124" s="213"/>
      <c r="Q124" s="214"/>
      <c r="R124" s="214"/>
      <c r="S124" s="214"/>
      <c r="T124" s="214"/>
      <c r="U124" s="215"/>
      <c r="V124" s="845"/>
      <c r="W124" s="216"/>
      <c r="X124" s="217"/>
      <c r="Y124" s="218"/>
      <c r="Z124" s="196"/>
      <c r="AA124" s="218"/>
      <c r="AG124" s="606"/>
      <c r="AJ124" s="196"/>
      <c r="AK124" s="196"/>
      <c r="AL124" s="196"/>
      <c r="AM124" s="196"/>
      <c r="AO124" s="196"/>
      <c r="AP124" s="589"/>
      <c r="AQ124" s="196"/>
      <c r="AR124" s="589"/>
      <c r="AS124"/>
      <c r="AT124" s="589">
        <f t="shared" si="252"/>
        <v>0</v>
      </c>
      <c r="AV124" s="245"/>
      <c r="AX124" s="245"/>
      <c r="AY124" s="245"/>
      <c r="BA124" s="589">
        <f t="shared" si="265"/>
        <v>0</v>
      </c>
      <c r="BK124" s="246">
        <f t="shared" si="266"/>
        <v>0</v>
      </c>
      <c r="BL124" s="196"/>
      <c r="BM124" s="246">
        <f t="shared" si="267"/>
        <v>0</v>
      </c>
      <c r="BN124" s="196"/>
      <c r="BQ124" s="248">
        <f t="shared" si="268"/>
        <v>0</v>
      </c>
      <c r="BR124" s="248"/>
      <c r="BS124" s="248"/>
      <c r="BT124" s="276"/>
      <c r="BV124" s="264">
        <f t="shared" si="269"/>
        <v>0</v>
      </c>
      <c r="BX124" s="247">
        <f t="shared" si="270"/>
        <v>0</v>
      </c>
      <c r="BY124" s="196"/>
      <c r="BZ124" s="620"/>
      <c r="CA124" s="196"/>
      <c r="CB124" s="196"/>
      <c r="CC124" s="196"/>
      <c r="CD124" s="247"/>
      <c r="CF124" s="247"/>
      <c r="CG124" s="196"/>
      <c r="CH124" s="589"/>
      <c r="CI124" s="196"/>
      <c r="CJ124" s="248"/>
      <c r="CK124" s="196"/>
      <c r="CL124" s="589"/>
      <c r="CM124" s="196"/>
      <c r="CN124" s="589"/>
      <c r="CO124" s="196"/>
      <c r="CP124" s="589"/>
      <c r="CQ124" s="196"/>
      <c r="CR124" s="269">
        <f t="shared" si="328"/>
        <v>0</v>
      </c>
      <c r="CS124" s="269"/>
      <c r="CT124" s="607"/>
      <c r="CU124" s="269">
        <f>'Detailed Budget'!$AC$24</f>
        <v>30624985696</v>
      </c>
      <c r="CV124" s="269">
        <f t="shared" si="264"/>
        <v>0</v>
      </c>
      <c r="CW124" s="269"/>
      <c r="CX124" s="269"/>
      <c r="CY124" s="196"/>
      <c r="DC124" s="269"/>
      <c r="DD124" s="207"/>
      <c r="DE124" s="606">
        <v>0</v>
      </c>
      <c r="DF124" s="269">
        <f>'Detailed Budget'!$AC$147</f>
        <v>5913600671000</v>
      </c>
      <c r="DG124" s="269">
        <f t="shared" si="258"/>
        <v>0</v>
      </c>
      <c r="DH124" s="269">
        <f>'Detailed Budget'!$AC$153</f>
        <v>226428026880.00003</v>
      </c>
      <c r="DI124" s="269"/>
      <c r="DJ124" s="269">
        <f>'Detailed Budget'!$AC$156</f>
        <v>27713070000</v>
      </c>
      <c r="DK124" s="269"/>
      <c r="DL124" s="269"/>
      <c r="DM124" s="196"/>
      <c r="DN124" s="269"/>
      <c r="DO124" s="196"/>
      <c r="DP124" s="269"/>
      <c r="DQ124" s="269"/>
      <c r="DR124" s="269"/>
      <c r="DS124" s="269"/>
      <c r="DT124" s="269"/>
      <c r="DU124" s="272"/>
      <c r="DV124" s="269"/>
      <c r="DW124" s="140"/>
      <c r="DX124" s="269"/>
      <c r="DY124" s="607"/>
      <c r="DZ124" s="196"/>
      <c r="EA124" s="269"/>
      <c r="EB124" s="196"/>
      <c r="ED124" s="269"/>
      <c r="EE124" s="196"/>
      <c r="EG124" s="196"/>
      <c r="EI124" s="269"/>
      <c r="EJ124" s="196"/>
      <c r="EL124" s="201"/>
      <c r="EN124" s="269"/>
      <c r="EO124" s="140"/>
      <c r="EQ124" s="196"/>
      <c r="ES124" s="269"/>
      <c r="ET124" s="196"/>
      <c r="EV124" s="140"/>
      <c r="EX124" s="269"/>
      <c r="EY124" s="196"/>
      <c r="FA124" s="196"/>
      <c r="FC124" s="269"/>
      <c r="FD124" s="269"/>
      <c r="FE124" s="269"/>
      <c r="FF124" s="140"/>
      <c r="FG124" s="1087">
        <f t="shared" si="259"/>
        <v>0</v>
      </c>
      <c r="FJ124" s="140">
        <f>'Detailed Budget'!$AC$235</f>
        <v>3623696172</v>
      </c>
      <c r="FL124" s="269">
        <f t="shared" si="260"/>
        <v>0</v>
      </c>
      <c r="FO124" s="607"/>
      <c r="FP124" s="607"/>
      <c r="FQ124" s="607"/>
      <c r="FT124" s="269">
        <f t="shared" si="261"/>
        <v>0</v>
      </c>
      <c r="FU124" s="269"/>
      <c r="FV124" s="269"/>
      <c r="FW124" s="616"/>
      <c r="FX124" s="140">
        <f>'Detailed Budget'!$AC$278</f>
        <v>1114560000</v>
      </c>
      <c r="FY124" s="269"/>
      <c r="FZ124" s="269"/>
      <c r="GB124" s="269">
        <f t="shared" si="271"/>
        <v>0</v>
      </c>
      <c r="GD124" s="1078">
        <f t="shared" si="272"/>
        <v>0</v>
      </c>
    </row>
    <row r="125" spans="1:186" s="210" customFormat="1" collapsed="1">
      <c r="A125" s="203">
        <v>1.7</v>
      </c>
      <c r="B125" s="204" t="s">
        <v>429</v>
      </c>
      <c r="C125" s="205">
        <f>COUNTA(C126:C142)</f>
        <v>17</v>
      </c>
      <c r="D125" s="205">
        <f t="shared" ref="D125:T125" si="370">COUNTA(D126:D142)</f>
        <v>17</v>
      </c>
      <c r="E125" s="205">
        <f t="shared" si="370"/>
        <v>0</v>
      </c>
      <c r="F125" s="205">
        <f t="shared" si="370"/>
        <v>0</v>
      </c>
      <c r="G125" s="205">
        <f t="shared" si="370"/>
        <v>0</v>
      </c>
      <c r="H125" s="205">
        <f t="shared" si="370"/>
        <v>17</v>
      </c>
      <c r="I125" s="205">
        <f t="shared" si="370"/>
        <v>17</v>
      </c>
      <c r="J125" s="205">
        <f t="shared" si="370"/>
        <v>0</v>
      </c>
      <c r="K125" s="205">
        <f t="shared" si="370"/>
        <v>17</v>
      </c>
      <c r="L125" s="205">
        <f t="shared" si="370"/>
        <v>0</v>
      </c>
      <c r="M125" s="205">
        <f t="shared" si="370"/>
        <v>0</v>
      </c>
      <c r="N125" s="205">
        <f t="shared" si="370"/>
        <v>0</v>
      </c>
      <c r="O125" s="205">
        <f t="shared" si="370"/>
        <v>0</v>
      </c>
      <c r="P125" s="205">
        <f t="shared" si="370"/>
        <v>0</v>
      </c>
      <c r="Q125" s="205">
        <f t="shared" si="370"/>
        <v>3</v>
      </c>
      <c r="R125" s="205">
        <f t="shared" si="370"/>
        <v>14</v>
      </c>
      <c r="S125" s="205">
        <f t="shared" si="370"/>
        <v>0</v>
      </c>
      <c r="T125" s="205">
        <f t="shared" si="370"/>
        <v>0</v>
      </c>
      <c r="U125" s="206">
        <f>SUM(C125:T125)</f>
        <v>102</v>
      </c>
      <c r="V125" s="844"/>
      <c r="W125" s="207">
        <f>SUM(W126:W142)</f>
        <v>3206531</v>
      </c>
      <c r="X125" s="208">
        <v>2.94</v>
      </c>
      <c r="Y125" s="209">
        <f t="shared" si="277"/>
        <v>1.0294000000000001</v>
      </c>
      <c r="Z125" s="207">
        <v>19</v>
      </c>
      <c r="AA125" s="209">
        <f t="shared" si="369"/>
        <v>1.7341997303889829</v>
      </c>
      <c r="AB125" s="207">
        <f>SUM(AB126:AB142)</f>
        <v>5560765.1956839161</v>
      </c>
      <c r="AC125" s="210">
        <v>17.100000000000001</v>
      </c>
      <c r="AD125" s="207">
        <f>SUM(AD126:AD142)</f>
        <v>950890.84846194962</v>
      </c>
      <c r="AE125" s="207">
        <f>SUM(AE126:AE142)</f>
        <v>903346.30603885208</v>
      </c>
      <c r="AF125" s="207">
        <f>SUM(AF126:AF142)</f>
        <v>903346.30603885208</v>
      </c>
      <c r="AG125" s="588">
        <f t="shared" si="250"/>
        <v>4.1766767426645333E-2</v>
      </c>
      <c r="AH125" s="207">
        <f>SUM(AH126:AH142)</f>
        <v>278038.2597841958</v>
      </c>
      <c r="AI125" s="633">
        <f t="shared" si="216"/>
        <v>2.1539202716370123E-2</v>
      </c>
      <c r="AJ125" s="207">
        <f>SUM(AJ126:AJ142)</f>
        <v>1228929.1082461455</v>
      </c>
      <c r="AK125" s="207">
        <f t="shared" si="278"/>
        <v>222430.60782735664</v>
      </c>
      <c r="AL125" s="207">
        <f t="shared" si="279"/>
        <v>222430.60782735664</v>
      </c>
      <c r="AM125" s="207">
        <f t="shared" si="229"/>
        <v>444861.21565471328</v>
      </c>
      <c r="AN125" s="632">
        <f t="shared" si="230"/>
        <v>2.153920271637012E-2</v>
      </c>
      <c r="AO125" s="207">
        <f t="shared" si="231"/>
        <v>211309.07743598882</v>
      </c>
      <c r="AP125" s="588">
        <f t="shared" si="251"/>
        <v>2.1539202716370123E-2</v>
      </c>
      <c r="AQ125" s="207">
        <v>1</v>
      </c>
      <c r="AR125" s="588">
        <f>AQ125/37</f>
        <v>2.7027027027027029E-2</v>
      </c>
      <c r="AS125" s="207">
        <f>SUM(AS126:AS142)</f>
        <v>17</v>
      </c>
      <c r="AT125" s="588">
        <f t="shared" si="252"/>
        <v>2.1963824289405683E-2</v>
      </c>
      <c r="AU125" s="207">
        <f>SUM(AU126:AU142)</f>
        <v>207</v>
      </c>
      <c r="AV125" s="892">
        <f t="shared" si="232"/>
        <v>2.3520054539256902E-2</v>
      </c>
      <c r="AW125" s="207">
        <v>58030</v>
      </c>
      <c r="AX125" s="208">
        <f>AW125*0.002</f>
        <v>116.06</v>
      </c>
      <c r="AY125" s="207">
        <f>AX125*100</f>
        <v>11606</v>
      </c>
      <c r="AZ125" s="207">
        <f>SUM(AZ126:AZ142)</f>
        <v>972</v>
      </c>
      <c r="BA125" s="588">
        <f t="shared" si="265"/>
        <v>3.5616137188083985E-2</v>
      </c>
      <c r="BB125" s="207">
        <v>23</v>
      </c>
      <c r="BC125" s="207">
        <v>2</v>
      </c>
      <c r="BD125" s="207">
        <f>BB125+BC125</f>
        <v>25</v>
      </c>
      <c r="BE125" s="633">
        <f>BD125/1306</f>
        <v>1.9142419601837671E-2</v>
      </c>
      <c r="BF125" s="207">
        <f>AZ125+BD125</f>
        <v>997</v>
      </c>
      <c r="BG125" s="588">
        <f>BF125/28597</f>
        <v>3.4863796901772916E-2</v>
      </c>
      <c r="BH125" s="1084">
        <v>37.200000000000003</v>
      </c>
      <c r="BI125" s="207"/>
      <c r="BJ125" s="207"/>
      <c r="BK125" s="892">
        <f t="shared" si="266"/>
        <v>0</v>
      </c>
      <c r="BL125" s="207"/>
      <c r="BM125" s="892">
        <f t="shared" si="267"/>
        <v>0</v>
      </c>
      <c r="BN125" s="207"/>
      <c r="BO125" s="207">
        <v>411280</v>
      </c>
      <c r="BP125" s="207">
        <f>SUM(BP126:BP142)</f>
        <v>411280.03622623824</v>
      </c>
      <c r="BQ125" s="633">
        <f t="shared" si="268"/>
        <v>3.8473332161481924E-2</v>
      </c>
      <c r="BR125" s="207">
        <f>AY125*0.5*24</f>
        <v>139272</v>
      </c>
      <c r="BS125" s="633">
        <f>BR125/2211211</f>
        <v>6.2984491303634066E-2</v>
      </c>
      <c r="BT125" s="634"/>
      <c r="BU125" s="207">
        <f>SUM(BU126:BU142)</f>
        <v>753105.55198186426</v>
      </c>
      <c r="BV125" s="264">
        <f t="shared" si="269"/>
        <v>5.2236827585465592E-2</v>
      </c>
      <c r="BW125" s="207">
        <f>SUM(BW126:BW142)</f>
        <v>3221618.1945890859</v>
      </c>
      <c r="BX125" s="247">
        <f t="shared" si="270"/>
        <v>5.2236828056016933E-2</v>
      </c>
      <c r="BY125" s="207">
        <f>SUM(BY126:BY142)</f>
        <v>3974723.7465709504</v>
      </c>
      <c r="CA125" s="207">
        <f t="shared" ref="CA125:CA142" si="371">AK125*0.85*0.75*12</f>
        <v>1701594.1498792784</v>
      </c>
      <c r="CB125" s="207">
        <f t="shared" ref="CB125:CB142" si="372">AL125*0.85*0.75*2*12</f>
        <v>3403188.2997585568</v>
      </c>
      <c r="CC125" s="207">
        <f t="shared" si="248"/>
        <v>5104782.4496378349</v>
      </c>
      <c r="CD125" s="633">
        <f t="shared" si="236"/>
        <v>2.153920271637012E-2</v>
      </c>
      <c r="CE125" s="207">
        <v>445215</v>
      </c>
      <c r="CF125" s="633">
        <f t="shared" si="237"/>
        <v>1.9225768294459752E-2</v>
      </c>
      <c r="CG125" s="207">
        <f t="shared" ref="CG125:CG142" si="373">AO125*4</f>
        <v>845236.30974395527</v>
      </c>
      <c r="CH125" s="588">
        <f t="shared" si="253"/>
        <v>2.1539202716370123E-2</v>
      </c>
      <c r="CI125" s="207">
        <f t="shared" ref="CI125:CO125" si="374">SUM(CI126:CI142)</f>
        <v>970350.845360721</v>
      </c>
      <c r="CJ125" s="633">
        <f t="shared" si="254"/>
        <v>1.5952565434654151E-2</v>
      </c>
      <c r="CK125" s="207">
        <f t="shared" si="374"/>
        <v>898767.85676849354</v>
      </c>
      <c r="CL125" s="588">
        <f t="shared" si="255"/>
        <v>1.2919972809708035E-2</v>
      </c>
      <c r="CM125" s="207">
        <f t="shared" si="374"/>
        <v>87067.986124471703</v>
      </c>
      <c r="CN125" s="588">
        <f t="shared" si="256"/>
        <v>1.2547486297815316E-2</v>
      </c>
      <c r="CO125" s="207">
        <f t="shared" si="374"/>
        <v>6964.9988900278586</v>
      </c>
      <c r="CP125" s="588">
        <f t="shared" si="257"/>
        <v>1.3134915099266894E-2</v>
      </c>
      <c r="CQ125" s="207">
        <f>'Detailed Budget'!$AC$12</f>
        <v>292876014141.44696</v>
      </c>
      <c r="CR125" s="605">
        <f t="shared" si="328"/>
        <v>0</v>
      </c>
      <c r="CS125" s="605">
        <f>'Detailed Budget'!$AC$16</f>
        <v>10488008800.000002</v>
      </c>
      <c r="CT125" s="605">
        <f t="shared" ref="CT125:CT142" si="375">BM125*CS125</f>
        <v>0</v>
      </c>
      <c r="CU125" s="605">
        <f>'Detailed Budget'!$AC$24</f>
        <v>30624985696</v>
      </c>
      <c r="CV125" s="605">
        <f t="shared" si="264"/>
        <v>0</v>
      </c>
      <c r="CW125" s="605"/>
      <c r="CX125" s="605">
        <f t="shared" si="249"/>
        <v>0</v>
      </c>
      <c r="CY125" s="207">
        <f>'Detailed Budget'!$AC$97</f>
        <v>74629165494.837845</v>
      </c>
      <c r="CZ125" s="605">
        <f t="shared" ref="CZ125:CZ142" si="376">BQ125*CY125</f>
        <v>2871232673.0171018</v>
      </c>
      <c r="DA125" s="605">
        <f>'Detailed Budget'!$AC$100</f>
        <v>14925833098.967569</v>
      </c>
      <c r="DB125" s="605">
        <f t="shared" ref="DB125:DB142" si="377">BQ125*DA125</f>
        <v>574246534.60342038</v>
      </c>
      <c r="DC125" s="605">
        <f t="shared" si="238"/>
        <v>3445479207.620522</v>
      </c>
      <c r="DD125" s="207">
        <f>SUM(DD126:DD142)</f>
        <v>0</v>
      </c>
      <c r="DE125" s="606">
        <v>0</v>
      </c>
      <c r="DF125" s="605">
        <f>'Detailed Budget'!$AC$147</f>
        <v>5913600671000</v>
      </c>
      <c r="DG125" s="605">
        <f t="shared" si="258"/>
        <v>0</v>
      </c>
      <c r="DH125" s="605">
        <f>'Detailed Budget'!$AC$153</f>
        <v>226428026880.00003</v>
      </c>
      <c r="DI125" s="605">
        <f>BS125*DH125</f>
        <v>14261454089.922382</v>
      </c>
      <c r="DJ125" s="605">
        <f>'Detailed Budget'!$AC$156</f>
        <v>27713070000</v>
      </c>
      <c r="DK125" s="605">
        <f>AT125*DJ125</f>
        <v>608685000</v>
      </c>
      <c r="DL125" s="605">
        <f>DI125+DK125</f>
        <v>14870139089.922382</v>
      </c>
      <c r="DM125" s="207">
        <f>'Detailed Budget'!$AC$178</f>
        <v>5622683761.6229038</v>
      </c>
      <c r="DN125" s="605">
        <f>SUM(DN126:DN142)</f>
        <v>293711162.22349268</v>
      </c>
      <c r="DO125" s="605">
        <f>'Detailed Budget'!$AC$179</f>
        <v>26827890683.128094</v>
      </c>
      <c r="DP125" s="605">
        <f>SUM(DP126:DP142)</f>
        <v>1401403912.720181</v>
      </c>
      <c r="DQ125" s="605">
        <f>SUM(DQ126:DQ142)</f>
        <v>1695115074.9436736</v>
      </c>
      <c r="DR125" s="605">
        <f>'Detailed Budget'!$AC$181</f>
        <v>50888946855.375237</v>
      </c>
      <c r="DS125" s="605">
        <f>SUM(DS126:DS142)</f>
        <v>2125466807.8953722</v>
      </c>
      <c r="DT125" s="605">
        <f>SUM(DT126:DT142)</f>
        <v>3820581882.8390446</v>
      </c>
      <c r="DU125" s="634">
        <f>'Detailed Budget'!$AC$192</f>
        <v>77498869683.252869</v>
      </c>
      <c r="DV125" s="605">
        <f t="shared" ref="DV125:DV142" si="378">BZ125*CD125*DU125</f>
        <v>0</v>
      </c>
      <c r="DW125" s="930">
        <f>'Detailed Budget'!$AC$194</f>
        <v>2684962805.4134097</v>
      </c>
      <c r="DX125" s="605">
        <f t="shared" ref="DX125:DX142" si="379">BZ125*AN125*DW125</f>
        <v>0</v>
      </c>
      <c r="DY125" s="605">
        <f t="shared" si="239"/>
        <v>0</v>
      </c>
      <c r="DZ125" s="207">
        <f>'Detailed Budget'!$AC$198</f>
        <v>18732540018.380611</v>
      </c>
      <c r="EA125" s="605">
        <f t="shared" ref="EA125:EA142" si="380">CF125*DZ125</f>
        <v>360147473.96008044</v>
      </c>
      <c r="EB125" s="207">
        <f>'Detailed Budget'!$AC$200</f>
        <v>4683135004.5951529</v>
      </c>
      <c r="EC125" s="605">
        <f t="shared" ref="EC125:EC142" si="381">CF125*EB125</f>
        <v>90036868.490020111</v>
      </c>
      <c r="ED125" s="605">
        <f t="shared" si="240"/>
        <v>450184342.45010054</v>
      </c>
      <c r="EE125" s="207">
        <f>'Detailed Budget'!$AC$161</f>
        <v>251147290106.36197</v>
      </c>
      <c r="EF125" s="605">
        <f t="shared" ref="EF125:EF142" si="382">CH125*EE125</f>
        <v>5409512393.2679472</v>
      </c>
      <c r="EG125" s="207">
        <f>'Detailed Budget'!$AC$163</f>
        <v>15696705631.647623</v>
      </c>
      <c r="EH125" s="605">
        <f t="shared" ref="EH125:EH142" si="383">AP125*EG125</f>
        <v>338094524.5792467</v>
      </c>
      <c r="EI125" s="605">
        <f t="shared" si="241"/>
        <v>5747606917.8471937</v>
      </c>
      <c r="EJ125" s="207">
        <f>'Detailed Budget'!$AC$204</f>
        <v>45012172507.531975</v>
      </c>
      <c r="EK125" s="605">
        <f t="shared" ref="EK125:EK142" si="384">CJ125*EJ125</f>
        <v>718059627.28234446</v>
      </c>
      <c r="EL125" s="207">
        <f>'Detailed Budget'!$AC$206</f>
        <v>11253043126.882994</v>
      </c>
      <c r="EM125" s="605">
        <f t="shared" ref="EM125:EM142" si="385">CJ125*EL125</f>
        <v>179514906.82058612</v>
      </c>
      <c r="EN125" s="605">
        <f t="shared" si="242"/>
        <v>897574534.10293055</v>
      </c>
      <c r="EO125" s="930">
        <f>'Detailed Budget'!$AC$209</f>
        <v>135789361677.54817</v>
      </c>
      <c r="EP125" s="605">
        <f t="shared" ref="EP125:EP142" si="386">CL125*EO125</f>
        <v>1754394860.7215326</v>
      </c>
      <c r="EQ125" s="207">
        <f>'Detailed Budget'!$AC$211</f>
        <v>33947340419.387043</v>
      </c>
      <c r="ER125" s="605">
        <f t="shared" ref="ER125:ER142" si="387">CL125*EQ125</f>
        <v>438598715.18038315</v>
      </c>
      <c r="ES125" s="605">
        <f t="shared" si="243"/>
        <v>2192993575.9019156</v>
      </c>
      <c r="ET125" s="207">
        <f>'Detailed Budget'!$AC$214</f>
        <v>22239745544.201103</v>
      </c>
      <c r="EU125" s="605">
        <f t="shared" ref="EU125:EU142" si="388">CN125*ET125</f>
        <v>279052902.48276258</v>
      </c>
      <c r="EV125" s="930">
        <f>'Detailed Budget'!$AC$217</f>
        <v>5559936386.0502758</v>
      </c>
      <c r="EW125" s="605">
        <f t="shared" ref="EW125:EW142" si="389">CN125*EV125</f>
        <v>69763225.620690644</v>
      </c>
      <c r="EX125" s="605">
        <f t="shared" si="244"/>
        <v>348816128.10345322</v>
      </c>
      <c r="EY125" s="207">
        <f>'Detailed Budget'!$AC$219</f>
        <v>372777004.58170313</v>
      </c>
      <c r="EZ125" s="605">
        <f t="shared" ref="EZ125:EZ142" si="390">CP125*EY125</f>
        <v>4896394.3061396964</v>
      </c>
      <c r="FA125" s="207">
        <f>'Detailed Budget'!$AC$222</f>
        <v>93194251.145425782</v>
      </c>
      <c r="FB125" s="605">
        <f t="shared" ref="FB125:FB142" si="391">CP125*FA125</f>
        <v>1224098.5765349241</v>
      </c>
      <c r="FC125" s="605">
        <f t="shared" si="245"/>
        <v>6120492.8826746205</v>
      </c>
      <c r="FD125" s="605"/>
      <c r="FE125" s="605">
        <f t="shared" si="246"/>
        <v>3445504730.9909739</v>
      </c>
      <c r="FF125" s="930">
        <f>'Detailed Budget'!$AC$165</f>
        <v>14927760000</v>
      </c>
      <c r="FG125" s="1087">
        <f t="shared" si="259"/>
        <v>4699896524.3068361</v>
      </c>
      <c r="FH125" s="605">
        <f t="shared" ref="FH125:FH142" si="392">AV125*FF125</f>
        <v>351101729.34893763</v>
      </c>
      <c r="FI125" s="605"/>
      <c r="FJ125" s="930">
        <f>'Detailed Budget'!$AC$235</f>
        <v>3623696172</v>
      </c>
      <c r="FK125" s="605">
        <f t="shared" ref="FK125:FK142" si="393">AT125*FJ125</f>
        <v>79590226</v>
      </c>
      <c r="FL125" s="605">
        <f t="shared" si="260"/>
        <v>79590226</v>
      </c>
      <c r="FM125" s="605"/>
      <c r="FN125" s="605">
        <f>'Detailed Budget'!$AC$251</f>
        <v>1047595800</v>
      </c>
      <c r="FO125" s="605">
        <f>AR125*FN125</f>
        <v>28313400</v>
      </c>
      <c r="FP125" s="605">
        <f>'Detailed Budget'!$AB$254</f>
        <v>2773297530</v>
      </c>
      <c r="FQ125" s="605">
        <f>BE125*FP125</f>
        <v>53087624.999999993</v>
      </c>
      <c r="FR125" s="605">
        <f>'Detailed Budget'!$AC$257</f>
        <v>13636439388</v>
      </c>
      <c r="FS125" s="605">
        <f t="shared" ref="FS125:FS142" si="394">BA125*FR125</f>
        <v>485677296</v>
      </c>
      <c r="FT125" s="605">
        <f t="shared" si="261"/>
        <v>567078321</v>
      </c>
      <c r="FU125" s="605"/>
      <c r="FV125" s="605">
        <f>'Detailed Budget'!$AC$265</f>
        <v>6277805540</v>
      </c>
      <c r="FW125" s="605">
        <f>AR125*FV125</f>
        <v>169670420</v>
      </c>
      <c r="FX125" s="930">
        <f>'Detailed Budget'!$AC$278</f>
        <v>1114560000</v>
      </c>
      <c r="FY125" s="605">
        <f t="shared" ref="FY125:FY142" si="395">AT125*FX125</f>
        <v>24480000</v>
      </c>
      <c r="FZ125" s="605">
        <f t="shared" si="262"/>
        <v>194150420</v>
      </c>
      <c r="GB125" s="269">
        <f t="shared" si="271"/>
        <v>37671313392.325996</v>
      </c>
      <c r="GC125" s="889">
        <f t="shared" si="247"/>
        <v>23544570.870203748</v>
      </c>
      <c r="GD125" s="1078">
        <f t="shared" si="272"/>
        <v>2.1138560180300081E-2</v>
      </c>
    </row>
    <row r="126" spans="1:186" hidden="1" outlineLevel="1">
      <c r="A126" s="211" t="s">
        <v>430</v>
      </c>
      <c r="B126" s="212" t="s">
        <v>431</v>
      </c>
      <c r="C126" s="213" t="s">
        <v>215</v>
      </c>
      <c r="D126" s="214" t="s">
        <v>215</v>
      </c>
      <c r="E126" s="213"/>
      <c r="F126" s="213"/>
      <c r="G126" s="213"/>
      <c r="H126" s="213" t="s">
        <v>215</v>
      </c>
      <c r="I126" s="214" t="s">
        <v>215</v>
      </c>
      <c r="J126" s="214"/>
      <c r="K126" s="213" t="s">
        <v>215</v>
      </c>
      <c r="L126" s="213"/>
      <c r="M126" s="214"/>
      <c r="N126" s="213"/>
      <c r="O126" s="214"/>
      <c r="P126" s="213"/>
      <c r="Q126" s="214"/>
      <c r="R126" s="214" t="s">
        <v>215</v>
      </c>
      <c r="S126" s="214"/>
      <c r="T126" s="214"/>
      <c r="U126" s="215">
        <f t="shared" ref="U126:U142" si="396">COUNTA(C126:T126)</f>
        <v>6</v>
      </c>
      <c r="V126" s="845" t="s">
        <v>219</v>
      </c>
      <c r="W126" s="216">
        <v>179805</v>
      </c>
      <c r="X126" s="217">
        <v>2.94</v>
      </c>
      <c r="Y126" s="218">
        <f t="shared" si="277"/>
        <v>1.0294000000000001</v>
      </c>
      <c r="Z126" s="196">
        <v>19</v>
      </c>
      <c r="AA126" s="218">
        <f t="shared" si="369"/>
        <v>1.7341997303889829</v>
      </c>
      <c r="AB126" s="196">
        <f t="shared" si="367"/>
        <v>311817.78252259106</v>
      </c>
      <c r="AC126">
        <v>17.100000000000001</v>
      </c>
      <c r="AD126" s="196">
        <f t="shared" si="368"/>
        <v>53320.840811363079</v>
      </c>
      <c r="AE126" s="196">
        <f t="shared" si="280"/>
        <v>50654.798770794921</v>
      </c>
      <c r="AF126" s="196">
        <f t="shared" ref="AF126:AF142" si="397">AE126*BT126</f>
        <v>50654.798770794921</v>
      </c>
      <c r="AG126" s="606">
        <f t="shared" si="250"/>
        <v>2.3420555164281789E-3</v>
      </c>
      <c r="AH126" s="196">
        <f>AB126*0.05</f>
        <v>15590.889126129554</v>
      </c>
      <c r="AI126" s="248">
        <f t="shared" si="216"/>
        <v>1.2078025580968747E-3</v>
      </c>
      <c r="AJ126" s="196">
        <f t="shared" si="228"/>
        <v>68911.729937492637</v>
      </c>
      <c r="AK126" s="196">
        <f t="shared" si="278"/>
        <v>12472.711300903642</v>
      </c>
      <c r="AL126" s="196">
        <f t="shared" si="279"/>
        <v>12472.711300903642</v>
      </c>
      <c r="AM126" s="196">
        <f t="shared" si="229"/>
        <v>24945.422601807284</v>
      </c>
      <c r="AN126" s="627">
        <f t="shared" si="230"/>
        <v>1.2078025580968745E-3</v>
      </c>
      <c r="AO126" s="196">
        <f t="shared" si="231"/>
        <v>11849.07573585846</v>
      </c>
      <c r="AP126" s="589">
        <f t="shared" si="251"/>
        <v>1.2078025580968745E-3</v>
      </c>
      <c r="AQ126" s="196"/>
      <c r="AR126" s="589"/>
      <c r="AS126">
        <v>1</v>
      </c>
      <c r="AT126" s="589">
        <f t="shared" si="252"/>
        <v>1.2919896640826874E-3</v>
      </c>
      <c r="AU126" s="196">
        <v>11</v>
      </c>
      <c r="AV126" s="245">
        <f t="shared" si="232"/>
        <v>1.2498579706851495E-3</v>
      </c>
      <c r="AX126" s="245"/>
      <c r="AY126" s="245"/>
      <c r="AZ126" s="196">
        <v>62</v>
      </c>
      <c r="BA126" s="589">
        <f t="shared" si="265"/>
        <v>2.2718112198160567E-3</v>
      </c>
      <c r="BI126" s="196">
        <v>0</v>
      </c>
      <c r="BK126" s="246">
        <f t="shared" si="266"/>
        <v>0</v>
      </c>
      <c r="BL126" s="196"/>
      <c r="BM126" s="246">
        <f t="shared" si="267"/>
        <v>0</v>
      </c>
      <c r="BN126" s="196">
        <v>1</v>
      </c>
      <c r="BO126" s="196">
        <f t="shared" ref="BO126:BO142" si="398">AJ126/1228929*411280</f>
        <v>23062.370803107398</v>
      </c>
      <c r="BP126" s="196">
        <f t="shared" si="233"/>
        <v>23062.370803107398</v>
      </c>
      <c r="BQ126" s="248">
        <f t="shared" si="268"/>
        <v>2.1573773929817793E-3</v>
      </c>
      <c r="BR126" s="248"/>
      <c r="BS126" s="248"/>
      <c r="BT126" s="276">
        <v>1</v>
      </c>
      <c r="BU126" s="196">
        <f>AD126*BT126*0.18*4*1.1</f>
        <v>42230.105922599563</v>
      </c>
      <c r="BV126" s="264">
        <f t="shared" si="269"/>
        <v>2.9291601372338646E-3</v>
      </c>
      <c r="BW126" s="196">
        <f>AD126*BT126*0.77*4*1.1</f>
        <v>180651.00866889814</v>
      </c>
      <c r="BX126" s="247">
        <f t="shared" si="270"/>
        <v>2.9291601636198513E-3</v>
      </c>
      <c r="BY126" s="196">
        <f t="shared" si="276"/>
        <v>222881.1145914977</v>
      </c>
      <c r="BZ126" s="620">
        <v>0</v>
      </c>
      <c r="CA126" s="196">
        <f t="shared" si="371"/>
        <v>95416.241451912851</v>
      </c>
      <c r="CB126" s="196">
        <f t="shared" si="372"/>
        <v>190832.4829038257</v>
      </c>
      <c r="CC126" s="196">
        <f t="shared" si="248"/>
        <v>286248.72435573855</v>
      </c>
      <c r="CD126" s="247">
        <f t="shared" si="236"/>
        <v>1.2078025580968745E-3</v>
      </c>
      <c r="CE126" s="196">
        <f t="shared" ref="CE126:CE142" si="399">AH126/278038*445215</f>
        <v>24965.284249957807</v>
      </c>
      <c r="CF126" s="247">
        <f t="shared" si="237"/>
        <v>1.0780786145907354E-3</v>
      </c>
      <c r="CG126" s="196">
        <f t="shared" si="373"/>
        <v>47396.302943433839</v>
      </c>
      <c r="CH126" s="589">
        <f t="shared" si="253"/>
        <v>1.2078025580968745E-3</v>
      </c>
      <c r="CI126" s="196">
        <f t="shared" ref="CI126:CI142" si="400">AD126/950891*970351</f>
        <v>54412.052698097861</v>
      </c>
      <c r="CJ126" s="248">
        <f t="shared" si="254"/>
        <v>8.9453400824067799E-4</v>
      </c>
      <c r="CK126" s="196">
        <f t="shared" ref="CK126:CK142" si="401">AD126/950891*898768</f>
        <v>50398.063978255312</v>
      </c>
      <c r="CL126" s="589">
        <f t="shared" si="255"/>
        <v>7.2448253612690896E-4</v>
      </c>
      <c r="CM126" s="196">
        <f t="shared" ref="CM126:CM142" si="402">AD126/950891*87068</f>
        <v>4882.3040367021667</v>
      </c>
      <c r="CN126" s="589">
        <f t="shared" si="256"/>
        <v>7.0359549737042393E-4</v>
      </c>
      <c r="CO126" s="196">
        <f t="shared" ref="CO126:CO142" si="403">AD126/950891*6965</f>
        <v>390.55965010831295</v>
      </c>
      <c r="CP126" s="589">
        <f t="shared" si="257"/>
        <v>7.3653534284361609E-4</v>
      </c>
      <c r="CQ126" s="196">
        <f>'Detailed Budget'!$AC$12</f>
        <v>292876014141.44696</v>
      </c>
      <c r="CR126" s="269">
        <f t="shared" si="328"/>
        <v>0</v>
      </c>
      <c r="CS126" s="269">
        <f>'Detailed Budget'!$AC$16</f>
        <v>10488008800.000002</v>
      </c>
      <c r="CT126" s="607">
        <f t="shared" si="375"/>
        <v>0</v>
      </c>
      <c r="CU126" s="269">
        <f>'Detailed Budget'!$AC$24</f>
        <v>30624985696</v>
      </c>
      <c r="CV126" s="269">
        <f t="shared" si="264"/>
        <v>0</v>
      </c>
      <c r="CW126" s="269"/>
      <c r="CX126" s="269">
        <f t="shared" si="249"/>
        <v>0</v>
      </c>
      <c r="CY126" s="196">
        <f>'Detailed Budget'!$AC$97</f>
        <v>74629165494.837845</v>
      </c>
      <c r="CZ126" s="269">
        <f t="shared" si="376"/>
        <v>161003274.49565902</v>
      </c>
      <c r="DA126" s="269">
        <f>'Detailed Budget'!$AC$100</f>
        <v>14925833098.967569</v>
      </c>
      <c r="DB126" s="269">
        <f t="shared" si="377"/>
        <v>32200654.899131808</v>
      </c>
      <c r="DC126" s="269">
        <f t="shared" si="238"/>
        <v>193203929.39479083</v>
      </c>
      <c r="DD126" s="207">
        <v>0</v>
      </c>
      <c r="DE126" s="606">
        <v>0</v>
      </c>
      <c r="DF126" s="269">
        <f>'Detailed Budget'!$AC$147</f>
        <v>5913600671000</v>
      </c>
      <c r="DG126" s="269">
        <f t="shared" si="258"/>
        <v>0</v>
      </c>
      <c r="DH126" s="269">
        <f>'Detailed Budget'!$AC$153</f>
        <v>226428026880.00003</v>
      </c>
      <c r="DI126" s="269"/>
      <c r="DJ126" s="269">
        <f>'Detailed Budget'!$AC$156</f>
        <v>27713070000</v>
      </c>
      <c r="DK126" s="269"/>
      <c r="DL126" s="269"/>
      <c r="DM126" s="196">
        <f>'Detailed Budget'!$AC$178</f>
        <v>5622683761.6229038</v>
      </c>
      <c r="DN126" s="269">
        <f t="shared" ref="DN126:DN142" si="404">BT126*BV126*DM126</f>
        <v>16469741.138817966</v>
      </c>
      <c r="DO126" s="196">
        <f>'Detailed Budget'!$AC$179</f>
        <v>26827890683.128094</v>
      </c>
      <c r="DP126" s="269">
        <f t="shared" ref="DP126:DP142" si="405">BT126*BX126*DO126</f>
        <v>78583188.662966967</v>
      </c>
      <c r="DQ126" s="269">
        <f t="shared" si="273"/>
        <v>95052929.801784933</v>
      </c>
      <c r="DR126" s="269">
        <f>'Detailed Budget'!$AC$181</f>
        <v>50888946855.375237</v>
      </c>
      <c r="DS126" s="269">
        <f t="shared" ref="DS126:DS142" si="406">BT126*AG126*DR126</f>
        <v>119184738.70785201</v>
      </c>
      <c r="DT126" s="269">
        <f t="shared" ref="DT126:DT142" si="407">DQ126+DS126</f>
        <v>214237668.50963694</v>
      </c>
      <c r="DU126" s="272">
        <f>'Detailed Budget'!$AC$192</f>
        <v>77498869683.252869</v>
      </c>
      <c r="DV126" s="269">
        <f t="shared" si="378"/>
        <v>0</v>
      </c>
      <c r="DW126" s="140">
        <f>'Detailed Budget'!$AC$194</f>
        <v>2684962805.4134097</v>
      </c>
      <c r="DX126" s="269">
        <f t="shared" si="379"/>
        <v>0</v>
      </c>
      <c r="DY126" s="607">
        <f t="shared" si="239"/>
        <v>0</v>
      </c>
      <c r="DZ126" s="196">
        <f>'Detailed Budget'!$AC$198</f>
        <v>18732540018.380611</v>
      </c>
      <c r="EA126" s="269">
        <f t="shared" si="380"/>
        <v>20195150.790781278</v>
      </c>
      <c r="EB126" s="196">
        <f>'Detailed Budget'!$AC$200</f>
        <v>4683135004.5951529</v>
      </c>
      <c r="EC126" s="269">
        <f t="shared" si="381"/>
        <v>5048787.6976953195</v>
      </c>
      <c r="ED126" s="269">
        <f t="shared" si="240"/>
        <v>25243938.488476597</v>
      </c>
      <c r="EE126" s="196">
        <f>'Detailed Budget'!$AC$161</f>
        <v>251147290106.36197</v>
      </c>
      <c r="EF126" s="269">
        <f t="shared" si="382"/>
        <v>303336339.44956183</v>
      </c>
      <c r="EG126" s="196">
        <f>'Detailed Budget'!$AC$163</f>
        <v>15696705631.647623</v>
      </c>
      <c r="EH126" s="269">
        <f t="shared" si="383"/>
        <v>18958521.215597615</v>
      </c>
      <c r="EI126" s="269">
        <f t="shared" si="241"/>
        <v>322294860.66515946</v>
      </c>
      <c r="EJ126" s="196">
        <f>'Detailed Budget'!$AC$204</f>
        <v>45012172507.531975</v>
      </c>
      <c r="EK126" s="269">
        <f t="shared" si="384"/>
        <v>40264919.092783429</v>
      </c>
      <c r="EL126" s="201">
        <f>'Detailed Budget'!$AC$206</f>
        <v>11253043126.882994</v>
      </c>
      <c r="EM126" s="269">
        <f t="shared" si="385"/>
        <v>10066229.773195857</v>
      </c>
      <c r="EN126" s="269">
        <f t="shared" si="242"/>
        <v>50331148.865979284</v>
      </c>
      <c r="EO126" s="140">
        <f>'Detailed Budget'!$AC$209</f>
        <v>135789361677.54817</v>
      </c>
      <c r="EP126" s="269">
        <f t="shared" si="386"/>
        <v>98377021.127204195</v>
      </c>
      <c r="EQ126" s="196">
        <f>'Detailed Budget'!$AC$211</f>
        <v>33947340419.387043</v>
      </c>
      <c r="ER126" s="269">
        <f t="shared" si="387"/>
        <v>24594255.281801049</v>
      </c>
      <c r="ES126" s="269">
        <f t="shared" si="243"/>
        <v>122971276.40900524</v>
      </c>
      <c r="ET126" s="196">
        <f>'Detailed Budget'!$AC$214</f>
        <v>22239745544.201103</v>
      </c>
      <c r="EU126" s="269">
        <f t="shared" si="388"/>
        <v>15647784.827563845</v>
      </c>
      <c r="EV126" s="140">
        <f>'Detailed Budget'!$AC$217</f>
        <v>5559936386.0502758</v>
      </c>
      <c r="EW126" s="269">
        <f t="shared" si="389"/>
        <v>3911946.2068909612</v>
      </c>
      <c r="EX126" s="269">
        <f t="shared" si="244"/>
        <v>19559731.034454808</v>
      </c>
      <c r="EY126" s="196">
        <f>'Detailed Budget'!$AC$219</f>
        <v>372777004.58170313</v>
      </c>
      <c r="EZ126" s="269">
        <f t="shared" si="390"/>
        <v>274563.43887380097</v>
      </c>
      <c r="FA126" s="196">
        <f>'Detailed Budget'!$AC$222</f>
        <v>93194251.145425782</v>
      </c>
      <c r="FB126" s="269">
        <f t="shared" si="391"/>
        <v>68640.859718450243</v>
      </c>
      <c r="FC126" s="269">
        <f t="shared" si="245"/>
        <v>343204.2985922512</v>
      </c>
      <c r="FD126" s="269"/>
      <c r="FE126" s="269">
        <f t="shared" si="246"/>
        <v>193205360.6080316</v>
      </c>
      <c r="FF126" s="140">
        <f>'Detailed Budget'!$AC$165</f>
        <v>14927760000</v>
      </c>
      <c r="FG126" s="1087">
        <f t="shared" si="259"/>
        <v>263544900.87667668</v>
      </c>
      <c r="FH126" s="269">
        <f t="shared" si="392"/>
        <v>18657579.820474949</v>
      </c>
      <c r="FJ126" s="140">
        <f>'Detailed Budget'!$AC$235</f>
        <v>3623696172</v>
      </c>
      <c r="FK126" s="269">
        <f t="shared" si="393"/>
        <v>4681778</v>
      </c>
      <c r="FL126" s="269">
        <f t="shared" si="260"/>
        <v>4681778</v>
      </c>
      <c r="FO126" s="607"/>
      <c r="FP126" s="607"/>
      <c r="FQ126" s="607"/>
      <c r="FR126" s="269">
        <f>'Detailed Budget'!$AC$257</f>
        <v>13636439388</v>
      </c>
      <c r="FS126" s="269">
        <f t="shared" si="394"/>
        <v>30979416.000000004</v>
      </c>
      <c r="FT126" s="269">
        <f t="shared" si="261"/>
        <v>30979416.000000004</v>
      </c>
      <c r="FU126" s="269"/>
      <c r="FV126" s="269"/>
      <c r="FW126" s="616"/>
      <c r="FX126" s="140">
        <f>'Detailed Budget'!$AC$278</f>
        <v>1114560000</v>
      </c>
      <c r="FY126" s="269">
        <f t="shared" si="395"/>
        <v>1440000</v>
      </c>
      <c r="FZ126" s="269">
        <f t="shared" si="262"/>
        <v>1440000</v>
      </c>
      <c r="GB126" s="269">
        <f t="shared" si="271"/>
        <v>1267489432.3632469</v>
      </c>
      <c r="GC126" s="887">
        <f t="shared" si="247"/>
        <v>792180.89522702934</v>
      </c>
      <c r="GD126" s="1078">
        <f t="shared" si="272"/>
        <v>7.1122823260425145E-4</v>
      </c>
    </row>
    <row r="127" spans="1:186" hidden="1" outlineLevel="1">
      <c r="A127" s="211" t="s">
        <v>432</v>
      </c>
      <c r="B127" s="212" t="s">
        <v>433</v>
      </c>
      <c r="C127" s="213" t="s">
        <v>215</v>
      </c>
      <c r="D127" s="214" t="s">
        <v>215</v>
      </c>
      <c r="E127" s="213"/>
      <c r="F127" s="213"/>
      <c r="G127" s="213"/>
      <c r="H127" s="213" t="s">
        <v>215</v>
      </c>
      <c r="I127" s="214" t="s">
        <v>215</v>
      </c>
      <c r="J127" s="214"/>
      <c r="K127" s="213" t="s">
        <v>215</v>
      </c>
      <c r="L127" s="213"/>
      <c r="M127" s="214"/>
      <c r="N127" s="213"/>
      <c r="O127" s="214"/>
      <c r="P127" s="213"/>
      <c r="Q127" s="214"/>
      <c r="R127" s="214" t="s">
        <v>215</v>
      </c>
      <c r="S127" s="214"/>
      <c r="T127" s="214"/>
      <c r="U127" s="215">
        <f t="shared" si="396"/>
        <v>6</v>
      </c>
      <c r="V127" s="845" t="s">
        <v>219</v>
      </c>
      <c r="W127" s="216">
        <v>189834</v>
      </c>
      <c r="X127" s="217">
        <v>2.94</v>
      </c>
      <c r="Y127" s="218">
        <f t="shared" si="277"/>
        <v>1.0294000000000001</v>
      </c>
      <c r="Z127" s="196">
        <v>19</v>
      </c>
      <c r="AA127" s="218">
        <f t="shared" si="369"/>
        <v>1.7341997303889829</v>
      </c>
      <c r="AB127" s="196">
        <f t="shared" si="367"/>
        <v>329210.07161866216</v>
      </c>
      <c r="AC127">
        <v>17.100000000000001</v>
      </c>
      <c r="AD127" s="196">
        <f t="shared" si="368"/>
        <v>56294.922246791233</v>
      </c>
      <c r="AE127" s="196">
        <f t="shared" si="280"/>
        <v>53480.176134451671</v>
      </c>
      <c r="AF127" s="196">
        <f t="shared" si="397"/>
        <v>53480.176134451671</v>
      </c>
      <c r="AG127" s="606">
        <f t="shared" si="250"/>
        <v>2.4726885620846299E-3</v>
      </c>
      <c r="AH127" s="196">
        <f t="shared" ref="AH127:AH142" si="408">AB127*0.05</f>
        <v>16460.503580933109</v>
      </c>
      <c r="AI127" s="248">
        <f t="shared" ref="AI127:AI188" si="409">AH127/12908475</f>
        <v>1.2751702723159094E-3</v>
      </c>
      <c r="AJ127" s="196">
        <f t="shared" si="228"/>
        <v>72755.425827724335</v>
      </c>
      <c r="AK127" s="196">
        <f t="shared" si="278"/>
        <v>13168.402864746487</v>
      </c>
      <c r="AL127" s="196">
        <f t="shared" si="279"/>
        <v>13168.402864746487</v>
      </c>
      <c r="AM127" s="196">
        <f t="shared" si="229"/>
        <v>26336.805729492975</v>
      </c>
      <c r="AN127" s="627">
        <f t="shared" si="230"/>
        <v>1.2751702723159094E-3</v>
      </c>
      <c r="AO127" s="196">
        <f t="shared" si="231"/>
        <v>12509.982721509161</v>
      </c>
      <c r="AP127" s="589">
        <f t="shared" si="251"/>
        <v>1.2751702723159091E-3</v>
      </c>
      <c r="AQ127" s="196"/>
      <c r="AR127" s="589"/>
      <c r="AS127">
        <v>1</v>
      </c>
      <c r="AT127" s="589">
        <f t="shared" si="252"/>
        <v>1.2919896640826874E-3</v>
      </c>
      <c r="AU127" s="196">
        <v>16</v>
      </c>
      <c r="AV127" s="245">
        <f t="shared" si="232"/>
        <v>1.81797523008749E-3</v>
      </c>
      <c r="AX127" s="245"/>
      <c r="AY127" s="245"/>
      <c r="AZ127" s="196">
        <v>48</v>
      </c>
      <c r="BA127" s="589">
        <f t="shared" si="265"/>
        <v>1.7588215895350116E-3</v>
      </c>
      <c r="BI127" s="196">
        <v>0</v>
      </c>
      <c r="BK127" s="246">
        <f t="shared" si="266"/>
        <v>0</v>
      </c>
      <c r="BL127" s="196"/>
      <c r="BM127" s="246">
        <f t="shared" si="267"/>
        <v>0</v>
      </c>
      <c r="BN127" s="196">
        <v>1</v>
      </c>
      <c r="BO127" s="196">
        <f t="shared" si="398"/>
        <v>24348.722777659626</v>
      </c>
      <c r="BP127" s="196">
        <f t="shared" si="233"/>
        <v>24348.722777659626</v>
      </c>
      <c r="BQ127" s="248">
        <f t="shared" si="268"/>
        <v>2.2777096299841661E-3</v>
      </c>
      <c r="BR127" s="248"/>
      <c r="BS127" s="248"/>
      <c r="BT127" s="276">
        <v>1</v>
      </c>
      <c r="BU127" s="196">
        <f t="shared" ref="BU127:BU142" si="410">AD127*BT127*0.18*4*1.1</f>
        <v>44585.578419458652</v>
      </c>
      <c r="BV127" s="264">
        <f t="shared" si="269"/>
        <v>3.0925401712502613E-3</v>
      </c>
      <c r="BW127" s="196">
        <f t="shared" ref="BW127:BW142" si="411">AD127*BT127*0.77*4*1.1</f>
        <v>190727.19657212874</v>
      </c>
      <c r="BX127" s="247">
        <f t="shared" si="270"/>
        <v>3.0925401991079827E-3</v>
      </c>
      <c r="BY127" s="196">
        <f t="shared" si="276"/>
        <v>235312.77499158739</v>
      </c>
      <c r="BZ127" s="620">
        <v>0</v>
      </c>
      <c r="CA127" s="196">
        <f t="shared" si="371"/>
        <v>100738.28191531062</v>
      </c>
      <c r="CB127" s="196">
        <f t="shared" si="372"/>
        <v>201476.56383062125</v>
      </c>
      <c r="CC127" s="196">
        <f t="shared" si="248"/>
        <v>302214.84574593185</v>
      </c>
      <c r="CD127" s="247">
        <f t="shared" si="236"/>
        <v>1.2751702723159094E-3</v>
      </c>
      <c r="CE127" s="196">
        <f t="shared" si="399"/>
        <v>26357.775202616675</v>
      </c>
      <c r="CF127" s="247">
        <f t="shared" si="237"/>
        <v>1.1382107044977487E-3</v>
      </c>
      <c r="CG127" s="196">
        <f t="shared" si="373"/>
        <v>50039.930886036644</v>
      </c>
      <c r="CH127" s="589">
        <f t="shared" si="253"/>
        <v>1.2751702723159091E-3</v>
      </c>
      <c r="CI127" s="196">
        <f t="shared" si="400"/>
        <v>57446.998759159695</v>
      </c>
      <c r="CJ127" s="248">
        <f t="shared" si="254"/>
        <v>9.4442851378082288E-4</v>
      </c>
      <c r="CK127" s="196">
        <f t="shared" si="401"/>
        <v>53209.121421807613</v>
      </c>
      <c r="CL127" s="589">
        <f t="shared" si="255"/>
        <v>7.6489206508782075E-4</v>
      </c>
      <c r="CM127" s="196">
        <f t="shared" si="402"/>
        <v>5154.6247573945066</v>
      </c>
      <c r="CN127" s="589">
        <f t="shared" si="256"/>
        <v>7.4284000805215143E-4</v>
      </c>
      <c r="CO127" s="196">
        <f t="shared" si="403"/>
        <v>412.34393158511432</v>
      </c>
      <c r="CP127" s="589">
        <f t="shared" si="257"/>
        <v>7.776171423118101E-4</v>
      </c>
      <c r="CQ127" s="196">
        <f>'Detailed Budget'!$AC$12</f>
        <v>292876014141.44696</v>
      </c>
      <c r="CR127" s="269">
        <f t="shared" si="328"/>
        <v>0</v>
      </c>
      <c r="CS127" s="269">
        <f>'Detailed Budget'!$AC$16</f>
        <v>10488008800.000002</v>
      </c>
      <c r="CT127" s="607">
        <f t="shared" si="375"/>
        <v>0</v>
      </c>
      <c r="CU127" s="269">
        <f>'Detailed Budget'!$AC$24</f>
        <v>30624985696</v>
      </c>
      <c r="CV127" s="269">
        <f t="shared" si="264"/>
        <v>0</v>
      </c>
      <c r="CW127" s="269"/>
      <c r="CX127" s="269">
        <f t="shared" si="249"/>
        <v>0</v>
      </c>
      <c r="CY127" s="196">
        <f>'Detailed Budget'!$AC$97</f>
        <v>74629165494.837845</v>
      </c>
      <c r="CZ127" s="269">
        <f t="shared" si="376"/>
        <v>169983568.92527419</v>
      </c>
      <c r="DA127" s="269">
        <f>'Detailed Budget'!$AC$100</f>
        <v>14925833098.967569</v>
      </c>
      <c r="DB127" s="269">
        <f t="shared" si="377"/>
        <v>33996713.78505484</v>
      </c>
      <c r="DC127" s="269">
        <f t="shared" si="238"/>
        <v>203980282.71032903</v>
      </c>
      <c r="DD127" s="207">
        <v>0</v>
      </c>
      <c r="DE127" s="606">
        <v>0</v>
      </c>
      <c r="DF127" s="269">
        <f>'Detailed Budget'!$AC$147</f>
        <v>5913600671000</v>
      </c>
      <c r="DG127" s="269">
        <f t="shared" si="258"/>
        <v>0</v>
      </c>
      <c r="DH127" s="269">
        <f>'Detailed Budget'!$AC$153</f>
        <v>226428026880.00003</v>
      </c>
      <c r="DI127" s="269"/>
      <c r="DJ127" s="269">
        <f>'Detailed Budget'!$AC$156</f>
        <v>27713070000</v>
      </c>
      <c r="DK127" s="269"/>
      <c r="DL127" s="269"/>
      <c r="DM127" s="196">
        <f>'Detailed Budget'!$AC$178</f>
        <v>5622683761.6229038</v>
      </c>
      <c r="DN127" s="269">
        <f t="shared" si="404"/>
        <v>17388375.403055359</v>
      </c>
      <c r="DO127" s="196">
        <f>'Detailed Budget'!$AC$179</f>
        <v>26827890683.128094</v>
      </c>
      <c r="DP127" s="269">
        <f t="shared" si="405"/>
        <v>82966330.394848153</v>
      </c>
      <c r="DQ127" s="269">
        <f t="shared" si="273"/>
        <v>100354705.79790351</v>
      </c>
      <c r="DR127" s="269">
        <f>'Detailed Budget'!$AC$181</f>
        <v>50888946855.375237</v>
      </c>
      <c r="DS127" s="269">
        <f t="shared" si="406"/>
        <v>125832516.82581894</v>
      </c>
      <c r="DT127" s="269">
        <f t="shared" si="407"/>
        <v>226187222.62372243</v>
      </c>
      <c r="DU127" s="272">
        <f>'Detailed Budget'!$AC$192</f>
        <v>77498869683.252869</v>
      </c>
      <c r="DV127" s="269">
        <f t="shared" si="378"/>
        <v>0</v>
      </c>
      <c r="DW127" s="140">
        <f>'Detailed Budget'!$AC$194</f>
        <v>2684962805.4134097</v>
      </c>
      <c r="DX127" s="269">
        <f t="shared" si="379"/>
        <v>0</v>
      </c>
      <c r="DY127" s="607">
        <f t="shared" si="239"/>
        <v>0</v>
      </c>
      <c r="DZ127" s="196">
        <f>'Detailed Budget'!$AC$198</f>
        <v>18732540018.380611</v>
      </c>
      <c r="EA127" s="269">
        <f t="shared" si="380"/>
        <v>21321577.571353268</v>
      </c>
      <c r="EB127" s="196">
        <f>'Detailed Budget'!$AC$200</f>
        <v>4683135004.5951529</v>
      </c>
      <c r="EC127" s="269">
        <f t="shared" si="381"/>
        <v>5330394.392838317</v>
      </c>
      <c r="ED127" s="269">
        <f t="shared" si="240"/>
        <v>26651971.964191586</v>
      </c>
      <c r="EE127" s="196">
        <f>'Detailed Budget'!$AC$161</f>
        <v>251147290106.36197</v>
      </c>
      <c r="EF127" s="269">
        <f t="shared" si="382"/>
        <v>320255558.31633222</v>
      </c>
      <c r="EG127" s="196">
        <f>'Detailed Budget'!$AC$163</f>
        <v>15696705631.647623</v>
      </c>
      <c r="EH127" s="269">
        <f t="shared" si="383"/>
        <v>20015972.394770764</v>
      </c>
      <c r="EI127" s="269">
        <f t="shared" si="241"/>
        <v>340271530.71110296</v>
      </c>
      <c r="EJ127" s="196">
        <f>'Detailed Budget'!$AC$204</f>
        <v>45012172507.531975</v>
      </c>
      <c r="EK127" s="269">
        <f t="shared" si="384"/>
        <v>42510779.18333444</v>
      </c>
      <c r="EL127" s="201">
        <f>'Detailed Budget'!$AC$206</f>
        <v>11253043126.882994</v>
      </c>
      <c r="EM127" s="269">
        <f t="shared" si="385"/>
        <v>10627694.79583361</v>
      </c>
      <c r="EN127" s="269">
        <f t="shared" si="242"/>
        <v>53138473.97916805</v>
      </c>
      <c r="EO127" s="140">
        <f>'Detailed Budget'!$AC$209</f>
        <v>135789361677.54817</v>
      </c>
      <c r="EP127" s="269">
        <f t="shared" si="386"/>
        <v>103864205.27049682</v>
      </c>
      <c r="EQ127" s="196">
        <f>'Detailed Budget'!$AC$211</f>
        <v>33947340419.387043</v>
      </c>
      <c r="ER127" s="269">
        <f t="shared" si="387"/>
        <v>25966051.317624204</v>
      </c>
      <c r="ES127" s="269">
        <f t="shared" si="243"/>
        <v>129830256.58812103</v>
      </c>
      <c r="ET127" s="196">
        <f>'Detailed Budget'!$AC$214</f>
        <v>22239745544.201103</v>
      </c>
      <c r="EU127" s="269">
        <f t="shared" si="388"/>
        <v>16520572.759132147</v>
      </c>
      <c r="EV127" s="140">
        <f>'Detailed Budget'!$AC$217</f>
        <v>5559936386.0502758</v>
      </c>
      <c r="EW127" s="269">
        <f t="shared" si="389"/>
        <v>4130143.1897830367</v>
      </c>
      <c r="EX127" s="269">
        <f t="shared" si="244"/>
        <v>20650715.948915184</v>
      </c>
      <c r="EY127" s="196">
        <f>'Detailed Budget'!$AC$219</f>
        <v>372777004.58170313</v>
      </c>
      <c r="EZ127" s="269">
        <f t="shared" si="390"/>
        <v>289877.78902238054</v>
      </c>
      <c r="FA127" s="196">
        <f>'Detailed Budget'!$AC$222</f>
        <v>93194251.145425782</v>
      </c>
      <c r="FB127" s="269">
        <f t="shared" si="391"/>
        <v>72469.447255595136</v>
      </c>
      <c r="FC127" s="269">
        <f t="shared" si="245"/>
        <v>362347.23627797567</v>
      </c>
      <c r="FD127" s="269"/>
      <c r="FE127" s="269">
        <f t="shared" si="246"/>
        <v>203981793.75248224</v>
      </c>
      <c r="FF127" s="140">
        <f>'Detailed Budget'!$AC$165</f>
        <v>14927760000</v>
      </c>
      <c r="FG127" s="1087">
        <f t="shared" si="259"/>
        <v>278244669.01934338</v>
      </c>
      <c r="FH127" s="269">
        <f t="shared" si="392"/>
        <v>27138297.920690831</v>
      </c>
      <c r="FJ127" s="140">
        <f>'Detailed Budget'!$AC$235</f>
        <v>3623696172</v>
      </c>
      <c r="FK127" s="269">
        <f t="shared" si="393"/>
        <v>4681778</v>
      </c>
      <c r="FL127" s="269">
        <f t="shared" si="260"/>
        <v>4681778</v>
      </c>
      <c r="FO127" s="607"/>
      <c r="FP127" s="607"/>
      <c r="FQ127" s="607"/>
      <c r="FR127" s="269">
        <f>'Detailed Budget'!$AC$257</f>
        <v>13636439388</v>
      </c>
      <c r="FS127" s="269">
        <f t="shared" si="394"/>
        <v>23984064</v>
      </c>
      <c r="FT127" s="269">
        <f t="shared" si="261"/>
        <v>23984064</v>
      </c>
      <c r="FU127" s="269"/>
      <c r="FV127" s="269"/>
      <c r="FW127" s="616"/>
      <c r="FX127" s="140">
        <f>'Detailed Budget'!$AC$278</f>
        <v>1114560000</v>
      </c>
      <c r="FY127" s="269">
        <f t="shared" si="395"/>
        <v>1440000</v>
      </c>
      <c r="FZ127" s="269">
        <f t="shared" si="262"/>
        <v>1440000</v>
      </c>
      <c r="GB127" s="269">
        <f t="shared" si="271"/>
        <v>1336561610.7018623</v>
      </c>
      <c r="GC127" s="887">
        <f t="shared" si="247"/>
        <v>835351.00668866397</v>
      </c>
      <c r="GD127" s="1078">
        <f t="shared" si="272"/>
        <v>7.4998680689098373E-4</v>
      </c>
    </row>
    <row r="128" spans="1:186" hidden="1" outlineLevel="1">
      <c r="A128" s="211" t="s">
        <v>434</v>
      </c>
      <c r="B128" s="212" t="s">
        <v>435</v>
      </c>
      <c r="C128" s="213" t="s">
        <v>215</v>
      </c>
      <c r="D128" s="214" t="s">
        <v>215</v>
      </c>
      <c r="E128" s="213"/>
      <c r="F128" s="213"/>
      <c r="G128" s="213"/>
      <c r="H128" s="213" t="s">
        <v>215</v>
      </c>
      <c r="I128" s="214" t="s">
        <v>215</v>
      </c>
      <c r="J128" s="214"/>
      <c r="K128" s="213" t="s">
        <v>215</v>
      </c>
      <c r="L128" s="213"/>
      <c r="M128" s="214"/>
      <c r="N128" s="213"/>
      <c r="O128" s="214"/>
      <c r="P128" s="213"/>
      <c r="Q128" s="214"/>
      <c r="R128" s="214" t="s">
        <v>215</v>
      </c>
      <c r="S128" s="214"/>
      <c r="T128" s="214"/>
      <c r="U128" s="215">
        <f t="shared" si="396"/>
        <v>6</v>
      </c>
      <c r="V128" s="845" t="s">
        <v>219</v>
      </c>
      <c r="W128" s="216">
        <v>179550</v>
      </c>
      <c r="X128" s="217">
        <v>2.94</v>
      </c>
      <c r="Y128" s="218">
        <f t="shared" si="277"/>
        <v>1.0294000000000001</v>
      </c>
      <c r="Z128" s="196">
        <v>19</v>
      </c>
      <c r="AA128" s="218">
        <f t="shared" si="369"/>
        <v>1.7341997303889829</v>
      </c>
      <c r="AB128" s="196">
        <f t="shared" si="367"/>
        <v>311375.56159134186</v>
      </c>
      <c r="AC128">
        <v>17.100000000000001</v>
      </c>
      <c r="AD128" s="196">
        <f t="shared" si="368"/>
        <v>53245.221032119458</v>
      </c>
      <c r="AE128" s="196">
        <f t="shared" si="280"/>
        <v>50582.959980513486</v>
      </c>
      <c r="AF128" s="196">
        <f t="shared" si="397"/>
        <v>50582.959980513486</v>
      </c>
      <c r="AG128" s="606">
        <f t="shared" si="250"/>
        <v>2.3387340061437642E-3</v>
      </c>
      <c r="AH128" s="196">
        <f t="shared" si="408"/>
        <v>15568.778079567093</v>
      </c>
      <c r="AI128" s="248">
        <f t="shared" si="409"/>
        <v>1.2060896488211886E-3</v>
      </c>
      <c r="AJ128" s="196">
        <f t="shared" ref="AJ128:AJ188" si="412">AD128+AH128</f>
        <v>68813.999111686557</v>
      </c>
      <c r="AK128" s="196">
        <f t="shared" si="278"/>
        <v>12455.022463653675</v>
      </c>
      <c r="AL128" s="196">
        <f t="shared" si="279"/>
        <v>12455.022463653675</v>
      </c>
      <c r="AM128" s="196">
        <f t="shared" ref="AM128:AM188" si="413">AK128+AL128</f>
        <v>24910.04492730735</v>
      </c>
      <c r="AN128" s="627">
        <f t="shared" ref="AN128:AN188" si="414">AM128/20653560</f>
        <v>1.2060896488211886E-3</v>
      </c>
      <c r="AO128" s="196">
        <f t="shared" ref="AO128:AO188" si="415">AB128*0.038</f>
        <v>11832.27134047099</v>
      </c>
      <c r="AP128" s="589">
        <f t="shared" si="251"/>
        <v>1.2060896488211886E-3</v>
      </c>
      <c r="AQ128" s="196"/>
      <c r="AR128" s="589"/>
      <c r="AS128">
        <v>1</v>
      </c>
      <c r="AT128" s="589">
        <f t="shared" si="252"/>
        <v>1.2919896640826874E-3</v>
      </c>
      <c r="AU128" s="196">
        <v>14</v>
      </c>
      <c r="AV128" s="245">
        <f t="shared" ref="AV128:AV189" si="416">AU128/8801</f>
        <v>1.5907283263265539E-3</v>
      </c>
      <c r="AX128" s="245"/>
      <c r="AY128" s="245"/>
      <c r="AZ128" s="196">
        <v>93</v>
      </c>
      <c r="BA128" s="589">
        <f t="shared" si="265"/>
        <v>3.4077168297240849E-3</v>
      </c>
      <c r="BI128" s="196">
        <v>0</v>
      </c>
      <c r="BK128" s="246">
        <f t="shared" si="266"/>
        <v>0</v>
      </c>
      <c r="BL128" s="196"/>
      <c r="BM128" s="246">
        <f t="shared" si="267"/>
        <v>0</v>
      </c>
      <c r="BN128" s="196">
        <v>1</v>
      </c>
      <c r="BO128" s="196">
        <f t="shared" si="398"/>
        <v>23029.66367841791</v>
      </c>
      <c r="BP128" s="196">
        <f t="shared" ref="BP128:BP188" si="417">BN128*BO128</f>
        <v>23029.66367841791</v>
      </c>
      <c r="BQ128" s="248">
        <f t="shared" si="268"/>
        <v>2.1543177937759146E-3</v>
      </c>
      <c r="BR128" s="248"/>
      <c r="BS128" s="248"/>
      <c r="BT128" s="276">
        <v>1</v>
      </c>
      <c r="BU128" s="196">
        <f t="shared" si="410"/>
        <v>42170.215057438618</v>
      </c>
      <c r="BV128" s="264">
        <f t="shared" si="269"/>
        <v>2.925005993383612E-3</v>
      </c>
      <c r="BW128" s="196">
        <f t="shared" si="411"/>
        <v>180394.80885682075</v>
      </c>
      <c r="BX128" s="247">
        <f t="shared" si="270"/>
        <v>2.9250060197321777E-3</v>
      </c>
      <c r="BY128" s="196">
        <f t="shared" si="276"/>
        <v>222565.02391425936</v>
      </c>
      <c r="BZ128" s="620">
        <v>0</v>
      </c>
      <c r="CA128" s="196">
        <f t="shared" si="371"/>
        <v>95280.921846950601</v>
      </c>
      <c r="CB128" s="196">
        <f t="shared" si="372"/>
        <v>190561.8436939012</v>
      </c>
      <c r="CC128" s="196">
        <f t="shared" si="248"/>
        <v>285842.7655408518</v>
      </c>
      <c r="CD128" s="247">
        <f t="shared" ref="CD128:CD189" si="418">CC128/236999601</f>
        <v>1.2060896488211884E-3</v>
      </c>
      <c r="CE128" s="196">
        <f t="shared" si="399"/>
        <v>24929.878407607823</v>
      </c>
      <c r="CF128" s="247">
        <f t="shared" ref="CF128:CF189" si="419">CE128/23157202</f>
        <v>1.0765496802078172E-3</v>
      </c>
      <c r="CG128" s="196">
        <f t="shared" si="373"/>
        <v>47329.085361883961</v>
      </c>
      <c r="CH128" s="589">
        <f t="shared" si="253"/>
        <v>1.2060896488211886E-3</v>
      </c>
      <c r="CI128" s="196">
        <f t="shared" si="400"/>
        <v>54334.885358824664</v>
      </c>
      <c r="CJ128" s="248">
        <f t="shared" si="254"/>
        <v>8.9326537737890316E-4</v>
      </c>
      <c r="CK128" s="196">
        <f t="shared" si="401"/>
        <v>50326.589290040538</v>
      </c>
      <c r="CL128" s="589">
        <f t="shared" si="255"/>
        <v>7.2345507278210545E-4</v>
      </c>
      <c r="CM128" s="196">
        <f t="shared" si="402"/>
        <v>4875.3799382101388</v>
      </c>
      <c r="CN128" s="589">
        <f t="shared" si="256"/>
        <v>7.0259765608775965E-4</v>
      </c>
      <c r="CO128" s="196">
        <f t="shared" si="403"/>
        <v>390.00575722003049</v>
      </c>
      <c r="CP128" s="589">
        <f t="shared" si="257"/>
        <v>7.354907861715262E-4</v>
      </c>
      <c r="CQ128" s="196">
        <f>'Detailed Budget'!$AC$12</f>
        <v>292876014141.44696</v>
      </c>
      <c r="CR128" s="269">
        <f t="shared" si="328"/>
        <v>0</v>
      </c>
      <c r="CS128" s="269">
        <f>'Detailed Budget'!$AC$16</f>
        <v>10488008800.000002</v>
      </c>
      <c r="CT128" s="607">
        <f t="shared" si="375"/>
        <v>0</v>
      </c>
      <c r="CU128" s="269">
        <f>'Detailed Budget'!$AC$24</f>
        <v>30624985696</v>
      </c>
      <c r="CV128" s="269">
        <f t="shared" si="264"/>
        <v>0</v>
      </c>
      <c r="CW128" s="269"/>
      <c r="CX128" s="269">
        <f t="shared" si="249"/>
        <v>0</v>
      </c>
      <c r="CY128" s="196">
        <f>'Detailed Budget'!$AC$97</f>
        <v>74629165494.837845</v>
      </c>
      <c r="CZ128" s="269">
        <f t="shared" si="376"/>
        <v>160774939.16017666</v>
      </c>
      <c r="DA128" s="269">
        <f>'Detailed Budget'!$AC$100</f>
        <v>14925833098.967569</v>
      </c>
      <c r="DB128" s="269">
        <f t="shared" si="377"/>
        <v>32154987.832035337</v>
      </c>
      <c r="DC128" s="269">
        <f t="shared" ref="DC128:DC188" si="420">CZ128+DB128</f>
        <v>192929926.992212</v>
      </c>
      <c r="DD128" s="207">
        <v>0</v>
      </c>
      <c r="DE128" s="606">
        <v>0</v>
      </c>
      <c r="DF128" s="269">
        <f>'Detailed Budget'!$AC$147</f>
        <v>5913600671000</v>
      </c>
      <c r="DG128" s="269">
        <f t="shared" si="258"/>
        <v>0</v>
      </c>
      <c r="DH128" s="269">
        <f>'Detailed Budget'!$AC$153</f>
        <v>226428026880.00003</v>
      </c>
      <c r="DI128" s="269"/>
      <c r="DJ128" s="269">
        <f>'Detailed Budget'!$AC$156</f>
        <v>27713070000</v>
      </c>
      <c r="DK128" s="269"/>
      <c r="DL128" s="269"/>
      <c r="DM128" s="196">
        <f>'Detailed Budget'!$AC$178</f>
        <v>5622683761.6229038</v>
      </c>
      <c r="DN128" s="269">
        <f t="shared" si="404"/>
        <v>16446383.701647706</v>
      </c>
      <c r="DO128" s="196">
        <f>'Detailed Budget'!$AC$179</f>
        <v>26827890683.128094</v>
      </c>
      <c r="DP128" s="269">
        <f t="shared" si="405"/>
        <v>78471741.744866475</v>
      </c>
      <c r="DQ128" s="269">
        <f t="shared" si="273"/>
        <v>94918125.446514189</v>
      </c>
      <c r="DR128" s="269">
        <f>'Detailed Budget'!$AC$181</f>
        <v>50888946855.375237</v>
      </c>
      <c r="DS128" s="269">
        <f t="shared" si="406"/>
        <v>119015710.54750884</v>
      </c>
      <c r="DT128" s="269">
        <f t="shared" si="407"/>
        <v>213933835.99402303</v>
      </c>
      <c r="DU128" s="272">
        <f>'Detailed Budget'!$AC$192</f>
        <v>77498869683.252869</v>
      </c>
      <c r="DV128" s="269">
        <f t="shared" si="378"/>
        <v>0</v>
      </c>
      <c r="DW128" s="140">
        <f>'Detailed Budget'!$AC$194</f>
        <v>2684962805.4134097</v>
      </c>
      <c r="DX128" s="269">
        <f t="shared" si="379"/>
        <v>0</v>
      </c>
      <c r="DY128" s="607">
        <f t="shared" ref="DY128:DY189" si="421">DV128+DX128</f>
        <v>0</v>
      </c>
      <c r="DZ128" s="196">
        <f>'Detailed Budget'!$AC$198</f>
        <v>18732540018.380611</v>
      </c>
      <c r="EA128" s="269">
        <f t="shared" si="380"/>
        <v>20166509.966267783</v>
      </c>
      <c r="EB128" s="196">
        <f>'Detailed Budget'!$AC$200</f>
        <v>4683135004.5951529</v>
      </c>
      <c r="EC128" s="269">
        <f t="shared" si="381"/>
        <v>5041627.4915669458</v>
      </c>
      <c r="ED128" s="269">
        <f t="shared" ref="ED128:ED189" si="422">EA128+EC128</f>
        <v>25208137.457834728</v>
      </c>
      <c r="EE128" s="196">
        <f>'Detailed Budget'!$AC$161</f>
        <v>251147290106.36197</v>
      </c>
      <c r="EF128" s="269">
        <f t="shared" si="382"/>
        <v>302906146.92677528</v>
      </c>
      <c r="EG128" s="196">
        <f>'Detailed Budget'!$AC$163</f>
        <v>15696705631.647623</v>
      </c>
      <c r="EH128" s="269">
        <f t="shared" si="383"/>
        <v>18931634.182923455</v>
      </c>
      <c r="EI128" s="269">
        <f t="shared" ref="EI128:EI189" si="423">EF128+EH128</f>
        <v>321837781.10969871</v>
      </c>
      <c r="EJ128" s="196">
        <f>'Detailed Budget'!$AC$204</f>
        <v>45012172507.531975</v>
      </c>
      <c r="EK128" s="269">
        <f t="shared" si="384"/>
        <v>40207815.261584841</v>
      </c>
      <c r="EL128" s="201">
        <f>'Detailed Budget'!$AC$206</f>
        <v>11253043126.882994</v>
      </c>
      <c r="EM128" s="269">
        <f t="shared" si="385"/>
        <v>10051953.81539621</v>
      </c>
      <c r="EN128" s="269">
        <f t="shared" ref="EN128:EN189" si="424">EK128+EM128</f>
        <v>50259769.076981053</v>
      </c>
      <c r="EO128" s="140">
        <f>'Detailed Budget'!$AC$209</f>
        <v>135789361677.54817</v>
      </c>
      <c r="EP128" s="269">
        <f t="shared" si="386"/>
        <v>98237502.535466254</v>
      </c>
      <c r="EQ128" s="196">
        <f>'Detailed Budget'!$AC$211</f>
        <v>33947340419.387043</v>
      </c>
      <c r="ER128" s="269">
        <f t="shared" si="387"/>
        <v>24559375.633866563</v>
      </c>
      <c r="ES128" s="269">
        <f t="shared" ref="ES128:ES189" si="425">EP128+ER128</f>
        <v>122796878.16933282</v>
      </c>
      <c r="ET128" s="196">
        <f>'Detailed Budget'!$AC$214</f>
        <v>22239745544.201103</v>
      </c>
      <c r="EU128" s="269">
        <f t="shared" si="388"/>
        <v>15625593.091343891</v>
      </c>
      <c r="EV128" s="140">
        <f>'Detailed Budget'!$AC$217</f>
        <v>5559936386.0502758</v>
      </c>
      <c r="EW128" s="269">
        <f t="shared" si="389"/>
        <v>3906398.2728359727</v>
      </c>
      <c r="EX128" s="269">
        <f t="shared" ref="EX128:EX189" si="426">EU128+EW128</f>
        <v>19531991.364179865</v>
      </c>
      <c r="EY128" s="196">
        <f>'Detailed Budget'!$AC$219</f>
        <v>372777004.58170313</v>
      </c>
      <c r="EZ128" s="269">
        <f t="shared" si="390"/>
        <v>274174.05216646346</v>
      </c>
      <c r="FA128" s="196">
        <f>'Detailed Budget'!$AC$222</f>
        <v>93194251.145425782</v>
      </c>
      <c r="FB128" s="269">
        <f t="shared" si="391"/>
        <v>68543.513041615864</v>
      </c>
      <c r="FC128" s="269">
        <f t="shared" ref="FC128:FC189" si="427">EZ128+FB128</f>
        <v>342717.56520807929</v>
      </c>
      <c r="FD128" s="269"/>
      <c r="FE128" s="269">
        <f t="shared" ref="FE128:FE188" si="428">EN128+ES128+EX128+FC128</f>
        <v>192931356.1757018</v>
      </c>
      <c r="FF128" s="140">
        <f>'Detailed Budget'!$AC$165</f>
        <v>14927760000</v>
      </c>
      <c r="FG128" s="1087">
        <f t="shared" si="259"/>
        <v>263171140.69356957</v>
      </c>
      <c r="FH128" s="269">
        <f t="shared" si="392"/>
        <v>23746010.68060448</v>
      </c>
      <c r="FJ128" s="140">
        <f>'Detailed Budget'!$AC$235</f>
        <v>3623696172</v>
      </c>
      <c r="FK128" s="269">
        <f t="shared" si="393"/>
        <v>4681778</v>
      </c>
      <c r="FL128" s="269">
        <f t="shared" si="260"/>
        <v>4681778</v>
      </c>
      <c r="FO128" s="607"/>
      <c r="FP128" s="607"/>
      <c r="FQ128" s="607"/>
      <c r="FR128" s="269">
        <f>'Detailed Budget'!$AC$257</f>
        <v>13636439388</v>
      </c>
      <c r="FS128" s="269">
        <f t="shared" si="394"/>
        <v>46469124</v>
      </c>
      <c r="FT128" s="269">
        <f t="shared" si="261"/>
        <v>46469124</v>
      </c>
      <c r="FU128" s="269"/>
      <c r="FV128" s="269"/>
      <c r="FW128" s="616"/>
      <c r="FX128" s="140">
        <f>'Detailed Budget'!$AC$278</f>
        <v>1114560000</v>
      </c>
      <c r="FY128" s="269">
        <f t="shared" si="395"/>
        <v>1440000</v>
      </c>
      <c r="FZ128" s="269">
        <f t="shared" si="262"/>
        <v>1440000</v>
      </c>
      <c r="GB128" s="269">
        <f t="shared" si="271"/>
        <v>1286349091.1036444</v>
      </c>
      <c r="GC128" s="887">
        <f t="shared" ref="GC128:GC188" si="429">GB128/1600</f>
        <v>803968.18193977769</v>
      </c>
      <c r="GD128" s="1078">
        <f t="shared" si="272"/>
        <v>7.2181098099722424E-4</v>
      </c>
    </row>
    <row r="129" spans="1:186" hidden="1" outlineLevel="1">
      <c r="A129" s="211" t="s">
        <v>436</v>
      </c>
      <c r="B129" s="212" t="s">
        <v>437</v>
      </c>
      <c r="C129" s="213" t="s">
        <v>215</v>
      </c>
      <c r="D129" s="214" t="s">
        <v>215</v>
      </c>
      <c r="E129" s="213"/>
      <c r="F129" s="213"/>
      <c r="G129" s="213"/>
      <c r="H129" s="213" t="s">
        <v>215</v>
      </c>
      <c r="I129" s="214" t="s">
        <v>215</v>
      </c>
      <c r="J129" s="214"/>
      <c r="K129" s="213" t="s">
        <v>215</v>
      </c>
      <c r="L129" s="213"/>
      <c r="M129" s="214"/>
      <c r="N129" s="213"/>
      <c r="O129" s="214"/>
      <c r="P129" s="213"/>
      <c r="Q129" s="214" t="s">
        <v>215</v>
      </c>
      <c r="R129" s="214"/>
      <c r="S129" s="214"/>
      <c r="T129" s="214"/>
      <c r="U129" s="215">
        <f t="shared" si="396"/>
        <v>6</v>
      </c>
      <c r="V129" s="845" t="s">
        <v>265</v>
      </c>
      <c r="W129" s="216">
        <v>88301</v>
      </c>
      <c r="X129" s="217">
        <v>2.94</v>
      </c>
      <c r="Y129" s="218">
        <f t="shared" si="277"/>
        <v>1.0294000000000001</v>
      </c>
      <c r="Z129" s="196">
        <v>19</v>
      </c>
      <c r="AA129" s="218">
        <f t="shared" si="369"/>
        <v>1.7341997303889829</v>
      </c>
      <c r="AB129" s="196">
        <f t="shared" si="367"/>
        <v>153131.57039307759</v>
      </c>
      <c r="AC129">
        <v>17.100000000000001</v>
      </c>
      <c r="AD129" s="196">
        <f t="shared" si="368"/>
        <v>26185.49853721627</v>
      </c>
      <c r="AE129" s="196">
        <f t="shared" si="280"/>
        <v>24876.223610355457</v>
      </c>
      <c r="AF129" s="196">
        <f t="shared" si="397"/>
        <v>24876.223610355457</v>
      </c>
      <c r="AG129" s="606">
        <f t="shared" si="250"/>
        <v>1.1501673710749127E-3</v>
      </c>
      <c r="AH129" s="196">
        <f t="shared" si="408"/>
        <v>7656.57851965388</v>
      </c>
      <c r="AI129" s="248">
        <f t="shared" si="409"/>
        <v>5.9314353706800224E-4</v>
      </c>
      <c r="AJ129" s="196">
        <f t="shared" si="412"/>
        <v>33842.077056870148</v>
      </c>
      <c r="AK129" s="196">
        <f t="shared" si="278"/>
        <v>6125.2628157231038</v>
      </c>
      <c r="AL129" s="196">
        <f t="shared" si="279"/>
        <v>6125.2628157231038</v>
      </c>
      <c r="AM129" s="196">
        <f t="shared" si="413"/>
        <v>12250.525631446208</v>
      </c>
      <c r="AN129" s="627">
        <f t="shared" si="414"/>
        <v>5.9314353706800224E-4</v>
      </c>
      <c r="AO129" s="196">
        <f t="shared" si="415"/>
        <v>5818.9996749369484</v>
      </c>
      <c r="AP129" s="589">
        <f t="shared" si="251"/>
        <v>5.9314353706800224E-4</v>
      </c>
      <c r="AQ129" s="196"/>
      <c r="AR129" s="589"/>
      <c r="AS129">
        <v>1</v>
      </c>
      <c r="AT129" s="589">
        <f t="shared" si="252"/>
        <v>1.2919896640826874E-3</v>
      </c>
      <c r="AU129" s="196">
        <v>10</v>
      </c>
      <c r="AV129" s="245">
        <f t="shared" si="416"/>
        <v>1.1362345188046814E-3</v>
      </c>
      <c r="AX129" s="245"/>
      <c r="AY129" s="245"/>
      <c r="AZ129" s="196">
        <v>45</v>
      </c>
      <c r="BA129" s="589">
        <f t="shared" si="265"/>
        <v>1.6488952401890733E-3</v>
      </c>
      <c r="BI129" s="196">
        <v>0</v>
      </c>
      <c r="BK129" s="246">
        <f t="shared" si="266"/>
        <v>0</v>
      </c>
      <c r="BL129" s="246"/>
      <c r="BM129" s="246">
        <f t="shared" si="267"/>
        <v>0</v>
      </c>
      <c r="BN129" s="196">
        <v>1</v>
      </c>
      <c r="BO129" s="196">
        <f t="shared" si="398"/>
        <v>11325.77183218034</v>
      </c>
      <c r="BP129" s="196">
        <f t="shared" si="417"/>
        <v>11325.77183218034</v>
      </c>
      <c r="BQ129" s="248">
        <f t="shared" si="268"/>
        <v>1.0594732136352384E-3</v>
      </c>
      <c r="BR129" s="248"/>
      <c r="BS129" s="248"/>
      <c r="BT129" s="276">
        <v>1</v>
      </c>
      <c r="BU129" s="196">
        <f t="shared" si="410"/>
        <v>20738.914841475289</v>
      </c>
      <c r="BV129" s="264">
        <f t="shared" si="269"/>
        <v>1.4384904161613276E-3</v>
      </c>
      <c r="BW129" s="196">
        <f t="shared" si="411"/>
        <v>88716.469044088721</v>
      </c>
      <c r="BX129" s="247">
        <f t="shared" si="270"/>
        <v>1.4384904291193041E-3</v>
      </c>
      <c r="BY129" s="196">
        <f t="shared" si="276"/>
        <v>109455.38388556401</v>
      </c>
      <c r="BZ129" s="620">
        <v>0</v>
      </c>
      <c r="CA129" s="196">
        <f t="shared" si="371"/>
        <v>46858.260540281743</v>
      </c>
      <c r="CB129" s="196">
        <f t="shared" si="372"/>
        <v>93716.521080563485</v>
      </c>
      <c r="CC129" s="196">
        <f t="shared" ref="CC129:CC189" si="430">CA129+CB129</f>
        <v>140574.78162084523</v>
      </c>
      <c r="CD129" s="247">
        <f t="shared" si="418"/>
        <v>5.9314353706800224E-4</v>
      </c>
      <c r="CE129" s="196">
        <f t="shared" si="399"/>
        <v>12260.279550376936</v>
      </c>
      <c r="CF129" s="247">
        <f t="shared" si="419"/>
        <v>5.2943699978852952E-4</v>
      </c>
      <c r="CG129" s="196">
        <f t="shared" si="373"/>
        <v>23275.998699747794</v>
      </c>
      <c r="CH129" s="589">
        <f t="shared" si="253"/>
        <v>5.9314353706800224E-4</v>
      </c>
      <c r="CI129" s="196">
        <f t="shared" si="400"/>
        <v>26721.385196711657</v>
      </c>
      <c r="CJ129" s="248">
        <f t="shared" si="254"/>
        <v>4.392995048060961E-4</v>
      </c>
      <c r="CK129" s="196">
        <f t="shared" si="401"/>
        <v>24750.142917849462</v>
      </c>
      <c r="CL129" s="589">
        <f t="shared" si="255"/>
        <v>3.5578839533128773E-4</v>
      </c>
      <c r="CM129" s="196">
        <f t="shared" si="402"/>
        <v>2397.6659644884076</v>
      </c>
      <c r="CN129" s="589">
        <f t="shared" si="256"/>
        <v>3.4553091411977318E-4</v>
      </c>
      <c r="CO129" s="196">
        <f t="shared" si="403"/>
        <v>191.80116050284556</v>
      </c>
      <c r="CP129" s="589">
        <f t="shared" si="257"/>
        <v>3.6170744589101612E-4</v>
      </c>
      <c r="CQ129" s="196">
        <f>'Detailed Budget'!$AC$12</f>
        <v>292876014141.44696</v>
      </c>
      <c r="CR129" s="269">
        <f t="shared" si="328"/>
        <v>0</v>
      </c>
      <c r="CS129" s="269">
        <f>'Detailed Budget'!$AC$16</f>
        <v>10488008800.000002</v>
      </c>
      <c r="CT129" s="607">
        <f t="shared" si="375"/>
        <v>0</v>
      </c>
      <c r="CU129" s="269">
        <f>'Detailed Budget'!$AC$24</f>
        <v>30624985696</v>
      </c>
      <c r="CV129" s="269">
        <f t="shared" si="264"/>
        <v>0</v>
      </c>
      <c r="CW129" s="269"/>
      <c r="CX129" s="269">
        <f t="shared" ref="CX129:CX190" si="431">CR129+CT129+CV129+CW129</f>
        <v>0</v>
      </c>
      <c r="CY129" s="196">
        <f>'Detailed Budget'!$AC$97</f>
        <v>74629165494.837845</v>
      </c>
      <c r="CZ129" s="269">
        <f t="shared" si="376"/>
        <v>79067601.797731906</v>
      </c>
      <c r="DA129" s="269">
        <f>'Detailed Budget'!$AC$100</f>
        <v>14925833098.967569</v>
      </c>
      <c r="DB129" s="269">
        <f t="shared" si="377"/>
        <v>15813520.35954638</v>
      </c>
      <c r="DC129" s="269">
        <f t="shared" si="420"/>
        <v>94881122.157278284</v>
      </c>
      <c r="DD129" s="207">
        <v>0</v>
      </c>
      <c r="DE129" s="606">
        <v>0</v>
      </c>
      <c r="DF129" s="269">
        <f>'Detailed Budget'!$AC$147</f>
        <v>5913600671000</v>
      </c>
      <c r="DG129" s="269">
        <f t="shared" si="258"/>
        <v>0</v>
      </c>
      <c r="DH129" s="269">
        <f>'Detailed Budget'!$AC$153</f>
        <v>226428026880.00003</v>
      </c>
      <c r="DI129" s="269"/>
      <c r="DJ129" s="269">
        <f>'Detailed Budget'!$AC$156</f>
        <v>27713070000</v>
      </c>
      <c r="DK129" s="269"/>
      <c r="DL129" s="269"/>
      <c r="DM129" s="196">
        <f>'Detailed Budget'!$AC$178</f>
        <v>5622683761.6229038</v>
      </c>
      <c r="DN129" s="269">
        <f t="shared" si="404"/>
        <v>8088176.7042004699</v>
      </c>
      <c r="DO129" s="196">
        <f>'Detailed Budget'!$AC$179</f>
        <v>26827890683.128094</v>
      </c>
      <c r="DP129" s="269">
        <f t="shared" si="405"/>
        <v>38591663.981138714</v>
      </c>
      <c r="DQ129" s="269">
        <f t="shared" si="273"/>
        <v>46679840.685339183</v>
      </c>
      <c r="DR129" s="269">
        <f>'Detailed Budget'!$AC$181</f>
        <v>50888946855.375237</v>
      </c>
      <c r="DS129" s="269">
        <f t="shared" si="406"/>
        <v>58530806.221417882</v>
      </c>
      <c r="DT129" s="269">
        <f t="shared" si="407"/>
        <v>105210646.90675706</v>
      </c>
      <c r="DU129" s="272">
        <f>'Detailed Budget'!$AC$192</f>
        <v>77498869683.252869</v>
      </c>
      <c r="DV129" s="269">
        <f t="shared" si="378"/>
        <v>0</v>
      </c>
      <c r="DW129" s="140">
        <f>'Detailed Budget'!$AC$194</f>
        <v>2684962805.4134097</v>
      </c>
      <c r="DX129" s="269">
        <f t="shared" si="379"/>
        <v>0</v>
      </c>
      <c r="DY129" s="607">
        <f t="shared" si="421"/>
        <v>0</v>
      </c>
      <c r="DZ129" s="196">
        <f>'Detailed Budget'!$AC$198</f>
        <v>18732540018.380611</v>
      </c>
      <c r="EA129" s="269">
        <f t="shared" si="380"/>
        <v>9917699.7857499961</v>
      </c>
      <c r="EB129" s="196">
        <f>'Detailed Budget'!$AC$200</f>
        <v>4683135004.5951529</v>
      </c>
      <c r="EC129" s="269">
        <f t="shared" si="381"/>
        <v>2479424.946437499</v>
      </c>
      <c r="ED129" s="269">
        <f t="shared" si="422"/>
        <v>12397124.732187495</v>
      </c>
      <c r="EE129" s="196">
        <f>'Detailed Budget'!$AC$161</f>
        <v>251147290106.36197</v>
      </c>
      <c r="EF129" s="269">
        <f t="shared" si="382"/>
        <v>148966391.97873122</v>
      </c>
      <c r="EG129" s="196">
        <f>'Detailed Budget'!$AC$163</f>
        <v>15696705631.647623</v>
      </c>
      <c r="EH129" s="269">
        <f t="shared" si="383"/>
        <v>9310399.4986707009</v>
      </c>
      <c r="EI129" s="269">
        <f t="shared" si="423"/>
        <v>158276791.47740191</v>
      </c>
      <c r="EJ129" s="196">
        <f>'Detailed Budget'!$AC$204</f>
        <v>45012172507.531975</v>
      </c>
      <c r="EK129" s="269">
        <f t="shared" si="384"/>
        <v>19773825.092805371</v>
      </c>
      <c r="EL129" s="201">
        <f>'Detailed Budget'!$AC$206</f>
        <v>11253043126.882994</v>
      </c>
      <c r="EM129" s="269">
        <f t="shared" si="385"/>
        <v>4943456.2732013427</v>
      </c>
      <c r="EN129" s="269">
        <f t="shared" si="424"/>
        <v>24717281.366006713</v>
      </c>
      <c r="EO129" s="140">
        <f>'Detailed Budget'!$AC$209</f>
        <v>135789361677.54817</v>
      </c>
      <c r="EP129" s="269">
        <f t="shared" si="386"/>
        <v>48312279.094314724</v>
      </c>
      <c r="EQ129" s="196">
        <f>'Detailed Budget'!$AC$211</f>
        <v>33947340419.387043</v>
      </c>
      <c r="ER129" s="269">
        <f t="shared" si="387"/>
        <v>12078069.773578681</v>
      </c>
      <c r="ES129" s="269">
        <f t="shared" si="425"/>
        <v>60390348.867893405</v>
      </c>
      <c r="ET129" s="196">
        <f>'Detailed Budget'!$AC$214</f>
        <v>22239745544.201103</v>
      </c>
      <c r="EU129" s="269">
        <f t="shared" si="388"/>
        <v>7684519.6076789601</v>
      </c>
      <c r="EV129" s="140">
        <f>'Detailed Budget'!$AC$217</f>
        <v>5559936386.0502758</v>
      </c>
      <c r="EW129" s="269">
        <f t="shared" si="389"/>
        <v>1921129.90191974</v>
      </c>
      <c r="EX129" s="269">
        <f t="shared" si="426"/>
        <v>9605649.5095987003</v>
      </c>
      <c r="EY129" s="196">
        <f>'Detailed Budget'!$AC$219</f>
        <v>372777004.58170313</v>
      </c>
      <c r="EZ129" s="269">
        <f t="shared" si="390"/>
        <v>134836.21821415145</v>
      </c>
      <c r="FA129" s="196">
        <f>'Detailed Budget'!$AC$222</f>
        <v>93194251.145425782</v>
      </c>
      <c r="FB129" s="269">
        <f t="shared" si="391"/>
        <v>33709.054553537862</v>
      </c>
      <c r="FC129" s="269">
        <f t="shared" si="427"/>
        <v>168545.27276768931</v>
      </c>
      <c r="FD129" s="269"/>
      <c r="FE129" s="269">
        <f t="shared" si="428"/>
        <v>94881825.01626651</v>
      </c>
      <c r="FF129" s="140">
        <f>'Detailed Budget'!$AC$165</f>
        <v>14927760000</v>
      </c>
      <c r="FG129" s="1087">
        <f t="shared" si="259"/>
        <v>129425089.91580561</v>
      </c>
      <c r="FH129" s="269">
        <f t="shared" si="392"/>
        <v>16961436.200431772</v>
      </c>
      <c r="FJ129" s="140">
        <f>'Detailed Budget'!$AC$235</f>
        <v>3623696172</v>
      </c>
      <c r="FK129" s="269">
        <f t="shared" si="393"/>
        <v>4681778</v>
      </c>
      <c r="FL129" s="269">
        <f t="shared" si="260"/>
        <v>4681778</v>
      </c>
      <c r="FO129" s="607"/>
      <c r="FP129" s="607"/>
      <c r="FQ129" s="607"/>
      <c r="FR129" s="269">
        <f>'Detailed Budget'!$AC$257</f>
        <v>13636439388</v>
      </c>
      <c r="FS129" s="269">
        <f t="shared" si="394"/>
        <v>22485060</v>
      </c>
      <c r="FT129" s="269">
        <f t="shared" si="261"/>
        <v>22485060</v>
      </c>
      <c r="FU129" s="269"/>
      <c r="FV129" s="269"/>
      <c r="FW129" s="616"/>
      <c r="FX129" s="140">
        <f>'Detailed Budget'!$AC$278</f>
        <v>1114560000</v>
      </c>
      <c r="FY129" s="269">
        <f t="shared" si="395"/>
        <v>1440000</v>
      </c>
      <c r="FZ129" s="269">
        <f t="shared" si="262"/>
        <v>1440000</v>
      </c>
      <c r="GB129" s="269">
        <f t="shared" si="271"/>
        <v>640640874.40612876</v>
      </c>
      <c r="GC129" s="887">
        <f t="shared" si="429"/>
        <v>400400.54650383047</v>
      </c>
      <c r="GD129" s="1078">
        <f t="shared" si="272"/>
        <v>3.5948376783573197E-4</v>
      </c>
    </row>
    <row r="130" spans="1:186" hidden="1" outlineLevel="1">
      <c r="A130" s="211" t="s">
        <v>438</v>
      </c>
      <c r="B130" s="212" t="s">
        <v>439</v>
      </c>
      <c r="C130" s="213" t="s">
        <v>215</v>
      </c>
      <c r="D130" s="214" t="s">
        <v>215</v>
      </c>
      <c r="E130" s="213"/>
      <c r="F130" s="213"/>
      <c r="G130" s="213"/>
      <c r="H130" s="213" t="s">
        <v>215</v>
      </c>
      <c r="I130" s="214" t="s">
        <v>215</v>
      </c>
      <c r="J130" s="214"/>
      <c r="K130" s="213" t="s">
        <v>215</v>
      </c>
      <c r="L130" s="213"/>
      <c r="M130" s="214"/>
      <c r="N130" s="213"/>
      <c r="O130" s="214"/>
      <c r="P130" s="213"/>
      <c r="Q130" s="214" t="s">
        <v>215</v>
      </c>
      <c r="R130" s="214"/>
      <c r="S130" s="214"/>
      <c r="T130" s="214"/>
      <c r="U130" s="215">
        <f t="shared" si="396"/>
        <v>6</v>
      </c>
      <c r="V130" s="845" t="s">
        <v>265</v>
      </c>
      <c r="W130" s="216">
        <v>437217</v>
      </c>
      <c r="X130" s="217">
        <v>2.94</v>
      </c>
      <c r="Y130" s="218">
        <f t="shared" si="277"/>
        <v>1.0294000000000001</v>
      </c>
      <c r="Z130" s="196">
        <v>19</v>
      </c>
      <c r="AA130" s="218">
        <f t="shared" si="369"/>
        <v>1.7341997303889829</v>
      </c>
      <c r="AB130" s="196">
        <f t="shared" si="367"/>
        <v>758221.60352147999</v>
      </c>
      <c r="AC130">
        <v>17.100000000000001</v>
      </c>
      <c r="AD130" s="196">
        <f t="shared" si="368"/>
        <v>129655.89420217309</v>
      </c>
      <c r="AE130" s="196">
        <f t="shared" si="280"/>
        <v>123173.09949206443</v>
      </c>
      <c r="AF130" s="196">
        <f t="shared" si="397"/>
        <v>123173.09949206443</v>
      </c>
      <c r="AG130" s="606">
        <f t="shared" ref="AG130:AG190" si="432">AE130/21628351</f>
        <v>5.6949833804742873E-3</v>
      </c>
      <c r="AH130" s="196">
        <f t="shared" si="408"/>
        <v>37911.080176074</v>
      </c>
      <c r="AI130" s="248">
        <f t="shared" si="409"/>
        <v>2.9369139403433789E-3</v>
      </c>
      <c r="AJ130" s="196">
        <f t="shared" si="412"/>
        <v>167566.97437824711</v>
      </c>
      <c r="AK130" s="196">
        <f t="shared" si="278"/>
        <v>30328.864140859201</v>
      </c>
      <c r="AL130" s="196">
        <f t="shared" si="279"/>
        <v>30328.864140859201</v>
      </c>
      <c r="AM130" s="196">
        <f t="shared" si="413"/>
        <v>60657.728281718402</v>
      </c>
      <c r="AN130" s="627">
        <f t="shared" si="414"/>
        <v>2.9369139403433793E-3</v>
      </c>
      <c r="AO130" s="196">
        <f t="shared" si="415"/>
        <v>28812.42093381624</v>
      </c>
      <c r="AP130" s="589">
        <f t="shared" ref="AP130:AP190" si="433">AO130/9810441</f>
        <v>2.9369139403433789E-3</v>
      </c>
      <c r="AQ130" s="196"/>
      <c r="AR130" s="589"/>
      <c r="AS130">
        <v>1</v>
      </c>
      <c r="AT130" s="589">
        <f t="shared" ref="AT130:AT190" si="434">AS130/774</f>
        <v>1.2919896640826874E-3</v>
      </c>
      <c r="AU130" s="196">
        <v>14</v>
      </c>
      <c r="AV130" s="245">
        <f t="shared" si="416"/>
        <v>1.5907283263265539E-3</v>
      </c>
      <c r="AX130" s="245"/>
      <c r="AY130" s="245"/>
      <c r="AZ130" s="196">
        <v>38</v>
      </c>
      <c r="BA130" s="589">
        <f t="shared" si="265"/>
        <v>1.3924004250485508E-3</v>
      </c>
      <c r="BI130" s="196">
        <v>0</v>
      </c>
      <c r="BK130" s="246">
        <f t="shared" si="266"/>
        <v>0</v>
      </c>
      <c r="BL130" s="246"/>
      <c r="BM130" s="246">
        <f t="shared" si="267"/>
        <v>0</v>
      </c>
      <c r="BN130" s="196">
        <v>1</v>
      </c>
      <c r="BO130" s="196">
        <f t="shared" si="398"/>
        <v>56078.866413182099</v>
      </c>
      <c r="BP130" s="196">
        <f t="shared" si="417"/>
        <v>56078.866413182099</v>
      </c>
      <c r="BQ130" s="248">
        <f t="shared" si="268"/>
        <v>5.2459168078046467E-3</v>
      </c>
      <c r="BR130" s="248"/>
      <c r="BS130" s="248"/>
      <c r="BT130" s="276">
        <v>1</v>
      </c>
      <c r="BU130" s="196">
        <f t="shared" si="410"/>
        <v>102687.46820812109</v>
      </c>
      <c r="BV130" s="264">
        <f t="shared" si="269"/>
        <v>7.122597301081608E-3</v>
      </c>
      <c r="BW130" s="196">
        <f t="shared" si="411"/>
        <v>439274.1695569625</v>
      </c>
      <c r="BX130" s="247">
        <f t="shared" si="270"/>
        <v>7.122597365242238E-3</v>
      </c>
      <c r="BY130" s="196">
        <f t="shared" si="276"/>
        <v>541961.63776508358</v>
      </c>
      <c r="BZ130" s="620">
        <v>0</v>
      </c>
      <c r="CA130" s="196">
        <f t="shared" si="371"/>
        <v>232015.81067757288</v>
      </c>
      <c r="CB130" s="196">
        <f t="shared" si="372"/>
        <v>464031.62135514576</v>
      </c>
      <c r="CC130" s="196">
        <f t="shared" si="430"/>
        <v>696047.43203271867</v>
      </c>
      <c r="CD130" s="247">
        <f t="shared" si="418"/>
        <v>2.9369139403433793E-3</v>
      </c>
      <c r="CE130" s="196">
        <f t="shared" si="399"/>
        <v>60706.024214642552</v>
      </c>
      <c r="CF130" s="247">
        <f t="shared" si="419"/>
        <v>2.6214749180251806E-3</v>
      </c>
      <c r="CG130" s="196">
        <f t="shared" si="373"/>
        <v>115249.68373526496</v>
      </c>
      <c r="CH130" s="589">
        <f t="shared" ref="CH130:CH190" si="435">CG130/39241764</f>
        <v>2.9369139403433789E-3</v>
      </c>
      <c r="CI130" s="196">
        <f t="shared" si="400"/>
        <v>132309.30421570176</v>
      </c>
      <c r="CJ130" s="248">
        <f t="shared" ref="CJ130:CJ190" si="436">CI130/60827260</f>
        <v>2.1751646254607186E-3</v>
      </c>
      <c r="CK130" s="196">
        <f t="shared" si="401"/>
        <v>122548.81865565947</v>
      </c>
      <c r="CL130" s="589">
        <f t="shared" ref="CL130:CL190" si="437">CK130/69564222</f>
        <v>1.7616644753916672E-3</v>
      </c>
      <c r="CM130" s="196">
        <f t="shared" si="402"/>
        <v>11871.896354466291</v>
      </c>
      <c r="CN130" s="589">
        <f t="shared" ref="CN130:CN190" si="438">CM130/6939078</f>
        <v>1.7108751846378282E-3</v>
      </c>
      <c r="CO130" s="196">
        <f t="shared" si="403"/>
        <v>949.69171347518852</v>
      </c>
      <c r="CP130" s="589">
        <f t="shared" ref="CP130:CP190" si="439">CO130/530266</f>
        <v>1.7909722921612709E-3</v>
      </c>
      <c r="CQ130" s="196">
        <f>'Detailed Budget'!$AC$12</f>
        <v>292876014141.44696</v>
      </c>
      <c r="CR130" s="269">
        <f t="shared" ref="CR130:CR161" si="440">BK130*CQ130</f>
        <v>0</v>
      </c>
      <c r="CS130" s="269">
        <f>'Detailed Budget'!$AC$16</f>
        <v>10488008800.000002</v>
      </c>
      <c r="CT130" s="607">
        <f t="shared" si="375"/>
        <v>0</v>
      </c>
      <c r="CU130" s="269">
        <f>'Detailed Budget'!$AC$24</f>
        <v>30624985696</v>
      </c>
      <c r="CV130" s="269">
        <f t="shared" si="264"/>
        <v>0</v>
      </c>
      <c r="CW130" s="269"/>
      <c r="CX130" s="269">
        <f t="shared" si="431"/>
        <v>0</v>
      </c>
      <c r="CY130" s="196">
        <f>'Detailed Budget'!$AC$97</f>
        <v>74629165494.837845</v>
      </c>
      <c r="CZ130" s="269">
        <f t="shared" si="376"/>
        <v>391498393.62180442</v>
      </c>
      <c r="DA130" s="269">
        <f>'Detailed Budget'!$AC$100</f>
        <v>14925833098.967569</v>
      </c>
      <c r="DB130" s="269">
        <f t="shared" si="377"/>
        <v>78299678.724360883</v>
      </c>
      <c r="DC130" s="269">
        <f t="shared" si="420"/>
        <v>469798072.3461653</v>
      </c>
      <c r="DD130" s="207">
        <v>0</v>
      </c>
      <c r="DE130" s="606">
        <v>0</v>
      </c>
      <c r="DF130" s="269">
        <f>'Detailed Budget'!$AC$147</f>
        <v>5913600671000</v>
      </c>
      <c r="DG130" s="269">
        <f t="shared" si="258"/>
        <v>0</v>
      </c>
      <c r="DH130" s="269">
        <f>'Detailed Budget'!$AC$153</f>
        <v>226428026880.00003</v>
      </c>
      <c r="DI130" s="269"/>
      <c r="DJ130" s="269">
        <f>'Detailed Budget'!$AC$156</f>
        <v>27713070000</v>
      </c>
      <c r="DK130" s="269"/>
      <c r="DL130" s="269"/>
      <c r="DM130" s="196">
        <f>'Detailed Budget'!$AC$178</f>
        <v>5622683761.6229038</v>
      </c>
      <c r="DN130" s="269">
        <f t="shared" si="404"/>
        <v>40048112.185370676</v>
      </c>
      <c r="DO130" s="196">
        <f>'Detailed Budget'!$AC$179</f>
        <v>26827890683.128094</v>
      </c>
      <c r="DP130" s="269">
        <f t="shared" si="405"/>
        <v>191084263.49465495</v>
      </c>
      <c r="DQ130" s="269">
        <f t="shared" si="273"/>
        <v>231132375.68002564</v>
      </c>
      <c r="DR130" s="269">
        <f>'Detailed Budget'!$AC$181</f>
        <v>50888946855.375237</v>
      </c>
      <c r="DS130" s="269">
        <f t="shared" si="406"/>
        <v>289811706.59120125</v>
      </c>
      <c r="DT130" s="269">
        <f t="shared" si="407"/>
        <v>520944082.27122688</v>
      </c>
      <c r="DU130" s="272">
        <f>'Detailed Budget'!$AC$192</f>
        <v>77498869683.252869</v>
      </c>
      <c r="DV130" s="269">
        <f t="shared" si="378"/>
        <v>0</v>
      </c>
      <c r="DW130" s="140">
        <f>'Detailed Budget'!$AC$194</f>
        <v>2684962805.4134097</v>
      </c>
      <c r="DX130" s="269">
        <f t="shared" si="379"/>
        <v>0</v>
      </c>
      <c r="DY130" s="607">
        <f t="shared" si="421"/>
        <v>0</v>
      </c>
      <c r="DZ130" s="196">
        <f>'Detailed Budget'!$AC$198</f>
        <v>18732540018.380611</v>
      </c>
      <c r="EA130" s="269">
        <f t="shared" si="380"/>
        <v>49106883.809087731</v>
      </c>
      <c r="EB130" s="196">
        <f>'Detailed Budget'!$AC$200</f>
        <v>4683135004.5951529</v>
      </c>
      <c r="EC130" s="269">
        <f t="shared" si="381"/>
        <v>12276720.952271933</v>
      </c>
      <c r="ED130" s="269">
        <f t="shared" si="422"/>
        <v>61383604.761359662</v>
      </c>
      <c r="EE130" s="196">
        <f>'Detailed Budget'!$AC$161</f>
        <v>251147290106.36197</v>
      </c>
      <c r="EF130" s="269">
        <f t="shared" si="382"/>
        <v>737597977.39283717</v>
      </c>
      <c r="EG130" s="196">
        <f>'Detailed Budget'!$AC$163</f>
        <v>15696705631.647623</v>
      </c>
      <c r="EH130" s="269">
        <f t="shared" si="383"/>
        <v>46099873.587052323</v>
      </c>
      <c r="EI130" s="269">
        <f t="shared" si="423"/>
        <v>783697850.97988951</v>
      </c>
      <c r="EJ130" s="196">
        <f>'Detailed Budget'!$AC$204</f>
        <v>45012172507.531975</v>
      </c>
      <c r="EK130" s="269">
        <f t="shared" si="384"/>
        <v>97908885.353519037</v>
      </c>
      <c r="EL130" s="201">
        <f>'Detailed Budget'!$AC$206</f>
        <v>11253043126.882994</v>
      </c>
      <c r="EM130" s="269">
        <f t="shared" si="385"/>
        <v>24477221.338379759</v>
      </c>
      <c r="EN130" s="269">
        <f t="shared" si="424"/>
        <v>122386106.69189879</v>
      </c>
      <c r="EO130" s="140">
        <f>'Detailed Budget'!$AC$209</f>
        <v>135789361677.54817</v>
      </c>
      <c r="EP130" s="269">
        <f t="shared" si="386"/>
        <v>239215294.60344726</v>
      </c>
      <c r="EQ130" s="196">
        <f>'Detailed Budget'!$AC$211</f>
        <v>33947340419.387043</v>
      </c>
      <c r="ER130" s="269">
        <f t="shared" si="387"/>
        <v>59803823.650861815</v>
      </c>
      <c r="ES130" s="269">
        <f t="shared" si="425"/>
        <v>299019118.25430906</v>
      </c>
      <c r="ET130" s="196">
        <f>'Detailed Budget'!$AC$214</f>
        <v>22239745544.201103</v>
      </c>
      <c r="EU130" s="269">
        <f t="shared" si="388"/>
        <v>38049428.764233381</v>
      </c>
      <c r="EV130" s="140">
        <f>'Detailed Budget'!$AC$217</f>
        <v>5559936386.0502758</v>
      </c>
      <c r="EW130" s="269">
        <f t="shared" si="389"/>
        <v>9512357.1910583451</v>
      </c>
      <c r="EX130" s="269">
        <f t="shared" si="426"/>
        <v>47561785.955291726</v>
      </c>
      <c r="EY130" s="196">
        <f>'Detailed Budget'!$AC$219</f>
        <v>372777004.58170313</v>
      </c>
      <c r="EZ130" s="269">
        <f t="shared" si="390"/>
        <v>667633.28636070539</v>
      </c>
      <c r="FA130" s="196">
        <f>'Detailed Budget'!$AC$222</f>
        <v>93194251.145425782</v>
      </c>
      <c r="FB130" s="269">
        <f t="shared" si="391"/>
        <v>166908.32159017635</v>
      </c>
      <c r="FC130" s="269">
        <f t="shared" si="427"/>
        <v>834541.60795088171</v>
      </c>
      <c r="FD130" s="269"/>
      <c r="FE130" s="269">
        <f t="shared" si="428"/>
        <v>469801552.5094505</v>
      </c>
      <c r="FF130" s="140">
        <f>'Detailed Budget'!$AC$165</f>
        <v>14927760000</v>
      </c>
      <c r="FG130" s="1087">
        <f t="shared" si="259"/>
        <v>640840415.59799755</v>
      </c>
      <c r="FH130" s="269">
        <f t="shared" si="392"/>
        <v>23746010.68060448</v>
      </c>
      <c r="FJ130" s="140">
        <f>'Detailed Budget'!$AC$235</f>
        <v>3623696172</v>
      </c>
      <c r="FK130" s="269">
        <f t="shared" si="393"/>
        <v>4681778</v>
      </c>
      <c r="FL130" s="269">
        <f t="shared" si="260"/>
        <v>4681778</v>
      </c>
      <c r="FO130" s="607"/>
      <c r="FP130" s="607"/>
      <c r="FQ130" s="607"/>
      <c r="FR130" s="269">
        <f>'Detailed Budget'!$AC$257</f>
        <v>13636439388</v>
      </c>
      <c r="FS130" s="269">
        <f t="shared" si="394"/>
        <v>18987384</v>
      </c>
      <c r="FT130" s="269">
        <f t="shared" si="261"/>
        <v>18987384</v>
      </c>
      <c r="FU130" s="269"/>
      <c r="FV130" s="269"/>
      <c r="FW130" s="616"/>
      <c r="FX130" s="140">
        <f>'Detailed Budget'!$AC$278</f>
        <v>1114560000</v>
      </c>
      <c r="FY130" s="269">
        <f t="shared" si="395"/>
        <v>1440000</v>
      </c>
      <c r="FZ130" s="269">
        <f t="shared" si="262"/>
        <v>1440000</v>
      </c>
      <c r="GB130" s="269">
        <f t="shared" si="271"/>
        <v>2995320751.1466942</v>
      </c>
      <c r="GC130" s="887">
        <f t="shared" si="429"/>
        <v>1872075.4694666839</v>
      </c>
      <c r="GD130" s="1078">
        <f t="shared" si="272"/>
        <v>1.6807687934319345E-3</v>
      </c>
    </row>
    <row r="131" spans="1:186" hidden="1" outlineLevel="1">
      <c r="A131" s="211" t="s">
        <v>440</v>
      </c>
      <c r="B131" s="212" t="s">
        <v>441</v>
      </c>
      <c r="C131" s="213" t="s">
        <v>215</v>
      </c>
      <c r="D131" s="214" t="s">
        <v>215</v>
      </c>
      <c r="E131" s="213"/>
      <c r="F131" s="213"/>
      <c r="G131" s="213"/>
      <c r="H131" s="213" t="s">
        <v>215</v>
      </c>
      <c r="I131" s="214" t="s">
        <v>215</v>
      </c>
      <c r="J131" s="214"/>
      <c r="K131" s="213" t="s">
        <v>215</v>
      </c>
      <c r="L131" s="213"/>
      <c r="M131" s="214"/>
      <c r="N131" s="213"/>
      <c r="O131" s="214"/>
      <c r="P131" s="213"/>
      <c r="Q131" s="214" t="s">
        <v>215</v>
      </c>
      <c r="R131" s="214"/>
      <c r="S131" s="214"/>
      <c r="T131" s="214"/>
      <c r="U131" s="215">
        <f t="shared" si="396"/>
        <v>6</v>
      </c>
      <c r="V131" s="845" t="s">
        <v>265</v>
      </c>
      <c r="W131" s="216">
        <v>311392</v>
      </c>
      <c r="X131" s="217">
        <v>2.94</v>
      </c>
      <c r="Y131" s="218">
        <f t="shared" si="277"/>
        <v>1.0294000000000001</v>
      </c>
      <c r="Z131" s="196">
        <v>19</v>
      </c>
      <c r="AA131" s="218">
        <f t="shared" si="369"/>
        <v>1.7341997303889829</v>
      </c>
      <c r="AB131" s="196">
        <f t="shared" si="367"/>
        <v>540015.92244528618</v>
      </c>
      <c r="AC131">
        <v>17.100000000000001</v>
      </c>
      <c r="AD131" s="196">
        <f t="shared" si="368"/>
        <v>92342.722738143944</v>
      </c>
      <c r="AE131" s="196">
        <f t="shared" si="280"/>
        <v>87725.586601236748</v>
      </c>
      <c r="AF131" s="196">
        <f t="shared" si="397"/>
        <v>87725.586601236748</v>
      </c>
      <c r="AG131" s="606">
        <f t="shared" si="432"/>
        <v>4.0560460018998559E-3</v>
      </c>
      <c r="AH131" s="196">
        <f t="shared" si="408"/>
        <v>27000.79612226431</v>
      </c>
      <c r="AI131" s="248">
        <f t="shared" si="409"/>
        <v>2.0917107653897391E-3</v>
      </c>
      <c r="AJ131" s="196">
        <f t="shared" si="412"/>
        <v>119343.51886040825</v>
      </c>
      <c r="AK131" s="196">
        <f t="shared" si="278"/>
        <v>21600.636897811448</v>
      </c>
      <c r="AL131" s="196">
        <f t="shared" si="279"/>
        <v>21600.636897811448</v>
      </c>
      <c r="AM131" s="196">
        <f t="shared" si="413"/>
        <v>43201.273795622896</v>
      </c>
      <c r="AN131" s="627">
        <f t="shared" si="414"/>
        <v>2.0917107653897391E-3</v>
      </c>
      <c r="AO131" s="196">
        <f t="shared" si="415"/>
        <v>20520.605052920873</v>
      </c>
      <c r="AP131" s="589">
        <f t="shared" si="433"/>
        <v>2.0917107653897387E-3</v>
      </c>
      <c r="AQ131" s="196"/>
      <c r="AR131" s="589"/>
      <c r="AS131">
        <v>1</v>
      </c>
      <c r="AT131" s="589">
        <f t="shared" si="434"/>
        <v>1.2919896640826874E-3</v>
      </c>
      <c r="AU131" s="196">
        <v>12</v>
      </c>
      <c r="AV131" s="245">
        <f t="shared" si="416"/>
        <v>1.3634814225656176E-3</v>
      </c>
      <c r="AX131" s="245"/>
      <c r="AY131" s="245"/>
      <c r="AZ131" s="196">
        <v>44</v>
      </c>
      <c r="BA131" s="589">
        <f t="shared" si="265"/>
        <v>1.6122531237404273E-3</v>
      </c>
      <c r="BI131" s="196">
        <v>0</v>
      </c>
      <c r="BK131" s="246">
        <f t="shared" si="266"/>
        <v>0</v>
      </c>
      <c r="BL131" s="246"/>
      <c r="BM131" s="246">
        <f t="shared" si="267"/>
        <v>0</v>
      </c>
      <c r="BN131" s="196">
        <v>1</v>
      </c>
      <c r="BO131" s="196">
        <f t="shared" si="398"/>
        <v>39940.144985518855</v>
      </c>
      <c r="BP131" s="196">
        <f t="shared" si="417"/>
        <v>39940.144985518855</v>
      </c>
      <c r="BQ131" s="248">
        <f t="shared" si="268"/>
        <v>3.736214572205345E-3</v>
      </c>
      <c r="BR131" s="248"/>
      <c r="BS131" s="248"/>
      <c r="BT131" s="276">
        <v>1</v>
      </c>
      <c r="BU131" s="196">
        <f t="shared" si="410"/>
        <v>73135.43640861001</v>
      </c>
      <c r="BV131" s="264">
        <f t="shared" si="269"/>
        <v>5.0728123992854895E-3</v>
      </c>
      <c r="BW131" s="196">
        <f t="shared" si="411"/>
        <v>312857.14463683171</v>
      </c>
      <c r="BX131" s="247">
        <f t="shared" si="270"/>
        <v>5.072812444981578E-3</v>
      </c>
      <c r="BY131" s="196">
        <f t="shared" si="276"/>
        <v>385992.58104544174</v>
      </c>
      <c r="BZ131" s="620">
        <v>0</v>
      </c>
      <c r="CA131" s="196">
        <f t="shared" si="371"/>
        <v>165244.87226825758</v>
      </c>
      <c r="CB131" s="196">
        <f t="shared" si="372"/>
        <v>330489.74453651515</v>
      </c>
      <c r="CC131" s="196">
        <f t="shared" si="430"/>
        <v>495734.61680477276</v>
      </c>
      <c r="CD131" s="247">
        <f t="shared" si="418"/>
        <v>2.0917107653897391E-3</v>
      </c>
      <c r="CE131" s="196">
        <f t="shared" si="399"/>
        <v>43235.670827634727</v>
      </c>
      <c r="CF131" s="247">
        <f t="shared" si="419"/>
        <v>1.8670507269243808E-3</v>
      </c>
      <c r="CG131" s="196">
        <f t="shared" si="373"/>
        <v>82082.420211683493</v>
      </c>
      <c r="CH131" s="589">
        <f t="shared" si="435"/>
        <v>2.0917107653897387E-3</v>
      </c>
      <c r="CI131" s="196">
        <f t="shared" si="400"/>
        <v>94232.518082178416</v>
      </c>
      <c r="CJ131" s="248">
        <f t="shared" si="436"/>
        <v>1.5491823580772572E-3</v>
      </c>
      <c r="CK131" s="196">
        <f t="shared" si="401"/>
        <v>87280.965147336712</v>
      </c>
      <c r="CL131" s="589">
        <f t="shared" si="437"/>
        <v>1.2546818269215563E-3</v>
      </c>
      <c r="CM131" s="196">
        <f t="shared" si="402"/>
        <v>8455.3289318804327</v>
      </c>
      <c r="CN131" s="589">
        <f t="shared" si="438"/>
        <v>1.2185089909466983E-3</v>
      </c>
      <c r="CO131" s="196">
        <f t="shared" si="403"/>
        <v>676.38358536485532</v>
      </c>
      <c r="CP131" s="589">
        <f t="shared" si="439"/>
        <v>1.275555259746722E-3</v>
      </c>
      <c r="CQ131" s="196">
        <f>'Detailed Budget'!$AC$12</f>
        <v>292876014141.44696</v>
      </c>
      <c r="CR131" s="269">
        <f t="shared" si="440"/>
        <v>0</v>
      </c>
      <c r="CS131" s="269">
        <f>'Detailed Budget'!$AC$16</f>
        <v>10488008800.000002</v>
      </c>
      <c r="CT131" s="607">
        <f t="shared" si="375"/>
        <v>0</v>
      </c>
      <c r="CU131" s="269">
        <f>'Detailed Budget'!$AC$24</f>
        <v>30624985696</v>
      </c>
      <c r="CV131" s="269">
        <f t="shared" si="264"/>
        <v>0</v>
      </c>
      <c r="CW131" s="269"/>
      <c r="CX131" s="269">
        <f t="shared" si="431"/>
        <v>0</v>
      </c>
      <c r="CY131" s="196">
        <f>'Detailed Budget'!$AC$97</f>
        <v>74629165494.837845</v>
      </c>
      <c r="CZ131" s="269">
        <f t="shared" si="376"/>
        <v>278830575.6333375</v>
      </c>
      <c r="DA131" s="269">
        <f>'Detailed Budget'!$AC$100</f>
        <v>14925833098.967569</v>
      </c>
      <c r="DB131" s="269">
        <f t="shared" si="377"/>
        <v>55766115.1266675</v>
      </c>
      <c r="DC131" s="269">
        <f t="shared" si="420"/>
        <v>334596690.760005</v>
      </c>
      <c r="DD131" s="207">
        <v>0</v>
      </c>
      <c r="DE131" s="606">
        <v>0</v>
      </c>
      <c r="DF131" s="269">
        <f>'Detailed Budget'!$AC$147</f>
        <v>5913600671000</v>
      </c>
      <c r="DG131" s="269">
        <f t="shared" si="258"/>
        <v>0</v>
      </c>
      <c r="DH131" s="269">
        <f>'Detailed Budget'!$AC$153</f>
        <v>226428026880.00003</v>
      </c>
      <c r="DI131" s="269"/>
      <c r="DJ131" s="269">
        <f>'Detailed Budget'!$AC$156</f>
        <v>27713070000</v>
      </c>
      <c r="DK131" s="269"/>
      <c r="DL131" s="269"/>
      <c r="DM131" s="196">
        <f>'Detailed Budget'!$AC$178</f>
        <v>5622683761.6229038</v>
      </c>
      <c r="DN131" s="269">
        <f t="shared" si="404"/>
        <v>28522819.903221846</v>
      </c>
      <c r="DO131" s="196">
        <f>'Detailed Budget'!$AC$179</f>
        <v>26827890683.128094</v>
      </c>
      <c r="DP131" s="269">
        <f t="shared" si="405"/>
        <v>136092857.72997752</v>
      </c>
      <c r="DQ131" s="269">
        <f t="shared" si="273"/>
        <v>164615677.63319936</v>
      </c>
      <c r="DR131" s="269">
        <f>'Detailed Budget'!$AC$181</f>
        <v>50888946855.375237</v>
      </c>
      <c r="DS131" s="269">
        <f t="shared" si="406"/>
        <v>206407909.43363896</v>
      </c>
      <c r="DT131" s="269">
        <f t="shared" si="407"/>
        <v>371023587.06683832</v>
      </c>
      <c r="DU131" s="272">
        <f>'Detailed Budget'!$AC$192</f>
        <v>77498869683.252869</v>
      </c>
      <c r="DV131" s="269">
        <f t="shared" si="378"/>
        <v>0</v>
      </c>
      <c r="DW131" s="140">
        <f>'Detailed Budget'!$AC$194</f>
        <v>2684962805.4134097</v>
      </c>
      <c r="DX131" s="269">
        <f t="shared" si="379"/>
        <v>0</v>
      </c>
      <c r="DY131" s="607">
        <f t="shared" si="421"/>
        <v>0</v>
      </c>
      <c r="DZ131" s="196">
        <f>'Detailed Budget'!$AC$198</f>
        <v>18732540018.380611</v>
      </c>
      <c r="EA131" s="269">
        <f t="shared" si="380"/>
        <v>34974602.458457574</v>
      </c>
      <c r="EB131" s="196">
        <f>'Detailed Budget'!$AC$200</f>
        <v>4683135004.5951529</v>
      </c>
      <c r="EC131" s="269">
        <f t="shared" si="381"/>
        <v>8743650.6146143936</v>
      </c>
      <c r="ED131" s="269">
        <f t="shared" si="422"/>
        <v>43718253.073071972</v>
      </c>
      <c r="EE131" s="196">
        <f>'Detailed Budget'!$AC$161</f>
        <v>251147290106.36197</v>
      </c>
      <c r="EF131" s="269">
        <f t="shared" si="382"/>
        <v>525327490.41393715</v>
      </c>
      <c r="EG131" s="196">
        <f>'Detailed Budget'!$AC$163</f>
        <v>15696705631.647623</v>
      </c>
      <c r="EH131" s="269">
        <f t="shared" si="383"/>
        <v>32832968.150871072</v>
      </c>
      <c r="EI131" s="269">
        <f t="shared" si="423"/>
        <v>558160458.56480825</v>
      </c>
      <c r="EJ131" s="196">
        <f>'Detailed Budget'!$AC$204</f>
        <v>45012172507.531975</v>
      </c>
      <c r="EK131" s="269">
        <f t="shared" si="384"/>
        <v>69732063.547398672</v>
      </c>
      <c r="EL131" s="201">
        <f>'Detailed Budget'!$AC$206</f>
        <v>11253043126.882994</v>
      </c>
      <c r="EM131" s="269">
        <f t="shared" si="385"/>
        <v>17433015.886849668</v>
      </c>
      <c r="EN131" s="269">
        <f t="shared" si="424"/>
        <v>87165079.434248343</v>
      </c>
      <c r="EO131" s="140">
        <f>'Detailed Budget'!$AC$209</f>
        <v>135789361677.54817</v>
      </c>
      <c r="EP131" s="269">
        <f t="shared" si="386"/>
        <v>170372444.38609812</v>
      </c>
      <c r="EQ131" s="196">
        <f>'Detailed Budget'!$AC$211</f>
        <v>33947340419.387043</v>
      </c>
      <c r="ER131" s="269">
        <f t="shared" si="387"/>
        <v>42593111.096524529</v>
      </c>
      <c r="ES131" s="269">
        <f t="shared" si="425"/>
        <v>212965555.48262265</v>
      </c>
      <c r="ET131" s="196">
        <f>'Detailed Budget'!$AC$214</f>
        <v>22239745544.201103</v>
      </c>
      <c r="EU131" s="269">
        <f t="shared" si="388"/>
        <v>27099329.901975814</v>
      </c>
      <c r="EV131" s="140">
        <f>'Detailed Budget'!$AC$217</f>
        <v>5559936386.0502758</v>
      </c>
      <c r="EW131" s="269">
        <f t="shared" si="389"/>
        <v>6774832.4754939536</v>
      </c>
      <c r="EX131" s="269">
        <f t="shared" si="426"/>
        <v>33874162.377469771</v>
      </c>
      <c r="EY131" s="196">
        <f>'Detailed Budget'!$AC$219</f>
        <v>372777004.58170313</v>
      </c>
      <c r="EZ131" s="269">
        <f t="shared" si="390"/>
        <v>475497.66890681931</v>
      </c>
      <c r="FA131" s="196">
        <f>'Detailed Budget'!$AC$222</f>
        <v>93194251.145425782</v>
      </c>
      <c r="FB131" s="269">
        <f t="shared" si="391"/>
        <v>118874.41722670483</v>
      </c>
      <c r="FC131" s="269">
        <f t="shared" si="427"/>
        <v>594372.08613352408</v>
      </c>
      <c r="FD131" s="269"/>
      <c r="FE131" s="269">
        <f t="shared" si="428"/>
        <v>334599169.38047433</v>
      </c>
      <c r="FF131" s="140">
        <f>'Detailed Budget'!$AC$165</f>
        <v>14927760000</v>
      </c>
      <c r="FG131" s="1087">
        <f t="shared" si="259"/>
        <v>456415415.44334203</v>
      </c>
      <c r="FH131" s="269">
        <f t="shared" si="392"/>
        <v>20353723.440518126</v>
      </c>
      <c r="FJ131" s="140">
        <f>'Detailed Budget'!$AC$235</f>
        <v>3623696172</v>
      </c>
      <c r="FK131" s="269">
        <f t="shared" si="393"/>
        <v>4681778</v>
      </c>
      <c r="FL131" s="269">
        <f t="shared" si="260"/>
        <v>4681778</v>
      </c>
      <c r="FO131" s="607"/>
      <c r="FP131" s="607"/>
      <c r="FQ131" s="607"/>
      <c r="FR131" s="269">
        <f>'Detailed Budget'!$AC$257</f>
        <v>13636439388</v>
      </c>
      <c r="FS131" s="269">
        <f t="shared" si="394"/>
        <v>21985392</v>
      </c>
      <c r="FT131" s="269">
        <f t="shared" si="261"/>
        <v>21985392</v>
      </c>
      <c r="FU131" s="269"/>
      <c r="FV131" s="269"/>
      <c r="FW131" s="616"/>
      <c r="FX131" s="140">
        <f>'Detailed Budget'!$AC$278</f>
        <v>1114560000</v>
      </c>
      <c r="FY131" s="269">
        <f t="shared" si="395"/>
        <v>1440000</v>
      </c>
      <c r="FZ131" s="269">
        <f t="shared" si="262"/>
        <v>1440000</v>
      </c>
      <c r="GB131" s="269">
        <f t="shared" si="271"/>
        <v>2146974467.729058</v>
      </c>
      <c r="GC131" s="887">
        <f t="shared" si="429"/>
        <v>1341859.0423306613</v>
      </c>
      <c r="GD131" s="1078">
        <f t="shared" si="272"/>
        <v>1.2047349801428365E-3</v>
      </c>
    </row>
    <row r="132" spans="1:186" hidden="1" outlineLevel="1">
      <c r="A132" s="211" t="s">
        <v>442</v>
      </c>
      <c r="B132" s="212" t="s">
        <v>443</v>
      </c>
      <c r="C132" s="213" t="s">
        <v>215</v>
      </c>
      <c r="D132" s="214" t="s">
        <v>215</v>
      </c>
      <c r="E132" s="213"/>
      <c r="F132" s="213"/>
      <c r="G132" s="213"/>
      <c r="H132" s="213" t="s">
        <v>215</v>
      </c>
      <c r="I132" s="214" t="s">
        <v>215</v>
      </c>
      <c r="J132" s="214"/>
      <c r="K132" s="213" t="s">
        <v>215</v>
      </c>
      <c r="L132" s="213"/>
      <c r="M132" s="214"/>
      <c r="N132" s="213"/>
      <c r="O132" s="214"/>
      <c r="P132" s="213"/>
      <c r="Q132" s="214"/>
      <c r="R132" s="214" t="s">
        <v>215</v>
      </c>
      <c r="S132" s="214"/>
      <c r="T132" s="214"/>
      <c r="U132" s="215">
        <f t="shared" si="396"/>
        <v>6</v>
      </c>
      <c r="V132" s="845" t="s">
        <v>219</v>
      </c>
      <c r="W132" s="216">
        <v>167619</v>
      </c>
      <c r="X132" s="217">
        <v>2.94</v>
      </c>
      <c r="Y132" s="218">
        <f t="shared" si="277"/>
        <v>1.0294000000000001</v>
      </c>
      <c r="Z132" s="196">
        <v>19</v>
      </c>
      <c r="AA132" s="218">
        <f t="shared" si="369"/>
        <v>1.7341997303889829</v>
      </c>
      <c r="AB132" s="196">
        <f t="shared" si="367"/>
        <v>290684.82460807095</v>
      </c>
      <c r="AC132">
        <v>17.100000000000001</v>
      </c>
      <c r="AD132" s="196">
        <f t="shared" si="368"/>
        <v>49707.105007980143</v>
      </c>
      <c r="AE132" s="196">
        <f t="shared" si="280"/>
        <v>47221.749757581136</v>
      </c>
      <c r="AF132" s="196">
        <f t="shared" si="397"/>
        <v>47221.749757581136</v>
      </c>
      <c r="AG132" s="606">
        <f t="shared" si="432"/>
        <v>2.1833264014247383E-3</v>
      </c>
      <c r="AH132" s="196">
        <f t="shared" si="408"/>
        <v>14534.241230403548</v>
      </c>
      <c r="AI132" s="248">
        <f t="shared" si="409"/>
        <v>1.1259456465929204E-3</v>
      </c>
      <c r="AJ132" s="196">
        <f t="shared" si="412"/>
        <v>64241.346238383689</v>
      </c>
      <c r="AK132" s="196">
        <f t="shared" si="278"/>
        <v>11627.392984322838</v>
      </c>
      <c r="AL132" s="196">
        <f t="shared" si="279"/>
        <v>11627.392984322838</v>
      </c>
      <c r="AM132" s="196">
        <f t="shared" si="413"/>
        <v>23254.785968645676</v>
      </c>
      <c r="AN132" s="627">
        <f t="shared" si="414"/>
        <v>1.1259456465929204E-3</v>
      </c>
      <c r="AO132" s="196">
        <f t="shared" si="415"/>
        <v>11046.023335106696</v>
      </c>
      <c r="AP132" s="589">
        <f t="shared" si="433"/>
        <v>1.1259456465929204E-3</v>
      </c>
      <c r="AQ132" s="196"/>
      <c r="AR132" s="589"/>
      <c r="AS132">
        <v>1</v>
      </c>
      <c r="AT132" s="589">
        <f t="shared" si="434"/>
        <v>1.2919896640826874E-3</v>
      </c>
      <c r="AU132" s="196">
        <v>14</v>
      </c>
      <c r="AV132" s="245">
        <f t="shared" si="416"/>
        <v>1.5907283263265539E-3</v>
      </c>
      <c r="AX132" s="245"/>
      <c r="AY132" s="245"/>
      <c r="AZ132" s="196">
        <v>51</v>
      </c>
      <c r="BA132" s="589">
        <f t="shared" si="265"/>
        <v>1.8687479388809498E-3</v>
      </c>
      <c r="BI132" s="196">
        <v>0</v>
      </c>
      <c r="BK132" s="246">
        <f t="shared" si="266"/>
        <v>0</v>
      </c>
      <c r="BL132" s="246"/>
      <c r="BM132" s="246">
        <f t="shared" si="267"/>
        <v>0</v>
      </c>
      <c r="BN132" s="196">
        <v>1</v>
      </c>
      <c r="BO132" s="196">
        <f t="shared" si="398"/>
        <v>21499.355032652369</v>
      </c>
      <c r="BP132" s="196">
        <f t="shared" si="417"/>
        <v>21499.355032652369</v>
      </c>
      <c r="BQ132" s="248">
        <f t="shared" si="268"/>
        <v>2.011164546226261E-3</v>
      </c>
      <c r="BR132" s="248"/>
      <c r="BS132" s="248"/>
      <c r="BT132" s="276">
        <v>1</v>
      </c>
      <c r="BU132" s="196">
        <f t="shared" si="410"/>
        <v>39368.02716632028</v>
      </c>
      <c r="BV132" s="264">
        <f t="shared" si="269"/>
        <v>2.7306409334723909E-3</v>
      </c>
      <c r="BW132" s="196">
        <f t="shared" si="411"/>
        <v>168407.67176703675</v>
      </c>
      <c r="BX132" s="247">
        <f t="shared" si="270"/>
        <v>2.7306409580701088E-3</v>
      </c>
      <c r="BY132" s="196">
        <f t="shared" si="276"/>
        <v>207775.69893335702</v>
      </c>
      <c r="BZ132" s="620">
        <v>0</v>
      </c>
      <c r="CA132" s="196">
        <f t="shared" si="371"/>
        <v>88949.556330069696</v>
      </c>
      <c r="CB132" s="196">
        <f t="shared" si="372"/>
        <v>177899.11266013939</v>
      </c>
      <c r="CC132" s="196">
        <f t="shared" si="430"/>
        <v>266848.66899020912</v>
      </c>
      <c r="CD132" s="247">
        <f t="shared" si="418"/>
        <v>1.1259456465929202E-3</v>
      </c>
      <c r="CE132" s="196">
        <f t="shared" si="399"/>
        <v>23273.301524950246</v>
      </c>
      <c r="CF132" s="247">
        <f t="shared" si="419"/>
        <v>1.005013538550566E-3</v>
      </c>
      <c r="CG132" s="196">
        <f t="shared" si="373"/>
        <v>44184.093340426785</v>
      </c>
      <c r="CH132" s="589">
        <f t="shared" si="435"/>
        <v>1.1259456465929204E-3</v>
      </c>
      <c r="CI132" s="196">
        <f t="shared" si="400"/>
        <v>50724.36173188992</v>
      </c>
      <c r="CJ132" s="248">
        <f t="shared" si="436"/>
        <v>8.3390837811681668E-4</v>
      </c>
      <c r="CK132" s="196">
        <f t="shared" si="401"/>
        <v>46982.414760274623</v>
      </c>
      <c r="CL132" s="589">
        <f t="shared" si="437"/>
        <v>6.7538187604936658E-4</v>
      </c>
      <c r="CM132" s="196">
        <f t="shared" si="402"/>
        <v>4551.4135887654993</v>
      </c>
      <c r="CN132" s="589">
        <f t="shared" si="438"/>
        <v>6.5591042336827739E-4</v>
      </c>
      <c r="CO132" s="196">
        <f t="shared" si="403"/>
        <v>364.09008643533451</v>
      </c>
      <c r="CP132" s="589">
        <f t="shared" si="439"/>
        <v>6.8661782281974424E-4</v>
      </c>
      <c r="CQ132" s="196">
        <f>'Detailed Budget'!$AC$12</f>
        <v>292876014141.44696</v>
      </c>
      <c r="CR132" s="269">
        <f t="shared" si="440"/>
        <v>0</v>
      </c>
      <c r="CS132" s="269">
        <f>'Detailed Budget'!$AC$16</f>
        <v>10488008800.000002</v>
      </c>
      <c r="CT132" s="607">
        <f t="shared" si="375"/>
        <v>0</v>
      </c>
      <c r="CU132" s="269">
        <f>'Detailed Budget'!$AC$24</f>
        <v>30624985696</v>
      </c>
      <c r="CV132" s="269">
        <f t="shared" si="264"/>
        <v>0</v>
      </c>
      <c r="CW132" s="269"/>
      <c r="CX132" s="269">
        <f t="shared" si="431"/>
        <v>0</v>
      </c>
      <c r="CY132" s="196">
        <f>'Detailed Budget'!$AC$97</f>
        <v>74629165494.837845</v>
      </c>
      <c r="CZ132" s="269">
        <f t="shared" si="376"/>
        <v>150091531.7576701</v>
      </c>
      <c r="DA132" s="269">
        <f>'Detailed Budget'!$AC$100</f>
        <v>14925833098.967569</v>
      </c>
      <c r="DB132" s="269">
        <f t="shared" si="377"/>
        <v>30018306.35153402</v>
      </c>
      <c r="DC132" s="269">
        <f t="shared" si="420"/>
        <v>180109838.10920411</v>
      </c>
      <c r="DD132" s="207">
        <v>0</v>
      </c>
      <c r="DE132" s="606">
        <v>0</v>
      </c>
      <c r="DF132" s="269">
        <f>'Detailed Budget'!$AC$147</f>
        <v>5913600671000</v>
      </c>
      <c r="DG132" s="269">
        <f t="shared" si="258"/>
        <v>0</v>
      </c>
      <c r="DH132" s="269">
        <f>'Detailed Budget'!$AC$153</f>
        <v>226428026880.00003</v>
      </c>
      <c r="DI132" s="269"/>
      <c r="DJ132" s="269">
        <f>'Detailed Budget'!$AC$156</f>
        <v>27713070000</v>
      </c>
      <c r="DK132" s="269"/>
      <c r="DL132" s="269"/>
      <c r="DM132" s="196">
        <f>'Detailed Budget'!$AC$178</f>
        <v>5622683761.6229038</v>
      </c>
      <c r="DN132" s="269">
        <f t="shared" si="404"/>
        <v>15353530.435458019</v>
      </c>
      <c r="DO132" s="196">
        <f>'Detailed Budget'!$AC$179</f>
        <v>26827890683.128094</v>
      </c>
      <c r="DP132" s="269">
        <f t="shared" si="405"/>
        <v>73257337.117977038</v>
      </c>
      <c r="DQ132" s="269">
        <f t="shared" si="273"/>
        <v>88610867.553435057</v>
      </c>
      <c r="DR132" s="269">
        <f>'Detailed Budget'!$AC$181</f>
        <v>50888946855.375237</v>
      </c>
      <c r="DS132" s="269">
        <f t="shared" si="406"/>
        <v>111107181.21004117</v>
      </c>
      <c r="DT132" s="269">
        <f t="shared" si="407"/>
        <v>199718048.76347622</v>
      </c>
      <c r="DU132" s="272">
        <f>'Detailed Budget'!$AC$192</f>
        <v>77498869683.252869</v>
      </c>
      <c r="DV132" s="269">
        <f t="shared" si="378"/>
        <v>0</v>
      </c>
      <c r="DW132" s="140">
        <f>'Detailed Budget'!$AC$194</f>
        <v>2684962805.4134097</v>
      </c>
      <c r="DX132" s="269">
        <f t="shared" si="379"/>
        <v>0</v>
      </c>
      <c r="DY132" s="607">
        <f t="shared" si="421"/>
        <v>0</v>
      </c>
      <c r="DZ132" s="196">
        <f>'Detailed Budget'!$AC$198</f>
        <v>18732540018.380611</v>
      </c>
      <c r="EA132" s="269">
        <f t="shared" si="380"/>
        <v>18826456.329912785</v>
      </c>
      <c r="EB132" s="196">
        <f>'Detailed Budget'!$AC$200</f>
        <v>4683135004.5951529</v>
      </c>
      <c r="EC132" s="269">
        <f t="shared" si="381"/>
        <v>4706614.0824781964</v>
      </c>
      <c r="ED132" s="269">
        <f t="shared" si="422"/>
        <v>23533070.412390981</v>
      </c>
      <c r="EE132" s="196">
        <f>'Detailed Budget'!$AC$161</f>
        <v>251147290106.36197</v>
      </c>
      <c r="EF132" s="269">
        <f t="shared" si="382"/>
        <v>282778197.9488675</v>
      </c>
      <c r="EG132" s="196">
        <f>'Detailed Budget'!$AC$163</f>
        <v>15696705631.647623</v>
      </c>
      <c r="EH132" s="269">
        <f t="shared" si="383"/>
        <v>17673637.371804219</v>
      </c>
      <c r="EI132" s="269">
        <f t="shared" si="423"/>
        <v>300451835.32067174</v>
      </c>
      <c r="EJ132" s="196">
        <f>'Detailed Budget'!$AC$204</f>
        <v>45012172507.531975</v>
      </c>
      <c r="EK132" s="269">
        <f t="shared" si="384"/>
        <v>37536027.771270357</v>
      </c>
      <c r="EL132" s="201">
        <f>'Detailed Budget'!$AC$206</f>
        <v>11253043126.882994</v>
      </c>
      <c r="EM132" s="269">
        <f t="shared" si="385"/>
        <v>9384006.9428175893</v>
      </c>
      <c r="EN132" s="269">
        <f t="shared" si="424"/>
        <v>46920034.714087948</v>
      </c>
      <c r="EO132" s="140">
        <f>'Detailed Budget'!$AC$209</f>
        <v>135789361677.54817</v>
      </c>
      <c r="EP132" s="269">
        <f t="shared" si="386"/>
        <v>91709673.837328449</v>
      </c>
      <c r="EQ132" s="196">
        <f>'Detailed Budget'!$AC$211</f>
        <v>33947340419.387043</v>
      </c>
      <c r="ER132" s="269">
        <f t="shared" si="387"/>
        <v>22927418.459332112</v>
      </c>
      <c r="ES132" s="269">
        <f t="shared" si="425"/>
        <v>114637092.29666056</v>
      </c>
      <c r="ET132" s="196">
        <f>'Detailed Budget'!$AC$214</f>
        <v>22239745544.201103</v>
      </c>
      <c r="EU132" s="269">
        <f t="shared" si="388"/>
        <v>14587280.915499706</v>
      </c>
      <c r="EV132" s="140">
        <f>'Detailed Budget'!$AC$217</f>
        <v>5559936386.0502758</v>
      </c>
      <c r="EW132" s="269">
        <f t="shared" si="389"/>
        <v>3646820.2288749265</v>
      </c>
      <c r="EX132" s="269">
        <f t="shared" si="426"/>
        <v>18234101.144374631</v>
      </c>
      <c r="EY132" s="196">
        <f>'Detailed Budget'!$AC$219</f>
        <v>372777004.58170313</v>
      </c>
      <c r="EZ132" s="269">
        <f t="shared" si="390"/>
        <v>255955.33528315483</v>
      </c>
      <c r="FA132" s="196">
        <f>'Detailed Budget'!$AC$222</f>
        <v>93194251.145425782</v>
      </c>
      <c r="FB132" s="269">
        <f t="shared" si="391"/>
        <v>63988.833820788706</v>
      </c>
      <c r="FC132" s="269">
        <f t="shared" si="427"/>
        <v>319944.16910394351</v>
      </c>
      <c r="FD132" s="269"/>
      <c r="FE132" s="269">
        <f t="shared" si="428"/>
        <v>180111172.32422709</v>
      </c>
      <c r="FF132" s="140">
        <f>'Detailed Budget'!$AC$165</f>
        <v>14927760000</v>
      </c>
      <c r="FG132" s="1087">
        <f t="shared" si="259"/>
        <v>245683561.3027873</v>
      </c>
      <c r="FH132" s="269">
        <f t="shared" si="392"/>
        <v>23746010.68060448</v>
      </c>
      <c r="FJ132" s="140">
        <f>'Detailed Budget'!$AC$235</f>
        <v>3623696172</v>
      </c>
      <c r="FK132" s="269">
        <f t="shared" si="393"/>
        <v>4681778</v>
      </c>
      <c r="FL132" s="269">
        <f t="shared" si="260"/>
        <v>4681778</v>
      </c>
      <c r="FO132" s="607"/>
      <c r="FP132" s="607"/>
      <c r="FQ132" s="607"/>
      <c r="FR132" s="269">
        <f>'Detailed Budget'!$AC$257</f>
        <v>13636439388</v>
      </c>
      <c r="FS132" s="269">
        <f t="shared" si="394"/>
        <v>25483068</v>
      </c>
      <c r="FT132" s="269">
        <f t="shared" si="261"/>
        <v>25483068</v>
      </c>
      <c r="FU132" s="269"/>
      <c r="FV132" s="269"/>
      <c r="FW132" s="616"/>
      <c r="FX132" s="140">
        <f>'Detailed Budget'!$AC$278</f>
        <v>1114560000</v>
      </c>
      <c r="FY132" s="269">
        <f t="shared" si="395"/>
        <v>1440000</v>
      </c>
      <c r="FZ132" s="269">
        <f t="shared" si="262"/>
        <v>1440000</v>
      </c>
      <c r="GB132" s="269">
        <f t="shared" si="271"/>
        <v>1184958382.913362</v>
      </c>
      <c r="GC132" s="887">
        <f t="shared" si="429"/>
        <v>740598.98932085128</v>
      </c>
      <c r="GD132" s="1078">
        <f t="shared" si="272"/>
        <v>6.6491746192920767E-4</v>
      </c>
    </row>
    <row r="133" spans="1:186" hidden="1" outlineLevel="1">
      <c r="A133" s="211" t="s">
        <v>444</v>
      </c>
      <c r="B133" s="212" t="s">
        <v>445</v>
      </c>
      <c r="C133" s="213" t="s">
        <v>215</v>
      </c>
      <c r="D133" s="214" t="s">
        <v>215</v>
      </c>
      <c r="E133" s="213"/>
      <c r="F133" s="213"/>
      <c r="G133" s="213"/>
      <c r="H133" s="213" t="s">
        <v>215</v>
      </c>
      <c r="I133" s="214" t="s">
        <v>215</v>
      </c>
      <c r="J133" s="214"/>
      <c r="K133" s="213" t="s">
        <v>215</v>
      </c>
      <c r="L133" s="213"/>
      <c r="M133" s="214"/>
      <c r="N133" s="213"/>
      <c r="O133" s="214"/>
      <c r="P133" s="213"/>
      <c r="Q133" s="214"/>
      <c r="R133" s="214" t="s">
        <v>215</v>
      </c>
      <c r="S133" s="214"/>
      <c r="T133" s="214"/>
      <c r="U133" s="215">
        <f t="shared" si="396"/>
        <v>6</v>
      </c>
      <c r="V133" s="845" t="s">
        <v>219</v>
      </c>
      <c r="W133" s="216">
        <v>124268</v>
      </c>
      <c r="X133" s="217">
        <v>2.94</v>
      </c>
      <c r="Y133" s="218">
        <f t="shared" si="277"/>
        <v>1.0294000000000001</v>
      </c>
      <c r="Z133" s="196">
        <v>19</v>
      </c>
      <c r="AA133" s="218">
        <f t="shared" si="369"/>
        <v>1.7341997303889829</v>
      </c>
      <c r="AB133" s="196">
        <f t="shared" si="367"/>
        <v>215505.53209597812</v>
      </c>
      <c r="AC133">
        <v>17.100000000000001</v>
      </c>
      <c r="AD133" s="196">
        <f t="shared" si="368"/>
        <v>36851.445988412263</v>
      </c>
      <c r="AE133" s="196">
        <f t="shared" si="280"/>
        <v>35008.873688991647</v>
      </c>
      <c r="AF133" s="196">
        <f t="shared" si="397"/>
        <v>35008.873688991647</v>
      </c>
      <c r="AG133" s="606">
        <f t="shared" si="432"/>
        <v>1.618656627543711E-3</v>
      </c>
      <c r="AH133" s="196">
        <f t="shared" si="408"/>
        <v>10775.276604798906</v>
      </c>
      <c r="AI133" s="248">
        <f t="shared" si="409"/>
        <v>8.3474435243504025E-4</v>
      </c>
      <c r="AJ133" s="196">
        <f t="shared" si="412"/>
        <v>47626.722593211169</v>
      </c>
      <c r="AK133" s="196">
        <f t="shared" si="278"/>
        <v>8620.2212838391242</v>
      </c>
      <c r="AL133" s="196">
        <f t="shared" si="279"/>
        <v>8620.2212838391242</v>
      </c>
      <c r="AM133" s="196">
        <f t="shared" si="413"/>
        <v>17240.442567678248</v>
      </c>
      <c r="AN133" s="627">
        <f t="shared" si="414"/>
        <v>8.3474435243504014E-4</v>
      </c>
      <c r="AO133" s="196">
        <f t="shared" si="415"/>
        <v>8189.2102196471687</v>
      </c>
      <c r="AP133" s="589">
        <f t="shared" si="433"/>
        <v>8.3474435243504025E-4</v>
      </c>
      <c r="AQ133" s="196"/>
      <c r="AR133" s="589"/>
      <c r="AS133">
        <v>1</v>
      </c>
      <c r="AT133" s="589">
        <f t="shared" si="434"/>
        <v>1.2919896640826874E-3</v>
      </c>
      <c r="AU133" s="196">
        <v>10</v>
      </c>
      <c r="AV133" s="245">
        <f t="shared" si="416"/>
        <v>1.1362345188046814E-3</v>
      </c>
      <c r="AX133" s="245"/>
      <c r="AY133" s="245"/>
      <c r="AZ133" s="196">
        <v>65</v>
      </c>
      <c r="BA133" s="589">
        <f t="shared" si="265"/>
        <v>2.381737569161995E-3</v>
      </c>
      <c r="BI133" s="196">
        <v>0</v>
      </c>
      <c r="BK133" s="246">
        <f t="shared" si="266"/>
        <v>0</v>
      </c>
      <c r="BL133" s="246"/>
      <c r="BM133" s="246">
        <f t="shared" si="267"/>
        <v>0</v>
      </c>
      <c r="BN133" s="196">
        <v>1</v>
      </c>
      <c r="BO133" s="196">
        <f t="shared" si="398"/>
        <v>15939.015572206279</v>
      </c>
      <c r="BP133" s="196">
        <f t="shared" si="417"/>
        <v>15939.015572206279</v>
      </c>
      <c r="BQ133" s="248">
        <f t="shared" si="268"/>
        <v>1.4910206828011442E-3</v>
      </c>
      <c r="BR133" s="248"/>
      <c r="BS133" s="248"/>
      <c r="BT133" s="276">
        <v>1</v>
      </c>
      <c r="BU133" s="196">
        <f t="shared" si="410"/>
        <v>29186.345222822514</v>
      </c>
      <c r="BV133" s="264">
        <f t="shared" si="269"/>
        <v>2.0244201881692825E-3</v>
      </c>
      <c r="BW133" s="196">
        <f t="shared" si="411"/>
        <v>124852.69900874076</v>
      </c>
      <c r="BX133" s="247">
        <f t="shared" si="270"/>
        <v>2.0244202064053371E-3</v>
      </c>
      <c r="BY133" s="196">
        <f t="shared" si="276"/>
        <v>154039.04423156328</v>
      </c>
      <c r="BZ133" s="620">
        <v>0</v>
      </c>
      <c r="CA133" s="196">
        <f t="shared" si="371"/>
        <v>65944.692821369303</v>
      </c>
      <c r="CB133" s="196">
        <f t="shared" si="372"/>
        <v>131889.38564273861</v>
      </c>
      <c r="CC133" s="196">
        <f t="shared" si="430"/>
        <v>197834.07846410791</v>
      </c>
      <c r="CD133" s="247">
        <f t="shared" si="418"/>
        <v>8.3474435243504025E-4</v>
      </c>
      <c r="CE133" s="196">
        <f t="shared" si="399"/>
        <v>17254.169479012024</v>
      </c>
      <c r="CF133" s="247">
        <f t="shared" si="419"/>
        <v>7.4508869763333346E-4</v>
      </c>
      <c r="CG133" s="196">
        <f t="shared" si="373"/>
        <v>32756.840878588675</v>
      </c>
      <c r="CH133" s="589">
        <f t="shared" si="435"/>
        <v>8.3474435243504025E-4</v>
      </c>
      <c r="CI133" s="196">
        <f t="shared" si="400"/>
        <v>37605.611438431777</v>
      </c>
      <c r="CJ133" s="248">
        <f t="shared" si="436"/>
        <v>6.1823615659215589E-4</v>
      </c>
      <c r="CK133" s="196">
        <f t="shared" si="401"/>
        <v>34831.437470870282</v>
      </c>
      <c r="CL133" s="589">
        <f t="shared" si="437"/>
        <v>5.0070907816478249E-4</v>
      </c>
      <c r="CM133" s="196">
        <f t="shared" si="402"/>
        <v>3374.289691793359</v>
      </c>
      <c r="CN133" s="589">
        <f t="shared" si="438"/>
        <v>4.8627349221227361E-4</v>
      </c>
      <c r="CO133" s="196">
        <f t="shared" si="403"/>
        <v>269.92612329835009</v>
      </c>
      <c r="CP133" s="589">
        <f t="shared" si="439"/>
        <v>5.0903909226378849E-4</v>
      </c>
      <c r="CQ133" s="196">
        <f>'Detailed Budget'!$AC$12</f>
        <v>292876014141.44696</v>
      </c>
      <c r="CR133" s="269">
        <f t="shared" si="440"/>
        <v>0</v>
      </c>
      <c r="CS133" s="269">
        <f>'Detailed Budget'!$AC$16</f>
        <v>10488008800.000002</v>
      </c>
      <c r="CT133" s="607">
        <f t="shared" si="375"/>
        <v>0</v>
      </c>
      <c r="CU133" s="269">
        <f>'Detailed Budget'!$AC$24</f>
        <v>30624985696</v>
      </c>
      <c r="CV133" s="269">
        <f t="shared" si="264"/>
        <v>0</v>
      </c>
      <c r="CW133" s="269"/>
      <c r="CX133" s="269">
        <f t="shared" si="431"/>
        <v>0</v>
      </c>
      <c r="CY133" s="196">
        <f>'Detailed Budget'!$AC$97</f>
        <v>74629165494.837845</v>
      </c>
      <c r="CZ133" s="269">
        <f t="shared" si="376"/>
        <v>111273629.29299271</v>
      </c>
      <c r="DA133" s="269">
        <f>'Detailed Budget'!$AC$100</f>
        <v>14925833098.967569</v>
      </c>
      <c r="DB133" s="269">
        <f t="shared" si="377"/>
        <v>22254725.858598545</v>
      </c>
      <c r="DC133" s="269">
        <f t="shared" si="420"/>
        <v>133528355.15159126</v>
      </c>
      <c r="DD133" s="207">
        <v>0</v>
      </c>
      <c r="DE133" s="606">
        <v>0</v>
      </c>
      <c r="DF133" s="269">
        <f>'Detailed Budget'!$AC$147</f>
        <v>5913600671000</v>
      </c>
      <c r="DG133" s="269">
        <f t="shared" si="258"/>
        <v>0</v>
      </c>
      <c r="DH133" s="269">
        <f>'Detailed Budget'!$AC$153</f>
        <v>226428026880.00003</v>
      </c>
      <c r="DI133" s="269"/>
      <c r="DJ133" s="269">
        <f>'Detailed Budget'!$AC$156</f>
        <v>27713070000</v>
      </c>
      <c r="DK133" s="269"/>
      <c r="DL133" s="269"/>
      <c r="DM133" s="196">
        <f>'Detailed Budget'!$AC$178</f>
        <v>5622683761.6229038</v>
      </c>
      <c r="DN133" s="269">
        <f t="shared" si="404"/>
        <v>11382674.518721009</v>
      </c>
      <c r="DO133" s="196">
        <f>'Detailed Budget'!$AC$179</f>
        <v>26827890683.128094</v>
      </c>
      <c r="DP133" s="269">
        <f t="shared" si="405"/>
        <v>54310923.994158</v>
      </c>
      <c r="DQ133" s="269">
        <f t="shared" si="273"/>
        <v>65693598.512879007</v>
      </c>
      <c r="DR133" s="269">
        <f>'Detailed Budget'!$AC$181</f>
        <v>50888946855.375237</v>
      </c>
      <c r="DS133" s="269">
        <f t="shared" si="406"/>
        <v>82371731.096172825</v>
      </c>
      <c r="DT133" s="269">
        <f t="shared" si="407"/>
        <v>148065329.60905182</v>
      </c>
      <c r="DU133" s="272">
        <f>'Detailed Budget'!$AC$192</f>
        <v>77498869683.252869</v>
      </c>
      <c r="DV133" s="269">
        <f t="shared" si="378"/>
        <v>0</v>
      </c>
      <c r="DW133" s="140">
        <f>'Detailed Budget'!$AC$194</f>
        <v>2684962805.4134097</v>
      </c>
      <c r="DX133" s="269">
        <f t="shared" si="379"/>
        <v>0</v>
      </c>
      <c r="DY133" s="607">
        <f t="shared" si="421"/>
        <v>0</v>
      </c>
      <c r="DZ133" s="196">
        <f>'Detailed Budget'!$AC$198</f>
        <v>18732540018.380611</v>
      </c>
      <c r="EA133" s="269">
        <f t="shared" si="380"/>
        <v>13957403.845659509</v>
      </c>
      <c r="EB133" s="196">
        <f>'Detailed Budget'!$AC$200</f>
        <v>4683135004.5951529</v>
      </c>
      <c r="EC133" s="269">
        <f t="shared" si="381"/>
        <v>3489350.9614148773</v>
      </c>
      <c r="ED133" s="269">
        <f t="shared" si="422"/>
        <v>17446754.807074387</v>
      </c>
      <c r="EE133" s="196">
        <f>'Detailed Budget'!$AC$161</f>
        <v>251147290106.36197</v>
      </c>
      <c r="EF133" s="269">
        <f t="shared" si="382"/>
        <v>209643782.0456503</v>
      </c>
      <c r="EG133" s="196">
        <f>'Detailed Budget'!$AC$163</f>
        <v>15696705631.647623</v>
      </c>
      <c r="EH133" s="269">
        <f t="shared" si="383"/>
        <v>13102736.377853144</v>
      </c>
      <c r="EI133" s="269">
        <f t="shared" si="423"/>
        <v>222746518.42350346</v>
      </c>
      <c r="EJ133" s="196">
        <f>'Detailed Budget'!$AC$204</f>
        <v>45012172507.531975</v>
      </c>
      <c r="EK133" s="269">
        <f t="shared" si="384"/>
        <v>27828152.530919671</v>
      </c>
      <c r="EL133" s="201">
        <f>'Detailed Budget'!$AC$206</f>
        <v>11253043126.882994</v>
      </c>
      <c r="EM133" s="269">
        <f t="shared" si="385"/>
        <v>6957038.1327299178</v>
      </c>
      <c r="EN133" s="269">
        <f t="shared" si="424"/>
        <v>34785190.663649589</v>
      </c>
      <c r="EO133" s="140">
        <f>'Detailed Budget'!$AC$209</f>
        <v>135789361677.54817</v>
      </c>
      <c r="EP133" s="269">
        <f t="shared" si="386"/>
        <v>67990966.110149384</v>
      </c>
      <c r="EQ133" s="196">
        <f>'Detailed Budget'!$AC$211</f>
        <v>33947340419.387043</v>
      </c>
      <c r="ER133" s="269">
        <f t="shared" si="387"/>
        <v>16997741.527537346</v>
      </c>
      <c r="ES133" s="269">
        <f t="shared" si="425"/>
        <v>84988707.637686729</v>
      </c>
      <c r="ET133" s="196">
        <f>'Detailed Budget'!$AC$214</f>
        <v>22239745544.201103</v>
      </c>
      <c r="EU133" s="269">
        <f t="shared" si="388"/>
        <v>10814598.731691021</v>
      </c>
      <c r="EV133" s="140">
        <f>'Detailed Budget'!$AC$217</f>
        <v>5559936386.0502758</v>
      </c>
      <c r="EW133" s="269">
        <f t="shared" si="389"/>
        <v>2703649.6829227554</v>
      </c>
      <c r="EX133" s="269">
        <f t="shared" si="426"/>
        <v>13518248.414613776</v>
      </c>
      <c r="EY133" s="196">
        <f>'Detailed Budget'!$AC$219</f>
        <v>372777004.58170313</v>
      </c>
      <c r="EZ133" s="269">
        <f t="shared" si="390"/>
        <v>189758.06802908427</v>
      </c>
      <c r="FA133" s="196">
        <f>'Detailed Budget'!$AC$222</f>
        <v>93194251.145425782</v>
      </c>
      <c r="FB133" s="269">
        <f t="shared" si="391"/>
        <v>47439.517007271068</v>
      </c>
      <c r="FC133" s="269">
        <f t="shared" si="427"/>
        <v>237197.58503635533</v>
      </c>
      <c r="FD133" s="269"/>
      <c r="FE133" s="269">
        <f t="shared" si="428"/>
        <v>133529344.30098645</v>
      </c>
      <c r="FF133" s="140">
        <f>'Detailed Budget'!$AC$165</f>
        <v>14927760000</v>
      </c>
      <c r="FG133" s="1087">
        <f t="shared" si="259"/>
        <v>182142864.44839048</v>
      </c>
      <c r="FH133" s="269">
        <f t="shared" si="392"/>
        <v>16961436.200431772</v>
      </c>
      <c r="FJ133" s="140">
        <f>'Detailed Budget'!$AC$235</f>
        <v>3623696172</v>
      </c>
      <c r="FK133" s="269">
        <f t="shared" si="393"/>
        <v>4681778</v>
      </c>
      <c r="FL133" s="269">
        <f t="shared" si="260"/>
        <v>4681778</v>
      </c>
      <c r="FO133" s="607"/>
      <c r="FP133" s="607"/>
      <c r="FQ133" s="607"/>
      <c r="FR133" s="269">
        <f>'Detailed Budget'!$AC$257</f>
        <v>13636439388</v>
      </c>
      <c r="FS133" s="269">
        <f t="shared" si="394"/>
        <v>32478420.000000004</v>
      </c>
      <c r="FT133" s="269">
        <f t="shared" si="261"/>
        <v>32478420.000000004</v>
      </c>
      <c r="FU133" s="269"/>
      <c r="FV133" s="269"/>
      <c r="FW133" s="616"/>
      <c r="FX133" s="140">
        <f>'Detailed Budget'!$AC$278</f>
        <v>1114560000</v>
      </c>
      <c r="FY133" s="269">
        <f t="shared" si="395"/>
        <v>1440000</v>
      </c>
      <c r="FZ133" s="269">
        <f t="shared" si="262"/>
        <v>1440000</v>
      </c>
      <c r="GB133" s="269">
        <f t="shared" si="271"/>
        <v>893020800.94102967</v>
      </c>
      <c r="GC133" s="887">
        <f t="shared" si="429"/>
        <v>558138.00058814359</v>
      </c>
      <c r="GD133" s="1078">
        <f t="shared" si="272"/>
        <v>5.0110209183195601E-4</v>
      </c>
    </row>
    <row r="134" spans="1:186" hidden="1" outlineLevel="1">
      <c r="A134" s="211" t="s">
        <v>446</v>
      </c>
      <c r="B134" s="212" t="s">
        <v>447</v>
      </c>
      <c r="C134" s="213" t="s">
        <v>215</v>
      </c>
      <c r="D134" s="214" t="s">
        <v>215</v>
      </c>
      <c r="E134" s="213"/>
      <c r="F134" s="213"/>
      <c r="G134" s="213"/>
      <c r="H134" s="213" t="s">
        <v>215</v>
      </c>
      <c r="I134" s="214" t="s">
        <v>215</v>
      </c>
      <c r="J134" s="214"/>
      <c r="K134" s="213" t="s">
        <v>215</v>
      </c>
      <c r="L134" s="213"/>
      <c r="M134" s="214"/>
      <c r="N134" s="213"/>
      <c r="O134" s="214"/>
      <c r="P134" s="213"/>
      <c r="Q134" s="214"/>
      <c r="R134" s="214" t="s">
        <v>215</v>
      </c>
      <c r="S134" s="214"/>
      <c r="T134" s="214"/>
      <c r="U134" s="215">
        <f t="shared" si="396"/>
        <v>6</v>
      </c>
      <c r="V134" s="845" t="s">
        <v>219</v>
      </c>
      <c r="W134" s="216">
        <v>142316</v>
      </c>
      <c r="X134" s="217">
        <v>2.94</v>
      </c>
      <c r="Y134" s="218">
        <f t="shared" si="277"/>
        <v>1.0294000000000001</v>
      </c>
      <c r="Z134" s="196">
        <v>19</v>
      </c>
      <c r="AA134" s="218">
        <f t="shared" si="369"/>
        <v>1.7341997303889829</v>
      </c>
      <c r="AB134" s="196">
        <f t="shared" si="367"/>
        <v>246804.3688300385</v>
      </c>
      <c r="AC134">
        <v>17.100000000000001</v>
      </c>
      <c r="AD134" s="196">
        <f t="shared" si="368"/>
        <v>42203.547069936591</v>
      </c>
      <c r="AE134" s="196">
        <f t="shared" si="280"/>
        <v>40093.36971643976</v>
      </c>
      <c r="AF134" s="196">
        <f t="shared" si="397"/>
        <v>40093.36971643976</v>
      </c>
      <c r="AG134" s="606">
        <f t="shared" si="432"/>
        <v>1.8537414024971095E-3</v>
      </c>
      <c r="AH134" s="196">
        <f t="shared" si="408"/>
        <v>12340.218441501926</v>
      </c>
      <c r="AI134" s="248">
        <f t="shared" si="409"/>
        <v>9.5597802540593876E-4</v>
      </c>
      <c r="AJ134" s="196">
        <f t="shared" si="412"/>
        <v>54543.765511438512</v>
      </c>
      <c r="AK134" s="196">
        <f t="shared" si="278"/>
        <v>9872.1747532015397</v>
      </c>
      <c r="AL134" s="196">
        <f t="shared" si="279"/>
        <v>9872.1747532015397</v>
      </c>
      <c r="AM134" s="196">
        <f t="shared" si="413"/>
        <v>19744.349506403079</v>
      </c>
      <c r="AN134" s="627">
        <f t="shared" si="414"/>
        <v>9.5597802540593876E-4</v>
      </c>
      <c r="AO134" s="196">
        <f t="shared" si="415"/>
        <v>9378.5660155414625</v>
      </c>
      <c r="AP134" s="589">
        <f t="shared" si="433"/>
        <v>9.5597802540593865E-4</v>
      </c>
      <c r="AQ134" s="196"/>
      <c r="AR134" s="589"/>
      <c r="AS134">
        <v>1</v>
      </c>
      <c r="AT134" s="589">
        <f t="shared" si="434"/>
        <v>1.2919896640826874E-3</v>
      </c>
      <c r="AU134" s="196">
        <v>14</v>
      </c>
      <c r="AV134" s="245">
        <f t="shared" si="416"/>
        <v>1.5907283263265539E-3</v>
      </c>
      <c r="AX134" s="245"/>
      <c r="AY134" s="245"/>
      <c r="AZ134" s="196">
        <v>62</v>
      </c>
      <c r="BA134" s="589">
        <f t="shared" si="265"/>
        <v>2.2718112198160567E-3</v>
      </c>
      <c r="BI134" s="196">
        <v>0</v>
      </c>
      <c r="BK134" s="246">
        <f t="shared" si="266"/>
        <v>0</v>
      </c>
      <c r="BL134" s="246"/>
      <c r="BM134" s="246">
        <f t="shared" si="267"/>
        <v>0</v>
      </c>
      <c r="BN134" s="196">
        <v>1</v>
      </c>
      <c r="BO134" s="196">
        <f t="shared" si="398"/>
        <v>18253.910420817174</v>
      </c>
      <c r="BP134" s="196">
        <f t="shared" si="417"/>
        <v>18253.910420817174</v>
      </c>
      <c r="BQ134" s="248">
        <f t="shared" si="268"/>
        <v>1.7075683160067564E-3</v>
      </c>
      <c r="BR134" s="248"/>
      <c r="BS134" s="248"/>
      <c r="BT134" s="276">
        <v>1</v>
      </c>
      <c r="BU134" s="196">
        <f t="shared" si="410"/>
        <v>33425.209279389783</v>
      </c>
      <c r="BV134" s="264">
        <f t="shared" si="269"/>
        <v>2.3184358282059715E-3</v>
      </c>
      <c r="BW134" s="196">
        <f t="shared" si="411"/>
        <v>142985.61747294519</v>
      </c>
      <c r="BX134" s="247">
        <f t="shared" si="270"/>
        <v>2.3184358490905303E-3</v>
      </c>
      <c r="BY134" s="196">
        <f t="shared" si="276"/>
        <v>176410.82675233498</v>
      </c>
      <c r="BZ134" s="620">
        <v>0</v>
      </c>
      <c r="CA134" s="196">
        <f t="shared" si="371"/>
        <v>75522.136861991778</v>
      </c>
      <c r="CB134" s="196">
        <f t="shared" si="372"/>
        <v>151044.27372398356</v>
      </c>
      <c r="CC134" s="196">
        <f t="shared" si="430"/>
        <v>226566.41058597533</v>
      </c>
      <c r="CD134" s="247">
        <f t="shared" si="418"/>
        <v>9.5597802540593865E-4</v>
      </c>
      <c r="CE134" s="196">
        <f t="shared" si="399"/>
        <v>19760.070038747508</v>
      </c>
      <c r="CF134" s="247">
        <f t="shared" si="419"/>
        <v>8.5330127701729722E-4</v>
      </c>
      <c r="CG134" s="196">
        <f t="shared" si="373"/>
        <v>37514.26406216585</v>
      </c>
      <c r="CH134" s="589">
        <f t="shared" si="435"/>
        <v>9.5597802540593865E-4</v>
      </c>
      <c r="CI134" s="196">
        <f t="shared" si="400"/>
        <v>43067.243356872706</v>
      </c>
      <c r="CJ134" s="248">
        <f t="shared" si="436"/>
        <v>7.0802537146786996E-4</v>
      </c>
      <c r="CK134" s="196">
        <f t="shared" si="401"/>
        <v>39890.163639105609</v>
      </c>
      <c r="CL134" s="589">
        <f t="shared" si="437"/>
        <v>5.7342930736874491E-4</v>
      </c>
      <c r="CM134" s="196">
        <f t="shared" si="402"/>
        <v>3864.3529450644073</v>
      </c>
      <c r="CN134" s="589">
        <f t="shared" si="438"/>
        <v>5.5689717640649194E-4</v>
      </c>
      <c r="CO134" s="196">
        <f t="shared" si="403"/>
        <v>309.12870701490328</v>
      </c>
      <c r="CP134" s="589">
        <f t="shared" si="439"/>
        <v>5.8296912684370353E-4</v>
      </c>
      <c r="CQ134" s="196">
        <f>'Detailed Budget'!$AC$12</f>
        <v>292876014141.44696</v>
      </c>
      <c r="CR134" s="269">
        <f t="shared" si="440"/>
        <v>0</v>
      </c>
      <c r="CS134" s="269">
        <f>'Detailed Budget'!$AC$16</f>
        <v>10488008800.000002</v>
      </c>
      <c r="CT134" s="607">
        <f t="shared" si="375"/>
        <v>0</v>
      </c>
      <c r="CU134" s="269">
        <f>'Detailed Budget'!$AC$24</f>
        <v>30624985696</v>
      </c>
      <c r="CV134" s="269">
        <f t="shared" si="264"/>
        <v>0</v>
      </c>
      <c r="CW134" s="269"/>
      <c r="CX134" s="269">
        <f t="shared" si="431"/>
        <v>0</v>
      </c>
      <c r="CY134" s="196">
        <f>'Detailed Budget'!$AC$97</f>
        <v>74629165494.837845</v>
      </c>
      <c r="CZ134" s="269">
        <f t="shared" si="376"/>
        <v>127434398.44900979</v>
      </c>
      <c r="DA134" s="269">
        <f>'Detailed Budget'!$AC$100</f>
        <v>14925833098.967569</v>
      </c>
      <c r="DB134" s="269">
        <f t="shared" si="377"/>
        <v>25486879.689801957</v>
      </c>
      <c r="DC134" s="269">
        <f t="shared" si="420"/>
        <v>152921278.13881174</v>
      </c>
      <c r="DD134" s="207">
        <v>0</v>
      </c>
      <c r="DE134" s="606">
        <v>0</v>
      </c>
      <c r="DF134" s="269">
        <f>'Detailed Budget'!$AC$147</f>
        <v>5913600671000</v>
      </c>
      <c r="DG134" s="269">
        <f t="shared" si="258"/>
        <v>0</v>
      </c>
      <c r="DH134" s="269">
        <f>'Detailed Budget'!$AC$153</f>
        <v>226428026880.00003</v>
      </c>
      <c r="DI134" s="269"/>
      <c r="DJ134" s="269">
        <f>'Detailed Budget'!$AC$156</f>
        <v>27713070000</v>
      </c>
      <c r="DK134" s="269"/>
      <c r="DL134" s="269"/>
      <c r="DM134" s="196">
        <f>'Detailed Budget'!$AC$178</f>
        <v>5622683761.6229038</v>
      </c>
      <c r="DN134" s="269">
        <f t="shared" si="404"/>
        <v>13035831.483618464</v>
      </c>
      <c r="DO134" s="196">
        <f>'Detailed Budget'!$AC$179</f>
        <v>26827890683.128094</v>
      </c>
      <c r="DP134" s="269">
        <f t="shared" si="405"/>
        <v>62198743.515246011</v>
      </c>
      <c r="DQ134" s="269">
        <f t="shared" si="273"/>
        <v>75234574.998864472</v>
      </c>
      <c r="DR134" s="269">
        <f>'Detailed Budget'!$AC$181</f>
        <v>50888946855.375237</v>
      </c>
      <c r="DS134" s="269">
        <f t="shared" si="406"/>
        <v>94334947.715284169</v>
      </c>
      <c r="DT134" s="269">
        <f t="shared" si="407"/>
        <v>169569522.71414864</v>
      </c>
      <c r="DU134" s="272">
        <f>'Detailed Budget'!$AC$192</f>
        <v>77498869683.252869</v>
      </c>
      <c r="DV134" s="269">
        <f t="shared" si="378"/>
        <v>0</v>
      </c>
      <c r="DW134" s="140">
        <f>'Detailed Budget'!$AC$194</f>
        <v>2684962805.4134097</v>
      </c>
      <c r="DX134" s="269">
        <f t="shared" si="379"/>
        <v>0</v>
      </c>
      <c r="DY134" s="607">
        <f t="shared" si="421"/>
        <v>0</v>
      </c>
      <c r="DZ134" s="196">
        <f>'Detailed Budget'!$AC$198</f>
        <v>18732540018.380611</v>
      </c>
      <c r="EA134" s="269">
        <f t="shared" si="380"/>
        <v>15984500.3194618</v>
      </c>
      <c r="EB134" s="196">
        <f>'Detailed Budget'!$AC$200</f>
        <v>4683135004.5951529</v>
      </c>
      <c r="EC134" s="269">
        <f t="shared" si="381"/>
        <v>3996125.07986545</v>
      </c>
      <c r="ED134" s="269">
        <f t="shared" si="422"/>
        <v>19980625.399327248</v>
      </c>
      <c r="EE134" s="196">
        <f>'Detailed Budget'!$AC$161</f>
        <v>251147290106.36197</v>
      </c>
      <c r="EF134" s="269">
        <f t="shared" si="382"/>
        <v>240091290.48193234</v>
      </c>
      <c r="EG134" s="196">
        <f>'Detailed Budget'!$AC$163</f>
        <v>15696705631.647623</v>
      </c>
      <c r="EH134" s="269">
        <f t="shared" si="383"/>
        <v>15005705.655120771</v>
      </c>
      <c r="EI134" s="269">
        <f t="shared" si="423"/>
        <v>255096996.1370531</v>
      </c>
      <c r="EJ134" s="196">
        <f>'Detailed Budget'!$AC$204</f>
        <v>45012172507.531975</v>
      </c>
      <c r="EK134" s="269">
        <f t="shared" si="384"/>
        <v>31869760.160221171</v>
      </c>
      <c r="EL134" s="201">
        <f>'Detailed Budget'!$AC$206</f>
        <v>11253043126.882994</v>
      </c>
      <c r="EM134" s="269">
        <f t="shared" si="385"/>
        <v>7967440.0400552927</v>
      </c>
      <c r="EN134" s="269">
        <f t="shared" si="424"/>
        <v>39837200.200276464</v>
      </c>
      <c r="EO134" s="140">
        <f>'Detailed Budget'!$AC$209</f>
        <v>135789361677.54817</v>
      </c>
      <c r="EP134" s="269">
        <f t="shared" si="386"/>
        <v>77865599.614800438</v>
      </c>
      <c r="EQ134" s="196">
        <f>'Detailed Budget'!$AC$211</f>
        <v>33947340419.387043</v>
      </c>
      <c r="ER134" s="269">
        <f t="shared" si="387"/>
        <v>19466399.90370011</v>
      </c>
      <c r="ES134" s="269">
        <f t="shared" si="425"/>
        <v>97331999.518500552</v>
      </c>
      <c r="ET134" s="196">
        <f>'Detailed Budget'!$AC$214</f>
        <v>22239745544.201103</v>
      </c>
      <c r="EU134" s="269">
        <f t="shared" si="388"/>
        <v>12385251.497564455</v>
      </c>
      <c r="EV134" s="140">
        <f>'Detailed Budget'!$AC$217</f>
        <v>5559936386.0502758</v>
      </c>
      <c r="EW134" s="269">
        <f t="shared" si="389"/>
        <v>3096312.8743911139</v>
      </c>
      <c r="EX134" s="269">
        <f t="shared" si="426"/>
        <v>15481564.37195557</v>
      </c>
      <c r="EY134" s="196">
        <f>'Detailed Budget'!$AC$219</f>
        <v>372777004.58170313</v>
      </c>
      <c r="EZ134" s="269">
        <f t="shared" si="390"/>
        <v>217317.48486840675</v>
      </c>
      <c r="FA134" s="196">
        <f>'Detailed Budget'!$AC$222</f>
        <v>93194251.145425782</v>
      </c>
      <c r="FB134" s="269">
        <f t="shared" si="391"/>
        <v>54329.371217101689</v>
      </c>
      <c r="FC134" s="269">
        <f t="shared" si="427"/>
        <v>271646.85608550842</v>
      </c>
      <c r="FD134" s="269"/>
      <c r="FE134" s="269">
        <f t="shared" si="428"/>
        <v>152922410.94681808</v>
      </c>
      <c r="FF134" s="140">
        <f>'Detailed Budget'!$AC$165</f>
        <v>14927760000</v>
      </c>
      <c r="FG134" s="1087">
        <f t="shared" si="259"/>
        <v>208596291.05511591</v>
      </c>
      <c r="FH134" s="269">
        <f t="shared" si="392"/>
        <v>23746010.68060448</v>
      </c>
      <c r="FJ134" s="140">
        <f>'Detailed Budget'!$AC$235</f>
        <v>3623696172</v>
      </c>
      <c r="FK134" s="269">
        <f t="shared" si="393"/>
        <v>4681778</v>
      </c>
      <c r="FL134" s="269">
        <f t="shared" si="260"/>
        <v>4681778</v>
      </c>
      <c r="FO134" s="607"/>
      <c r="FP134" s="607"/>
      <c r="FQ134" s="607"/>
      <c r="FR134" s="269">
        <f>'Detailed Budget'!$AC$257</f>
        <v>13636439388</v>
      </c>
      <c r="FS134" s="269">
        <f t="shared" si="394"/>
        <v>30979416.000000004</v>
      </c>
      <c r="FT134" s="269">
        <f t="shared" si="261"/>
        <v>30979416.000000004</v>
      </c>
      <c r="FU134" s="269"/>
      <c r="FV134" s="269"/>
      <c r="FW134" s="616"/>
      <c r="FX134" s="140">
        <f>'Detailed Budget'!$AC$278</f>
        <v>1114560000</v>
      </c>
      <c r="FY134" s="269">
        <f t="shared" si="395"/>
        <v>1440000</v>
      </c>
      <c r="FZ134" s="269">
        <f t="shared" si="262"/>
        <v>1440000</v>
      </c>
      <c r="GB134" s="269">
        <f t="shared" si="271"/>
        <v>1019934329.0718793</v>
      </c>
      <c r="GC134" s="887">
        <f t="shared" si="429"/>
        <v>637458.9556699245</v>
      </c>
      <c r="GD134" s="1078">
        <f t="shared" si="272"/>
        <v>5.7231726885932979E-4</v>
      </c>
    </row>
    <row r="135" spans="1:186" hidden="1" outlineLevel="1">
      <c r="A135" s="211" t="s">
        <v>448</v>
      </c>
      <c r="B135" s="212" t="s">
        <v>449</v>
      </c>
      <c r="C135" s="213" t="s">
        <v>215</v>
      </c>
      <c r="D135" s="214" t="s">
        <v>215</v>
      </c>
      <c r="E135" s="213"/>
      <c r="F135" s="213"/>
      <c r="G135" s="213"/>
      <c r="H135" s="213" t="s">
        <v>215</v>
      </c>
      <c r="I135" s="214" t="s">
        <v>215</v>
      </c>
      <c r="J135" s="214"/>
      <c r="K135" s="213" t="s">
        <v>215</v>
      </c>
      <c r="L135" s="213"/>
      <c r="M135" s="214"/>
      <c r="N135" s="213"/>
      <c r="O135" s="214"/>
      <c r="P135" s="213"/>
      <c r="Q135" s="214"/>
      <c r="R135" s="214" t="s">
        <v>215</v>
      </c>
      <c r="S135" s="214"/>
      <c r="T135" s="214"/>
      <c r="U135" s="215">
        <f t="shared" si="396"/>
        <v>6</v>
      </c>
      <c r="V135" s="845" t="s">
        <v>219</v>
      </c>
      <c r="W135" s="216">
        <v>105173</v>
      </c>
      <c r="X135" s="217">
        <v>2.94</v>
      </c>
      <c r="Y135" s="218">
        <f t="shared" si="277"/>
        <v>1.0294000000000001</v>
      </c>
      <c r="Z135" s="196">
        <v>19</v>
      </c>
      <c r="AA135" s="218">
        <f t="shared" si="369"/>
        <v>1.7341997303889829</v>
      </c>
      <c r="AB135" s="196">
        <f t="shared" si="367"/>
        <v>182390.9882442005</v>
      </c>
      <c r="AC135">
        <v>17.100000000000001</v>
      </c>
      <c r="AD135" s="196">
        <f t="shared" si="368"/>
        <v>31188.858989758286</v>
      </c>
      <c r="AE135" s="196">
        <f t="shared" si="280"/>
        <v>29629.416040270371</v>
      </c>
      <c r="AF135" s="196">
        <f t="shared" si="397"/>
        <v>29629.416040270371</v>
      </c>
      <c r="AG135" s="606">
        <f t="shared" si="432"/>
        <v>1.3699341221284217E-3</v>
      </c>
      <c r="AH135" s="196">
        <f t="shared" si="408"/>
        <v>9119.5494122100263</v>
      </c>
      <c r="AI135" s="248">
        <f t="shared" si="409"/>
        <v>7.06477675496914E-4</v>
      </c>
      <c r="AJ135" s="196">
        <f t="shared" si="412"/>
        <v>40308.408401968314</v>
      </c>
      <c r="AK135" s="196">
        <f t="shared" si="278"/>
        <v>7295.6395297680201</v>
      </c>
      <c r="AL135" s="196">
        <f t="shared" si="279"/>
        <v>7295.6395297680201</v>
      </c>
      <c r="AM135" s="196">
        <f t="shared" si="413"/>
        <v>14591.27905953604</v>
      </c>
      <c r="AN135" s="627">
        <f t="shared" si="414"/>
        <v>7.0647767549691389E-4</v>
      </c>
      <c r="AO135" s="196">
        <f t="shared" si="415"/>
        <v>6930.8575532796185</v>
      </c>
      <c r="AP135" s="589">
        <f t="shared" si="433"/>
        <v>7.0647767549691378E-4</v>
      </c>
      <c r="AQ135" s="196"/>
      <c r="AR135" s="589"/>
      <c r="AS135">
        <v>1</v>
      </c>
      <c r="AT135" s="589">
        <f t="shared" si="434"/>
        <v>1.2919896640826874E-3</v>
      </c>
      <c r="AU135" s="196">
        <v>10</v>
      </c>
      <c r="AV135" s="245">
        <f t="shared" si="416"/>
        <v>1.1362345188046814E-3</v>
      </c>
      <c r="AX135" s="245"/>
      <c r="AY135" s="245"/>
      <c r="AZ135" s="196">
        <v>46</v>
      </c>
      <c r="BA135" s="589">
        <f t="shared" si="265"/>
        <v>1.6855373566377193E-3</v>
      </c>
      <c r="BI135" s="196">
        <v>0</v>
      </c>
      <c r="BK135" s="246">
        <f t="shared" si="266"/>
        <v>0</v>
      </c>
      <c r="BL135" s="246"/>
      <c r="BM135" s="246">
        <f t="shared" si="267"/>
        <v>0</v>
      </c>
      <c r="BN135" s="196">
        <v>1</v>
      </c>
      <c r="BO135" s="196">
        <f t="shared" si="398"/>
        <v>13489.829117517389</v>
      </c>
      <c r="BP135" s="196">
        <f t="shared" si="417"/>
        <v>13489.829117517389</v>
      </c>
      <c r="BQ135" s="248">
        <f t="shared" si="268"/>
        <v>1.2619106952091023E-3</v>
      </c>
      <c r="BR135" s="248"/>
      <c r="BS135" s="248"/>
      <c r="BT135" s="276">
        <v>1</v>
      </c>
      <c r="BU135" s="196">
        <f t="shared" si="410"/>
        <v>24701.576319888562</v>
      </c>
      <c r="BV135" s="264">
        <f t="shared" si="269"/>
        <v>1.7133481222062633E-3</v>
      </c>
      <c r="BW135" s="196">
        <f t="shared" si="411"/>
        <v>105667.85425730108</v>
      </c>
      <c r="BX135" s="247">
        <f t="shared" si="270"/>
        <v>1.713348137640169E-3</v>
      </c>
      <c r="BY135" s="196">
        <f t="shared" si="276"/>
        <v>130369.43057718963</v>
      </c>
      <c r="BZ135" s="620">
        <v>0</v>
      </c>
      <c r="CA135" s="196">
        <f t="shared" si="371"/>
        <v>55811.64240272536</v>
      </c>
      <c r="CB135" s="196">
        <f t="shared" si="372"/>
        <v>111623.28480545072</v>
      </c>
      <c r="CC135" s="196">
        <f t="shared" si="430"/>
        <v>167434.92720817609</v>
      </c>
      <c r="CD135" s="247">
        <f t="shared" si="418"/>
        <v>7.06477675496914E-4</v>
      </c>
      <c r="CE135" s="196">
        <f t="shared" si="399"/>
        <v>14602.896695980719</v>
      </c>
      <c r="CF135" s="247">
        <f t="shared" si="419"/>
        <v>6.3059849354774034E-4</v>
      </c>
      <c r="CG135" s="196">
        <f t="shared" si="373"/>
        <v>27723.430213118474</v>
      </c>
      <c r="CH135" s="589">
        <f t="shared" si="435"/>
        <v>7.0647767549691378E-4</v>
      </c>
      <c r="CI135" s="196">
        <f t="shared" si="400"/>
        <v>31827.139503445655</v>
      </c>
      <c r="CJ135" s="248">
        <f t="shared" si="436"/>
        <v>5.2323809264868504E-4</v>
      </c>
      <c r="CK135" s="196">
        <f t="shared" si="401"/>
        <v>29479.244641612</v>
      </c>
      <c r="CL135" s="589">
        <f t="shared" si="437"/>
        <v>4.2377020534509826E-4</v>
      </c>
      <c r="CM135" s="196">
        <f t="shared" si="402"/>
        <v>2855.7969047138677</v>
      </c>
      <c r="CN135" s="589">
        <f t="shared" si="438"/>
        <v>4.1155278910452769E-4</v>
      </c>
      <c r="CO135" s="196">
        <f t="shared" si="403"/>
        <v>228.44932054637857</v>
      </c>
      <c r="CP135" s="589">
        <f t="shared" si="439"/>
        <v>4.3082023087729287E-4</v>
      </c>
      <c r="CQ135" s="196">
        <f>'Detailed Budget'!$AC$12</f>
        <v>292876014141.44696</v>
      </c>
      <c r="CR135" s="269">
        <f t="shared" si="440"/>
        <v>0</v>
      </c>
      <c r="CS135" s="269">
        <f>'Detailed Budget'!$AC$16</f>
        <v>10488008800.000002</v>
      </c>
      <c r="CT135" s="607">
        <f t="shared" si="375"/>
        <v>0</v>
      </c>
      <c r="CU135" s="269">
        <f>'Detailed Budget'!$AC$24</f>
        <v>30624985696</v>
      </c>
      <c r="CV135" s="269">
        <f t="shared" si="264"/>
        <v>0</v>
      </c>
      <c r="CW135" s="269"/>
      <c r="CX135" s="269">
        <f t="shared" si="431"/>
        <v>0</v>
      </c>
      <c r="CY135" s="196">
        <f>'Detailed Budget'!$AC$97</f>
        <v>74629165494.837845</v>
      </c>
      <c r="CZ135" s="269">
        <f t="shared" si="376"/>
        <v>94175342.112465978</v>
      </c>
      <c r="DA135" s="269">
        <f>'Detailed Budget'!$AC$100</f>
        <v>14925833098.967569</v>
      </c>
      <c r="DB135" s="269">
        <f t="shared" si="377"/>
        <v>18835068.422493193</v>
      </c>
      <c r="DC135" s="269">
        <f t="shared" si="420"/>
        <v>113010410.53495917</v>
      </c>
      <c r="DD135" s="207">
        <v>0</v>
      </c>
      <c r="DE135" s="606">
        <v>0</v>
      </c>
      <c r="DF135" s="269">
        <f>'Detailed Budget'!$AC$147</f>
        <v>5913600671000</v>
      </c>
      <c r="DG135" s="269">
        <f t="shared" ref="DG135:DG198" si="441">DE135*DF135</f>
        <v>0</v>
      </c>
      <c r="DH135" s="269">
        <f>'Detailed Budget'!$AC$153</f>
        <v>226428026880.00003</v>
      </c>
      <c r="DI135" s="269"/>
      <c r="DJ135" s="269">
        <f>'Detailed Budget'!$AC$156</f>
        <v>27713070000</v>
      </c>
      <c r="DK135" s="269"/>
      <c r="DL135" s="269"/>
      <c r="DM135" s="196">
        <f>'Detailed Budget'!$AC$178</f>
        <v>5622683761.6229038</v>
      </c>
      <c r="DN135" s="269">
        <f t="shared" si="404"/>
        <v>9633614.6647362504</v>
      </c>
      <c r="DO135" s="196">
        <f>'Detailed Budget'!$AC$179</f>
        <v>26827890683.128094</v>
      </c>
      <c r="DP135" s="269">
        <f t="shared" si="405"/>
        <v>45965516.538751557</v>
      </c>
      <c r="DQ135" s="269">
        <f t="shared" si="273"/>
        <v>55599131.203487806</v>
      </c>
      <c r="DR135" s="269">
        <f>'Detailed Budget'!$AC$181</f>
        <v>50888946855.375237</v>
      </c>
      <c r="DS135" s="269">
        <f t="shared" si="406"/>
        <v>69714504.736358374</v>
      </c>
      <c r="DT135" s="269">
        <f t="shared" si="407"/>
        <v>125313635.93984619</v>
      </c>
      <c r="DU135" s="272">
        <f>'Detailed Budget'!$AC$192</f>
        <v>77498869683.252869</v>
      </c>
      <c r="DV135" s="269">
        <f t="shared" si="378"/>
        <v>0</v>
      </c>
      <c r="DW135" s="140">
        <f>'Detailed Budget'!$AC$194</f>
        <v>2684962805.4134097</v>
      </c>
      <c r="DX135" s="269">
        <f t="shared" si="379"/>
        <v>0</v>
      </c>
      <c r="DY135" s="607">
        <f t="shared" si="421"/>
        <v>0</v>
      </c>
      <c r="DZ135" s="196">
        <f>'Detailed Budget'!$AC$198</f>
        <v>18732540018.380611</v>
      </c>
      <c r="EA135" s="269">
        <f t="shared" si="380"/>
        <v>11812711.515913574</v>
      </c>
      <c r="EB135" s="196">
        <f>'Detailed Budget'!$AC$200</f>
        <v>4683135004.5951529</v>
      </c>
      <c r="EC135" s="269">
        <f t="shared" si="381"/>
        <v>2953177.8789783935</v>
      </c>
      <c r="ED135" s="269">
        <f t="shared" si="422"/>
        <v>14765889.394891968</v>
      </c>
      <c r="EE135" s="196">
        <f>'Detailed Budget'!$AC$161</f>
        <v>251147290106.36197</v>
      </c>
      <c r="EF135" s="269">
        <f t="shared" si="382"/>
        <v>177429953.72169167</v>
      </c>
      <c r="EG135" s="196">
        <f>'Detailed Budget'!$AC$163</f>
        <v>15696705631.647623</v>
      </c>
      <c r="EH135" s="269">
        <f t="shared" si="383"/>
        <v>11089372.107605729</v>
      </c>
      <c r="EI135" s="269">
        <f t="shared" si="423"/>
        <v>188519325.82929739</v>
      </c>
      <c r="EJ135" s="196">
        <f>'Detailed Budget'!$AC$204</f>
        <v>45012172507.531975</v>
      </c>
      <c r="EK135" s="269">
        <f t="shared" si="384"/>
        <v>23552083.288814608</v>
      </c>
      <c r="EL135" s="201">
        <f>'Detailed Budget'!$AC$206</f>
        <v>11253043126.882994</v>
      </c>
      <c r="EM135" s="269">
        <f t="shared" si="385"/>
        <v>5888020.822203652</v>
      </c>
      <c r="EN135" s="269">
        <f t="shared" si="424"/>
        <v>29440104.111018259</v>
      </c>
      <c r="EO135" s="140">
        <f>'Detailed Budget'!$AC$209</f>
        <v>135789361677.54817</v>
      </c>
      <c r="EP135" s="269">
        <f t="shared" si="386"/>
        <v>57543485.681774408</v>
      </c>
      <c r="EQ135" s="196">
        <f>'Detailed Budget'!$AC$211</f>
        <v>33947340419.387043</v>
      </c>
      <c r="ER135" s="269">
        <f t="shared" si="387"/>
        <v>14385871.420443602</v>
      </c>
      <c r="ES135" s="269">
        <f t="shared" si="425"/>
        <v>71929357.102218002</v>
      </c>
      <c r="ET135" s="196">
        <f>'Detailed Budget'!$AC$214</f>
        <v>22239745544.201103</v>
      </c>
      <c r="EU135" s="269">
        <f t="shared" si="388"/>
        <v>9152829.3076909557</v>
      </c>
      <c r="EV135" s="140">
        <f>'Detailed Budget'!$AC$217</f>
        <v>5559936386.0502758</v>
      </c>
      <c r="EW135" s="269">
        <f t="shared" si="389"/>
        <v>2288207.3269227389</v>
      </c>
      <c r="EX135" s="269">
        <f t="shared" si="426"/>
        <v>11441036.634613695</v>
      </c>
      <c r="EY135" s="196">
        <f>'Detailed Budget'!$AC$219</f>
        <v>372777004.58170313</v>
      </c>
      <c r="EZ135" s="269">
        <f t="shared" si="390"/>
        <v>160599.87517963501</v>
      </c>
      <c r="FA135" s="196">
        <f>'Detailed Budget'!$AC$222</f>
        <v>93194251.145425782</v>
      </c>
      <c r="FB135" s="269">
        <f t="shared" si="391"/>
        <v>40149.968794908753</v>
      </c>
      <c r="FC135" s="269">
        <f t="shared" si="427"/>
        <v>200749.84397454376</v>
      </c>
      <c r="FD135" s="269"/>
      <c r="FE135" s="269">
        <f t="shared" si="428"/>
        <v>113011247.6918245</v>
      </c>
      <c r="FF135" s="140">
        <f>'Detailed Budget'!$AC$165</f>
        <v>14927760000</v>
      </c>
      <c r="FG135" s="1087">
        <f t="shared" ref="FG135:FG198" si="442">FE135/0.423*0.577</f>
        <v>154154822.50161403</v>
      </c>
      <c r="FH135" s="269">
        <f t="shared" si="392"/>
        <v>16961436.200431772</v>
      </c>
      <c r="FJ135" s="140">
        <f>'Detailed Budget'!$AC$235</f>
        <v>3623696172</v>
      </c>
      <c r="FK135" s="269">
        <f t="shared" si="393"/>
        <v>4681778</v>
      </c>
      <c r="FL135" s="269">
        <f t="shared" ref="FL135:FL198" si="443">FI135+FK135</f>
        <v>4681778</v>
      </c>
      <c r="FO135" s="607"/>
      <c r="FP135" s="607"/>
      <c r="FQ135" s="607"/>
      <c r="FR135" s="269">
        <f>'Detailed Budget'!$AC$257</f>
        <v>13636439388</v>
      </c>
      <c r="FS135" s="269">
        <f t="shared" si="394"/>
        <v>22984728</v>
      </c>
      <c r="FT135" s="269">
        <f t="shared" ref="FT135:FT198" si="444">FM135+FO135+FQ135+FS135</f>
        <v>22984728</v>
      </c>
      <c r="FU135" s="269"/>
      <c r="FV135" s="269"/>
      <c r="FW135" s="616"/>
      <c r="FX135" s="140">
        <f>'Detailed Budget'!$AC$278</f>
        <v>1114560000</v>
      </c>
      <c r="FY135" s="269">
        <f t="shared" si="395"/>
        <v>1440000</v>
      </c>
      <c r="FZ135" s="269">
        <f t="shared" ref="FZ135:FZ198" si="445">FU135+FW135+FY135</f>
        <v>1440000</v>
      </c>
      <c r="GB135" s="269">
        <f t="shared" si="271"/>
        <v>754843274.09286523</v>
      </c>
      <c r="GC135" s="887">
        <f t="shared" si="429"/>
        <v>471777.04630804079</v>
      </c>
      <c r="GD135" s="1078">
        <f t="shared" si="272"/>
        <v>4.2356633043108159E-4</v>
      </c>
    </row>
    <row r="136" spans="1:186" hidden="1" outlineLevel="1">
      <c r="A136" s="211" t="s">
        <v>450</v>
      </c>
      <c r="B136" s="212" t="s">
        <v>451</v>
      </c>
      <c r="C136" s="213" t="s">
        <v>215</v>
      </c>
      <c r="D136" s="214" t="s">
        <v>215</v>
      </c>
      <c r="E136" s="213"/>
      <c r="F136" s="213"/>
      <c r="G136" s="213"/>
      <c r="H136" s="213" t="s">
        <v>215</v>
      </c>
      <c r="I136" s="214" t="s">
        <v>215</v>
      </c>
      <c r="J136" s="214"/>
      <c r="K136" s="213" t="s">
        <v>215</v>
      </c>
      <c r="L136" s="213"/>
      <c r="M136" s="214"/>
      <c r="N136" s="213"/>
      <c r="O136" s="214"/>
      <c r="P136" s="213"/>
      <c r="Q136" s="214"/>
      <c r="R136" s="214" t="s">
        <v>215</v>
      </c>
      <c r="S136" s="214"/>
      <c r="T136" s="214"/>
      <c r="U136" s="215">
        <f t="shared" si="396"/>
        <v>6</v>
      </c>
      <c r="V136" s="845" t="s">
        <v>219</v>
      </c>
      <c r="W136" s="216">
        <v>300520</v>
      </c>
      <c r="X136" s="217">
        <v>2.94</v>
      </c>
      <c r="Y136" s="218">
        <f t="shared" si="277"/>
        <v>1.0294000000000001</v>
      </c>
      <c r="Z136" s="196">
        <v>19</v>
      </c>
      <c r="AA136" s="218">
        <f t="shared" si="369"/>
        <v>1.7341997303889829</v>
      </c>
      <c r="AB136" s="196">
        <f t="shared" si="367"/>
        <v>521161.70297649712</v>
      </c>
      <c r="AC136">
        <v>17.100000000000001</v>
      </c>
      <c r="AD136" s="196">
        <f t="shared" si="368"/>
        <v>89118.651208981013</v>
      </c>
      <c r="AE136" s="196">
        <f t="shared" si="280"/>
        <v>84662.718648531954</v>
      </c>
      <c r="AF136" s="196">
        <f t="shared" si="397"/>
        <v>84662.718648531954</v>
      </c>
      <c r="AG136" s="606">
        <f t="shared" si="432"/>
        <v>3.9144324340090447E-3</v>
      </c>
      <c r="AH136" s="196">
        <f t="shared" si="408"/>
        <v>26058.085148824859</v>
      </c>
      <c r="AI136" s="248">
        <f t="shared" si="409"/>
        <v>2.0186803746240246E-3</v>
      </c>
      <c r="AJ136" s="196">
        <f t="shared" si="412"/>
        <v>115176.73635780587</v>
      </c>
      <c r="AK136" s="196">
        <f t="shared" si="278"/>
        <v>20846.468119059886</v>
      </c>
      <c r="AL136" s="196">
        <f t="shared" si="279"/>
        <v>20846.468119059886</v>
      </c>
      <c r="AM136" s="196">
        <f t="shared" si="413"/>
        <v>41692.936238119772</v>
      </c>
      <c r="AN136" s="627">
        <f t="shared" si="414"/>
        <v>2.0186803746240246E-3</v>
      </c>
      <c r="AO136" s="196">
        <f t="shared" si="415"/>
        <v>19804.144713106889</v>
      </c>
      <c r="AP136" s="589">
        <f t="shared" si="433"/>
        <v>2.0186803746240246E-3</v>
      </c>
      <c r="AQ136" s="196"/>
      <c r="AR136" s="589"/>
      <c r="AS136">
        <v>1</v>
      </c>
      <c r="AT136" s="589">
        <f t="shared" si="434"/>
        <v>1.2919896640826874E-3</v>
      </c>
      <c r="AU136" s="196">
        <v>16</v>
      </c>
      <c r="AV136" s="245">
        <f t="shared" si="416"/>
        <v>1.81797523008749E-3</v>
      </c>
      <c r="AX136" s="245"/>
      <c r="AY136" s="245"/>
      <c r="AZ136" s="196">
        <v>79</v>
      </c>
      <c r="BA136" s="589">
        <f t="shared" si="265"/>
        <v>2.8947271994430399E-3</v>
      </c>
      <c r="BI136" s="196">
        <v>0</v>
      </c>
      <c r="BK136" s="246">
        <f t="shared" si="266"/>
        <v>0</v>
      </c>
      <c r="BL136" s="246"/>
      <c r="BM136" s="246">
        <f t="shared" si="267"/>
        <v>0</v>
      </c>
      <c r="BN136" s="196">
        <v>1</v>
      </c>
      <c r="BO136" s="196">
        <f t="shared" si="398"/>
        <v>38545.667104640219</v>
      </c>
      <c r="BP136" s="196">
        <f t="shared" si="417"/>
        <v>38545.667104640219</v>
      </c>
      <c r="BQ136" s="248">
        <f t="shared" si="268"/>
        <v>3.6057676601812198E-3</v>
      </c>
      <c r="BR136" s="248"/>
      <c r="BS136" s="248"/>
      <c r="BT136" s="276">
        <v>1</v>
      </c>
      <c r="BU136" s="196">
        <f t="shared" si="410"/>
        <v>70581.971757512962</v>
      </c>
      <c r="BV136" s="264">
        <f t="shared" si="269"/>
        <v>4.8956992544229626E-3</v>
      </c>
      <c r="BW136" s="196">
        <f t="shared" si="411"/>
        <v>301933.99029602768</v>
      </c>
      <c r="BX136" s="247">
        <f t="shared" si="270"/>
        <v>4.8956992985236094E-3</v>
      </c>
      <c r="BY136" s="196">
        <f t="shared" si="276"/>
        <v>372515.96205354063</v>
      </c>
      <c r="BZ136" s="620">
        <v>0</v>
      </c>
      <c r="CA136" s="196">
        <f t="shared" si="371"/>
        <v>159475.48111080815</v>
      </c>
      <c r="CB136" s="196">
        <f t="shared" si="372"/>
        <v>318950.9622216163</v>
      </c>
      <c r="CC136" s="196">
        <f t="shared" si="430"/>
        <v>478426.44333242445</v>
      </c>
      <c r="CD136" s="247">
        <f t="shared" si="418"/>
        <v>2.0186803746240251E-3</v>
      </c>
      <c r="CE136" s="196">
        <f t="shared" si="399"/>
        <v>41726.132325560029</v>
      </c>
      <c r="CF136" s="247">
        <f t="shared" si="419"/>
        <v>1.8018641598220729E-3</v>
      </c>
      <c r="CG136" s="196">
        <f t="shared" si="373"/>
        <v>79216.578852427556</v>
      </c>
      <c r="CH136" s="589">
        <f t="shared" si="435"/>
        <v>2.0186803746240246E-3</v>
      </c>
      <c r="CI136" s="196">
        <f t="shared" si="400"/>
        <v>90942.465875989932</v>
      </c>
      <c r="CJ136" s="248">
        <f t="shared" si="436"/>
        <v>1.495093908158775E-3</v>
      </c>
      <c r="CK136" s="196">
        <f t="shared" si="401"/>
        <v>84233.620793333263</v>
      </c>
      <c r="CL136" s="589">
        <f t="shared" si="437"/>
        <v>1.2108756250207651E-3</v>
      </c>
      <c r="CM136" s="196">
        <f t="shared" si="402"/>
        <v>8160.1179561732724</v>
      </c>
      <c r="CN136" s="589">
        <f t="shared" si="438"/>
        <v>1.1759657343775748E-3</v>
      </c>
      <c r="CO136" s="196">
        <f t="shared" si="403"/>
        <v>652.76819916326144</v>
      </c>
      <c r="CP136" s="589">
        <f t="shared" si="439"/>
        <v>1.231020278809619E-3</v>
      </c>
      <c r="CQ136" s="196">
        <f>'Detailed Budget'!$AC$12</f>
        <v>292876014141.44696</v>
      </c>
      <c r="CR136" s="269">
        <f t="shared" si="440"/>
        <v>0</v>
      </c>
      <c r="CS136" s="269">
        <f>'Detailed Budget'!$AC$16</f>
        <v>10488008800.000002</v>
      </c>
      <c r="CT136" s="607">
        <f t="shared" si="375"/>
        <v>0</v>
      </c>
      <c r="CU136" s="269">
        <f>'Detailed Budget'!$AC$24</f>
        <v>30624985696</v>
      </c>
      <c r="CV136" s="269">
        <f t="shared" ref="CV136:CV199" si="446">BK136*CU136</f>
        <v>0</v>
      </c>
      <c r="CW136" s="269"/>
      <c r="CX136" s="269">
        <f t="shared" si="431"/>
        <v>0</v>
      </c>
      <c r="CY136" s="196">
        <f>'Detailed Budget'!$AC$97</f>
        <v>74629165494.837845</v>
      </c>
      <c r="CZ136" s="269">
        <f t="shared" si="376"/>
        <v>269095431.44759846</v>
      </c>
      <c r="DA136" s="269">
        <f>'Detailed Budget'!$AC$100</f>
        <v>14925833098.967569</v>
      </c>
      <c r="DB136" s="269">
        <f t="shared" si="377"/>
        <v>53819086.289519697</v>
      </c>
      <c r="DC136" s="269">
        <f t="shared" si="420"/>
        <v>322914517.73711812</v>
      </c>
      <c r="DD136" s="207">
        <v>0</v>
      </c>
      <c r="DE136" s="606">
        <v>0</v>
      </c>
      <c r="DF136" s="269">
        <f>'Detailed Budget'!$AC$147</f>
        <v>5913600671000</v>
      </c>
      <c r="DG136" s="269">
        <f t="shared" si="441"/>
        <v>0</v>
      </c>
      <c r="DH136" s="269">
        <f>'Detailed Budget'!$AC$153</f>
        <v>226428026880.00003</v>
      </c>
      <c r="DI136" s="269"/>
      <c r="DJ136" s="269">
        <f>'Detailed Budget'!$AC$156</f>
        <v>27713070000</v>
      </c>
      <c r="DK136" s="269"/>
      <c r="DL136" s="269"/>
      <c r="DM136" s="196">
        <f>'Detailed Budget'!$AC$178</f>
        <v>5622683761.6229038</v>
      </c>
      <c r="DN136" s="269">
        <f t="shared" si="404"/>
        <v>27526968.699633349</v>
      </c>
      <c r="DO136" s="196">
        <f>'Detailed Budget'!$AC$179</f>
        <v>26827890683.128094</v>
      </c>
      <c r="DP136" s="269">
        <f t="shared" si="405"/>
        <v>131341285.59825829</v>
      </c>
      <c r="DQ136" s="269">
        <f t="shared" si="273"/>
        <v>158868254.29789165</v>
      </c>
      <c r="DR136" s="269">
        <f>'Detailed Budget'!$AC$181</f>
        <v>50888946855.375237</v>
      </c>
      <c r="DS136" s="269">
        <f t="shared" si="406"/>
        <v>199201344.10324341</v>
      </c>
      <c r="DT136" s="269">
        <f t="shared" si="407"/>
        <v>358069598.40113509</v>
      </c>
      <c r="DU136" s="272">
        <f>'Detailed Budget'!$AC$192</f>
        <v>77498869683.252869</v>
      </c>
      <c r="DV136" s="269">
        <f t="shared" si="378"/>
        <v>0</v>
      </c>
      <c r="DW136" s="140">
        <f>'Detailed Budget'!$AC$194</f>
        <v>2684962805.4134097</v>
      </c>
      <c r="DX136" s="269">
        <f t="shared" si="379"/>
        <v>0</v>
      </c>
      <c r="DY136" s="607">
        <f t="shared" si="421"/>
        <v>0</v>
      </c>
      <c r="DZ136" s="196">
        <f>'Detailed Budget'!$AC$198</f>
        <v>18732540018.380611</v>
      </c>
      <c r="EA136" s="269">
        <f t="shared" si="380"/>
        <v>33753492.481552742</v>
      </c>
      <c r="EB136" s="196">
        <f>'Detailed Budget'!$AC$200</f>
        <v>4683135004.5951529</v>
      </c>
      <c r="EC136" s="269">
        <f t="shared" si="381"/>
        <v>8438373.1203881856</v>
      </c>
      <c r="ED136" s="269">
        <f t="shared" si="422"/>
        <v>42191865.60194093</v>
      </c>
      <c r="EE136" s="196">
        <f>'Detailed Budget'!$AC$161</f>
        <v>251147290106.36197</v>
      </c>
      <c r="EF136" s="269">
        <f t="shared" si="382"/>
        <v>506986105.67771935</v>
      </c>
      <c r="EG136" s="196">
        <f>'Detailed Budget'!$AC$163</f>
        <v>15696705631.647623</v>
      </c>
      <c r="EH136" s="269">
        <f t="shared" si="383"/>
        <v>31686631.60485746</v>
      </c>
      <c r="EI136" s="269">
        <f t="shared" si="423"/>
        <v>538672737.2825768</v>
      </c>
      <c r="EJ136" s="196">
        <f>'Detailed Budget'!$AC$204</f>
        <v>45012172507.531975</v>
      </c>
      <c r="EK136" s="269">
        <f t="shared" si="384"/>
        <v>67297424.909002945</v>
      </c>
      <c r="EL136" s="201">
        <f>'Detailed Budget'!$AC$206</f>
        <v>11253043126.882994</v>
      </c>
      <c r="EM136" s="269">
        <f t="shared" si="385"/>
        <v>16824356.227250736</v>
      </c>
      <c r="EN136" s="269">
        <f t="shared" si="424"/>
        <v>84121781.136253685</v>
      </c>
      <c r="EO136" s="140">
        <f>'Detailed Budget'!$AC$209</f>
        <v>135789361677.54817</v>
      </c>
      <c r="EP136" s="269">
        <f t="shared" si="386"/>
        <v>164424028.19247186</v>
      </c>
      <c r="EQ136" s="196">
        <f>'Detailed Budget'!$AC$211</f>
        <v>33947340419.387043</v>
      </c>
      <c r="ER136" s="269">
        <f t="shared" si="387"/>
        <v>41106007.048117965</v>
      </c>
      <c r="ES136" s="269">
        <f t="shared" si="425"/>
        <v>205530035.24058983</v>
      </c>
      <c r="ET136" s="196">
        <f>'Detailed Budget'!$AC$214</f>
        <v>22239745544.201103</v>
      </c>
      <c r="EU136" s="269">
        <f t="shared" si="388"/>
        <v>26153178.701256845</v>
      </c>
      <c r="EV136" s="140">
        <f>'Detailed Budget'!$AC$217</f>
        <v>5559936386.0502758</v>
      </c>
      <c r="EW136" s="269">
        <f t="shared" si="389"/>
        <v>6538294.6753142113</v>
      </c>
      <c r="EX136" s="269">
        <f t="shared" si="426"/>
        <v>32691473.376571056</v>
      </c>
      <c r="EY136" s="196">
        <f>'Detailed Budget'!$AC$219</f>
        <v>372777004.58170313</v>
      </c>
      <c r="EZ136" s="269">
        <f t="shared" si="390"/>
        <v>458896.05211398279</v>
      </c>
      <c r="FA136" s="196">
        <f>'Detailed Budget'!$AC$222</f>
        <v>93194251.145425782</v>
      </c>
      <c r="FB136" s="269">
        <f t="shared" si="391"/>
        <v>114724.0130284957</v>
      </c>
      <c r="FC136" s="269">
        <f t="shared" si="427"/>
        <v>573620.06514247844</v>
      </c>
      <c r="FD136" s="269"/>
      <c r="FE136" s="269">
        <f t="shared" si="428"/>
        <v>322916909.81855702</v>
      </c>
      <c r="FF136" s="140">
        <f>'Detailed Budget'!$AC$165</f>
        <v>14927760000</v>
      </c>
      <c r="FG136" s="1087">
        <f t="shared" si="442"/>
        <v>440480040.10710967</v>
      </c>
      <c r="FH136" s="269">
        <f t="shared" si="392"/>
        <v>27138297.920690831</v>
      </c>
      <c r="FJ136" s="140">
        <f>'Detailed Budget'!$AC$235</f>
        <v>3623696172</v>
      </c>
      <c r="FK136" s="269">
        <f t="shared" si="393"/>
        <v>4681778</v>
      </c>
      <c r="FL136" s="269">
        <f t="shared" si="443"/>
        <v>4681778</v>
      </c>
      <c r="FO136" s="607"/>
      <c r="FP136" s="607"/>
      <c r="FQ136" s="607"/>
      <c r="FR136" s="269">
        <f>'Detailed Budget'!$AC$257</f>
        <v>13636439388</v>
      </c>
      <c r="FS136" s="269">
        <f t="shared" si="394"/>
        <v>39473772</v>
      </c>
      <c r="FT136" s="269">
        <f t="shared" si="444"/>
        <v>39473772</v>
      </c>
      <c r="FU136" s="269"/>
      <c r="FV136" s="269"/>
      <c r="FW136" s="616"/>
      <c r="FX136" s="140">
        <f>'Detailed Budget'!$AC$278</f>
        <v>1114560000</v>
      </c>
      <c r="FY136" s="269">
        <f t="shared" si="395"/>
        <v>1440000</v>
      </c>
      <c r="FZ136" s="269">
        <f t="shared" si="445"/>
        <v>1440000</v>
      </c>
      <c r="GB136" s="269">
        <f t="shared" si="271"/>
        <v>2097979516.8691285</v>
      </c>
      <c r="GC136" s="887">
        <f t="shared" si="429"/>
        <v>1311237.1980432053</v>
      </c>
      <c r="GD136" s="1078">
        <f t="shared" si="272"/>
        <v>1.1772423704082781E-3</v>
      </c>
    </row>
    <row r="137" spans="1:186" hidden="1" outlineLevel="1">
      <c r="A137" s="211" t="s">
        <v>452</v>
      </c>
      <c r="B137" s="212" t="s">
        <v>453</v>
      </c>
      <c r="C137" s="213" t="s">
        <v>215</v>
      </c>
      <c r="D137" s="214" t="s">
        <v>215</v>
      </c>
      <c r="E137" s="213"/>
      <c r="F137" s="213"/>
      <c r="G137" s="213"/>
      <c r="H137" s="213" t="s">
        <v>215</v>
      </c>
      <c r="I137" s="214" t="s">
        <v>215</v>
      </c>
      <c r="J137" s="214"/>
      <c r="K137" s="213" t="s">
        <v>215</v>
      </c>
      <c r="L137" s="213"/>
      <c r="M137" s="214"/>
      <c r="N137" s="213"/>
      <c r="O137" s="214"/>
      <c r="P137" s="213"/>
      <c r="Q137" s="214"/>
      <c r="R137" s="214" t="s">
        <v>215</v>
      </c>
      <c r="S137" s="214"/>
      <c r="T137" s="214"/>
      <c r="U137" s="215">
        <f t="shared" si="396"/>
        <v>6</v>
      </c>
      <c r="V137" s="845" t="s">
        <v>219</v>
      </c>
      <c r="W137" s="216">
        <v>96388</v>
      </c>
      <c r="X137" s="217">
        <v>2.94</v>
      </c>
      <c r="Y137" s="218">
        <f t="shared" si="277"/>
        <v>1.0294000000000001</v>
      </c>
      <c r="Z137" s="196">
        <v>19</v>
      </c>
      <c r="AA137" s="218">
        <f t="shared" si="369"/>
        <v>1.7341997303889829</v>
      </c>
      <c r="AB137" s="196">
        <f t="shared" si="367"/>
        <v>167156.04361273328</v>
      </c>
      <c r="AC137">
        <v>17.100000000000001</v>
      </c>
      <c r="AD137" s="196">
        <f t="shared" si="368"/>
        <v>28583.683457777392</v>
      </c>
      <c r="AE137" s="196">
        <f t="shared" si="280"/>
        <v>27154.499284888519</v>
      </c>
      <c r="AF137" s="196">
        <f t="shared" si="397"/>
        <v>27154.499284888519</v>
      </c>
      <c r="AG137" s="606">
        <f t="shared" si="432"/>
        <v>1.2555048364477034E-3</v>
      </c>
      <c r="AH137" s="196">
        <f t="shared" si="408"/>
        <v>8357.8021806366651</v>
      </c>
      <c r="AI137" s="248">
        <f t="shared" si="409"/>
        <v>6.4746627162671545E-4</v>
      </c>
      <c r="AJ137" s="196">
        <f t="shared" si="412"/>
        <v>36941.485638414058</v>
      </c>
      <c r="AK137" s="196">
        <f t="shared" si="278"/>
        <v>6686.2417445093315</v>
      </c>
      <c r="AL137" s="196">
        <f t="shared" si="279"/>
        <v>6686.2417445093315</v>
      </c>
      <c r="AM137" s="196">
        <f t="shared" si="413"/>
        <v>13372.483489018663</v>
      </c>
      <c r="AN137" s="627">
        <f t="shared" si="414"/>
        <v>6.4746627162671534E-4</v>
      </c>
      <c r="AO137" s="196">
        <f t="shared" si="415"/>
        <v>6351.9296572838648</v>
      </c>
      <c r="AP137" s="589">
        <f t="shared" si="433"/>
        <v>6.4746627162671534E-4</v>
      </c>
      <c r="AQ137" s="196"/>
      <c r="AR137" s="589"/>
      <c r="AS137">
        <v>1</v>
      </c>
      <c r="AT137" s="589">
        <f t="shared" si="434"/>
        <v>1.2919896640826874E-3</v>
      </c>
      <c r="AU137" s="196">
        <v>10</v>
      </c>
      <c r="AV137" s="245">
        <f t="shared" si="416"/>
        <v>1.1362345188046814E-3</v>
      </c>
      <c r="AX137" s="245"/>
      <c r="AY137" s="245"/>
      <c r="AZ137" s="196">
        <v>37</v>
      </c>
      <c r="BA137" s="589">
        <f t="shared" ref="BA137:BA200" si="447">AZ137/27291</f>
        <v>1.3557583085999048E-3</v>
      </c>
      <c r="BI137" s="196">
        <v>0</v>
      </c>
      <c r="BK137" s="246">
        <f t="shared" ref="BK137:BK200" si="448">BJ137/52440044</f>
        <v>0</v>
      </c>
      <c r="BL137" s="246"/>
      <c r="BM137" s="246">
        <f t="shared" ref="BM137:BM200" si="449">BL137/1048801</f>
        <v>0</v>
      </c>
      <c r="BN137" s="196">
        <v>1</v>
      </c>
      <c r="BO137" s="196">
        <f t="shared" si="398"/>
        <v>12363.036606156202</v>
      </c>
      <c r="BP137" s="196">
        <f t="shared" si="417"/>
        <v>12363.036606156202</v>
      </c>
      <c r="BQ137" s="248">
        <f t="shared" ref="BQ137:BQ200" si="450">BP137/10690003</f>
        <v>1.1565045029600274E-3</v>
      </c>
      <c r="BR137" s="248"/>
      <c r="BS137" s="248"/>
      <c r="BT137" s="276">
        <v>1</v>
      </c>
      <c r="BU137" s="196">
        <f t="shared" si="410"/>
        <v>22638.277298559697</v>
      </c>
      <c r="BV137" s="264">
        <f t="shared" ref="BV137:BV200" si="451">BU137/14417138</f>
        <v>1.5702337938750185E-3</v>
      </c>
      <c r="BW137" s="196">
        <f t="shared" si="411"/>
        <v>96841.519554949802</v>
      </c>
      <c r="BX137" s="247">
        <f t="shared" ref="BX137:BX200" si="452">BW137/61673312</f>
        <v>1.5702338080197445E-3</v>
      </c>
      <c r="BY137" s="196">
        <f t="shared" si="276"/>
        <v>119479.7968535095</v>
      </c>
      <c r="BZ137" s="620">
        <v>0</v>
      </c>
      <c r="CA137" s="196">
        <f t="shared" si="371"/>
        <v>51149.749345496377</v>
      </c>
      <c r="CB137" s="196">
        <f t="shared" si="372"/>
        <v>102299.49869099275</v>
      </c>
      <c r="CC137" s="196">
        <f t="shared" si="430"/>
        <v>153449.24803648912</v>
      </c>
      <c r="CD137" s="247">
        <f t="shared" si="418"/>
        <v>6.4746627162671523E-4</v>
      </c>
      <c r="CE137" s="196">
        <f t="shared" si="399"/>
        <v>13383.13071541355</v>
      </c>
      <c r="CF137" s="247">
        <f t="shared" si="419"/>
        <v>5.7792520510092503E-4</v>
      </c>
      <c r="CG137" s="196">
        <f t="shared" si="373"/>
        <v>25407.718629135459</v>
      </c>
      <c r="CH137" s="589">
        <f t="shared" si="435"/>
        <v>6.4746627162671534E-4</v>
      </c>
      <c r="CI137" s="196">
        <f t="shared" si="400"/>
        <v>29168.649011230256</v>
      </c>
      <c r="CJ137" s="248">
        <f t="shared" si="436"/>
        <v>4.7953251570480499E-4</v>
      </c>
      <c r="CK137" s="196">
        <f t="shared" si="401"/>
        <v>27016.871559389743</v>
      </c>
      <c r="CL137" s="589">
        <f t="shared" si="437"/>
        <v>3.88373085799619E-4</v>
      </c>
      <c r="CM137" s="196">
        <f t="shared" si="402"/>
        <v>2617.2549233316563</v>
      </c>
      <c r="CN137" s="589">
        <f t="shared" si="438"/>
        <v>3.7717617864097453E-4</v>
      </c>
      <c r="CO137" s="196">
        <f t="shared" si="403"/>
        <v>209.36716751280593</v>
      </c>
      <c r="CP137" s="589">
        <f t="shared" si="439"/>
        <v>3.9483422944862757E-4</v>
      </c>
      <c r="CQ137" s="196">
        <f>'Detailed Budget'!$AC$12</f>
        <v>292876014141.44696</v>
      </c>
      <c r="CR137" s="269">
        <f t="shared" si="440"/>
        <v>0</v>
      </c>
      <c r="CS137" s="269">
        <f>'Detailed Budget'!$AC$16</f>
        <v>10488008800.000002</v>
      </c>
      <c r="CT137" s="607">
        <f t="shared" si="375"/>
        <v>0</v>
      </c>
      <c r="CU137" s="269">
        <f>'Detailed Budget'!$AC$24</f>
        <v>30624985696</v>
      </c>
      <c r="CV137" s="269">
        <f t="shared" si="446"/>
        <v>0</v>
      </c>
      <c r="CW137" s="269"/>
      <c r="CX137" s="269">
        <f t="shared" si="431"/>
        <v>0</v>
      </c>
      <c r="CY137" s="196">
        <f>'Detailed Budget'!$AC$97</f>
        <v>74629165494.837845</v>
      </c>
      <c r="CZ137" s="269">
        <f t="shared" si="376"/>
        <v>86308965.946929067</v>
      </c>
      <c r="DA137" s="269">
        <f>'Detailed Budget'!$AC$100</f>
        <v>14925833098.967569</v>
      </c>
      <c r="DB137" s="269">
        <f t="shared" si="377"/>
        <v>17261793.189385813</v>
      </c>
      <c r="DC137" s="269">
        <f t="shared" si="420"/>
        <v>103570759.13631488</v>
      </c>
      <c r="DD137" s="207">
        <v>0</v>
      </c>
      <c r="DE137" s="606">
        <v>0</v>
      </c>
      <c r="DF137" s="269">
        <f>'Detailed Budget'!$AC$147</f>
        <v>5913600671000</v>
      </c>
      <c r="DG137" s="269">
        <f t="shared" si="441"/>
        <v>0</v>
      </c>
      <c r="DH137" s="269">
        <f>'Detailed Budget'!$AC$153</f>
        <v>226428026880.00003</v>
      </c>
      <c r="DI137" s="269"/>
      <c r="DJ137" s="269">
        <f>'Detailed Budget'!$AC$156</f>
        <v>27713070000</v>
      </c>
      <c r="DK137" s="269"/>
      <c r="DL137" s="269"/>
      <c r="DM137" s="196">
        <f>'Detailed Budget'!$AC$178</f>
        <v>5622683761.6229038</v>
      </c>
      <c r="DN137" s="269">
        <f t="shared" si="404"/>
        <v>8828928.0547725931</v>
      </c>
      <c r="DO137" s="196">
        <f>'Detailed Budget'!$AC$179</f>
        <v>26827890683.128094</v>
      </c>
      <c r="DP137" s="269">
        <f t="shared" si="405"/>
        <v>42126060.948505655</v>
      </c>
      <c r="DQ137" s="269">
        <f t="shared" si="273"/>
        <v>50954989.003278248</v>
      </c>
      <c r="DR137" s="269">
        <f>'Detailed Budget'!$AC$181</f>
        <v>50888946855.375237</v>
      </c>
      <c r="DS137" s="269">
        <f t="shared" si="406"/>
        <v>63891318.898653753</v>
      </c>
      <c r="DT137" s="269">
        <f t="shared" si="407"/>
        <v>114846307.901932</v>
      </c>
      <c r="DU137" s="272">
        <f>'Detailed Budget'!$AC$192</f>
        <v>77498869683.252869</v>
      </c>
      <c r="DV137" s="269">
        <f t="shared" si="378"/>
        <v>0</v>
      </c>
      <c r="DW137" s="140">
        <f>'Detailed Budget'!$AC$194</f>
        <v>2684962805.4134097</v>
      </c>
      <c r="DX137" s="269">
        <f t="shared" si="379"/>
        <v>0</v>
      </c>
      <c r="DY137" s="607">
        <f t="shared" si="421"/>
        <v>0</v>
      </c>
      <c r="DZ137" s="196">
        <f>'Detailed Budget'!$AC$198</f>
        <v>18732540018.380611</v>
      </c>
      <c r="EA137" s="269">
        <f t="shared" si="380"/>
        <v>10826007.0321839</v>
      </c>
      <c r="EB137" s="196">
        <f>'Detailed Budget'!$AC$200</f>
        <v>4683135004.5951529</v>
      </c>
      <c r="EC137" s="269">
        <f t="shared" si="381"/>
        <v>2706501.7580459751</v>
      </c>
      <c r="ED137" s="269">
        <f t="shared" si="422"/>
        <v>13532508.790229876</v>
      </c>
      <c r="EE137" s="196">
        <f>'Detailed Budget'!$AC$161</f>
        <v>251147290106.36197</v>
      </c>
      <c r="EF137" s="269">
        <f t="shared" si="382"/>
        <v>162609399.55431923</v>
      </c>
      <c r="EG137" s="196">
        <f>'Detailed Budget'!$AC$163</f>
        <v>15696705631.647623</v>
      </c>
      <c r="EH137" s="269">
        <f t="shared" si="383"/>
        <v>10163087.472144952</v>
      </c>
      <c r="EI137" s="269">
        <f t="shared" si="423"/>
        <v>172772487.02646419</v>
      </c>
      <c r="EJ137" s="196">
        <f>'Detailed Budget'!$AC$204</f>
        <v>45012172507.531975</v>
      </c>
      <c r="EK137" s="269">
        <f t="shared" si="384"/>
        <v>21584800.319875468</v>
      </c>
      <c r="EL137" s="201">
        <f>'Detailed Budget'!$AC$206</f>
        <v>11253043126.882994</v>
      </c>
      <c r="EM137" s="269">
        <f t="shared" si="385"/>
        <v>5396200.0799688669</v>
      </c>
      <c r="EN137" s="269">
        <f t="shared" si="424"/>
        <v>26981000.399844334</v>
      </c>
      <c r="EO137" s="140">
        <f>'Detailed Budget'!$AC$209</f>
        <v>135789361677.54817</v>
      </c>
      <c r="EP137" s="269">
        <f t="shared" si="386"/>
        <v>52736933.413469911</v>
      </c>
      <c r="EQ137" s="196">
        <f>'Detailed Budget'!$AC$211</f>
        <v>33947340419.387043</v>
      </c>
      <c r="ER137" s="269">
        <f t="shared" si="387"/>
        <v>13184233.353367478</v>
      </c>
      <c r="ES137" s="269">
        <f t="shared" si="425"/>
        <v>65921166.766837388</v>
      </c>
      <c r="ET137" s="196">
        <f>'Detailed Budget'!$AC$214</f>
        <v>22239745544.201103</v>
      </c>
      <c r="EU137" s="269">
        <f t="shared" si="388"/>
        <v>8388302.2383094123</v>
      </c>
      <c r="EV137" s="140">
        <f>'Detailed Budget'!$AC$217</f>
        <v>5559936386.0502758</v>
      </c>
      <c r="EW137" s="269">
        <f t="shared" si="389"/>
        <v>2097075.5595773531</v>
      </c>
      <c r="EX137" s="269">
        <f t="shared" si="426"/>
        <v>10485377.797886765</v>
      </c>
      <c r="EY137" s="196">
        <f>'Detailed Budget'!$AC$219</f>
        <v>372777004.58170313</v>
      </c>
      <c r="EZ137" s="269">
        <f t="shared" si="390"/>
        <v>147185.12136018428</v>
      </c>
      <c r="FA137" s="196">
        <f>'Detailed Budget'!$AC$222</f>
        <v>93194251.145425782</v>
      </c>
      <c r="FB137" s="269">
        <f t="shared" si="391"/>
        <v>36796.280340046069</v>
      </c>
      <c r="FC137" s="269">
        <f t="shared" si="427"/>
        <v>183981.40170023034</v>
      </c>
      <c r="FD137" s="269"/>
      <c r="FE137" s="269">
        <f t="shared" si="428"/>
        <v>103571526.36626871</v>
      </c>
      <c r="FF137" s="140">
        <f>'Detailed Budget'!$AC$165</f>
        <v>14927760000</v>
      </c>
      <c r="FG137" s="1087">
        <f t="shared" si="442"/>
        <v>141278417.7620261</v>
      </c>
      <c r="FH137" s="269">
        <f t="shared" si="392"/>
        <v>16961436.200431772</v>
      </c>
      <c r="FJ137" s="140">
        <f>'Detailed Budget'!$AC$235</f>
        <v>3623696172</v>
      </c>
      <c r="FK137" s="269">
        <f t="shared" si="393"/>
        <v>4681778</v>
      </c>
      <c r="FL137" s="269">
        <f t="shared" si="443"/>
        <v>4681778</v>
      </c>
      <c r="FO137" s="607"/>
      <c r="FP137" s="607"/>
      <c r="FQ137" s="607"/>
      <c r="FR137" s="269">
        <f>'Detailed Budget'!$AC$257</f>
        <v>13636439388</v>
      </c>
      <c r="FS137" s="269">
        <f t="shared" si="394"/>
        <v>18487716</v>
      </c>
      <c r="FT137" s="269">
        <f t="shared" si="444"/>
        <v>18487716</v>
      </c>
      <c r="FU137" s="269"/>
      <c r="FV137" s="269"/>
      <c r="FW137" s="616"/>
      <c r="FX137" s="140">
        <f>'Detailed Budget'!$AC$278</f>
        <v>1114560000</v>
      </c>
      <c r="FY137" s="269">
        <f t="shared" si="395"/>
        <v>1440000</v>
      </c>
      <c r="FZ137" s="269">
        <f t="shared" si="445"/>
        <v>1440000</v>
      </c>
      <c r="GB137" s="269">
        <f t="shared" ref="GB137:GB200" si="453">SUM(CX137,DC137,DG137,DL137,DT137,DY137,ED137,EI137,FE137,FG137,FH137,FL137,FT137,FZ137,GA137)</f>
        <v>691142937.18366754</v>
      </c>
      <c r="GC137" s="887">
        <f t="shared" si="429"/>
        <v>431964.33573979221</v>
      </c>
      <c r="GD137" s="1078">
        <f t="shared" ref="GD137:GD200" si="454">GB137/1782113496426</f>
        <v>3.8782206552486338E-4</v>
      </c>
    </row>
    <row r="138" spans="1:186" hidden="1" outlineLevel="1">
      <c r="A138" s="211" t="s">
        <v>454</v>
      </c>
      <c r="B138" s="212" t="s">
        <v>455</v>
      </c>
      <c r="C138" s="213" t="s">
        <v>215</v>
      </c>
      <c r="D138" s="214" t="s">
        <v>215</v>
      </c>
      <c r="E138" s="213"/>
      <c r="F138" s="213"/>
      <c r="G138" s="213"/>
      <c r="H138" s="213" t="s">
        <v>215</v>
      </c>
      <c r="I138" s="214" t="s">
        <v>215</v>
      </c>
      <c r="J138" s="214"/>
      <c r="K138" s="213" t="s">
        <v>215</v>
      </c>
      <c r="L138" s="213"/>
      <c r="M138" s="214"/>
      <c r="N138" s="213"/>
      <c r="O138" s="214"/>
      <c r="P138" s="213"/>
      <c r="Q138" s="214"/>
      <c r="R138" s="214" t="s">
        <v>215</v>
      </c>
      <c r="S138" s="214"/>
      <c r="T138" s="214"/>
      <c r="U138" s="215">
        <f t="shared" si="396"/>
        <v>6</v>
      </c>
      <c r="V138" s="845" t="s">
        <v>219</v>
      </c>
      <c r="W138" s="216">
        <v>190114</v>
      </c>
      <c r="X138" s="217">
        <v>2.94</v>
      </c>
      <c r="Y138" s="218">
        <f t="shared" si="277"/>
        <v>1.0294000000000001</v>
      </c>
      <c r="Z138" s="196">
        <v>19</v>
      </c>
      <c r="AA138" s="218">
        <f t="shared" si="369"/>
        <v>1.7341997303889829</v>
      </c>
      <c r="AB138" s="196">
        <f t="shared" si="367"/>
        <v>329695.64754317107</v>
      </c>
      <c r="AC138">
        <v>17.100000000000001</v>
      </c>
      <c r="AD138" s="196">
        <f t="shared" si="368"/>
        <v>56377.955729882262</v>
      </c>
      <c r="AE138" s="196">
        <f t="shared" si="280"/>
        <v>53559.057943388143</v>
      </c>
      <c r="AF138" s="196">
        <f t="shared" si="397"/>
        <v>53559.057943388143</v>
      </c>
      <c r="AG138" s="606">
        <f t="shared" si="432"/>
        <v>2.4763357106322224E-3</v>
      </c>
      <c r="AH138" s="196">
        <f t="shared" si="408"/>
        <v>16484.782377158554</v>
      </c>
      <c r="AI138" s="248">
        <f t="shared" si="409"/>
        <v>1.2770511138735252E-3</v>
      </c>
      <c r="AJ138" s="196">
        <f t="shared" si="412"/>
        <v>72862.738107040816</v>
      </c>
      <c r="AK138" s="196">
        <f t="shared" ref="AK138:AK198" si="455">AB138*0.04</f>
        <v>13187.825901726843</v>
      </c>
      <c r="AL138" s="196">
        <f t="shared" ref="AL138:AL198" si="456">AB138*0.04</f>
        <v>13187.825901726843</v>
      </c>
      <c r="AM138" s="196">
        <f t="shared" si="413"/>
        <v>26375.651803453686</v>
      </c>
      <c r="AN138" s="627">
        <f t="shared" si="414"/>
        <v>1.2770511138735252E-3</v>
      </c>
      <c r="AO138" s="196">
        <f t="shared" si="415"/>
        <v>12528.4346066405</v>
      </c>
      <c r="AP138" s="589">
        <f t="shared" si="433"/>
        <v>1.2770511138735252E-3</v>
      </c>
      <c r="AQ138" s="196"/>
      <c r="AR138" s="589"/>
      <c r="AS138">
        <v>1</v>
      </c>
      <c r="AT138" s="589">
        <f t="shared" si="434"/>
        <v>1.2919896640826874E-3</v>
      </c>
      <c r="AU138" s="196">
        <v>12</v>
      </c>
      <c r="AV138" s="245">
        <f t="shared" si="416"/>
        <v>1.3634814225656176E-3</v>
      </c>
      <c r="AX138" s="245"/>
      <c r="AY138" s="245"/>
      <c r="AZ138" s="196">
        <v>82</v>
      </c>
      <c r="BA138" s="589">
        <f t="shared" si="447"/>
        <v>3.0046535487889782E-3</v>
      </c>
      <c r="BI138" s="196">
        <v>0</v>
      </c>
      <c r="BK138" s="246">
        <f t="shared" si="448"/>
        <v>0</v>
      </c>
      <c r="BL138" s="246"/>
      <c r="BM138" s="246">
        <f t="shared" si="449"/>
        <v>0</v>
      </c>
      <c r="BN138" s="196">
        <v>1</v>
      </c>
      <c r="BO138" s="196">
        <f t="shared" si="398"/>
        <v>24384.636483201019</v>
      </c>
      <c r="BP138" s="196">
        <f t="shared" si="417"/>
        <v>24384.636483201019</v>
      </c>
      <c r="BQ138" s="248">
        <f t="shared" si="450"/>
        <v>2.2810691898964871E-3</v>
      </c>
      <c r="BR138" s="248"/>
      <c r="BS138" s="248"/>
      <c r="BT138" s="276">
        <v>1</v>
      </c>
      <c r="BU138" s="196">
        <f t="shared" si="410"/>
        <v>44651.340938066751</v>
      </c>
      <c r="BV138" s="264">
        <f t="shared" si="451"/>
        <v>3.0971015841054412E-3</v>
      </c>
      <c r="BW138" s="196">
        <f t="shared" si="411"/>
        <v>191008.5140128411</v>
      </c>
      <c r="BX138" s="247">
        <f t="shared" si="452"/>
        <v>3.0971016120042508E-3</v>
      </c>
      <c r="BY138" s="196">
        <f t="shared" si="276"/>
        <v>235659.85495090784</v>
      </c>
      <c r="BZ138" s="620">
        <v>0</v>
      </c>
      <c r="CA138" s="196">
        <f t="shared" si="371"/>
        <v>100886.86814821036</v>
      </c>
      <c r="CB138" s="196">
        <f t="shared" si="372"/>
        <v>201773.73629642071</v>
      </c>
      <c r="CC138" s="196">
        <f t="shared" si="430"/>
        <v>302660.60444463108</v>
      </c>
      <c r="CD138" s="247">
        <f t="shared" si="418"/>
        <v>1.2770511138735254E-3</v>
      </c>
      <c r="CE138" s="196">
        <f t="shared" si="399"/>
        <v>26396.652205981358</v>
      </c>
      <c r="CF138" s="247">
        <f t="shared" si="419"/>
        <v>1.1398895344084039E-3</v>
      </c>
      <c r="CG138" s="196">
        <f t="shared" si="373"/>
        <v>50113.738426561998</v>
      </c>
      <c r="CH138" s="589">
        <f t="shared" si="435"/>
        <v>1.2770511138735252E-3</v>
      </c>
      <c r="CI138" s="196">
        <f t="shared" si="400"/>
        <v>57531.73152385182</v>
      </c>
      <c r="CJ138" s="248">
        <f t="shared" si="436"/>
        <v>9.4582152021728115E-4</v>
      </c>
      <c r="CK138" s="196">
        <f t="shared" si="401"/>
        <v>53287.603432396376</v>
      </c>
      <c r="CL138" s="589">
        <f t="shared" si="437"/>
        <v>7.6602026013309504E-4</v>
      </c>
      <c r="CM138" s="196">
        <f t="shared" si="402"/>
        <v>5162.2276890720268</v>
      </c>
      <c r="CN138" s="589">
        <f t="shared" si="438"/>
        <v>7.4393567691154747E-4</v>
      </c>
      <c r="CO138" s="196">
        <f t="shared" si="403"/>
        <v>412.95212769773821</v>
      </c>
      <c r="CP138" s="589">
        <f t="shared" si="439"/>
        <v>7.7876410650077168E-4</v>
      </c>
      <c r="CQ138" s="196">
        <f>'Detailed Budget'!$AC$12</f>
        <v>292876014141.44696</v>
      </c>
      <c r="CR138" s="269">
        <f t="shared" si="440"/>
        <v>0</v>
      </c>
      <c r="CS138" s="269">
        <f>'Detailed Budget'!$AC$16</f>
        <v>10488008800.000002</v>
      </c>
      <c r="CT138" s="607">
        <f t="shared" si="375"/>
        <v>0</v>
      </c>
      <c r="CU138" s="269">
        <f>'Detailed Budget'!$AC$24</f>
        <v>30624985696</v>
      </c>
      <c r="CV138" s="269">
        <f t="shared" si="446"/>
        <v>0</v>
      </c>
      <c r="CW138" s="269"/>
      <c r="CX138" s="269">
        <f t="shared" si="431"/>
        <v>0</v>
      </c>
      <c r="CY138" s="196">
        <f>'Detailed Budget'!$AC$97</f>
        <v>74629165494.837845</v>
      </c>
      <c r="CZ138" s="269">
        <f t="shared" si="376"/>
        <v>170234290.07796064</v>
      </c>
      <c r="DA138" s="269">
        <f>'Detailed Budget'!$AC$100</f>
        <v>14925833098.967569</v>
      </c>
      <c r="DB138" s="269">
        <f t="shared" si="377"/>
        <v>34046858.015592128</v>
      </c>
      <c r="DC138" s="269">
        <f t="shared" si="420"/>
        <v>204281148.09355277</v>
      </c>
      <c r="DD138" s="207">
        <v>0</v>
      </c>
      <c r="DE138" s="606">
        <v>0</v>
      </c>
      <c r="DF138" s="269">
        <f>'Detailed Budget'!$AC$147</f>
        <v>5913600671000</v>
      </c>
      <c r="DG138" s="269">
        <f t="shared" si="441"/>
        <v>0</v>
      </c>
      <c r="DH138" s="269">
        <f>'Detailed Budget'!$AC$153</f>
        <v>226428026880.00003</v>
      </c>
      <c r="DI138" s="269"/>
      <c r="DJ138" s="269">
        <f>'Detailed Budget'!$AC$156</f>
        <v>27713070000</v>
      </c>
      <c r="DK138" s="269"/>
      <c r="DL138" s="269"/>
      <c r="DM138" s="196">
        <f>'Detailed Budget'!$AC$178</f>
        <v>5622683761.6229038</v>
      </c>
      <c r="DN138" s="269">
        <f t="shared" si="404"/>
        <v>17414022.785046235</v>
      </c>
      <c r="DO138" s="196">
        <f>'Detailed Budget'!$AC$179</f>
        <v>26827890683.128094</v>
      </c>
      <c r="DP138" s="269">
        <f t="shared" si="405"/>
        <v>83088703.481389835</v>
      </c>
      <c r="DQ138" s="269">
        <f t="shared" si="273"/>
        <v>100502726.26643607</v>
      </c>
      <c r="DR138" s="269">
        <f>'Detailed Budget'!$AC$181</f>
        <v>50888946855.375237</v>
      </c>
      <c r="DS138" s="269">
        <f t="shared" si="406"/>
        <v>126018116.37443104</v>
      </c>
      <c r="DT138" s="269">
        <f t="shared" si="407"/>
        <v>226520842.64086711</v>
      </c>
      <c r="DU138" s="272">
        <f>'Detailed Budget'!$AC$192</f>
        <v>77498869683.252869</v>
      </c>
      <c r="DV138" s="269">
        <f t="shared" si="378"/>
        <v>0</v>
      </c>
      <c r="DW138" s="140">
        <f>'Detailed Budget'!$AC$194</f>
        <v>2684962805.4134097</v>
      </c>
      <c r="DX138" s="269">
        <f t="shared" si="379"/>
        <v>0</v>
      </c>
      <c r="DY138" s="607">
        <f t="shared" si="421"/>
        <v>0</v>
      </c>
      <c r="DZ138" s="196">
        <f>'Detailed Budget'!$AC$198</f>
        <v>18732540018.380611</v>
      </c>
      <c r="EA138" s="269">
        <f t="shared" si="380"/>
        <v>21353026.319838669</v>
      </c>
      <c r="EB138" s="196">
        <f>'Detailed Budget'!$AC$200</f>
        <v>4683135004.5951529</v>
      </c>
      <c r="EC138" s="269">
        <f t="shared" si="381"/>
        <v>5338256.5799596673</v>
      </c>
      <c r="ED138" s="269">
        <f t="shared" si="422"/>
        <v>26691282.899798337</v>
      </c>
      <c r="EE138" s="196">
        <f>'Detailed Budget'!$AC$161</f>
        <v>251147290106.36197</v>
      </c>
      <c r="EF138" s="269">
        <f t="shared" si="382"/>
        <v>320727926.57664692</v>
      </c>
      <c r="EG138" s="196">
        <f>'Detailed Budget'!$AC$163</f>
        <v>15696705631.647623</v>
      </c>
      <c r="EH138" s="269">
        <f t="shared" si="383"/>
        <v>20045495.411040433</v>
      </c>
      <c r="EI138" s="269">
        <f t="shared" si="423"/>
        <v>340773421.98768735</v>
      </c>
      <c r="EJ138" s="196">
        <f>'Detailed Budget'!$AC$204</f>
        <v>45012172507.531975</v>
      </c>
      <c r="EK138" s="269">
        <f t="shared" si="384"/>
        <v>42573481.429356404</v>
      </c>
      <c r="EL138" s="201">
        <f>'Detailed Budget'!$AC$206</f>
        <v>11253043126.882994</v>
      </c>
      <c r="EM138" s="269">
        <f t="shared" si="385"/>
        <v>10643370.357339101</v>
      </c>
      <c r="EN138" s="269">
        <f t="shared" si="424"/>
        <v>53216851.786695503</v>
      </c>
      <c r="EO138" s="140">
        <f>'Detailed Budget'!$AC$209</f>
        <v>135789361677.54817</v>
      </c>
      <c r="EP138" s="269">
        <f t="shared" si="386"/>
        <v>104017402.15554237</v>
      </c>
      <c r="EQ138" s="196">
        <f>'Detailed Budget'!$AC$211</f>
        <v>33947340419.387043</v>
      </c>
      <c r="ER138" s="269">
        <f t="shared" si="387"/>
        <v>26004350.538885593</v>
      </c>
      <c r="ES138" s="269">
        <f t="shared" si="425"/>
        <v>130021752.69442797</v>
      </c>
      <c r="ET138" s="196">
        <f>'Detailed Budget'!$AC$214</f>
        <v>22239745544.201103</v>
      </c>
      <c r="EU138" s="269">
        <f t="shared" si="388"/>
        <v>16544940.15576582</v>
      </c>
      <c r="EV138" s="140">
        <f>'Detailed Budget'!$AC$217</f>
        <v>5559936386.0502758</v>
      </c>
      <c r="EW138" s="269">
        <f t="shared" si="389"/>
        <v>4136235.0389414551</v>
      </c>
      <c r="EX138" s="269">
        <f t="shared" si="426"/>
        <v>20681175.194707274</v>
      </c>
      <c r="EY138" s="196">
        <f>'Detailed Budget'!$AC$219</f>
        <v>372777004.58170313</v>
      </c>
      <c r="EZ138" s="269">
        <f t="shared" si="390"/>
        <v>290305.35089710413</v>
      </c>
      <c r="FA138" s="196">
        <f>'Detailed Budget'!$AC$222</f>
        <v>93194251.145425782</v>
      </c>
      <c r="FB138" s="269">
        <f t="shared" si="391"/>
        <v>72576.337724276033</v>
      </c>
      <c r="FC138" s="269">
        <f t="shared" si="427"/>
        <v>362881.68862138013</v>
      </c>
      <c r="FD138" s="269"/>
      <c r="FE138" s="269">
        <f t="shared" si="428"/>
        <v>204282661.36445212</v>
      </c>
      <c r="FF138" s="140">
        <f>'Detailed Budget'!$AC$165</f>
        <v>14927760000</v>
      </c>
      <c r="FG138" s="1087">
        <f t="shared" si="442"/>
        <v>278655072.3576569</v>
      </c>
      <c r="FH138" s="269">
        <f t="shared" si="392"/>
        <v>20353723.440518126</v>
      </c>
      <c r="FJ138" s="140">
        <f>'Detailed Budget'!$AC$235</f>
        <v>3623696172</v>
      </c>
      <c r="FK138" s="269">
        <f t="shared" si="393"/>
        <v>4681778</v>
      </c>
      <c r="FL138" s="269">
        <f t="shared" si="443"/>
        <v>4681778</v>
      </c>
      <c r="FO138" s="607"/>
      <c r="FP138" s="607"/>
      <c r="FQ138" s="607"/>
      <c r="FR138" s="269">
        <f>'Detailed Budget'!$AC$257</f>
        <v>13636439388</v>
      </c>
      <c r="FS138" s="269">
        <f t="shared" si="394"/>
        <v>40972776</v>
      </c>
      <c r="FT138" s="269">
        <f t="shared" si="444"/>
        <v>40972776</v>
      </c>
      <c r="FU138" s="269"/>
      <c r="FV138" s="269"/>
      <c r="FW138" s="616"/>
      <c r="FX138" s="140">
        <f>'Detailed Budget'!$AC$278</f>
        <v>1114560000</v>
      </c>
      <c r="FY138" s="269">
        <f t="shared" si="395"/>
        <v>1440000</v>
      </c>
      <c r="FZ138" s="269">
        <f t="shared" si="445"/>
        <v>1440000</v>
      </c>
      <c r="GB138" s="269">
        <f t="shared" si="453"/>
        <v>1348652706.7845328</v>
      </c>
      <c r="GC138" s="887">
        <f t="shared" si="429"/>
        <v>842907.94174033299</v>
      </c>
      <c r="GD138" s="1078">
        <f t="shared" si="454"/>
        <v>7.5677150164073952E-4</v>
      </c>
    </row>
    <row r="139" spans="1:186" hidden="1" outlineLevel="1">
      <c r="A139" s="211" t="s">
        <v>456</v>
      </c>
      <c r="B139" s="212" t="s">
        <v>457</v>
      </c>
      <c r="C139" s="213" t="s">
        <v>215</v>
      </c>
      <c r="D139" s="214" t="s">
        <v>215</v>
      </c>
      <c r="E139" s="213"/>
      <c r="F139" s="213"/>
      <c r="G139" s="213"/>
      <c r="H139" s="213" t="s">
        <v>215</v>
      </c>
      <c r="I139" s="214" t="s">
        <v>215</v>
      </c>
      <c r="J139" s="214"/>
      <c r="K139" s="213" t="s">
        <v>215</v>
      </c>
      <c r="L139" s="213"/>
      <c r="M139" s="214"/>
      <c r="N139" s="213"/>
      <c r="O139" s="214"/>
      <c r="P139" s="213"/>
      <c r="Q139" s="214"/>
      <c r="R139" s="214" t="s">
        <v>215</v>
      </c>
      <c r="S139" s="214"/>
      <c r="T139" s="214"/>
      <c r="U139" s="215">
        <f t="shared" si="396"/>
        <v>6</v>
      </c>
      <c r="V139" s="845" t="s">
        <v>219</v>
      </c>
      <c r="W139" s="216">
        <v>197276</v>
      </c>
      <c r="X139" s="217">
        <v>2.94</v>
      </c>
      <c r="Y139" s="218">
        <f t="shared" si="277"/>
        <v>1.0294000000000001</v>
      </c>
      <c r="Z139" s="196">
        <v>19</v>
      </c>
      <c r="AA139" s="218">
        <f t="shared" si="369"/>
        <v>1.7341997303889829</v>
      </c>
      <c r="AB139" s="196">
        <f t="shared" si="367"/>
        <v>342115.98601221701</v>
      </c>
      <c r="AC139">
        <v>17.100000000000001</v>
      </c>
      <c r="AD139" s="196">
        <f t="shared" si="368"/>
        <v>58501.833608089117</v>
      </c>
      <c r="AE139" s="196">
        <f t="shared" si="280"/>
        <v>55576.741927684656</v>
      </c>
      <c r="AF139" s="196">
        <f t="shared" si="397"/>
        <v>55576.741927684656</v>
      </c>
      <c r="AG139" s="606">
        <f t="shared" si="432"/>
        <v>2.5696245602674314E-3</v>
      </c>
      <c r="AH139" s="196">
        <f t="shared" si="408"/>
        <v>17105.799300610852</v>
      </c>
      <c r="AI139" s="248">
        <f t="shared" si="409"/>
        <v>1.325160354000829E-3</v>
      </c>
      <c r="AJ139" s="196">
        <f t="shared" si="412"/>
        <v>75607.632908699976</v>
      </c>
      <c r="AK139" s="196">
        <f t="shared" si="455"/>
        <v>13684.639440488681</v>
      </c>
      <c r="AL139" s="196">
        <f t="shared" si="456"/>
        <v>13684.639440488681</v>
      </c>
      <c r="AM139" s="196">
        <f t="shared" si="413"/>
        <v>27369.278880977363</v>
      </c>
      <c r="AN139" s="627">
        <f t="shared" si="414"/>
        <v>1.325160354000829E-3</v>
      </c>
      <c r="AO139" s="196">
        <f t="shared" si="415"/>
        <v>13000.407468464246</v>
      </c>
      <c r="AP139" s="589">
        <f t="shared" si="433"/>
        <v>1.3251603540008288E-3</v>
      </c>
      <c r="AQ139" s="196"/>
      <c r="AR139" s="589"/>
      <c r="AS139">
        <v>1</v>
      </c>
      <c r="AT139" s="589">
        <f t="shared" si="434"/>
        <v>1.2919896640826874E-3</v>
      </c>
      <c r="AU139" s="196">
        <v>11</v>
      </c>
      <c r="AV139" s="245">
        <f t="shared" si="416"/>
        <v>1.2498579706851495E-3</v>
      </c>
      <c r="AX139" s="245"/>
      <c r="AY139" s="245"/>
      <c r="AZ139" s="196">
        <v>62</v>
      </c>
      <c r="BA139" s="589">
        <f t="shared" si="447"/>
        <v>2.2718112198160567E-3</v>
      </c>
      <c r="BI139" s="196">
        <v>0</v>
      </c>
      <c r="BK139" s="246">
        <f t="shared" si="448"/>
        <v>0</v>
      </c>
      <c r="BL139" s="246"/>
      <c r="BM139" s="246">
        <f t="shared" si="449"/>
        <v>0</v>
      </c>
      <c r="BN139" s="196">
        <v>1</v>
      </c>
      <c r="BO139" s="196">
        <f t="shared" si="398"/>
        <v>25303.257765656213</v>
      </c>
      <c r="BP139" s="196">
        <f t="shared" si="417"/>
        <v>25303.257765656213</v>
      </c>
      <c r="BQ139" s="248">
        <f t="shared" si="450"/>
        <v>2.3670019330823589E-3</v>
      </c>
      <c r="BR139" s="248"/>
      <c r="BS139" s="248"/>
      <c r="BT139" s="276">
        <v>1</v>
      </c>
      <c r="BU139" s="196">
        <f t="shared" si="410"/>
        <v>46333.45221760658</v>
      </c>
      <c r="BV139" s="264">
        <f t="shared" si="451"/>
        <v>3.2137760086368445E-3</v>
      </c>
      <c r="BW139" s="196">
        <f t="shared" si="411"/>
        <v>198204.21226420597</v>
      </c>
      <c r="BX139" s="247">
        <f t="shared" si="452"/>
        <v>3.2137760375866627E-3</v>
      </c>
      <c r="BY139" s="196">
        <f t="shared" si="276"/>
        <v>244537.66448181256</v>
      </c>
      <c r="BZ139" s="620">
        <v>0</v>
      </c>
      <c r="CA139" s="196">
        <f t="shared" si="371"/>
        <v>104687.49171973841</v>
      </c>
      <c r="CB139" s="196">
        <f t="shared" si="372"/>
        <v>209374.98343947681</v>
      </c>
      <c r="CC139" s="196">
        <f t="shared" si="430"/>
        <v>314062.47515921522</v>
      </c>
      <c r="CD139" s="247">
        <f t="shared" si="418"/>
        <v>1.325160354000829E-3</v>
      </c>
      <c r="CE139" s="196">
        <f t="shared" si="399"/>
        <v>27391.070413473914</v>
      </c>
      <c r="CF139" s="247">
        <f t="shared" si="419"/>
        <v>1.1828316051945272E-3</v>
      </c>
      <c r="CG139" s="196">
        <f t="shared" si="373"/>
        <v>52001.629873856982</v>
      </c>
      <c r="CH139" s="589">
        <f t="shared" si="435"/>
        <v>1.3251603540008288E-3</v>
      </c>
      <c r="CI139" s="196">
        <f t="shared" si="400"/>
        <v>59699.074597869665</v>
      </c>
      <c r="CJ139" s="248">
        <f t="shared" si="436"/>
        <v>9.8145263485269045E-4</v>
      </c>
      <c r="CK139" s="196">
        <f t="shared" si="401"/>
        <v>55295.0611460988</v>
      </c>
      <c r="CL139" s="589">
        <f t="shared" si="437"/>
        <v>7.9487787768400256E-4</v>
      </c>
      <c r="CM139" s="196">
        <f t="shared" si="402"/>
        <v>5356.6998200520384</v>
      </c>
      <c r="CN139" s="589">
        <f t="shared" si="438"/>
        <v>7.7196132109367242E-4</v>
      </c>
      <c r="CO139" s="196">
        <f t="shared" si="403"/>
        <v>428.5089154070663</v>
      </c>
      <c r="CP139" s="589">
        <f t="shared" si="439"/>
        <v>8.0810181193413546E-4</v>
      </c>
      <c r="CQ139" s="196">
        <f>'Detailed Budget'!$AC$12</f>
        <v>292876014141.44696</v>
      </c>
      <c r="CR139" s="269">
        <f t="shared" si="440"/>
        <v>0</v>
      </c>
      <c r="CS139" s="269">
        <f>'Detailed Budget'!$AC$16</f>
        <v>10488008800.000002</v>
      </c>
      <c r="CT139" s="607">
        <f t="shared" si="375"/>
        <v>0</v>
      </c>
      <c r="CU139" s="269">
        <f>'Detailed Budget'!$AC$24</f>
        <v>30624985696</v>
      </c>
      <c r="CV139" s="269">
        <f t="shared" si="446"/>
        <v>0</v>
      </c>
      <c r="CW139" s="269"/>
      <c r="CX139" s="269">
        <f t="shared" si="431"/>
        <v>0</v>
      </c>
      <c r="CY139" s="196">
        <f>'Detailed Budget'!$AC$97</f>
        <v>74629165494.837845</v>
      </c>
      <c r="CZ139" s="269">
        <f t="shared" si="376"/>
        <v>176647378.99060446</v>
      </c>
      <c r="DA139" s="269">
        <f>'Detailed Budget'!$AC$100</f>
        <v>14925833098.967569</v>
      </c>
      <c r="DB139" s="269">
        <f t="shared" si="377"/>
        <v>35329475.798120894</v>
      </c>
      <c r="DC139" s="269">
        <f t="shared" si="420"/>
        <v>211976854.78872535</v>
      </c>
      <c r="DD139" s="207">
        <v>0</v>
      </c>
      <c r="DE139" s="606">
        <v>0</v>
      </c>
      <c r="DF139" s="269">
        <f>'Detailed Budget'!$AC$147</f>
        <v>5913600671000</v>
      </c>
      <c r="DG139" s="269">
        <f t="shared" si="441"/>
        <v>0</v>
      </c>
      <c r="DH139" s="269">
        <f>'Detailed Budget'!$AC$153</f>
        <v>226428026880.00003</v>
      </c>
      <c r="DI139" s="269"/>
      <c r="DJ139" s="269">
        <f>'Detailed Budget'!$AC$156</f>
        <v>27713070000</v>
      </c>
      <c r="DK139" s="269"/>
      <c r="DL139" s="269"/>
      <c r="DM139" s="196">
        <f>'Detailed Budget'!$AC$178</f>
        <v>5622683761.6229038</v>
      </c>
      <c r="DN139" s="269">
        <f t="shared" si="404"/>
        <v>18070046.177255653</v>
      </c>
      <c r="DO139" s="196">
        <f>'Detailed Budget'!$AC$179</f>
        <v>26827890683.128094</v>
      </c>
      <c r="DP139" s="269">
        <f t="shared" si="405"/>
        <v>86218832.216431558</v>
      </c>
      <c r="DQ139" s="269">
        <f t="shared" si="273"/>
        <v>104288878.39368722</v>
      </c>
      <c r="DR139" s="269">
        <f>'Detailed Budget'!$AC$181</f>
        <v>50888946855.375237</v>
      </c>
      <c r="DS139" s="269">
        <f t="shared" si="406"/>
        <v>130765487.68571627</v>
      </c>
      <c r="DT139" s="269">
        <f t="shared" si="407"/>
        <v>235054366.07940349</v>
      </c>
      <c r="DU139" s="272">
        <f>'Detailed Budget'!$AC$192</f>
        <v>77498869683.252869</v>
      </c>
      <c r="DV139" s="269">
        <f t="shared" si="378"/>
        <v>0</v>
      </c>
      <c r="DW139" s="140">
        <f>'Detailed Budget'!$AC$194</f>
        <v>2684962805.4134097</v>
      </c>
      <c r="DX139" s="269">
        <f t="shared" si="379"/>
        <v>0</v>
      </c>
      <c r="DY139" s="607">
        <f t="shared" si="421"/>
        <v>0</v>
      </c>
      <c r="DZ139" s="196">
        <f>'Detailed Budget'!$AC$198</f>
        <v>18732540018.380611</v>
      </c>
      <c r="EA139" s="269">
        <f t="shared" si="380"/>
        <v>22157440.379311856</v>
      </c>
      <c r="EB139" s="196">
        <f>'Detailed Budget'!$AC$200</f>
        <v>4683135004.5951529</v>
      </c>
      <c r="EC139" s="269">
        <f t="shared" si="381"/>
        <v>5539360.094827964</v>
      </c>
      <c r="ED139" s="269">
        <f t="shared" si="422"/>
        <v>27696800.474139821</v>
      </c>
      <c r="EE139" s="196">
        <f>'Detailed Budget'!$AC$161</f>
        <v>251147290106.36197</v>
      </c>
      <c r="EF139" s="269">
        <f t="shared" si="382"/>
        <v>332810431.8636955</v>
      </c>
      <c r="EG139" s="196">
        <f>'Detailed Budget'!$AC$163</f>
        <v>15696705631.647623</v>
      </c>
      <c r="EH139" s="269">
        <f t="shared" si="383"/>
        <v>20800651.991480969</v>
      </c>
      <c r="EI139" s="269">
        <f t="shared" si="423"/>
        <v>353611083.85517645</v>
      </c>
      <c r="EJ139" s="196">
        <f>'Detailed Budget'!$AC$204</f>
        <v>45012172507.531975</v>
      </c>
      <c r="EK139" s="269">
        <f t="shared" si="384"/>
        <v>44177315.307961091</v>
      </c>
      <c r="EL139" s="201">
        <f>'Detailed Budget'!$AC$206</f>
        <v>11253043126.882994</v>
      </c>
      <c r="EM139" s="269">
        <f t="shared" si="385"/>
        <v>11044328.826990273</v>
      </c>
      <c r="EN139" s="269">
        <f t="shared" si="424"/>
        <v>55221644.134951368</v>
      </c>
      <c r="EO139" s="140">
        <f>'Detailed Budget'!$AC$209</f>
        <v>135789361677.54817</v>
      </c>
      <c r="EP139" s="269">
        <f t="shared" si="386"/>
        <v>107935959.62231492</v>
      </c>
      <c r="EQ139" s="196">
        <f>'Detailed Budget'!$AC$211</f>
        <v>33947340419.387043</v>
      </c>
      <c r="ER139" s="269">
        <f t="shared" si="387"/>
        <v>26983989.905578729</v>
      </c>
      <c r="ES139" s="269">
        <f t="shared" si="425"/>
        <v>134919949.52789363</v>
      </c>
      <c r="ET139" s="196">
        <f>'Detailed Budget'!$AC$214</f>
        <v>22239745544.201103</v>
      </c>
      <c r="EU139" s="269">
        <f t="shared" si="388"/>
        <v>17168223.351088598</v>
      </c>
      <c r="EV139" s="140">
        <f>'Detailed Budget'!$AC$217</f>
        <v>5559936386.0502758</v>
      </c>
      <c r="EW139" s="269">
        <f t="shared" si="389"/>
        <v>4292055.8377721496</v>
      </c>
      <c r="EX139" s="269">
        <f t="shared" si="426"/>
        <v>21460279.188860748</v>
      </c>
      <c r="EY139" s="196">
        <f>'Detailed Budget'!$AC$219</f>
        <v>372777004.58170313</v>
      </c>
      <c r="EZ139" s="269">
        <f t="shared" si="390"/>
        <v>301241.77284985379</v>
      </c>
      <c r="FA139" s="196">
        <f>'Detailed Budget'!$AC$222</f>
        <v>93194251.145425782</v>
      </c>
      <c r="FB139" s="269">
        <f t="shared" si="391"/>
        <v>75310.443212463448</v>
      </c>
      <c r="FC139" s="269">
        <f t="shared" si="427"/>
        <v>376552.21606231725</v>
      </c>
      <c r="FD139" s="269"/>
      <c r="FE139" s="269">
        <f t="shared" si="428"/>
        <v>211978425.06776807</v>
      </c>
      <c r="FF139" s="140">
        <f>'Detailed Budget'!$AC$165</f>
        <v>14927760000</v>
      </c>
      <c r="FG139" s="1087">
        <f t="shared" si="442"/>
        <v>289152603.46123445</v>
      </c>
      <c r="FH139" s="269">
        <f t="shared" si="392"/>
        <v>18657579.820474949</v>
      </c>
      <c r="FJ139" s="140">
        <f>'Detailed Budget'!$AC$235</f>
        <v>3623696172</v>
      </c>
      <c r="FK139" s="269">
        <f t="shared" si="393"/>
        <v>4681778</v>
      </c>
      <c r="FL139" s="269">
        <f t="shared" si="443"/>
        <v>4681778</v>
      </c>
      <c r="FO139" s="607"/>
      <c r="FP139" s="607"/>
      <c r="FQ139" s="607"/>
      <c r="FR139" s="269">
        <f>'Detailed Budget'!$AC$257</f>
        <v>13636439388</v>
      </c>
      <c r="FS139" s="269">
        <f t="shared" si="394"/>
        <v>30979416.000000004</v>
      </c>
      <c r="FT139" s="269">
        <f t="shared" si="444"/>
        <v>30979416.000000004</v>
      </c>
      <c r="FU139" s="269"/>
      <c r="FV139" s="269"/>
      <c r="FW139" s="616"/>
      <c r="FX139" s="140">
        <f>'Detailed Budget'!$AC$278</f>
        <v>1114560000</v>
      </c>
      <c r="FY139" s="269">
        <f t="shared" si="395"/>
        <v>1440000</v>
      </c>
      <c r="FZ139" s="269">
        <f t="shared" si="445"/>
        <v>1440000</v>
      </c>
      <c r="GB139" s="269">
        <f t="shared" si="453"/>
        <v>1385228907.5469224</v>
      </c>
      <c r="GC139" s="887">
        <f t="shared" si="429"/>
        <v>865768.06721682649</v>
      </c>
      <c r="GD139" s="1078">
        <f t="shared" si="454"/>
        <v>7.7729555964026805E-4</v>
      </c>
    </row>
    <row r="140" spans="1:186" hidden="1" outlineLevel="1">
      <c r="A140" s="211" t="s">
        <v>458</v>
      </c>
      <c r="B140" s="212" t="s">
        <v>459</v>
      </c>
      <c r="C140" s="213" t="s">
        <v>215</v>
      </c>
      <c r="D140" s="214" t="s">
        <v>215</v>
      </c>
      <c r="E140" s="213"/>
      <c r="F140" s="213"/>
      <c r="G140" s="213"/>
      <c r="H140" s="213" t="s">
        <v>215</v>
      </c>
      <c r="I140" s="214" t="s">
        <v>215</v>
      </c>
      <c r="J140" s="214"/>
      <c r="K140" s="213" t="s">
        <v>215</v>
      </c>
      <c r="L140" s="213"/>
      <c r="M140" s="214"/>
      <c r="N140" s="213"/>
      <c r="O140" s="214"/>
      <c r="P140" s="213"/>
      <c r="Q140" s="214"/>
      <c r="R140" s="214" t="s">
        <v>215</v>
      </c>
      <c r="S140" s="214"/>
      <c r="T140" s="214"/>
      <c r="U140" s="215">
        <f t="shared" si="396"/>
        <v>6</v>
      </c>
      <c r="V140" s="845" t="s">
        <v>219</v>
      </c>
      <c r="W140" s="216">
        <v>131778</v>
      </c>
      <c r="X140" s="217">
        <v>2.94</v>
      </c>
      <c r="Y140" s="218">
        <f t="shared" si="277"/>
        <v>1.0294000000000001</v>
      </c>
      <c r="Z140" s="196">
        <v>19</v>
      </c>
      <c r="AA140" s="218">
        <f t="shared" si="369"/>
        <v>1.7341997303889829</v>
      </c>
      <c r="AB140" s="196">
        <f t="shared" si="367"/>
        <v>228529.37207119938</v>
      </c>
      <c r="AC140">
        <v>17.100000000000001</v>
      </c>
      <c r="AD140" s="196">
        <f t="shared" si="368"/>
        <v>39078.522624175093</v>
      </c>
      <c r="AE140" s="196">
        <f t="shared" si="280"/>
        <v>37124.596492966339</v>
      </c>
      <c r="AF140" s="196">
        <f t="shared" si="397"/>
        <v>37124.596492966339</v>
      </c>
      <c r="AG140" s="606">
        <f t="shared" si="432"/>
        <v>1.7164783618023557E-3</v>
      </c>
      <c r="AH140" s="196">
        <f t="shared" si="408"/>
        <v>11426.46860355997</v>
      </c>
      <c r="AI140" s="248">
        <f t="shared" si="409"/>
        <v>8.8519120992680935E-4</v>
      </c>
      <c r="AJ140" s="196">
        <f t="shared" si="412"/>
        <v>50504.991227735067</v>
      </c>
      <c r="AK140" s="196">
        <f t="shared" si="455"/>
        <v>9141.1748828479758</v>
      </c>
      <c r="AL140" s="196">
        <f t="shared" si="456"/>
        <v>9141.1748828479758</v>
      </c>
      <c r="AM140" s="196">
        <f t="shared" si="413"/>
        <v>18282.349765695952</v>
      </c>
      <c r="AN140" s="627">
        <f t="shared" si="414"/>
        <v>8.8519120992680935E-4</v>
      </c>
      <c r="AO140" s="196">
        <f t="shared" si="415"/>
        <v>8684.1161387055763</v>
      </c>
      <c r="AP140" s="589">
        <f t="shared" si="433"/>
        <v>8.8519120992680924E-4</v>
      </c>
      <c r="AQ140" s="196"/>
      <c r="AR140" s="589"/>
      <c r="AS140">
        <v>1</v>
      </c>
      <c r="AT140" s="589">
        <f t="shared" si="434"/>
        <v>1.2919896640826874E-3</v>
      </c>
      <c r="AU140" s="196">
        <v>10</v>
      </c>
      <c r="AV140" s="245">
        <f t="shared" si="416"/>
        <v>1.1362345188046814E-3</v>
      </c>
      <c r="AX140" s="245"/>
      <c r="AY140" s="245"/>
      <c r="AZ140" s="196">
        <v>46</v>
      </c>
      <c r="BA140" s="589">
        <f t="shared" si="447"/>
        <v>1.6855373566377193E-3</v>
      </c>
      <c r="BI140" s="196">
        <v>0</v>
      </c>
      <c r="BK140" s="246">
        <f t="shared" si="448"/>
        <v>0</v>
      </c>
      <c r="BL140" s="246"/>
      <c r="BM140" s="246">
        <f t="shared" si="449"/>
        <v>0</v>
      </c>
      <c r="BN140" s="196">
        <v>1</v>
      </c>
      <c r="BO140" s="196">
        <f t="shared" si="398"/>
        <v>16902.272460120053</v>
      </c>
      <c r="BP140" s="196">
        <f t="shared" si="417"/>
        <v>16902.272460120053</v>
      </c>
      <c r="BQ140" s="248">
        <f t="shared" si="450"/>
        <v>1.5811288790208995E-3</v>
      </c>
      <c r="BR140" s="248"/>
      <c r="BS140" s="248"/>
      <c r="BT140" s="276">
        <v>1</v>
      </c>
      <c r="BU140" s="196">
        <f t="shared" si="410"/>
        <v>30950.189918346678</v>
      </c>
      <c r="BV140" s="264">
        <f t="shared" si="451"/>
        <v>2.1467637972492652E-3</v>
      </c>
      <c r="BW140" s="196">
        <f t="shared" si="411"/>
        <v>132398.03465070523</v>
      </c>
      <c r="BX140" s="247">
        <f t="shared" si="452"/>
        <v>2.1467638165873957E-3</v>
      </c>
      <c r="BY140" s="196">
        <f t="shared" si="276"/>
        <v>163348.2245690519</v>
      </c>
      <c r="BZ140" s="620">
        <v>0</v>
      </c>
      <c r="CA140" s="196">
        <f t="shared" si="371"/>
        <v>69929.987853787025</v>
      </c>
      <c r="CB140" s="196">
        <f t="shared" si="372"/>
        <v>139859.97570757405</v>
      </c>
      <c r="CC140" s="196">
        <f t="shared" si="430"/>
        <v>209789.96356136107</v>
      </c>
      <c r="CD140" s="247">
        <f t="shared" si="418"/>
        <v>8.8519120992680946E-4</v>
      </c>
      <c r="CE140" s="196">
        <f t="shared" si="399"/>
        <v>18296.906247829262</v>
      </c>
      <c r="CF140" s="247">
        <f t="shared" si="419"/>
        <v>7.9011731416555686E-4</v>
      </c>
      <c r="CG140" s="196">
        <f t="shared" si="373"/>
        <v>34736.464554822305</v>
      </c>
      <c r="CH140" s="589">
        <f t="shared" si="435"/>
        <v>8.8519120992680924E-4</v>
      </c>
      <c r="CI140" s="196">
        <f t="shared" si="400"/>
        <v>39878.265234281243</v>
      </c>
      <c r="CJ140" s="248">
        <f t="shared" si="436"/>
        <v>6.5559857922716305E-4</v>
      </c>
      <c r="CK140" s="196">
        <f t="shared" si="401"/>
        <v>36936.437112018728</v>
      </c>
      <c r="CL140" s="589">
        <f t="shared" si="437"/>
        <v>5.3096888098624504E-4</v>
      </c>
      <c r="CM140" s="196">
        <f t="shared" si="402"/>
        <v>3578.2111807154315</v>
      </c>
      <c r="CN140" s="589">
        <f t="shared" si="438"/>
        <v>5.1566089626250511E-4</v>
      </c>
      <c r="CO140" s="196">
        <f t="shared" si="403"/>
        <v>286.23881189051065</v>
      </c>
      <c r="CP140" s="589">
        <f t="shared" si="439"/>
        <v>5.3980231033200438E-4</v>
      </c>
      <c r="CQ140" s="196">
        <f>'Detailed Budget'!$AC$12</f>
        <v>292876014141.44696</v>
      </c>
      <c r="CR140" s="269">
        <f t="shared" si="440"/>
        <v>0</v>
      </c>
      <c r="CS140" s="269">
        <f>'Detailed Budget'!$AC$16</f>
        <v>10488008800.000002</v>
      </c>
      <c r="CT140" s="607">
        <f t="shared" si="375"/>
        <v>0</v>
      </c>
      <c r="CU140" s="269">
        <f>'Detailed Budget'!$AC$24</f>
        <v>30624985696</v>
      </c>
      <c r="CV140" s="269">
        <f t="shared" si="446"/>
        <v>0</v>
      </c>
      <c r="CW140" s="269"/>
      <c r="CX140" s="269">
        <f t="shared" si="431"/>
        <v>0</v>
      </c>
      <c r="CY140" s="196">
        <f>'Detailed Budget'!$AC$97</f>
        <v>74629165494.837845</v>
      </c>
      <c r="CZ140" s="269">
        <f t="shared" si="376"/>
        <v>117998328.78111815</v>
      </c>
      <c r="DA140" s="269">
        <f>'Detailed Budget'!$AC$100</f>
        <v>14925833098.967569</v>
      </c>
      <c r="DB140" s="269">
        <f t="shared" si="377"/>
        <v>23599665.75622363</v>
      </c>
      <c r="DC140" s="269">
        <f t="shared" si="420"/>
        <v>141597994.53734177</v>
      </c>
      <c r="DD140" s="207">
        <v>0</v>
      </c>
      <c r="DE140" s="606">
        <v>0</v>
      </c>
      <c r="DF140" s="269">
        <f>'Detailed Budget'!$AC$147</f>
        <v>5913600671000</v>
      </c>
      <c r="DG140" s="269">
        <f t="shared" si="441"/>
        <v>0</v>
      </c>
      <c r="DH140" s="269">
        <f>'Detailed Budget'!$AC$153</f>
        <v>226428026880.00003</v>
      </c>
      <c r="DI140" s="269"/>
      <c r="DJ140" s="269">
        <f>'Detailed Budget'!$AC$156</f>
        <v>27713070000</v>
      </c>
      <c r="DK140" s="269"/>
      <c r="DL140" s="269"/>
      <c r="DM140" s="196">
        <f>'Detailed Budget'!$AC$178</f>
        <v>5622683761.6229038</v>
      </c>
      <c r="DN140" s="269">
        <f t="shared" si="404"/>
        <v>12070573.942833368</v>
      </c>
      <c r="DO140" s="196">
        <f>'Detailed Budget'!$AC$179</f>
        <v>26827890683.128094</v>
      </c>
      <c r="DP140" s="269">
        <f t="shared" si="405"/>
        <v>57593144.993901499</v>
      </c>
      <c r="DQ140" s="269">
        <f t="shared" si="273"/>
        <v>69663718.93673487</v>
      </c>
      <c r="DR140" s="269">
        <f>'Detailed Budget'!$AC$181</f>
        <v>50888946855.375237</v>
      </c>
      <c r="DS140" s="269">
        <f t="shared" si="406"/>
        <v>87349776.132161632</v>
      </c>
      <c r="DT140" s="269">
        <f t="shared" si="407"/>
        <v>157013495.0688965</v>
      </c>
      <c r="DU140" s="272">
        <f>'Detailed Budget'!$AC$192</f>
        <v>77498869683.252869</v>
      </c>
      <c r="DV140" s="269">
        <f t="shared" si="378"/>
        <v>0</v>
      </c>
      <c r="DW140" s="140">
        <f>'Detailed Budget'!$AC$194</f>
        <v>2684962805.4134097</v>
      </c>
      <c r="DX140" s="269">
        <f t="shared" si="379"/>
        <v>0</v>
      </c>
      <c r="DY140" s="607">
        <f t="shared" si="421"/>
        <v>0</v>
      </c>
      <c r="DZ140" s="196">
        <f>'Detailed Budget'!$AC$198</f>
        <v>18732540018.380611</v>
      </c>
      <c r="EA140" s="269">
        <f t="shared" si="380"/>
        <v>14800904.206821701</v>
      </c>
      <c r="EB140" s="196">
        <f>'Detailed Budget'!$AC$200</f>
        <v>4683135004.5951529</v>
      </c>
      <c r="EC140" s="269">
        <f t="shared" si="381"/>
        <v>3700226.0517054251</v>
      </c>
      <c r="ED140" s="269">
        <f t="shared" si="422"/>
        <v>18501130.258527126</v>
      </c>
      <c r="EE140" s="196">
        <f>'Detailed Budget'!$AC$161</f>
        <v>251147290106.36197</v>
      </c>
      <c r="EF140" s="269">
        <f t="shared" si="382"/>
        <v>222313373.59908992</v>
      </c>
      <c r="EG140" s="196">
        <f>'Detailed Budget'!$AC$163</f>
        <v>15696705631.647623</v>
      </c>
      <c r="EH140" s="269">
        <f t="shared" si="383"/>
        <v>13894585.84994312</v>
      </c>
      <c r="EI140" s="269">
        <f t="shared" si="423"/>
        <v>236207959.44903305</v>
      </c>
      <c r="EJ140" s="196">
        <f>'Detailed Budget'!$AC$204</f>
        <v>45012172507.531975</v>
      </c>
      <c r="EK140" s="269">
        <f t="shared" si="384"/>
        <v>29509916.343865931</v>
      </c>
      <c r="EL140" s="201">
        <f>'Detailed Budget'!$AC$206</f>
        <v>11253043126.882994</v>
      </c>
      <c r="EM140" s="269">
        <f t="shared" si="385"/>
        <v>7377479.0859664828</v>
      </c>
      <c r="EN140" s="269">
        <f t="shared" si="424"/>
        <v>36887395.429832414</v>
      </c>
      <c r="EO140" s="140">
        <f>'Detailed Budget'!$AC$209</f>
        <v>135789361677.54817</v>
      </c>
      <c r="EP140" s="269">
        <f t="shared" si="386"/>
        <v>72099925.419764265</v>
      </c>
      <c r="EQ140" s="196">
        <f>'Detailed Budget'!$AC$211</f>
        <v>33947340419.387043</v>
      </c>
      <c r="ER140" s="269">
        <f t="shared" si="387"/>
        <v>18024981.354941066</v>
      </c>
      <c r="ES140" s="269">
        <f t="shared" si="425"/>
        <v>90124906.774705335</v>
      </c>
      <c r="ET140" s="196">
        <f>'Detailed Budget'!$AC$214</f>
        <v>22239745544.201103</v>
      </c>
      <c r="EU140" s="269">
        <f t="shared" si="388"/>
        <v>11468167.119972795</v>
      </c>
      <c r="EV140" s="140">
        <f>'Detailed Budget'!$AC$217</f>
        <v>5559936386.0502758</v>
      </c>
      <c r="EW140" s="269">
        <f t="shared" si="389"/>
        <v>2867041.7799931988</v>
      </c>
      <c r="EX140" s="269">
        <f t="shared" si="426"/>
        <v>14335208.899965994</v>
      </c>
      <c r="EY140" s="196">
        <f>'Detailed Budget'!$AC$219</f>
        <v>372777004.58170313</v>
      </c>
      <c r="EZ140" s="269">
        <f t="shared" si="390"/>
        <v>201225.88831184752</v>
      </c>
      <c r="FA140" s="196">
        <f>'Detailed Budget'!$AC$222</f>
        <v>93194251.145425782</v>
      </c>
      <c r="FB140" s="269">
        <f t="shared" si="391"/>
        <v>50306.47207796188</v>
      </c>
      <c r="FC140" s="269">
        <f t="shared" si="427"/>
        <v>251532.36038980942</v>
      </c>
      <c r="FD140" s="269"/>
      <c r="FE140" s="269">
        <f t="shared" si="428"/>
        <v>141599043.46489355</v>
      </c>
      <c r="FF140" s="140">
        <f>'Detailed Budget'!$AC$165</f>
        <v>14927760000</v>
      </c>
      <c r="FG140" s="1087">
        <f t="shared" si="442"/>
        <v>193150468.27244344</v>
      </c>
      <c r="FH140" s="269">
        <f t="shared" si="392"/>
        <v>16961436.200431772</v>
      </c>
      <c r="FJ140" s="140">
        <f>'Detailed Budget'!$AC$235</f>
        <v>3623696172</v>
      </c>
      <c r="FK140" s="269">
        <f t="shared" si="393"/>
        <v>4681778</v>
      </c>
      <c r="FL140" s="269">
        <f t="shared" si="443"/>
        <v>4681778</v>
      </c>
      <c r="FO140" s="607"/>
      <c r="FP140" s="607"/>
      <c r="FQ140" s="607"/>
      <c r="FR140" s="269">
        <f>'Detailed Budget'!$AC$257</f>
        <v>13636439388</v>
      </c>
      <c r="FS140" s="269">
        <f t="shared" si="394"/>
        <v>22984728</v>
      </c>
      <c r="FT140" s="269">
        <f t="shared" si="444"/>
        <v>22984728</v>
      </c>
      <c r="FU140" s="269"/>
      <c r="FV140" s="269"/>
      <c r="FW140" s="616"/>
      <c r="FX140" s="140">
        <f>'Detailed Budget'!$AC$278</f>
        <v>1114560000</v>
      </c>
      <c r="FY140" s="269">
        <f t="shared" si="395"/>
        <v>1440000</v>
      </c>
      <c r="FZ140" s="269">
        <f t="shared" si="445"/>
        <v>1440000</v>
      </c>
      <c r="GB140" s="269">
        <f t="shared" si="453"/>
        <v>934138033.25156724</v>
      </c>
      <c r="GC140" s="887">
        <f t="shared" si="429"/>
        <v>583836.27078222949</v>
      </c>
      <c r="GD140" s="1078">
        <f t="shared" si="454"/>
        <v>5.2417426562616025E-4</v>
      </c>
    </row>
    <row r="141" spans="1:186" hidden="1" outlineLevel="1">
      <c r="A141" s="211" t="s">
        <v>460</v>
      </c>
      <c r="B141" s="212" t="s">
        <v>461</v>
      </c>
      <c r="C141" s="213" t="s">
        <v>215</v>
      </c>
      <c r="D141" s="214" t="s">
        <v>215</v>
      </c>
      <c r="E141" s="213"/>
      <c r="F141" s="213"/>
      <c r="G141" s="213"/>
      <c r="H141" s="213" t="s">
        <v>215</v>
      </c>
      <c r="I141" s="214" t="s">
        <v>215</v>
      </c>
      <c r="J141" s="214"/>
      <c r="K141" s="213" t="s">
        <v>215</v>
      </c>
      <c r="L141" s="213"/>
      <c r="M141" s="214"/>
      <c r="N141" s="213"/>
      <c r="O141" s="214"/>
      <c r="P141" s="213"/>
      <c r="Q141" s="214"/>
      <c r="R141" s="214" t="s">
        <v>215</v>
      </c>
      <c r="S141" s="214"/>
      <c r="T141" s="214"/>
      <c r="U141" s="215">
        <f t="shared" si="396"/>
        <v>6</v>
      </c>
      <c r="V141" s="845" t="s">
        <v>219</v>
      </c>
      <c r="W141" s="216">
        <v>205119</v>
      </c>
      <c r="X141" s="217">
        <v>2.94</v>
      </c>
      <c r="Y141" s="218">
        <f t="shared" si="277"/>
        <v>1.0294000000000001</v>
      </c>
      <c r="Z141" s="196">
        <v>19</v>
      </c>
      <c r="AA141" s="218">
        <f t="shared" si="369"/>
        <v>1.7341997303889829</v>
      </c>
      <c r="AB141" s="196">
        <f t="shared" si="367"/>
        <v>355717.31449765776</v>
      </c>
      <c r="AC141">
        <v>17.100000000000001</v>
      </c>
      <c r="AD141" s="196">
        <f t="shared" si="368"/>
        <v>60827.660779099482</v>
      </c>
      <c r="AE141" s="196">
        <f t="shared" si="280"/>
        <v>57786.277740144506</v>
      </c>
      <c r="AF141" s="196">
        <f t="shared" si="397"/>
        <v>57786.277740144506</v>
      </c>
      <c r="AG141" s="606">
        <f t="shared" si="432"/>
        <v>2.6717837961916053E-3</v>
      </c>
      <c r="AH141" s="196">
        <f t="shared" si="408"/>
        <v>17785.865724882889</v>
      </c>
      <c r="AI141" s="248">
        <f t="shared" si="409"/>
        <v>1.3778440694879055E-3</v>
      </c>
      <c r="AJ141" s="196">
        <f t="shared" si="412"/>
        <v>78613.526503982372</v>
      </c>
      <c r="AK141" s="196">
        <f t="shared" si="455"/>
        <v>14228.69257990631</v>
      </c>
      <c r="AL141" s="196">
        <f t="shared" si="456"/>
        <v>14228.69257990631</v>
      </c>
      <c r="AM141" s="196">
        <f t="shared" si="413"/>
        <v>28457.38515981262</v>
      </c>
      <c r="AN141" s="627">
        <f t="shared" si="414"/>
        <v>1.3778440694879053E-3</v>
      </c>
      <c r="AO141" s="196">
        <f t="shared" si="415"/>
        <v>13517.257950910995</v>
      </c>
      <c r="AP141" s="589">
        <f t="shared" si="433"/>
        <v>1.3778440694879053E-3</v>
      </c>
      <c r="AQ141" s="196"/>
      <c r="AR141" s="589"/>
      <c r="AS141">
        <v>1</v>
      </c>
      <c r="AT141" s="589">
        <f t="shared" si="434"/>
        <v>1.2919896640826874E-3</v>
      </c>
      <c r="AU141" s="196">
        <v>11</v>
      </c>
      <c r="AV141" s="245">
        <f t="shared" si="416"/>
        <v>1.2498579706851495E-3</v>
      </c>
      <c r="AX141" s="245"/>
      <c r="AY141" s="245"/>
      <c r="AZ141" s="196">
        <v>54</v>
      </c>
      <c r="BA141" s="589">
        <f t="shared" si="447"/>
        <v>1.9786742882268878E-3</v>
      </c>
      <c r="BI141" s="196">
        <v>0</v>
      </c>
      <c r="BK141" s="246">
        <f t="shared" si="448"/>
        <v>0</v>
      </c>
      <c r="BL141" s="246"/>
      <c r="BM141" s="246">
        <f t="shared" si="449"/>
        <v>0</v>
      </c>
      <c r="BN141" s="196">
        <v>1</v>
      </c>
      <c r="BO141" s="196">
        <f t="shared" si="398"/>
        <v>26309.226310517428</v>
      </c>
      <c r="BP141" s="196">
        <f t="shared" si="417"/>
        <v>26309.226310517428</v>
      </c>
      <c r="BQ141" s="248">
        <f t="shared" si="450"/>
        <v>2.4611056059121246E-3</v>
      </c>
      <c r="BR141" s="248"/>
      <c r="BS141" s="248"/>
      <c r="BT141" s="276">
        <v>1</v>
      </c>
      <c r="BU141" s="196">
        <f t="shared" si="410"/>
        <v>48175.507337046794</v>
      </c>
      <c r="BV141" s="264">
        <f t="shared" si="451"/>
        <v>3.3415444408624508E-3</v>
      </c>
      <c r="BW141" s="196">
        <f t="shared" si="411"/>
        <v>206084.11471958907</v>
      </c>
      <c r="BX141" s="247">
        <f t="shared" si="452"/>
        <v>3.3415444709632112E-3</v>
      </c>
      <c r="BY141" s="196">
        <f t="shared" si="276"/>
        <v>254259.62205663585</v>
      </c>
      <c r="BZ141" s="620">
        <v>0</v>
      </c>
      <c r="CA141" s="196">
        <f t="shared" si="371"/>
        <v>108849.49823628327</v>
      </c>
      <c r="CB141" s="196">
        <f t="shared" si="372"/>
        <v>217698.99647256653</v>
      </c>
      <c r="CC141" s="196">
        <f t="shared" si="430"/>
        <v>326548.49470884982</v>
      </c>
      <c r="CD141" s="247">
        <f t="shared" si="418"/>
        <v>1.3778440694879053E-3</v>
      </c>
      <c r="CE141" s="196">
        <f t="shared" si="399"/>
        <v>28480.04304700701</v>
      </c>
      <c r="CF141" s="247">
        <f t="shared" si="419"/>
        <v>1.2298568301562084E-3</v>
      </c>
      <c r="CG141" s="196">
        <f t="shared" si="373"/>
        <v>54069.031803643978</v>
      </c>
      <c r="CH141" s="589">
        <f t="shared" si="435"/>
        <v>1.3778440694879053E-3</v>
      </c>
      <c r="CI141" s="196">
        <f t="shared" si="400"/>
        <v>62072.499860299402</v>
      </c>
      <c r="CJ141" s="248">
        <f t="shared" si="436"/>
        <v>1.0204717401424855E-3</v>
      </c>
      <c r="CK141" s="196">
        <f t="shared" si="401"/>
        <v>57493.398321268869</v>
      </c>
      <c r="CL141" s="589">
        <f t="shared" si="437"/>
        <v>8.264794267557376E-4</v>
      </c>
      <c r="CM141" s="196">
        <f t="shared" si="402"/>
        <v>5569.6633670048759</v>
      </c>
      <c r="CN141" s="589">
        <f t="shared" si="438"/>
        <v>8.0265178846597137E-4</v>
      </c>
      <c r="CO141" s="196">
        <f t="shared" si="403"/>
        <v>445.54492294745438</v>
      </c>
      <c r="CP141" s="589">
        <f t="shared" si="439"/>
        <v>8.4022909812708031E-4</v>
      </c>
      <c r="CQ141" s="196">
        <f>'Detailed Budget'!$AC$12</f>
        <v>292876014141.44696</v>
      </c>
      <c r="CR141" s="269">
        <f t="shared" si="440"/>
        <v>0</v>
      </c>
      <c r="CS141" s="269">
        <f>'Detailed Budget'!$AC$16</f>
        <v>10488008800.000002</v>
      </c>
      <c r="CT141" s="607">
        <f t="shared" si="375"/>
        <v>0</v>
      </c>
      <c r="CU141" s="269">
        <f>'Detailed Budget'!$AC$24</f>
        <v>30624985696</v>
      </c>
      <c r="CV141" s="269">
        <f t="shared" si="446"/>
        <v>0</v>
      </c>
      <c r="CW141" s="269"/>
      <c r="CX141" s="269">
        <f t="shared" si="431"/>
        <v>0</v>
      </c>
      <c r="CY141" s="196">
        <f>'Detailed Budget'!$AC$97</f>
        <v>74629165494.837845</v>
      </c>
      <c r="CZ141" s="269">
        <f t="shared" si="376"/>
        <v>183670257.56388912</v>
      </c>
      <c r="DA141" s="269">
        <f>'Detailed Budget'!$AC$100</f>
        <v>14925833098.967569</v>
      </c>
      <c r="DB141" s="269">
        <f t="shared" si="377"/>
        <v>36734051.512777828</v>
      </c>
      <c r="DC141" s="269">
        <f t="shared" si="420"/>
        <v>220404309.07666695</v>
      </c>
      <c r="DD141" s="207">
        <v>0</v>
      </c>
      <c r="DE141" s="606">
        <v>0</v>
      </c>
      <c r="DF141" s="269">
        <f>'Detailed Budget'!$AC$147</f>
        <v>5913600671000</v>
      </c>
      <c r="DG141" s="269">
        <f t="shared" si="441"/>
        <v>0</v>
      </c>
      <c r="DH141" s="269">
        <f>'Detailed Budget'!$AC$153</f>
        <v>226428026880.00003</v>
      </c>
      <c r="DI141" s="269"/>
      <c r="DJ141" s="269">
        <f>'Detailed Budget'!$AC$156</f>
        <v>27713070000</v>
      </c>
      <c r="DK141" s="269"/>
      <c r="DL141" s="269"/>
      <c r="DM141" s="196">
        <f>'Detailed Budget'!$AC$178</f>
        <v>5622683761.6229038</v>
      </c>
      <c r="DN141" s="269">
        <f t="shared" si="404"/>
        <v>18788447.666378587</v>
      </c>
      <c r="DO141" s="196">
        <f>'Detailed Budget'!$AC$179</f>
        <v>26827890683.128094</v>
      </c>
      <c r="DP141" s="269">
        <f t="shared" si="405"/>
        <v>89646589.779812127</v>
      </c>
      <c r="DQ141" s="269">
        <f t="shared" si="273"/>
        <v>108435037.44619071</v>
      </c>
      <c r="DR141" s="269">
        <f>'Detailed Budget'!$AC$181</f>
        <v>50888946855.375237</v>
      </c>
      <c r="DS141" s="269">
        <f t="shared" si="406"/>
        <v>135964263.61344731</v>
      </c>
      <c r="DT141" s="269">
        <f t="shared" si="407"/>
        <v>244399301.05963802</v>
      </c>
      <c r="DU141" s="272">
        <f>'Detailed Budget'!$AC$192</f>
        <v>77498869683.252869</v>
      </c>
      <c r="DV141" s="269">
        <f t="shared" si="378"/>
        <v>0</v>
      </c>
      <c r="DW141" s="140">
        <f>'Detailed Budget'!$AC$194</f>
        <v>2684962805.4134097</v>
      </c>
      <c r="DX141" s="269">
        <f t="shared" si="379"/>
        <v>0</v>
      </c>
      <c r="DY141" s="607">
        <f t="shared" si="421"/>
        <v>0</v>
      </c>
      <c r="DZ141" s="196">
        <f>'Detailed Budget'!$AC$198</f>
        <v>18732540018.380611</v>
      </c>
      <c r="EA141" s="269">
        <f t="shared" si="380"/>
        <v>23038342.287779901</v>
      </c>
      <c r="EB141" s="196">
        <f>'Detailed Budget'!$AC$200</f>
        <v>4683135004.5951529</v>
      </c>
      <c r="EC141" s="269">
        <f t="shared" si="381"/>
        <v>5759585.5719449753</v>
      </c>
      <c r="ED141" s="269">
        <f t="shared" si="422"/>
        <v>28797927.859724876</v>
      </c>
      <c r="EE141" s="196">
        <f>'Detailed Budget'!$AC$161</f>
        <v>251147290106.36197</v>
      </c>
      <c r="EF141" s="269">
        <f t="shared" si="382"/>
        <v>346041804.24100929</v>
      </c>
      <c r="EG141" s="196">
        <f>'Detailed Budget'!$AC$163</f>
        <v>15696705631.647623</v>
      </c>
      <c r="EH141" s="269">
        <f t="shared" si="383"/>
        <v>21627612.765063081</v>
      </c>
      <c r="EI141" s="269">
        <f t="shared" si="423"/>
        <v>367669417.0060724</v>
      </c>
      <c r="EJ141" s="196">
        <f>'Detailed Budget'!$AC$204</f>
        <v>45012172507.531975</v>
      </c>
      <c r="EK141" s="269">
        <f t="shared" si="384"/>
        <v>45933650.006354898</v>
      </c>
      <c r="EL141" s="201">
        <f>'Detailed Budget'!$AC$206</f>
        <v>11253043126.882994</v>
      </c>
      <c r="EM141" s="269">
        <f t="shared" si="385"/>
        <v>11483412.501588725</v>
      </c>
      <c r="EN141" s="269">
        <f t="shared" si="424"/>
        <v>57417062.507943623</v>
      </c>
      <c r="EO141" s="140">
        <f>'Detailed Budget'!$AC$209</f>
        <v>135789361677.54817</v>
      </c>
      <c r="EP141" s="269">
        <f t="shared" si="386"/>
        <v>112227113.79878753</v>
      </c>
      <c r="EQ141" s="196">
        <f>'Detailed Budget'!$AC$211</f>
        <v>33947340419.387043</v>
      </c>
      <c r="ER141" s="269">
        <f t="shared" si="387"/>
        <v>28056778.449696884</v>
      </c>
      <c r="ES141" s="269">
        <f t="shared" si="425"/>
        <v>140283892.24848443</v>
      </c>
      <c r="ET141" s="196">
        <f>'Detailed Budget'!$AC$214</f>
        <v>22239745544.201103</v>
      </c>
      <c r="EU141" s="269">
        <f t="shared" si="388"/>
        <v>17850771.536081132</v>
      </c>
      <c r="EV141" s="140">
        <f>'Detailed Budget'!$AC$217</f>
        <v>5559936386.0502758</v>
      </c>
      <c r="EW141" s="269">
        <f t="shared" si="389"/>
        <v>4462692.8840202829</v>
      </c>
      <c r="EX141" s="269">
        <f t="shared" si="426"/>
        <v>22313464.420101415</v>
      </c>
      <c r="EY141" s="196">
        <f>'Detailed Budget'!$AC$219</f>
        <v>372777004.58170313</v>
      </c>
      <c r="EZ141" s="269">
        <f t="shared" si="390"/>
        <v>313218.08636219893</v>
      </c>
      <c r="FA141" s="196">
        <f>'Detailed Budget'!$AC$222</f>
        <v>93194251.145425782</v>
      </c>
      <c r="FB141" s="269">
        <f t="shared" si="391"/>
        <v>78304.521590549732</v>
      </c>
      <c r="FC141" s="269">
        <f t="shared" si="427"/>
        <v>391522.60795274866</v>
      </c>
      <c r="FD141" s="269"/>
      <c r="FE141" s="269">
        <f t="shared" si="428"/>
        <v>220405941.78448221</v>
      </c>
      <c r="FF141" s="140">
        <f>'Detailed Budget'!$AC$165</f>
        <v>14927760000</v>
      </c>
      <c r="FG141" s="1087">
        <f t="shared" si="442"/>
        <v>300648294.11263883</v>
      </c>
      <c r="FH141" s="269">
        <f t="shared" si="392"/>
        <v>18657579.820474949</v>
      </c>
      <c r="FJ141" s="140">
        <f>'Detailed Budget'!$AC$235</f>
        <v>3623696172</v>
      </c>
      <c r="FK141" s="269">
        <f t="shared" si="393"/>
        <v>4681778</v>
      </c>
      <c r="FL141" s="269">
        <f t="shared" si="443"/>
        <v>4681778</v>
      </c>
      <c r="FO141" s="607"/>
      <c r="FP141" s="607"/>
      <c r="FQ141" s="607"/>
      <c r="FR141" s="269">
        <f>'Detailed Budget'!$AC$257</f>
        <v>13636439388</v>
      </c>
      <c r="FS141" s="269">
        <f t="shared" si="394"/>
        <v>26982071.999999996</v>
      </c>
      <c r="FT141" s="269">
        <f t="shared" si="444"/>
        <v>26982071.999999996</v>
      </c>
      <c r="FU141" s="269"/>
      <c r="FV141" s="269"/>
      <c r="FW141" s="616"/>
      <c r="FX141" s="140">
        <f>'Detailed Budget'!$AC$278</f>
        <v>1114560000</v>
      </c>
      <c r="FY141" s="269">
        <f t="shared" si="395"/>
        <v>1440000</v>
      </c>
      <c r="FZ141" s="269">
        <f t="shared" si="445"/>
        <v>1440000</v>
      </c>
      <c r="GB141" s="269">
        <f t="shared" si="453"/>
        <v>1434086620.7196982</v>
      </c>
      <c r="GC141" s="887">
        <f t="shared" si="429"/>
        <v>896304.13794981141</v>
      </c>
      <c r="GD141" s="1078">
        <f t="shared" si="454"/>
        <v>8.047111609870729E-4</v>
      </c>
    </row>
    <row r="142" spans="1:186" hidden="1" outlineLevel="1">
      <c r="A142" s="211" t="s">
        <v>462</v>
      </c>
      <c r="B142" s="212" t="s">
        <v>463</v>
      </c>
      <c r="C142" s="213" t="s">
        <v>215</v>
      </c>
      <c r="D142" s="214" t="s">
        <v>215</v>
      </c>
      <c r="E142" s="213"/>
      <c r="F142" s="213"/>
      <c r="G142" s="213"/>
      <c r="H142" s="213" t="s">
        <v>215</v>
      </c>
      <c r="I142" s="214" t="s">
        <v>215</v>
      </c>
      <c r="J142" s="214"/>
      <c r="K142" s="213" t="s">
        <v>215</v>
      </c>
      <c r="L142" s="213"/>
      <c r="M142" s="214"/>
      <c r="N142" s="213"/>
      <c r="O142" s="214"/>
      <c r="P142" s="213"/>
      <c r="Q142" s="214"/>
      <c r="R142" s="214" t="s">
        <v>215</v>
      </c>
      <c r="S142" s="214"/>
      <c r="T142" s="214"/>
      <c r="U142" s="215">
        <f t="shared" si="396"/>
        <v>6</v>
      </c>
      <c r="V142" s="845" t="s">
        <v>219</v>
      </c>
      <c r="W142" s="216">
        <v>159861</v>
      </c>
      <c r="X142" s="217">
        <v>2.94</v>
      </c>
      <c r="Y142" s="218">
        <f t="shared" si="277"/>
        <v>1.0294000000000001</v>
      </c>
      <c r="Z142" s="196">
        <v>19</v>
      </c>
      <c r="AA142" s="218">
        <f t="shared" si="369"/>
        <v>1.7341997303889829</v>
      </c>
      <c r="AB142" s="196">
        <f t="shared" si="367"/>
        <v>277230.90309971321</v>
      </c>
      <c r="AC142">
        <v>17.100000000000001</v>
      </c>
      <c r="AD142" s="196">
        <f t="shared" si="368"/>
        <v>47406.484430050965</v>
      </c>
      <c r="AE142" s="196">
        <f t="shared" si="280"/>
        <v>45036.160208548412</v>
      </c>
      <c r="AF142" s="196">
        <f t="shared" si="397"/>
        <v>45036.160208548412</v>
      </c>
      <c r="AG142" s="606">
        <f t="shared" si="432"/>
        <v>2.0822743355953677E-3</v>
      </c>
      <c r="AH142" s="196">
        <f t="shared" si="408"/>
        <v>13861.545154985661</v>
      </c>
      <c r="AI142" s="248">
        <f t="shared" si="409"/>
        <v>1.0738329008644059E-3</v>
      </c>
      <c r="AJ142" s="196">
        <f t="shared" si="412"/>
        <v>61268.029585036624</v>
      </c>
      <c r="AK142" s="196">
        <f t="shared" si="455"/>
        <v>11089.236123988529</v>
      </c>
      <c r="AL142" s="196">
        <f t="shared" si="456"/>
        <v>11089.236123988529</v>
      </c>
      <c r="AM142" s="196">
        <f t="shared" si="413"/>
        <v>22178.472247977057</v>
      </c>
      <c r="AN142" s="627">
        <f t="shared" si="414"/>
        <v>1.0738329008644059E-3</v>
      </c>
      <c r="AO142" s="196">
        <f t="shared" si="415"/>
        <v>10534.774317789102</v>
      </c>
      <c r="AP142" s="589">
        <f t="shared" si="433"/>
        <v>1.0738329008644059E-3</v>
      </c>
      <c r="AQ142" s="196"/>
      <c r="AR142" s="589"/>
      <c r="AS142">
        <v>1</v>
      </c>
      <c r="AT142" s="589">
        <f t="shared" si="434"/>
        <v>1.2919896640826874E-3</v>
      </c>
      <c r="AU142" s="196">
        <v>12</v>
      </c>
      <c r="AV142" s="245">
        <f t="shared" si="416"/>
        <v>1.3634814225656176E-3</v>
      </c>
      <c r="AX142" s="245"/>
      <c r="AY142" s="245"/>
      <c r="AZ142" s="196">
        <v>58</v>
      </c>
      <c r="BA142" s="589">
        <f t="shared" si="447"/>
        <v>2.1252427540214723E-3</v>
      </c>
      <c r="BI142" s="196">
        <v>0</v>
      </c>
      <c r="BK142" s="246">
        <f t="shared" si="448"/>
        <v>0</v>
      </c>
      <c r="BL142" s="246"/>
      <c r="BM142" s="246">
        <f t="shared" si="449"/>
        <v>0</v>
      </c>
      <c r="BN142" s="196">
        <v>1</v>
      </c>
      <c r="BO142" s="196">
        <f t="shared" si="398"/>
        <v>20504.288862687645</v>
      </c>
      <c r="BP142" s="196">
        <f t="shared" si="417"/>
        <v>20504.288862687645</v>
      </c>
      <c r="BQ142" s="248">
        <f t="shared" si="450"/>
        <v>1.9180807397984495E-3</v>
      </c>
      <c r="BR142" s="248"/>
      <c r="BS142" s="248"/>
      <c r="BT142" s="276">
        <v>1</v>
      </c>
      <c r="BU142" s="196">
        <f t="shared" si="410"/>
        <v>37545.935668600367</v>
      </c>
      <c r="BV142" s="264">
        <f t="shared" si="451"/>
        <v>2.6042572158635345E-3</v>
      </c>
      <c r="BW142" s="196">
        <f t="shared" si="411"/>
        <v>160613.16924901269</v>
      </c>
      <c r="BX142" s="247">
        <f t="shared" si="452"/>
        <v>2.6042572393227834E-3</v>
      </c>
      <c r="BY142" s="196">
        <f t="shared" si="276"/>
        <v>198159.10491761306</v>
      </c>
      <c r="BZ142" s="620">
        <v>0</v>
      </c>
      <c r="CA142" s="196">
        <f t="shared" si="371"/>
        <v>84832.656348512231</v>
      </c>
      <c r="CB142" s="196">
        <f t="shared" si="372"/>
        <v>169665.31269702446</v>
      </c>
      <c r="CC142" s="196">
        <f t="shared" si="430"/>
        <v>254497.96904553671</v>
      </c>
      <c r="CD142" s="247">
        <f t="shared" si="418"/>
        <v>1.0738329008644057E-3</v>
      </c>
      <c r="CE142" s="196">
        <f t="shared" si="399"/>
        <v>22196.130838867135</v>
      </c>
      <c r="CF142" s="247">
        <f t="shared" si="419"/>
        <v>9.5849795838319051E-4</v>
      </c>
      <c r="CG142" s="196">
        <f t="shared" si="373"/>
        <v>42139.09727115641</v>
      </c>
      <c r="CH142" s="589">
        <f t="shared" si="435"/>
        <v>1.0738329008644059E-3</v>
      </c>
      <c r="CI142" s="196">
        <f t="shared" si="400"/>
        <v>48376.65891588456</v>
      </c>
      <c r="CJ142" s="248">
        <f t="shared" si="436"/>
        <v>7.9531214978094628E-4</v>
      </c>
      <c r="CK142" s="196">
        <f t="shared" si="401"/>
        <v>44807.902481176126</v>
      </c>
      <c r="CL142" s="589">
        <f t="shared" si="437"/>
        <v>6.4412281475923253E-4</v>
      </c>
      <c r="CM142" s="196">
        <f t="shared" si="402"/>
        <v>4340.7580746433368</v>
      </c>
      <c r="CN142" s="589">
        <f t="shared" si="438"/>
        <v>6.2555256975686639E-4</v>
      </c>
      <c r="CO142" s="196">
        <f t="shared" si="403"/>
        <v>347.23870985770714</v>
      </c>
      <c r="CP142" s="589">
        <f t="shared" si="439"/>
        <v>6.5483872218416255E-4</v>
      </c>
      <c r="CQ142" s="196">
        <f>'Detailed Budget'!$AC$12</f>
        <v>292876014141.44696</v>
      </c>
      <c r="CR142" s="269">
        <f t="shared" si="440"/>
        <v>0</v>
      </c>
      <c r="CS142" s="269">
        <f>'Detailed Budget'!$AC$16</f>
        <v>10488008800.000002</v>
      </c>
      <c r="CT142" s="607">
        <f t="shared" si="375"/>
        <v>0</v>
      </c>
      <c r="CU142" s="269">
        <f>'Detailed Budget'!$AC$24</f>
        <v>30624985696</v>
      </c>
      <c r="CV142" s="269">
        <f t="shared" si="446"/>
        <v>0</v>
      </c>
      <c r="CW142" s="269"/>
      <c r="CX142" s="269">
        <f t="shared" si="431"/>
        <v>0</v>
      </c>
      <c r="CY142" s="196">
        <f>'Detailed Budget'!$AC$97</f>
        <v>74629165494.837845</v>
      </c>
      <c r="CZ142" s="269">
        <f t="shared" si="376"/>
        <v>143144764.96287948</v>
      </c>
      <c r="DA142" s="269">
        <f>'Detailed Budget'!$AC$100</f>
        <v>14925833098.967569</v>
      </c>
      <c r="DB142" s="269">
        <f t="shared" si="377"/>
        <v>28628952.992575899</v>
      </c>
      <c r="DC142" s="269">
        <f t="shared" si="420"/>
        <v>171773717.95545536</v>
      </c>
      <c r="DD142" s="207">
        <v>0</v>
      </c>
      <c r="DE142" s="606">
        <v>0</v>
      </c>
      <c r="DF142" s="269">
        <f>'Detailed Budget'!$AC$147</f>
        <v>5913600671000</v>
      </c>
      <c r="DG142" s="269">
        <f t="shared" si="441"/>
        <v>0</v>
      </c>
      <c r="DH142" s="269">
        <f>'Detailed Budget'!$AC$153</f>
        <v>226428026880.00003</v>
      </c>
      <c r="DI142" s="269"/>
      <c r="DJ142" s="269">
        <f>'Detailed Budget'!$AC$156</f>
        <v>27713070000</v>
      </c>
      <c r="DK142" s="269"/>
      <c r="DL142" s="269"/>
      <c r="DM142" s="196">
        <f>'Detailed Budget'!$AC$178</f>
        <v>5622683761.6229038</v>
      </c>
      <c r="DN142" s="269">
        <f t="shared" si="404"/>
        <v>14642914.758725168</v>
      </c>
      <c r="DO142" s="196">
        <f>'Detailed Budget'!$AC$179</f>
        <v>26827890683.128094</v>
      </c>
      <c r="DP142" s="269">
        <f t="shared" si="405"/>
        <v>69866728.527296588</v>
      </c>
      <c r="DQ142" s="269">
        <f t="shared" ref="DQ142:DQ207" si="457">DN142+DP142</f>
        <v>84509643.286021754</v>
      </c>
      <c r="DR142" s="269">
        <f>'Detailed Budget'!$AC$181</f>
        <v>50888946855.375237</v>
      </c>
      <c r="DS142" s="269">
        <f t="shared" si="406"/>
        <v>105964748.00242445</v>
      </c>
      <c r="DT142" s="269">
        <f t="shared" si="407"/>
        <v>190474391.28844619</v>
      </c>
      <c r="DU142" s="272">
        <f>'Detailed Budget'!$AC$192</f>
        <v>77498869683.252869</v>
      </c>
      <c r="DV142" s="269">
        <f t="shared" si="378"/>
        <v>0</v>
      </c>
      <c r="DW142" s="140">
        <f>'Detailed Budget'!$AC$194</f>
        <v>2684962805.4134097</v>
      </c>
      <c r="DX142" s="269">
        <f t="shared" si="379"/>
        <v>0</v>
      </c>
      <c r="DY142" s="607">
        <f t="shared" si="421"/>
        <v>0</v>
      </c>
      <c r="DZ142" s="196">
        <f>'Detailed Budget'!$AC$198</f>
        <v>18732540018.380611</v>
      </c>
      <c r="EA142" s="269">
        <f t="shared" si="380"/>
        <v>17955101.36294923</v>
      </c>
      <c r="EB142" s="196">
        <f>'Detailed Budget'!$AC$200</f>
        <v>4683135004.5951529</v>
      </c>
      <c r="EC142" s="269">
        <f t="shared" si="381"/>
        <v>4488775.3407373074</v>
      </c>
      <c r="ED142" s="269">
        <f t="shared" si="422"/>
        <v>22443876.703686535</v>
      </c>
      <c r="EE142" s="196">
        <f>'Detailed Budget'!$AC$161</f>
        <v>251147290106.36197</v>
      </c>
      <c r="EF142" s="269">
        <f t="shared" si="382"/>
        <v>269690223.07914919</v>
      </c>
      <c r="EG142" s="196">
        <f>'Detailed Budget'!$AC$163</f>
        <v>15696705631.647623</v>
      </c>
      <c r="EH142" s="269">
        <f t="shared" si="383"/>
        <v>16855638.942446824</v>
      </c>
      <c r="EI142" s="269">
        <f t="shared" si="423"/>
        <v>286545862.02159601</v>
      </c>
      <c r="EJ142" s="196">
        <f>'Detailed Budget'!$AC$204</f>
        <v>45012172507.531975</v>
      </c>
      <c r="EK142" s="269">
        <f t="shared" si="384"/>
        <v>35798727.683276065</v>
      </c>
      <c r="EL142" s="201">
        <f>'Detailed Budget'!$AC$206</f>
        <v>11253043126.882994</v>
      </c>
      <c r="EM142" s="269">
        <f t="shared" si="385"/>
        <v>8949681.9208190162</v>
      </c>
      <c r="EN142" s="269">
        <f t="shared" si="424"/>
        <v>44748409.604095079</v>
      </c>
      <c r="EO142" s="140">
        <f>'Detailed Budget'!$AC$209</f>
        <v>135789361677.54817</v>
      </c>
      <c r="EP142" s="269">
        <f t="shared" si="386"/>
        <v>87465025.858101785</v>
      </c>
      <c r="EQ142" s="196">
        <f>'Detailed Budget'!$AC$211</f>
        <v>33947340419.387043</v>
      </c>
      <c r="ER142" s="269">
        <f t="shared" si="387"/>
        <v>21866256.464525446</v>
      </c>
      <c r="ES142" s="269">
        <f t="shared" si="425"/>
        <v>109331282.32262723</v>
      </c>
      <c r="ET142" s="196">
        <f>'Detailed Budget'!$AC$214</f>
        <v>22239745544.201103</v>
      </c>
      <c r="EU142" s="269">
        <f t="shared" si="388"/>
        <v>13912129.975913819</v>
      </c>
      <c r="EV142" s="140">
        <f>'Detailed Budget'!$AC$217</f>
        <v>5559936386.0502758</v>
      </c>
      <c r="EW142" s="269">
        <f t="shared" si="389"/>
        <v>3478032.4939784547</v>
      </c>
      <c r="EX142" s="269">
        <f t="shared" si="426"/>
        <v>17390162.469892275</v>
      </c>
      <c r="EY142" s="196">
        <f>'Detailed Budget'!$AC$219</f>
        <v>372777004.58170313</v>
      </c>
      <c r="EZ142" s="269">
        <f t="shared" si="390"/>
        <v>244108.81733992219</v>
      </c>
      <c r="FA142" s="196">
        <f>'Detailed Budget'!$AC$222</f>
        <v>93194251.145425782</v>
      </c>
      <c r="FB142" s="269">
        <f t="shared" si="391"/>
        <v>61027.204334980546</v>
      </c>
      <c r="FC142" s="269">
        <f t="shared" si="427"/>
        <v>305136.02167490276</v>
      </c>
      <c r="FD142" s="269"/>
      <c r="FE142" s="269">
        <f t="shared" si="428"/>
        <v>171774990.41828948</v>
      </c>
      <c r="FF142" s="140">
        <f>'Detailed Budget'!$AC$165</f>
        <v>14927760000</v>
      </c>
      <c r="FG142" s="1087">
        <f t="shared" si="442"/>
        <v>234312457.37908515</v>
      </c>
      <c r="FH142" s="269">
        <f t="shared" si="392"/>
        <v>20353723.440518126</v>
      </c>
      <c r="FJ142" s="140">
        <f>'Detailed Budget'!$AC$235</f>
        <v>3623696172</v>
      </c>
      <c r="FK142" s="269">
        <f t="shared" si="393"/>
        <v>4681778</v>
      </c>
      <c r="FL142" s="269">
        <f t="shared" si="443"/>
        <v>4681778</v>
      </c>
      <c r="FO142" s="607"/>
      <c r="FP142" s="607"/>
      <c r="FQ142" s="607"/>
      <c r="FR142" s="269">
        <f>'Detailed Budget'!$AC$257</f>
        <v>13636439388</v>
      </c>
      <c r="FS142" s="269">
        <f t="shared" si="394"/>
        <v>28980744</v>
      </c>
      <c r="FT142" s="269">
        <f t="shared" si="444"/>
        <v>28980744</v>
      </c>
      <c r="FU142" s="269"/>
      <c r="FV142" s="269"/>
      <c r="FW142" s="616"/>
      <c r="FX142" s="140">
        <f>'Detailed Budget'!$AC$278</f>
        <v>1114560000</v>
      </c>
      <c r="FY142" s="269">
        <f t="shared" si="395"/>
        <v>1440000</v>
      </c>
      <c r="FZ142" s="269">
        <f t="shared" si="445"/>
        <v>1440000</v>
      </c>
      <c r="GB142" s="269">
        <f t="shared" si="453"/>
        <v>1132781541.2070768</v>
      </c>
      <c r="GC142" s="887">
        <f t="shared" si="429"/>
        <v>707988.463254423</v>
      </c>
      <c r="GD142" s="1078">
        <f t="shared" si="454"/>
        <v>6.356393930458705E-4</v>
      </c>
    </row>
    <row r="143" spans="1:186" collapsed="1">
      <c r="A143" s="220"/>
      <c r="B143" s="221"/>
      <c r="C143" s="222"/>
      <c r="D143" s="222"/>
      <c r="E143" s="222"/>
      <c r="F143" s="222"/>
      <c r="G143" s="222"/>
      <c r="H143" s="222"/>
      <c r="I143" s="222"/>
      <c r="J143" s="222"/>
      <c r="K143" s="222"/>
      <c r="L143" s="222"/>
      <c r="M143" s="222"/>
      <c r="N143" s="222"/>
      <c r="O143" s="222"/>
      <c r="P143" s="222"/>
      <c r="Q143" s="222"/>
      <c r="R143" s="222"/>
      <c r="S143" s="222"/>
      <c r="T143" s="222"/>
      <c r="U143" s="223"/>
      <c r="V143" s="845"/>
      <c r="X143" s="217"/>
      <c r="Y143" s="217"/>
      <c r="Z143" s="217"/>
      <c r="AA143" s="217"/>
      <c r="AG143" s="606"/>
      <c r="AJ143" s="196"/>
      <c r="AK143" s="196"/>
      <c r="AL143" s="196"/>
      <c r="AM143" s="196"/>
      <c r="AO143" s="196"/>
      <c r="AP143" s="589"/>
      <c r="AQ143" s="196"/>
      <c r="AR143" s="589"/>
      <c r="AS143"/>
      <c r="AT143" s="589"/>
      <c r="AV143" s="245"/>
      <c r="AX143" s="245"/>
      <c r="AY143" s="245"/>
      <c r="BA143" s="589">
        <f t="shared" si="447"/>
        <v>0</v>
      </c>
      <c r="BK143" s="246">
        <f t="shared" si="448"/>
        <v>0</v>
      </c>
      <c r="BL143" s="246"/>
      <c r="BM143" s="246">
        <f t="shared" si="449"/>
        <v>0</v>
      </c>
      <c r="BN143" s="196"/>
      <c r="BQ143" s="248"/>
      <c r="BR143" s="248"/>
      <c r="BS143" s="248"/>
      <c r="BT143" s="276"/>
      <c r="BV143" s="264">
        <f t="shared" si="451"/>
        <v>0</v>
      </c>
      <c r="BX143" s="247">
        <f t="shared" si="452"/>
        <v>0</v>
      </c>
      <c r="CA143" s="196"/>
      <c r="CB143" s="196"/>
      <c r="CC143" s="196"/>
      <c r="CD143" s="247"/>
      <c r="CF143" s="247"/>
      <c r="CG143" s="196"/>
      <c r="CH143" s="589"/>
      <c r="CI143" s="196"/>
      <c r="CJ143" s="248"/>
      <c r="CK143" s="196"/>
      <c r="CL143" s="589"/>
      <c r="CM143" s="196"/>
      <c r="CN143" s="589"/>
      <c r="CO143" s="196"/>
      <c r="CP143" s="589"/>
      <c r="CQ143" s="196"/>
      <c r="CR143" s="269">
        <f t="shared" si="440"/>
        <v>0</v>
      </c>
      <c r="CS143" s="269"/>
      <c r="CT143" s="607"/>
      <c r="CU143" s="269">
        <f>'Detailed Budget'!$AC$24</f>
        <v>30624985696</v>
      </c>
      <c r="CV143" s="269">
        <f t="shared" si="446"/>
        <v>0</v>
      </c>
      <c r="CW143" s="269"/>
      <c r="CX143" s="269"/>
      <c r="CY143" s="196"/>
      <c r="DC143" s="269"/>
      <c r="DD143" s="207"/>
      <c r="DE143" s="606">
        <v>0</v>
      </c>
      <c r="DF143" s="269">
        <f>'Detailed Budget'!$AC$147</f>
        <v>5913600671000</v>
      </c>
      <c r="DG143" s="269"/>
      <c r="DH143" s="269"/>
      <c r="DI143" s="269"/>
      <c r="DJ143" s="269"/>
      <c r="DK143" s="269"/>
      <c r="DL143" s="269"/>
      <c r="DM143" s="196"/>
      <c r="DN143" s="269"/>
      <c r="DO143" s="196"/>
      <c r="DP143" s="269"/>
      <c r="DQ143" s="269"/>
      <c r="DR143" s="269"/>
      <c r="DS143" s="269"/>
      <c r="DT143" s="269"/>
      <c r="DU143" s="272"/>
      <c r="DV143" s="269"/>
      <c r="DW143" s="140"/>
      <c r="DX143" s="269"/>
      <c r="DY143" s="607"/>
      <c r="DZ143" s="196"/>
      <c r="EA143" s="269"/>
      <c r="EB143" s="196"/>
      <c r="ED143" s="269"/>
      <c r="EE143" s="196"/>
      <c r="EG143" s="196"/>
      <c r="EI143" s="269"/>
      <c r="EJ143" s="196"/>
      <c r="EL143" s="201"/>
      <c r="EN143" s="269"/>
      <c r="EO143" s="140"/>
      <c r="EQ143" s="196"/>
      <c r="ES143" s="269"/>
      <c r="ET143" s="196"/>
      <c r="EV143" s="140"/>
      <c r="EX143" s="269"/>
      <c r="EY143" s="196"/>
      <c r="FA143" s="196"/>
      <c r="FC143" s="269"/>
      <c r="FD143" s="269"/>
      <c r="FE143" s="269"/>
      <c r="FF143" s="140"/>
      <c r="FG143" s="1087">
        <f t="shared" si="442"/>
        <v>0</v>
      </c>
      <c r="FJ143" s="140"/>
      <c r="FO143" s="607"/>
      <c r="FP143" s="607"/>
      <c r="FQ143" s="607"/>
      <c r="FT143" s="269">
        <f t="shared" si="444"/>
        <v>0</v>
      </c>
      <c r="FU143" s="269"/>
      <c r="FV143" s="269"/>
      <c r="FW143" s="616"/>
      <c r="FX143" s="140">
        <f>'Detailed Budget'!$AC$278</f>
        <v>1114560000</v>
      </c>
      <c r="FY143" s="269"/>
      <c r="FZ143" s="269"/>
      <c r="GB143" s="269">
        <f t="shared" si="453"/>
        <v>0</v>
      </c>
      <c r="GD143" s="1078">
        <f t="shared" si="454"/>
        <v>0</v>
      </c>
    </row>
    <row r="144" spans="1:186" s="4" customFormat="1">
      <c r="A144" s="198">
        <v>2</v>
      </c>
      <c r="B144" s="199" t="s">
        <v>2268</v>
      </c>
      <c r="C144" s="197">
        <f t="shared" ref="C144:T144" si="458">C145+C168+C190+C219+C232+C251</f>
        <v>112</v>
      </c>
      <c r="D144" s="197">
        <f t="shared" si="458"/>
        <v>86</v>
      </c>
      <c r="E144" s="197">
        <f t="shared" si="458"/>
        <v>0</v>
      </c>
      <c r="F144" s="197">
        <f t="shared" si="458"/>
        <v>0</v>
      </c>
      <c r="G144" s="197">
        <f t="shared" si="458"/>
        <v>7</v>
      </c>
      <c r="H144" s="197">
        <f t="shared" si="458"/>
        <v>112</v>
      </c>
      <c r="I144" s="197">
        <f t="shared" si="458"/>
        <v>112</v>
      </c>
      <c r="J144" s="197">
        <f t="shared" si="458"/>
        <v>0</v>
      </c>
      <c r="K144" s="197">
        <f t="shared" si="458"/>
        <v>112</v>
      </c>
      <c r="L144" s="197">
        <f t="shared" si="458"/>
        <v>0</v>
      </c>
      <c r="M144" s="197">
        <f t="shared" si="458"/>
        <v>0</v>
      </c>
      <c r="N144" s="197">
        <f t="shared" si="458"/>
        <v>0</v>
      </c>
      <c r="O144" s="197">
        <f t="shared" si="458"/>
        <v>0</v>
      </c>
      <c r="P144" s="197">
        <f t="shared" si="458"/>
        <v>0</v>
      </c>
      <c r="Q144" s="197">
        <f t="shared" si="458"/>
        <v>2</v>
      </c>
      <c r="R144" s="197">
        <f t="shared" si="458"/>
        <v>110</v>
      </c>
      <c r="S144" s="197">
        <f t="shared" si="458"/>
        <v>4</v>
      </c>
      <c r="T144" s="197">
        <f t="shared" si="458"/>
        <v>0</v>
      </c>
      <c r="U144" s="200">
        <f>SUM(C144:T144)</f>
        <v>657</v>
      </c>
      <c r="V144" s="843"/>
      <c r="W144" s="201">
        <f>W145+W168+W190+W219+W232+W251</f>
        <v>18984299</v>
      </c>
      <c r="X144" s="202">
        <f>AVERAGE(X145,X168,X190,X219,X232,X251)</f>
        <v>3.2366666666666668</v>
      </c>
      <c r="Y144" s="209"/>
      <c r="Z144" s="207"/>
      <c r="AA144" s="209"/>
      <c r="AB144" s="201">
        <f>AB145+AB168+AB190+AB219+AB232+AB251</f>
        <v>34975514.178704381</v>
      </c>
      <c r="AC144" s="224">
        <v>19</v>
      </c>
      <c r="AD144" s="201">
        <f>AD145+AD168+AD190+AD219+AD232+AD251</f>
        <v>6669789.5420967024</v>
      </c>
      <c r="AE144" s="201">
        <f t="shared" si="280"/>
        <v>6336300.0649918672</v>
      </c>
      <c r="AF144" s="201">
        <f>AF145+AF168+AF190+AF219+AF232+AF251</f>
        <v>6032260.7390798926</v>
      </c>
      <c r="AG144" s="606">
        <f t="shared" si="432"/>
        <v>0.29296269812672576</v>
      </c>
      <c r="AH144" s="201">
        <f>AH145+AH168+AH190+AH219+AH232+AH251</f>
        <v>1748775.7089352191</v>
      </c>
      <c r="AI144" s="247">
        <f t="shared" si="409"/>
        <v>0.13547500451720432</v>
      </c>
      <c r="AJ144" s="201">
        <f>AJ145+AJ168+AJ190+AJ219+AJ232+AJ251</f>
        <v>8418565.2510319222</v>
      </c>
      <c r="AK144" s="201">
        <f t="shared" si="455"/>
        <v>1399020.5671481753</v>
      </c>
      <c r="AL144" s="201">
        <f t="shared" si="456"/>
        <v>1399020.5671481753</v>
      </c>
      <c r="AM144" s="201">
        <f t="shared" si="413"/>
        <v>2798041.1342963506</v>
      </c>
      <c r="AN144" s="264">
        <f t="shared" si="414"/>
        <v>0.13547500451720432</v>
      </c>
      <c r="AO144" s="201">
        <f t="shared" si="415"/>
        <v>1329069.5387907664</v>
      </c>
      <c r="AP144" s="606">
        <f t="shared" si="433"/>
        <v>0.13547500451720432</v>
      </c>
      <c r="AQ144" s="201">
        <f>AQ145+AQ168+AQ190+AQ219+AQ232+AQ251</f>
        <v>6</v>
      </c>
      <c r="AR144" s="606">
        <f>AQ144/37</f>
        <v>0.16216216216216217</v>
      </c>
      <c r="AS144" s="201">
        <f>AS145+AS168+AS190+AS219+AS232+AS251</f>
        <v>112</v>
      </c>
      <c r="AT144" s="606">
        <f t="shared" si="434"/>
        <v>0.14470284237726097</v>
      </c>
      <c r="AU144" s="201">
        <f>AU145+AU168+AU190+AU219+AU232+AU251</f>
        <v>1210</v>
      </c>
      <c r="AV144" s="246">
        <f t="shared" si="416"/>
        <v>0.13748437677536643</v>
      </c>
      <c r="AW144" s="201">
        <f>AW145+AW168+AW190+AW219+AW232+AW251</f>
        <v>292610</v>
      </c>
      <c r="AX144" s="201">
        <f t="shared" ref="AX144:AY144" si="459">AX145+AX168+AX190+AX219+AX232+AX251</f>
        <v>585.21999999999991</v>
      </c>
      <c r="AY144" s="201">
        <f t="shared" si="459"/>
        <v>58522</v>
      </c>
      <c r="AZ144" s="201">
        <f>AZ145+AZ168+AZ190+AZ219+AZ232+AZ251</f>
        <v>4110</v>
      </c>
      <c r="BA144" s="606">
        <f t="shared" si="447"/>
        <v>0.15059909860393536</v>
      </c>
      <c r="BB144" s="201">
        <f>BB145+BB168+BB190+BB219+BB232+BB251</f>
        <v>152</v>
      </c>
      <c r="BC144" s="201">
        <f>BC145+BC168+BC190+BC219+BC232+BC251</f>
        <v>11</v>
      </c>
      <c r="BD144" s="201">
        <f>BD145+BD168+BD190+BD219+BD232+BD251</f>
        <v>163</v>
      </c>
      <c r="BE144" s="247">
        <f>BD144/1306</f>
        <v>0.12480857580398162</v>
      </c>
      <c r="BF144" s="201">
        <f>BF145+BF168+BF190+BF219+BF232+BF251</f>
        <v>4273</v>
      </c>
      <c r="BG144" s="606">
        <f>BF144/28597</f>
        <v>0.14942126796517116</v>
      </c>
      <c r="BH144" s="1083">
        <v>35.6</v>
      </c>
      <c r="BI144" s="201"/>
      <c r="BJ144" s="201">
        <f>BJ145+BJ168+BJ190+BJ219+BJ232+BJ251</f>
        <v>4691713</v>
      </c>
      <c r="BK144" s="246">
        <f t="shared" si="448"/>
        <v>8.9468136220480665E-2</v>
      </c>
      <c r="BL144" s="201">
        <f>BL145+BL168+BL190+BL219+BL232+BL251</f>
        <v>93834.260000000009</v>
      </c>
      <c r="BM144" s="246">
        <f t="shared" si="449"/>
        <v>8.9468125983861585E-2</v>
      </c>
      <c r="BN144" s="201"/>
      <c r="BO144" s="201">
        <f>BO145+BO168+BO190+BO219+BO232+BO251</f>
        <v>2442312</v>
      </c>
      <c r="BP144" s="201">
        <f>BP145+BP168+BP190+BP219+BP232+BP251</f>
        <v>1828135.9830511804</v>
      </c>
      <c r="BQ144" s="247">
        <f t="shared" si="450"/>
        <v>0.17101360804587057</v>
      </c>
      <c r="BR144" s="201">
        <f>BR145+BR168+BR190+BR219+BR232+BR251</f>
        <v>702264</v>
      </c>
      <c r="BS144" s="247">
        <f>BR144/2211211</f>
        <v>0.31759248665097994</v>
      </c>
      <c r="BT144" s="272"/>
      <c r="BU144" s="201">
        <f>SUM(BU145,BU168,BU190,BU219,BU232,BU251)</f>
        <v>5430304.7659393819</v>
      </c>
      <c r="BV144" s="264">
        <f t="shared" si="451"/>
        <v>0.37665622441426183</v>
      </c>
      <c r="BW144" s="201">
        <f>SUM(BW145,BW168,BW190,BW219,BW232,BW251)</f>
        <v>23229637.054296248</v>
      </c>
      <c r="BX144" s="247">
        <f t="shared" si="452"/>
        <v>0.37665622780719554</v>
      </c>
      <c r="BY144" s="201">
        <f>SUM(BY145,BY168,BY190,BY219,BY232,BY251)</f>
        <v>28659941.820235625</v>
      </c>
      <c r="CA144" s="201">
        <f>AK144*0.85*0.75*12</f>
        <v>10702507.33868354</v>
      </c>
      <c r="CB144" s="201">
        <f>AL144*0.85*0.75*2*12</f>
        <v>21405014.67736708</v>
      </c>
      <c r="CC144" s="201">
        <f t="shared" si="430"/>
        <v>32107522.016050622</v>
      </c>
      <c r="CD144" s="247">
        <f t="shared" si="418"/>
        <v>0.13547500451720432</v>
      </c>
      <c r="CE144" s="201">
        <f>CE145+CE168+CE190+CE219+CE232+CE251</f>
        <v>3219128.3223821074</v>
      </c>
      <c r="CF144" s="247">
        <f t="shared" si="419"/>
        <v>0.13901197227463435</v>
      </c>
      <c r="CG144" s="201">
        <f t="shared" ref="CG144:CG175" si="460">AO144*4</f>
        <v>5316278.1551630655</v>
      </c>
      <c r="CH144" s="606">
        <f t="shared" si="435"/>
        <v>0.13547500451720432</v>
      </c>
      <c r="CI144" s="201">
        <f>CI145+CI168+CI190+CI219+CI232+CI251</f>
        <v>8856834.0433269553</v>
      </c>
      <c r="CJ144" s="247">
        <f t="shared" si="436"/>
        <v>0.14560632919067792</v>
      </c>
      <c r="CK144" s="201">
        <f>CK145+CK168+CK190+CK219+CK232+CK251</f>
        <v>11150925.073311472</v>
      </c>
      <c r="CL144" s="606">
        <f t="shared" si="437"/>
        <v>0.16029684157628432</v>
      </c>
      <c r="CM144" s="201">
        <f>CM145+CM168+CM190+CM219+CM232+CM251</f>
        <v>1080246.1039767843</v>
      </c>
      <c r="CN144" s="606">
        <f t="shared" si="438"/>
        <v>0.15567574020306219</v>
      </c>
      <c r="CO144" s="201">
        <f>CO145+CO168+CO190+CO219+CO232+CO251</f>
        <v>86419.008317854226</v>
      </c>
      <c r="CP144" s="606">
        <f t="shared" si="439"/>
        <v>0.16297293870973101</v>
      </c>
      <c r="CQ144" s="201">
        <f>'Detailed Budget'!$AC$12</f>
        <v>292876014141.44696</v>
      </c>
      <c r="CR144" s="607">
        <f t="shared" si="440"/>
        <v>26203071128.9184</v>
      </c>
      <c r="CS144" s="607">
        <f>'Detailed Budget'!$AC$16</f>
        <v>10488008800.000002</v>
      </c>
      <c r="CT144" s="607">
        <f t="shared" ref="CT144:CT175" si="461">BM144*CS144</f>
        <v>938342492.63824916</v>
      </c>
      <c r="CU144" s="607">
        <f>'Detailed Budget'!$AC$24</f>
        <v>30624985696</v>
      </c>
      <c r="CV144" s="607">
        <f t="shared" si="446"/>
        <v>2739960392</v>
      </c>
      <c r="CW144" s="607"/>
      <c r="CX144" s="607">
        <f t="shared" si="431"/>
        <v>29881374013.556648</v>
      </c>
      <c r="CY144" s="201">
        <f>'Detailed Budget'!$AC$97</f>
        <v>74629165494.837845</v>
      </c>
      <c r="CZ144" s="607">
        <f t="shared" ref="CZ144:CZ175" si="462">BQ144*CY144</f>
        <v>12762602856.724607</v>
      </c>
      <c r="DA144" s="607">
        <f>'Detailed Budget'!$AC$100</f>
        <v>14925833098.967569</v>
      </c>
      <c r="DB144" s="607">
        <f t="shared" ref="DB144:DB175" si="463">BQ144*DA144</f>
        <v>2552520571.3449216</v>
      </c>
      <c r="DC144" s="607">
        <f t="shared" si="420"/>
        <v>15315123428.069529</v>
      </c>
      <c r="DD144" s="201">
        <f>DD145+DD168+DD190+DD219+DD232+DD251</f>
        <v>4</v>
      </c>
      <c r="DE144" s="606">
        <v>0</v>
      </c>
      <c r="DF144" s="607">
        <f>'Detailed Budget'!$AC$147</f>
        <v>5913600671000</v>
      </c>
      <c r="DG144" s="607">
        <f t="shared" si="441"/>
        <v>0</v>
      </c>
      <c r="DH144" s="607">
        <f>'Detailed Budget'!$AC$153</f>
        <v>226428026880.00003</v>
      </c>
      <c r="DI144" s="607">
        <f>BS144*DH144</f>
        <v>71911840104.294144</v>
      </c>
      <c r="DJ144" s="607">
        <f>'Detailed Budget'!$AC$156</f>
        <v>27713070000</v>
      </c>
      <c r="DK144" s="605">
        <f>AT144*DJ144</f>
        <v>4010159999.9999995</v>
      </c>
      <c r="DL144" s="607">
        <f>DI144+DK144</f>
        <v>75922000104.294144</v>
      </c>
      <c r="DM144" s="201">
        <f>'Detailed Budget'!$AC$178</f>
        <v>5622683761.6229038</v>
      </c>
      <c r="DN144" s="607">
        <f>DN145+DN168+DN190+DN219+DN232+DN251</f>
        <v>2117818836.7282622</v>
      </c>
      <c r="DO144" s="607">
        <f>'Detailed Budget'!$AC$179</f>
        <v>26827890683.128094</v>
      </c>
      <c r="DP144" s="607">
        <f>DP145+DP168+DP190+DP219+DP232+DP251</f>
        <v>10104892104.730833</v>
      </c>
      <c r="DQ144" s="607">
        <f>DQ145+DQ168+DQ190+DQ219+DQ232+DQ251</f>
        <v>12222710941.459095</v>
      </c>
      <c r="DR144" s="607">
        <f>'Detailed Budget'!$AC$181</f>
        <v>50888946855.375237</v>
      </c>
      <c r="DS144" s="607">
        <f>DS145+DS168+DS190+DS219+DS232+DS251</f>
        <v>14193194671.605022</v>
      </c>
      <c r="DT144" s="607">
        <f>DQ144+DS144</f>
        <v>26415905613.064117</v>
      </c>
      <c r="DU144" s="272">
        <f>'Detailed Budget'!$AC$192</f>
        <v>77498869683.252869</v>
      </c>
      <c r="DV144" s="607">
        <f t="shared" ref="DV144:DV175" si="464">BZ144*CD144*DU144</f>
        <v>0</v>
      </c>
      <c r="DW144" s="929">
        <f>'Detailed Budget'!$AC$194</f>
        <v>2684962805.4134097</v>
      </c>
      <c r="DX144" s="607">
        <f t="shared" ref="DX144:DX175" si="465">BZ144*AN144*DW144</f>
        <v>0</v>
      </c>
      <c r="DY144" s="607">
        <f t="shared" si="421"/>
        <v>0</v>
      </c>
      <c r="DZ144" s="201">
        <f>'Detailed Budget'!$AC$198</f>
        <v>18732540018.380611</v>
      </c>
      <c r="EA144" s="607">
        <f t="shared" ref="EA144:EA166" si="466">CF144*DZ144</f>
        <v>2604047333.6686039</v>
      </c>
      <c r="EB144" s="201">
        <f>'Detailed Budget'!$AC$200</f>
        <v>4683135004.5951529</v>
      </c>
      <c r="EC144" s="607">
        <f t="shared" ref="EC144:EC175" si="467">CF144*EB144</f>
        <v>651011833.41715097</v>
      </c>
      <c r="ED144" s="607">
        <f t="shared" si="422"/>
        <v>3255059167.0857549</v>
      </c>
      <c r="EE144" s="201">
        <f>'Detailed Budget'!$AC$161</f>
        <v>251147290106.36197</v>
      </c>
      <c r="EF144" s="607">
        <f t="shared" ref="EF144:EF175" si="468">CH144*EE144</f>
        <v>34024180261.643009</v>
      </c>
      <c r="EG144" s="201">
        <f>'Detailed Budget'!$AC$163</f>
        <v>15696705631.647623</v>
      </c>
      <c r="EH144" s="607">
        <f t="shared" ref="EH144:EH175" si="469">AP144*EG144</f>
        <v>2126511266.3526881</v>
      </c>
      <c r="EI144" s="607">
        <f t="shared" si="423"/>
        <v>36150691527.995697</v>
      </c>
      <c r="EJ144" s="201">
        <f>'Detailed Budget'!$AC$204</f>
        <v>45012172507.531975</v>
      </c>
      <c r="EK144" s="607">
        <f t="shared" ref="EK144:EK175" si="470">CJ144*EJ144</f>
        <v>6554057207.7192831</v>
      </c>
      <c r="EL144" s="201">
        <f>'Detailed Budget'!$AC$206</f>
        <v>11253043126.882994</v>
      </c>
      <c r="EM144" s="607">
        <f t="shared" ref="EM144:EM175" si="471">CJ144*EL144</f>
        <v>1638514301.9298208</v>
      </c>
      <c r="EN144" s="607">
        <f t="shared" si="424"/>
        <v>8192571509.6491041</v>
      </c>
      <c r="EO144" s="929">
        <f>'Detailed Budget'!$AC$209</f>
        <v>135789361677.54817</v>
      </c>
      <c r="EP144" s="607">
        <f t="shared" ref="EP144:EP175" si="472">CL144*EO144</f>
        <v>21766605796.570713</v>
      </c>
      <c r="EQ144" s="201">
        <f>'Detailed Budget'!$AC$211</f>
        <v>33947340419.387043</v>
      </c>
      <c r="ER144" s="607">
        <f t="shared" ref="ER144:ER175" si="473">CL144*EQ144</f>
        <v>5441651449.1426783</v>
      </c>
      <c r="ES144" s="607">
        <f t="shared" si="425"/>
        <v>27208257245.71339</v>
      </c>
      <c r="ET144" s="201">
        <f>'Detailed Budget'!$AC$214</f>
        <v>22239745544.201103</v>
      </c>
      <c r="EU144" s="607">
        <f t="shared" ref="EU144:EU175" si="474">CN144*ET144</f>
        <v>3462188849.5212607</v>
      </c>
      <c r="EV144" s="929">
        <f>'Detailed Budget'!$AC$217</f>
        <v>5559936386.0502758</v>
      </c>
      <c r="EW144" s="607">
        <f t="shared" ref="EW144:EW175" si="475">CN144*EV144</f>
        <v>865547212.38031518</v>
      </c>
      <c r="EX144" s="607">
        <f t="shared" si="426"/>
        <v>4327736061.901576</v>
      </c>
      <c r="EY144" s="201">
        <f>'Detailed Budget'!$AC$219</f>
        <v>372777004.58170313</v>
      </c>
      <c r="EZ144" s="607">
        <f t="shared" ref="EZ144:EZ175" si="476">CP144*EY144</f>
        <v>60752563.920091018</v>
      </c>
      <c r="FA144" s="201">
        <f>'Detailed Budget'!$AC$222</f>
        <v>93194251.145425782</v>
      </c>
      <c r="FB144" s="607">
        <f t="shared" ref="FB144:FB175" si="477">CP144*FA144</f>
        <v>15188140.980022755</v>
      </c>
      <c r="FC144" s="607">
        <f t="shared" si="427"/>
        <v>75940704.900113776</v>
      </c>
      <c r="FD144" s="607"/>
      <c r="FE144" s="607">
        <f t="shared" si="428"/>
        <v>39804505522.164185</v>
      </c>
      <c r="FF144" s="929">
        <f>'Detailed Budget'!$AC$165</f>
        <v>14927760000</v>
      </c>
      <c r="FG144" s="1087">
        <f t="shared" si="442"/>
        <v>54295980345.83625</v>
      </c>
      <c r="FH144" s="607">
        <f t="shared" ref="FH144:FH166" si="478">AV144*FF144</f>
        <v>2052333780.252244</v>
      </c>
      <c r="FI144" s="607"/>
      <c r="FJ144" s="929">
        <f>'Detailed Budget'!$AC$235</f>
        <v>3623696172</v>
      </c>
      <c r="FK144" s="607">
        <f t="shared" ref="FK144:FK166" si="479">AT144*FJ144</f>
        <v>524359135.99999994</v>
      </c>
      <c r="FL144" s="607">
        <f t="shared" si="443"/>
        <v>524359135.99999994</v>
      </c>
      <c r="FM144" s="607"/>
      <c r="FN144" s="605">
        <f>'Detailed Budget'!$AC$251</f>
        <v>1047595800</v>
      </c>
      <c r="FO144" s="607">
        <f>AR144*FN144</f>
        <v>169880400</v>
      </c>
      <c r="FP144" s="607">
        <f>'Detailed Budget'!$AB$254</f>
        <v>2773297530</v>
      </c>
      <c r="FQ144" s="607">
        <f>BE144*FP144</f>
        <v>346131315</v>
      </c>
      <c r="FR144" s="607">
        <f>'Detailed Budget'!$AC$257</f>
        <v>13636439388</v>
      </c>
      <c r="FS144" s="607">
        <f t="shared" ref="FS144:FS166" si="480">BA144*FR144</f>
        <v>2053635480</v>
      </c>
      <c r="FT144" s="607">
        <f t="shared" si="444"/>
        <v>2569647195</v>
      </c>
      <c r="FU144" s="607"/>
      <c r="FV144" s="605">
        <f>'Detailed Budget'!$AC$265</f>
        <v>6277805540</v>
      </c>
      <c r="FW144" s="607">
        <f>AR144*FV144</f>
        <v>1018022520</v>
      </c>
      <c r="FX144" s="929">
        <f>'Detailed Budget'!$AC$278</f>
        <v>1114560000</v>
      </c>
      <c r="FY144" s="607">
        <f t="shared" ref="FY144:FY166" si="481">AT144*FX144</f>
        <v>161280000</v>
      </c>
      <c r="FZ144" s="607">
        <f t="shared" si="445"/>
        <v>1179302520</v>
      </c>
      <c r="GB144" s="269">
        <f t="shared" si="453"/>
        <v>287366282353.3186</v>
      </c>
      <c r="GC144" s="888">
        <f t="shared" si="429"/>
        <v>179603926.47082412</v>
      </c>
      <c r="GD144" s="1078">
        <f t="shared" si="454"/>
        <v>0.16125026993489869</v>
      </c>
    </row>
    <row r="145" spans="1:186" s="210" customFormat="1">
      <c r="A145" s="203">
        <v>2.1</v>
      </c>
      <c r="B145" s="204" t="s">
        <v>464</v>
      </c>
      <c r="C145" s="205">
        <f t="shared" ref="C145:T145" si="482">COUNTA(C146:C166)</f>
        <v>21</v>
      </c>
      <c r="D145" s="205">
        <f t="shared" si="482"/>
        <v>2</v>
      </c>
      <c r="E145" s="205">
        <f t="shared" si="482"/>
        <v>0</v>
      </c>
      <c r="F145" s="205">
        <f t="shared" si="482"/>
        <v>0</v>
      </c>
      <c r="G145" s="205">
        <f t="shared" si="482"/>
        <v>0</v>
      </c>
      <c r="H145" s="205">
        <f t="shared" si="482"/>
        <v>21</v>
      </c>
      <c r="I145" s="205">
        <f t="shared" si="482"/>
        <v>21</v>
      </c>
      <c r="J145" s="205">
        <f t="shared" si="482"/>
        <v>0</v>
      </c>
      <c r="K145" s="205">
        <f t="shared" si="482"/>
        <v>21</v>
      </c>
      <c r="L145" s="205">
        <f t="shared" si="482"/>
        <v>0</v>
      </c>
      <c r="M145" s="205">
        <f t="shared" si="482"/>
        <v>0</v>
      </c>
      <c r="N145" s="205">
        <f t="shared" si="482"/>
        <v>0</v>
      </c>
      <c r="O145" s="205">
        <f t="shared" si="482"/>
        <v>0</v>
      </c>
      <c r="P145" s="205">
        <f t="shared" si="482"/>
        <v>0</v>
      </c>
      <c r="Q145" s="205">
        <f t="shared" si="482"/>
        <v>0</v>
      </c>
      <c r="R145" s="205">
        <f t="shared" si="482"/>
        <v>21</v>
      </c>
      <c r="S145" s="205">
        <f t="shared" si="482"/>
        <v>0</v>
      </c>
      <c r="T145" s="205">
        <f t="shared" si="482"/>
        <v>0</v>
      </c>
      <c r="U145" s="206">
        <f>SUM(C145:T145)</f>
        <v>107</v>
      </c>
      <c r="V145" s="844"/>
      <c r="W145" s="207">
        <f>SUM(W146:W166)</f>
        <v>3178950</v>
      </c>
      <c r="X145" s="208">
        <v>2.89</v>
      </c>
      <c r="Y145" s="209">
        <f t="shared" ref="Y145:Y210" si="483">1+X145/100</f>
        <v>1.0288999999999999</v>
      </c>
      <c r="Z145" s="207">
        <v>19</v>
      </c>
      <c r="AA145" s="209">
        <f t="shared" ref="AA145:AA210" si="484">POWER(Y145,Z145)</f>
        <v>1.7182651319612778</v>
      </c>
      <c r="AB145" s="207">
        <f t="shared" ref="AB145:AB177" si="485">W145*AA145</f>
        <v>5462278.9412483042</v>
      </c>
      <c r="AC145" s="210">
        <v>17.600000000000001</v>
      </c>
      <c r="AD145" s="207">
        <f t="shared" ref="AD145:AD177" si="486">AB145*AC145/100</f>
        <v>961361.09365970164</v>
      </c>
      <c r="AE145" s="207">
        <f t="shared" ref="AE145:AE210" si="487">AD145*0.95</f>
        <v>913293.03897671646</v>
      </c>
      <c r="AF145" s="207">
        <f>SUM(AF146:AF166)</f>
        <v>913293.03897671658</v>
      </c>
      <c r="AG145" s="588">
        <f t="shared" si="432"/>
        <v>4.2226660690716386E-2</v>
      </c>
      <c r="AH145" s="207">
        <f>SUM(AH146:AH166)</f>
        <v>273113.94706241519</v>
      </c>
      <c r="AI145" s="633">
        <f t="shared" si="409"/>
        <v>2.115772367087632E-2</v>
      </c>
      <c r="AJ145" s="207">
        <f>SUM(AJ146:AJ166)</f>
        <v>1234475.0407221168</v>
      </c>
      <c r="AK145" s="207">
        <f t="shared" si="455"/>
        <v>218491.15764993217</v>
      </c>
      <c r="AL145" s="207">
        <f t="shared" si="456"/>
        <v>218491.15764993217</v>
      </c>
      <c r="AM145" s="207">
        <f t="shared" si="413"/>
        <v>436982.31529986433</v>
      </c>
      <c r="AN145" s="632">
        <f t="shared" si="414"/>
        <v>2.115772367087632E-2</v>
      </c>
      <c r="AO145" s="207">
        <f t="shared" si="415"/>
        <v>207566.59976743555</v>
      </c>
      <c r="AP145" s="588">
        <f t="shared" si="433"/>
        <v>2.115772367087632E-2</v>
      </c>
      <c r="AQ145" s="207">
        <v>1</v>
      </c>
      <c r="AR145" s="588">
        <f>AQ145/37</f>
        <v>2.7027027027027029E-2</v>
      </c>
      <c r="AS145" s="207">
        <f>SUM(AS146:AS166)</f>
        <v>21</v>
      </c>
      <c r="AT145" s="588">
        <f t="shared" si="434"/>
        <v>2.7131782945736434E-2</v>
      </c>
      <c r="AU145" s="207">
        <f>SUM(AU146:AU166)</f>
        <v>226</v>
      </c>
      <c r="AV145" s="892">
        <f t="shared" si="416"/>
        <v>2.5678900124985797E-2</v>
      </c>
      <c r="AW145" s="207">
        <v>36917</v>
      </c>
      <c r="AX145" s="208">
        <f>AW145*0.002</f>
        <v>73.834000000000003</v>
      </c>
      <c r="AY145" s="207">
        <f>AX145*100</f>
        <v>7383.4000000000005</v>
      </c>
      <c r="AZ145" s="207">
        <f>SUM(AZ146:AZ166)</f>
        <v>795</v>
      </c>
      <c r="BA145" s="588">
        <f t="shared" si="447"/>
        <v>2.9130482576673628E-2</v>
      </c>
      <c r="BB145" s="207">
        <v>21</v>
      </c>
      <c r="BC145" s="207">
        <v>1</v>
      </c>
      <c r="BD145" s="207">
        <f>BB145+BC145</f>
        <v>22</v>
      </c>
      <c r="BE145" s="633">
        <f>BD145/1306</f>
        <v>1.6845329249617153E-2</v>
      </c>
      <c r="BF145" s="207">
        <f>AZ145+BD145</f>
        <v>817</v>
      </c>
      <c r="BG145" s="588">
        <f>BF145/28597</f>
        <v>2.8569430359827955E-2</v>
      </c>
      <c r="BH145" s="1084">
        <v>38.9</v>
      </c>
      <c r="BI145" s="207"/>
      <c r="BJ145" s="207"/>
      <c r="BK145" s="892">
        <f t="shared" si="448"/>
        <v>0</v>
      </c>
      <c r="BL145" s="892"/>
      <c r="BM145" s="892">
        <f t="shared" si="449"/>
        <v>0</v>
      </c>
      <c r="BN145" s="207"/>
      <c r="BO145" s="207">
        <v>414857</v>
      </c>
      <c r="BP145" s="207">
        <f>SUM(BP146:BP166)</f>
        <v>414857.01368505252</v>
      </c>
      <c r="BQ145" s="633">
        <f t="shared" si="450"/>
        <v>3.8807941745671398E-2</v>
      </c>
      <c r="BR145" s="207">
        <f>AY145*0.5*24</f>
        <v>88600.8</v>
      </c>
      <c r="BS145" s="633">
        <f>BR145/2211211</f>
        <v>4.0068903419890729E-2</v>
      </c>
      <c r="BT145" s="634"/>
      <c r="BU145" s="207">
        <f>SUM(BU146:BU166)</f>
        <v>761397.98617848381</v>
      </c>
      <c r="BV145" s="264">
        <f t="shared" si="451"/>
        <v>5.2812006528513762E-2</v>
      </c>
      <c r="BW145" s="207">
        <f>SUM(BW146:BW166)</f>
        <v>3257091.3853190695</v>
      </c>
      <c r="BX145" s="247">
        <f t="shared" si="452"/>
        <v>5.2812007004246334E-2</v>
      </c>
      <c r="BY145" s="207">
        <f>SUM(BY146:BY166)</f>
        <v>4018489.3714975538</v>
      </c>
      <c r="CA145" s="207">
        <f>SUM(CA146:CA166)</f>
        <v>1671457.3560219808</v>
      </c>
      <c r="CB145" s="207">
        <f>SUM(CB146:CB166)</f>
        <v>3342914.7120439615</v>
      </c>
      <c r="CC145" s="207">
        <f>SUM(CC146:CC166)</f>
        <v>5014372.0680659432</v>
      </c>
      <c r="CD145" s="633">
        <f t="shared" si="418"/>
        <v>2.115772367087632E-2</v>
      </c>
      <c r="CE145" s="207">
        <v>552744</v>
      </c>
      <c r="CF145" s="633">
        <f t="shared" si="419"/>
        <v>2.3869204923807289E-2</v>
      </c>
      <c r="CG145" s="207">
        <f t="shared" si="460"/>
        <v>830266.39906974218</v>
      </c>
      <c r="CH145" s="588">
        <f t="shared" si="435"/>
        <v>2.115772367087632E-2</v>
      </c>
      <c r="CI145" s="207">
        <f t="shared" ref="CI145:CO145" si="488">SUM(CI146:CI166)</f>
        <v>1163749.1133771641</v>
      </c>
      <c r="CJ145" s="633">
        <f t="shared" si="436"/>
        <v>1.9132032469934765E-2</v>
      </c>
      <c r="CK145" s="207">
        <f t="shared" si="488"/>
        <v>1197413.1166568482</v>
      </c>
      <c r="CL145" s="588">
        <f t="shared" si="437"/>
        <v>1.7213059849312311E-2</v>
      </c>
      <c r="CM145" s="207">
        <f t="shared" si="488"/>
        <v>115999.01130109471</v>
      </c>
      <c r="CN145" s="588">
        <f t="shared" si="438"/>
        <v>1.6716775816772014E-2</v>
      </c>
      <c r="CO145" s="207">
        <f t="shared" si="488"/>
        <v>9280.0009040953719</v>
      </c>
      <c r="CP145" s="588">
        <f t="shared" si="439"/>
        <v>1.7500652321844834E-2</v>
      </c>
      <c r="CQ145" s="207">
        <f>'Detailed Budget'!$AC$12</f>
        <v>292876014141.44696</v>
      </c>
      <c r="CR145" s="605">
        <f t="shared" si="440"/>
        <v>0</v>
      </c>
      <c r="CS145" s="605">
        <f>'Detailed Budget'!$AC$16</f>
        <v>10488008800.000002</v>
      </c>
      <c r="CT145" s="605">
        <f t="shared" si="461"/>
        <v>0</v>
      </c>
      <c r="CU145" s="605">
        <f>'Detailed Budget'!$AC$24</f>
        <v>30624985696</v>
      </c>
      <c r="CV145" s="605">
        <f t="shared" si="446"/>
        <v>0</v>
      </c>
      <c r="CW145" s="605"/>
      <c r="CX145" s="605">
        <f t="shared" si="431"/>
        <v>0</v>
      </c>
      <c r="CY145" s="207">
        <f>'Detailed Budget'!$AC$97</f>
        <v>74629165494.837845</v>
      </c>
      <c r="CZ145" s="605">
        <f t="shared" si="462"/>
        <v>2896204307.0517368</v>
      </c>
      <c r="DA145" s="605">
        <f>'Detailed Budget'!$AC$100</f>
        <v>14925833098.967569</v>
      </c>
      <c r="DB145" s="605">
        <f t="shared" si="463"/>
        <v>579240861.41034746</v>
      </c>
      <c r="DC145" s="605">
        <f t="shared" si="420"/>
        <v>3475445168.4620843</v>
      </c>
      <c r="DD145" s="207">
        <f>SUM(DD146:DD166)</f>
        <v>0</v>
      </c>
      <c r="DE145" s="606">
        <v>0</v>
      </c>
      <c r="DF145" s="605">
        <f>'Detailed Budget'!$AC$147</f>
        <v>5913600671000</v>
      </c>
      <c r="DG145" s="605">
        <f t="shared" si="441"/>
        <v>0</v>
      </c>
      <c r="DH145" s="605">
        <f>'Detailed Budget'!$AC$153</f>
        <v>226428026880.00003</v>
      </c>
      <c r="DI145" s="605">
        <f>BS145*DH145</f>
        <v>9072722740.6111431</v>
      </c>
      <c r="DJ145" s="605">
        <f>'Detailed Budget'!$AC$156</f>
        <v>27713070000</v>
      </c>
      <c r="DK145" s="605">
        <f>AT145*DJ145</f>
        <v>751905000</v>
      </c>
      <c r="DL145" s="605">
        <f>DI145+DK145</f>
        <v>9824627740.6111431</v>
      </c>
      <c r="DM145" s="207">
        <f>'Detailed Budget'!$AC$178</f>
        <v>5622683761.6229038</v>
      </c>
      <c r="DN145" s="605">
        <f>SUM(DN146:DN166)</f>
        <v>296945211.52659702</v>
      </c>
      <c r="DO145" s="605">
        <f>'Detailed Budget'!$AC$179</f>
        <v>26827890683.128094</v>
      </c>
      <c r="DP145" s="605">
        <f>SUM(DP146:DP166)</f>
        <v>1416834750.6665158</v>
      </c>
      <c r="DQ145" s="605">
        <f>SUM(DQ146:DQ166)</f>
        <v>1713779962.1931131</v>
      </c>
      <c r="DR145" s="605">
        <f>'Detailed Budget'!$AC$181</f>
        <v>50888946855.375237</v>
      </c>
      <c r="DS145" s="605">
        <f>SUM(DS146:DS166)</f>
        <v>2148870291.7698288</v>
      </c>
      <c r="DT145" s="605">
        <f>SUM(DT146:DT166)</f>
        <v>3862650253.9629412</v>
      </c>
      <c r="DU145" s="634">
        <f>'Detailed Budget'!$AC$192</f>
        <v>77498869683.252869</v>
      </c>
      <c r="DV145" s="605">
        <f t="shared" si="464"/>
        <v>0</v>
      </c>
      <c r="DW145" s="930">
        <f>'Detailed Budget'!$AC$194</f>
        <v>2684962805.4134097</v>
      </c>
      <c r="DX145" s="605">
        <f t="shared" si="465"/>
        <v>0</v>
      </c>
      <c r="DY145" s="605">
        <f t="shared" si="421"/>
        <v>0</v>
      </c>
      <c r="DZ145" s="207">
        <f>'Detailed Budget'!$AC$198</f>
        <v>18732540018.380611</v>
      </c>
      <c r="EA145" s="605">
        <f t="shared" si="466"/>
        <v>447130836.44214755</v>
      </c>
      <c r="EB145" s="207">
        <f>'Detailed Budget'!$AC$200</f>
        <v>4683135004.5951529</v>
      </c>
      <c r="EC145" s="605">
        <f t="shared" si="467"/>
        <v>111782709.11053689</v>
      </c>
      <c r="ED145" s="605">
        <f t="shared" si="422"/>
        <v>558913545.55268443</v>
      </c>
      <c r="EE145" s="207">
        <f>'Detailed Budget'!$AC$161</f>
        <v>251147290106.36197</v>
      </c>
      <c r="EF145" s="605">
        <f t="shared" si="468"/>
        <v>5313704964.7598171</v>
      </c>
      <c r="EG145" s="207">
        <f>'Detailed Budget'!$AC$163</f>
        <v>15696705631.647623</v>
      </c>
      <c r="EH145" s="605">
        <f t="shared" si="469"/>
        <v>332106560.29748857</v>
      </c>
      <c r="EI145" s="605">
        <f t="shared" si="423"/>
        <v>5645811525.0573053</v>
      </c>
      <c r="EJ145" s="207">
        <f>'Detailed Budget'!$AC$204</f>
        <v>45012172507.531975</v>
      </c>
      <c r="EK145" s="605">
        <f t="shared" si="470"/>
        <v>861174345.95640671</v>
      </c>
      <c r="EL145" s="207">
        <f>'Detailed Budget'!$AC$206</f>
        <v>11253043126.882994</v>
      </c>
      <c r="EM145" s="605">
        <f t="shared" si="471"/>
        <v>215293586.48910168</v>
      </c>
      <c r="EN145" s="605">
        <f t="shared" si="424"/>
        <v>1076467932.4455085</v>
      </c>
      <c r="EO145" s="930">
        <f>'Detailed Budget'!$AC$209</f>
        <v>135789361677.54817</v>
      </c>
      <c r="EP145" s="605">
        <f t="shared" si="472"/>
        <v>2337350409.4555521</v>
      </c>
      <c r="EQ145" s="207">
        <f>'Detailed Budget'!$AC$211</f>
        <v>33947340419.387043</v>
      </c>
      <c r="ER145" s="605">
        <f t="shared" si="473"/>
        <v>584337602.36388803</v>
      </c>
      <c r="ES145" s="605">
        <f t="shared" si="425"/>
        <v>2921688011.8194399</v>
      </c>
      <c r="ET145" s="207">
        <f>'Detailed Budget'!$AC$214</f>
        <v>22239745544.201103</v>
      </c>
      <c r="EU145" s="605">
        <f t="shared" si="474"/>
        <v>371776840.48446417</v>
      </c>
      <c r="EV145" s="930">
        <f>'Detailed Budget'!$AC$217</f>
        <v>5559936386.0502758</v>
      </c>
      <c r="EW145" s="605">
        <f t="shared" si="475"/>
        <v>92944210.121116042</v>
      </c>
      <c r="EX145" s="605">
        <f t="shared" si="426"/>
        <v>464721050.60558021</v>
      </c>
      <c r="EY145" s="207">
        <f>'Detailed Budget'!$AC$219</f>
        <v>372777004.58170313</v>
      </c>
      <c r="EZ145" s="605">
        <f t="shared" si="476"/>
        <v>6523840.7507631453</v>
      </c>
      <c r="FA145" s="207">
        <f>'Detailed Budget'!$AC$222</f>
        <v>93194251.145425782</v>
      </c>
      <c r="FB145" s="605">
        <f t="shared" si="477"/>
        <v>1630960.1876907863</v>
      </c>
      <c r="FC145" s="605">
        <f t="shared" si="427"/>
        <v>8154800.9384539314</v>
      </c>
      <c r="FD145" s="605"/>
      <c r="FE145" s="605">
        <f t="shared" si="428"/>
        <v>4471031795.8089819</v>
      </c>
      <c r="FF145" s="930">
        <f>'Detailed Budget'!$AC$165</f>
        <v>14927760000</v>
      </c>
      <c r="FG145" s="1087">
        <f t="shared" si="442"/>
        <v>6098783324.3068142</v>
      </c>
      <c r="FH145" s="605">
        <f t="shared" si="478"/>
        <v>383328458.129758</v>
      </c>
      <c r="FI145" s="605"/>
      <c r="FJ145" s="930">
        <f>'Detailed Budget'!$AC$235</f>
        <v>3623696172</v>
      </c>
      <c r="FK145" s="605">
        <f t="shared" si="479"/>
        <v>98317338</v>
      </c>
      <c r="FL145" s="605">
        <f t="shared" si="443"/>
        <v>98317338</v>
      </c>
      <c r="FM145" s="605"/>
      <c r="FN145" s="605">
        <f>'Detailed Budget'!$AC$251</f>
        <v>1047595800</v>
      </c>
      <c r="FO145" s="605">
        <f>AR145*FN145</f>
        <v>28313400</v>
      </c>
      <c r="FP145" s="605">
        <f>'Detailed Budget'!$AB$254</f>
        <v>2773297530</v>
      </c>
      <c r="FQ145" s="605">
        <f>BE145*FP145</f>
        <v>46717110</v>
      </c>
      <c r="FR145" s="605">
        <f>'Detailed Budget'!$AC$257</f>
        <v>13636439388</v>
      </c>
      <c r="FS145" s="605">
        <f t="shared" si="480"/>
        <v>397236060</v>
      </c>
      <c r="FT145" s="605">
        <f t="shared" si="444"/>
        <v>472266570</v>
      </c>
      <c r="FU145" s="605"/>
      <c r="FV145" s="605">
        <f>'Detailed Budget'!$AC$265</f>
        <v>6277805540</v>
      </c>
      <c r="FW145" s="605">
        <f>AR145*FV145</f>
        <v>169670420</v>
      </c>
      <c r="FX145" s="930">
        <f>'Detailed Budget'!$AC$278</f>
        <v>1114560000</v>
      </c>
      <c r="FY145" s="605">
        <f t="shared" si="481"/>
        <v>30240000</v>
      </c>
      <c r="FZ145" s="605">
        <f t="shared" si="445"/>
        <v>199910420</v>
      </c>
      <c r="GB145" s="269">
        <f t="shared" si="453"/>
        <v>35091086139.891708</v>
      </c>
      <c r="GC145" s="889">
        <f t="shared" si="429"/>
        <v>21931928.837432317</v>
      </c>
      <c r="GD145" s="1078">
        <f t="shared" si="454"/>
        <v>1.9690713419917596E-2</v>
      </c>
    </row>
    <row r="146" spans="1:186" outlineLevel="1">
      <c r="A146" s="211" t="s">
        <v>465</v>
      </c>
      <c r="B146" s="212" t="s">
        <v>466</v>
      </c>
      <c r="C146" s="213" t="s">
        <v>215</v>
      </c>
      <c r="D146" s="225"/>
      <c r="E146" s="213"/>
      <c r="F146" s="213"/>
      <c r="G146" s="213"/>
      <c r="H146" s="213" t="s">
        <v>215</v>
      </c>
      <c r="I146" s="214" t="s">
        <v>215</v>
      </c>
      <c r="J146" s="214"/>
      <c r="K146" s="213" t="s">
        <v>215</v>
      </c>
      <c r="L146" s="213"/>
      <c r="M146" s="214"/>
      <c r="N146" s="213"/>
      <c r="O146" s="214"/>
      <c r="P146" s="213"/>
      <c r="Q146" s="214"/>
      <c r="R146" s="214" t="s">
        <v>215</v>
      </c>
      <c r="S146" s="214"/>
      <c r="T146" s="214"/>
      <c r="U146" s="215">
        <f t="shared" ref="U146:U166" si="489">COUNTA(C146:T146)</f>
        <v>5</v>
      </c>
      <c r="V146" s="845" t="s">
        <v>467</v>
      </c>
      <c r="W146" s="216">
        <v>178407</v>
      </c>
      <c r="X146" s="217">
        <v>2.89</v>
      </c>
      <c r="Y146" s="218">
        <f t="shared" si="483"/>
        <v>1.0288999999999999</v>
      </c>
      <c r="Z146" s="196">
        <v>19</v>
      </c>
      <c r="AA146" s="218">
        <f t="shared" si="484"/>
        <v>1.7182651319612778</v>
      </c>
      <c r="AB146" s="196">
        <f t="shared" si="485"/>
        <v>306550.52739781572</v>
      </c>
      <c r="AC146">
        <v>17.600000000000001</v>
      </c>
      <c r="AD146" s="196">
        <f t="shared" si="486"/>
        <v>53952.892822015572</v>
      </c>
      <c r="AE146" s="196">
        <f t="shared" si="487"/>
        <v>51255.248180914794</v>
      </c>
      <c r="AF146" s="196">
        <f t="shared" ref="AF146:AF167" si="490">AE146*BT146</f>
        <v>51255.248180914794</v>
      </c>
      <c r="AG146" s="606">
        <f t="shared" si="432"/>
        <v>2.3698176611298195E-3</v>
      </c>
      <c r="AH146" s="196">
        <f>AB146*0.05</f>
        <v>15327.526369890787</v>
      </c>
      <c r="AI146" s="248">
        <f t="shared" si="409"/>
        <v>1.1874002444046091E-3</v>
      </c>
      <c r="AJ146" s="196">
        <f t="shared" si="412"/>
        <v>69280.41919190636</v>
      </c>
      <c r="AK146" s="196">
        <f t="shared" si="455"/>
        <v>12262.021095912629</v>
      </c>
      <c r="AL146" s="196">
        <f t="shared" si="456"/>
        <v>12262.021095912629</v>
      </c>
      <c r="AM146" s="196">
        <f t="shared" si="413"/>
        <v>24524.042191825258</v>
      </c>
      <c r="AN146" s="627">
        <f t="shared" si="414"/>
        <v>1.1874002444046091E-3</v>
      </c>
      <c r="AO146" s="196">
        <f t="shared" si="415"/>
        <v>11648.920041116997</v>
      </c>
      <c r="AP146" s="589">
        <f t="shared" si="433"/>
        <v>1.1874002444046091E-3</v>
      </c>
      <c r="AQ146" s="196"/>
      <c r="AR146" s="589"/>
      <c r="AS146">
        <v>1</v>
      </c>
      <c r="AT146" s="589">
        <f t="shared" si="434"/>
        <v>1.2919896640826874E-3</v>
      </c>
      <c r="AU146" s="196">
        <v>10</v>
      </c>
      <c r="AV146" s="245">
        <f t="shared" si="416"/>
        <v>1.1362345188046814E-3</v>
      </c>
      <c r="AX146" s="245"/>
      <c r="AY146" s="245"/>
      <c r="AZ146" s="196">
        <v>62</v>
      </c>
      <c r="BA146" s="589">
        <f t="shared" si="447"/>
        <v>2.2718112198160567E-3</v>
      </c>
      <c r="BI146" s="196">
        <v>0</v>
      </c>
      <c r="BK146" s="246">
        <f t="shared" si="448"/>
        <v>0</v>
      </c>
      <c r="BL146" s="246"/>
      <c r="BM146" s="246">
        <f t="shared" si="449"/>
        <v>0</v>
      </c>
      <c r="BN146" s="196">
        <v>1</v>
      </c>
      <c r="BO146" s="196">
        <f t="shared" ref="BO146:BO166" si="491">AJ146/1234475*414857</f>
        <v>23282.340156501101</v>
      </c>
      <c r="BP146" s="196">
        <f t="shared" si="417"/>
        <v>23282.340156501101</v>
      </c>
      <c r="BQ146" s="248">
        <f t="shared" si="450"/>
        <v>2.1779545016499154E-3</v>
      </c>
      <c r="BR146" s="248"/>
      <c r="BS146" s="248"/>
      <c r="BT146" s="276">
        <v>1</v>
      </c>
      <c r="BU146" s="196">
        <f>AD146*BT146*0.18*4*1.1</f>
        <v>42730.691115036338</v>
      </c>
      <c r="BV146" s="264">
        <f t="shared" si="451"/>
        <v>2.9638816743681263E-3</v>
      </c>
      <c r="BW146" s="196">
        <f>AD146*BT146*0.77*4*1.1</f>
        <v>182792.40088098877</v>
      </c>
      <c r="BX146" s="247">
        <f t="shared" si="452"/>
        <v>2.9638817010668858E-3</v>
      </c>
      <c r="BY146" s="196">
        <f t="shared" ref="BY146:BY209" si="492">BU146+BW146</f>
        <v>225523.09199602512</v>
      </c>
      <c r="BZ146" s="620">
        <v>0</v>
      </c>
      <c r="CA146" s="196">
        <f t="shared" ref="CA146:CA167" si="493">AK146*0.85*0.75*12</f>
        <v>93804.461383731614</v>
      </c>
      <c r="CB146" s="196">
        <f t="shared" ref="CB146:CB167" si="494">AL146*0.85*0.75*2*12</f>
        <v>187608.92276746323</v>
      </c>
      <c r="CC146" s="196">
        <f t="shared" si="430"/>
        <v>281413.38415119483</v>
      </c>
      <c r="CD146" s="247">
        <f t="shared" si="418"/>
        <v>1.1874002444046091E-3</v>
      </c>
      <c r="CE146" s="196">
        <f t="shared" ref="CE146:CE166" si="495">AH146/273114*552744</f>
        <v>31020.73945604734</v>
      </c>
      <c r="CF146" s="247">
        <f t="shared" si="419"/>
        <v>1.3395720025263561E-3</v>
      </c>
      <c r="CG146" s="196">
        <f t="shared" si="460"/>
        <v>46595.680164467987</v>
      </c>
      <c r="CH146" s="589">
        <f t="shared" si="435"/>
        <v>1.1874002444046091E-3</v>
      </c>
      <c r="CI146" s="196">
        <f t="shared" ref="CI146:CI166" si="496">AD146/961361*1163749</f>
        <v>65311.183903578152</v>
      </c>
      <c r="CJ146" s="248">
        <f t="shared" si="436"/>
        <v>1.0737156975931211E-3</v>
      </c>
      <c r="CK146" s="196">
        <f t="shared" ref="CK146:CK166" si="497">AD146/961361*1197413</f>
        <v>67200.45357850811</v>
      </c>
      <c r="CL146" s="589">
        <f t="shared" si="437"/>
        <v>9.6602034273463315E-4</v>
      </c>
      <c r="CM146" s="196">
        <f t="shared" ref="CM146:CM166" si="498">AD146/961361*115999</f>
        <v>6510.0223687678035</v>
      </c>
      <c r="CN146" s="589">
        <f t="shared" si="438"/>
        <v>9.3816820747191537E-4</v>
      </c>
      <c r="CO146" s="196">
        <f t="shared" ref="CO146:CO166" si="499">AD146/961361*9280</f>
        <v>520.80627921072778</v>
      </c>
      <c r="CP146" s="589">
        <f t="shared" si="439"/>
        <v>9.8216042365667001E-4</v>
      </c>
      <c r="CQ146" s="196">
        <f>'Detailed Budget'!$AC$12</f>
        <v>292876014141.44696</v>
      </c>
      <c r="CR146" s="269">
        <f t="shared" si="440"/>
        <v>0</v>
      </c>
      <c r="CS146" s="269">
        <f>'Detailed Budget'!$AC$16</f>
        <v>10488008800.000002</v>
      </c>
      <c r="CT146" s="607">
        <f t="shared" si="461"/>
        <v>0</v>
      </c>
      <c r="CU146" s="269">
        <f>'Detailed Budget'!$AC$24</f>
        <v>30624985696</v>
      </c>
      <c r="CV146" s="269">
        <f t="shared" si="446"/>
        <v>0</v>
      </c>
      <c r="CW146" s="269"/>
      <c r="CX146" s="269">
        <f t="shared" si="431"/>
        <v>0</v>
      </c>
      <c r="CY146" s="196">
        <f>'Detailed Budget'!$AC$97</f>
        <v>74629165494.837845</v>
      </c>
      <c r="CZ146" s="269">
        <f t="shared" si="462"/>
        <v>162538926.94385862</v>
      </c>
      <c r="DA146" s="269">
        <f>'Detailed Budget'!$AC$100</f>
        <v>14925833098.967569</v>
      </c>
      <c r="DB146" s="269">
        <f t="shared" si="463"/>
        <v>32507785.388771724</v>
      </c>
      <c r="DC146" s="269">
        <f t="shared" si="420"/>
        <v>195046712.33263034</v>
      </c>
      <c r="DD146" s="207">
        <v>0</v>
      </c>
      <c r="DE146" s="606">
        <v>0</v>
      </c>
      <c r="DF146" s="269">
        <f>'Detailed Budget'!$AC$147</f>
        <v>5913600671000</v>
      </c>
      <c r="DG146" s="269">
        <f t="shared" si="441"/>
        <v>0</v>
      </c>
      <c r="DH146" s="269">
        <f>'Detailed Budget'!$AC$153</f>
        <v>226428026880.00003</v>
      </c>
      <c r="DI146" s="269"/>
      <c r="DJ146" s="269">
        <f>'Detailed Budget'!$AC$156</f>
        <v>27713070000</v>
      </c>
      <c r="DK146" s="269"/>
      <c r="DL146" s="269"/>
      <c r="DM146" s="196">
        <f>'Detailed Budget'!$AC$178</f>
        <v>5622683761.6229038</v>
      </c>
      <c r="DN146" s="269">
        <f t="shared" ref="DN146:DN166" si="500">BT146*BV146*DM146</f>
        <v>16664969.361841368</v>
      </c>
      <c r="DO146" s="196">
        <f>'Detailed Budget'!$AC$179</f>
        <v>26827890683.128094</v>
      </c>
      <c r="DP146" s="269">
        <f t="shared" ref="DP146:DP166" si="501">BT146*BX146*DO146</f>
        <v>79514694.273946151</v>
      </c>
      <c r="DQ146" s="269">
        <f t="shared" si="457"/>
        <v>96179663.635787517</v>
      </c>
      <c r="DR146" s="269">
        <f>'Detailed Budget'!$AC$181</f>
        <v>50888946855.375237</v>
      </c>
      <c r="DS146" s="269">
        <f t="shared" ref="DS146:DS166" si="502">BT146*AG146*DR146</f>
        <v>120597525.01416503</v>
      </c>
      <c r="DT146" s="269">
        <f t="shared" ref="DT146:DT166" si="503">DQ146+DS146</f>
        <v>216777188.64995253</v>
      </c>
      <c r="DU146" s="272">
        <f>'Detailed Budget'!$AC$192</f>
        <v>77498869683.252869</v>
      </c>
      <c r="DV146" s="269">
        <f t="shared" si="464"/>
        <v>0</v>
      </c>
      <c r="DW146" s="140">
        <f>'Detailed Budget'!$AC$194</f>
        <v>2684962805.4134097</v>
      </c>
      <c r="DX146" s="269">
        <f t="shared" si="465"/>
        <v>0</v>
      </c>
      <c r="DY146" s="607">
        <f t="shared" si="421"/>
        <v>0</v>
      </c>
      <c r="DZ146" s="196">
        <f>'Detailed Budget'!$AC$198</f>
        <v>18732540018.380611</v>
      </c>
      <c r="EA146" s="269">
        <f t="shared" si="466"/>
        <v>25093586.144827221</v>
      </c>
      <c r="EB146" s="196">
        <f>'Detailed Budget'!$AC$200</f>
        <v>4683135004.5951529</v>
      </c>
      <c r="EC146" s="269">
        <f t="shared" si="467"/>
        <v>6273396.5362068051</v>
      </c>
      <c r="ED146" s="269">
        <f t="shared" si="422"/>
        <v>31366982.681034025</v>
      </c>
      <c r="EE146" s="196">
        <f>'Detailed Budget'!$AC$161</f>
        <v>251147290106.36197</v>
      </c>
      <c r="EF146" s="269">
        <f t="shared" si="468"/>
        <v>298212353.65384948</v>
      </c>
      <c r="EG146" s="196">
        <f>'Detailed Budget'!$AC$163</f>
        <v>15696705631.647623</v>
      </c>
      <c r="EH146" s="269">
        <f t="shared" si="469"/>
        <v>18638272.103365593</v>
      </c>
      <c r="EI146" s="269">
        <f t="shared" si="423"/>
        <v>316850625.75721508</v>
      </c>
      <c r="EJ146" s="196">
        <f>'Detailed Budget'!$AC$204</f>
        <v>45012172507.531975</v>
      </c>
      <c r="EK146" s="269">
        <f t="shared" si="470"/>
        <v>48330276.204106599</v>
      </c>
      <c r="EL146" s="201">
        <f>'Detailed Budget'!$AC$206</f>
        <v>11253043126.882994</v>
      </c>
      <c r="EM146" s="269">
        <f t="shared" si="471"/>
        <v>12082569.05102665</v>
      </c>
      <c r="EN146" s="269">
        <f t="shared" si="424"/>
        <v>60412845.255133249</v>
      </c>
      <c r="EO146" s="140">
        <f>'Detailed Budget'!$AC$209</f>
        <v>135789361677.54817</v>
      </c>
      <c r="EP146" s="269">
        <f t="shared" si="472"/>
        <v>131175285.70746215</v>
      </c>
      <c r="EQ146" s="196">
        <f>'Detailed Budget'!$AC$211</f>
        <v>33947340419.387043</v>
      </c>
      <c r="ER146" s="269">
        <f t="shared" si="473"/>
        <v>32793821.426865537</v>
      </c>
      <c r="ES146" s="269">
        <f t="shared" si="425"/>
        <v>163969107.13432768</v>
      </c>
      <c r="ET146" s="196">
        <f>'Detailed Budget'!$AC$214</f>
        <v>22239745544.201103</v>
      </c>
      <c r="EU146" s="269">
        <f t="shared" si="474"/>
        <v>20864622.211834665</v>
      </c>
      <c r="EV146" s="140">
        <f>'Detailed Budget'!$AC$217</f>
        <v>5559936386.0502758</v>
      </c>
      <c r="EW146" s="269">
        <f t="shared" si="475"/>
        <v>5216155.5529586663</v>
      </c>
      <c r="EX146" s="269">
        <f t="shared" si="426"/>
        <v>26080777.764793333</v>
      </c>
      <c r="EY146" s="196">
        <f>'Detailed Budget'!$AC$219</f>
        <v>372777004.58170313</v>
      </c>
      <c r="EZ146" s="269">
        <f t="shared" si="476"/>
        <v>366126.82074942999</v>
      </c>
      <c r="FA146" s="196">
        <f>'Detailed Budget'!$AC$222</f>
        <v>93194251.145425782</v>
      </c>
      <c r="FB146" s="269">
        <f t="shared" si="477"/>
        <v>91531.705187357496</v>
      </c>
      <c r="FC146" s="269">
        <f t="shared" si="427"/>
        <v>457658.52593678748</v>
      </c>
      <c r="FD146" s="269"/>
      <c r="FE146" s="269">
        <f t="shared" si="428"/>
        <v>250920388.68019104</v>
      </c>
      <c r="FF146" s="140">
        <f>'Detailed Budget'!$AC$165</f>
        <v>14927760000</v>
      </c>
      <c r="FG146" s="1087">
        <f t="shared" si="442"/>
        <v>342272019.54721093</v>
      </c>
      <c r="FH146" s="269">
        <f t="shared" si="478"/>
        <v>16961436.200431772</v>
      </c>
      <c r="FJ146" s="140">
        <f>'Detailed Budget'!$AC$235</f>
        <v>3623696172</v>
      </c>
      <c r="FK146" s="269">
        <f t="shared" si="479"/>
        <v>4681778</v>
      </c>
      <c r="FL146" s="269">
        <f t="shared" si="443"/>
        <v>4681778</v>
      </c>
      <c r="FO146" s="607"/>
      <c r="FP146" s="607"/>
      <c r="FQ146" s="607"/>
      <c r="FR146" s="269">
        <f>'Detailed Budget'!$AC$257</f>
        <v>13636439388</v>
      </c>
      <c r="FS146" s="269">
        <f t="shared" si="480"/>
        <v>30979416.000000004</v>
      </c>
      <c r="FT146" s="269">
        <f t="shared" si="444"/>
        <v>30979416.000000004</v>
      </c>
      <c r="FU146" s="269"/>
      <c r="FV146" s="269"/>
      <c r="FW146" s="616"/>
      <c r="FX146" s="140">
        <f>'Detailed Budget'!$AC$278</f>
        <v>1114560000</v>
      </c>
      <c r="FY146" s="269">
        <f t="shared" si="481"/>
        <v>1440000</v>
      </c>
      <c r="FZ146" s="269">
        <f t="shared" si="445"/>
        <v>1440000</v>
      </c>
      <c r="GB146" s="269">
        <f t="shared" si="453"/>
        <v>1407296547.8486657</v>
      </c>
      <c r="GC146" s="887">
        <f t="shared" si="429"/>
        <v>879560.34240541607</v>
      </c>
      <c r="GD146" s="1078">
        <f t="shared" si="454"/>
        <v>7.8967840750377371E-4</v>
      </c>
    </row>
    <row r="147" spans="1:186" outlineLevel="1">
      <c r="A147" s="211" t="s">
        <v>468</v>
      </c>
      <c r="B147" s="212" t="s">
        <v>469</v>
      </c>
      <c r="C147" s="213" t="s">
        <v>215</v>
      </c>
      <c r="D147" s="225"/>
      <c r="E147" s="213"/>
      <c r="F147" s="213"/>
      <c r="G147" s="213"/>
      <c r="H147" s="213" t="s">
        <v>215</v>
      </c>
      <c r="I147" s="214" t="s">
        <v>215</v>
      </c>
      <c r="J147" s="214"/>
      <c r="K147" s="213" t="s">
        <v>215</v>
      </c>
      <c r="L147" s="213"/>
      <c r="M147" s="214"/>
      <c r="N147" s="213"/>
      <c r="O147" s="214"/>
      <c r="P147" s="213"/>
      <c r="Q147" s="214"/>
      <c r="R147" s="214" t="s">
        <v>215</v>
      </c>
      <c r="S147" s="214"/>
      <c r="T147" s="214"/>
      <c r="U147" s="215">
        <f t="shared" si="489"/>
        <v>5</v>
      </c>
      <c r="V147" s="845" t="s">
        <v>467</v>
      </c>
      <c r="W147" s="216">
        <v>209460</v>
      </c>
      <c r="X147" s="217">
        <v>2.89</v>
      </c>
      <c r="Y147" s="218">
        <f t="shared" si="483"/>
        <v>1.0288999999999999</v>
      </c>
      <c r="Z147" s="196">
        <v>19</v>
      </c>
      <c r="AA147" s="218">
        <f t="shared" si="484"/>
        <v>1.7182651319612778</v>
      </c>
      <c r="AB147" s="196">
        <f t="shared" si="485"/>
        <v>359907.81454060925</v>
      </c>
      <c r="AC147">
        <v>17.600000000000001</v>
      </c>
      <c r="AD147" s="196">
        <f t="shared" si="486"/>
        <v>63343.775359147236</v>
      </c>
      <c r="AE147" s="196">
        <f t="shared" si="487"/>
        <v>60176.586591189873</v>
      </c>
      <c r="AF147" s="196">
        <f t="shared" si="490"/>
        <v>60176.586591189873</v>
      </c>
      <c r="AG147" s="606">
        <f t="shared" si="432"/>
        <v>2.7823011838114644E-3</v>
      </c>
      <c r="AH147" s="196">
        <f t="shared" ref="AH147:AH166" si="504">AB147*0.05</f>
        <v>17995.390727030463</v>
      </c>
      <c r="AI147" s="248">
        <f t="shared" si="409"/>
        <v>1.3940756539428912E-3</v>
      </c>
      <c r="AJ147" s="196">
        <f t="shared" si="412"/>
        <v>81339.166086177691</v>
      </c>
      <c r="AK147" s="196">
        <f t="shared" si="455"/>
        <v>14396.31258162437</v>
      </c>
      <c r="AL147" s="196">
        <f t="shared" si="456"/>
        <v>14396.31258162437</v>
      </c>
      <c r="AM147" s="196">
        <f t="shared" si="413"/>
        <v>28792.62516324874</v>
      </c>
      <c r="AN147" s="627">
        <f t="shared" si="414"/>
        <v>1.3940756539428912E-3</v>
      </c>
      <c r="AO147" s="196">
        <f t="shared" si="415"/>
        <v>13676.496952543152</v>
      </c>
      <c r="AP147" s="589">
        <f t="shared" si="433"/>
        <v>1.3940756539428912E-3</v>
      </c>
      <c r="AQ147" s="196"/>
      <c r="AR147" s="589"/>
      <c r="AS147">
        <v>1</v>
      </c>
      <c r="AT147" s="589">
        <f t="shared" si="434"/>
        <v>1.2919896640826874E-3</v>
      </c>
      <c r="AU147" s="196">
        <v>11</v>
      </c>
      <c r="AV147" s="245">
        <f t="shared" si="416"/>
        <v>1.2498579706851495E-3</v>
      </c>
      <c r="AX147" s="245"/>
      <c r="AY147" s="245"/>
      <c r="AZ147" s="196">
        <v>69</v>
      </c>
      <c r="BA147" s="589">
        <f t="shared" si="447"/>
        <v>2.528306034956579E-3</v>
      </c>
      <c r="BI147" s="196">
        <v>0</v>
      </c>
      <c r="BK147" s="246">
        <f t="shared" si="448"/>
        <v>0</v>
      </c>
      <c r="BL147" s="246"/>
      <c r="BM147" s="246">
        <f t="shared" si="449"/>
        <v>0</v>
      </c>
      <c r="BN147" s="196">
        <v>1</v>
      </c>
      <c r="BO147" s="196">
        <f t="shared" si="491"/>
        <v>27334.796107667968</v>
      </c>
      <c r="BP147" s="196">
        <f t="shared" si="417"/>
        <v>27334.796107667968</v>
      </c>
      <c r="BQ147" s="248">
        <f t="shared" si="450"/>
        <v>2.5570428846154645E-3</v>
      </c>
      <c r="BR147" s="248"/>
      <c r="BS147" s="248"/>
      <c r="BT147" s="276">
        <v>1</v>
      </c>
      <c r="BU147" s="196">
        <f t="shared" ref="BU147:BU166" si="505">AD147*BT147*0.18*4*1.1</f>
        <v>50168.270084444615</v>
      </c>
      <c r="BV147" s="264">
        <f t="shared" si="451"/>
        <v>3.4797662396270756E-3</v>
      </c>
      <c r="BW147" s="196">
        <f t="shared" ref="BW147:BW166" si="506">AD147*BT147*0.77*4*1.1</f>
        <v>214608.71091679085</v>
      </c>
      <c r="BX147" s="247">
        <f t="shared" si="452"/>
        <v>3.4797662709729429E-3</v>
      </c>
      <c r="BY147" s="196">
        <f t="shared" si="492"/>
        <v>264776.98100123549</v>
      </c>
      <c r="BZ147" s="620">
        <v>0</v>
      </c>
      <c r="CA147" s="196">
        <f t="shared" si="493"/>
        <v>110131.79124942643</v>
      </c>
      <c r="CB147" s="196">
        <f t="shared" si="494"/>
        <v>220263.58249885286</v>
      </c>
      <c r="CC147" s="196">
        <f t="shared" si="430"/>
        <v>330395.37374827929</v>
      </c>
      <c r="CD147" s="247">
        <f t="shared" si="418"/>
        <v>1.3940756539428912E-3</v>
      </c>
      <c r="CE147" s="196">
        <f t="shared" si="495"/>
        <v>36420.118529338397</v>
      </c>
      <c r="CF147" s="247">
        <f t="shared" si="419"/>
        <v>1.5727339826866128E-3</v>
      </c>
      <c r="CG147" s="196">
        <f t="shared" si="460"/>
        <v>54705.987810172606</v>
      </c>
      <c r="CH147" s="589">
        <f t="shared" si="435"/>
        <v>1.3940756539428912E-3</v>
      </c>
      <c r="CI147" s="196">
        <f t="shared" si="496"/>
        <v>76679.057326469701</v>
      </c>
      <c r="CJ147" s="248">
        <f t="shared" si="436"/>
        <v>1.2606035078099804E-3</v>
      </c>
      <c r="CK147" s="196">
        <f t="shared" si="497"/>
        <v>78897.167748767184</v>
      </c>
      <c r="CL147" s="589">
        <f t="shared" si="437"/>
        <v>1.134163014843567E-3</v>
      </c>
      <c r="CM147" s="196">
        <f t="shared" si="498"/>
        <v>7643.137799313391</v>
      </c>
      <c r="CN147" s="589">
        <f t="shared" si="438"/>
        <v>1.1014630184749891E-3</v>
      </c>
      <c r="CO147" s="196">
        <f t="shared" si="499"/>
        <v>611.45629512002915</v>
      </c>
      <c r="CP147" s="589">
        <f t="shared" si="439"/>
        <v>1.1531123909887286E-3</v>
      </c>
      <c r="CQ147" s="196">
        <f>'Detailed Budget'!$AC$12</f>
        <v>292876014141.44696</v>
      </c>
      <c r="CR147" s="269">
        <f t="shared" si="440"/>
        <v>0</v>
      </c>
      <c r="CS147" s="269">
        <f>'Detailed Budget'!$AC$16</f>
        <v>10488008800.000002</v>
      </c>
      <c r="CT147" s="607">
        <f t="shared" si="461"/>
        <v>0</v>
      </c>
      <c r="CU147" s="269">
        <f>'Detailed Budget'!$AC$24</f>
        <v>30624985696</v>
      </c>
      <c r="CV147" s="269">
        <f t="shared" si="446"/>
        <v>0</v>
      </c>
      <c r="CW147" s="269"/>
      <c r="CX147" s="269">
        <f t="shared" si="431"/>
        <v>0</v>
      </c>
      <c r="CY147" s="196">
        <f>'Detailed Budget'!$AC$97</f>
        <v>74629165494.837845</v>
      </c>
      <c r="CZ147" s="269">
        <f t="shared" si="462"/>
        <v>190829976.61336505</v>
      </c>
      <c r="DA147" s="269">
        <f>'Detailed Budget'!$AC$100</f>
        <v>14925833098.967569</v>
      </c>
      <c r="DB147" s="269">
        <f t="shared" si="463"/>
        <v>38165995.322673008</v>
      </c>
      <c r="DC147" s="269">
        <f t="shared" si="420"/>
        <v>228995971.93603808</v>
      </c>
      <c r="DD147" s="207">
        <v>0</v>
      </c>
      <c r="DE147" s="606">
        <v>0</v>
      </c>
      <c r="DF147" s="269">
        <f>'Detailed Budget'!$AC$147</f>
        <v>5913600671000</v>
      </c>
      <c r="DG147" s="269">
        <f t="shared" si="441"/>
        <v>0</v>
      </c>
      <c r="DH147" s="269">
        <f>'Detailed Budget'!$AC$153</f>
        <v>226428026880.00003</v>
      </c>
      <c r="DI147" s="269"/>
      <c r="DJ147" s="269">
        <f>'Detailed Budget'!$AC$156</f>
        <v>27713070000</v>
      </c>
      <c r="DK147" s="269"/>
      <c r="DL147" s="269"/>
      <c r="DM147" s="196">
        <f>'Detailed Budget'!$AC$178</f>
        <v>5622683761.6229038</v>
      </c>
      <c r="DN147" s="269">
        <f t="shared" si="500"/>
        <v>19565625.129794754</v>
      </c>
      <c r="DO147" s="196">
        <f>'Detailed Budget'!$AC$179</f>
        <v>26827890683.128094</v>
      </c>
      <c r="DP147" s="269">
        <f t="shared" si="501"/>
        <v>93354789.120498404</v>
      </c>
      <c r="DQ147" s="269">
        <f t="shared" si="457"/>
        <v>112920414.25029317</v>
      </c>
      <c r="DR147" s="269">
        <f>'Detailed Budget'!$AC$181</f>
        <v>50888946855.375237</v>
      </c>
      <c r="DS147" s="269">
        <f t="shared" si="502"/>
        <v>141588377.07862923</v>
      </c>
      <c r="DT147" s="269">
        <f t="shared" si="503"/>
        <v>254508791.32892239</v>
      </c>
      <c r="DU147" s="272">
        <f>'Detailed Budget'!$AC$192</f>
        <v>77498869683.252869</v>
      </c>
      <c r="DV147" s="269">
        <f t="shared" si="464"/>
        <v>0</v>
      </c>
      <c r="DW147" s="140">
        <f>'Detailed Budget'!$AC$194</f>
        <v>2684962805.4134097</v>
      </c>
      <c r="DX147" s="269">
        <f t="shared" si="465"/>
        <v>0</v>
      </c>
      <c r="DY147" s="607">
        <f t="shared" si="421"/>
        <v>0</v>
      </c>
      <c r="DZ147" s="196">
        <f>'Detailed Budget'!$AC$198</f>
        <v>18732540018.380611</v>
      </c>
      <c r="EA147" s="269">
        <f t="shared" si="466"/>
        <v>29461302.268944096</v>
      </c>
      <c r="EB147" s="196">
        <f>'Detailed Budget'!$AC$200</f>
        <v>4683135004.5951529</v>
      </c>
      <c r="EC147" s="269">
        <f t="shared" si="467"/>
        <v>7365325.567236024</v>
      </c>
      <c r="ED147" s="269">
        <f t="shared" si="422"/>
        <v>36826627.836180121</v>
      </c>
      <c r="EE147" s="196">
        <f>'Detailed Budget'!$AC$161</f>
        <v>251147290106.36197</v>
      </c>
      <c r="EF147" s="269">
        <f t="shared" si="468"/>
        <v>350118322.69101155</v>
      </c>
      <c r="EG147" s="196">
        <f>'Detailed Budget'!$AC$163</f>
        <v>15696705631.647623</v>
      </c>
      <c r="EH147" s="269">
        <f t="shared" si="469"/>
        <v>21882395.168188222</v>
      </c>
      <c r="EI147" s="269">
        <f t="shared" si="423"/>
        <v>372000717.85919976</v>
      </c>
      <c r="EJ147" s="196">
        <f>'Detailed Budget'!$AC$204</f>
        <v>45012172507.531975</v>
      </c>
      <c r="EK147" s="269">
        <f t="shared" si="470"/>
        <v>56742502.557142764</v>
      </c>
      <c r="EL147" s="201">
        <f>'Detailed Budget'!$AC$206</f>
        <v>11253043126.882994</v>
      </c>
      <c r="EM147" s="269">
        <f t="shared" si="471"/>
        <v>14185625.639285691</v>
      </c>
      <c r="EN147" s="269">
        <f t="shared" si="424"/>
        <v>70928128.196428448</v>
      </c>
      <c r="EO147" s="140">
        <f>'Detailed Budget'!$AC$209</f>
        <v>135789361677.54817</v>
      </c>
      <c r="EP147" s="269">
        <f t="shared" si="472"/>
        <v>154007271.82389155</v>
      </c>
      <c r="EQ147" s="196">
        <f>'Detailed Budget'!$AC$211</f>
        <v>33947340419.387043</v>
      </c>
      <c r="ER147" s="269">
        <f t="shared" si="473"/>
        <v>38501817.955972888</v>
      </c>
      <c r="ES147" s="269">
        <f t="shared" si="425"/>
        <v>192509089.77986443</v>
      </c>
      <c r="ET147" s="196">
        <f>'Detailed Budget'!$AC$214</f>
        <v>22239745544.201103</v>
      </c>
      <c r="EU147" s="269">
        <f t="shared" si="474"/>
        <v>24496257.257231437</v>
      </c>
      <c r="EV147" s="140">
        <f>'Detailed Budget'!$AC$217</f>
        <v>5559936386.0502758</v>
      </c>
      <c r="EW147" s="269">
        <f t="shared" si="475"/>
        <v>6124064.3143078592</v>
      </c>
      <c r="EX147" s="269">
        <f t="shared" si="426"/>
        <v>30620321.571539298</v>
      </c>
      <c r="EY147" s="196">
        <f>'Detailed Budget'!$AC$219</f>
        <v>372777004.58170313</v>
      </c>
      <c r="EZ147" s="269">
        <f t="shared" si="476"/>
        <v>429853.7830588239</v>
      </c>
      <c r="FA147" s="196">
        <f>'Detailed Budget'!$AC$222</f>
        <v>93194251.145425782</v>
      </c>
      <c r="FB147" s="269">
        <f t="shared" si="477"/>
        <v>107463.44576470598</v>
      </c>
      <c r="FC147" s="269">
        <f t="shared" si="427"/>
        <v>537317.22882352991</v>
      </c>
      <c r="FD147" s="269"/>
      <c r="FE147" s="269">
        <f t="shared" si="428"/>
        <v>294594856.77665573</v>
      </c>
      <c r="FF147" s="140">
        <f>'Detailed Budget'!$AC$165</f>
        <v>14927760000</v>
      </c>
      <c r="FG147" s="1087">
        <f t="shared" si="442"/>
        <v>401846885.01212847</v>
      </c>
      <c r="FH147" s="269">
        <f t="shared" si="478"/>
        <v>18657579.820474949</v>
      </c>
      <c r="FJ147" s="140">
        <f>'Detailed Budget'!$AC$235</f>
        <v>3623696172</v>
      </c>
      <c r="FK147" s="269">
        <f t="shared" si="479"/>
        <v>4681778</v>
      </c>
      <c r="FL147" s="269">
        <f t="shared" si="443"/>
        <v>4681778</v>
      </c>
      <c r="FO147" s="607"/>
      <c r="FP147" s="607"/>
      <c r="FQ147" s="607"/>
      <c r="FR147" s="269">
        <f>'Detailed Budget'!$AC$257</f>
        <v>13636439388</v>
      </c>
      <c r="FS147" s="269">
        <f t="shared" si="480"/>
        <v>34477092</v>
      </c>
      <c r="FT147" s="269">
        <f t="shared" si="444"/>
        <v>34477092</v>
      </c>
      <c r="FU147" s="269"/>
      <c r="FV147" s="269"/>
      <c r="FW147" s="616"/>
      <c r="FX147" s="140">
        <f>'Detailed Budget'!$AC$278</f>
        <v>1114560000</v>
      </c>
      <c r="FY147" s="269">
        <f t="shared" si="481"/>
        <v>1440000</v>
      </c>
      <c r="FZ147" s="269">
        <f t="shared" si="445"/>
        <v>1440000</v>
      </c>
      <c r="GB147" s="269">
        <f t="shared" si="453"/>
        <v>1648030300.5695994</v>
      </c>
      <c r="GC147" s="887">
        <f t="shared" si="429"/>
        <v>1030018.9378559996</v>
      </c>
      <c r="GD147" s="1078">
        <f t="shared" si="454"/>
        <v>9.2476169664541439E-4</v>
      </c>
    </row>
    <row r="148" spans="1:186" outlineLevel="1">
      <c r="A148" s="211" t="s">
        <v>470</v>
      </c>
      <c r="B148" s="212" t="s">
        <v>2261</v>
      </c>
      <c r="C148" s="213" t="s">
        <v>215</v>
      </c>
      <c r="D148" s="225" t="s">
        <v>215</v>
      </c>
      <c r="E148" s="213"/>
      <c r="F148" s="213"/>
      <c r="G148" s="213"/>
      <c r="H148" s="213" t="s">
        <v>215</v>
      </c>
      <c r="I148" s="214" t="s">
        <v>215</v>
      </c>
      <c r="J148" s="214"/>
      <c r="K148" s="213" t="s">
        <v>215</v>
      </c>
      <c r="L148" s="213"/>
      <c r="M148" s="214"/>
      <c r="N148" s="213"/>
      <c r="O148" s="214"/>
      <c r="P148" s="213"/>
      <c r="Q148" s="214"/>
      <c r="R148" s="214" t="s">
        <v>215</v>
      </c>
      <c r="S148" s="214"/>
      <c r="T148" s="214"/>
      <c r="U148" s="215">
        <f t="shared" si="489"/>
        <v>6</v>
      </c>
      <c r="V148" s="845" t="s">
        <v>219</v>
      </c>
      <c r="W148" s="216">
        <v>169948</v>
      </c>
      <c r="X148" s="217">
        <v>2.89</v>
      </c>
      <c r="Y148" s="218">
        <f t="shared" si="483"/>
        <v>1.0288999999999999</v>
      </c>
      <c r="Z148" s="196">
        <v>19</v>
      </c>
      <c r="AA148" s="218">
        <f t="shared" si="484"/>
        <v>1.7182651319612778</v>
      </c>
      <c r="AB148" s="196">
        <f t="shared" si="485"/>
        <v>292015.72264655522</v>
      </c>
      <c r="AC148">
        <v>17.600000000000001</v>
      </c>
      <c r="AD148" s="196">
        <f t="shared" si="486"/>
        <v>51394.767185793724</v>
      </c>
      <c r="AE148" s="196">
        <f t="shared" si="487"/>
        <v>48825.028826504036</v>
      </c>
      <c r="AF148" s="196">
        <f t="shared" si="490"/>
        <v>48825.028826504036</v>
      </c>
      <c r="AG148" s="606">
        <f t="shared" si="432"/>
        <v>2.2574549870447375E-3</v>
      </c>
      <c r="AH148" s="196">
        <f t="shared" si="504"/>
        <v>14600.786132327761</v>
      </c>
      <c r="AI148" s="248">
        <f t="shared" si="409"/>
        <v>1.1311007793196146E-3</v>
      </c>
      <c r="AJ148" s="196">
        <f t="shared" si="412"/>
        <v>65995.553318121485</v>
      </c>
      <c r="AK148" s="196">
        <f t="shared" si="455"/>
        <v>11680.62890586221</v>
      </c>
      <c r="AL148" s="196">
        <f t="shared" si="456"/>
        <v>11680.62890586221</v>
      </c>
      <c r="AM148" s="196">
        <f t="shared" si="413"/>
        <v>23361.257811724419</v>
      </c>
      <c r="AN148" s="627">
        <f t="shared" si="414"/>
        <v>1.1311007793196146E-3</v>
      </c>
      <c r="AO148" s="196">
        <f t="shared" si="415"/>
        <v>11096.597460569099</v>
      </c>
      <c r="AP148" s="589">
        <f t="shared" si="433"/>
        <v>1.1311007793196146E-3</v>
      </c>
      <c r="AQ148" s="196"/>
      <c r="AR148" s="589"/>
      <c r="AS148">
        <v>1</v>
      </c>
      <c r="AT148" s="589">
        <f t="shared" si="434"/>
        <v>1.2919896640826874E-3</v>
      </c>
      <c r="AU148" s="196">
        <v>10</v>
      </c>
      <c r="AV148" s="245">
        <f t="shared" si="416"/>
        <v>1.1362345188046814E-3</v>
      </c>
      <c r="AX148" s="245"/>
      <c r="AY148" s="245"/>
      <c r="AZ148" s="196">
        <v>37</v>
      </c>
      <c r="BA148" s="589">
        <f t="shared" si="447"/>
        <v>1.3557583085999048E-3</v>
      </c>
      <c r="BI148" s="196">
        <v>0</v>
      </c>
      <c r="BK148" s="246">
        <f t="shared" si="448"/>
        <v>0</v>
      </c>
      <c r="BL148" s="246"/>
      <c r="BM148" s="246">
        <f t="shared" si="449"/>
        <v>0</v>
      </c>
      <c r="BN148" s="196">
        <v>1</v>
      </c>
      <c r="BO148" s="196">
        <f t="shared" si="491"/>
        <v>22178.42990979641</v>
      </c>
      <c r="BP148" s="196">
        <f t="shared" si="417"/>
        <v>22178.42990979641</v>
      </c>
      <c r="BQ148" s="248">
        <f t="shared" si="450"/>
        <v>2.0746888387025157E-3</v>
      </c>
      <c r="BR148" s="248"/>
      <c r="BS148" s="248"/>
      <c r="BT148" s="276">
        <v>1</v>
      </c>
      <c r="BU148" s="196">
        <f t="shared" si="505"/>
        <v>40704.655611148635</v>
      </c>
      <c r="BV148" s="264">
        <f t="shared" si="451"/>
        <v>2.8233520141895453E-3</v>
      </c>
      <c r="BW148" s="196">
        <f t="shared" si="506"/>
        <v>174125.47122546917</v>
      </c>
      <c r="BX148" s="247">
        <f t="shared" si="452"/>
        <v>2.8233520396224085E-3</v>
      </c>
      <c r="BY148" s="196">
        <f t="shared" si="492"/>
        <v>214830.1268366178</v>
      </c>
      <c r="BZ148" s="620">
        <v>0</v>
      </c>
      <c r="CA148" s="196">
        <f t="shared" si="493"/>
        <v>89356.811129845912</v>
      </c>
      <c r="CB148" s="196">
        <f t="shared" si="494"/>
        <v>178713.62225969182</v>
      </c>
      <c r="CC148" s="196">
        <f t="shared" si="430"/>
        <v>268070.43338953773</v>
      </c>
      <c r="CD148" s="247">
        <f t="shared" si="418"/>
        <v>1.1311007793196146E-3</v>
      </c>
      <c r="CE148" s="196">
        <f t="shared" si="495"/>
        <v>29549.920289429967</v>
      </c>
      <c r="CF148" s="247">
        <f t="shared" si="419"/>
        <v>1.2760574567441251E-3</v>
      </c>
      <c r="CG148" s="196">
        <f t="shared" si="460"/>
        <v>44386.389842276396</v>
      </c>
      <c r="CH148" s="589">
        <f t="shared" si="435"/>
        <v>1.1311007793196146E-3</v>
      </c>
      <c r="CI148" s="196">
        <f t="shared" si="496"/>
        <v>62214.515585404712</v>
      </c>
      <c r="CJ148" s="248">
        <f t="shared" si="436"/>
        <v>1.0228064783027332E-3</v>
      </c>
      <c r="CK148" s="196">
        <f t="shared" si="497"/>
        <v>64014.20731675491</v>
      </c>
      <c r="CL148" s="589">
        <f t="shared" si="437"/>
        <v>9.20217397339036E-4</v>
      </c>
      <c r="CM148" s="196">
        <f t="shared" si="498"/>
        <v>6201.3557849599538</v>
      </c>
      <c r="CN148" s="589">
        <f t="shared" si="438"/>
        <v>8.9368584485719198E-4</v>
      </c>
      <c r="CO148" s="196">
        <f t="shared" si="499"/>
        <v>496.11273963075865</v>
      </c>
      <c r="CP148" s="589">
        <f t="shared" si="439"/>
        <v>9.3559221151414318E-4</v>
      </c>
      <c r="CQ148" s="196">
        <f>'Detailed Budget'!$AC$12</f>
        <v>292876014141.44696</v>
      </c>
      <c r="CR148" s="269">
        <f t="shared" si="440"/>
        <v>0</v>
      </c>
      <c r="CS148" s="269">
        <f>'Detailed Budget'!$AC$16</f>
        <v>10488008800.000002</v>
      </c>
      <c r="CT148" s="607">
        <f t="shared" si="461"/>
        <v>0</v>
      </c>
      <c r="CU148" s="269">
        <f>'Detailed Budget'!$AC$24</f>
        <v>30624985696</v>
      </c>
      <c r="CV148" s="269">
        <f t="shared" si="446"/>
        <v>0</v>
      </c>
      <c r="CW148" s="269"/>
      <c r="CX148" s="269">
        <f t="shared" si="431"/>
        <v>0</v>
      </c>
      <c r="CY148" s="196">
        <f>'Detailed Budget'!$AC$97</f>
        <v>74629165494.837845</v>
      </c>
      <c r="CZ148" s="269">
        <f t="shared" si="462"/>
        <v>154832296.69382298</v>
      </c>
      <c r="DA148" s="269">
        <f>'Detailed Budget'!$AC$100</f>
        <v>14925833098.967569</v>
      </c>
      <c r="DB148" s="269">
        <f t="shared" si="463"/>
        <v>30966459.338764597</v>
      </c>
      <c r="DC148" s="269">
        <f t="shared" si="420"/>
        <v>185798756.03258759</v>
      </c>
      <c r="DD148" s="207">
        <v>0</v>
      </c>
      <c r="DE148" s="606">
        <v>0</v>
      </c>
      <c r="DF148" s="269">
        <f>'Detailed Budget'!$AC$147</f>
        <v>5913600671000</v>
      </c>
      <c r="DG148" s="269">
        <f t="shared" si="441"/>
        <v>0</v>
      </c>
      <c r="DH148" s="269">
        <f>'Detailed Budget'!$AC$153</f>
        <v>226428026880.00003</v>
      </c>
      <c r="DI148" s="269"/>
      <c r="DJ148" s="269">
        <f>'Detailed Budget'!$AC$156</f>
        <v>27713070000</v>
      </c>
      <c r="DK148" s="269"/>
      <c r="DL148" s="269"/>
      <c r="DM148" s="196">
        <f>'Detailed Budget'!$AC$178</f>
        <v>5622683761.6229038</v>
      </c>
      <c r="DN148" s="269">
        <f t="shared" si="500"/>
        <v>15874815.523528874</v>
      </c>
      <c r="DO148" s="196">
        <f>'Detailed Budget'!$AC$179</f>
        <v>26827890683.128094</v>
      </c>
      <c r="DP148" s="269">
        <f t="shared" si="501"/>
        <v>75744579.878976718</v>
      </c>
      <c r="DQ148" s="269">
        <f t="shared" si="457"/>
        <v>91619395.402505592</v>
      </c>
      <c r="DR148" s="269">
        <f>'Detailed Budget'!$AC$181</f>
        <v>50888946855.375237</v>
      </c>
      <c r="DS148" s="269">
        <f t="shared" si="502"/>
        <v>114879506.86412144</v>
      </c>
      <c r="DT148" s="269">
        <f t="shared" si="503"/>
        <v>206498902.26662701</v>
      </c>
      <c r="DU148" s="272">
        <f>'Detailed Budget'!$AC$192</f>
        <v>77498869683.252869</v>
      </c>
      <c r="DV148" s="269">
        <f t="shared" si="464"/>
        <v>0</v>
      </c>
      <c r="DW148" s="140">
        <f>'Detailed Budget'!$AC$194</f>
        <v>2684962805.4134097</v>
      </c>
      <c r="DX148" s="269">
        <f t="shared" si="465"/>
        <v>0</v>
      </c>
      <c r="DY148" s="607">
        <f t="shared" si="421"/>
        <v>0</v>
      </c>
      <c r="DZ148" s="196">
        <f>'Detailed Budget'!$AC$198</f>
        <v>18732540018.380611</v>
      </c>
      <c r="EA148" s="269">
        <f t="shared" si="466"/>
        <v>23903797.37421231</v>
      </c>
      <c r="EB148" s="196">
        <f>'Detailed Budget'!$AC$200</f>
        <v>4683135004.5951529</v>
      </c>
      <c r="EC148" s="269">
        <f t="shared" si="467"/>
        <v>5975949.3435530774</v>
      </c>
      <c r="ED148" s="269">
        <f t="shared" si="422"/>
        <v>29879746.717765387</v>
      </c>
      <c r="EE148" s="196">
        <f>'Detailed Budget'!$AC$161</f>
        <v>251147290106.36197</v>
      </c>
      <c r="EF148" s="269">
        <f t="shared" si="468"/>
        <v>284072895.56331533</v>
      </c>
      <c r="EG148" s="196">
        <f>'Detailed Budget'!$AC$163</f>
        <v>15696705631.647623</v>
      </c>
      <c r="EH148" s="269">
        <f t="shared" si="469"/>
        <v>17754555.972707208</v>
      </c>
      <c r="EI148" s="269">
        <f t="shared" si="423"/>
        <v>301827451.53602254</v>
      </c>
      <c r="EJ148" s="196">
        <f>'Detailed Budget'!$AC$204</f>
        <v>45012172507.531975</v>
      </c>
      <c r="EK148" s="269">
        <f t="shared" si="470"/>
        <v>46038741.643183887</v>
      </c>
      <c r="EL148" s="201">
        <f>'Detailed Budget'!$AC$206</f>
        <v>11253043126.882994</v>
      </c>
      <c r="EM148" s="269">
        <f t="shared" si="471"/>
        <v>11509685.410795972</v>
      </c>
      <c r="EN148" s="269">
        <f t="shared" si="424"/>
        <v>57548427.053979859</v>
      </c>
      <c r="EO148" s="140">
        <f>'Detailed Budget'!$AC$209</f>
        <v>135789361677.54817</v>
      </c>
      <c r="EP148" s="269">
        <f t="shared" si="472"/>
        <v>124955732.98924242</v>
      </c>
      <c r="EQ148" s="196">
        <f>'Detailed Budget'!$AC$211</f>
        <v>33947340419.387043</v>
      </c>
      <c r="ER148" s="269">
        <f t="shared" si="473"/>
        <v>31238933.247310605</v>
      </c>
      <c r="ES148" s="269">
        <f t="shared" si="425"/>
        <v>156194666.23655301</v>
      </c>
      <c r="ET148" s="196">
        <f>'Detailed Budget'!$AC$214</f>
        <v>22239745544.201103</v>
      </c>
      <c r="EU148" s="269">
        <f t="shared" si="474"/>
        <v>19875345.786078334</v>
      </c>
      <c r="EV148" s="140">
        <f>'Detailed Budget'!$AC$217</f>
        <v>5559936386.0502758</v>
      </c>
      <c r="EW148" s="269">
        <f t="shared" si="475"/>
        <v>4968836.4465195835</v>
      </c>
      <c r="EX148" s="269">
        <f t="shared" si="426"/>
        <v>24844182.232597917</v>
      </c>
      <c r="EY148" s="196">
        <f>'Detailed Budget'!$AC$219</f>
        <v>372777004.58170313</v>
      </c>
      <c r="EZ148" s="269">
        <f t="shared" si="476"/>
        <v>348767.26211821352</v>
      </c>
      <c r="FA148" s="196">
        <f>'Detailed Budget'!$AC$222</f>
        <v>93194251.145425782</v>
      </c>
      <c r="FB148" s="269">
        <f t="shared" si="477"/>
        <v>87191.81552955338</v>
      </c>
      <c r="FC148" s="269">
        <f t="shared" si="427"/>
        <v>435959.07764776691</v>
      </c>
      <c r="FD148" s="269"/>
      <c r="FE148" s="269">
        <f t="shared" si="428"/>
        <v>239023234.60077858</v>
      </c>
      <c r="FF148" s="140">
        <f>'Detailed Budget'!$AC$165</f>
        <v>14927760000</v>
      </c>
      <c r="FG148" s="1087">
        <f t="shared" si="442"/>
        <v>326043513.86441898</v>
      </c>
      <c r="FH148" s="269">
        <f t="shared" si="478"/>
        <v>16961436.200431772</v>
      </c>
      <c r="FJ148" s="140">
        <f>'Detailed Budget'!$AC$235</f>
        <v>3623696172</v>
      </c>
      <c r="FK148" s="269">
        <f t="shared" si="479"/>
        <v>4681778</v>
      </c>
      <c r="FL148" s="269">
        <f t="shared" si="443"/>
        <v>4681778</v>
      </c>
      <c r="FO148" s="607"/>
      <c r="FP148" s="607"/>
      <c r="FQ148" s="607"/>
      <c r="FR148" s="269">
        <f>'Detailed Budget'!$AC$257</f>
        <v>13636439388</v>
      </c>
      <c r="FS148" s="269">
        <f t="shared" si="480"/>
        <v>18487716</v>
      </c>
      <c r="FT148" s="269">
        <f t="shared" si="444"/>
        <v>18487716</v>
      </c>
      <c r="FU148" s="269"/>
      <c r="FV148" s="269"/>
      <c r="FW148" s="616"/>
      <c r="FX148" s="140">
        <f>'Detailed Budget'!$AC$278</f>
        <v>1114560000</v>
      </c>
      <c r="FY148" s="269">
        <f t="shared" si="481"/>
        <v>1440000</v>
      </c>
      <c r="FZ148" s="269">
        <f t="shared" si="445"/>
        <v>1440000</v>
      </c>
      <c r="GB148" s="269">
        <f t="shared" si="453"/>
        <v>1330642535.218632</v>
      </c>
      <c r="GC148" s="887">
        <f t="shared" si="429"/>
        <v>831651.58451164502</v>
      </c>
      <c r="GD148" s="1078">
        <f t="shared" si="454"/>
        <v>7.4666542725096592E-4</v>
      </c>
    </row>
    <row r="149" spans="1:186" outlineLevel="1">
      <c r="A149" s="211" t="s">
        <v>471</v>
      </c>
      <c r="B149" s="212" t="s">
        <v>2262</v>
      </c>
      <c r="C149" s="213" t="s">
        <v>215</v>
      </c>
      <c r="D149" s="225"/>
      <c r="E149" s="213"/>
      <c r="F149" s="213"/>
      <c r="G149" s="213"/>
      <c r="H149" s="213" t="s">
        <v>215</v>
      </c>
      <c r="I149" s="214" t="s">
        <v>215</v>
      </c>
      <c r="J149" s="214"/>
      <c r="K149" s="213" t="s">
        <v>215</v>
      </c>
      <c r="L149" s="213"/>
      <c r="M149" s="214"/>
      <c r="N149" s="213"/>
      <c r="O149" s="214"/>
      <c r="P149" s="213"/>
      <c r="Q149" s="214"/>
      <c r="R149" s="214" t="s">
        <v>215</v>
      </c>
      <c r="S149" s="214"/>
      <c r="T149" s="214"/>
      <c r="U149" s="215">
        <f t="shared" si="489"/>
        <v>5</v>
      </c>
      <c r="V149" s="845" t="s">
        <v>467</v>
      </c>
      <c r="W149" s="216">
        <v>129855</v>
      </c>
      <c r="X149" s="217">
        <v>2.89</v>
      </c>
      <c r="Y149" s="218">
        <f t="shared" si="483"/>
        <v>1.0288999999999999</v>
      </c>
      <c r="Z149" s="196">
        <v>19</v>
      </c>
      <c r="AA149" s="218">
        <f t="shared" si="484"/>
        <v>1.7182651319612778</v>
      </c>
      <c r="AB149" s="196">
        <f t="shared" si="485"/>
        <v>223125.31871083172</v>
      </c>
      <c r="AC149">
        <v>17.600000000000001</v>
      </c>
      <c r="AD149" s="196">
        <f t="shared" si="486"/>
        <v>39270.056093106388</v>
      </c>
      <c r="AE149" s="196">
        <f t="shared" si="487"/>
        <v>37306.553288451069</v>
      </c>
      <c r="AF149" s="196">
        <f t="shared" si="490"/>
        <v>37306.553288451069</v>
      </c>
      <c r="AG149" s="606">
        <f t="shared" si="432"/>
        <v>1.7248912452202698E-3</v>
      </c>
      <c r="AH149" s="196">
        <f t="shared" si="504"/>
        <v>11156.265935541587</v>
      </c>
      <c r="AI149" s="248">
        <f t="shared" si="409"/>
        <v>8.6425901863245564E-4</v>
      </c>
      <c r="AJ149" s="196">
        <f t="shared" si="412"/>
        <v>50426.322028647977</v>
      </c>
      <c r="AK149" s="196">
        <f t="shared" si="455"/>
        <v>8925.0127484332697</v>
      </c>
      <c r="AL149" s="196">
        <f t="shared" si="456"/>
        <v>8925.0127484332697</v>
      </c>
      <c r="AM149" s="196">
        <f t="shared" si="413"/>
        <v>17850.025496866539</v>
      </c>
      <c r="AN149" s="627">
        <f t="shared" si="414"/>
        <v>8.6425901863245564E-4</v>
      </c>
      <c r="AO149" s="196">
        <f t="shared" si="415"/>
        <v>8478.7621110116052</v>
      </c>
      <c r="AP149" s="589">
        <f t="shared" si="433"/>
        <v>8.6425901863245553E-4</v>
      </c>
      <c r="AQ149" s="196"/>
      <c r="AR149" s="589"/>
      <c r="AS149">
        <v>1</v>
      </c>
      <c r="AT149" s="589">
        <f t="shared" si="434"/>
        <v>1.2919896640826874E-3</v>
      </c>
      <c r="AU149" s="196">
        <v>10</v>
      </c>
      <c r="AV149" s="245">
        <f t="shared" si="416"/>
        <v>1.1362345188046814E-3</v>
      </c>
      <c r="AX149" s="245"/>
      <c r="AY149" s="245"/>
      <c r="AZ149" s="196">
        <v>26</v>
      </c>
      <c r="BA149" s="589">
        <f t="shared" si="447"/>
        <v>9.526950276647979E-4</v>
      </c>
      <c r="BI149" s="196">
        <v>0</v>
      </c>
      <c r="BK149" s="246">
        <f t="shared" si="448"/>
        <v>0</v>
      </c>
      <c r="BL149" s="246"/>
      <c r="BM149" s="246">
        <f t="shared" si="449"/>
        <v>0</v>
      </c>
      <c r="BN149" s="196">
        <v>1</v>
      </c>
      <c r="BO149" s="196">
        <f t="shared" si="491"/>
        <v>16946.242473795592</v>
      </c>
      <c r="BP149" s="196">
        <f t="shared" si="417"/>
        <v>16946.242473795592</v>
      </c>
      <c r="BQ149" s="248">
        <f t="shared" si="450"/>
        <v>1.5852420690429733E-3</v>
      </c>
      <c r="BR149" s="248"/>
      <c r="BS149" s="248"/>
      <c r="BT149" s="276">
        <v>1</v>
      </c>
      <c r="BU149" s="196">
        <f t="shared" si="505"/>
        <v>31101.88442574026</v>
      </c>
      <c r="BV149" s="264">
        <f t="shared" si="451"/>
        <v>2.1572856156152672E-3</v>
      </c>
      <c r="BW149" s="196">
        <f t="shared" si="506"/>
        <v>133046.95004344446</v>
      </c>
      <c r="BX149" s="247">
        <f t="shared" si="452"/>
        <v>2.1572856350481786E-3</v>
      </c>
      <c r="BY149" s="196">
        <f t="shared" si="492"/>
        <v>164148.83446918472</v>
      </c>
      <c r="BZ149" s="620">
        <v>0</v>
      </c>
      <c r="CA149" s="196">
        <f t="shared" si="493"/>
        <v>68276.347525514502</v>
      </c>
      <c r="CB149" s="196">
        <f t="shared" si="494"/>
        <v>136552.695051029</v>
      </c>
      <c r="CC149" s="196">
        <f t="shared" si="430"/>
        <v>204829.04257654352</v>
      </c>
      <c r="CD149" s="247">
        <f t="shared" si="418"/>
        <v>8.6425901863245553E-4</v>
      </c>
      <c r="CE149" s="196">
        <f t="shared" si="495"/>
        <v>22578.699950478553</v>
      </c>
      <c r="CF149" s="247">
        <f t="shared" si="419"/>
        <v>9.7501848239172218E-4</v>
      </c>
      <c r="CG149" s="196">
        <f t="shared" si="460"/>
        <v>33915.048444046421</v>
      </c>
      <c r="CH149" s="589">
        <f t="shared" si="435"/>
        <v>8.6425901863245553E-4</v>
      </c>
      <c r="CI149" s="196">
        <f t="shared" si="496"/>
        <v>47537.28152930738</v>
      </c>
      <c r="CJ149" s="248">
        <f t="shared" si="436"/>
        <v>7.8151278767623895E-4</v>
      </c>
      <c r="CK149" s="196">
        <f t="shared" si="497"/>
        <v>48912.401976588197</v>
      </c>
      <c r="CL149" s="589">
        <f t="shared" si="437"/>
        <v>7.0312583926530794E-4</v>
      </c>
      <c r="CM149" s="196">
        <f t="shared" si="498"/>
        <v>4738.3732403792628</v>
      </c>
      <c r="CN149" s="589">
        <f t="shared" si="438"/>
        <v>6.8285343389701953E-4</v>
      </c>
      <c r="CO149" s="196">
        <f t="shared" si="499"/>
        <v>379.07312710212636</v>
      </c>
      <c r="CP149" s="589">
        <f t="shared" si="439"/>
        <v>7.1487352970419824E-4</v>
      </c>
      <c r="CQ149" s="196">
        <f>'Detailed Budget'!$AC$12</f>
        <v>292876014141.44696</v>
      </c>
      <c r="CR149" s="269">
        <f t="shared" si="440"/>
        <v>0</v>
      </c>
      <c r="CS149" s="269">
        <f>'Detailed Budget'!$AC$16</f>
        <v>10488008800.000002</v>
      </c>
      <c r="CT149" s="607">
        <f t="shared" si="461"/>
        <v>0</v>
      </c>
      <c r="CU149" s="269">
        <f>'Detailed Budget'!$AC$24</f>
        <v>30624985696</v>
      </c>
      <c r="CV149" s="269">
        <f t="shared" si="446"/>
        <v>0</v>
      </c>
      <c r="CW149" s="269"/>
      <c r="CX149" s="269">
        <f t="shared" si="431"/>
        <v>0</v>
      </c>
      <c r="CY149" s="196">
        <f>'Detailed Budget'!$AC$97</f>
        <v>74629165494.837845</v>
      </c>
      <c r="CZ149" s="269">
        <f t="shared" si="462"/>
        <v>118305292.71998721</v>
      </c>
      <c r="DA149" s="269">
        <f>'Detailed Budget'!$AC$100</f>
        <v>14925833098.967569</v>
      </c>
      <c r="DB149" s="269">
        <f t="shared" si="463"/>
        <v>23661058.543997444</v>
      </c>
      <c r="DC149" s="269">
        <f t="shared" si="420"/>
        <v>141966351.26398465</v>
      </c>
      <c r="DD149" s="207">
        <v>0</v>
      </c>
      <c r="DE149" s="606">
        <v>0</v>
      </c>
      <c r="DF149" s="269">
        <f>'Detailed Budget'!$AC$147</f>
        <v>5913600671000</v>
      </c>
      <c r="DG149" s="269">
        <f t="shared" si="441"/>
        <v>0</v>
      </c>
      <c r="DH149" s="269">
        <f>'Detailed Budget'!$AC$153</f>
        <v>226428026880.00003</v>
      </c>
      <c r="DI149" s="269"/>
      <c r="DJ149" s="269">
        <f>'Detailed Budget'!$AC$156</f>
        <v>27713070000</v>
      </c>
      <c r="DK149" s="269"/>
      <c r="DL149" s="269"/>
      <c r="DM149" s="196">
        <f>'Detailed Budget'!$AC$178</f>
        <v>5622683761.6229038</v>
      </c>
      <c r="DN149" s="269">
        <f t="shared" si="500"/>
        <v>12129734.800102632</v>
      </c>
      <c r="DO149" s="196">
        <f>'Detailed Budget'!$AC$179</f>
        <v>26827890683.128094</v>
      </c>
      <c r="DP149" s="269">
        <f t="shared" si="501"/>
        <v>57875423.189355105</v>
      </c>
      <c r="DQ149" s="269">
        <f t="shared" si="457"/>
        <v>70005157.989457741</v>
      </c>
      <c r="DR149" s="269">
        <f>'Detailed Budget'!$AC$181</f>
        <v>50888946855.375237</v>
      </c>
      <c r="DS149" s="269">
        <f t="shared" si="502"/>
        <v>87777898.909316316</v>
      </c>
      <c r="DT149" s="269">
        <f t="shared" si="503"/>
        <v>157783056.89877406</v>
      </c>
      <c r="DU149" s="272">
        <f>'Detailed Budget'!$AC$192</f>
        <v>77498869683.252869</v>
      </c>
      <c r="DV149" s="269">
        <f t="shared" si="464"/>
        <v>0</v>
      </c>
      <c r="DW149" s="140">
        <f>'Detailed Budget'!$AC$194</f>
        <v>2684962805.4134097</v>
      </c>
      <c r="DX149" s="269">
        <f t="shared" si="465"/>
        <v>0</v>
      </c>
      <c r="DY149" s="607">
        <f t="shared" si="421"/>
        <v>0</v>
      </c>
      <c r="DZ149" s="196">
        <f>'Detailed Budget'!$AC$198</f>
        <v>18732540018.380611</v>
      </c>
      <c r="EA149" s="269">
        <f t="shared" si="466"/>
        <v>18264572.740063667</v>
      </c>
      <c r="EB149" s="196">
        <f>'Detailed Budget'!$AC$200</f>
        <v>4683135004.5951529</v>
      </c>
      <c r="EC149" s="269">
        <f t="shared" si="467"/>
        <v>4566143.1850159168</v>
      </c>
      <c r="ED149" s="269">
        <f t="shared" si="422"/>
        <v>22830715.925079584</v>
      </c>
      <c r="EE149" s="196">
        <f>'Detailed Budget'!$AC$161</f>
        <v>251147290106.36197</v>
      </c>
      <c r="EF149" s="269">
        <f t="shared" si="468"/>
        <v>217056310.479525</v>
      </c>
      <c r="EG149" s="196">
        <f>'Detailed Budget'!$AC$163</f>
        <v>15696705631.647623</v>
      </c>
      <c r="EH149" s="269">
        <f t="shared" si="469"/>
        <v>13566019.404970312</v>
      </c>
      <c r="EI149" s="269">
        <f t="shared" si="423"/>
        <v>230622329.88449532</v>
      </c>
      <c r="EJ149" s="196">
        <f>'Detailed Budget'!$AC$204</f>
        <v>45012172507.531975</v>
      </c>
      <c r="EK149" s="269">
        <f t="shared" si="470"/>
        <v>35177588.415725075</v>
      </c>
      <c r="EL149" s="201">
        <f>'Detailed Budget'!$AC$206</f>
        <v>11253043126.882994</v>
      </c>
      <c r="EM149" s="269">
        <f t="shared" si="471"/>
        <v>8794397.1039312687</v>
      </c>
      <c r="EN149" s="269">
        <f t="shared" si="424"/>
        <v>43971985.519656345</v>
      </c>
      <c r="EO149" s="140">
        <f>'Detailed Budget'!$AC$209</f>
        <v>135789361677.54817</v>
      </c>
      <c r="EP149" s="269">
        <f t="shared" si="472"/>
        <v>95477008.892826498</v>
      </c>
      <c r="EQ149" s="196">
        <f>'Detailed Budget'!$AC$211</f>
        <v>33947340419.387043</v>
      </c>
      <c r="ER149" s="269">
        <f t="shared" si="473"/>
        <v>23869252.223206624</v>
      </c>
      <c r="ES149" s="269">
        <f t="shared" si="425"/>
        <v>119346261.11603312</v>
      </c>
      <c r="ET149" s="196">
        <f>'Detailed Budget'!$AC$214</f>
        <v>22239745544.201103</v>
      </c>
      <c r="EU149" s="269">
        <f t="shared" si="474"/>
        <v>15186486.613853663</v>
      </c>
      <c r="EV149" s="140">
        <f>'Detailed Budget'!$AC$217</f>
        <v>5559936386.0502758</v>
      </c>
      <c r="EW149" s="269">
        <f t="shared" si="475"/>
        <v>3796621.6534634158</v>
      </c>
      <c r="EX149" s="269">
        <f t="shared" si="426"/>
        <v>18983108.267317079</v>
      </c>
      <c r="EY149" s="196">
        <f>'Detailed Budget'!$AC$219</f>
        <v>372777004.58170313</v>
      </c>
      <c r="EZ149" s="269">
        <f t="shared" si="476"/>
        <v>266488.41305788019</v>
      </c>
      <c r="FA149" s="196">
        <f>'Detailed Budget'!$AC$222</f>
        <v>93194251.145425782</v>
      </c>
      <c r="FB149" s="269">
        <f t="shared" si="477"/>
        <v>66622.103264470046</v>
      </c>
      <c r="FC149" s="269">
        <f t="shared" si="427"/>
        <v>333110.51632235025</v>
      </c>
      <c r="FD149" s="269"/>
      <c r="FE149" s="269">
        <f t="shared" si="428"/>
        <v>182634465.4193289</v>
      </c>
      <c r="FF149" s="140">
        <f>'Detailed Budget'!$AC$165</f>
        <v>14927760000</v>
      </c>
      <c r="FG149" s="1087">
        <f t="shared" si="442"/>
        <v>249125500.11099946</v>
      </c>
      <c r="FH149" s="269">
        <f t="shared" si="478"/>
        <v>16961436.200431772</v>
      </c>
      <c r="FJ149" s="140">
        <f>'Detailed Budget'!$AC$235</f>
        <v>3623696172</v>
      </c>
      <c r="FK149" s="269">
        <f t="shared" si="479"/>
        <v>4681778</v>
      </c>
      <c r="FL149" s="269">
        <f t="shared" si="443"/>
        <v>4681778</v>
      </c>
      <c r="FO149" s="607"/>
      <c r="FP149" s="607"/>
      <c r="FQ149" s="607"/>
      <c r="FR149" s="269">
        <f>'Detailed Budget'!$AC$257</f>
        <v>13636439388</v>
      </c>
      <c r="FS149" s="269">
        <f t="shared" si="480"/>
        <v>12991368</v>
      </c>
      <c r="FT149" s="269">
        <f t="shared" si="444"/>
        <v>12991368</v>
      </c>
      <c r="FU149" s="269"/>
      <c r="FV149" s="269"/>
      <c r="FW149" s="616"/>
      <c r="FX149" s="140">
        <f>'Detailed Budget'!$AC$278</f>
        <v>1114560000</v>
      </c>
      <c r="FY149" s="269">
        <f t="shared" si="481"/>
        <v>1440000</v>
      </c>
      <c r="FZ149" s="269">
        <f t="shared" si="445"/>
        <v>1440000</v>
      </c>
      <c r="GB149" s="269">
        <f t="shared" si="453"/>
        <v>1021037001.7030939</v>
      </c>
      <c r="GC149" s="887">
        <f t="shared" si="429"/>
        <v>638148.12606443372</v>
      </c>
      <c r="GD149" s="1078">
        <f t="shared" si="454"/>
        <v>5.7293601319487631E-4</v>
      </c>
    </row>
    <row r="150" spans="1:186" outlineLevel="1">
      <c r="A150" s="211" t="s">
        <v>472</v>
      </c>
      <c r="B150" s="212" t="s">
        <v>473</v>
      </c>
      <c r="C150" s="213" t="s">
        <v>215</v>
      </c>
      <c r="D150" s="225"/>
      <c r="E150" s="213"/>
      <c r="F150" s="213"/>
      <c r="G150" s="213"/>
      <c r="H150" s="213" t="s">
        <v>215</v>
      </c>
      <c r="I150" s="214" t="s">
        <v>215</v>
      </c>
      <c r="J150" s="214"/>
      <c r="K150" s="213" t="s">
        <v>215</v>
      </c>
      <c r="L150" s="213"/>
      <c r="M150" s="214"/>
      <c r="N150" s="213"/>
      <c r="O150" s="214"/>
      <c r="P150" s="213"/>
      <c r="Q150" s="214"/>
      <c r="R150" s="214" t="s">
        <v>215</v>
      </c>
      <c r="S150" s="214"/>
      <c r="T150" s="214"/>
      <c r="U150" s="215">
        <f t="shared" si="489"/>
        <v>5</v>
      </c>
      <c r="V150" s="845" t="s">
        <v>467</v>
      </c>
      <c r="W150" s="216">
        <v>147787</v>
      </c>
      <c r="X150" s="217">
        <v>2.89</v>
      </c>
      <c r="Y150" s="218">
        <f t="shared" si="483"/>
        <v>1.0288999999999999</v>
      </c>
      <c r="Z150" s="196">
        <v>19</v>
      </c>
      <c r="AA150" s="218">
        <f t="shared" si="484"/>
        <v>1.7182651319612778</v>
      </c>
      <c r="AB150" s="196">
        <f t="shared" si="485"/>
        <v>253937.24905716136</v>
      </c>
      <c r="AC150">
        <v>17.600000000000001</v>
      </c>
      <c r="AD150" s="196">
        <f t="shared" si="486"/>
        <v>44692.955834060405</v>
      </c>
      <c r="AE150" s="196">
        <f t="shared" si="487"/>
        <v>42458.308042357385</v>
      </c>
      <c r="AF150" s="196">
        <f t="shared" si="490"/>
        <v>42458.308042357385</v>
      </c>
      <c r="AG150" s="606">
        <f t="shared" si="432"/>
        <v>1.9630857684137539E-3</v>
      </c>
      <c r="AH150" s="196">
        <f t="shared" si="504"/>
        <v>12696.862452858069</v>
      </c>
      <c r="AI150" s="248">
        <f t="shared" si="409"/>
        <v>9.8360669659724098E-4</v>
      </c>
      <c r="AJ150" s="196">
        <f t="shared" si="412"/>
        <v>57389.818286918475</v>
      </c>
      <c r="AK150" s="196">
        <f t="shared" si="455"/>
        <v>10157.489962286454</v>
      </c>
      <c r="AL150" s="196">
        <f t="shared" si="456"/>
        <v>10157.489962286454</v>
      </c>
      <c r="AM150" s="196">
        <f t="shared" si="413"/>
        <v>20314.979924572908</v>
      </c>
      <c r="AN150" s="627">
        <f t="shared" si="414"/>
        <v>9.8360669659724076E-4</v>
      </c>
      <c r="AO150" s="196">
        <f t="shared" si="415"/>
        <v>9649.6154641721314</v>
      </c>
      <c r="AP150" s="589">
        <f t="shared" si="433"/>
        <v>9.8360669659724076E-4</v>
      </c>
      <c r="AQ150" s="196"/>
      <c r="AR150" s="589"/>
      <c r="AS150">
        <v>1</v>
      </c>
      <c r="AT150" s="589">
        <f t="shared" si="434"/>
        <v>1.2919896640826874E-3</v>
      </c>
      <c r="AU150" s="196">
        <v>10</v>
      </c>
      <c r="AV150" s="245">
        <f t="shared" si="416"/>
        <v>1.1362345188046814E-3</v>
      </c>
      <c r="AX150" s="245"/>
      <c r="AY150" s="245"/>
      <c r="AZ150" s="196">
        <v>28</v>
      </c>
      <c r="BA150" s="589">
        <f t="shared" si="447"/>
        <v>1.0259792605620901E-3</v>
      </c>
      <c r="BI150" s="196">
        <v>0</v>
      </c>
      <c r="BK150" s="246">
        <f t="shared" si="448"/>
        <v>0</v>
      </c>
      <c r="BL150" s="246"/>
      <c r="BM150" s="246">
        <f t="shared" si="449"/>
        <v>0</v>
      </c>
      <c r="BN150" s="196">
        <v>1</v>
      </c>
      <c r="BO150" s="196">
        <f t="shared" si="491"/>
        <v>19286.391255437444</v>
      </c>
      <c r="BP150" s="196">
        <f t="shared" si="417"/>
        <v>19286.391255437444</v>
      </c>
      <c r="BQ150" s="248">
        <f t="shared" si="450"/>
        <v>1.8041520900824296E-3</v>
      </c>
      <c r="BR150" s="248"/>
      <c r="BS150" s="248"/>
      <c r="BT150" s="276">
        <v>1</v>
      </c>
      <c r="BU150" s="196">
        <f t="shared" si="505"/>
        <v>35396.821020575844</v>
      </c>
      <c r="BV150" s="264">
        <f t="shared" si="451"/>
        <v>2.4551905531164258E-3</v>
      </c>
      <c r="BW150" s="196">
        <f t="shared" si="506"/>
        <v>151419.73436579667</v>
      </c>
      <c r="BX150" s="247">
        <f t="shared" si="452"/>
        <v>2.4551905752328764E-3</v>
      </c>
      <c r="BY150" s="196">
        <f t="shared" si="492"/>
        <v>186816.55538637252</v>
      </c>
      <c r="BZ150" s="620">
        <v>0</v>
      </c>
      <c r="CA150" s="196">
        <f t="shared" si="493"/>
        <v>77704.798211491376</v>
      </c>
      <c r="CB150" s="196">
        <f t="shared" si="494"/>
        <v>155409.59642298275</v>
      </c>
      <c r="CC150" s="196">
        <f t="shared" si="430"/>
        <v>233114.39463447413</v>
      </c>
      <c r="CD150" s="247">
        <f t="shared" si="418"/>
        <v>9.8360669659724076E-4</v>
      </c>
      <c r="CE150" s="196">
        <f t="shared" si="495"/>
        <v>25696.648797361468</v>
      </c>
      <c r="CF150" s="247">
        <f t="shared" si="419"/>
        <v>1.10966121025163E-3</v>
      </c>
      <c r="CG150" s="196">
        <f t="shared" si="460"/>
        <v>38598.461856688526</v>
      </c>
      <c r="CH150" s="589">
        <f t="shared" si="435"/>
        <v>9.8360669659724076E-4</v>
      </c>
      <c r="CI150" s="196">
        <f t="shared" si="496"/>
        <v>54101.822997741707</v>
      </c>
      <c r="CJ150" s="248">
        <f t="shared" si="436"/>
        <v>8.8943383275428992E-4</v>
      </c>
      <c r="CK150" s="196">
        <f t="shared" si="497"/>
        <v>55666.837248577562</v>
      </c>
      <c r="CL150" s="589">
        <f t="shared" si="437"/>
        <v>8.0022223562821655E-4</v>
      </c>
      <c r="CM150" s="196">
        <f t="shared" si="498"/>
        <v>5392.7069891488973</v>
      </c>
      <c r="CN150" s="589">
        <f t="shared" si="438"/>
        <v>7.7715036336944152E-4</v>
      </c>
      <c r="CO150" s="196">
        <f t="shared" si="499"/>
        <v>431.42027827224172</v>
      </c>
      <c r="CP150" s="589">
        <f t="shared" si="439"/>
        <v>8.1359219386542168E-4</v>
      </c>
      <c r="CQ150" s="196">
        <f>'Detailed Budget'!$AC$12</f>
        <v>292876014141.44696</v>
      </c>
      <c r="CR150" s="269">
        <f t="shared" si="440"/>
        <v>0</v>
      </c>
      <c r="CS150" s="269">
        <f>'Detailed Budget'!$AC$16</f>
        <v>10488008800.000002</v>
      </c>
      <c r="CT150" s="607">
        <f t="shared" si="461"/>
        <v>0</v>
      </c>
      <c r="CU150" s="269">
        <f>'Detailed Budget'!$AC$24</f>
        <v>30624985696</v>
      </c>
      <c r="CV150" s="269">
        <f t="shared" si="446"/>
        <v>0</v>
      </c>
      <c r="CW150" s="269"/>
      <c r="CX150" s="269">
        <f t="shared" si="431"/>
        <v>0</v>
      </c>
      <c r="CY150" s="196">
        <f>'Detailed Budget'!$AC$97</f>
        <v>74629165494.837845</v>
      </c>
      <c r="CZ150" s="269">
        <f t="shared" si="462"/>
        <v>134642364.90861923</v>
      </c>
      <c r="DA150" s="269">
        <f>'Detailed Budget'!$AC$100</f>
        <v>14925833098.967569</v>
      </c>
      <c r="DB150" s="269">
        <f t="shared" si="463"/>
        <v>26928472.981723849</v>
      </c>
      <c r="DC150" s="269">
        <f t="shared" si="420"/>
        <v>161570837.89034307</v>
      </c>
      <c r="DD150" s="207">
        <v>0</v>
      </c>
      <c r="DE150" s="606">
        <v>0</v>
      </c>
      <c r="DF150" s="269">
        <f>'Detailed Budget'!$AC$147</f>
        <v>5913600671000</v>
      </c>
      <c r="DG150" s="269">
        <f t="shared" si="441"/>
        <v>0</v>
      </c>
      <c r="DH150" s="269">
        <f>'Detailed Budget'!$AC$153</f>
        <v>226428026880.00003</v>
      </c>
      <c r="DI150" s="269"/>
      <c r="DJ150" s="269">
        <f>'Detailed Budget'!$AC$156</f>
        <v>27713070000</v>
      </c>
      <c r="DK150" s="269"/>
      <c r="DL150" s="269"/>
      <c r="DM150" s="196">
        <f>'Detailed Budget'!$AC$178</f>
        <v>5622683761.6229038</v>
      </c>
      <c r="DN150" s="269">
        <f t="shared" si="500"/>
        <v>13804760.054697683</v>
      </c>
      <c r="DO150" s="196">
        <f>'Detailed Budget'!$AC$179</f>
        <v>26827890683.128094</v>
      </c>
      <c r="DP150" s="269">
        <f t="shared" si="501"/>
        <v>65867584.358593993</v>
      </c>
      <c r="DQ150" s="269">
        <f t="shared" si="457"/>
        <v>79672344.413291678</v>
      </c>
      <c r="DR150" s="269">
        <f>'Detailed Budget'!$AC$181</f>
        <v>50888946855.375237</v>
      </c>
      <c r="DS150" s="269">
        <f t="shared" si="502"/>
        <v>99899367.341350988</v>
      </c>
      <c r="DT150" s="269">
        <f t="shared" si="503"/>
        <v>179571711.75464267</v>
      </c>
      <c r="DU150" s="272">
        <f>'Detailed Budget'!$AC$192</f>
        <v>77498869683.252869</v>
      </c>
      <c r="DV150" s="269">
        <f t="shared" si="464"/>
        <v>0</v>
      </c>
      <c r="DW150" s="140">
        <f>'Detailed Budget'!$AC$194</f>
        <v>2684962805.4134097</v>
      </c>
      <c r="DX150" s="269">
        <f t="shared" si="465"/>
        <v>0</v>
      </c>
      <c r="DY150" s="607">
        <f t="shared" si="421"/>
        <v>0</v>
      </c>
      <c r="DZ150" s="196">
        <f>'Detailed Budget'!$AC$198</f>
        <v>18732540018.380611</v>
      </c>
      <c r="EA150" s="269">
        <f t="shared" si="466"/>
        <v>20786773.027883321</v>
      </c>
      <c r="EB150" s="196">
        <f>'Detailed Budget'!$AC$200</f>
        <v>4683135004.5951529</v>
      </c>
      <c r="EC150" s="269">
        <f t="shared" si="467"/>
        <v>5196693.2569708303</v>
      </c>
      <c r="ED150" s="269">
        <f t="shared" si="422"/>
        <v>25983466.284854151</v>
      </c>
      <c r="EE150" s="196">
        <f>'Detailed Budget'!$AC$161</f>
        <v>251147290106.36197</v>
      </c>
      <c r="EF150" s="269">
        <f t="shared" si="468"/>
        <v>247030156.38086757</v>
      </c>
      <c r="EG150" s="196">
        <f>'Detailed Budget'!$AC$163</f>
        <v>15696705631.647623</v>
      </c>
      <c r="EH150" s="269">
        <f t="shared" si="469"/>
        <v>15439384.773804223</v>
      </c>
      <c r="EI150" s="269">
        <f t="shared" si="423"/>
        <v>262469541.15467179</v>
      </c>
      <c r="EJ150" s="196">
        <f>'Detailed Budget'!$AC$204</f>
        <v>45012172507.531975</v>
      </c>
      <c r="EK150" s="269">
        <f t="shared" si="470"/>
        <v>40035349.113971442</v>
      </c>
      <c r="EL150" s="201">
        <f>'Detailed Budget'!$AC$206</f>
        <v>11253043126.882994</v>
      </c>
      <c r="EM150" s="269">
        <f t="shared" si="471"/>
        <v>10008837.27849286</v>
      </c>
      <c r="EN150" s="269">
        <f t="shared" si="424"/>
        <v>50044186.392464302</v>
      </c>
      <c r="EO150" s="140">
        <f>'Detailed Budget'!$AC$209</f>
        <v>135789361677.54817</v>
      </c>
      <c r="EP150" s="269">
        <f t="shared" si="472"/>
        <v>108661666.57613607</v>
      </c>
      <c r="EQ150" s="196">
        <f>'Detailed Budget'!$AC$211</f>
        <v>33947340419.387043</v>
      </c>
      <c r="ER150" s="269">
        <f t="shared" si="473"/>
        <v>27165416.644034017</v>
      </c>
      <c r="ES150" s="269">
        <f t="shared" si="425"/>
        <v>135827083.22017008</v>
      </c>
      <c r="ET150" s="196">
        <f>'Detailed Budget'!$AC$214</f>
        <v>22239745544.201103</v>
      </c>
      <c r="EU150" s="269">
        <f t="shared" si="474"/>
        <v>17283626.330919806</v>
      </c>
      <c r="EV150" s="140">
        <f>'Detailed Budget'!$AC$217</f>
        <v>5559936386.0502758</v>
      </c>
      <c r="EW150" s="269">
        <f t="shared" si="475"/>
        <v>4320906.5827299515</v>
      </c>
      <c r="EX150" s="269">
        <f t="shared" si="426"/>
        <v>21604532.913649756</v>
      </c>
      <c r="EY150" s="196">
        <f>'Detailed Budget'!$AC$219</f>
        <v>372777004.58170313</v>
      </c>
      <c r="EZ150" s="269">
        <f t="shared" si="476"/>
        <v>303288.46098020818</v>
      </c>
      <c r="FA150" s="196">
        <f>'Detailed Budget'!$AC$222</f>
        <v>93194251.145425782</v>
      </c>
      <c r="FB150" s="269">
        <f t="shared" si="477"/>
        <v>75822.115245052046</v>
      </c>
      <c r="FC150" s="269">
        <f t="shared" si="427"/>
        <v>379110.57622526021</v>
      </c>
      <c r="FD150" s="269"/>
      <c r="FE150" s="269">
        <f t="shared" si="428"/>
        <v>207854913.10250941</v>
      </c>
      <c r="FF150" s="140">
        <f>'Detailed Budget'!$AC$165</f>
        <v>14927760000</v>
      </c>
      <c r="FG150" s="1087">
        <f t="shared" si="442"/>
        <v>283527860.189475</v>
      </c>
      <c r="FH150" s="269">
        <f t="shared" si="478"/>
        <v>16961436.200431772</v>
      </c>
      <c r="FJ150" s="140">
        <f>'Detailed Budget'!$AC$235</f>
        <v>3623696172</v>
      </c>
      <c r="FK150" s="269">
        <f t="shared" si="479"/>
        <v>4681778</v>
      </c>
      <c r="FL150" s="269">
        <f t="shared" si="443"/>
        <v>4681778</v>
      </c>
      <c r="FO150" s="607"/>
      <c r="FP150" s="607"/>
      <c r="FQ150" s="607"/>
      <c r="FR150" s="269">
        <f>'Detailed Budget'!$AC$257</f>
        <v>13636439388</v>
      </c>
      <c r="FS150" s="269">
        <f t="shared" si="480"/>
        <v>13990704</v>
      </c>
      <c r="FT150" s="269">
        <f t="shared" si="444"/>
        <v>13990704</v>
      </c>
      <c r="FU150" s="269"/>
      <c r="FV150" s="269"/>
      <c r="FW150" s="616"/>
      <c r="FX150" s="140">
        <f>'Detailed Budget'!$AC$278</f>
        <v>1114560000</v>
      </c>
      <c r="FY150" s="269">
        <f t="shared" si="481"/>
        <v>1440000</v>
      </c>
      <c r="FZ150" s="269">
        <f t="shared" si="445"/>
        <v>1440000</v>
      </c>
      <c r="GB150" s="269">
        <f t="shared" si="453"/>
        <v>1158052248.5769279</v>
      </c>
      <c r="GC150" s="887">
        <f t="shared" si="429"/>
        <v>723782.65536057996</v>
      </c>
      <c r="GD150" s="1078">
        <f t="shared" si="454"/>
        <v>6.4981958270300016E-4</v>
      </c>
    </row>
    <row r="151" spans="1:186" outlineLevel="1">
      <c r="A151" s="211" t="s">
        <v>474</v>
      </c>
      <c r="B151" s="212" t="s">
        <v>475</v>
      </c>
      <c r="C151" s="213" t="s">
        <v>215</v>
      </c>
      <c r="D151" s="225"/>
      <c r="E151" s="213"/>
      <c r="F151" s="213"/>
      <c r="G151" s="213"/>
      <c r="H151" s="213" t="s">
        <v>215</v>
      </c>
      <c r="I151" s="214" t="s">
        <v>215</v>
      </c>
      <c r="J151" s="214"/>
      <c r="K151" s="213" t="s">
        <v>215</v>
      </c>
      <c r="L151" s="213"/>
      <c r="M151" s="214"/>
      <c r="N151" s="213"/>
      <c r="O151" s="214"/>
      <c r="P151" s="213"/>
      <c r="Q151" s="214"/>
      <c r="R151" s="214" t="s">
        <v>215</v>
      </c>
      <c r="S151" s="214"/>
      <c r="T151" s="214"/>
      <c r="U151" s="215">
        <f t="shared" si="489"/>
        <v>5</v>
      </c>
      <c r="V151" s="845" t="s">
        <v>467</v>
      </c>
      <c r="W151" s="216">
        <v>176505</v>
      </c>
      <c r="X151" s="217">
        <v>2.89</v>
      </c>
      <c r="Y151" s="218">
        <f t="shared" si="483"/>
        <v>1.0288999999999999</v>
      </c>
      <c r="Z151" s="196">
        <v>19</v>
      </c>
      <c r="AA151" s="218">
        <f t="shared" si="484"/>
        <v>1.7182651319612778</v>
      </c>
      <c r="AB151" s="196">
        <f t="shared" si="485"/>
        <v>303282.38711682532</v>
      </c>
      <c r="AC151">
        <v>17.600000000000001</v>
      </c>
      <c r="AD151" s="196">
        <f t="shared" si="486"/>
        <v>53377.700132561258</v>
      </c>
      <c r="AE151" s="196">
        <f t="shared" si="487"/>
        <v>50708.815125933193</v>
      </c>
      <c r="AF151" s="196">
        <f t="shared" si="490"/>
        <v>50708.815125933193</v>
      </c>
      <c r="AG151" s="606">
        <f t="shared" si="432"/>
        <v>2.3445529955535304E-3</v>
      </c>
      <c r="AH151" s="196">
        <f t="shared" si="504"/>
        <v>15164.119355841267</v>
      </c>
      <c r="AI151" s="248">
        <f t="shared" si="409"/>
        <v>1.1747413506120023E-3</v>
      </c>
      <c r="AJ151" s="196">
        <f t="shared" si="412"/>
        <v>68541.819488402529</v>
      </c>
      <c r="AK151" s="196">
        <f t="shared" si="455"/>
        <v>12131.295484673014</v>
      </c>
      <c r="AL151" s="196">
        <f t="shared" si="456"/>
        <v>12131.295484673014</v>
      </c>
      <c r="AM151" s="196">
        <f t="shared" si="413"/>
        <v>24262.590969346027</v>
      </c>
      <c r="AN151" s="627">
        <f t="shared" si="414"/>
        <v>1.1747413506120023E-3</v>
      </c>
      <c r="AO151" s="196">
        <f t="shared" si="415"/>
        <v>11524.730710439362</v>
      </c>
      <c r="AP151" s="589">
        <f t="shared" si="433"/>
        <v>1.1747413506120023E-3</v>
      </c>
      <c r="AQ151" s="196"/>
      <c r="AR151" s="589"/>
      <c r="AS151">
        <v>1</v>
      </c>
      <c r="AT151" s="589">
        <f t="shared" si="434"/>
        <v>1.2919896640826874E-3</v>
      </c>
      <c r="AU151" s="196">
        <v>10</v>
      </c>
      <c r="AV151" s="245">
        <f t="shared" si="416"/>
        <v>1.1362345188046814E-3</v>
      </c>
      <c r="AX151" s="245"/>
      <c r="AY151" s="245"/>
      <c r="AZ151" s="196">
        <v>42</v>
      </c>
      <c r="BA151" s="589">
        <f t="shared" si="447"/>
        <v>1.5389688908431351E-3</v>
      </c>
      <c r="BI151" s="196">
        <v>0</v>
      </c>
      <c r="BK151" s="246">
        <f t="shared" si="448"/>
        <v>0</v>
      </c>
      <c r="BL151" s="246"/>
      <c r="BM151" s="246">
        <f t="shared" si="449"/>
        <v>0</v>
      </c>
      <c r="BN151" s="196">
        <v>1</v>
      </c>
      <c r="BO151" s="196">
        <f t="shared" si="491"/>
        <v>23034.126740112362</v>
      </c>
      <c r="BP151" s="196">
        <f t="shared" si="417"/>
        <v>23034.126740112362</v>
      </c>
      <c r="BQ151" s="248">
        <f t="shared" si="450"/>
        <v>2.1547352924140774E-3</v>
      </c>
      <c r="BR151" s="248"/>
      <c r="BS151" s="248"/>
      <c r="BT151" s="276">
        <v>1</v>
      </c>
      <c r="BU151" s="196">
        <f t="shared" si="505"/>
        <v>42275.138504988514</v>
      </c>
      <c r="BV151" s="264">
        <f t="shared" si="451"/>
        <v>2.9322836824471343E-3</v>
      </c>
      <c r="BW151" s="196">
        <f t="shared" si="506"/>
        <v>180843.64804911756</v>
      </c>
      <c r="BX151" s="247">
        <f t="shared" si="452"/>
        <v>2.9322837088612587E-3</v>
      </c>
      <c r="BY151" s="196">
        <f t="shared" si="492"/>
        <v>223118.78655410607</v>
      </c>
      <c r="BZ151" s="620">
        <v>0</v>
      </c>
      <c r="CA151" s="196">
        <f t="shared" si="493"/>
        <v>92804.410457748556</v>
      </c>
      <c r="CB151" s="196">
        <f t="shared" si="494"/>
        <v>185608.82091549711</v>
      </c>
      <c r="CC151" s="196">
        <f t="shared" si="430"/>
        <v>278413.23137324565</v>
      </c>
      <c r="CD151" s="247">
        <f t="shared" si="418"/>
        <v>1.1747413506120023E-3</v>
      </c>
      <c r="CE151" s="196">
        <f t="shared" si="495"/>
        <v>30690.026835772333</v>
      </c>
      <c r="CF151" s="247">
        <f t="shared" si="419"/>
        <v>1.3252908030846012E-3</v>
      </c>
      <c r="CG151" s="196">
        <f t="shared" si="460"/>
        <v>46098.922841757449</v>
      </c>
      <c r="CH151" s="589">
        <f t="shared" si="435"/>
        <v>1.1747413506120023E-3</v>
      </c>
      <c r="CI151" s="196">
        <f t="shared" si="496"/>
        <v>64614.900283627096</v>
      </c>
      <c r="CJ151" s="248">
        <f t="shared" si="436"/>
        <v>1.0622687966485272E-3</v>
      </c>
      <c r="CK151" s="196">
        <f t="shared" si="497"/>
        <v>66484.028423069554</v>
      </c>
      <c r="CL151" s="589">
        <f t="shared" si="437"/>
        <v>9.5572158376283655E-4</v>
      </c>
      <c r="CM151" s="196">
        <f t="shared" si="498"/>
        <v>6440.6189118104157</v>
      </c>
      <c r="CN151" s="589">
        <f t="shared" si="438"/>
        <v>9.2816638057828657E-4</v>
      </c>
      <c r="CO151" s="196">
        <f t="shared" si="499"/>
        <v>515.25395478927112</v>
      </c>
      <c r="CP151" s="589">
        <f t="shared" si="439"/>
        <v>9.7168959501320307E-4</v>
      </c>
      <c r="CQ151" s="196">
        <f>'Detailed Budget'!$AC$12</f>
        <v>292876014141.44696</v>
      </c>
      <c r="CR151" s="269">
        <f t="shared" si="440"/>
        <v>0</v>
      </c>
      <c r="CS151" s="269">
        <f>'Detailed Budget'!$AC$16</f>
        <v>10488008800.000002</v>
      </c>
      <c r="CT151" s="607">
        <f t="shared" si="461"/>
        <v>0</v>
      </c>
      <c r="CU151" s="269">
        <f>'Detailed Budget'!$AC$24</f>
        <v>30624985696</v>
      </c>
      <c r="CV151" s="269">
        <f t="shared" si="446"/>
        <v>0</v>
      </c>
      <c r="CW151" s="269"/>
      <c r="CX151" s="269">
        <f t="shared" si="431"/>
        <v>0</v>
      </c>
      <c r="CY151" s="196">
        <f>'Detailed Budget'!$AC$97</f>
        <v>74629165494.837845</v>
      </c>
      <c r="CZ151" s="269">
        <f t="shared" si="462"/>
        <v>160806096.735138</v>
      </c>
      <c r="DA151" s="269">
        <f>'Detailed Budget'!$AC$100</f>
        <v>14925833098.967569</v>
      </c>
      <c r="DB151" s="269">
        <f t="shared" si="463"/>
        <v>32161219.3470276</v>
      </c>
      <c r="DC151" s="269">
        <f t="shared" si="420"/>
        <v>192967316.0821656</v>
      </c>
      <c r="DD151" s="207">
        <v>0</v>
      </c>
      <c r="DE151" s="606">
        <v>0</v>
      </c>
      <c r="DF151" s="269">
        <f>'Detailed Budget'!$AC$147</f>
        <v>5913600671000</v>
      </c>
      <c r="DG151" s="269">
        <f t="shared" si="441"/>
        <v>0</v>
      </c>
      <c r="DH151" s="269">
        <f>'Detailed Budget'!$AC$153</f>
        <v>226428026880.00003</v>
      </c>
      <c r="DI151" s="269"/>
      <c r="DJ151" s="269">
        <f>'Detailed Budget'!$AC$156</f>
        <v>27713070000</v>
      </c>
      <c r="DK151" s="269"/>
      <c r="DL151" s="269"/>
      <c r="DM151" s="196">
        <f>'Detailed Budget'!$AC$178</f>
        <v>5622683761.6229038</v>
      </c>
      <c r="DN151" s="269">
        <f t="shared" si="500"/>
        <v>16487303.845767314</v>
      </c>
      <c r="DO151" s="196">
        <f>'Detailed Budget'!$AC$179</f>
        <v>26827890683.128094</v>
      </c>
      <c r="DP151" s="269">
        <f t="shared" si="501"/>
        <v>78666986.793247253</v>
      </c>
      <c r="DQ151" s="269">
        <f t="shared" si="457"/>
        <v>95154290.639014572</v>
      </c>
      <c r="DR151" s="269">
        <f>'Detailed Budget'!$AC$181</f>
        <v>50888946855.375237</v>
      </c>
      <c r="DS151" s="269">
        <f t="shared" si="502"/>
        <v>119311832.79033442</v>
      </c>
      <c r="DT151" s="269">
        <f t="shared" si="503"/>
        <v>214466123.42934901</v>
      </c>
      <c r="DU151" s="272">
        <f>'Detailed Budget'!$AC$192</f>
        <v>77498869683.252869</v>
      </c>
      <c r="DV151" s="269">
        <f t="shared" si="464"/>
        <v>0</v>
      </c>
      <c r="DW151" s="140">
        <f>'Detailed Budget'!$AC$194</f>
        <v>2684962805.4134097</v>
      </c>
      <c r="DX151" s="269">
        <f t="shared" si="465"/>
        <v>0</v>
      </c>
      <c r="DY151" s="607">
        <f t="shared" si="421"/>
        <v>0</v>
      </c>
      <c r="DZ151" s="196">
        <f>'Detailed Budget'!$AC$198</f>
        <v>18732540018.380611</v>
      </c>
      <c r="EA151" s="269">
        <f t="shared" si="466"/>
        <v>24826063.004774071</v>
      </c>
      <c r="EB151" s="196">
        <f>'Detailed Budget'!$AC$200</f>
        <v>4683135004.5951529</v>
      </c>
      <c r="EC151" s="269">
        <f t="shared" si="467"/>
        <v>6206515.7511935178</v>
      </c>
      <c r="ED151" s="269">
        <f t="shared" si="422"/>
        <v>31032578.755967587</v>
      </c>
      <c r="EE151" s="196">
        <f>'Detailed Budget'!$AC$161</f>
        <v>251147290106.36197</v>
      </c>
      <c r="EF151" s="269">
        <f t="shared" si="468"/>
        <v>295033106.78209203</v>
      </c>
      <c r="EG151" s="196">
        <f>'Detailed Budget'!$AC$163</f>
        <v>15696705631.647623</v>
      </c>
      <c r="EH151" s="269">
        <f t="shared" si="469"/>
        <v>18439569.173880752</v>
      </c>
      <c r="EI151" s="269">
        <f t="shared" si="423"/>
        <v>313472675.95597279</v>
      </c>
      <c r="EJ151" s="196">
        <f>'Detailed Budget'!$AC$204</f>
        <v>45012172507.531975</v>
      </c>
      <c r="EK151" s="269">
        <f t="shared" si="470"/>
        <v>47815026.324111909</v>
      </c>
      <c r="EL151" s="201">
        <f>'Detailed Budget'!$AC$206</f>
        <v>11253043126.882994</v>
      </c>
      <c r="EM151" s="269">
        <f t="shared" si="471"/>
        <v>11953756.581027977</v>
      </c>
      <c r="EN151" s="269">
        <f t="shared" si="424"/>
        <v>59768782.905139886</v>
      </c>
      <c r="EO151" s="140">
        <f>'Detailed Budget'!$AC$209</f>
        <v>135789361677.54817</v>
      </c>
      <c r="EP151" s="269">
        <f t="shared" si="472"/>
        <v>129776823.80061096</v>
      </c>
      <c r="EQ151" s="196">
        <f>'Detailed Budget'!$AC$211</f>
        <v>33947340419.387043</v>
      </c>
      <c r="ER151" s="269">
        <f t="shared" si="473"/>
        <v>32444205.95015274</v>
      </c>
      <c r="ES151" s="269">
        <f t="shared" si="425"/>
        <v>162221029.75076371</v>
      </c>
      <c r="ET151" s="196">
        <f>'Detailed Budget'!$AC$214</f>
        <v>22239745544.201103</v>
      </c>
      <c r="EU151" s="269">
        <f t="shared" si="474"/>
        <v>20642184.126743212</v>
      </c>
      <c r="EV151" s="140">
        <f>'Detailed Budget'!$AC$217</f>
        <v>5559936386.0502758</v>
      </c>
      <c r="EW151" s="269">
        <f t="shared" si="475"/>
        <v>5160546.0316858031</v>
      </c>
      <c r="EX151" s="269">
        <f t="shared" si="426"/>
        <v>25802730.158429015</v>
      </c>
      <c r="EY151" s="196">
        <f>'Detailed Budget'!$AC$219</f>
        <v>372777004.58170313</v>
      </c>
      <c r="EZ151" s="269">
        <f t="shared" si="476"/>
        <v>362223.53661223006</v>
      </c>
      <c r="FA151" s="196">
        <f>'Detailed Budget'!$AC$222</f>
        <v>93194251.145425782</v>
      </c>
      <c r="FB151" s="269">
        <f t="shared" si="477"/>
        <v>90555.884153057516</v>
      </c>
      <c r="FC151" s="269">
        <f t="shared" si="427"/>
        <v>452779.42076528759</v>
      </c>
      <c r="FD151" s="269"/>
      <c r="FE151" s="269">
        <f t="shared" si="428"/>
        <v>248245322.23509791</v>
      </c>
      <c r="FF151" s="140">
        <f>'Detailed Budget'!$AC$165</f>
        <v>14927760000</v>
      </c>
      <c r="FG151" s="1087">
        <f t="shared" si="442"/>
        <v>338623051.8431477</v>
      </c>
      <c r="FH151" s="269">
        <f t="shared" si="478"/>
        <v>16961436.200431772</v>
      </c>
      <c r="FJ151" s="140">
        <f>'Detailed Budget'!$AC$235</f>
        <v>3623696172</v>
      </c>
      <c r="FK151" s="269">
        <f t="shared" si="479"/>
        <v>4681778</v>
      </c>
      <c r="FL151" s="269">
        <f t="shared" si="443"/>
        <v>4681778</v>
      </c>
      <c r="FO151" s="607"/>
      <c r="FP151" s="607"/>
      <c r="FQ151" s="607"/>
      <c r="FR151" s="269">
        <f>'Detailed Budget'!$AC$257</f>
        <v>13636439388</v>
      </c>
      <c r="FS151" s="269">
        <f t="shared" si="480"/>
        <v>20986056</v>
      </c>
      <c r="FT151" s="269">
        <f t="shared" si="444"/>
        <v>20986056</v>
      </c>
      <c r="FU151" s="269"/>
      <c r="FV151" s="269"/>
      <c r="FW151" s="616"/>
      <c r="FX151" s="140">
        <f>'Detailed Budget'!$AC$278</f>
        <v>1114560000</v>
      </c>
      <c r="FY151" s="269">
        <f t="shared" si="481"/>
        <v>1440000</v>
      </c>
      <c r="FZ151" s="269">
        <f t="shared" si="445"/>
        <v>1440000</v>
      </c>
      <c r="GB151" s="269">
        <f t="shared" si="453"/>
        <v>1382876338.5021324</v>
      </c>
      <c r="GC151" s="887">
        <f t="shared" si="429"/>
        <v>864297.71156383271</v>
      </c>
      <c r="GD151" s="1078">
        <f t="shared" si="454"/>
        <v>7.759754590689475E-4</v>
      </c>
    </row>
    <row r="152" spans="1:186" outlineLevel="1">
      <c r="A152" s="211" t="s">
        <v>476</v>
      </c>
      <c r="B152" s="212" t="s">
        <v>477</v>
      </c>
      <c r="C152" s="213" t="s">
        <v>215</v>
      </c>
      <c r="D152" s="225"/>
      <c r="E152" s="213"/>
      <c r="F152" s="213"/>
      <c r="G152" s="213"/>
      <c r="H152" s="213" t="s">
        <v>215</v>
      </c>
      <c r="I152" s="214" t="s">
        <v>215</v>
      </c>
      <c r="J152" s="214"/>
      <c r="K152" s="213" t="s">
        <v>215</v>
      </c>
      <c r="L152" s="213"/>
      <c r="M152" s="214"/>
      <c r="N152" s="213"/>
      <c r="O152" s="214"/>
      <c r="P152" s="213"/>
      <c r="Q152" s="214"/>
      <c r="R152" s="214" t="s">
        <v>215</v>
      </c>
      <c r="S152" s="214"/>
      <c r="T152" s="214"/>
      <c r="U152" s="215">
        <f t="shared" si="489"/>
        <v>5</v>
      </c>
      <c r="V152" s="845" t="s">
        <v>467</v>
      </c>
      <c r="W152" s="216">
        <v>169183</v>
      </c>
      <c r="X152" s="217">
        <v>2.89</v>
      </c>
      <c r="Y152" s="218">
        <f t="shared" si="483"/>
        <v>1.0288999999999999</v>
      </c>
      <c r="Z152" s="196">
        <v>19</v>
      </c>
      <c r="AA152" s="218">
        <f t="shared" si="484"/>
        <v>1.7182651319612778</v>
      </c>
      <c r="AB152" s="196">
        <f t="shared" si="485"/>
        <v>290701.24982060486</v>
      </c>
      <c r="AC152">
        <v>17.600000000000001</v>
      </c>
      <c r="AD152" s="196">
        <f t="shared" si="486"/>
        <v>51163.41996842646</v>
      </c>
      <c r="AE152" s="196">
        <f t="shared" si="487"/>
        <v>48605.248970005137</v>
      </c>
      <c r="AF152" s="196">
        <f t="shared" si="490"/>
        <v>48605.248970005137</v>
      </c>
      <c r="AG152" s="606">
        <f t="shared" si="432"/>
        <v>2.2472933313318773E-3</v>
      </c>
      <c r="AH152" s="196">
        <f t="shared" si="504"/>
        <v>14535.062491030243</v>
      </c>
      <c r="AI152" s="248">
        <f t="shared" si="409"/>
        <v>1.1260092684093391E-3</v>
      </c>
      <c r="AJ152" s="196">
        <f t="shared" si="412"/>
        <v>65698.482459456704</v>
      </c>
      <c r="AK152" s="196">
        <f t="shared" si="455"/>
        <v>11628.049992824195</v>
      </c>
      <c r="AL152" s="196">
        <f t="shared" si="456"/>
        <v>11628.049992824195</v>
      </c>
      <c r="AM152" s="196">
        <f t="shared" si="413"/>
        <v>23256.09998564839</v>
      </c>
      <c r="AN152" s="627">
        <f t="shared" si="414"/>
        <v>1.1260092684093391E-3</v>
      </c>
      <c r="AO152" s="196">
        <f t="shared" si="415"/>
        <v>11046.647493182985</v>
      </c>
      <c r="AP152" s="589">
        <f t="shared" si="433"/>
        <v>1.1260092684093391E-3</v>
      </c>
      <c r="AQ152" s="196"/>
      <c r="AR152" s="589"/>
      <c r="AS152">
        <v>1</v>
      </c>
      <c r="AT152" s="589">
        <f t="shared" si="434"/>
        <v>1.2919896640826874E-3</v>
      </c>
      <c r="AU152" s="196">
        <v>12</v>
      </c>
      <c r="AV152" s="245">
        <f t="shared" si="416"/>
        <v>1.3634814225656176E-3</v>
      </c>
      <c r="AX152" s="245"/>
      <c r="AY152" s="245"/>
      <c r="AZ152" s="196">
        <v>51</v>
      </c>
      <c r="BA152" s="589">
        <f t="shared" si="447"/>
        <v>1.8687479388809498E-3</v>
      </c>
      <c r="BI152" s="196">
        <v>0</v>
      </c>
      <c r="BK152" s="246">
        <f t="shared" si="448"/>
        <v>0</v>
      </c>
      <c r="BL152" s="246"/>
      <c r="BM152" s="246">
        <f t="shared" si="449"/>
        <v>0</v>
      </c>
      <c r="BN152" s="196">
        <v>1</v>
      </c>
      <c r="BO152" s="196">
        <f t="shared" si="491"/>
        <v>22078.596437905046</v>
      </c>
      <c r="BP152" s="196">
        <f t="shared" si="417"/>
        <v>22078.596437905046</v>
      </c>
      <c r="BQ152" s="248">
        <f t="shared" si="450"/>
        <v>2.0653498823063983E-3</v>
      </c>
      <c r="BR152" s="248"/>
      <c r="BS152" s="248"/>
      <c r="BT152" s="276">
        <v>1</v>
      </c>
      <c r="BU152" s="196">
        <f t="shared" si="505"/>
        <v>40521.428614993762</v>
      </c>
      <c r="BV152" s="264">
        <f t="shared" si="451"/>
        <v>2.8106430426755825E-3</v>
      </c>
      <c r="BW152" s="196">
        <f t="shared" si="506"/>
        <v>173341.66685302884</v>
      </c>
      <c r="BX152" s="247">
        <f t="shared" si="452"/>
        <v>2.8106430679939623E-3</v>
      </c>
      <c r="BY152" s="196">
        <f t="shared" si="492"/>
        <v>213863.0954680226</v>
      </c>
      <c r="BZ152" s="620">
        <v>0</v>
      </c>
      <c r="CA152" s="196">
        <f t="shared" si="493"/>
        <v>88954.582445105101</v>
      </c>
      <c r="CB152" s="196">
        <f t="shared" si="494"/>
        <v>177909.1648902102</v>
      </c>
      <c r="CC152" s="196">
        <f t="shared" si="430"/>
        <v>266863.74733531533</v>
      </c>
      <c r="CD152" s="247">
        <f t="shared" si="418"/>
        <v>1.1260092684093393E-3</v>
      </c>
      <c r="CE152" s="196">
        <f t="shared" si="495"/>
        <v>29416.904961085922</v>
      </c>
      <c r="CF152" s="247">
        <f t="shared" si="419"/>
        <v>1.2703134411957853E-3</v>
      </c>
      <c r="CG152" s="196">
        <f t="shared" si="460"/>
        <v>44186.589972731941</v>
      </c>
      <c r="CH152" s="589">
        <f t="shared" si="435"/>
        <v>1.1260092684093391E-3</v>
      </c>
      <c r="CI152" s="196">
        <f t="shared" si="496"/>
        <v>61934.464602616841</v>
      </c>
      <c r="CJ152" s="248">
        <f t="shared" si="436"/>
        <v>1.0182024408565641E-3</v>
      </c>
      <c r="CK152" s="196">
        <f t="shared" si="497"/>
        <v>63726.05524319526</v>
      </c>
      <c r="CL152" s="589">
        <f t="shared" si="437"/>
        <v>9.160751520112632E-4</v>
      </c>
      <c r="CM152" s="196">
        <f t="shared" si="498"/>
        <v>6173.4411453319835</v>
      </c>
      <c r="CN152" s="589">
        <f t="shared" si="438"/>
        <v>8.8966302804666315E-4</v>
      </c>
      <c r="CO152" s="196">
        <f t="shared" si="499"/>
        <v>493.87954920887944</v>
      </c>
      <c r="CP152" s="589">
        <f t="shared" si="439"/>
        <v>9.3138075835312736E-4</v>
      </c>
      <c r="CQ152" s="196">
        <f>'Detailed Budget'!$AC$12</f>
        <v>292876014141.44696</v>
      </c>
      <c r="CR152" s="269">
        <f t="shared" si="440"/>
        <v>0</v>
      </c>
      <c r="CS152" s="269">
        <f>'Detailed Budget'!$AC$16</f>
        <v>10488008800.000002</v>
      </c>
      <c r="CT152" s="607">
        <f t="shared" si="461"/>
        <v>0</v>
      </c>
      <c r="CU152" s="269">
        <f>'Detailed Budget'!$AC$24</f>
        <v>30624985696</v>
      </c>
      <c r="CV152" s="269">
        <f t="shared" si="446"/>
        <v>0</v>
      </c>
      <c r="CW152" s="269"/>
      <c r="CX152" s="269">
        <f t="shared" si="431"/>
        <v>0</v>
      </c>
      <c r="CY152" s="196">
        <f>'Detailed Budget'!$AC$97</f>
        <v>74629165494.837845</v>
      </c>
      <c r="CZ152" s="269">
        <f t="shared" si="462"/>
        <v>154135338.17138806</v>
      </c>
      <c r="DA152" s="269">
        <f>'Detailed Budget'!$AC$100</f>
        <v>14925833098.967569</v>
      </c>
      <c r="DB152" s="269">
        <f t="shared" si="463"/>
        <v>30827067.634277612</v>
      </c>
      <c r="DC152" s="269">
        <f t="shared" si="420"/>
        <v>184962405.80566567</v>
      </c>
      <c r="DD152" s="207">
        <v>0</v>
      </c>
      <c r="DE152" s="606">
        <v>0</v>
      </c>
      <c r="DF152" s="269">
        <f>'Detailed Budget'!$AC$147</f>
        <v>5913600671000</v>
      </c>
      <c r="DG152" s="269">
        <f t="shared" si="441"/>
        <v>0</v>
      </c>
      <c r="DH152" s="269">
        <f>'Detailed Budget'!$AC$153</f>
        <v>226428026880.00003</v>
      </c>
      <c r="DI152" s="269"/>
      <c r="DJ152" s="269">
        <f>'Detailed Budget'!$AC$156</f>
        <v>27713070000</v>
      </c>
      <c r="DK152" s="269"/>
      <c r="DL152" s="269"/>
      <c r="DM152" s="196">
        <f>'Detailed Budget'!$AC$178</f>
        <v>5622683761.6229038</v>
      </c>
      <c r="DN152" s="269">
        <f t="shared" si="500"/>
        <v>15803356.995770387</v>
      </c>
      <c r="DO152" s="196">
        <f>'Detailed Budget'!$AC$179</f>
        <v>26827890683.128094</v>
      </c>
      <c r="DP152" s="269">
        <f t="shared" si="501"/>
        <v>75403624.977433786</v>
      </c>
      <c r="DQ152" s="269">
        <f t="shared" si="457"/>
        <v>91206981.973204166</v>
      </c>
      <c r="DR152" s="269">
        <f>'Detailed Budget'!$AC$181</f>
        <v>50888946855.375237</v>
      </c>
      <c r="DS152" s="269">
        <f t="shared" si="502"/>
        <v>114362390.90658708</v>
      </c>
      <c r="DT152" s="269">
        <f t="shared" si="503"/>
        <v>205569372.87979126</v>
      </c>
      <c r="DU152" s="272">
        <f>'Detailed Budget'!$AC$192</f>
        <v>77498869683.252869</v>
      </c>
      <c r="DV152" s="269">
        <f t="shared" si="464"/>
        <v>0</v>
      </c>
      <c r="DW152" s="140">
        <f>'Detailed Budget'!$AC$194</f>
        <v>2684962805.4134097</v>
      </c>
      <c r="DX152" s="269">
        <f t="shared" si="465"/>
        <v>0</v>
      </c>
      <c r="DY152" s="607">
        <f t="shared" si="421"/>
        <v>0</v>
      </c>
      <c r="DZ152" s="196">
        <f>'Detailed Budget'!$AC$198</f>
        <v>18732540018.380611</v>
      </c>
      <c r="EA152" s="269">
        <f t="shared" si="466"/>
        <v>23796197.373086832</v>
      </c>
      <c r="EB152" s="196">
        <f>'Detailed Budget'!$AC$200</f>
        <v>4683135004.5951529</v>
      </c>
      <c r="EC152" s="269">
        <f t="shared" si="467"/>
        <v>5949049.3432717081</v>
      </c>
      <c r="ED152" s="269">
        <f t="shared" si="422"/>
        <v>29745246.716358542</v>
      </c>
      <c r="EE152" s="196">
        <f>'Detailed Budget'!$AC$161</f>
        <v>251147290106.36197</v>
      </c>
      <c r="EF152" s="269">
        <f t="shared" si="468"/>
        <v>282794176.39565271</v>
      </c>
      <c r="EG152" s="196">
        <f>'Detailed Budget'!$AC$163</f>
        <v>15696705631.647623</v>
      </c>
      <c r="EH152" s="269">
        <f t="shared" si="469"/>
        <v>17674636.024728294</v>
      </c>
      <c r="EI152" s="269">
        <f t="shared" si="423"/>
        <v>300468812.42038101</v>
      </c>
      <c r="EJ152" s="196">
        <f>'Detailed Budget'!$AC$204</f>
        <v>45012172507.531975</v>
      </c>
      <c r="EK152" s="269">
        <f t="shared" si="470"/>
        <v>45831503.915425785</v>
      </c>
      <c r="EL152" s="201">
        <f>'Detailed Budget'!$AC$206</f>
        <v>11253043126.882994</v>
      </c>
      <c r="EM152" s="269">
        <f t="shared" si="471"/>
        <v>11457875.978856446</v>
      </c>
      <c r="EN152" s="269">
        <f t="shared" si="424"/>
        <v>57289379.894282229</v>
      </c>
      <c r="EO152" s="140">
        <f>'Detailed Budget'!$AC$209</f>
        <v>135789361677.54817</v>
      </c>
      <c r="EP152" s="269">
        <f t="shared" si="472"/>
        <v>124393260.14027233</v>
      </c>
      <c r="EQ152" s="196">
        <f>'Detailed Budget'!$AC$211</f>
        <v>33947340419.387043</v>
      </c>
      <c r="ER152" s="269">
        <f t="shared" si="473"/>
        <v>31098315.035068084</v>
      </c>
      <c r="ES152" s="269">
        <f t="shared" si="425"/>
        <v>155491575.17534041</v>
      </c>
      <c r="ET152" s="196">
        <f>'Detailed Budget'!$AC$214</f>
        <v>22239745544.201103</v>
      </c>
      <c r="EU152" s="269">
        <f t="shared" si="474"/>
        <v>19785879.363841239</v>
      </c>
      <c r="EV152" s="140">
        <f>'Detailed Budget'!$AC$217</f>
        <v>5559936386.0502758</v>
      </c>
      <c r="EW152" s="269">
        <f t="shared" si="475"/>
        <v>4946469.8409603098</v>
      </c>
      <c r="EX152" s="269">
        <f t="shared" si="426"/>
        <v>24732349.204801548</v>
      </c>
      <c r="EY152" s="196">
        <f>'Detailed Budget'!$AC$219</f>
        <v>372777004.58170313</v>
      </c>
      <c r="EZ152" s="269">
        <f t="shared" si="476"/>
        <v>347197.3292239139</v>
      </c>
      <c r="FA152" s="196">
        <f>'Detailed Budget'!$AC$222</f>
        <v>93194251.145425782</v>
      </c>
      <c r="FB152" s="269">
        <f t="shared" si="477"/>
        <v>86799.332305978474</v>
      </c>
      <c r="FC152" s="269">
        <f t="shared" si="427"/>
        <v>433996.66152989236</v>
      </c>
      <c r="FD152" s="269"/>
      <c r="FE152" s="269">
        <f t="shared" si="428"/>
        <v>237947300.93595409</v>
      </c>
      <c r="FF152" s="140">
        <f>'Detailed Budget'!$AC$165</f>
        <v>14927760000</v>
      </c>
      <c r="FG152" s="1087">
        <f t="shared" si="442"/>
        <v>324575869.12540311</v>
      </c>
      <c r="FH152" s="269">
        <f t="shared" si="478"/>
        <v>20353723.440518126</v>
      </c>
      <c r="FJ152" s="140">
        <f>'Detailed Budget'!$AC$235</f>
        <v>3623696172</v>
      </c>
      <c r="FK152" s="269">
        <f t="shared" si="479"/>
        <v>4681778</v>
      </c>
      <c r="FL152" s="269">
        <f t="shared" si="443"/>
        <v>4681778</v>
      </c>
      <c r="FO152" s="607"/>
      <c r="FP152" s="607"/>
      <c r="FQ152" s="607"/>
      <c r="FR152" s="269">
        <f>'Detailed Budget'!$AC$257</f>
        <v>13636439388</v>
      </c>
      <c r="FS152" s="269">
        <f t="shared" si="480"/>
        <v>25483068</v>
      </c>
      <c r="FT152" s="269">
        <f t="shared" si="444"/>
        <v>25483068</v>
      </c>
      <c r="FU152" s="269"/>
      <c r="FV152" s="269"/>
      <c r="FW152" s="616"/>
      <c r="FX152" s="140">
        <f>'Detailed Budget'!$AC$278</f>
        <v>1114560000</v>
      </c>
      <c r="FY152" s="269">
        <f t="shared" si="481"/>
        <v>1440000</v>
      </c>
      <c r="FZ152" s="269">
        <f t="shared" si="445"/>
        <v>1440000</v>
      </c>
      <c r="GB152" s="269">
        <f t="shared" si="453"/>
        <v>1335227577.3240719</v>
      </c>
      <c r="GC152" s="887">
        <f t="shared" si="429"/>
        <v>834517.23582754494</v>
      </c>
      <c r="GD152" s="1078">
        <f t="shared" si="454"/>
        <v>7.4923823875519113E-4</v>
      </c>
    </row>
    <row r="153" spans="1:186" outlineLevel="1">
      <c r="A153" s="211" t="s">
        <v>478</v>
      </c>
      <c r="B153" s="212" t="s">
        <v>479</v>
      </c>
      <c r="C153" s="213" t="s">
        <v>215</v>
      </c>
      <c r="D153" s="225"/>
      <c r="E153" s="213"/>
      <c r="F153" s="213"/>
      <c r="G153" s="213"/>
      <c r="H153" s="213" t="s">
        <v>215</v>
      </c>
      <c r="I153" s="214" t="s">
        <v>215</v>
      </c>
      <c r="J153" s="214"/>
      <c r="K153" s="213" t="s">
        <v>215</v>
      </c>
      <c r="L153" s="213"/>
      <c r="M153" s="214"/>
      <c r="N153" s="213"/>
      <c r="O153" s="214"/>
      <c r="P153" s="213"/>
      <c r="Q153" s="214"/>
      <c r="R153" s="214" t="s">
        <v>215</v>
      </c>
      <c r="S153" s="214"/>
      <c r="T153" s="214"/>
      <c r="U153" s="215">
        <f t="shared" si="489"/>
        <v>5</v>
      </c>
      <c r="V153" s="845" t="s">
        <v>467</v>
      </c>
      <c r="W153" s="216">
        <v>168445</v>
      </c>
      <c r="X153" s="217">
        <v>2.89</v>
      </c>
      <c r="Y153" s="218">
        <f t="shared" si="483"/>
        <v>1.0288999999999999</v>
      </c>
      <c r="Z153" s="196">
        <v>19</v>
      </c>
      <c r="AA153" s="218">
        <f t="shared" si="484"/>
        <v>1.7182651319612778</v>
      </c>
      <c r="AB153" s="196">
        <f t="shared" si="485"/>
        <v>289433.17015321745</v>
      </c>
      <c r="AC153">
        <v>17.600000000000001</v>
      </c>
      <c r="AD153" s="196">
        <f t="shared" si="486"/>
        <v>50940.23794696627</v>
      </c>
      <c r="AE153" s="196">
        <f t="shared" si="487"/>
        <v>48393.226049617952</v>
      </c>
      <c r="AF153" s="196">
        <f t="shared" si="490"/>
        <v>48393.226049617952</v>
      </c>
      <c r="AG153" s="606">
        <f t="shared" si="432"/>
        <v>2.2374903222912349E-3</v>
      </c>
      <c r="AH153" s="196">
        <f t="shared" si="504"/>
        <v>14471.658507660874</v>
      </c>
      <c r="AI153" s="248">
        <f t="shared" si="409"/>
        <v>1.1210974578841322E-3</v>
      </c>
      <c r="AJ153" s="196">
        <f t="shared" si="412"/>
        <v>65411.896454627145</v>
      </c>
      <c r="AK153" s="196">
        <f t="shared" si="455"/>
        <v>11577.326806128698</v>
      </c>
      <c r="AL153" s="196">
        <f t="shared" si="456"/>
        <v>11577.326806128698</v>
      </c>
      <c r="AM153" s="196">
        <f t="shared" si="413"/>
        <v>23154.653612257396</v>
      </c>
      <c r="AN153" s="627">
        <f t="shared" si="414"/>
        <v>1.1210974578841322E-3</v>
      </c>
      <c r="AO153" s="196">
        <f t="shared" si="415"/>
        <v>10998.460465822263</v>
      </c>
      <c r="AP153" s="589">
        <f t="shared" si="433"/>
        <v>1.1210974578841322E-3</v>
      </c>
      <c r="AQ153" s="196"/>
      <c r="AR153" s="589"/>
      <c r="AS153">
        <v>1</v>
      </c>
      <c r="AT153" s="589">
        <f t="shared" si="434"/>
        <v>1.2919896640826874E-3</v>
      </c>
      <c r="AU153" s="196">
        <v>11</v>
      </c>
      <c r="AV153" s="245">
        <f t="shared" si="416"/>
        <v>1.2498579706851495E-3</v>
      </c>
      <c r="AX153" s="245"/>
      <c r="AY153" s="245"/>
      <c r="AZ153" s="196">
        <v>47</v>
      </c>
      <c r="BA153" s="589">
        <f t="shared" si="447"/>
        <v>1.7221794730863656E-3</v>
      </c>
      <c r="BI153" s="196">
        <v>0</v>
      </c>
      <c r="BK153" s="246">
        <f t="shared" si="448"/>
        <v>0</v>
      </c>
      <c r="BL153" s="246"/>
      <c r="BM153" s="246">
        <f t="shared" si="449"/>
        <v>0</v>
      </c>
      <c r="BN153" s="196">
        <v>1</v>
      </c>
      <c r="BO153" s="196">
        <f t="shared" si="491"/>
        <v>21982.286500315724</v>
      </c>
      <c r="BP153" s="196">
        <f t="shared" si="417"/>
        <v>21982.286500315724</v>
      </c>
      <c r="BQ153" s="248">
        <f t="shared" si="450"/>
        <v>2.0563405361360256E-3</v>
      </c>
      <c r="BR153" s="248"/>
      <c r="BS153" s="248"/>
      <c r="BT153" s="276">
        <v>1</v>
      </c>
      <c r="BU153" s="196">
        <f t="shared" si="505"/>
        <v>40344.668453997285</v>
      </c>
      <c r="BV153" s="264">
        <f t="shared" si="451"/>
        <v>2.7983826230974056E-3</v>
      </c>
      <c r="BW153" s="196">
        <f t="shared" si="506"/>
        <v>172585.52616432175</v>
      </c>
      <c r="BX153" s="247">
        <f t="shared" si="452"/>
        <v>2.7983826483053442E-3</v>
      </c>
      <c r="BY153" s="196">
        <f t="shared" si="492"/>
        <v>212930.19461831904</v>
      </c>
      <c r="BZ153" s="620">
        <v>0</v>
      </c>
      <c r="CA153" s="196">
        <f t="shared" si="493"/>
        <v>88566.550066884549</v>
      </c>
      <c r="CB153" s="196">
        <f t="shared" si="494"/>
        <v>177133.1001337691</v>
      </c>
      <c r="CC153" s="196">
        <f t="shared" si="430"/>
        <v>265699.65020065365</v>
      </c>
      <c r="CD153" s="247">
        <f t="shared" si="418"/>
        <v>1.1210974578841322E-3</v>
      </c>
      <c r="CE153" s="196">
        <f t="shared" si="495"/>
        <v>29288.584291389318</v>
      </c>
      <c r="CF153" s="247">
        <f t="shared" si="419"/>
        <v>1.2647721556079752E-3</v>
      </c>
      <c r="CG153" s="196">
        <f t="shared" si="460"/>
        <v>43993.841863289053</v>
      </c>
      <c r="CH153" s="589">
        <f t="shared" si="435"/>
        <v>1.1210974578841322E-3</v>
      </c>
      <c r="CI153" s="196">
        <f t="shared" si="496"/>
        <v>61664.297772162645</v>
      </c>
      <c r="CJ153" s="248">
        <f t="shared" si="436"/>
        <v>1.0137608988496712E-3</v>
      </c>
      <c r="CK153" s="196">
        <f t="shared" si="497"/>
        <v>63448.07324282005</v>
      </c>
      <c r="CL153" s="589">
        <f t="shared" si="437"/>
        <v>9.1207910357741151E-4</v>
      </c>
      <c r="CM153" s="196">
        <f t="shared" si="498"/>
        <v>6146.5117282791171</v>
      </c>
      <c r="CN153" s="589">
        <f t="shared" si="438"/>
        <v>8.8578219300591767E-4</v>
      </c>
      <c r="CO153" s="196">
        <f t="shared" si="499"/>
        <v>491.72517727247828</v>
      </c>
      <c r="CP153" s="589">
        <f t="shared" si="439"/>
        <v>9.2731794471544149E-4</v>
      </c>
      <c r="CQ153" s="196">
        <f>'Detailed Budget'!$AC$12</f>
        <v>292876014141.44696</v>
      </c>
      <c r="CR153" s="269">
        <f t="shared" si="440"/>
        <v>0</v>
      </c>
      <c r="CS153" s="269">
        <f>'Detailed Budget'!$AC$16</f>
        <v>10488008800.000002</v>
      </c>
      <c r="CT153" s="607">
        <f t="shared" si="461"/>
        <v>0</v>
      </c>
      <c r="CU153" s="269">
        <f>'Detailed Budget'!$AC$24</f>
        <v>30624985696</v>
      </c>
      <c r="CV153" s="269">
        <f t="shared" si="446"/>
        <v>0</v>
      </c>
      <c r="CW153" s="269"/>
      <c r="CX153" s="269">
        <f t="shared" si="431"/>
        <v>0</v>
      </c>
      <c r="CY153" s="196">
        <f>'Detailed Budget'!$AC$97</f>
        <v>74629165494.837845</v>
      </c>
      <c r="CZ153" s="269">
        <f t="shared" si="462"/>
        <v>153462978.18503904</v>
      </c>
      <c r="DA153" s="269">
        <f>'Detailed Budget'!$AC$100</f>
        <v>14925833098.967569</v>
      </c>
      <c r="DB153" s="269">
        <f t="shared" si="463"/>
        <v>30692595.637007806</v>
      </c>
      <c r="DC153" s="269">
        <f t="shared" si="420"/>
        <v>184155573.82204685</v>
      </c>
      <c r="DD153" s="207">
        <v>0</v>
      </c>
      <c r="DE153" s="606">
        <v>0</v>
      </c>
      <c r="DF153" s="269">
        <f>'Detailed Budget'!$AC$147</f>
        <v>5913600671000</v>
      </c>
      <c r="DG153" s="269">
        <f t="shared" si="441"/>
        <v>0</v>
      </c>
      <c r="DH153" s="269">
        <f>'Detailed Budget'!$AC$153</f>
        <v>226428026880.00003</v>
      </c>
      <c r="DI153" s="269"/>
      <c r="DJ153" s="269">
        <f>'Detailed Budget'!$AC$156</f>
        <v>27713070000</v>
      </c>
      <c r="DK153" s="269"/>
      <c r="DL153" s="269"/>
      <c r="DM153" s="196">
        <f>'Detailed Budget'!$AC$178</f>
        <v>5622683761.6229038</v>
      </c>
      <c r="DN153" s="269">
        <f t="shared" si="500"/>
        <v>15734420.53369749</v>
      </c>
      <c r="DO153" s="196">
        <f>'Detailed Budget'!$AC$179</f>
        <v>26827890683.128094</v>
      </c>
      <c r="DP153" s="269">
        <f t="shared" si="501"/>
        <v>75074703.778298259</v>
      </c>
      <c r="DQ153" s="269">
        <f t="shared" si="457"/>
        <v>90809124.311995745</v>
      </c>
      <c r="DR153" s="269">
        <f>'Detailed Budget'!$AC$181</f>
        <v>50888946855.375237</v>
      </c>
      <c r="DS153" s="269">
        <f t="shared" si="502"/>
        <v>113863526.10049506</v>
      </c>
      <c r="DT153" s="269">
        <f t="shared" si="503"/>
        <v>204672650.41249079</v>
      </c>
      <c r="DU153" s="272">
        <f>'Detailed Budget'!$AC$192</f>
        <v>77498869683.252869</v>
      </c>
      <c r="DV153" s="269">
        <f t="shared" si="464"/>
        <v>0</v>
      </c>
      <c r="DW153" s="140">
        <f>'Detailed Budget'!$AC$194</f>
        <v>2684962805.4134097</v>
      </c>
      <c r="DX153" s="269">
        <f t="shared" si="465"/>
        <v>0</v>
      </c>
      <c r="DY153" s="607">
        <f t="shared" si="421"/>
        <v>0</v>
      </c>
      <c r="DZ153" s="196">
        <f>'Detailed Budget'!$AC$198</f>
        <v>18732540018.380611</v>
      </c>
      <c r="EA153" s="269">
        <f t="shared" si="466"/>
        <v>23692395.019059908</v>
      </c>
      <c r="EB153" s="196">
        <f>'Detailed Budget'!$AC$200</f>
        <v>4683135004.5951529</v>
      </c>
      <c r="EC153" s="269">
        <f t="shared" si="467"/>
        <v>5923098.7547649769</v>
      </c>
      <c r="ED153" s="269">
        <f t="shared" si="422"/>
        <v>29615493.773824885</v>
      </c>
      <c r="EE153" s="196">
        <f>'Detailed Budget'!$AC$161</f>
        <v>251147290106.36197</v>
      </c>
      <c r="EF153" s="269">
        <f t="shared" si="468"/>
        <v>281560588.49273109</v>
      </c>
      <c r="EG153" s="196">
        <f>'Detailed Budget'!$AC$163</f>
        <v>15696705631.647623</v>
      </c>
      <c r="EH153" s="269">
        <f t="shared" si="469"/>
        <v>17597536.780795693</v>
      </c>
      <c r="EI153" s="269">
        <f t="shared" si="423"/>
        <v>299158125.27352679</v>
      </c>
      <c r="EJ153" s="196">
        <f>'Detailed Budget'!$AC$204</f>
        <v>45012172507.531975</v>
      </c>
      <c r="EK153" s="269">
        <f t="shared" si="470"/>
        <v>45631580.46041207</v>
      </c>
      <c r="EL153" s="201">
        <f>'Detailed Budget'!$AC$206</f>
        <v>11253043126.882994</v>
      </c>
      <c r="EM153" s="269">
        <f t="shared" si="471"/>
        <v>11407895.115103018</v>
      </c>
      <c r="EN153" s="269">
        <f t="shared" si="424"/>
        <v>57039475.575515091</v>
      </c>
      <c r="EO153" s="140">
        <f>'Detailed Budget'!$AC$209</f>
        <v>135789361677.54817</v>
      </c>
      <c r="EP153" s="269">
        <f t="shared" si="472"/>
        <v>123850639.27420706</v>
      </c>
      <c r="EQ153" s="196">
        <f>'Detailed Budget'!$AC$211</f>
        <v>33947340419.387043</v>
      </c>
      <c r="ER153" s="269">
        <f t="shared" si="473"/>
        <v>30962659.818551764</v>
      </c>
      <c r="ES153" s="269">
        <f t="shared" si="425"/>
        <v>154813299.09275883</v>
      </c>
      <c r="ET153" s="196">
        <f>'Detailed Budget'!$AC$214</f>
        <v>22239745544.201103</v>
      </c>
      <c r="EU153" s="269">
        <f t="shared" si="474"/>
        <v>19699570.58003604</v>
      </c>
      <c r="EV153" s="140">
        <f>'Detailed Budget'!$AC$217</f>
        <v>5559936386.0502758</v>
      </c>
      <c r="EW153" s="269">
        <f t="shared" si="475"/>
        <v>4924892.6450090101</v>
      </c>
      <c r="EX153" s="269">
        <f t="shared" si="426"/>
        <v>24624463.225045051</v>
      </c>
      <c r="EY153" s="196">
        <f>'Detailed Budget'!$AC$219</f>
        <v>372777004.58170313</v>
      </c>
      <c r="EZ153" s="269">
        <f t="shared" si="476"/>
        <v>345682.80572588363</v>
      </c>
      <c r="FA153" s="196">
        <f>'Detailed Budget'!$AC$222</f>
        <v>93194251.145425782</v>
      </c>
      <c r="FB153" s="269">
        <f t="shared" si="477"/>
        <v>86420.701431470909</v>
      </c>
      <c r="FC153" s="269">
        <f t="shared" si="427"/>
        <v>432103.50715735456</v>
      </c>
      <c r="FD153" s="269"/>
      <c r="FE153" s="269">
        <f t="shared" si="428"/>
        <v>236909341.40047634</v>
      </c>
      <c r="FF153" s="140">
        <f>'Detailed Budget'!$AC$165</f>
        <v>14927760000</v>
      </c>
      <c r="FG153" s="1087">
        <f t="shared" si="442"/>
        <v>323160023.61247009</v>
      </c>
      <c r="FH153" s="269">
        <f t="shared" si="478"/>
        <v>18657579.820474949</v>
      </c>
      <c r="FJ153" s="140">
        <f>'Detailed Budget'!$AC$235</f>
        <v>3623696172</v>
      </c>
      <c r="FK153" s="269">
        <f t="shared" si="479"/>
        <v>4681778</v>
      </c>
      <c r="FL153" s="269">
        <f t="shared" si="443"/>
        <v>4681778</v>
      </c>
      <c r="FO153" s="607"/>
      <c r="FP153" s="607"/>
      <c r="FQ153" s="607"/>
      <c r="FR153" s="269">
        <f>'Detailed Budget'!$AC$257</f>
        <v>13636439388</v>
      </c>
      <c r="FS153" s="269">
        <f t="shared" si="480"/>
        <v>23484396</v>
      </c>
      <c r="FT153" s="269">
        <f t="shared" si="444"/>
        <v>23484396</v>
      </c>
      <c r="FU153" s="269"/>
      <c r="FV153" s="269"/>
      <c r="FW153" s="616"/>
      <c r="FX153" s="140">
        <f>'Detailed Budget'!$AC$278</f>
        <v>1114560000</v>
      </c>
      <c r="FY153" s="269">
        <f t="shared" si="481"/>
        <v>1440000</v>
      </c>
      <c r="FZ153" s="269">
        <f t="shared" si="445"/>
        <v>1440000</v>
      </c>
      <c r="GB153" s="269">
        <f t="shared" si="453"/>
        <v>1325934962.1153104</v>
      </c>
      <c r="GC153" s="887">
        <f t="shared" si="429"/>
        <v>828709.35132206907</v>
      </c>
      <c r="GD153" s="1078">
        <f t="shared" si="454"/>
        <v>7.4402385974543805E-4</v>
      </c>
    </row>
    <row r="154" spans="1:186" outlineLevel="1">
      <c r="A154" s="211" t="s">
        <v>480</v>
      </c>
      <c r="B154" s="212" t="s">
        <v>481</v>
      </c>
      <c r="C154" s="213" t="s">
        <v>215</v>
      </c>
      <c r="D154" s="225"/>
      <c r="E154" s="213"/>
      <c r="F154" s="213"/>
      <c r="G154" s="213"/>
      <c r="H154" s="213" t="s">
        <v>215</v>
      </c>
      <c r="I154" s="214" t="s">
        <v>215</v>
      </c>
      <c r="J154" s="214"/>
      <c r="K154" s="213" t="s">
        <v>215</v>
      </c>
      <c r="L154" s="213"/>
      <c r="M154" s="214"/>
      <c r="N154" s="213"/>
      <c r="O154" s="214"/>
      <c r="P154" s="213"/>
      <c r="Q154" s="214"/>
      <c r="R154" s="214" t="s">
        <v>215</v>
      </c>
      <c r="S154" s="214"/>
      <c r="T154" s="214"/>
      <c r="U154" s="215">
        <f t="shared" si="489"/>
        <v>5</v>
      </c>
      <c r="V154" s="845" t="s">
        <v>467</v>
      </c>
      <c r="W154" s="216">
        <v>111254</v>
      </c>
      <c r="X154" s="217">
        <v>2.89</v>
      </c>
      <c r="Y154" s="218">
        <f t="shared" si="483"/>
        <v>1.0288999999999999</v>
      </c>
      <c r="Z154" s="196">
        <v>19</v>
      </c>
      <c r="AA154" s="218">
        <f t="shared" si="484"/>
        <v>1.7182651319612778</v>
      </c>
      <c r="AB154" s="196">
        <f t="shared" si="485"/>
        <v>191163.86899121999</v>
      </c>
      <c r="AC154">
        <v>17.600000000000001</v>
      </c>
      <c r="AD154" s="196">
        <f t="shared" si="486"/>
        <v>33644.840942454721</v>
      </c>
      <c r="AE154" s="196">
        <f t="shared" si="487"/>
        <v>31962.598895331983</v>
      </c>
      <c r="AF154" s="196">
        <f t="shared" si="490"/>
        <v>31962.598895331983</v>
      </c>
      <c r="AG154" s="606">
        <f t="shared" si="432"/>
        <v>1.4778102544818134E-3</v>
      </c>
      <c r="AH154" s="196">
        <f t="shared" si="504"/>
        <v>9558.1934495610003</v>
      </c>
      <c r="AI154" s="248">
        <f t="shared" si="409"/>
        <v>7.4045876445986069E-4</v>
      </c>
      <c r="AJ154" s="196">
        <f t="shared" si="412"/>
        <v>43203.034392015717</v>
      </c>
      <c r="AK154" s="196">
        <f t="shared" si="455"/>
        <v>7646.5547596487995</v>
      </c>
      <c r="AL154" s="196">
        <f t="shared" si="456"/>
        <v>7646.5547596487995</v>
      </c>
      <c r="AM154" s="196">
        <f t="shared" si="413"/>
        <v>15293.109519297599</v>
      </c>
      <c r="AN154" s="627">
        <f t="shared" si="414"/>
        <v>7.4045876445986058E-4</v>
      </c>
      <c r="AO154" s="196">
        <f t="shared" si="415"/>
        <v>7264.2270216663592</v>
      </c>
      <c r="AP154" s="589">
        <f t="shared" si="433"/>
        <v>7.4045876445986058E-4</v>
      </c>
      <c r="AQ154" s="196"/>
      <c r="AR154" s="589"/>
      <c r="AS154">
        <v>1</v>
      </c>
      <c r="AT154" s="589">
        <f t="shared" si="434"/>
        <v>1.2919896640826874E-3</v>
      </c>
      <c r="AU154" s="196">
        <v>10</v>
      </c>
      <c r="AV154" s="245">
        <f t="shared" si="416"/>
        <v>1.1362345188046814E-3</v>
      </c>
      <c r="AX154" s="245"/>
      <c r="AY154" s="245"/>
      <c r="AZ154" s="196">
        <v>23</v>
      </c>
      <c r="BA154" s="589">
        <f t="shared" si="447"/>
        <v>8.4276867831885966E-4</v>
      </c>
      <c r="BI154" s="196">
        <v>0</v>
      </c>
      <c r="BK154" s="246">
        <f t="shared" si="448"/>
        <v>0</v>
      </c>
      <c r="BL154" s="246"/>
      <c r="BM154" s="246">
        <f t="shared" si="449"/>
        <v>0</v>
      </c>
      <c r="BN154" s="196">
        <v>1</v>
      </c>
      <c r="BO154" s="196">
        <f t="shared" si="491"/>
        <v>14518.788342225209</v>
      </c>
      <c r="BP154" s="196">
        <f t="shared" si="417"/>
        <v>14518.788342225209</v>
      </c>
      <c r="BQ154" s="248">
        <f t="shared" si="450"/>
        <v>1.3581650390767158E-3</v>
      </c>
      <c r="BR154" s="248"/>
      <c r="BS154" s="248"/>
      <c r="BT154" s="276">
        <v>1</v>
      </c>
      <c r="BU154" s="196">
        <f t="shared" si="505"/>
        <v>26646.714026424143</v>
      </c>
      <c r="BV154" s="264">
        <f t="shared" si="451"/>
        <v>1.8482665579273878E-3</v>
      </c>
      <c r="BW154" s="196">
        <f t="shared" si="506"/>
        <v>113988.7211130366</v>
      </c>
      <c r="BX154" s="247">
        <f t="shared" si="452"/>
        <v>1.8482665745766435E-3</v>
      </c>
      <c r="BY154" s="196">
        <f t="shared" si="492"/>
        <v>140635.43513946075</v>
      </c>
      <c r="BZ154" s="620">
        <v>0</v>
      </c>
      <c r="CA154" s="196">
        <f t="shared" si="493"/>
        <v>58496.143911313309</v>
      </c>
      <c r="CB154" s="196">
        <f t="shared" si="494"/>
        <v>116992.28782262662</v>
      </c>
      <c r="CC154" s="196">
        <f t="shared" si="430"/>
        <v>175488.43173393991</v>
      </c>
      <c r="CD154" s="247">
        <f t="shared" si="418"/>
        <v>7.4045876445986048E-4</v>
      </c>
      <c r="CE154" s="196">
        <f t="shared" si="495"/>
        <v>19344.427894886918</v>
      </c>
      <c r="CF154" s="247">
        <f t="shared" si="419"/>
        <v>8.3535255662091292E-4</v>
      </c>
      <c r="CG154" s="196">
        <f t="shared" si="460"/>
        <v>29056.908086665437</v>
      </c>
      <c r="CH154" s="589">
        <f t="shared" si="435"/>
        <v>7.4045876445986058E-4</v>
      </c>
      <c r="CI154" s="196">
        <f t="shared" si="496"/>
        <v>40727.832730827169</v>
      </c>
      <c r="CJ154" s="248">
        <f t="shared" si="436"/>
        <v>6.6956546671389063E-4</v>
      </c>
      <c r="CK154" s="196">
        <f t="shared" si="497"/>
        <v>41905.97489125056</v>
      </c>
      <c r="CL154" s="589">
        <f t="shared" si="437"/>
        <v>6.024070087530133E-4</v>
      </c>
      <c r="CM154" s="196">
        <f t="shared" si="498"/>
        <v>4059.6278655820288</v>
      </c>
      <c r="CN154" s="589">
        <f t="shared" si="438"/>
        <v>5.8503851168440943E-4</v>
      </c>
      <c r="CO154" s="196">
        <f t="shared" si="499"/>
        <v>324.7730290140538</v>
      </c>
      <c r="CP154" s="589">
        <f t="shared" si="439"/>
        <v>6.124719084649097E-4</v>
      </c>
      <c r="CQ154" s="196">
        <f>'Detailed Budget'!$AC$12</f>
        <v>292876014141.44696</v>
      </c>
      <c r="CR154" s="269">
        <f t="shared" si="440"/>
        <v>0</v>
      </c>
      <c r="CS154" s="269">
        <f>'Detailed Budget'!$AC$16</f>
        <v>10488008800.000002</v>
      </c>
      <c r="CT154" s="607">
        <f t="shared" si="461"/>
        <v>0</v>
      </c>
      <c r="CU154" s="269">
        <f>'Detailed Budget'!$AC$24</f>
        <v>30624985696</v>
      </c>
      <c r="CV154" s="269">
        <f t="shared" si="446"/>
        <v>0</v>
      </c>
      <c r="CW154" s="269"/>
      <c r="CX154" s="269">
        <f t="shared" si="431"/>
        <v>0</v>
      </c>
      <c r="CY154" s="196">
        <f>'Detailed Budget'!$AC$97</f>
        <v>74629165494.837845</v>
      </c>
      <c r="CZ154" s="269">
        <f t="shared" si="462"/>
        <v>101358723.47055914</v>
      </c>
      <c r="DA154" s="269">
        <f>'Detailed Budget'!$AC$100</f>
        <v>14925833098.967569</v>
      </c>
      <c r="DB154" s="269">
        <f t="shared" si="463"/>
        <v>20271744.694111828</v>
      </c>
      <c r="DC154" s="269">
        <f t="shared" si="420"/>
        <v>121630468.16467096</v>
      </c>
      <c r="DD154" s="207">
        <v>0</v>
      </c>
      <c r="DE154" s="606">
        <v>0</v>
      </c>
      <c r="DF154" s="269">
        <f>'Detailed Budget'!$AC$147</f>
        <v>5913600671000</v>
      </c>
      <c r="DG154" s="269">
        <f t="shared" si="441"/>
        <v>0</v>
      </c>
      <c r="DH154" s="269">
        <f>'Detailed Budget'!$AC$153</f>
        <v>226428026880.00003</v>
      </c>
      <c r="DI154" s="269"/>
      <c r="DJ154" s="269">
        <f>'Detailed Budget'!$AC$156</f>
        <v>27713070000</v>
      </c>
      <c r="DK154" s="269"/>
      <c r="DL154" s="269"/>
      <c r="DM154" s="196">
        <f>'Detailed Budget'!$AC$178</f>
        <v>5622683761.6229038</v>
      </c>
      <c r="DN154" s="269">
        <f t="shared" si="500"/>
        <v>10392218.362408981</v>
      </c>
      <c r="DO154" s="196">
        <f>'Detailed Budget'!$AC$179</f>
        <v>26827890683.128094</v>
      </c>
      <c r="DP154" s="269">
        <f t="shared" si="501"/>
        <v>49585093.616021812</v>
      </c>
      <c r="DQ154" s="269">
        <f t="shared" si="457"/>
        <v>59977311.978430793</v>
      </c>
      <c r="DR154" s="269">
        <f>'Detailed Budget'!$AC$181</f>
        <v>50888946855.375237</v>
      </c>
      <c r="DS154" s="269">
        <f t="shared" si="502"/>
        <v>75204207.502653554</v>
      </c>
      <c r="DT154" s="269">
        <f t="shared" si="503"/>
        <v>135181519.48108435</v>
      </c>
      <c r="DU154" s="272">
        <f>'Detailed Budget'!$AC$192</f>
        <v>77498869683.252869</v>
      </c>
      <c r="DV154" s="269">
        <f t="shared" si="464"/>
        <v>0</v>
      </c>
      <c r="DW154" s="140">
        <f>'Detailed Budget'!$AC$194</f>
        <v>2684962805.4134097</v>
      </c>
      <c r="DX154" s="269">
        <f t="shared" si="465"/>
        <v>0</v>
      </c>
      <c r="DY154" s="607">
        <f t="shared" si="421"/>
        <v>0</v>
      </c>
      <c r="DZ154" s="196">
        <f>'Detailed Budget'!$AC$198</f>
        <v>18732540018.380611</v>
      </c>
      <c r="EA154" s="269">
        <f t="shared" si="466"/>
        <v>15648275.196357807</v>
      </c>
      <c r="EB154" s="196">
        <f>'Detailed Budget'!$AC$200</f>
        <v>4683135004.5951529</v>
      </c>
      <c r="EC154" s="269">
        <f t="shared" si="467"/>
        <v>3912068.7990894518</v>
      </c>
      <c r="ED154" s="269">
        <f t="shared" si="422"/>
        <v>19560343.995447259</v>
      </c>
      <c r="EE154" s="196">
        <f>'Detailed Budget'!$AC$161</f>
        <v>251147290106.36197</v>
      </c>
      <c r="EF154" s="269">
        <f t="shared" si="468"/>
        <v>185964212.12959895</v>
      </c>
      <c r="EG154" s="196">
        <f>'Detailed Budget'!$AC$163</f>
        <v>15696705631.647623</v>
      </c>
      <c r="EH154" s="269">
        <f t="shared" si="469"/>
        <v>11622763.258099934</v>
      </c>
      <c r="EI154" s="269">
        <f t="shared" si="423"/>
        <v>197586975.38769889</v>
      </c>
      <c r="EJ154" s="196">
        <f>'Detailed Budget'!$AC$204</f>
        <v>45012172507.531975</v>
      </c>
      <c r="EK154" s="269">
        <f t="shared" si="470"/>
        <v>30138596.292811804</v>
      </c>
      <c r="EL154" s="201">
        <f>'Detailed Budget'!$AC$206</f>
        <v>11253043126.882994</v>
      </c>
      <c r="EM154" s="269">
        <f t="shared" si="471"/>
        <v>7534649.0732029509</v>
      </c>
      <c r="EN154" s="269">
        <f t="shared" si="424"/>
        <v>37673245.366014756</v>
      </c>
      <c r="EO154" s="140">
        <f>'Detailed Budget'!$AC$209</f>
        <v>135789361677.54817</v>
      </c>
      <c r="EP154" s="269">
        <f t="shared" si="472"/>
        <v>81800463.188652843</v>
      </c>
      <c r="EQ154" s="196">
        <f>'Detailed Budget'!$AC$211</f>
        <v>33947340419.387043</v>
      </c>
      <c r="ER154" s="269">
        <f t="shared" si="473"/>
        <v>20450115.797163211</v>
      </c>
      <c r="ES154" s="269">
        <f t="shared" si="425"/>
        <v>102250578.98581606</v>
      </c>
      <c r="ET154" s="196">
        <f>'Detailed Budget'!$AC$214</f>
        <v>22239745544.201103</v>
      </c>
      <c r="EU154" s="269">
        <f t="shared" si="474"/>
        <v>13011107.633419389</v>
      </c>
      <c r="EV154" s="140">
        <f>'Detailed Budget'!$AC$217</f>
        <v>5559936386.0502758</v>
      </c>
      <c r="EW154" s="269">
        <f t="shared" si="475"/>
        <v>3252776.9083548472</v>
      </c>
      <c r="EX154" s="269">
        <f t="shared" si="426"/>
        <v>16263884.541774236</v>
      </c>
      <c r="EY154" s="196">
        <f>'Detailed Budget'!$AC$219</f>
        <v>372777004.58170313</v>
      </c>
      <c r="EZ154" s="269">
        <f t="shared" si="476"/>
        <v>228315.4434279881</v>
      </c>
      <c r="FA154" s="196">
        <f>'Detailed Budget'!$AC$222</f>
        <v>93194251.145425782</v>
      </c>
      <c r="FB154" s="269">
        <f t="shared" si="477"/>
        <v>57078.860856997024</v>
      </c>
      <c r="FC154" s="269">
        <f t="shared" si="427"/>
        <v>285394.30428498512</v>
      </c>
      <c r="FD154" s="269"/>
      <c r="FE154" s="269">
        <f t="shared" si="428"/>
        <v>156473103.19789004</v>
      </c>
      <c r="FF154" s="140">
        <f>'Detailed Budget'!$AC$165</f>
        <v>14927760000</v>
      </c>
      <c r="FG154" s="1087">
        <f t="shared" si="442"/>
        <v>213439670.3195805</v>
      </c>
      <c r="FH154" s="269">
        <f t="shared" si="478"/>
        <v>16961436.200431772</v>
      </c>
      <c r="FJ154" s="140">
        <f>'Detailed Budget'!$AC$235</f>
        <v>3623696172</v>
      </c>
      <c r="FK154" s="269">
        <f t="shared" si="479"/>
        <v>4681778</v>
      </c>
      <c r="FL154" s="269">
        <f t="shared" si="443"/>
        <v>4681778</v>
      </c>
      <c r="FO154" s="607"/>
      <c r="FP154" s="607"/>
      <c r="FQ154" s="607"/>
      <c r="FR154" s="269">
        <f>'Detailed Budget'!$AC$257</f>
        <v>13636439388</v>
      </c>
      <c r="FS154" s="269">
        <f t="shared" si="480"/>
        <v>11492364</v>
      </c>
      <c r="FT154" s="269">
        <f t="shared" si="444"/>
        <v>11492364</v>
      </c>
      <c r="FU154" s="269"/>
      <c r="FV154" s="269"/>
      <c r="FW154" s="616"/>
      <c r="FX154" s="140">
        <f>'Detailed Budget'!$AC$278</f>
        <v>1114560000</v>
      </c>
      <c r="FY154" s="269">
        <f t="shared" si="481"/>
        <v>1440000</v>
      </c>
      <c r="FZ154" s="269">
        <f t="shared" si="445"/>
        <v>1440000</v>
      </c>
      <c r="GB154" s="269">
        <f t="shared" si="453"/>
        <v>878447658.74680376</v>
      </c>
      <c r="GC154" s="887">
        <f t="shared" si="429"/>
        <v>549029.78671675234</v>
      </c>
      <c r="GD154" s="1078">
        <f t="shared" si="454"/>
        <v>4.9292464285160089E-4</v>
      </c>
    </row>
    <row r="155" spans="1:186" outlineLevel="1">
      <c r="A155" s="211" t="s">
        <v>482</v>
      </c>
      <c r="B155" s="212" t="s">
        <v>483</v>
      </c>
      <c r="C155" s="213" t="s">
        <v>215</v>
      </c>
      <c r="D155" s="225"/>
      <c r="E155" s="213"/>
      <c r="F155" s="213"/>
      <c r="G155" s="213"/>
      <c r="H155" s="213" t="s">
        <v>215</v>
      </c>
      <c r="I155" s="214" t="s">
        <v>215</v>
      </c>
      <c r="J155" s="214"/>
      <c r="K155" s="213" t="s">
        <v>215</v>
      </c>
      <c r="L155" s="213"/>
      <c r="M155" s="214"/>
      <c r="N155" s="213"/>
      <c r="O155" s="214"/>
      <c r="P155" s="213"/>
      <c r="Q155" s="214"/>
      <c r="R155" s="214" t="s">
        <v>215</v>
      </c>
      <c r="S155" s="214"/>
      <c r="T155" s="214"/>
      <c r="U155" s="215">
        <f t="shared" si="489"/>
        <v>5</v>
      </c>
      <c r="V155" s="845" t="s">
        <v>467</v>
      </c>
      <c r="W155" s="216">
        <v>135142</v>
      </c>
      <c r="X155" s="217">
        <v>2.89</v>
      </c>
      <c r="Y155" s="218">
        <f t="shared" si="483"/>
        <v>1.0288999999999999</v>
      </c>
      <c r="Z155" s="196">
        <v>19</v>
      </c>
      <c r="AA155" s="218">
        <f t="shared" si="484"/>
        <v>1.7182651319612778</v>
      </c>
      <c r="AB155" s="196">
        <f t="shared" si="485"/>
        <v>232209.786463511</v>
      </c>
      <c r="AC155">
        <v>17.600000000000001</v>
      </c>
      <c r="AD155" s="196">
        <f t="shared" si="486"/>
        <v>40868.922417577938</v>
      </c>
      <c r="AE155" s="196">
        <f t="shared" si="487"/>
        <v>38825.476296699038</v>
      </c>
      <c r="AF155" s="196">
        <f t="shared" si="490"/>
        <v>38825.476296699038</v>
      </c>
      <c r="AG155" s="606">
        <f t="shared" si="432"/>
        <v>1.7951195769247059E-3</v>
      </c>
      <c r="AH155" s="196">
        <f t="shared" si="504"/>
        <v>11610.48932317555</v>
      </c>
      <c r="AI155" s="248">
        <f t="shared" si="409"/>
        <v>8.9944701625680422E-4</v>
      </c>
      <c r="AJ155" s="196">
        <f t="shared" si="412"/>
        <v>52479.411740753487</v>
      </c>
      <c r="AK155" s="196">
        <f t="shared" si="455"/>
        <v>9288.39145854044</v>
      </c>
      <c r="AL155" s="196">
        <f t="shared" si="456"/>
        <v>9288.39145854044</v>
      </c>
      <c r="AM155" s="196">
        <f t="shared" si="413"/>
        <v>18576.78291708088</v>
      </c>
      <c r="AN155" s="627">
        <f t="shared" si="414"/>
        <v>8.9944701625680411E-4</v>
      </c>
      <c r="AO155" s="196">
        <f t="shared" si="415"/>
        <v>8823.9718856134186</v>
      </c>
      <c r="AP155" s="589">
        <f t="shared" si="433"/>
        <v>8.9944701625680422E-4</v>
      </c>
      <c r="AQ155" s="196"/>
      <c r="AR155" s="589"/>
      <c r="AS155">
        <v>1</v>
      </c>
      <c r="AT155" s="589">
        <f t="shared" si="434"/>
        <v>1.2919896640826874E-3</v>
      </c>
      <c r="AU155" s="196">
        <v>10</v>
      </c>
      <c r="AV155" s="245">
        <f t="shared" si="416"/>
        <v>1.1362345188046814E-3</v>
      </c>
      <c r="AX155" s="245"/>
      <c r="AY155" s="245"/>
      <c r="AZ155" s="196">
        <v>29</v>
      </c>
      <c r="BA155" s="589">
        <f t="shared" si="447"/>
        <v>1.0626213770107361E-3</v>
      </c>
      <c r="BI155" s="196">
        <v>0</v>
      </c>
      <c r="BK155" s="246">
        <f t="shared" si="448"/>
        <v>0</v>
      </c>
      <c r="BL155" s="246"/>
      <c r="BM155" s="246">
        <f t="shared" si="449"/>
        <v>0</v>
      </c>
      <c r="BN155" s="196">
        <v>1</v>
      </c>
      <c r="BO155" s="196">
        <f t="shared" si="491"/>
        <v>17636.202690644823</v>
      </c>
      <c r="BP155" s="196">
        <f t="shared" si="417"/>
        <v>17636.202690644823</v>
      </c>
      <c r="BQ155" s="248">
        <f t="shared" si="450"/>
        <v>1.6497846343583647E-3</v>
      </c>
      <c r="BR155" s="248"/>
      <c r="BS155" s="248"/>
      <c r="BT155" s="276">
        <v>1</v>
      </c>
      <c r="BU155" s="196">
        <f t="shared" si="505"/>
        <v>32368.186554721728</v>
      </c>
      <c r="BV155" s="264">
        <f t="shared" si="451"/>
        <v>2.2451187298562119E-3</v>
      </c>
      <c r="BW155" s="196">
        <f t="shared" si="506"/>
        <v>138463.90915075407</v>
      </c>
      <c r="BX155" s="247">
        <f t="shared" si="452"/>
        <v>2.2451187500803277E-3</v>
      </c>
      <c r="BY155" s="196">
        <f t="shared" si="492"/>
        <v>170832.0957054758</v>
      </c>
      <c r="BZ155" s="620">
        <v>0</v>
      </c>
      <c r="CA155" s="196">
        <f t="shared" si="493"/>
        <v>71056.194657834363</v>
      </c>
      <c r="CB155" s="196">
        <f t="shared" si="494"/>
        <v>142112.38931566873</v>
      </c>
      <c r="CC155" s="196">
        <f t="shared" si="430"/>
        <v>213168.58397350309</v>
      </c>
      <c r="CD155" s="247">
        <f t="shared" si="418"/>
        <v>8.9944701625680411E-4</v>
      </c>
      <c r="CE155" s="196">
        <f t="shared" si="495"/>
        <v>23497.98366414518</v>
      </c>
      <c r="CF155" s="247">
        <f t="shared" si="419"/>
        <v>1.0147160120702484E-3</v>
      </c>
      <c r="CG155" s="196">
        <f t="shared" si="460"/>
        <v>35295.887542453675</v>
      </c>
      <c r="CH155" s="589">
        <f t="shared" si="435"/>
        <v>8.9944701625680422E-4</v>
      </c>
      <c r="CI155" s="196">
        <f t="shared" si="496"/>
        <v>49472.744988130275</v>
      </c>
      <c r="CJ155" s="248">
        <f t="shared" si="436"/>
        <v>8.1333180202643152E-4</v>
      </c>
      <c r="CK155" s="196">
        <f t="shared" si="497"/>
        <v>50903.852973856076</v>
      </c>
      <c r="CL155" s="589">
        <f t="shared" si="437"/>
        <v>7.3175335697502769E-4</v>
      </c>
      <c r="CM155" s="196">
        <f t="shared" si="498"/>
        <v>4931.2944164747933</v>
      </c>
      <c r="CN155" s="589">
        <f t="shared" si="438"/>
        <v>7.1065556785422982E-4</v>
      </c>
      <c r="CO155" s="196">
        <f t="shared" si="499"/>
        <v>394.50695424000276</v>
      </c>
      <c r="CP155" s="589">
        <f t="shared" si="439"/>
        <v>7.4397935043921874E-4</v>
      </c>
      <c r="CQ155" s="196">
        <f>'Detailed Budget'!$AC$12</f>
        <v>292876014141.44696</v>
      </c>
      <c r="CR155" s="269">
        <f t="shared" si="440"/>
        <v>0</v>
      </c>
      <c r="CS155" s="269">
        <f>'Detailed Budget'!$AC$16</f>
        <v>10488008800.000002</v>
      </c>
      <c r="CT155" s="607">
        <f t="shared" si="461"/>
        <v>0</v>
      </c>
      <c r="CU155" s="269">
        <f>'Detailed Budget'!$AC$24</f>
        <v>30624985696</v>
      </c>
      <c r="CV155" s="269">
        <f t="shared" si="446"/>
        <v>0</v>
      </c>
      <c r="CW155" s="269"/>
      <c r="CX155" s="269">
        <f t="shared" si="431"/>
        <v>0</v>
      </c>
      <c r="CY155" s="196">
        <f>'Detailed Budget'!$AC$97</f>
        <v>74629165494.837845</v>
      </c>
      <c r="CZ155" s="269">
        <f t="shared" si="462"/>
        <v>123122050.50837094</v>
      </c>
      <c r="DA155" s="269">
        <f>'Detailed Budget'!$AC$100</f>
        <v>14925833098.967569</v>
      </c>
      <c r="DB155" s="269">
        <f t="shared" si="463"/>
        <v>24624410.101674188</v>
      </c>
      <c r="DC155" s="269">
        <f t="shared" si="420"/>
        <v>147746460.61004514</v>
      </c>
      <c r="DD155" s="207">
        <v>0</v>
      </c>
      <c r="DE155" s="606">
        <v>0</v>
      </c>
      <c r="DF155" s="269">
        <f>'Detailed Budget'!$AC$147</f>
        <v>5913600671000</v>
      </c>
      <c r="DG155" s="269">
        <f t="shared" si="441"/>
        <v>0</v>
      </c>
      <c r="DH155" s="269">
        <f>'Detailed Budget'!$AC$153</f>
        <v>226428026880.00003</v>
      </c>
      <c r="DI155" s="269"/>
      <c r="DJ155" s="269">
        <f>'Detailed Budget'!$AC$156</f>
        <v>27713070000</v>
      </c>
      <c r="DK155" s="269"/>
      <c r="DL155" s="269"/>
      <c r="DM155" s="196">
        <f>'Detailed Budget'!$AC$178</f>
        <v>5622683761.6229038</v>
      </c>
      <c r="DN155" s="269">
        <f t="shared" si="500"/>
        <v>12623592.625277961</v>
      </c>
      <c r="DO155" s="196">
        <f>'Detailed Budget'!$AC$179</f>
        <v>26827890683.128094</v>
      </c>
      <c r="DP155" s="269">
        <f t="shared" si="501"/>
        <v>60231800.397796214</v>
      </c>
      <c r="DQ155" s="269">
        <f t="shared" si="457"/>
        <v>72855393.02307418</v>
      </c>
      <c r="DR155" s="269">
        <f>'Detailed Budget'!$AC$181</f>
        <v>50888946855.375237</v>
      </c>
      <c r="DS155" s="269">
        <f t="shared" si="502"/>
        <v>91351744.749165043</v>
      </c>
      <c r="DT155" s="269">
        <f t="shared" si="503"/>
        <v>164207137.77223921</v>
      </c>
      <c r="DU155" s="272">
        <f>'Detailed Budget'!$AC$192</f>
        <v>77498869683.252869</v>
      </c>
      <c r="DV155" s="269">
        <f t="shared" si="464"/>
        <v>0</v>
      </c>
      <c r="DW155" s="140">
        <f>'Detailed Budget'!$AC$194</f>
        <v>2684962805.4134097</v>
      </c>
      <c r="DX155" s="269">
        <f t="shared" si="465"/>
        <v>0</v>
      </c>
      <c r="DY155" s="607">
        <f t="shared" si="421"/>
        <v>0</v>
      </c>
      <c r="DZ155" s="196">
        <f>'Detailed Budget'!$AC$198</f>
        <v>18732540018.380611</v>
      </c>
      <c r="EA155" s="269">
        <f t="shared" si="466"/>
        <v>19008208.30339751</v>
      </c>
      <c r="EB155" s="196">
        <f>'Detailed Budget'!$AC$200</f>
        <v>4683135004.5951529</v>
      </c>
      <c r="EC155" s="269">
        <f t="shared" si="467"/>
        <v>4752052.0758493776</v>
      </c>
      <c r="ED155" s="269">
        <f t="shared" si="422"/>
        <v>23760260.379246887</v>
      </c>
      <c r="EE155" s="196">
        <f>'Detailed Budget'!$AC$161</f>
        <v>251147290106.36197</v>
      </c>
      <c r="EF155" s="269">
        <f t="shared" si="468"/>
        <v>225893680.72714928</v>
      </c>
      <c r="EG155" s="196">
        <f>'Detailed Budget'!$AC$163</f>
        <v>15696705631.647623</v>
      </c>
      <c r="EH155" s="269">
        <f t="shared" si="469"/>
        <v>14118355.04544683</v>
      </c>
      <c r="EI155" s="269">
        <f t="shared" si="423"/>
        <v>240012035.77259612</v>
      </c>
      <c r="EJ155" s="196">
        <f>'Detailed Budget'!$AC$204</f>
        <v>45012172507.531975</v>
      </c>
      <c r="EK155" s="269">
        <f t="shared" si="470"/>
        <v>36609831.37867558</v>
      </c>
      <c r="EL155" s="201">
        <f>'Detailed Budget'!$AC$206</f>
        <v>11253043126.882994</v>
      </c>
      <c r="EM155" s="269">
        <f t="shared" si="471"/>
        <v>9152457.844668895</v>
      </c>
      <c r="EN155" s="269">
        <f t="shared" si="424"/>
        <v>45762289.223344475</v>
      </c>
      <c r="EO155" s="140">
        <f>'Detailed Budget'!$AC$209</f>
        <v>135789361677.54817</v>
      </c>
      <c r="EP155" s="269">
        <f t="shared" si="472"/>
        <v>99364321.249042049</v>
      </c>
      <c r="EQ155" s="196">
        <f>'Detailed Budget'!$AC$211</f>
        <v>33947340419.387043</v>
      </c>
      <c r="ER155" s="269">
        <f t="shared" si="473"/>
        <v>24841080.312260512</v>
      </c>
      <c r="ES155" s="269">
        <f t="shared" si="425"/>
        <v>124205401.56130256</v>
      </c>
      <c r="ET155" s="196">
        <f>'Detailed Budget'!$AC$214</f>
        <v>22239745544.201103</v>
      </c>
      <c r="EU155" s="269">
        <f t="shared" si="474"/>
        <v>15804798.998647813</v>
      </c>
      <c r="EV155" s="140">
        <f>'Detailed Budget'!$AC$217</f>
        <v>5559936386.0502758</v>
      </c>
      <c r="EW155" s="269">
        <f t="shared" si="475"/>
        <v>3951199.7496619532</v>
      </c>
      <c r="EX155" s="269">
        <f t="shared" si="426"/>
        <v>19755998.748309765</v>
      </c>
      <c r="EY155" s="196">
        <f>'Detailed Budget'!$AC$219</f>
        <v>372777004.58170313</v>
      </c>
      <c r="EZ155" s="269">
        <f t="shared" si="476"/>
        <v>277338.39372737316</v>
      </c>
      <c r="FA155" s="196">
        <f>'Detailed Budget'!$AC$222</f>
        <v>93194251.145425782</v>
      </c>
      <c r="FB155" s="269">
        <f t="shared" si="477"/>
        <v>69334.598431843289</v>
      </c>
      <c r="FC155" s="269">
        <f t="shared" si="427"/>
        <v>346672.99215921643</v>
      </c>
      <c r="FD155" s="269"/>
      <c r="FE155" s="269">
        <f t="shared" si="428"/>
        <v>190070362.52511603</v>
      </c>
      <c r="FF155" s="140">
        <f>'Detailed Budget'!$AC$165</f>
        <v>14927760000</v>
      </c>
      <c r="FG155" s="1087">
        <f t="shared" si="442"/>
        <v>259268555.97397622</v>
      </c>
      <c r="FH155" s="269">
        <f t="shared" si="478"/>
        <v>16961436.200431772</v>
      </c>
      <c r="FJ155" s="140">
        <f>'Detailed Budget'!$AC$235</f>
        <v>3623696172</v>
      </c>
      <c r="FK155" s="269">
        <f t="shared" si="479"/>
        <v>4681778</v>
      </c>
      <c r="FL155" s="269">
        <f t="shared" si="443"/>
        <v>4681778</v>
      </c>
      <c r="FO155" s="607"/>
      <c r="FP155" s="607"/>
      <c r="FQ155" s="607"/>
      <c r="FR155" s="269">
        <f>'Detailed Budget'!$AC$257</f>
        <v>13636439388</v>
      </c>
      <c r="FS155" s="269">
        <f t="shared" si="480"/>
        <v>14490372</v>
      </c>
      <c r="FT155" s="269">
        <f t="shared" si="444"/>
        <v>14490372</v>
      </c>
      <c r="FU155" s="269"/>
      <c r="FV155" s="269"/>
      <c r="FW155" s="616"/>
      <c r="FX155" s="140">
        <f>'Detailed Budget'!$AC$278</f>
        <v>1114560000</v>
      </c>
      <c r="FY155" s="269">
        <f t="shared" si="481"/>
        <v>1440000</v>
      </c>
      <c r="FZ155" s="269">
        <f t="shared" si="445"/>
        <v>1440000</v>
      </c>
      <c r="GB155" s="269">
        <f t="shared" si="453"/>
        <v>1062638399.2336515</v>
      </c>
      <c r="GC155" s="887">
        <f t="shared" si="429"/>
        <v>664148.99952103221</v>
      </c>
      <c r="GD155" s="1078">
        <f t="shared" si="454"/>
        <v>5.9627986733996224E-4</v>
      </c>
    </row>
    <row r="156" spans="1:186" outlineLevel="1">
      <c r="A156" s="211" t="s">
        <v>484</v>
      </c>
      <c r="B156" s="212" t="s">
        <v>485</v>
      </c>
      <c r="C156" s="213" t="s">
        <v>215</v>
      </c>
      <c r="D156" s="225"/>
      <c r="E156" s="213"/>
      <c r="F156" s="213"/>
      <c r="G156" s="213"/>
      <c r="H156" s="213" t="s">
        <v>215</v>
      </c>
      <c r="I156" s="214" t="s">
        <v>215</v>
      </c>
      <c r="J156" s="214"/>
      <c r="K156" s="213" t="s">
        <v>215</v>
      </c>
      <c r="L156" s="213"/>
      <c r="M156" s="214"/>
      <c r="N156" s="213"/>
      <c r="O156" s="214"/>
      <c r="P156" s="213"/>
      <c r="Q156" s="214"/>
      <c r="R156" s="214" t="s">
        <v>215</v>
      </c>
      <c r="S156" s="214"/>
      <c r="T156" s="214"/>
      <c r="U156" s="215">
        <f t="shared" si="489"/>
        <v>5</v>
      </c>
      <c r="V156" s="845" t="s">
        <v>467</v>
      </c>
      <c r="W156" s="216">
        <v>110175</v>
      </c>
      <c r="X156" s="217">
        <v>2.89</v>
      </c>
      <c r="Y156" s="218">
        <f t="shared" si="483"/>
        <v>1.0288999999999999</v>
      </c>
      <c r="Z156" s="196">
        <v>19</v>
      </c>
      <c r="AA156" s="218">
        <f t="shared" si="484"/>
        <v>1.7182651319612778</v>
      </c>
      <c r="AB156" s="196">
        <f t="shared" si="485"/>
        <v>189309.86091383378</v>
      </c>
      <c r="AC156">
        <v>17.600000000000001</v>
      </c>
      <c r="AD156" s="196">
        <f t="shared" si="486"/>
        <v>33318.535520834746</v>
      </c>
      <c r="AE156" s="196">
        <f t="shared" si="487"/>
        <v>31652.608744793008</v>
      </c>
      <c r="AF156" s="196">
        <f t="shared" si="490"/>
        <v>31652.608744793008</v>
      </c>
      <c r="AG156" s="606">
        <f t="shared" si="432"/>
        <v>1.4634776708031512E-3</v>
      </c>
      <c r="AH156" s="196">
        <f t="shared" si="504"/>
        <v>9465.49304569169</v>
      </c>
      <c r="AI156" s="248">
        <f t="shared" si="409"/>
        <v>7.3327740462693618E-4</v>
      </c>
      <c r="AJ156" s="196">
        <f t="shared" si="412"/>
        <v>42784.028566526438</v>
      </c>
      <c r="AK156" s="196">
        <f t="shared" si="455"/>
        <v>7572.3944365533516</v>
      </c>
      <c r="AL156" s="196">
        <f t="shared" si="456"/>
        <v>7572.3944365533516</v>
      </c>
      <c r="AM156" s="196">
        <f t="shared" si="413"/>
        <v>15144.788873106703</v>
      </c>
      <c r="AN156" s="627">
        <f t="shared" si="414"/>
        <v>7.3327740462693618E-4</v>
      </c>
      <c r="AO156" s="196">
        <f t="shared" si="415"/>
        <v>7193.7747147256832</v>
      </c>
      <c r="AP156" s="589">
        <f t="shared" si="433"/>
        <v>7.3327740462693608E-4</v>
      </c>
      <c r="AQ156" s="196"/>
      <c r="AR156" s="589"/>
      <c r="AS156">
        <v>1</v>
      </c>
      <c r="AT156" s="589">
        <f t="shared" si="434"/>
        <v>1.2919896640826874E-3</v>
      </c>
      <c r="AU156" s="196">
        <v>10</v>
      </c>
      <c r="AV156" s="245">
        <f t="shared" si="416"/>
        <v>1.1362345188046814E-3</v>
      </c>
      <c r="AX156" s="245"/>
      <c r="AY156" s="245"/>
      <c r="AZ156" s="196">
        <v>36</v>
      </c>
      <c r="BA156" s="589">
        <f t="shared" si="447"/>
        <v>1.3191161921512586E-3</v>
      </c>
      <c r="BI156" s="196">
        <v>0</v>
      </c>
      <c r="BK156" s="246">
        <f t="shared" si="448"/>
        <v>0</v>
      </c>
      <c r="BL156" s="246"/>
      <c r="BM156" s="246">
        <f t="shared" si="449"/>
        <v>0</v>
      </c>
      <c r="BN156" s="196">
        <v>1</v>
      </c>
      <c r="BO156" s="196">
        <f t="shared" si="491"/>
        <v>14377.977471413726</v>
      </c>
      <c r="BP156" s="196">
        <f t="shared" si="417"/>
        <v>14377.977471413726</v>
      </c>
      <c r="BQ156" s="248">
        <f t="shared" si="450"/>
        <v>1.3449928378330414E-3</v>
      </c>
      <c r="BR156" s="248"/>
      <c r="BS156" s="248"/>
      <c r="BT156" s="276">
        <v>1</v>
      </c>
      <c r="BU156" s="196">
        <f t="shared" si="505"/>
        <v>26388.280132501121</v>
      </c>
      <c r="BV156" s="264">
        <f t="shared" si="451"/>
        <v>1.830341093530569E-3</v>
      </c>
      <c r="BW156" s="196">
        <f t="shared" si="506"/>
        <v>112883.19834458813</v>
      </c>
      <c r="BX156" s="247">
        <f t="shared" si="452"/>
        <v>1.8303411100183517E-3</v>
      </c>
      <c r="BY156" s="196">
        <f t="shared" si="492"/>
        <v>139271.47847708926</v>
      </c>
      <c r="BZ156" s="620">
        <v>0</v>
      </c>
      <c r="CA156" s="196">
        <f t="shared" si="493"/>
        <v>57928.817439633145</v>
      </c>
      <c r="CB156" s="196">
        <f t="shared" si="494"/>
        <v>115857.63487926629</v>
      </c>
      <c r="CC156" s="196">
        <f t="shared" si="430"/>
        <v>173786.45231889945</v>
      </c>
      <c r="CD156" s="247">
        <f t="shared" si="418"/>
        <v>7.3327740462693629E-4</v>
      </c>
      <c r="CE156" s="196">
        <f t="shared" si="495"/>
        <v>19156.815425235643</v>
      </c>
      <c r="CF156" s="247">
        <f t="shared" si="419"/>
        <v>8.2725086671678403E-4</v>
      </c>
      <c r="CG156" s="196">
        <f t="shared" si="460"/>
        <v>28775.098858902733</v>
      </c>
      <c r="CH156" s="589">
        <f t="shared" si="435"/>
        <v>7.3327740462693608E-4</v>
      </c>
      <c r="CI156" s="196">
        <f t="shared" si="496"/>
        <v>40332.832717195641</v>
      </c>
      <c r="CJ156" s="248">
        <f t="shared" si="436"/>
        <v>6.630716674924309E-4</v>
      </c>
      <c r="CK156" s="196">
        <f t="shared" si="497"/>
        <v>41499.548633249418</v>
      </c>
      <c r="CL156" s="589">
        <f t="shared" si="437"/>
        <v>5.9656454769593228E-4</v>
      </c>
      <c r="CM156" s="196">
        <f t="shared" si="498"/>
        <v>4020.2554523028393</v>
      </c>
      <c r="CN156" s="589">
        <f t="shared" si="438"/>
        <v>5.7936449947714082E-4</v>
      </c>
      <c r="CO156" s="196">
        <f t="shared" si="499"/>
        <v>321.62320879809607</v>
      </c>
      <c r="CP156" s="589">
        <f t="shared" si="439"/>
        <v>6.065318326992417E-4</v>
      </c>
      <c r="CQ156" s="196">
        <f>'Detailed Budget'!$AC$12</f>
        <v>292876014141.44696</v>
      </c>
      <c r="CR156" s="269">
        <f t="shared" si="440"/>
        <v>0</v>
      </c>
      <c r="CS156" s="269">
        <f>'Detailed Budget'!$AC$16</f>
        <v>10488008800.000002</v>
      </c>
      <c r="CT156" s="607">
        <f t="shared" si="461"/>
        <v>0</v>
      </c>
      <c r="CU156" s="269">
        <f>'Detailed Budget'!$AC$24</f>
        <v>30624985696</v>
      </c>
      <c r="CV156" s="269">
        <f t="shared" si="446"/>
        <v>0</v>
      </c>
      <c r="CW156" s="269"/>
      <c r="CX156" s="269">
        <f t="shared" si="431"/>
        <v>0</v>
      </c>
      <c r="CY156" s="196">
        <f>'Detailed Budget'!$AC$97</f>
        <v>74629165494.837845</v>
      </c>
      <c r="CZ156" s="269">
        <f t="shared" si="462"/>
        <v>100375693.08401364</v>
      </c>
      <c r="DA156" s="269">
        <f>'Detailed Budget'!$AC$100</f>
        <v>14925833098.967569</v>
      </c>
      <c r="DB156" s="269">
        <f t="shared" si="463"/>
        <v>20075138.61680273</v>
      </c>
      <c r="DC156" s="269">
        <f t="shared" si="420"/>
        <v>120450831.70081636</v>
      </c>
      <c r="DD156" s="207">
        <v>0</v>
      </c>
      <c r="DE156" s="606">
        <v>0</v>
      </c>
      <c r="DF156" s="269">
        <f>'Detailed Budget'!$AC$147</f>
        <v>5913600671000</v>
      </c>
      <c r="DG156" s="269">
        <f t="shared" si="441"/>
        <v>0</v>
      </c>
      <c r="DH156" s="269">
        <f>'Detailed Budget'!$AC$153</f>
        <v>226428026880.00003</v>
      </c>
      <c r="DI156" s="269"/>
      <c r="DJ156" s="269">
        <f>'Detailed Budget'!$AC$156</f>
        <v>27713070000</v>
      </c>
      <c r="DK156" s="269"/>
      <c r="DL156" s="269"/>
      <c r="DM156" s="196">
        <f>'Detailed Budget'!$AC$178</f>
        <v>5622683761.6229038</v>
      </c>
      <c r="DN156" s="269">
        <f t="shared" si="500"/>
        <v>10291429.14482544</v>
      </c>
      <c r="DO156" s="196">
        <f>'Detailed Budget'!$AC$179</f>
        <v>26827890683.128094</v>
      </c>
      <c r="DP156" s="269">
        <f t="shared" si="501"/>
        <v>49104191.212407671</v>
      </c>
      <c r="DQ156" s="269">
        <f t="shared" si="457"/>
        <v>59395620.357233107</v>
      </c>
      <c r="DR156" s="269">
        <f>'Detailed Budget'!$AC$181</f>
        <v>50888946855.375237</v>
      </c>
      <c r="DS156" s="269">
        <f t="shared" si="502"/>
        <v>74474837.413529903</v>
      </c>
      <c r="DT156" s="269">
        <f t="shared" si="503"/>
        <v>133870457.77076301</v>
      </c>
      <c r="DU156" s="272">
        <f>'Detailed Budget'!$AC$192</f>
        <v>77498869683.252869</v>
      </c>
      <c r="DV156" s="269">
        <f t="shared" si="464"/>
        <v>0</v>
      </c>
      <c r="DW156" s="140">
        <f>'Detailed Budget'!$AC$194</f>
        <v>2684962805.4134097</v>
      </c>
      <c r="DX156" s="269">
        <f t="shared" si="465"/>
        <v>0</v>
      </c>
      <c r="DY156" s="607">
        <f t="shared" si="421"/>
        <v>0</v>
      </c>
      <c r="DZ156" s="196">
        <f>'Detailed Budget'!$AC$198</f>
        <v>18732540018.380611</v>
      </c>
      <c r="EA156" s="269">
        <f t="shared" si="466"/>
        <v>15496509.966012202</v>
      </c>
      <c r="EB156" s="196">
        <f>'Detailed Budget'!$AC$200</f>
        <v>4683135004.5951529</v>
      </c>
      <c r="EC156" s="269">
        <f t="shared" si="467"/>
        <v>3874127.4915030506</v>
      </c>
      <c r="ED156" s="269">
        <f t="shared" si="422"/>
        <v>19370637.457515255</v>
      </c>
      <c r="EE156" s="196">
        <f>'Detailed Budget'!$AC$161</f>
        <v>251147290106.36197</v>
      </c>
      <c r="EF156" s="269">
        <f t="shared" si="468"/>
        <v>184160633.06828129</v>
      </c>
      <c r="EG156" s="196">
        <f>'Detailed Budget'!$AC$163</f>
        <v>15696705631.647623</v>
      </c>
      <c r="EH156" s="269">
        <f t="shared" si="469"/>
        <v>11510039.566767581</v>
      </c>
      <c r="EI156" s="269">
        <f t="shared" si="423"/>
        <v>195670672.63504887</v>
      </c>
      <c r="EJ156" s="196">
        <f>'Detailed Budget'!$AC$204</f>
        <v>45012172507.531975</v>
      </c>
      <c r="EK156" s="269">
        <f t="shared" si="470"/>
        <v>29846296.282026183</v>
      </c>
      <c r="EL156" s="201">
        <f>'Detailed Budget'!$AC$206</f>
        <v>11253043126.882994</v>
      </c>
      <c r="EM156" s="269">
        <f t="shared" si="471"/>
        <v>7461574.0705065457</v>
      </c>
      <c r="EN156" s="269">
        <f t="shared" si="424"/>
        <v>37307870.35253273</v>
      </c>
      <c r="EO156" s="140">
        <f>'Detailed Budget'!$AC$209</f>
        <v>135789361677.54817</v>
      </c>
      <c r="EP156" s="269">
        <f t="shared" si="472"/>
        <v>81007119.131085888</v>
      </c>
      <c r="EQ156" s="196">
        <f>'Detailed Budget'!$AC$211</f>
        <v>33947340419.387043</v>
      </c>
      <c r="ER156" s="269">
        <f t="shared" si="473"/>
        <v>20251779.782771472</v>
      </c>
      <c r="ES156" s="269">
        <f t="shared" si="425"/>
        <v>101258898.91385736</v>
      </c>
      <c r="ET156" s="196">
        <f>'Detailed Budget'!$AC$214</f>
        <v>22239745544.201103</v>
      </c>
      <c r="EU156" s="269">
        <f t="shared" si="474"/>
        <v>12884919.045715045</v>
      </c>
      <c r="EV156" s="140">
        <f>'Detailed Budget'!$AC$217</f>
        <v>5559936386.0502758</v>
      </c>
      <c r="EW156" s="269">
        <f t="shared" si="475"/>
        <v>3221229.7614287613</v>
      </c>
      <c r="EX156" s="269">
        <f t="shared" si="426"/>
        <v>16106148.807143807</v>
      </c>
      <c r="EY156" s="196">
        <f>'Detailed Budget'!$AC$219</f>
        <v>372777004.58170313</v>
      </c>
      <c r="EZ156" s="269">
        <f t="shared" si="476"/>
        <v>226101.11977707403</v>
      </c>
      <c r="FA156" s="196">
        <f>'Detailed Budget'!$AC$222</f>
        <v>93194251.145425782</v>
      </c>
      <c r="FB156" s="269">
        <f t="shared" si="477"/>
        <v>56525.279944268506</v>
      </c>
      <c r="FC156" s="269">
        <f t="shared" si="427"/>
        <v>282626.39972134255</v>
      </c>
      <c r="FD156" s="269"/>
      <c r="FE156" s="269">
        <f t="shared" si="428"/>
        <v>154955544.47325525</v>
      </c>
      <c r="FF156" s="140">
        <f>'Detailed Budget'!$AC$165</f>
        <v>14927760000</v>
      </c>
      <c r="FG156" s="1087">
        <f t="shared" si="442"/>
        <v>211369619.76611885</v>
      </c>
      <c r="FH156" s="269">
        <f t="shared" si="478"/>
        <v>16961436.200431772</v>
      </c>
      <c r="FJ156" s="140">
        <f>'Detailed Budget'!$AC$235</f>
        <v>3623696172</v>
      </c>
      <c r="FK156" s="269">
        <f t="shared" si="479"/>
        <v>4681778</v>
      </c>
      <c r="FL156" s="269">
        <f t="shared" si="443"/>
        <v>4681778</v>
      </c>
      <c r="FO156" s="607"/>
      <c r="FP156" s="607"/>
      <c r="FQ156" s="607"/>
      <c r="FR156" s="269">
        <f>'Detailed Budget'!$AC$257</f>
        <v>13636439388</v>
      </c>
      <c r="FS156" s="269">
        <f t="shared" si="480"/>
        <v>17988048</v>
      </c>
      <c r="FT156" s="269">
        <f t="shared" si="444"/>
        <v>17988048</v>
      </c>
      <c r="FU156" s="269"/>
      <c r="FV156" s="269"/>
      <c r="FW156" s="616"/>
      <c r="FX156" s="140">
        <f>'Detailed Budget'!$AC$278</f>
        <v>1114560000</v>
      </c>
      <c r="FY156" s="269">
        <f t="shared" si="481"/>
        <v>1440000</v>
      </c>
      <c r="FZ156" s="269">
        <f t="shared" si="445"/>
        <v>1440000</v>
      </c>
      <c r="GB156" s="269">
        <f t="shared" si="453"/>
        <v>876759026.0039494</v>
      </c>
      <c r="GC156" s="887">
        <f t="shared" si="429"/>
        <v>547974.39125246834</v>
      </c>
      <c r="GD156" s="1078">
        <f t="shared" si="454"/>
        <v>4.9197709784605504E-4</v>
      </c>
    </row>
    <row r="157" spans="1:186" outlineLevel="1">
      <c r="A157" s="211" t="s">
        <v>486</v>
      </c>
      <c r="B157" s="212" t="s">
        <v>487</v>
      </c>
      <c r="C157" s="213" t="s">
        <v>215</v>
      </c>
      <c r="D157" s="225"/>
      <c r="E157" s="213"/>
      <c r="F157" s="213"/>
      <c r="G157" s="213"/>
      <c r="H157" s="213" t="s">
        <v>215</v>
      </c>
      <c r="I157" s="214" t="s">
        <v>215</v>
      </c>
      <c r="J157" s="214"/>
      <c r="K157" s="213" t="s">
        <v>215</v>
      </c>
      <c r="L157" s="213"/>
      <c r="M157" s="214"/>
      <c r="N157" s="213"/>
      <c r="O157" s="214"/>
      <c r="P157" s="213"/>
      <c r="Q157" s="214"/>
      <c r="R157" s="214" t="s">
        <v>215</v>
      </c>
      <c r="S157" s="214"/>
      <c r="T157" s="214"/>
      <c r="U157" s="215">
        <f t="shared" si="489"/>
        <v>5</v>
      </c>
      <c r="V157" s="845" t="s">
        <v>467</v>
      </c>
      <c r="W157" s="216">
        <v>152803</v>
      </c>
      <c r="X157" s="217">
        <v>2.89</v>
      </c>
      <c r="Y157" s="218">
        <f t="shared" si="483"/>
        <v>1.0288999999999999</v>
      </c>
      <c r="Z157" s="196">
        <v>19</v>
      </c>
      <c r="AA157" s="218">
        <f t="shared" si="484"/>
        <v>1.7182651319612778</v>
      </c>
      <c r="AB157" s="196">
        <f t="shared" si="485"/>
        <v>262556.06695907912</v>
      </c>
      <c r="AC157">
        <v>17.600000000000001</v>
      </c>
      <c r="AD157" s="196">
        <f t="shared" si="486"/>
        <v>46209.867784797934</v>
      </c>
      <c r="AE157" s="196">
        <f t="shared" si="487"/>
        <v>43899.374395558036</v>
      </c>
      <c r="AF157" s="196">
        <f t="shared" si="490"/>
        <v>43899.374395558036</v>
      </c>
      <c r="AG157" s="606">
        <f t="shared" si="432"/>
        <v>2.0297143501859221E-3</v>
      </c>
      <c r="AH157" s="196">
        <f t="shared" si="504"/>
        <v>13127.803347953957</v>
      </c>
      <c r="AI157" s="248">
        <f t="shared" si="409"/>
        <v>1.0169910348010866E-3</v>
      </c>
      <c r="AJ157" s="196">
        <f t="shared" si="412"/>
        <v>59337.671132751893</v>
      </c>
      <c r="AK157" s="196">
        <f t="shared" si="455"/>
        <v>10502.242678363165</v>
      </c>
      <c r="AL157" s="196">
        <f t="shared" si="456"/>
        <v>10502.242678363165</v>
      </c>
      <c r="AM157" s="196">
        <f t="shared" si="413"/>
        <v>21004.485356726331</v>
      </c>
      <c r="AN157" s="627">
        <f t="shared" si="414"/>
        <v>1.0169910348010866E-3</v>
      </c>
      <c r="AO157" s="196">
        <f t="shared" si="415"/>
        <v>9977.1305444450063</v>
      </c>
      <c r="AP157" s="589">
        <f t="shared" si="433"/>
        <v>1.0169910348010866E-3</v>
      </c>
      <c r="AQ157" s="196"/>
      <c r="AR157" s="589"/>
      <c r="AS157">
        <v>1</v>
      </c>
      <c r="AT157" s="589">
        <f t="shared" si="434"/>
        <v>1.2919896640826874E-3</v>
      </c>
      <c r="AU157" s="196">
        <v>12</v>
      </c>
      <c r="AV157" s="245">
        <f t="shared" si="416"/>
        <v>1.3634814225656176E-3</v>
      </c>
      <c r="AX157" s="245"/>
      <c r="AY157" s="245"/>
      <c r="AZ157" s="196">
        <v>43</v>
      </c>
      <c r="BA157" s="589">
        <f t="shared" si="447"/>
        <v>1.5756110072917811E-3</v>
      </c>
      <c r="BI157" s="196">
        <v>0</v>
      </c>
      <c r="BK157" s="246">
        <f t="shared" si="448"/>
        <v>0</v>
      </c>
      <c r="BL157" s="246"/>
      <c r="BM157" s="246">
        <f t="shared" si="449"/>
        <v>0</v>
      </c>
      <c r="BN157" s="196">
        <v>1</v>
      </c>
      <c r="BO157" s="196">
        <f t="shared" si="491"/>
        <v>19940.985627995749</v>
      </c>
      <c r="BP157" s="196">
        <f t="shared" si="417"/>
        <v>19940.985627995749</v>
      </c>
      <c r="BQ157" s="248">
        <f t="shared" si="450"/>
        <v>1.8653863453542295E-3</v>
      </c>
      <c r="BR157" s="248"/>
      <c r="BS157" s="248"/>
      <c r="BT157" s="276">
        <v>1</v>
      </c>
      <c r="BU157" s="196">
        <f t="shared" si="505"/>
        <v>36598.215285559971</v>
      </c>
      <c r="BV157" s="264">
        <f t="shared" si="451"/>
        <v>2.5385215349648434E-3</v>
      </c>
      <c r="BW157" s="196">
        <f t="shared" si="506"/>
        <v>156559.03205489542</v>
      </c>
      <c r="BX157" s="247">
        <f t="shared" si="452"/>
        <v>2.5385215578319423E-3</v>
      </c>
      <c r="BY157" s="196">
        <f t="shared" si="492"/>
        <v>193157.24734045539</v>
      </c>
      <c r="BZ157" s="620">
        <v>0</v>
      </c>
      <c r="CA157" s="196">
        <f t="shared" si="493"/>
        <v>80342.156489478206</v>
      </c>
      <c r="CB157" s="196">
        <f t="shared" si="494"/>
        <v>160684.31297895641</v>
      </c>
      <c r="CC157" s="196">
        <f t="shared" si="430"/>
        <v>241026.46946843463</v>
      </c>
      <c r="CD157" s="247">
        <f t="shared" si="418"/>
        <v>1.0169910348010866E-3</v>
      </c>
      <c r="CE157" s="196">
        <f t="shared" si="495"/>
        <v>26568.812048307529</v>
      </c>
      <c r="CF157" s="247">
        <f t="shared" si="419"/>
        <v>1.1473239318078034E-3</v>
      </c>
      <c r="CG157" s="196">
        <f t="shared" si="460"/>
        <v>39908.522177780025</v>
      </c>
      <c r="CH157" s="589">
        <f t="shared" si="435"/>
        <v>1.0169910348010866E-3</v>
      </c>
      <c r="CI157" s="196">
        <f t="shared" si="496"/>
        <v>55938.078853511644</v>
      </c>
      <c r="CJ157" s="248">
        <f t="shared" si="436"/>
        <v>9.1962187436211399E-4</v>
      </c>
      <c r="CK157" s="196">
        <f t="shared" si="497"/>
        <v>57556.21084462366</v>
      </c>
      <c r="CL157" s="589">
        <f t="shared" si="437"/>
        <v>8.2738236969894755E-4</v>
      </c>
      <c r="CM157" s="196">
        <f t="shared" si="498"/>
        <v>5575.7394497683754</v>
      </c>
      <c r="CN157" s="589">
        <f t="shared" si="438"/>
        <v>8.0352742104475197E-4</v>
      </c>
      <c r="CO157" s="196">
        <f t="shared" si="499"/>
        <v>446.06300135217134</v>
      </c>
      <c r="CP157" s="589">
        <f t="shared" si="439"/>
        <v>8.4120611419961173E-4</v>
      </c>
      <c r="CQ157" s="196">
        <f>'Detailed Budget'!$AC$12</f>
        <v>292876014141.44696</v>
      </c>
      <c r="CR157" s="269">
        <f t="shared" si="440"/>
        <v>0</v>
      </c>
      <c r="CS157" s="269">
        <f>'Detailed Budget'!$AC$16</f>
        <v>10488008800.000002</v>
      </c>
      <c r="CT157" s="607">
        <f t="shared" si="461"/>
        <v>0</v>
      </c>
      <c r="CU157" s="269">
        <f>'Detailed Budget'!$AC$24</f>
        <v>30624985696</v>
      </c>
      <c r="CV157" s="269">
        <f t="shared" si="446"/>
        <v>0</v>
      </c>
      <c r="CW157" s="269"/>
      <c r="CX157" s="269">
        <f t="shared" si="431"/>
        <v>0</v>
      </c>
      <c r="CY157" s="196">
        <f>'Detailed Budget'!$AC$97</f>
        <v>74629165494.837845</v>
      </c>
      <c r="CZ157" s="269">
        <f t="shared" si="462"/>
        <v>139212226.27925155</v>
      </c>
      <c r="DA157" s="269">
        <f>'Detailed Budget'!$AC$100</f>
        <v>14925833098.967569</v>
      </c>
      <c r="DB157" s="269">
        <f t="shared" si="463"/>
        <v>27842445.255850308</v>
      </c>
      <c r="DC157" s="269">
        <f t="shared" si="420"/>
        <v>167054671.53510186</v>
      </c>
      <c r="DD157" s="207">
        <v>0</v>
      </c>
      <c r="DE157" s="606">
        <v>0</v>
      </c>
      <c r="DF157" s="269">
        <f>'Detailed Budget'!$AC$147</f>
        <v>5913600671000</v>
      </c>
      <c r="DG157" s="269">
        <f t="shared" si="441"/>
        <v>0</v>
      </c>
      <c r="DH157" s="269">
        <f>'Detailed Budget'!$AC$153</f>
        <v>226428026880.00003</v>
      </c>
      <c r="DI157" s="269"/>
      <c r="DJ157" s="269">
        <f>'Detailed Budget'!$AC$156</f>
        <v>27713070000</v>
      </c>
      <c r="DK157" s="269"/>
      <c r="DL157" s="269"/>
      <c r="DM157" s="196">
        <f>'Detailed Budget'!$AC$178</f>
        <v>5622683761.6229038</v>
      </c>
      <c r="DN157" s="269">
        <f t="shared" si="500"/>
        <v>14273303.813176874</v>
      </c>
      <c r="DO157" s="196">
        <f>'Detailed Budget'!$AC$179</f>
        <v>26827890683.128094</v>
      </c>
      <c r="DP157" s="269">
        <f t="shared" si="501"/>
        <v>68103178.850279376</v>
      </c>
      <c r="DQ157" s="269">
        <f t="shared" si="457"/>
        <v>82376482.663456246</v>
      </c>
      <c r="DR157" s="269">
        <f>'Detailed Budget'!$AC$181</f>
        <v>50888946855.375237</v>
      </c>
      <c r="DS157" s="269">
        <f t="shared" si="502"/>
        <v>103290025.69820388</v>
      </c>
      <c r="DT157" s="269">
        <f t="shared" si="503"/>
        <v>185666508.36166012</v>
      </c>
      <c r="DU157" s="272">
        <f>'Detailed Budget'!$AC$192</f>
        <v>77498869683.252869</v>
      </c>
      <c r="DV157" s="269">
        <f t="shared" si="464"/>
        <v>0</v>
      </c>
      <c r="DW157" s="140">
        <f>'Detailed Budget'!$AC$194</f>
        <v>2684962805.4134097</v>
      </c>
      <c r="DX157" s="269">
        <f t="shared" si="465"/>
        <v>0</v>
      </c>
      <c r="DY157" s="607">
        <f t="shared" si="421"/>
        <v>0</v>
      </c>
      <c r="DZ157" s="196">
        <f>'Detailed Budget'!$AC$198</f>
        <v>18732540018.380611</v>
      </c>
      <c r="EA157" s="269">
        <f t="shared" si="466"/>
        <v>21492291.466635466</v>
      </c>
      <c r="EB157" s="196">
        <f>'Detailed Budget'!$AC$200</f>
        <v>4683135004.5951529</v>
      </c>
      <c r="EC157" s="269">
        <f t="shared" si="467"/>
        <v>5373072.8666588664</v>
      </c>
      <c r="ED157" s="269">
        <f t="shared" si="422"/>
        <v>26865364.333294332</v>
      </c>
      <c r="EE157" s="196">
        <f>'Detailed Budget'!$AC$161</f>
        <v>251147290106.36197</v>
      </c>
      <c r="EF157" s="269">
        <f t="shared" si="468"/>
        <v>255414542.45275775</v>
      </c>
      <c r="EG157" s="196">
        <f>'Detailed Budget'!$AC$163</f>
        <v>15696705631.647623</v>
      </c>
      <c r="EH157" s="269">
        <f t="shared" si="469"/>
        <v>15963408.903297359</v>
      </c>
      <c r="EI157" s="269">
        <f t="shared" si="423"/>
        <v>271377951.35605508</v>
      </c>
      <c r="EJ157" s="196">
        <f>'Detailed Budget'!$AC$204</f>
        <v>45012172507.531975</v>
      </c>
      <c r="EK157" s="269">
        <f t="shared" si="470"/>
        <v>41394178.450487368</v>
      </c>
      <c r="EL157" s="201">
        <f>'Detailed Budget'!$AC$206</f>
        <v>11253043126.882994</v>
      </c>
      <c r="EM157" s="269">
        <f t="shared" si="471"/>
        <v>10348544.612621842</v>
      </c>
      <c r="EN157" s="269">
        <f t="shared" si="424"/>
        <v>51742723.063109212</v>
      </c>
      <c r="EO157" s="140">
        <f>'Detailed Budget'!$AC$209</f>
        <v>135789361677.54817</v>
      </c>
      <c r="EP157" s="269">
        <f t="shared" si="472"/>
        <v>112349723.84467727</v>
      </c>
      <c r="EQ157" s="196">
        <f>'Detailed Budget'!$AC$211</f>
        <v>33947340419.387043</v>
      </c>
      <c r="ER157" s="269">
        <f t="shared" si="473"/>
        <v>28087430.961169317</v>
      </c>
      <c r="ES157" s="269">
        <f t="shared" si="425"/>
        <v>140437154.80584657</v>
      </c>
      <c r="ET157" s="196">
        <f>'Detailed Budget'!$AC$214</f>
        <v>22239745544.201103</v>
      </c>
      <c r="EU157" s="269">
        <f t="shared" si="474"/>
        <v>17870245.381823428</v>
      </c>
      <c r="EV157" s="140">
        <f>'Detailed Budget'!$AC$217</f>
        <v>5559936386.0502758</v>
      </c>
      <c r="EW157" s="269">
        <f t="shared" si="475"/>
        <v>4467561.345455857</v>
      </c>
      <c r="EX157" s="269">
        <f t="shared" si="426"/>
        <v>22337806.727279283</v>
      </c>
      <c r="EY157" s="196">
        <f>'Detailed Budget'!$AC$219</f>
        <v>372777004.58170313</v>
      </c>
      <c r="EZ157" s="269">
        <f t="shared" si="476"/>
        <v>313582.29548714537</v>
      </c>
      <c r="FA157" s="196">
        <f>'Detailed Budget'!$AC$222</f>
        <v>93194251.145425782</v>
      </c>
      <c r="FB157" s="269">
        <f t="shared" si="477"/>
        <v>78395.573871786342</v>
      </c>
      <c r="FC157" s="269">
        <f t="shared" si="427"/>
        <v>391977.86935893173</v>
      </c>
      <c r="FD157" s="269"/>
      <c r="FE157" s="269">
        <f t="shared" si="428"/>
        <v>214909662.46559399</v>
      </c>
      <c r="FF157" s="140">
        <f>'Detailed Budget'!$AC$165</f>
        <v>14927760000</v>
      </c>
      <c r="FG157" s="1087">
        <f t="shared" si="442"/>
        <v>293151005.30176771</v>
      </c>
      <c r="FH157" s="269">
        <f t="shared" si="478"/>
        <v>20353723.440518126</v>
      </c>
      <c r="FJ157" s="140">
        <f>'Detailed Budget'!$AC$235</f>
        <v>3623696172</v>
      </c>
      <c r="FK157" s="269">
        <f t="shared" si="479"/>
        <v>4681778</v>
      </c>
      <c r="FL157" s="269">
        <f t="shared" si="443"/>
        <v>4681778</v>
      </c>
      <c r="FO157" s="607"/>
      <c r="FP157" s="607"/>
      <c r="FQ157" s="607"/>
      <c r="FR157" s="269">
        <f>'Detailed Budget'!$AC$257</f>
        <v>13636439388</v>
      </c>
      <c r="FS157" s="269">
        <f t="shared" si="480"/>
        <v>21485724</v>
      </c>
      <c r="FT157" s="269">
        <f t="shared" si="444"/>
        <v>21485724</v>
      </c>
      <c r="FU157" s="269"/>
      <c r="FV157" s="269"/>
      <c r="FW157" s="616"/>
      <c r="FX157" s="140">
        <f>'Detailed Budget'!$AC$278</f>
        <v>1114560000</v>
      </c>
      <c r="FY157" s="269">
        <f t="shared" si="481"/>
        <v>1440000</v>
      </c>
      <c r="FZ157" s="269">
        <f t="shared" si="445"/>
        <v>1440000</v>
      </c>
      <c r="GB157" s="269">
        <f t="shared" si="453"/>
        <v>1206986388.7939913</v>
      </c>
      <c r="GC157" s="887">
        <f t="shared" si="429"/>
        <v>754366.49299624457</v>
      </c>
      <c r="GD157" s="1078">
        <f t="shared" si="454"/>
        <v>6.7727806967097387E-4</v>
      </c>
    </row>
    <row r="158" spans="1:186" outlineLevel="1">
      <c r="A158" s="211" t="s">
        <v>488</v>
      </c>
      <c r="B158" s="212" t="s">
        <v>489</v>
      </c>
      <c r="C158" s="213" t="s">
        <v>215</v>
      </c>
      <c r="D158" s="225"/>
      <c r="E158" s="213"/>
      <c r="F158" s="213"/>
      <c r="G158" s="213"/>
      <c r="H158" s="213" t="s">
        <v>215</v>
      </c>
      <c r="I158" s="214" t="s">
        <v>215</v>
      </c>
      <c r="J158" s="214"/>
      <c r="K158" s="213" t="s">
        <v>215</v>
      </c>
      <c r="L158" s="213"/>
      <c r="M158" s="214"/>
      <c r="N158" s="213"/>
      <c r="O158" s="214"/>
      <c r="P158" s="213"/>
      <c r="Q158" s="214"/>
      <c r="R158" s="214" t="s">
        <v>215</v>
      </c>
      <c r="S158" s="214"/>
      <c r="T158" s="214"/>
      <c r="U158" s="215">
        <f t="shared" si="489"/>
        <v>5</v>
      </c>
      <c r="V158" s="845" t="s">
        <v>467</v>
      </c>
      <c r="W158" s="216">
        <v>155238</v>
      </c>
      <c r="X158" s="217">
        <v>2.89</v>
      </c>
      <c r="Y158" s="218">
        <f t="shared" si="483"/>
        <v>1.0288999999999999</v>
      </c>
      <c r="Z158" s="196">
        <v>19</v>
      </c>
      <c r="AA158" s="218">
        <f t="shared" si="484"/>
        <v>1.7182651319612778</v>
      </c>
      <c r="AB158" s="196">
        <f t="shared" si="485"/>
        <v>266740.04255540483</v>
      </c>
      <c r="AC158">
        <v>17.600000000000001</v>
      </c>
      <c r="AD158" s="196">
        <f t="shared" si="486"/>
        <v>46946.247489751251</v>
      </c>
      <c r="AE158" s="196">
        <f t="shared" si="487"/>
        <v>44598.935115263688</v>
      </c>
      <c r="AF158" s="196">
        <f t="shared" si="490"/>
        <v>44598.935115263688</v>
      </c>
      <c r="AG158" s="606">
        <f t="shared" si="432"/>
        <v>2.0620589667360071E-3</v>
      </c>
      <c r="AH158" s="196">
        <f t="shared" si="504"/>
        <v>13337.002127770242</v>
      </c>
      <c r="AI158" s="248">
        <f t="shared" si="409"/>
        <v>1.0331973473063428E-3</v>
      </c>
      <c r="AJ158" s="196">
        <f t="shared" si="412"/>
        <v>60283.249617521491</v>
      </c>
      <c r="AK158" s="196">
        <f t="shared" si="455"/>
        <v>10669.601702216194</v>
      </c>
      <c r="AL158" s="196">
        <f t="shared" si="456"/>
        <v>10669.601702216194</v>
      </c>
      <c r="AM158" s="196">
        <f t="shared" si="413"/>
        <v>21339.203404432388</v>
      </c>
      <c r="AN158" s="627">
        <f t="shared" si="414"/>
        <v>1.0331973473063428E-3</v>
      </c>
      <c r="AO158" s="196">
        <f t="shared" si="415"/>
        <v>10136.121617105384</v>
      </c>
      <c r="AP158" s="589">
        <f t="shared" si="433"/>
        <v>1.0331973473063428E-3</v>
      </c>
      <c r="AQ158" s="196"/>
      <c r="AR158" s="589"/>
      <c r="AS158">
        <v>1</v>
      </c>
      <c r="AT158" s="589">
        <f t="shared" si="434"/>
        <v>1.2919896640826874E-3</v>
      </c>
      <c r="AU158" s="196">
        <v>16</v>
      </c>
      <c r="AV158" s="245">
        <f t="shared" si="416"/>
        <v>1.81797523008749E-3</v>
      </c>
      <c r="AX158" s="245"/>
      <c r="AY158" s="245"/>
      <c r="AZ158" s="196">
        <v>39</v>
      </c>
      <c r="BA158" s="589">
        <f t="shared" si="447"/>
        <v>1.4290425414971969E-3</v>
      </c>
      <c r="BI158" s="196">
        <v>0</v>
      </c>
      <c r="BK158" s="246">
        <f t="shared" si="448"/>
        <v>0</v>
      </c>
      <c r="BL158" s="246"/>
      <c r="BM158" s="246">
        <f t="shared" si="449"/>
        <v>0</v>
      </c>
      <c r="BN158" s="196">
        <v>1</v>
      </c>
      <c r="BO158" s="196">
        <f t="shared" si="491"/>
        <v>20258.756221532323</v>
      </c>
      <c r="BP158" s="196">
        <f t="shared" si="417"/>
        <v>20258.756221532323</v>
      </c>
      <c r="BQ158" s="248">
        <f t="shared" si="450"/>
        <v>1.8951123046020027E-3</v>
      </c>
      <c r="BR158" s="248"/>
      <c r="BS158" s="248"/>
      <c r="BT158" s="276">
        <v>1</v>
      </c>
      <c r="BU158" s="196">
        <f t="shared" si="505"/>
        <v>37181.428011882999</v>
      </c>
      <c r="BV158" s="264">
        <f t="shared" si="451"/>
        <v>2.5789742743589608E-3</v>
      </c>
      <c r="BW158" s="196">
        <f t="shared" si="506"/>
        <v>159053.88649527726</v>
      </c>
      <c r="BX158" s="247">
        <f t="shared" si="452"/>
        <v>2.5789742975904596E-3</v>
      </c>
      <c r="BY158" s="196">
        <f t="shared" si="492"/>
        <v>196235.31450716025</v>
      </c>
      <c r="BZ158" s="620">
        <v>0</v>
      </c>
      <c r="CA158" s="196">
        <f t="shared" si="493"/>
        <v>81622.453021953886</v>
      </c>
      <c r="CB158" s="196">
        <f t="shared" si="494"/>
        <v>163244.90604390777</v>
      </c>
      <c r="CC158" s="196">
        <f t="shared" si="430"/>
        <v>244867.35906586167</v>
      </c>
      <c r="CD158" s="247">
        <f t="shared" si="418"/>
        <v>1.0331973473063428E-3</v>
      </c>
      <c r="CE158" s="196">
        <f t="shared" si="495"/>
        <v>26992.200707807853</v>
      </c>
      <c r="CF158" s="247">
        <f t="shared" si="419"/>
        <v>1.1656071708407542E-3</v>
      </c>
      <c r="CG158" s="196">
        <f t="shared" si="460"/>
        <v>40544.486468421535</v>
      </c>
      <c r="CH158" s="589">
        <f t="shared" si="435"/>
        <v>1.0331973473063428E-3</v>
      </c>
      <c r="CI158" s="196">
        <f t="shared" si="496"/>
        <v>56829.482962124035</v>
      </c>
      <c r="CJ158" s="248">
        <f t="shared" si="436"/>
        <v>9.3427655564501898E-4</v>
      </c>
      <c r="CK158" s="196">
        <f t="shared" si="497"/>
        <v>58473.400778110939</v>
      </c>
      <c r="CL158" s="589">
        <f t="shared" si="437"/>
        <v>8.4056716365074765E-4</v>
      </c>
      <c r="CM158" s="196">
        <f t="shared" si="498"/>
        <v>5664.5919301528302</v>
      </c>
      <c r="CN158" s="589">
        <f t="shared" si="438"/>
        <v>8.1633207324558539E-4</v>
      </c>
      <c r="CO158" s="196">
        <f t="shared" si="499"/>
        <v>453.17126106102864</v>
      </c>
      <c r="CP158" s="589">
        <f t="shared" si="439"/>
        <v>8.546111971369627E-4</v>
      </c>
      <c r="CQ158" s="196">
        <f>'Detailed Budget'!$AC$12</f>
        <v>292876014141.44696</v>
      </c>
      <c r="CR158" s="269">
        <f t="shared" si="440"/>
        <v>0</v>
      </c>
      <c r="CS158" s="269">
        <f>'Detailed Budget'!$AC$16</f>
        <v>10488008800.000002</v>
      </c>
      <c r="CT158" s="607">
        <f t="shared" si="461"/>
        <v>0</v>
      </c>
      <c r="CU158" s="269">
        <f>'Detailed Budget'!$AC$24</f>
        <v>30624985696</v>
      </c>
      <c r="CV158" s="269">
        <f t="shared" si="446"/>
        <v>0</v>
      </c>
      <c r="CW158" s="269"/>
      <c r="CX158" s="269">
        <f t="shared" si="431"/>
        <v>0</v>
      </c>
      <c r="CY158" s="196">
        <f>'Detailed Budget'!$AC$97</f>
        <v>74629165494.837845</v>
      </c>
      <c r="CZ158" s="269">
        <f t="shared" si="462"/>
        <v>141430649.8114464</v>
      </c>
      <c r="DA158" s="269">
        <f>'Detailed Budget'!$AC$100</f>
        <v>14925833098.967569</v>
      </c>
      <c r="DB158" s="269">
        <f t="shared" si="463"/>
        <v>28286129.962289281</v>
      </c>
      <c r="DC158" s="269">
        <f t="shared" si="420"/>
        <v>169716779.77373567</v>
      </c>
      <c r="DD158" s="207">
        <v>0</v>
      </c>
      <c r="DE158" s="606">
        <v>0</v>
      </c>
      <c r="DF158" s="269">
        <f>'Detailed Budget'!$AC$147</f>
        <v>5913600671000</v>
      </c>
      <c r="DG158" s="269">
        <f t="shared" si="441"/>
        <v>0</v>
      </c>
      <c r="DH158" s="269">
        <f>'Detailed Budget'!$AC$153</f>
        <v>226428026880.00003</v>
      </c>
      <c r="DI158" s="269"/>
      <c r="DJ158" s="269">
        <f>'Detailed Budget'!$AC$156</f>
        <v>27713070000</v>
      </c>
      <c r="DK158" s="269"/>
      <c r="DL158" s="269"/>
      <c r="DM158" s="196">
        <f>'Detailed Budget'!$AC$178</f>
        <v>5622683761.6229038</v>
      </c>
      <c r="DN158" s="269">
        <f t="shared" si="500"/>
        <v>14500756.77408134</v>
      </c>
      <c r="DO158" s="196">
        <f>'Detailed Budget'!$AC$179</f>
        <v>26827890683.128094</v>
      </c>
      <c r="DP158" s="269">
        <f t="shared" si="501"/>
        <v>69188440.530353904</v>
      </c>
      <c r="DQ158" s="269">
        <f t="shared" si="457"/>
        <v>83689197.304435238</v>
      </c>
      <c r="DR158" s="269">
        <f>'Detailed Budget'!$AC$181</f>
        <v>50888946855.375237</v>
      </c>
      <c r="DS158" s="269">
        <f t="shared" si="502"/>
        <v>104936009.17087863</v>
      </c>
      <c r="DT158" s="269">
        <f t="shared" si="503"/>
        <v>188625206.47531387</v>
      </c>
      <c r="DU158" s="272">
        <f>'Detailed Budget'!$AC$192</f>
        <v>77498869683.252869</v>
      </c>
      <c r="DV158" s="269">
        <f t="shared" si="464"/>
        <v>0</v>
      </c>
      <c r="DW158" s="140">
        <f>'Detailed Budget'!$AC$194</f>
        <v>2684962805.4134097</v>
      </c>
      <c r="DX158" s="269">
        <f t="shared" si="465"/>
        <v>0</v>
      </c>
      <c r="DY158" s="607">
        <f t="shared" si="421"/>
        <v>0</v>
      </c>
      <c r="DZ158" s="196">
        <f>'Detailed Budget'!$AC$198</f>
        <v>18732540018.380611</v>
      </c>
      <c r="EA158" s="269">
        <f t="shared" si="466"/>
        <v>21834782.973485835</v>
      </c>
      <c r="EB158" s="196">
        <f>'Detailed Budget'!$AC$200</f>
        <v>4683135004.5951529</v>
      </c>
      <c r="EC158" s="269">
        <f t="shared" si="467"/>
        <v>5458695.7433714587</v>
      </c>
      <c r="ED158" s="269">
        <f t="shared" si="422"/>
        <v>27293478.716857292</v>
      </c>
      <c r="EE158" s="196">
        <f>'Detailed Budget'!$AC$161</f>
        <v>251147290106.36197</v>
      </c>
      <c r="EF158" s="269">
        <f t="shared" si="468"/>
        <v>259484713.92106968</v>
      </c>
      <c r="EG158" s="196">
        <f>'Detailed Budget'!$AC$163</f>
        <v>15696705631.647623</v>
      </c>
      <c r="EH158" s="269">
        <f t="shared" si="469"/>
        <v>16217794.620066855</v>
      </c>
      <c r="EI158" s="269">
        <f t="shared" si="423"/>
        <v>275702508.54113656</v>
      </c>
      <c r="EJ158" s="196">
        <f>'Detailed Budget'!$AC$204</f>
        <v>45012172507.531975</v>
      </c>
      <c r="EK158" s="269">
        <f t="shared" si="470"/>
        <v>42053817.492436394</v>
      </c>
      <c r="EL158" s="201">
        <f>'Detailed Budget'!$AC$206</f>
        <v>11253043126.882994</v>
      </c>
      <c r="EM158" s="269">
        <f t="shared" si="471"/>
        <v>10513454.373109099</v>
      </c>
      <c r="EN158" s="269">
        <f t="shared" si="424"/>
        <v>52567271.865545496</v>
      </c>
      <c r="EO158" s="140">
        <f>'Detailed Budget'!$AC$209</f>
        <v>135789361677.54817</v>
      </c>
      <c r="EP158" s="269">
        <f t="shared" si="472"/>
        <v>114140078.5992422</v>
      </c>
      <c r="EQ158" s="196">
        <f>'Detailed Budget'!$AC$211</f>
        <v>33947340419.387043</v>
      </c>
      <c r="ER158" s="269">
        <f t="shared" si="473"/>
        <v>28535019.649810549</v>
      </c>
      <c r="ES158" s="269">
        <f t="shared" si="425"/>
        <v>142675098.24905273</v>
      </c>
      <c r="ET158" s="196">
        <f>'Detailed Budget'!$AC$214</f>
        <v>22239745544.201103</v>
      </c>
      <c r="EU158" s="269">
        <f t="shared" si="474"/>
        <v>18155017.588551957</v>
      </c>
      <c r="EV158" s="140">
        <f>'Detailed Budget'!$AC$217</f>
        <v>5559936386.0502758</v>
      </c>
      <c r="EW158" s="269">
        <f t="shared" si="475"/>
        <v>4538754.3971379893</v>
      </c>
      <c r="EX158" s="269">
        <f t="shared" si="426"/>
        <v>22693771.985689946</v>
      </c>
      <c r="EY158" s="196">
        <f>'Detailed Budget'!$AC$219</f>
        <v>372777004.58170313</v>
      </c>
      <c r="EZ158" s="269">
        <f t="shared" si="476"/>
        <v>318579.40215070033</v>
      </c>
      <c r="FA158" s="196">
        <f>'Detailed Budget'!$AC$222</f>
        <v>93194251.145425782</v>
      </c>
      <c r="FB158" s="269">
        <f t="shared" si="477"/>
        <v>79644.850537675084</v>
      </c>
      <c r="FC158" s="269">
        <f t="shared" si="427"/>
        <v>398224.25268837542</v>
      </c>
      <c r="FD158" s="269"/>
      <c r="FE158" s="269">
        <f t="shared" si="428"/>
        <v>218334366.35297653</v>
      </c>
      <c r="FF158" s="140">
        <f>'Detailed Budget'!$AC$165</f>
        <v>14927760000</v>
      </c>
      <c r="FG158" s="1087">
        <f t="shared" si="442"/>
        <v>297822528.0985046</v>
      </c>
      <c r="FH158" s="269">
        <f t="shared" si="478"/>
        <v>27138297.920690831</v>
      </c>
      <c r="FJ158" s="140">
        <f>'Detailed Budget'!$AC$235</f>
        <v>3623696172</v>
      </c>
      <c r="FK158" s="269">
        <f t="shared" si="479"/>
        <v>4681778</v>
      </c>
      <c r="FL158" s="269">
        <f t="shared" si="443"/>
        <v>4681778</v>
      </c>
      <c r="FO158" s="607"/>
      <c r="FP158" s="607"/>
      <c r="FQ158" s="607"/>
      <c r="FR158" s="269">
        <f>'Detailed Budget'!$AC$257</f>
        <v>13636439388</v>
      </c>
      <c r="FS158" s="269">
        <f t="shared" si="480"/>
        <v>19487052</v>
      </c>
      <c r="FT158" s="269">
        <f t="shared" si="444"/>
        <v>19487052</v>
      </c>
      <c r="FU158" s="269"/>
      <c r="FV158" s="269"/>
      <c r="FW158" s="616"/>
      <c r="FX158" s="140">
        <f>'Detailed Budget'!$AC$278</f>
        <v>1114560000</v>
      </c>
      <c r="FY158" s="269">
        <f t="shared" si="481"/>
        <v>1440000</v>
      </c>
      <c r="FZ158" s="269">
        <f t="shared" si="445"/>
        <v>1440000</v>
      </c>
      <c r="GB158" s="269">
        <f t="shared" si="453"/>
        <v>1230241995.8792152</v>
      </c>
      <c r="GC158" s="887">
        <f t="shared" si="429"/>
        <v>768901.24742450949</v>
      </c>
      <c r="GD158" s="1078">
        <f t="shared" si="454"/>
        <v>6.903275231046989E-4</v>
      </c>
    </row>
    <row r="159" spans="1:186" outlineLevel="1">
      <c r="A159" s="211" t="s">
        <v>490</v>
      </c>
      <c r="B159" s="212" t="s">
        <v>491</v>
      </c>
      <c r="C159" s="213" t="s">
        <v>215</v>
      </c>
      <c r="D159" s="225"/>
      <c r="E159" s="213"/>
      <c r="F159" s="213"/>
      <c r="G159" s="213"/>
      <c r="H159" s="213" t="s">
        <v>215</v>
      </c>
      <c r="I159" s="214" t="s">
        <v>215</v>
      </c>
      <c r="J159" s="214"/>
      <c r="K159" s="213" t="s">
        <v>215</v>
      </c>
      <c r="L159" s="213"/>
      <c r="M159" s="214"/>
      <c r="N159" s="213"/>
      <c r="O159" s="214"/>
      <c r="P159" s="213"/>
      <c r="Q159" s="214"/>
      <c r="R159" s="214" t="s">
        <v>215</v>
      </c>
      <c r="S159" s="214"/>
      <c r="T159" s="214"/>
      <c r="U159" s="215">
        <f t="shared" si="489"/>
        <v>5</v>
      </c>
      <c r="V159" s="845" t="s">
        <v>467</v>
      </c>
      <c r="W159" s="216">
        <v>151515</v>
      </c>
      <c r="X159" s="217">
        <v>2.89</v>
      </c>
      <c r="Y159" s="218">
        <f t="shared" si="483"/>
        <v>1.0288999999999999</v>
      </c>
      <c r="Z159" s="196">
        <v>19</v>
      </c>
      <c r="AA159" s="218">
        <f t="shared" si="484"/>
        <v>1.7182651319612778</v>
      </c>
      <c r="AB159" s="196">
        <f t="shared" si="485"/>
        <v>260342.94146911302</v>
      </c>
      <c r="AC159">
        <v>17.600000000000001</v>
      </c>
      <c r="AD159" s="196">
        <f t="shared" si="486"/>
        <v>45820.357698563894</v>
      </c>
      <c r="AE159" s="196">
        <f t="shared" si="487"/>
        <v>43529.339813635699</v>
      </c>
      <c r="AF159" s="196">
        <f t="shared" si="490"/>
        <v>43529.339813635699</v>
      </c>
      <c r="AG159" s="606">
        <f t="shared" si="432"/>
        <v>2.012605575600086E-3</v>
      </c>
      <c r="AH159" s="196">
        <f t="shared" si="504"/>
        <v>13017.147073455651</v>
      </c>
      <c r="AI159" s="248">
        <f t="shared" si="409"/>
        <v>1.0084186608763353E-3</v>
      </c>
      <c r="AJ159" s="196">
        <f t="shared" si="412"/>
        <v>58837.504772019543</v>
      </c>
      <c r="AK159" s="196">
        <f t="shared" si="455"/>
        <v>10413.717658764521</v>
      </c>
      <c r="AL159" s="196">
        <f t="shared" si="456"/>
        <v>10413.717658764521</v>
      </c>
      <c r="AM159" s="196">
        <f t="shared" si="413"/>
        <v>20827.435317529042</v>
      </c>
      <c r="AN159" s="627">
        <f t="shared" si="414"/>
        <v>1.0084186608763353E-3</v>
      </c>
      <c r="AO159" s="196">
        <f t="shared" si="415"/>
        <v>9893.0317758262954</v>
      </c>
      <c r="AP159" s="589">
        <f t="shared" si="433"/>
        <v>1.0084186608763353E-3</v>
      </c>
      <c r="AQ159" s="196"/>
      <c r="AR159" s="589"/>
      <c r="AS159">
        <v>1</v>
      </c>
      <c r="AT159" s="589">
        <f t="shared" si="434"/>
        <v>1.2919896640826874E-3</v>
      </c>
      <c r="AU159" s="196">
        <v>11</v>
      </c>
      <c r="AV159" s="245">
        <f t="shared" si="416"/>
        <v>1.2498579706851495E-3</v>
      </c>
      <c r="AX159" s="245"/>
      <c r="AY159" s="245"/>
      <c r="AZ159" s="196">
        <v>30</v>
      </c>
      <c r="BA159" s="589">
        <f t="shared" si="447"/>
        <v>1.0992634934593821E-3</v>
      </c>
      <c r="BI159" s="196">
        <v>0</v>
      </c>
      <c r="BK159" s="246">
        <f t="shared" si="448"/>
        <v>0</v>
      </c>
      <c r="BL159" s="246"/>
      <c r="BM159" s="246">
        <f t="shared" si="449"/>
        <v>0</v>
      </c>
      <c r="BN159" s="196">
        <v>1</v>
      </c>
      <c r="BO159" s="196">
        <f t="shared" si="491"/>
        <v>19772.899991660997</v>
      </c>
      <c r="BP159" s="196">
        <f t="shared" si="417"/>
        <v>19772.899991660997</v>
      </c>
      <c r="BQ159" s="248">
        <f t="shared" si="450"/>
        <v>1.8496627168075629E-3</v>
      </c>
      <c r="BR159" s="248"/>
      <c r="BS159" s="248"/>
      <c r="BT159" s="276">
        <v>1</v>
      </c>
      <c r="BU159" s="196">
        <f t="shared" si="505"/>
        <v>36289.723297262601</v>
      </c>
      <c r="BV159" s="264">
        <f t="shared" si="451"/>
        <v>2.5171239463243401E-3</v>
      </c>
      <c r="BW159" s="196">
        <f t="shared" si="506"/>
        <v>155239.3718827345</v>
      </c>
      <c r="BX159" s="247">
        <f t="shared" si="452"/>
        <v>2.5171239689986895E-3</v>
      </c>
      <c r="BY159" s="196">
        <f t="shared" si="492"/>
        <v>191529.09517999709</v>
      </c>
      <c r="BZ159" s="620">
        <v>0</v>
      </c>
      <c r="CA159" s="196">
        <f t="shared" si="493"/>
        <v>79664.940089548589</v>
      </c>
      <c r="CB159" s="196">
        <f t="shared" si="494"/>
        <v>159329.88017909718</v>
      </c>
      <c r="CC159" s="196">
        <f t="shared" si="430"/>
        <v>238994.82026864577</v>
      </c>
      <c r="CD159" s="247">
        <f t="shared" si="418"/>
        <v>1.0084186608763353E-3</v>
      </c>
      <c r="CE159" s="196">
        <f t="shared" si="495"/>
        <v>26344.859443200166</v>
      </c>
      <c r="CF159" s="247">
        <f t="shared" si="419"/>
        <v>1.1376529618388339E-3</v>
      </c>
      <c r="CG159" s="196">
        <f t="shared" si="460"/>
        <v>39572.127103305182</v>
      </c>
      <c r="CH159" s="589">
        <f t="shared" si="435"/>
        <v>1.0084186608763353E-3</v>
      </c>
      <c r="CI159" s="196">
        <f t="shared" si="496"/>
        <v>55466.568179223024</v>
      </c>
      <c r="CJ159" s="248">
        <f t="shared" si="436"/>
        <v>9.1187024007366143E-4</v>
      </c>
      <c r="CK159" s="196">
        <f t="shared" si="497"/>
        <v>57071.060686787256</v>
      </c>
      <c r="CL159" s="589">
        <f t="shared" si="437"/>
        <v>8.2040823638891919E-4</v>
      </c>
      <c r="CM159" s="196">
        <f t="shared" si="498"/>
        <v>5528.7406839633732</v>
      </c>
      <c r="CN159" s="589">
        <f t="shared" si="438"/>
        <v>7.9675436476767851E-4</v>
      </c>
      <c r="CO159" s="196">
        <f t="shared" si="499"/>
        <v>442.30306767454982</v>
      </c>
      <c r="CP159" s="589">
        <f t="shared" si="439"/>
        <v>8.3411545842001903E-4</v>
      </c>
      <c r="CQ159" s="196">
        <f>'Detailed Budget'!$AC$12</f>
        <v>292876014141.44696</v>
      </c>
      <c r="CR159" s="269">
        <f t="shared" si="440"/>
        <v>0</v>
      </c>
      <c r="CS159" s="269">
        <f>'Detailed Budget'!$AC$16</f>
        <v>10488008800.000002</v>
      </c>
      <c r="CT159" s="607">
        <f t="shared" si="461"/>
        <v>0</v>
      </c>
      <c r="CU159" s="269">
        <f>'Detailed Budget'!$AC$24</f>
        <v>30624985696</v>
      </c>
      <c r="CV159" s="269">
        <f t="shared" si="446"/>
        <v>0</v>
      </c>
      <c r="CW159" s="269"/>
      <c r="CX159" s="269">
        <f t="shared" si="431"/>
        <v>0</v>
      </c>
      <c r="CY159" s="196">
        <f>'Detailed Budget'!$AC$97</f>
        <v>74629165494.837845</v>
      </c>
      <c r="CZ159" s="269">
        <f t="shared" si="462"/>
        <v>138038785.00226301</v>
      </c>
      <c r="DA159" s="269">
        <f>'Detailed Budget'!$AC$100</f>
        <v>14925833098.967569</v>
      </c>
      <c r="DB159" s="269">
        <f t="shared" si="463"/>
        <v>27607757.0004526</v>
      </c>
      <c r="DC159" s="269">
        <f t="shared" si="420"/>
        <v>165646542.00271562</v>
      </c>
      <c r="DD159" s="207">
        <v>0</v>
      </c>
      <c r="DE159" s="606">
        <v>0</v>
      </c>
      <c r="DF159" s="269">
        <f>'Detailed Budget'!$AC$147</f>
        <v>5913600671000</v>
      </c>
      <c r="DG159" s="269">
        <f t="shared" si="441"/>
        <v>0</v>
      </c>
      <c r="DH159" s="269">
        <f>'Detailed Budget'!$AC$153</f>
        <v>226428026880.00003</v>
      </c>
      <c r="DI159" s="269"/>
      <c r="DJ159" s="269">
        <f>'Detailed Budget'!$AC$156</f>
        <v>27713070000</v>
      </c>
      <c r="DK159" s="269"/>
      <c r="DL159" s="269"/>
      <c r="DM159" s="196">
        <f>'Detailed Budget'!$AC$178</f>
        <v>5622683761.6229038</v>
      </c>
      <c r="DN159" s="269">
        <f t="shared" si="500"/>
        <v>14152991.938990029</v>
      </c>
      <c r="DO159" s="196">
        <f>'Detailed Budget'!$AC$179</f>
        <v>26827890683.128094</v>
      </c>
      <c r="DP159" s="269">
        <f t="shared" si="501"/>
        <v>67529126.676178351</v>
      </c>
      <c r="DQ159" s="269">
        <f t="shared" si="457"/>
        <v>81682118.615168378</v>
      </c>
      <c r="DR159" s="269">
        <f>'Detailed Budget'!$AC$181</f>
        <v>50888946855.375237</v>
      </c>
      <c r="DS159" s="269">
        <f t="shared" si="502"/>
        <v>102419378.17754467</v>
      </c>
      <c r="DT159" s="269">
        <f t="shared" si="503"/>
        <v>184101496.79271305</v>
      </c>
      <c r="DU159" s="272">
        <f>'Detailed Budget'!$AC$192</f>
        <v>77498869683.252869</v>
      </c>
      <c r="DV159" s="269">
        <f t="shared" si="464"/>
        <v>0</v>
      </c>
      <c r="DW159" s="140">
        <f>'Detailed Budget'!$AC$194</f>
        <v>2684962805.4134097</v>
      </c>
      <c r="DX159" s="269">
        <f t="shared" si="465"/>
        <v>0</v>
      </c>
      <c r="DY159" s="607">
        <f t="shared" si="421"/>
        <v>0</v>
      </c>
      <c r="DZ159" s="196">
        <f>'Detailed Budget'!$AC$198</f>
        <v>18732540018.380611</v>
      </c>
      <c r="EA159" s="269">
        <f t="shared" si="466"/>
        <v>21311129.634675186</v>
      </c>
      <c r="EB159" s="196">
        <f>'Detailed Budget'!$AC$200</f>
        <v>4683135004.5951529</v>
      </c>
      <c r="EC159" s="269">
        <f t="shared" si="467"/>
        <v>5327782.4086687965</v>
      </c>
      <c r="ED159" s="269">
        <f t="shared" si="422"/>
        <v>26638912.043343984</v>
      </c>
      <c r="EE159" s="196">
        <f>'Detailed Budget'!$AC$161</f>
        <v>251147290106.36197</v>
      </c>
      <c r="EF159" s="269">
        <f t="shared" si="468"/>
        <v>253261613.97177804</v>
      </c>
      <c r="EG159" s="196">
        <f>'Detailed Budget'!$AC$163</f>
        <v>15696705631.647623</v>
      </c>
      <c r="EH159" s="269">
        <f t="shared" si="469"/>
        <v>15828850.873236127</v>
      </c>
      <c r="EI159" s="269">
        <f t="shared" si="423"/>
        <v>269090464.84501415</v>
      </c>
      <c r="EJ159" s="196">
        <f>'Detailed Budget'!$AC$204</f>
        <v>45012172507.531975</v>
      </c>
      <c r="EK159" s="269">
        <f t="shared" si="470"/>
        <v>41045260.550680242</v>
      </c>
      <c r="EL159" s="201">
        <f>'Detailed Budget'!$AC$206</f>
        <v>11253043126.882994</v>
      </c>
      <c r="EM159" s="269">
        <f t="shared" si="471"/>
        <v>10261315.137670061</v>
      </c>
      <c r="EN159" s="269">
        <f t="shared" si="424"/>
        <v>51306575.688350305</v>
      </c>
      <c r="EO159" s="140">
        <f>'Detailed Budget'!$AC$209</f>
        <v>135789361677.54817</v>
      </c>
      <c r="EP159" s="269">
        <f t="shared" si="472"/>
        <v>111402710.73425439</v>
      </c>
      <c r="EQ159" s="196">
        <f>'Detailed Budget'!$AC$211</f>
        <v>33947340419.387043</v>
      </c>
      <c r="ER159" s="269">
        <f t="shared" si="473"/>
        <v>27850677.683563598</v>
      </c>
      <c r="ES159" s="269">
        <f t="shared" si="425"/>
        <v>139253388.41781798</v>
      </c>
      <c r="ET159" s="196">
        <f>'Detailed Budget'!$AC$214</f>
        <v>22239745544.201103</v>
      </c>
      <c r="EU159" s="269">
        <f t="shared" si="474"/>
        <v>17719614.33366476</v>
      </c>
      <c r="EV159" s="140">
        <f>'Detailed Budget'!$AC$217</f>
        <v>5559936386.0502758</v>
      </c>
      <c r="EW159" s="269">
        <f t="shared" si="475"/>
        <v>4429903.58341619</v>
      </c>
      <c r="EX159" s="269">
        <f t="shared" si="426"/>
        <v>22149517.91708095</v>
      </c>
      <c r="EY159" s="196">
        <f>'Detailed Budget'!$AC$219</f>
        <v>372777004.58170313</v>
      </c>
      <c r="EZ159" s="269">
        <f t="shared" si="476"/>
        <v>310939.06206510885</v>
      </c>
      <c r="FA159" s="196">
        <f>'Detailed Budget'!$AC$222</f>
        <v>93194251.145425782</v>
      </c>
      <c r="FB159" s="269">
        <f t="shared" si="477"/>
        <v>77734.765516277213</v>
      </c>
      <c r="FC159" s="269">
        <f t="shared" si="427"/>
        <v>388673.82758138608</v>
      </c>
      <c r="FD159" s="269"/>
      <c r="FE159" s="269">
        <f t="shared" si="428"/>
        <v>213098155.85083058</v>
      </c>
      <c r="FF159" s="140">
        <f>'Detailed Budget'!$AC$165</f>
        <v>14927760000</v>
      </c>
      <c r="FG159" s="1087">
        <f t="shared" si="442"/>
        <v>290679990.36862707</v>
      </c>
      <c r="FH159" s="269">
        <f t="shared" si="478"/>
        <v>18657579.820474949</v>
      </c>
      <c r="FJ159" s="140">
        <f>'Detailed Budget'!$AC$235</f>
        <v>3623696172</v>
      </c>
      <c r="FK159" s="269">
        <f t="shared" si="479"/>
        <v>4681778</v>
      </c>
      <c r="FL159" s="269">
        <f t="shared" si="443"/>
        <v>4681778</v>
      </c>
      <c r="FO159" s="607"/>
      <c r="FP159" s="607"/>
      <c r="FQ159" s="607"/>
      <c r="FR159" s="269">
        <f>'Detailed Budget'!$AC$257</f>
        <v>13636439388</v>
      </c>
      <c r="FS159" s="269">
        <f t="shared" si="480"/>
        <v>14990039.999999998</v>
      </c>
      <c r="FT159" s="269">
        <f t="shared" si="444"/>
        <v>14990039.999999998</v>
      </c>
      <c r="FU159" s="269"/>
      <c r="FV159" s="269"/>
      <c r="FW159" s="616"/>
      <c r="FX159" s="140">
        <f>'Detailed Budget'!$AC$278</f>
        <v>1114560000</v>
      </c>
      <c r="FY159" s="269">
        <f t="shared" si="481"/>
        <v>1440000</v>
      </c>
      <c r="FZ159" s="269">
        <f t="shared" si="445"/>
        <v>1440000</v>
      </c>
      <c r="GB159" s="269">
        <f t="shared" si="453"/>
        <v>1189024959.7237194</v>
      </c>
      <c r="GC159" s="887">
        <f t="shared" si="429"/>
        <v>743140.59982732462</v>
      </c>
      <c r="GD159" s="1078">
        <f t="shared" si="454"/>
        <v>6.6719934623035509E-4</v>
      </c>
    </row>
    <row r="160" spans="1:186" outlineLevel="1">
      <c r="A160" s="211" t="s">
        <v>492</v>
      </c>
      <c r="B160" s="212" t="s">
        <v>493</v>
      </c>
      <c r="C160" s="213" t="s">
        <v>215</v>
      </c>
      <c r="D160" s="225"/>
      <c r="E160" s="213"/>
      <c r="F160" s="213"/>
      <c r="G160" s="213"/>
      <c r="H160" s="213" t="s">
        <v>215</v>
      </c>
      <c r="I160" s="214" t="s">
        <v>215</v>
      </c>
      <c r="J160" s="214"/>
      <c r="K160" s="213" t="s">
        <v>215</v>
      </c>
      <c r="L160" s="213"/>
      <c r="M160" s="214"/>
      <c r="N160" s="213"/>
      <c r="O160" s="214"/>
      <c r="P160" s="213"/>
      <c r="Q160" s="214"/>
      <c r="R160" s="214" t="s">
        <v>215</v>
      </c>
      <c r="S160" s="214"/>
      <c r="T160" s="214"/>
      <c r="U160" s="215">
        <f t="shared" si="489"/>
        <v>5</v>
      </c>
      <c r="V160" s="845" t="s">
        <v>467</v>
      </c>
      <c r="W160" s="216">
        <v>129956</v>
      </c>
      <c r="X160" s="217">
        <v>2.89</v>
      </c>
      <c r="Y160" s="218">
        <f t="shared" si="483"/>
        <v>1.0288999999999999</v>
      </c>
      <c r="Z160" s="196">
        <v>19</v>
      </c>
      <c r="AA160" s="218">
        <f t="shared" si="484"/>
        <v>1.7182651319612778</v>
      </c>
      <c r="AB160" s="196">
        <f t="shared" si="485"/>
        <v>223298.86348915982</v>
      </c>
      <c r="AC160">
        <v>17.600000000000001</v>
      </c>
      <c r="AD160" s="196">
        <f t="shared" si="486"/>
        <v>39300.599974092132</v>
      </c>
      <c r="AE160" s="196">
        <f t="shared" si="487"/>
        <v>37335.569975387523</v>
      </c>
      <c r="AF160" s="196">
        <f t="shared" si="490"/>
        <v>37335.569975387523</v>
      </c>
      <c r="AG160" s="606">
        <f t="shared" si="432"/>
        <v>1.726232849438569E-3</v>
      </c>
      <c r="AH160" s="196">
        <f t="shared" si="504"/>
        <v>11164.943174457992</v>
      </c>
      <c r="AI160" s="248">
        <f t="shared" si="409"/>
        <v>8.6493123118400834E-4</v>
      </c>
      <c r="AJ160" s="196">
        <f t="shared" si="412"/>
        <v>50465.543148550125</v>
      </c>
      <c r="AK160" s="196">
        <f t="shared" si="455"/>
        <v>8931.9545395663936</v>
      </c>
      <c r="AL160" s="196">
        <f t="shared" si="456"/>
        <v>8931.9545395663936</v>
      </c>
      <c r="AM160" s="196">
        <f t="shared" si="413"/>
        <v>17863.909079132787</v>
      </c>
      <c r="AN160" s="627">
        <f t="shared" si="414"/>
        <v>8.6493123118400834E-4</v>
      </c>
      <c r="AO160" s="196">
        <f t="shared" si="415"/>
        <v>8485.3568125880738</v>
      </c>
      <c r="AP160" s="589">
        <f t="shared" si="433"/>
        <v>8.6493123118400834E-4</v>
      </c>
      <c r="AQ160" s="196"/>
      <c r="AR160" s="589"/>
      <c r="AS160">
        <v>1</v>
      </c>
      <c r="AT160" s="589">
        <f t="shared" si="434"/>
        <v>1.2919896640826874E-3</v>
      </c>
      <c r="AU160" s="196">
        <v>10</v>
      </c>
      <c r="AV160" s="245">
        <f t="shared" si="416"/>
        <v>1.1362345188046814E-3</v>
      </c>
      <c r="AX160" s="245"/>
      <c r="AY160" s="245"/>
      <c r="AZ160" s="196">
        <v>38</v>
      </c>
      <c r="BA160" s="589">
        <f t="shared" si="447"/>
        <v>1.3924004250485508E-3</v>
      </c>
      <c r="BI160" s="196">
        <v>0</v>
      </c>
      <c r="BK160" s="246">
        <f t="shared" si="448"/>
        <v>0</v>
      </c>
      <c r="BL160" s="246"/>
      <c r="BM160" s="246">
        <f t="shared" si="449"/>
        <v>0</v>
      </c>
      <c r="BN160" s="196">
        <v>1</v>
      </c>
      <c r="BO160" s="196">
        <f t="shared" si="491"/>
        <v>16959.423102110661</v>
      </c>
      <c r="BP160" s="196">
        <f t="shared" si="417"/>
        <v>16959.423102110661</v>
      </c>
      <c r="BQ160" s="248">
        <f t="shared" si="450"/>
        <v>1.5864750554429835E-3</v>
      </c>
      <c r="BR160" s="248"/>
      <c r="BS160" s="248"/>
      <c r="BT160" s="276">
        <v>1</v>
      </c>
      <c r="BU160" s="196">
        <f t="shared" si="505"/>
        <v>31126.075179480969</v>
      </c>
      <c r="BV160" s="264">
        <f t="shared" si="451"/>
        <v>2.1589635321158035E-3</v>
      </c>
      <c r="BW160" s="196">
        <f t="shared" si="506"/>
        <v>133150.43271222417</v>
      </c>
      <c r="BX160" s="247">
        <f t="shared" si="452"/>
        <v>2.1589635515638301E-3</v>
      </c>
      <c r="BY160" s="196">
        <f t="shared" si="492"/>
        <v>164276.50789170514</v>
      </c>
      <c r="BZ160" s="620">
        <v>0</v>
      </c>
      <c r="CA160" s="196">
        <f t="shared" si="493"/>
        <v>68329.452227682908</v>
      </c>
      <c r="CB160" s="196">
        <f t="shared" si="494"/>
        <v>136658.90445536582</v>
      </c>
      <c r="CC160" s="196">
        <f t="shared" si="430"/>
        <v>204988.35668304871</v>
      </c>
      <c r="CD160" s="247">
        <f t="shared" si="418"/>
        <v>8.6493123118400823E-4</v>
      </c>
      <c r="CE160" s="196">
        <f t="shared" si="495"/>
        <v>22596.261451344893</v>
      </c>
      <c r="CF160" s="247">
        <f t="shared" si="419"/>
        <v>9.7577684261444429E-4</v>
      </c>
      <c r="CG160" s="196">
        <f t="shared" si="460"/>
        <v>33941.427250352295</v>
      </c>
      <c r="CH160" s="589">
        <f t="shared" si="435"/>
        <v>8.6493123118400834E-4</v>
      </c>
      <c r="CI160" s="196">
        <f t="shared" si="496"/>
        <v>47574.255580629702</v>
      </c>
      <c r="CJ160" s="248">
        <f t="shared" si="436"/>
        <v>7.8212064098612537E-4</v>
      </c>
      <c r="CK160" s="196">
        <f t="shared" si="497"/>
        <v>48950.445583685614</v>
      </c>
      <c r="CL160" s="589">
        <f t="shared" si="437"/>
        <v>7.0367272394256943E-4</v>
      </c>
      <c r="CM160" s="196">
        <f t="shared" si="498"/>
        <v>4742.0587026046551</v>
      </c>
      <c r="CN160" s="589">
        <f t="shared" si="438"/>
        <v>6.833845508876907E-4</v>
      </c>
      <c r="CO160" s="196">
        <f t="shared" si="499"/>
        <v>379.36796662187777</v>
      </c>
      <c r="CP160" s="589">
        <f t="shared" si="439"/>
        <v>7.1542955162480298E-4</v>
      </c>
      <c r="CQ160" s="196">
        <f>'Detailed Budget'!$AC$12</f>
        <v>292876014141.44696</v>
      </c>
      <c r="CR160" s="269">
        <f t="shared" si="440"/>
        <v>0</v>
      </c>
      <c r="CS160" s="269">
        <f>'Detailed Budget'!$AC$16</f>
        <v>10488008800.000002</v>
      </c>
      <c r="CT160" s="607">
        <f t="shared" si="461"/>
        <v>0</v>
      </c>
      <c r="CU160" s="269">
        <f>'Detailed Budget'!$AC$24</f>
        <v>30624985696</v>
      </c>
      <c r="CV160" s="269">
        <f t="shared" si="446"/>
        <v>0</v>
      </c>
      <c r="CW160" s="269"/>
      <c r="CX160" s="269">
        <f t="shared" si="431"/>
        <v>0</v>
      </c>
      <c r="CY160" s="196">
        <f>'Detailed Budget'!$AC$97</f>
        <v>74629165494.837845</v>
      </c>
      <c r="CZ160" s="269">
        <f t="shared" si="462"/>
        <v>118397309.46608646</v>
      </c>
      <c r="DA160" s="269">
        <f>'Detailed Budget'!$AC$100</f>
        <v>14925833098.967569</v>
      </c>
      <c r="DB160" s="269">
        <f t="shared" si="463"/>
        <v>23679461.893217292</v>
      </c>
      <c r="DC160" s="269">
        <f t="shared" si="420"/>
        <v>142076771.35930374</v>
      </c>
      <c r="DD160" s="207">
        <v>0</v>
      </c>
      <c r="DE160" s="606">
        <v>0</v>
      </c>
      <c r="DF160" s="269">
        <f>'Detailed Budget'!$AC$147</f>
        <v>5913600671000</v>
      </c>
      <c r="DG160" s="269">
        <f t="shared" si="441"/>
        <v>0</v>
      </c>
      <c r="DH160" s="269">
        <f>'Detailed Budget'!$AC$153</f>
        <v>226428026880.00003</v>
      </c>
      <c r="DI160" s="269"/>
      <c r="DJ160" s="269">
        <f>'Detailed Budget'!$AC$156</f>
        <v>27713070000</v>
      </c>
      <c r="DK160" s="269"/>
      <c r="DL160" s="269"/>
      <c r="DM160" s="196">
        <f>'Detailed Budget'!$AC$178</f>
        <v>5622683761.6229038</v>
      </c>
      <c r="DN160" s="269">
        <f t="shared" si="500"/>
        <v>12139169.193963557</v>
      </c>
      <c r="DO160" s="196">
        <f>'Detailed Budget'!$AC$179</f>
        <v>26827890683.128094</v>
      </c>
      <c r="DP160" s="269">
        <f t="shared" si="501"/>
        <v>57920438.150212415</v>
      </c>
      <c r="DQ160" s="269">
        <f t="shared" si="457"/>
        <v>70059607.344175965</v>
      </c>
      <c r="DR160" s="269">
        <f>'Detailed Budget'!$AC$181</f>
        <v>50888946855.375237</v>
      </c>
      <c r="DS160" s="269">
        <f t="shared" si="502"/>
        <v>87846171.735082299</v>
      </c>
      <c r="DT160" s="269">
        <f t="shared" si="503"/>
        <v>157905779.07925826</v>
      </c>
      <c r="DU160" s="272">
        <f>'Detailed Budget'!$AC$192</f>
        <v>77498869683.252869</v>
      </c>
      <c r="DV160" s="269">
        <f t="shared" si="464"/>
        <v>0</v>
      </c>
      <c r="DW160" s="140">
        <f>'Detailed Budget'!$AC$194</f>
        <v>2684962805.4134097</v>
      </c>
      <c r="DX160" s="269">
        <f t="shared" si="465"/>
        <v>0</v>
      </c>
      <c r="DY160" s="607">
        <f t="shared" si="421"/>
        <v>0</v>
      </c>
      <c r="DZ160" s="196">
        <f>'Detailed Budget'!$AC$198</f>
        <v>18732540018.380611</v>
      </c>
      <c r="EA160" s="269">
        <f t="shared" si="466"/>
        <v>18278778.753284156</v>
      </c>
      <c r="EB160" s="196">
        <f>'Detailed Budget'!$AC$200</f>
        <v>4683135004.5951529</v>
      </c>
      <c r="EC160" s="269">
        <f t="shared" si="467"/>
        <v>4569694.6883210391</v>
      </c>
      <c r="ED160" s="269">
        <f t="shared" si="422"/>
        <v>22848473.441605195</v>
      </c>
      <c r="EE160" s="196">
        <f>'Detailed Budget'!$AC$161</f>
        <v>251147290106.36197</v>
      </c>
      <c r="EF160" s="269">
        <f t="shared" si="468"/>
        <v>217225134.84022298</v>
      </c>
      <c r="EG160" s="196">
        <f>'Detailed Budget'!$AC$163</f>
        <v>15696705631.647623</v>
      </c>
      <c r="EH160" s="269">
        <f t="shared" si="469"/>
        <v>13576570.927513937</v>
      </c>
      <c r="EI160" s="269">
        <f t="shared" si="423"/>
        <v>230801705.76773691</v>
      </c>
      <c r="EJ160" s="196">
        <f>'Detailed Budget'!$AC$204</f>
        <v>45012172507.531975</v>
      </c>
      <c r="EK160" s="269">
        <f t="shared" si="470"/>
        <v>35204949.213768959</v>
      </c>
      <c r="EL160" s="201">
        <f>'Detailed Budget'!$AC$206</f>
        <v>11253043126.882994</v>
      </c>
      <c r="EM160" s="269">
        <f t="shared" si="471"/>
        <v>8801237.3034422398</v>
      </c>
      <c r="EN160" s="269">
        <f t="shared" si="424"/>
        <v>44006186.517211199</v>
      </c>
      <c r="EO160" s="140">
        <f>'Detailed Budget'!$AC$209</f>
        <v>135789361677.54817</v>
      </c>
      <c r="EP160" s="269">
        <f t="shared" si="472"/>
        <v>95551270.014063075</v>
      </c>
      <c r="EQ160" s="196">
        <f>'Detailed Budget'!$AC$211</f>
        <v>33947340419.387043</v>
      </c>
      <c r="ER160" s="269">
        <f t="shared" si="473"/>
        <v>23887817.503515769</v>
      </c>
      <c r="ES160" s="269">
        <f t="shared" si="425"/>
        <v>119439087.51757884</v>
      </c>
      <c r="ET160" s="196">
        <f>'Detailed Budget'!$AC$214</f>
        <v>22239745544.201103</v>
      </c>
      <c r="EU160" s="269">
        <f t="shared" si="474"/>
        <v>15198298.520580392</v>
      </c>
      <c r="EV160" s="140">
        <f>'Detailed Budget'!$AC$217</f>
        <v>5559936386.0502758</v>
      </c>
      <c r="EW160" s="269">
        <f t="shared" si="475"/>
        <v>3799574.6301450981</v>
      </c>
      <c r="EX160" s="269">
        <f t="shared" si="426"/>
        <v>18997873.150725491</v>
      </c>
      <c r="EY160" s="196">
        <f>'Detailed Budget'!$AC$219</f>
        <v>372777004.58170313</v>
      </c>
      <c r="EZ160" s="269">
        <f t="shared" si="476"/>
        <v>266695.68524392496</v>
      </c>
      <c r="FA160" s="196">
        <f>'Detailed Budget'!$AC$222</f>
        <v>93194251.145425782</v>
      </c>
      <c r="FB160" s="269">
        <f t="shared" si="477"/>
        <v>66673.921310981241</v>
      </c>
      <c r="FC160" s="269">
        <f t="shared" si="427"/>
        <v>333369.60655490623</v>
      </c>
      <c r="FD160" s="269"/>
      <c r="FE160" s="269">
        <f t="shared" si="428"/>
        <v>182776516.79207042</v>
      </c>
      <c r="FF160" s="140">
        <f>'Detailed Budget'!$AC$165</f>
        <v>14927760000</v>
      </c>
      <c r="FG160" s="1087">
        <f t="shared" si="442"/>
        <v>249319267.58634663</v>
      </c>
      <c r="FH160" s="269">
        <f t="shared" si="478"/>
        <v>16961436.200431772</v>
      </c>
      <c r="FJ160" s="140">
        <f>'Detailed Budget'!$AC$235</f>
        <v>3623696172</v>
      </c>
      <c r="FK160" s="269">
        <f t="shared" si="479"/>
        <v>4681778</v>
      </c>
      <c r="FL160" s="269">
        <f t="shared" si="443"/>
        <v>4681778</v>
      </c>
      <c r="FO160" s="607"/>
      <c r="FP160" s="607"/>
      <c r="FQ160" s="607"/>
      <c r="FR160" s="269">
        <f>'Detailed Budget'!$AC$257</f>
        <v>13636439388</v>
      </c>
      <c r="FS160" s="269">
        <f t="shared" si="480"/>
        <v>18987384</v>
      </c>
      <c r="FT160" s="269">
        <f t="shared" si="444"/>
        <v>18987384</v>
      </c>
      <c r="FU160" s="269"/>
      <c r="FV160" s="269"/>
      <c r="FW160" s="616"/>
      <c r="FX160" s="140">
        <f>'Detailed Budget'!$AC$278</f>
        <v>1114560000</v>
      </c>
      <c r="FY160" s="269">
        <f t="shared" si="481"/>
        <v>1440000</v>
      </c>
      <c r="FZ160" s="269">
        <f t="shared" si="445"/>
        <v>1440000</v>
      </c>
      <c r="GB160" s="269">
        <f t="shared" si="453"/>
        <v>1027799112.226753</v>
      </c>
      <c r="GC160" s="887">
        <f t="shared" si="429"/>
        <v>642374.44514172059</v>
      </c>
      <c r="GD160" s="1078">
        <f t="shared" si="454"/>
        <v>5.7673044634249597E-4</v>
      </c>
    </row>
    <row r="161" spans="1:186" outlineLevel="1">
      <c r="A161" s="211" t="s">
        <v>494</v>
      </c>
      <c r="B161" s="212" t="s">
        <v>495</v>
      </c>
      <c r="C161" s="213" t="s">
        <v>215</v>
      </c>
      <c r="D161" s="225"/>
      <c r="E161" s="213"/>
      <c r="F161" s="213"/>
      <c r="G161" s="213"/>
      <c r="H161" s="213" t="s">
        <v>215</v>
      </c>
      <c r="I161" s="214" t="s">
        <v>215</v>
      </c>
      <c r="J161" s="214"/>
      <c r="K161" s="213" t="s">
        <v>215</v>
      </c>
      <c r="L161" s="213"/>
      <c r="M161" s="214"/>
      <c r="N161" s="213"/>
      <c r="O161" s="214"/>
      <c r="P161" s="213"/>
      <c r="Q161" s="214"/>
      <c r="R161" s="214" t="s">
        <v>215</v>
      </c>
      <c r="S161" s="214"/>
      <c r="T161" s="214"/>
      <c r="U161" s="215">
        <f t="shared" si="489"/>
        <v>5</v>
      </c>
      <c r="V161" s="845" t="s">
        <v>467</v>
      </c>
      <c r="W161" s="216">
        <v>91549</v>
      </c>
      <c r="X161" s="217">
        <v>2.89</v>
      </c>
      <c r="Y161" s="218">
        <f t="shared" si="483"/>
        <v>1.0288999999999999</v>
      </c>
      <c r="Z161" s="196">
        <v>19</v>
      </c>
      <c r="AA161" s="218">
        <f t="shared" si="484"/>
        <v>1.7182651319612778</v>
      </c>
      <c r="AB161" s="196">
        <f t="shared" si="485"/>
        <v>157305.45456592302</v>
      </c>
      <c r="AC161">
        <v>17.600000000000001</v>
      </c>
      <c r="AD161" s="196">
        <f t="shared" si="486"/>
        <v>27685.760003602452</v>
      </c>
      <c r="AE161" s="196">
        <f t="shared" si="487"/>
        <v>26301.472003422328</v>
      </c>
      <c r="AF161" s="196">
        <f t="shared" si="490"/>
        <v>26301.472003422328</v>
      </c>
      <c r="AG161" s="606">
        <f t="shared" si="432"/>
        <v>1.2160645998126407E-3</v>
      </c>
      <c r="AH161" s="196">
        <f t="shared" si="504"/>
        <v>7865.2727282961514</v>
      </c>
      <c r="AI161" s="248">
        <f t="shared" si="409"/>
        <v>6.0931076120890738E-4</v>
      </c>
      <c r="AJ161" s="196">
        <f t="shared" si="412"/>
        <v>35551.032731898602</v>
      </c>
      <c r="AK161" s="196">
        <f t="shared" si="455"/>
        <v>6292.2181826369206</v>
      </c>
      <c r="AL161" s="196">
        <f t="shared" si="456"/>
        <v>6292.2181826369206</v>
      </c>
      <c r="AM161" s="196">
        <f t="shared" si="413"/>
        <v>12584.436365273841</v>
      </c>
      <c r="AN161" s="627">
        <f t="shared" si="414"/>
        <v>6.0931076120890738E-4</v>
      </c>
      <c r="AO161" s="196">
        <f t="shared" si="415"/>
        <v>5977.6072735050748</v>
      </c>
      <c r="AP161" s="589">
        <f t="shared" si="433"/>
        <v>6.0931076120890738E-4</v>
      </c>
      <c r="AQ161" s="196"/>
      <c r="AR161" s="589"/>
      <c r="AS161">
        <v>1</v>
      </c>
      <c r="AT161" s="589">
        <f t="shared" si="434"/>
        <v>1.2919896640826874E-3</v>
      </c>
      <c r="AU161" s="196">
        <v>10</v>
      </c>
      <c r="AV161" s="245">
        <f t="shared" si="416"/>
        <v>1.1362345188046814E-3</v>
      </c>
      <c r="AX161" s="245"/>
      <c r="AY161" s="245"/>
      <c r="AZ161" s="196">
        <v>31</v>
      </c>
      <c r="BA161" s="589">
        <f t="shared" si="447"/>
        <v>1.1359056099080284E-3</v>
      </c>
      <c r="BI161" s="196">
        <v>0</v>
      </c>
      <c r="BK161" s="246">
        <f t="shared" si="448"/>
        <v>0</v>
      </c>
      <c r="BL161" s="246"/>
      <c r="BM161" s="246">
        <f t="shared" si="449"/>
        <v>0</v>
      </c>
      <c r="BN161" s="196">
        <v>1</v>
      </c>
      <c r="BO161" s="196">
        <f t="shared" si="491"/>
        <v>11947.260808082188</v>
      </c>
      <c r="BP161" s="196">
        <f t="shared" si="417"/>
        <v>11947.260808082188</v>
      </c>
      <c r="BQ161" s="248">
        <f t="shared" si="450"/>
        <v>1.1176106132133161E-3</v>
      </c>
      <c r="BR161" s="248"/>
      <c r="BS161" s="248"/>
      <c r="BT161" s="276">
        <v>1</v>
      </c>
      <c r="BU161" s="196">
        <f t="shared" si="505"/>
        <v>21927.121922853141</v>
      </c>
      <c r="BV161" s="264">
        <f t="shared" si="451"/>
        <v>1.52090670997622E-3</v>
      </c>
      <c r="BW161" s="196">
        <f t="shared" si="506"/>
        <v>93799.354892205112</v>
      </c>
      <c r="BX161" s="247">
        <f t="shared" si="452"/>
        <v>1.5209067236766061E-3</v>
      </c>
      <c r="BY161" s="196">
        <f t="shared" si="492"/>
        <v>115726.47681505825</v>
      </c>
      <c r="BZ161" s="620">
        <v>0</v>
      </c>
      <c r="CA161" s="196">
        <f t="shared" si="493"/>
        <v>48135.469097172434</v>
      </c>
      <c r="CB161" s="196">
        <f t="shared" si="494"/>
        <v>96270.938194344868</v>
      </c>
      <c r="CC161" s="196">
        <f t="shared" si="430"/>
        <v>144406.4072915173</v>
      </c>
      <c r="CD161" s="247">
        <f t="shared" si="418"/>
        <v>6.0931076120890727E-4</v>
      </c>
      <c r="CE161" s="196">
        <f t="shared" si="495"/>
        <v>15918.196463488974</v>
      </c>
      <c r="CF161" s="247">
        <f t="shared" si="419"/>
        <v>6.8739722801955839E-4</v>
      </c>
      <c r="CG161" s="196">
        <f t="shared" si="460"/>
        <v>23910.429094020299</v>
      </c>
      <c r="CH161" s="589">
        <f t="shared" si="435"/>
        <v>6.0931076120890738E-4</v>
      </c>
      <c r="CI161" s="196">
        <f t="shared" si="496"/>
        <v>33514.231925813874</v>
      </c>
      <c r="CJ161" s="248">
        <f t="shared" si="436"/>
        <v>5.5097388779001182E-4</v>
      </c>
      <c r="CK161" s="196">
        <f t="shared" si="497"/>
        <v>34483.704813481745</v>
      </c>
      <c r="CL161" s="589">
        <f t="shared" si="437"/>
        <v>4.9571034968926616E-4</v>
      </c>
      <c r="CM161" s="196">
        <f t="shared" si="498"/>
        <v>3340.5978343805091</v>
      </c>
      <c r="CN161" s="589">
        <f t="shared" si="438"/>
        <v>4.8141811266287957E-4</v>
      </c>
      <c r="CO161" s="196">
        <f t="shared" si="499"/>
        <v>267.25013063087721</v>
      </c>
      <c r="CP161" s="589">
        <f t="shared" si="439"/>
        <v>5.0399258227168484E-4</v>
      </c>
      <c r="CQ161" s="196">
        <f>'Detailed Budget'!$AC$12</f>
        <v>292876014141.44696</v>
      </c>
      <c r="CR161" s="269">
        <f t="shared" si="440"/>
        <v>0</v>
      </c>
      <c r="CS161" s="269">
        <f>'Detailed Budget'!$AC$16</f>
        <v>10488008800.000002</v>
      </c>
      <c r="CT161" s="607">
        <f t="shared" si="461"/>
        <v>0</v>
      </c>
      <c r="CU161" s="269">
        <f>'Detailed Budget'!$AC$24</f>
        <v>30624985696</v>
      </c>
      <c r="CV161" s="269">
        <f t="shared" si="446"/>
        <v>0</v>
      </c>
      <c r="CW161" s="269"/>
      <c r="CX161" s="269">
        <f t="shared" si="431"/>
        <v>0</v>
      </c>
      <c r="CY161" s="196">
        <f>'Detailed Budget'!$AC$97</f>
        <v>74629165494.837845</v>
      </c>
      <c r="CZ161" s="269">
        <f t="shared" si="462"/>
        <v>83406347.412283778</v>
      </c>
      <c r="DA161" s="269">
        <f>'Detailed Budget'!$AC$100</f>
        <v>14925833098.967569</v>
      </c>
      <c r="DB161" s="269">
        <f t="shared" si="463"/>
        <v>16681269.482456755</v>
      </c>
      <c r="DC161" s="269">
        <f t="shared" si="420"/>
        <v>100087616.89474054</v>
      </c>
      <c r="DD161" s="207">
        <v>0</v>
      </c>
      <c r="DE161" s="606">
        <v>0</v>
      </c>
      <c r="DF161" s="269">
        <f>'Detailed Budget'!$AC$147</f>
        <v>5913600671000</v>
      </c>
      <c r="DG161" s="269">
        <f t="shared" si="441"/>
        <v>0</v>
      </c>
      <c r="DH161" s="269">
        <f>'Detailed Budget'!$AC$153</f>
        <v>226428026880.00003</v>
      </c>
      <c r="DI161" s="269"/>
      <c r="DJ161" s="269">
        <f>'Detailed Budget'!$AC$156</f>
        <v>27713070000</v>
      </c>
      <c r="DK161" s="269"/>
      <c r="DL161" s="269"/>
      <c r="DM161" s="196">
        <f>'Detailed Budget'!$AC$178</f>
        <v>5622683761.6229038</v>
      </c>
      <c r="DN161" s="269">
        <f t="shared" si="500"/>
        <v>8551577.4611266069</v>
      </c>
      <c r="DO161" s="196">
        <f>'Detailed Budget'!$AC$179</f>
        <v>26827890683.128094</v>
      </c>
      <c r="DP161" s="269">
        <f t="shared" si="501"/>
        <v>40802719.322030492</v>
      </c>
      <c r="DQ161" s="269">
        <f t="shared" si="457"/>
        <v>49354296.783157095</v>
      </c>
      <c r="DR161" s="269">
        <f>'Detailed Budget'!$AC$181</f>
        <v>50888946855.375237</v>
      </c>
      <c r="DS161" s="269">
        <f t="shared" si="502"/>
        <v>61884246.792568631</v>
      </c>
      <c r="DT161" s="269">
        <f t="shared" si="503"/>
        <v>111238543.57572573</v>
      </c>
      <c r="DU161" s="272">
        <f>'Detailed Budget'!$AC$192</f>
        <v>77498869683.252869</v>
      </c>
      <c r="DV161" s="269">
        <f t="shared" si="464"/>
        <v>0</v>
      </c>
      <c r="DW161" s="140">
        <f>'Detailed Budget'!$AC$194</f>
        <v>2684962805.4134097</v>
      </c>
      <c r="DX161" s="269">
        <f t="shared" si="465"/>
        <v>0</v>
      </c>
      <c r="DY161" s="607">
        <f t="shared" si="421"/>
        <v>0</v>
      </c>
      <c r="DZ161" s="196">
        <f>'Detailed Budget'!$AC$198</f>
        <v>18732540018.380611</v>
      </c>
      <c r="EA161" s="269">
        <f t="shared" si="466"/>
        <v>12876696.082400279</v>
      </c>
      <c r="EB161" s="196">
        <f>'Detailed Budget'!$AC$200</f>
        <v>4683135004.5951529</v>
      </c>
      <c r="EC161" s="269">
        <f t="shared" si="467"/>
        <v>3219174.0206000698</v>
      </c>
      <c r="ED161" s="269">
        <f t="shared" si="422"/>
        <v>16095870.103000348</v>
      </c>
      <c r="EE161" s="196">
        <f>'Detailed Budget'!$AC$161</f>
        <v>251147290106.36197</v>
      </c>
      <c r="EF161" s="269">
        <f t="shared" si="468"/>
        <v>153026746.51026171</v>
      </c>
      <c r="EG161" s="196">
        <f>'Detailed Budget'!$AC$163</f>
        <v>15696705631.647623</v>
      </c>
      <c r="EH161" s="269">
        <f t="shared" si="469"/>
        <v>9564171.6568913572</v>
      </c>
      <c r="EI161" s="269">
        <f t="shared" si="423"/>
        <v>162590918.16715306</v>
      </c>
      <c r="EJ161" s="196">
        <f>'Detailed Budget'!$AC$204</f>
        <v>45012172507.531975</v>
      </c>
      <c r="EK161" s="269">
        <f t="shared" si="470"/>
        <v>24800531.684349578</v>
      </c>
      <c r="EL161" s="201">
        <f>'Detailed Budget'!$AC$206</f>
        <v>11253043126.882994</v>
      </c>
      <c r="EM161" s="269">
        <f t="shared" si="471"/>
        <v>6200132.9210873945</v>
      </c>
      <c r="EN161" s="269">
        <f t="shared" si="424"/>
        <v>31000664.605436973</v>
      </c>
      <c r="EO161" s="140">
        <f>'Detailed Budget'!$AC$209</f>
        <v>135789361677.54817</v>
      </c>
      <c r="EP161" s="269">
        <f t="shared" si="472"/>
        <v>67312191.961259648</v>
      </c>
      <c r="EQ161" s="196">
        <f>'Detailed Budget'!$AC$211</f>
        <v>33947340419.387043</v>
      </c>
      <c r="ER161" s="269">
        <f t="shared" si="473"/>
        <v>16828047.990314912</v>
      </c>
      <c r="ES161" s="269">
        <f t="shared" si="425"/>
        <v>84140239.951574564</v>
      </c>
      <c r="ET161" s="196">
        <f>'Detailed Budget'!$AC$214</f>
        <v>22239745544.201103</v>
      </c>
      <c r="EU161" s="269">
        <f t="shared" si="474"/>
        <v>10706616.325991981</v>
      </c>
      <c r="EV161" s="140">
        <f>'Detailed Budget'!$AC$217</f>
        <v>5559936386.0502758</v>
      </c>
      <c r="EW161" s="269">
        <f t="shared" si="475"/>
        <v>2676654.0814979952</v>
      </c>
      <c r="EX161" s="269">
        <f t="shared" si="426"/>
        <v>13383270.407489976</v>
      </c>
      <c r="EY161" s="196">
        <f>'Detailed Budget'!$AC$219</f>
        <v>372777004.58170313</v>
      </c>
      <c r="EZ161" s="269">
        <f t="shared" si="476"/>
        <v>187876.84515063625</v>
      </c>
      <c r="FA161" s="196">
        <f>'Detailed Budget'!$AC$222</f>
        <v>93194251.145425782</v>
      </c>
      <c r="FB161" s="269">
        <f t="shared" si="477"/>
        <v>46969.211287659062</v>
      </c>
      <c r="FC161" s="269">
        <f t="shared" si="427"/>
        <v>234846.05643829532</v>
      </c>
      <c r="FD161" s="269"/>
      <c r="FE161" s="269">
        <f t="shared" si="428"/>
        <v>128759021.02093981</v>
      </c>
      <c r="FF161" s="140">
        <f>'Detailed Budget'!$AC$165</f>
        <v>14927760000</v>
      </c>
      <c r="FG161" s="1087">
        <f t="shared" si="442"/>
        <v>175635827.72832686</v>
      </c>
      <c r="FH161" s="269">
        <f t="shared" si="478"/>
        <v>16961436.200431772</v>
      </c>
      <c r="FJ161" s="140">
        <f>'Detailed Budget'!$AC$235</f>
        <v>3623696172</v>
      </c>
      <c r="FK161" s="269">
        <f t="shared" si="479"/>
        <v>4681778</v>
      </c>
      <c r="FL161" s="269">
        <f t="shared" si="443"/>
        <v>4681778</v>
      </c>
      <c r="FO161" s="607"/>
      <c r="FP161" s="607"/>
      <c r="FQ161" s="607"/>
      <c r="FR161" s="269">
        <f>'Detailed Budget'!$AC$257</f>
        <v>13636439388</v>
      </c>
      <c r="FS161" s="269">
        <f t="shared" si="480"/>
        <v>15489708.000000002</v>
      </c>
      <c r="FT161" s="269">
        <f t="shared" si="444"/>
        <v>15489708.000000002</v>
      </c>
      <c r="FU161" s="269"/>
      <c r="FV161" s="269"/>
      <c r="FW161" s="616"/>
      <c r="FX161" s="140">
        <f>'Detailed Budget'!$AC$278</f>
        <v>1114560000</v>
      </c>
      <c r="FY161" s="269">
        <f t="shared" si="481"/>
        <v>1440000</v>
      </c>
      <c r="FZ161" s="269">
        <f t="shared" si="445"/>
        <v>1440000</v>
      </c>
      <c r="GB161" s="269">
        <f t="shared" si="453"/>
        <v>732980719.69031811</v>
      </c>
      <c r="GC161" s="887">
        <f t="shared" si="429"/>
        <v>458112.94980644883</v>
      </c>
      <c r="GD161" s="1078">
        <f t="shared" si="454"/>
        <v>4.1129856272358587E-4</v>
      </c>
    </row>
    <row r="162" spans="1:186" outlineLevel="1">
      <c r="A162" s="211" t="s">
        <v>496</v>
      </c>
      <c r="B162" s="212" t="s">
        <v>497</v>
      </c>
      <c r="C162" s="213" t="s">
        <v>215</v>
      </c>
      <c r="D162" s="225"/>
      <c r="E162" s="213"/>
      <c r="F162" s="213"/>
      <c r="G162" s="213"/>
      <c r="H162" s="213" t="s">
        <v>215</v>
      </c>
      <c r="I162" s="214" t="s">
        <v>215</v>
      </c>
      <c r="J162" s="214"/>
      <c r="K162" s="213" t="s">
        <v>215</v>
      </c>
      <c r="L162" s="213"/>
      <c r="M162" s="214"/>
      <c r="N162" s="213"/>
      <c r="O162" s="214"/>
      <c r="P162" s="213"/>
      <c r="Q162" s="214"/>
      <c r="R162" s="214" t="s">
        <v>215</v>
      </c>
      <c r="S162" s="214"/>
      <c r="T162" s="214"/>
      <c r="U162" s="215">
        <f t="shared" si="489"/>
        <v>5</v>
      </c>
      <c r="V162" s="845" t="s">
        <v>467</v>
      </c>
      <c r="W162" s="216">
        <v>148490</v>
      </c>
      <c r="X162" s="217">
        <v>2.89</v>
      </c>
      <c r="Y162" s="218">
        <f t="shared" si="483"/>
        <v>1.0288999999999999</v>
      </c>
      <c r="Z162" s="196">
        <v>19</v>
      </c>
      <c r="AA162" s="218">
        <f t="shared" si="484"/>
        <v>1.7182651319612778</v>
      </c>
      <c r="AB162" s="196">
        <f t="shared" si="485"/>
        <v>255145.18944493015</v>
      </c>
      <c r="AC162">
        <v>17.600000000000001</v>
      </c>
      <c r="AD162" s="196">
        <f t="shared" si="486"/>
        <v>44905.553342307714</v>
      </c>
      <c r="AE162" s="196">
        <f t="shared" si="487"/>
        <v>42660.27567519233</v>
      </c>
      <c r="AF162" s="196">
        <f t="shared" si="490"/>
        <v>42660.27567519233</v>
      </c>
      <c r="AG162" s="606">
        <f t="shared" si="432"/>
        <v>1.9724238651015204E-3</v>
      </c>
      <c r="AH162" s="196">
        <f t="shared" si="504"/>
        <v>12757.259472246507</v>
      </c>
      <c r="AI162" s="248">
        <f t="shared" si="409"/>
        <v>9.8828556217884036E-4</v>
      </c>
      <c r="AJ162" s="196">
        <f t="shared" si="412"/>
        <v>57662.812814554221</v>
      </c>
      <c r="AK162" s="196">
        <f t="shared" si="455"/>
        <v>10205.807577797206</v>
      </c>
      <c r="AL162" s="196">
        <f t="shared" si="456"/>
        <v>10205.807577797206</v>
      </c>
      <c r="AM162" s="196">
        <f t="shared" si="413"/>
        <v>20411.615155594412</v>
      </c>
      <c r="AN162" s="627">
        <f t="shared" si="414"/>
        <v>9.8828556217884058E-4</v>
      </c>
      <c r="AO162" s="196">
        <f t="shared" si="415"/>
        <v>9695.517198907346</v>
      </c>
      <c r="AP162" s="589">
        <f t="shared" si="433"/>
        <v>9.8828556217884058E-4</v>
      </c>
      <c r="AQ162" s="196"/>
      <c r="AR162" s="589"/>
      <c r="AS162">
        <v>1</v>
      </c>
      <c r="AT162" s="589">
        <f t="shared" si="434"/>
        <v>1.2919896640826874E-3</v>
      </c>
      <c r="AU162" s="196">
        <v>10</v>
      </c>
      <c r="AV162" s="245">
        <f t="shared" si="416"/>
        <v>1.1362345188046814E-3</v>
      </c>
      <c r="AX162" s="245"/>
      <c r="AY162" s="245"/>
      <c r="AZ162" s="196">
        <v>45</v>
      </c>
      <c r="BA162" s="589">
        <f t="shared" si="447"/>
        <v>1.6488952401890733E-3</v>
      </c>
      <c r="BI162" s="196">
        <v>0</v>
      </c>
      <c r="BK162" s="246">
        <f t="shared" si="448"/>
        <v>0</v>
      </c>
      <c r="BL162" s="246"/>
      <c r="BM162" s="246">
        <f t="shared" si="449"/>
        <v>0</v>
      </c>
      <c r="BN162" s="196">
        <v>1</v>
      </c>
      <c r="BO162" s="196">
        <f t="shared" si="491"/>
        <v>19378.133648561146</v>
      </c>
      <c r="BP162" s="196">
        <f t="shared" si="417"/>
        <v>19378.133648561146</v>
      </c>
      <c r="BQ162" s="248">
        <f t="shared" si="450"/>
        <v>1.8127341637379471E-3</v>
      </c>
      <c r="BR162" s="248"/>
      <c r="BS162" s="248"/>
      <c r="BT162" s="276">
        <v>1</v>
      </c>
      <c r="BU162" s="196">
        <f t="shared" si="505"/>
        <v>35565.198247107714</v>
      </c>
      <c r="BV162" s="264">
        <f t="shared" si="451"/>
        <v>2.4668695164815455E-3</v>
      </c>
      <c r="BW162" s="196">
        <f t="shared" si="506"/>
        <v>152140.01472373854</v>
      </c>
      <c r="BX162" s="247">
        <f t="shared" si="452"/>
        <v>2.4668695387032001E-3</v>
      </c>
      <c r="BY162" s="196">
        <f t="shared" si="492"/>
        <v>187705.21297084625</v>
      </c>
      <c r="BZ162" s="620">
        <v>0</v>
      </c>
      <c r="CA162" s="196">
        <f t="shared" si="493"/>
        <v>78074.427970148623</v>
      </c>
      <c r="CB162" s="196">
        <f t="shared" si="494"/>
        <v>156148.85594029725</v>
      </c>
      <c r="CC162" s="196">
        <f t="shared" si="430"/>
        <v>234223.28391044587</v>
      </c>
      <c r="CD162" s="247">
        <f t="shared" si="418"/>
        <v>9.8828556217884036E-4</v>
      </c>
      <c r="CE162" s="196">
        <f t="shared" si="495"/>
        <v>25818.883798441031</v>
      </c>
      <c r="CF162" s="247">
        <f t="shared" si="419"/>
        <v>1.1149396977424575E-3</v>
      </c>
      <c r="CG162" s="196">
        <f t="shared" si="460"/>
        <v>38782.068795629384</v>
      </c>
      <c r="CH162" s="589">
        <f t="shared" si="435"/>
        <v>9.8828556217884058E-4</v>
      </c>
      <c r="CI162" s="196">
        <f t="shared" si="496"/>
        <v>54359.177038133705</v>
      </c>
      <c r="CJ162" s="248">
        <f t="shared" si="436"/>
        <v>8.9366473252508341E-4</v>
      </c>
      <c r="CK162" s="196">
        <f t="shared" si="497"/>
        <v>55931.635820750693</v>
      </c>
      <c r="CL162" s="589">
        <f t="shared" si="437"/>
        <v>8.0402876956994784E-4</v>
      </c>
      <c r="CM162" s="196">
        <f t="shared" si="498"/>
        <v>5418.3592658266271</v>
      </c>
      <c r="CN162" s="589">
        <f t="shared" si="438"/>
        <v>7.8084714796787514E-4</v>
      </c>
      <c r="CO162" s="196">
        <f t="shared" si="499"/>
        <v>433.47247809783789</v>
      </c>
      <c r="CP162" s="589">
        <f t="shared" si="439"/>
        <v>8.1746232663953164E-4</v>
      </c>
      <c r="CQ162" s="196">
        <f>'Detailed Budget'!$AC$12</f>
        <v>292876014141.44696</v>
      </c>
      <c r="CR162" s="269">
        <f t="shared" ref="CR162:CR193" si="507">BK162*CQ162</f>
        <v>0</v>
      </c>
      <c r="CS162" s="269">
        <f>'Detailed Budget'!$AC$16</f>
        <v>10488008800.000002</v>
      </c>
      <c r="CT162" s="607">
        <f t="shared" si="461"/>
        <v>0</v>
      </c>
      <c r="CU162" s="269">
        <f>'Detailed Budget'!$AC$24</f>
        <v>30624985696</v>
      </c>
      <c r="CV162" s="269">
        <f t="shared" si="446"/>
        <v>0</v>
      </c>
      <c r="CW162" s="269"/>
      <c r="CX162" s="269">
        <f t="shared" si="431"/>
        <v>0</v>
      </c>
      <c r="CY162" s="196">
        <f>'Detailed Budget'!$AC$97</f>
        <v>74629165494.837845</v>
      </c>
      <c r="CZ162" s="269">
        <f t="shared" si="462"/>
        <v>135282837.90374574</v>
      </c>
      <c r="DA162" s="269">
        <f>'Detailed Budget'!$AC$100</f>
        <v>14925833098.967569</v>
      </c>
      <c r="DB162" s="269">
        <f t="shared" si="463"/>
        <v>27056567.58074915</v>
      </c>
      <c r="DC162" s="269">
        <f t="shared" si="420"/>
        <v>162339405.48449489</v>
      </c>
      <c r="DD162" s="207">
        <v>0</v>
      </c>
      <c r="DE162" s="606">
        <v>0</v>
      </c>
      <c r="DF162" s="269">
        <f>'Detailed Budget'!$AC$147</f>
        <v>5913600671000</v>
      </c>
      <c r="DG162" s="269">
        <f t="shared" si="441"/>
        <v>0</v>
      </c>
      <c r="DH162" s="269">
        <f>'Detailed Budget'!$AC$153</f>
        <v>226428026880.00003</v>
      </c>
      <c r="DI162" s="269"/>
      <c r="DJ162" s="269">
        <f>'Detailed Budget'!$AC$156</f>
        <v>27713070000</v>
      </c>
      <c r="DK162" s="269"/>
      <c r="DL162" s="269"/>
      <c r="DM162" s="196">
        <f>'Detailed Budget'!$AC$178</f>
        <v>5622683761.6229038</v>
      </c>
      <c r="DN162" s="269">
        <f t="shared" si="500"/>
        <v>13870427.17236333</v>
      </c>
      <c r="DO162" s="196">
        <f>'Detailed Budget'!$AC$179</f>
        <v>26827890683.128094</v>
      </c>
      <c r="DP162" s="269">
        <f t="shared" si="501"/>
        <v>66180906.313868083</v>
      </c>
      <c r="DQ162" s="269">
        <f t="shared" si="457"/>
        <v>80051333.486231416</v>
      </c>
      <c r="DR162" s="269">
        <f>'Detailed Budget'!$AC$181</f>
        <v>50888946855.375237</v>
      </c>
      <c r="DS162" s="269">
        <f t="shared" si="502"/>
        <v>100374573.24742509</v>
      </c>
      <c r="DT162" s="269">
        <f t="shared" si="503"/>
        <v>180425906.73365653</v>
      </c>
      <c r="DU162" s="272">
        <f>'Detailed Budget'!$AC$192</f>
        <v>77498869683.252869</v>
      </c>
      <c r="DV162" s="269">
        <f t="shared" si="464"/>
        <v>0</v>
      </c>
      <c r="DW162" s="140">
        <f>'Detailed Budget'!$AC$194</f>
        <v>2684962805.4134097</v>
      </c>
      <c r="DX162" s="269">
        <f t="shared" si="465"/>
        <v>0</v>
      </c>
      <c r="DY162" s="607">
        <f t="shared" si="421"/>
        <v>0</v>
      </c>
      <c r="DZ162" s="196">
        <f>'Detailed Budget'!$AC$198</f>
        <v>18732540018.380611</v>
      </c>
      <c r="EA162" s="269">
        <f t="shared" si="466"/>
        <v>20885652.506041769</v>
      </c>
      <c r="EB162" s="196">
        <f>'Detailed Budget'!$AC$200</f>
        <v>4683135004.5951529</v>
      </c>
      <c r="EC162" s="269">
        <f t="shared" si="467"/>
        <v>5221413.1265104422</v>
      </c>
      <c r="ED162" s="269">
        <f t="shared" si="422"/>
        <v>26107065.63255221</v>
      </c>
      <c r="EE162" s="196">
        <f>'Detailed Budget'!$AC$161</f>
        <v>251147290106.36197</v>
      </c>
      <c r="EF162" s="269">
        <f t="shared" si="468"/>
        <v>248205240.7924583</v>
      </c>
      <c r="EG162" s="196">
        <f>'Detailed Budget'!$AC$163</f>
        <v>15696705631.647623</v>
      </c>
      <c r="EH162" s="269">
        <f t="shared" si="469"/>
        <v>15512827.549528643</v>
      </c>
      <c r="EI162" s="269">
        <f t="shared" si="423"/>
        <v>263718068.34198695</v>
      </c>
      <c r="EJ162" s="196">
        <f>'Detailed Budget'!$AC$204</f>
        <v>45012172507.531975</v>
      </c>
      <c r="EK162" s="269">
        <f t="shared" si="470"/>
        <v>40225791.104316473</v>
      </c>
      <c r="EL162" s="201">
        <f>'Detailed Budget'!$AC$206</f>
        <v>11253043126.882994</v>
      </c>
      <c r="EM162" s="269">
        <f t="shared" si="471"/>
        <v>10056447.776079118</v>
      </c>
      <c r="EN162" s="269">
        <f t="shared" si="424"/>
        <v>50282238.880395591</v>
      </c>
      <c r="EO162" s="140">
        <f>'Detailed Budget'!$AC$209</f>
        <v>135789361677.54817</v>
      </c>
      <c r="EP162" s="269">
        <f t="shared" si="472"/>
        <v>109178553.39028768</v>
      </c>
      <c r="EQ162" s="196">
        <f>'Detailed Budget'!$AC$211</f>
        <v>33947340419.387043</v>
      </c>
      <c r="ER162" s="269">
        <f t="shared" si="473"/>
        <v>27294638.347571921</v>
      </c>
      <c r="ES162" s="269">
        <f t="shared" si="425"/>
        <v>136473191.73785961</v>
      </c>
      <c r="ET162" s="196">
        <f>'Detailed Budget'!$AC$214</f>
        <v>22239745544.201103</v>
      </c>
      <c r="EU162" s="269">
        <f t="shared" si="474"/>
        <v>17365841.879720692</v>
      </c>
      <c r="EV162" s="140">
        <f>'Detailed Budget'!$AC$217</f>
        <v>5559936386.0502758</v>
      </c>
      <c r="EW162" s="269">
        <f t="shared" si="475"/>
        <v>4341460.4699301729</v>
      </c>
      <c r="EX162" s="269">
        <f t="shared" si="426"/>
        <v>21707302.349650864</v>
      </c>
      <c r="EY162" s="196">
        <f>'Detailed Budget'!$AC$219</f>
        <v>372777004.58170313</v>
      </c>
      <c r="EZ162" s="269">
        <f t="shared" si="476"/>
        <v>304731.15748307441</v>
      </c>
      <c r="FA162" s="196">
        <f>'Detailed Budget'!$AC$222</f>
        <v>93194251.145425782</v>
      </c>
      <c r="FB162" s="269">
        <f t="shared" si="477"/>
        <v>76182.789370768602</v>
      </c>
      <c r="FC162" s="269">
        <f t="shared" si="427"/>
        <v>380913.94685384299</v>
      </c>
      <c r="FD162" s="269"/>
      <c r="FE162" s="269">
        <f t="shared" si="428"/>
        <v>208843646.9147599</v>
      </c>
      <c r="FF162" s="140">
        <f>'Detailed Budget'!$AC$165</f>
        <v>14927760000</v>
      </c>
      <c r="FG162" s="1087">
        <f t="shared" si="442"/>
        <v>284876558.5574857</v>
      </c>
      <c r="FH162" s="269">
        <f t="shared" si="478"/>
        <v>16961436.200431772</v>
      </c>
      <c r="FJ162" s="140">
        <f>'Detailed Budget'!$AC$235</f>
        <v>3623696172</v>
      </c>
      <c r="FK162" s="269">
        <f t="shared" si="479"/>
        <v>4681778</v>
      </c>
      <c r="FL162" s="269">
        <f t="shared" si="443"/>
        <v>4681778</v>
      </c>
      <c r="FO162" s="607"/>
      <c r="FP162" s="607"/>
      <c r="FQ162" s="607"/>
      <c r="FR162" s="269">
        <f>'Detailed Budget'!$AC$257</f>
        <v>13636439388</v>
      </c>
      <c r="FS162" s="269">
        <f t="shared" si="480"/>
        <v>22485060</v>
      </c>
      <c r="FT162" s="269">
        <f t="shared" si="444"/>
        <v>22485060</v>
      </c>
      <c r="FU162" s="269"/>
      <c r="FV162" s="269"/>
      <c r="FW162" s="616"/>
      <c r="FX162" s="140">
        <f>'Detailed Budget'!$AC$278</f>
        <v>1114560000</v>
      </c>
      <c r="FY162" s="269">
        <f t="shared" si="481"/>
        <v>1440000</v>
      </c>
      <c r="FZ162" s="269">
        <f t="shared" si="445"/>
        <v>1440000</v>
      </c>
      <c r="GB162" s="269">
        <f t="shared" si="453"/>
        <v>1171878925.8653679</v>
      </c>
      <c r="GC162" s="887">
        <f t="shared" si="429"/>
        <v>732424.32866585487</v>
      </c>
      <c r="GD162" s="1078">
        <f t="shared" si="454"/>
        <v>6.5757816671920856E-4</v>
      </c>
    </row>
    <row r="163" spans="1:186" outlineLevel="1">
      <c r="A163" s="211" t="s">
        <v>498</v>
      </c>
      <c r="B163" s="212" t="s">
        <v>499</v>
      </c>
      <c r="C163" s="213" t="s">
        <v>215</v>
      </c>
      <c r="D163" s="225"/>
      <c r="E163" s="213"/>
      <c r="F163" s="213"/>
      <c r="G163" s="213"/>
      <c r="H163" s="213" t="s">
        <v>215</v>
      </c>
      <c r="I163" s="214" t="s">
        <v>215</v>
      </c>
      <c r="J163" s="214"/>
      <c r="K163" s="213" t="s">
        <v>215</v>
      </c>
      <c r="L163" s="213"/>
      <c r="M163" s="214"/>
      <c r="N163" s="213"/>
      <c r="O163" s="214"/>
      <c r="P163" s="213"/>
      <c r="Q163" s="214"/>
      <c r="R163" s="214" t="s">
        <v>215</v>
      </c>
      <c r="S163" s="214"/>
      <c r="T163" s="214"/>
      <c r="U163" s="215">
        <f t="shared" si="489"/>
        <v>5</v>
      </c>
      <c r="V163" s="845" t="s">
        <v>467</v>
      </c>
      <c r="W163" s="216">
        <v>195188</v>
      </c>
      <c r="X163" s="217">
        <v>2.89</v>
      </c>
      <c r="Y163" s="218">
        <f t="shared" si="483"/>
        <v>1.0288999999999999</v>
      </c>
      <c r="Z163" s="196">
        <v>19</v>
      </c>
      <c r="AA163" s="218">
        <f t="shared" si="484"/>
        <v>1.7182651319612778</v>
      </c>
      <c r="AB163" s="196">
        <f t="shared" si="485"/>
        <v>335384.73457725788</v>
      </c>
      <c r="AC163">
        <v>17.600000000000001</v>
      </c>
      <c r="AD163" s="196">
        <f t="shared" si="486"/>
        <v>59027.713285597398</v>
      </c>
      <c r="AE163" s="196">
        <f t="shared" si="487"/>
        <v>56076.327621317527</v>
      </c>
      <c r="AF163" s="196">
        <f t="shared" si="490"/>
        <v>56076.327621317527</v>
      </c>
      <c r="AG163" s="606">
        <f t="shared" si="432"/>
        <v>2.5927232095187252E-3</v>
      </c>
      <c r="AH163" s="196">
        <f t="shared" si="504"/>
        <v>16769.236728862896</v>
      </c>
      <c r="AI163" s="248">
        <f t="shared" si="409"/>
        <v>1.2990873615096202E-3</v>
      </c>
      <c r="AJ163" s="196">
        <f t="shared" si="412"/>
        <v>75796.950014460293</v>
      </c>
      <c r="AK163" s="196">
        <f t="shared" si="455"/>
        <v>13415.389383090316</v>
      </c>
      <c r="AL163" s="196">
        <f t="shared" si="456"/>
        <v>13415.389383090316</v>
      </c>
      <c r="AM163" s="196">
        <f t="shared" si="413"/>
        <v>26830.778766180632</v>
      </c>
      <c r="AN163" s="627">
        <f t="shared" si="414"/>
        <v>1.2990873615096202E-3</v>
      </c>
      <c r="AO163" s="196">
        <f t="shared" si="415"/>
        <v>12744.6199139358</v>
      </c>
      <c r="AP163" s="589">
        <f t="shared" si="433"/>
        <v>1.2990873615096202E-3</v>
      </c>
      <c r="AQ163" s="196"/>
      <c r="AR163" s="589"/>
      <c r="AS163">
        <v>1</v>
      </c>
      <c r="AT163" s="589">
        <f t="shared" si="434"/>
        <v>1.2919896640826874E-3</v>
      </c>
      <c r="AU163" s="196">
        <v>11</v>
      </c>
      <c r="AV163" s="245">
        <f t="shared" si="416"/>
        <v>1.2498579706851495E-3</v>
      </c>
      <c r="AX163" s="245"/>
      <c r="AY163" s="245"/>
      <c r="AZ163" s="196">
        <v>40</v>
      </c>
      <c r="BA163" s="589">
        <f t="shared" si="447"/>
        <v>1.4656846579458429E-3</v>
      </c>
      <c r="BI163" s="196">
        <v>0</v>
      </c>
      <c r="BK163" s="246">
        <f t="shared" si="448"/>
        <v>0</v>
      </c>
      <c r="BL163" s="246"/>
      <c r="BM163" s="246">
        <f t="shared" si="449"/>
        <v>0</v>
      </c>
      <c r="BN163" s="196">
        <v>1</v>
      </c>
      <c r="BO163" s="196">
        <f t="shared" si="491"/>
        <v>25472.281975859336</v>
      </c>
      <c r="BP163" s="196">
        <f t="shared" si="417"/>
        <v>25472.281975859336</v>
      </c>
      <c r="BQ163" s="248">
        <f t="shared" si="450"/>
        <v>2.3828133608437092E-3</v>
      </c>
      <c r="BR163" s="248"/>
      <c r="BS163" s="248"/>
      <c r="BT163" s="276">
        <v>1</v>
      </c>
      <c r="BU163" s="196">
        <f t="shared" si="505"/>
        <v>46749.948922193136</v>
      </c>
      <c r="BV163" s="264">
        <f t="shared" si="451"/>
        <v>3.242665008977034E-3</v>
      </c>
      <c r="BW163" s="196">
        <f t="shared" si="506"/>
        <v>199985.89261160398</v>
      </c>
      <c r="BX163" s="247">
        <f t="shared" si="452"/>
        <v>3.2426650381870846E-3</v>
      </c>
      <c r="BY163" s="196">
        <f t="shared" si="492"/>
        <v>246735.84153379712</v>
      </c>
      <c r="BZ163" s="620">
        <v>0</v>
      </c>
      <c r="CA163" s="196">
        <f t="shared" si="493"/>
        <v>102627.7287806409</v>
      </c>
      <c r="CB163" s="196">
        <f t="shared" si="494"/>
        <v>205255.4575612818</v>
      </c>
      <c r="CC163" s="196">
        <f t="shared" si="430"/>
        <v>307883.18634192273</v>
      </c>
      <c r="CD163" s="247">
        <f t="shared" si="418"/>
        <v>1.2990873615096202E-3</v>
      </c>
      <c r="CE163" s="196">
        <f t="shared" si="495"/>
        <v>33938.556743552479</v>
      </c>
      <c r="CF163" s="247">
        <f t="shared" si="419"/>
        <v>1.465572427254056E-3</v>
      </c>
      <c r="CG163" s="196">
        <f t="shared" si="460"/>
        <v>50978.479655743198</v>
      </c>
      <c r="CH163" s="589">
        <f t="shared" si="435"/>
        <v>1.2990873615096202E-3</v>
      </c>
      <c r="CI163" s="196">
        <f t="shared" si="496"/>
        <v>71454.367618824443</v>
      </c>
      <c r="CJ163" s="248">
        <f t="shared" si="436"/>
        <v>1.1747096222783082E-3</v>
      </c>
      <c r="CK163" s="196">
        <f t="shared" si="497"/>
        <v>73521.342397337779</v>
      </c>
      <c r="CL163" s="589">
        <f t="shared" si="437"/>
        <v>1.0568844196566704E-3</v>
      </c>
      <c r="CM163" s="196">
        <f t="shared" si="498"/>
        <v>7122.3564440579685</v>
      </c>
      <c r="CN163" s="589">
        <f t="shared" si="438"/>
        <v>1.026412506684313E-3</v>
      </c>
      <c r="CO163" s="196">
        <f t="shared" si="499"/>
        <v>569.7934275369438</v>
      </c>
      <c r="CP163" s="589">
        <f t="shared" si="439"/>
        <v>1.0745426399900121E-3</v>
      </c>
      <c r="CQ163" s="196">
        <f>'Detailed Budget'!$AC$12</f>
        <v>292876014141.44696</v>
      </c>
      <c r="CR163" s="269">
        <f t="shared" si="507"/>
        <v>0</v>
      </c>
      <c r="CS163" s="269">
        <f>'Detailed Budget'!$AC$16</f>
        <v>10488008800.000002</v>
      </c>
      <c r="CT163" s="607">
        <f t="shared" si="461"/>
        <v>0</v>
      </c>
      <c r="CU163" s="269">
        <f>'Detailed Budget'!$AC$24</f>
        <v>30624985696</v>
      </c>
      <c r="CV163" s="269">
        <f t="shared" si="446"/>
        <v>0</v>
      </c>
      <c r="CW163" s="269"/>
      <c r="CX163" s="269">
        <f t="shared" si="431"/>
        <v>0</v>
      </c>
      <c r="CY163" s="196">
        <f>'Detailed Budget'!$AC$97</f>
        <v>74629165494.837845</v>
      </c>
      <c r="CZ163" s="269">
        <f t="shared" si="462"/>
        <v>177827372.64971593</v>
      </c>
      <c r="DA163" s="269">
        <f>'Detailed Budget'!$AC$100</f>
        <v>14925833098.967569</v>
      </c>
      <c r="DB163" s="269">
        <f t="shared" si="463"/>
        <v>35565474.529943191</v>
      </c>
      <c r="DC163" s="269">
        <f t="shared" si="420"/>
        <v>213392847.17965913</v>
      </c>
      <c r="DD163" s="207">
        <v>0</v>
      </c>
      <c r="DE163" s="606">
        <v>0</v>
      </c>
      <c r="DF163" s="269">
        <f>'Detailed Budget'!$AC$147</f>
        <v>5913600671000</v>
      </c>
      <c r="DG163" s="269">
        <f t="shared" si="441"/>
        <v>0</v>
      </c>
      <c r="DH163" s="269">
        <f>'Detailed Budget'!$AC$153</f>
        <v>226428026880.00003</v>
      </c>
      <c r="DI163" s="269"/>
      <c r="DJ163" s="269">
        <f>'Detailed Budget'!$AC$156</f>
        <v>27713070000</v>
      </c>
      <c r="DK163" s="269"/>
      <c r="DL163" s="269"/>
      <c r="DM163" s="196">
        <f>'Detailed Budget'!$AC$178</f>
        <v>5622683761.6229038</v>
      </c>
      <c r="DN163" s="269">
        <f t="shared" si="500"/>
        <v>18232479.890357956</v>
      </c>
      <c r="DO163" s="196">
        <f>'Detailed Budget'!$AC$179</f>
        <v>26827890683.128094</v>
      </c>
      <c r="DP163" s="269">
        <f t="shared" si="501"/>
        <v>86993863.16648449</v>
      </c>
      <c r="DQ163" s="269">
        <f t="shared" si="457"/>
        <v>105226343.05684245</v>
      </c>
      <c r="DR163" s="269">
        <f>'Detailed Budget'!$AC$181</f>
        <v>50888946855.375237</v>
      </c>
      <c r="DS163" s="269">
        <f t="shared" si="502"/>
        <v>131940953.61989632</v>
      </c>
      <c r="DT163" s="269">
        <f t="shared" si="503"/>
        <v>237167296.67673877</v>
      </c>
      <c r="DU163" s="272">
        <f>'Detailed Budget'!$AC$192</f>
        <v>77498869683.252869</v>
      </c>
      <c r="DV163" s="269">
        <f t="shared" si="464"/>
        <v>0</v>
      </c>
      <c r="DW163" s="140">
        <f>'Detailed Budget'!$AC$194</f>
        <v>2684962805.4134097</v>
      </c>
      <c r="DX163" s="269">
        <f t="shared" si="465"/>
        <v>0</v>
      </c>
      <c r="DY163" s="607">
        <f t="shared" si="421"/>
        <v>0</v>
      </c>
      <c r="DZ163" s="196">
        <f>'Detailed Budget'!$AC$198</f>
        <v>18732540018.380611</v>
      </c>
      <c r="EA163" s="269">
        <f t="shared" si="466"/>
        <v>27453894.143371809</v>
      </c>
      <c r="EB163" s="196">
        <f>'Detailed Budget'!$AC$200</f>
        <v>4683135004.5951529</v>
      </c>
      <c r="EC163" s="269">
        <f t="shared" si="467"/>
        <v>6863473.5358429523</v>
      </c>
      <c r="ED163" s="269">
        <f t="shared" si="422"/>
        <v>34317367.679214761</v>
      </c>
      <c r="EE163" s="196">
        <f>'Detailed Budget'!$AC$161</f>
        <v>251147290106.36197</v>
      </c>
      <c r="EF163" s="269">
        <f t="shared" si="468"/>
        <v>326262270.45456493</v>
      </c>
      <c r="EG163" s="196">
        <f>'Detailed Budget'!$AC$163</f>
        <v>15696705631.647623</v>
      </c>
      <c r="EH163" s="269">
        <f t="shared" si="469"/>
        <v>20391391.903410308</v>
      </c>
      <c r="EI163" s="269">
        <f t="shared" si="423"/>
        <v>346653662.35797524</v>
      </c>
      <c r="EJ163" s="196">
        <f>'Detailed Budget'!$AC$204</f>
        <v>45012172507.531975</v>
      </c>
      <c r="EK163" s="269">
        <f t="shared" si="470"/>
        <v>52876232.164248936</v>
      </c>
      <c r="EL163" s="201">
        <f>'Detailed Budget'!$AC$206</f>
        <v>11253043126.882994</v>
      </c>
      <c r="EM163" s="269">
        <f t="shared" si="471"/>
        <v>13219058.041062234</v>
      </c>
      <c r="EN163" s="269">
        <f t="shared" si="424"/>
        <v>66095290.205311172</v>
      </c>
      <c r="EO163" s="140">
        <f>'Detailed Budget'!$AC$209</f>
        <v>135789361677.54817</v>
      </c>
      <c r="EP163" s="269">
        <f t="shared" si="472"/>
        <v>143513660.71212521</v>
      </c>
      <c r="EQ163" s="196">
        <f>'Detailed Budget'!$AC$211</f>
        <v>33947340419.387043</v>
      </c>
      <c r="ER163" s="269">
        <f t="shared" si="473"/>
        <v>35878415.178031303</v>
      </c>
      <c r="ES163" s="269">
        <f t="shared" si="425"/>
        <v>179392075.89015651</v>
      </c>
      <c r="ET163" s="196">
        <f>'Detailed Budget'!$AC$214</f>
        <v>22239745544.201103</v>
      </c>
      <c r="EU163" s="269">
        <f t="shared" si="474"/>
        <v>22827152.972044736</v>
      </c>
      <c r="EV163" s="140">
        <f>'Detailed Budget'!$AC$217</f>
        <v>5559936386.0502758</v>
      </c>
      <c r="EW163" s="269">
        <f t="shared" si="475"/>
        <v>5706788.243011184</v>
      </c>
      <c r="EX163" s="269">
        <f t="shared" si="426"/>
        <v>28533941.21505592</v>
      </c>
      <c r="EY163" s="196">
        <f>'Detailed Budget'!$AC$219</f>
        <v>372777004.58170313</v>
      </c>
      <c r="EZ163" s="269">
        <f t="shared" si="476"/>
        <v>400564.78663079214</v>
      </c>
      <c r="FA163" s="196">
        <f>'Detailed Budget'!$AC$222</f>
        <v>93194251.145425782</v>
      </c>
      <c r="FB163" s="269">
        <f t="shared" si="477"/>
        <v>100141.19665769803</v>
      </c>
      <c r="FC163" s="269">
        <f t="shared" si="427"/>
        <v>500705.98328849016</v>
      </c>
      <c r="FD163" s="269"/>
      <c r="FE163" s="269">
        <f t="shared" si="428"/>
        <v>274522013.2938121</v>
      </c>
      <c r="FF163" s="140">
        <f>'Detailed Budget'!$AC$165</f>
        <v>14927760000</v>
      </c>
      <c r="FG163" s="1087">
        <f t="shared" si="442"/>
        <v>374466197.80267036</v>
      </c>
      <c r="FH163" s="269">
        <f t="shared" si="478"/>
        <v>18657579.820474949</v>
      </c>
      <c r="FJ163" s="140">
        <f>'Detailed Budget'!$AC$235</f>
        <v>3623696172</v>
      </c>
      <c r="FK163" s="269">
        <f t="shared" si="479"/>
        <v>4681778</v>
      </c>
      <c r="FL163" s="269">
        <f t="shared" si="443"/>
        <v>4681778</v>
      </c>
      <c r="FO163" s="607"/>
      <c r="FP163" s="607"/>
      <c r="FQ163" s="607"/>
      <c r="FR163" s="269">
        <f>'Detailed Budget'!$AC$257</f>
        <v>13636439388</v>
      </c>
      <c r="FS163" s="269">
        <f t="shared" si="480"/>
        <v>19986720</v>
      </c>
      <c r="FT163" s="269">
        <f t="shared" si="444"/>
        <v>19986720</v>
      </c>
      <c r="FU163" s="269"/>
      <c r="FV163" s="269"/>
      <c r="FW163" s="616"/>
      <c r="FX163" s="140">
        <f>'Detailed Budget'!$AC$278</f>
        <v>1114560000</v>
      </c>
      <c r="FY163" s="269">
        <f t="shared" si="481"/>
        <v>1440000</v>
      </c>
      <c r="FZ163" s="269">
        <f t="shared" si="445"/>
        <v>1440000</v>
      </c>
      <c r="GB163" s="269">
        <f t="shared" si="453"/>
        <v>1525285462.8105452</v>
      </c>
      <c r="GC163" s="887">
        <f t="shared" si="429"/>
        <v>953303.41425659077</v>
      </c>
      <c r="GD163" s="1078">
        <f t="shared" si="454"/>
        <v>8.558857030539753E-4</v>
      </c>
    </row>
    <row r="164" spans="1:186" outlineLevel="1">
      <c r="A164" s="211" t="s">
        <v>500</v>
      </c>
      <c r="B164" s="212" t="s">
        <v>501</v>
      </c>
      <c r="C164" s="213" t="s">
        <v>215</v>
      </c>
      <c r="D164" s="225" t="s">
        <v>215</v>
      </c>
      <c r="E164" s="213"/>
      <c r="F164" s="213"/>
      <c r="G164" s="213"/>
      <c r="H164" s="213" t="s">
        <v>215</v>
      </c>
      <c r="I164" s="214" t="s">
        <v>215</v>
      </c>
      <c r="J164" s="214"/>
      <c r="K164" s="213" t="s">
        <v>215</v>
      </c>
      <c r="L164" s="213"/>
      <c r="M164" s="214"/>
      <c r="N164" s="213"/>
      <c r="O164" s="214"/>
      <c r="P164" s="213"/>
      <c r="Q164" s="214"/>
      <c r="R164" s="214" t="s">
        <v>215</v>
      </c>
      <c r="S164" s="214"/>
      <c r="T164" s="214"/>
      <c r="U164" s="215">
        <f t="shared" si="489"/>
        <v>6</v>
      </c>
      <c r="V164" s="845" t="s">
        <v>219</v>
      </c>
      <c r="W164" s="216">
        <v>52179</v>
      </c>
      <c r="X164" s="217">
        <v>2.89</v>
      </c>
      <c r="Y164" s="218">
        <f t="shared" si="483"/>
        <v>1.0288999999999999</v>
      </c>
      <c r="Z164" s="196">
        <v>19</v>
      </c>
      <c r="AA164" s="218">
        <f t="shared" si="484"/>
        <v>1.7182651319612778</v>
      </c>
      <c r="AB164" s="196">
        <f t="shared" si="485"/>
        <v>89657.35632060752</v>
      </c>
      <c r="AC164">
        <v>17.600000000000001</v>
      </c>
      <c r="AD164" s="196">
        <f t="shared" si="486"/>
        <v>15779.694712426926</v>
      </c>
      <c r="AE164" s="196">
        <f t="shared" si="487"/>
        <v>14990.70997680558</v>
      </c>
      <c r="AF164" s="196">
        <f t="shared" si="490"/>
        <v>14990.70997680558</v>
      </c>
      <c r="AG164" s="606">
        <f t="shared" si="432"/>
        <v>6.9310461887758248E-4</v>
      </c>
      <c r="AH164" s="196">
        <f t="shared" si="504"/>
        <v>4482.8678160303762</v>
      </c>
      <c r="AI164" s="248">
        <f t="shared" si="409"/>
        <v>3.4728097749969506E-4</v>
      </c>
      <c r="AJ164" s="196">
        <f t="shared" si="412"/>
        <v>20262.562528457303</v>
      </c>
      <c r="AK164" s="196">
        <f t="shared" si="455"/>
        <v>3586.2942528243007</v>
      </c>
      <c r="AL164" s="196">
        <f t="shared" si="456"/>
        <v>3586.2942528243007</v>
      </c>
      <c r="AM164" s="196">
        <f t="shared" si="413"/>
        <v>7172.5885056486013</v>
      </c>
      <c r="AN164" s="627">
        <f t="shared" si="414"/>
        <v>3.4728097749969501E-4</v>
      </c>
      <c r="AO164" s="196">
        <f t="shared" si="415"/>
        <v>3406.9795401830856</v>
      </c>
      <c r="AP164" s="589">
        <f t="shared" si="433"/>
        <v>3.4728097749969506E-4</v>
      </c>
      <c r="AQ164" s="196"/>
      <c r="AR164" s="589"/>
      <c r="AS164">
        <v>1</v>
      </c>
      <c r="AT164" s="589">
        <f t="shared" si="434"/>
        <v>1.2919896640826874E-3</v>
      </c>
      <c r="AU164" s="196">
        <v>10</v>
      </c>
      <c r="AV164" s="245">
        <f t="shared" si="416"/>
        <v>1.1362345188046814E-3</v>
      </c>
      <c r="AX164" s="245"/>
      <c r="AY164" s="245"/>
      <c r="AZ164" s="196">
        <v>32</v>
      </c>
      <c r="BA164" s="589">
        <f t="shared" si="447"/>
        <v>1.1725477263566744E-3</v>
      </c>
      <c r="BI164" s="196">
        <v>0</v>
      </c>
      <c r="BK164" s="246">
        <f t="shared" si="448"/>
        <v>0</v>
      </c>
      <c r="BL164" s="246"/>
      <c r="BM164" s="246">
        <f t="shared" si="449"/>
        <v>0</v>
      </c>
      <c r="BN164" s="196">
        <v>1</v>
      </c>
      <c r="BO164" s="196">
        <f t="shared" si="491"/>
        <v>6809.4257906139946</v>
      </c>
      <c r="BP164" s="196">
        <f t="shared" si="417"/>
        <v>6809.4257906139946</v>
      </c>
      <c r="BQ164" s="248">
        <f t="shared" si="450"/>
        <v>6.3699007293206505E-4</v>
      </c>
      <c r="BR164" s="248"/>
      <c r="BS164" s="248"/>
      <c r="BT164" s="276">
        <v>1</v>
      </c>
      <c r="BU164" s="196">
        <f t="shared" si="505"/>
        <v>12497.518212242127</v>
      </c>
      <c r="BV164" s="264">
        <f t="shared" si="451"/>
        <v>8.6685153546023678E-4</v>
      </c>
      <c r="BW164" s="196">
        <f t="shared" si="506"/>
        <v>53461.60568570243</v>
      </c>
      <c r="BX164" s="247">
        <f t="shared" si="452"/>
        <v>8.6685154326886856E-4</v>
      </c>
      <c r="BY164" s="196">
        <f t="shared" si="492"/>
        <v>65959.123897944562</v>
      </c>
      <c r="BZ164" s="620">
        <v>0</v>
      </c>
      <c r="CA164" s="196">
        <f t="shared" si="493"/>
        <v>27435.151034105904</v>
      </c>
      <c r="CB164" s="196">
        <f t="shared" si="494"/>
        <v>54870.302068211808</v>
      </c>
      <c r="CC164" s="196">
        <f t="shared" si="430"/>
        <v>82305.453102317711</v>
      </c>
      <c r="CD164" s="247">
        <f t="shared" si="418"/>
        <v>3.4728097749969506E-4</v>
      </c>
      <c r="CE164" s="196">
        <f t="shared" si="495"/>
        <v>9072.6886505411458</v>
      </c>
      <c r="CF164" s="247">
        <f t="shared" si="419"/>
        <v>3.9178691149911575E-4</v>
      </c>
      <c r="CG164" s="196">
        <f t="shared" si="460"/>
        <v>13627.918160732343</v>
      </c>
      <c r="CH164" s="589">
        <f t="shared" si="435"/>
        <v>3.4728097749969506E-4</v>
      </c>
      <c r="CI164" s="196">
        <f t="shared" si="496"/>
        <v>19101.673504429786</v>
      </c>
      <c r="CJ164" s="248">
        <f t="shared" si="436"/>
        <v>3.1403146392636763E-4</v>
      </c>
      <c r="CK164" s="196">
        <f t="shared" si="497"/>
        <v>19654.231433032197</v>
      </c>
      <c r="CL164" s="589">
        <f t="shared" si="437"/>
        <v>2.8253361955276658E-4</v>
      </c>
      <c r="CM164" s="196">
        <f t="shared" si="498"/>
        <v>1903.9973609776257</v>
      </c>
      <c r="CN164" s="589">
        <f t="shared" si="438"/>
        <v>2.7438765798246188E-4</v>
      </c>
      <c r="CO164" s="196">
        <f t="shared" si="499"/>
        <v>152.32110199115826</v>
      </c>
      <c r="CP164" s="589">
        <f t="shared" si="439"/>
        <v>2.8725413658646466E-4</v>
      </c>
      <c r="CQ164" s="196">
        <f>'Detailed Budget'!$AC$12</f>
        <v>292876014141.44696</v>
      </c>
      <c r="CR164" s="269">
        <f t="shared" si="507"/>
        <v>0</v>
      </c>
      <c r="CS164" s="269">
        <f>'Detailed Budget'!$AC$16</f>
        <v>10488008800.000002</v>
      </c>
      <c r="CT164" s="607">
        <f t="shared" si="461"/>
        <v>0</v>
      </c>
      <c r="CU164" s="269">
        <f>'Detailed Budget'!$AC$24</f>
        <v>30624985696</v>
      </c>
      <c r="CV164" s="269">
        <f t="shared" si="446"/>
        <v>0</v>
      </c>
      <c r="CW164" s="269"/>
      <c r="CX164" s="269">
        <f t="shared" si="431"/>
        <v>0</v>
      </c>
      <c r="CY164" s="196">
        <f>'Detailed Budget'!$AC$97</f>
        <v>74629165494.837845</v>
      </c>
      <c r="CZ164" s="269">
        <f t="shared" si="462"/>
        <v>47538037.571415909</v>
      </c>
      <c r="DA164" s="269">
        <f>'Detailed Budget'!$AC$100</f>
        <v>14925833098.967569</v>
      </c>
      <c r="DB164" s="269">
        <f t="shared" si="463"/>
        <v>9507607.5142831821</v>
      </c>
      <c r="DC164" s="269">
        <f t="shared" si="420"/>
        <v>57045645.085699089</v>
      </c>
      <c r="DD164" s="207">
        <v>0</v>
      </c>
      <c r="DE164" s="606">
        <v>0</v>
      </c>
      <c r="DF164" s="269">
        <f>'Detailed Budget'!$AC$147</f>
        <v>5913600671000</v>
      </c>
      <c r="DG164" s="269">
        <f t="shared" si="441"/>
        <v>0</v>
      </c>
      <c r="DH164" s="269">
        <f>'Detailed Budget'!$AC$153</f>
        <v>226428026880.00003</v>
      </c>
      <c r="DI164" s="269"/>
      <c r="DJ164" s="269">
        <f>'Detailed Budget'!$AC$156</f>
        <v>27713070000</v>
      </c>
      <c r="DK164" s="269"/>
      <c r="DL164" s="269"/>
      <c r="DM164" s="196">
        <f>'Detailed Budget'!$AC$178</f>
        <v>5622683761.6229038</v>
      </c>
      <c r="DN164" s="269">
        <f t="shared" si="500"/>
        <v>4874032.0521701537</v>
      </c>
      <c r="DO164" s="196">
        <f>'Detailed Budget'!$AC$179</f>
        <v>26827890683.128094</v>
      </c>
      <c r="DP164" s="269">
        <f t="shared" si="501"/>
        <v>23255798.441318087</v>
      </c>
      <c r="DQ164" s="269">
        <f t="shared" si="457"/>
        <v>28129830.493488241</v>
      </c>
      <c r="DR164" s="269">
        <f>'Detailed Budget'!$AC$181</f>
        <v>50888946855.375237</v>
      </c>
      <c r="DS164" s="269">
        <f t="shared" si="502"/>
        <v>35271364.115276404</v>
      </c>
      <c r="DT164" s="269">
        <f t="shared" si="503"/>
        <v>63401194.608764648</v>
      </c>
      <c r="DU164" s="272">
        <f>'Detailed Budget'!$AC$192</f>
        <v>77498869683.252869</v>
      </c>
      <c r="DV164" s="269">
        <f t="shared" si="464"/>
        <v>0</v>
      </c>
      <c r="DW164" s="140">
        <f>'Detailed Budget'!$AC$194</f>
        <v>2684962805.4134097</v>
      </c>
      <c r="DX164" s="269">
        <f t="shared" si="465"/>
        <v>0</v>
      </c>
      <c r="DY164" s="607">
        <f t="shared" si="421"/>
        <v>0</v>
      </c>
      <c r="DZ164" s="196">
        <f>'Detailed Budget'!$AC$198</f>
        <v>18732540018.380611</v>
      </c>
      <c r="EA164" s="269">
        <f t="shared" si="466"/>
        <v>7339163.9983349284</v>
      </c>
      <c r="EB164" s="196">
        <f>'Detailed Budget'!$AC$200</f>
        <v>4683135004.5951529</v>
      </c>
      <c r="EC164" s="269">
        <f t="shared" si="467"/>
        <v>1834790.9995837321</v>
      </c>
      <c r="ED164" s="269">
        <f t="shared" si="422"/>
        <v>9173954.9979186598</v>
      </c>
      <c r="EE164" s="196">
        <f>'Detailed Budget'!$AC$161</f>
        <v>251147290106.36197</v>
      </c>
      <c r="EF164" s="269">
        <f t="shared" si="468"/>
        <v>87218676.404536873</v>
      </c>
      <c r="EG164" s="196">
        <f>'Detailed Budget'!$AC$163</f>
        <v>15696705631.647623</v>
      </c>
      <c r="EH164" s="269">
        <f t="shared" si="469"/>
        <v>5451167.2752835546</v>
      </c>
      <c r="EI164" s="269">
        <f t="shared" si="423"/>
        <v>92669843.679820433</v>
      </c>
      <c r="EJ164" s="196">
        <f>'Detailed Budget'!$AC$204</f>
        <v>45012172507.531975</v>
      </c>
      <c r="EK164" s="269">
        <f t="shared" si="470"/>
        <v>14135238.427046465</v>
      </c>
      <c r="EL164" s="201">
        <f>'Detailed Budget'!$AC$206</f>
        <v>11253043126.882994</v>
      </c>
      <c r="EM164" s="269">
        <f t="shared" si="471"/>
        <v>3533809.6067616162</v>
      </c>
      <c r="EN164" s="269">
        <f t="shared" si="424"/>
        <v>17669048.033808082</v>
      </c>
      <c r="EO164" s="140">
        <f>'Detailed Budget'!$AC$209</f>
        <v>135789361677.54817</v>
      </c>
      <c r="EP164" s="269">
        <f t="shared" si="472"/>
        <v>38365059.851517417</v>
      </c>
      <c r="EQ164" s="196">
        <f>'Detailed Budget'!$AC$211</f>
        <v>33947340419.387043</v>
      </c>
      <c r="ER164" s="269">
        <f t="shared" si="473"/>
        <v>9591264.9628793541</v>
      </c>
      <c r="ES164" s="269">
        <f t="shared" si="425"/>
        <v>47956324.814396769</v>
      </c>
      <c r="ET164" s="196">
        <f>'Detailed Budget'!$AC$214</f>
        <v>22239745544.201103</v>
      </c>
      <c r="EU164" s="269">
        <f t="shared" si="474"/>
        <v>6102311.6939992327</v>
      </c>
      <c r="EV164" s="140">
        <f>'Detailed Budget'!$AC$217</f>
        <v>5559936386.0502758</v>
      </c>
      <c r="EW164" s="269">
        <f t="shared" si="475"/>
        <v>1525577.9234998082</v>
      </c>
      <c r="EX164" s="269">
        <f t="shared" si="426"/>
        <v>7627889.6174990404</v>
      </c>
      <c r="EY164" s="196">
        <f>'Detailed Budget'!$AC$219</f>
        <v>372777004.58170313</v>
      </c>
      <c r="EZ164" s="269">
        <f t="shared" si="476"/>
        <v>107081.73659040571</v>
      </c>
      <c r="FA164" s="196">
        <f>'Detailed Budget'!$AC$222</f>
        <v>93194251.145425782</v>
      </c>
      <c r="FB164" s="269">
        <f t="shared" si="477"/>
        <v>26770.434147601427</v>
      </c>
      <c r="FC164" s="269">
        <f t="shared" si="427"/>
        <v>133852.17073800715</v>
      </c>
      <c r="FD164" s="269"/>
      <c r="FE164" s="269">
        <f t="shared" si="428"/>
        <v>73387114.636441901</v>
      </c>
      <c r="FF164" s="140">
        <f>'Detailed Budget'!$AC$165</f>
        <v>14927760000</v>
      </c>
      <c r="FG164" s="1087">
        <f t="shared" si="442"/>
        <v>100104882.1400165</v>
      </c>
      <c r="FH164" s="269">
        <f t="shared" si="478"/>
        <v>16961436.200431772</v>
      </c>
      <c r="FJ164" s="140">
        <f>'Detailed Budget'!$AC$235</f>
        <v>3623696172</v>
      </c>
      <c r="FK164" s="269">
        <f t="shared" si="479"/>
        <v>4681778</v>
      </c>
      <c r="FL164" s="269">
        <f t="shared" si="443"/>
        <v>4681778</v>
      </c>
      <c r="FO164" s="607"/>
      <c r="FP164" s="607"/>
      <c r="FQ164" s="607"/>
      <c r="FR164" s="269">
        <f>'Detailed Budget'!$AC$257</f>
        <v>13636439388</v>
      </c>
      <c r="FS164" s="269">
        <f t="shared" si="480"/>
        <v>15989376</v>
      </c>
      <c r="FT164" s="269">
        <f t="shared" si="444"/>
        <v>15989376</v>
      </c>
      <c r="FU164" s="269"/>
      <c r="FV164" s="269"/>
      <c r="FW164" s="616"/>
      <c r="FX164" s="140">
        <f>'Detailed Budget'!$AC$278</f>
        <v>1114560000</v>
      </c>
      <c r="FY164" s="269">
        <f t="shared" si="481"/>
        <v>1440000</v>
      </c>
      <c r="FZ164" s="269">
        <f t="shared" si="445"/>
        <v>1440000</v>
      </c>
      <c r="GB164" s="269">
        <f t="shared" si="453"/>
        <v>434855225.34909296</v>
      </c>
      <c r="GC164" s="887">
        <f t="shared" si="429"/>
        <v>271784.51584318309</v>
      </c>
      <c r="GD164" s="1078">
        <f t="shared" si="454"/>
        <v>2.4401096014433881E-4</v>
      </c>
    </row>
    <row r="165" spans="1:186" outlineLevel="1">
      <c r="A165" s="211" t="s">
        <v>502</v>
      </c>
      <c r="B165" s="212" t="s">
        <v>503</v>
      </c>
      <c r="C165" s="213" t="s">
        <v>215</v>
      </c>
      <c r="D165" s="225"/>
      <c r="E165" s="213"/>
      <c r="F165" s="213"/>
      <c r="G165" s="213"/>
      <c r="H165" s="213" t="s">
        <v>215</v>
      </c>
      <c r="I165" s="214" t="s">
        <v>215</v>
      </c>
      <c r="J165" s="214"/>
      <c r="K165" s="213" t="s">
        <v>215</v>
      </c>
      <c r="L165" s="213"/>
      <c r="M165" s="214"/>
      <c r="N165" s="213"/>
      <c r="O165" s="214"/>
      <c r="P165" s="213"/>
      <c r="Q165" s="214"/>
      <c r="R165" s="214" t="s">
        <v>215</v>
      </c>
      <c r="S165" s="214"/>
      <c r="T165" s="214"/>
      <c r="U165" s="215">
        <f t="shared" si="489"/>
        <v>5</v>
      </c>
      <c r="V165" s="845" t="s">
        <v>467</v>
      </c>
      <c r="W165" s="216">
        <v>199674</v>
      </c>
      <c r="X165" s="217">
        <v>2.89</v>
      </c>
      <c r="Y165" s="218">
        <f t="shared" si="483"/>
        <v>1.0288999999999999</v>
      </c>
      <c r="Z165" s="196">
        <v>19</v>
      </c>
      <c r="AA165" s="218">
        <f t="shared" si="484"/>
        <v>1.7182651319612778</v>
      </c>
      <c r="AB165" s="196">
        <f t="shared" si="485"/>
        <v>343092.87195923622</v>
      </c>
      <c r="AC165">
        <v>17.600000000000001</v>
      </c>
      <c r="AD165" s="196">
        <f t="shared" si="486"/>
        <v>60384.345464825587</v>
      </c>
      <c r="AE165" s="196">
        <f t="shared" si="487"/>
        <v>57365.128191584306</v>
      </c>
      <c r="AF165" s="196">
        <f t="shared" si="490"/>
        <v>57365.128191584306</v>
      </c>
      <c r="AG165" s="606">
        <f t="shared" si="432"/>
        <v>2.6523116899473428E-3</v>
      </c>
      <c r="AH165" s="196">
        <f t="shared" si="504"/>
        <v>17154.643597961811</v>
      </c>
      <c r="AI165" s="248">
        <f t="shared" si="409"/>
        <v>1.3289442477102686E-3</v>
      </c>
      <c r="AJ165" s="196">
        <f t="shared" si="412"/>
        <v>77538.989062787397</v>
      </c>
      <c r="AK165" s="196">
        <f t="shared" si="455"/>
        <v>13723.714878369448</v>
      </c>
      <c r="AL165" s="196">
        <f t="shared" si="456"/>
        <v>13723.714878369448</v>
      </c>
      <c r="AM165" s="196">
        <f t="shared" si="413"/>
        <v>27447.429756738897</v>
      </c>
      <c r="AN165" s="627">
        <f t="shared" si="414"/>
        <v>1.3289442477102686E-3</v>
      </c>
      <c r="AO165" s="196">
        <f t="shared" si="415"/>
        <v>13037.529134450975</v>
      </c>
      <c r="AP165" s="589">
        <f t="shared" si="433"/>
        <v>1.3289442477102686E-3</v>
      </c>
      <c r="AQ165" s="196"/>
      <c r="AR165" s="589"/>
      <c r="AS165">
        <v>1</v>
      </c>
      <c r="AT165" s="589">
        <f t="shared" si="434"/>
        <v>1.2919896640826874E-3</v>
      </c>
      <c r="AU165" s="196">
        <v>11</v>
      </c>
      <c r="AV165" s="245">
        <f t="shared" si="416"/>
        <v>1.2498579706851495E-3</v>
      </c>
      <c r="AX165" s="245"/>
      <c r="AY165" s="245"/>
      <c r="AZ165" s="196">
        <v>22</v>
      </c>
      <c r="BA165" s="589">
        <f t="shared" si="447"/>
        <v>8.0612656187021366E-4</v>
      </c>
      <c r="BI165" s="196">
        <v>0</v>
      </c>
      <c r="BK165" s="246">
        <f t="shared" si="448"/>
        <v>0</v>
      </c>
      <c r="BL165" s="246"/>
      <c r="BM165" s="246">
        <f t="shared" si="449"/>
        <v>0</v>
      </c>
      <c r="BN165" s="196">
        <v>1</v>
      </c>
      <c r="BO165" s="196">
        <f t="shared" si="491"/>
        <v>26057.710675081144</v>
      </c>
      <c r="BP165" s="196">
        <f t="shared" si="417"/>
        <v>26057.710675081144</v>
      </c>
      <c r="BQ165" s="248">
        <f t="shared" si="450"/>
        <v>2.4375774894619903E-3</v>
      </c>
      <c r="BR165" s="248"/>
      <c r="BS165" s="248"/>
      <c r="BT165" s="276">
        <v>1</v>
      </c>
      <c r="BU165" s="196">
        <f t="shared" si="505"/>
        <v>47824.401608141867</v>
      </c>
      <c r="BV165" s="264">
        <f t="shared" si="451"/>
        <v>3.3171910824563006E-3</v>
      </c>
      <c r="BW165" s="196">
        <f t="shared" si="506"/>
        <v>204582.16243482911</v>
      </c>
      <c r="BX165" s="247">
        <f t="shared" si="452"/>
        <v>3.3171911123376853E-3</v>
      </c>
      <c r="BY165" s="196">
        <f t="shared" si="492"/>
        <v>252406.56404297097</v>
      </c>
      <c r="BZ165" s="620">
        <v>0</v>
      </c>
      <c r="CA165" s="196">
        <f t="shared" si="493"/>
        <v>104986.41881952627</v>
      </c>
      <c r="CB165" s="196">
        <f t="shared" si="494"/>
        <v>209972.83763905254</v>
      </c>
      <c r="CC165" s="196">
        <f t="shared" si="430"/>
        <v>314959.25645857881</v>
      </c>
      <c r="CD165" s="247">
        <f t="shared" si="418"/>
        <v>1.3289442477102686E-3</v>
      </c>
      <c r="CE165" s="196">
        <f t="shared" si="495"/>
        <v>34718.565584011812</v>
      </c>
      <c r="CF165" s="247">
        <f t="shared" si="419"/>
        <v>1.4992556347702029E-3</v>
      </c>
      <c r="CG165" s="196">
        <f t="shared" si="460"/>
        <v>52150.1165378039</v>
      </c>
      <c r="CH165" s="589">
        <f t="shared" si="435"/>
        <v>1.3289442477102686E-3</v>
      </c>
      <c r="CI165" s="196">
        <f t="shared" si="496"/>
        <v>73096.60122508122</v>
      </c>
      <c r="CJ165" s="248">
        <f t="shared" si="436"/>
        <v>1.2017079385966294E-3</v>
      </c>
      <c r="CK165" s="196">
        <f t="shared" si="497"/>
        <v>75211.081223466739</v>
      </c>
      <c r="CL165" s="589">
        <f t="shared" si="437"/>
        <v>1.0811747628467223E-3</v>
      </c>
      <c r="CM165" s="196">
        <f t="shared" si="498"/>
        <v>7286.04935042539</v>
      </c>
      <c r="CN165" s="589">
        <f t="shared" si="438"/>
        <v>1.0500025148046167E-3</v>
      </c>
      <c r="CO165" s="196">
        <f t="shared" si="499"/>
        <v>582.88897293897037</v>
      </c>
      <c r="CP165" s="589">
        <f t="shared" si="439"/>
        <v>1.0992388215329105E-3</v>
      </c>
      <c r="CQ165" s="196">
        <f>'Detailed Budget'!$AC$12</f>
        <v>292876014141.44696</v>
      </c>
      <c r="CR165" s="269">
        <f t="shared" si="507"/>
        <v>0</v>
      </c>
      <c r="CS165" s="269">
        <f>'Detailed Budget'!$AC$16</f>
        <v>10488008800.000002</v>
      </c>
      <c r="CT165" s="607">
        <f t="shared" si="461"/>
        <v>0</v>
      </c>
      <c r="CU165" s="269">
        <f>'Detailed Budget'!$AC$24</f>
        <v>30624985696</v>
      </c>
      <c r="CV165" s="269">
        <f t="shared" si="446"/>
        <v>0</v>
      </c>
      <c r="CW165" s="269"/>
      <c r="CX165" s="269">
        <f t="shared" si="431"/>
        <v>0</v>
      </c>
      <c r="CY165" s="196">
        <f>'Detailed Budget'!$AC$97</f>
        <v>74629165494.837845</v>
      </c>
      <c r="CZ165" s="269">
        <f t="shared" si="462"/>
        <v>181914373.86755022</v>
      </c>
      <c r="DA165" s="269">
        <f>'Detailed Budget'!$AC$100</f>
        <v>14925833098.967569</v>
      </c>
      <c r="DB165" s="269">
        <f t="shared" si="463"/>
        <v>36382874.773510046</v>
      </c>
      <c r="DC165" s="269">
        <f t="shared" si="420"/>
        <v>218297248.64106026</v>
      </c>
      <c r="DD165" s="207">
        <v>0</v>
      </c>
      <c r="DE165" s="606">
        <v>0</v>
      </c>
      <c r="DF165" s="269">
        <f>'Detailed Budget'!$AC$147</f>
        <v>5913600671000</v>
      </c>
      <c r="DG165" s="269">
        <f t="shared" si="441"/>
        <v>0</v>
      </c>
      <c r="DH165" s="269">
        <f>'Detailed Budget'!$AC$153</f>
        <v>226428026880.00003</v>
      </c>
      <c r="DI165" s="269"/>
      <c r="DJ165" s="269">
        <f>'Detailed Budget'!$AC$156</f>
        <v>27713070000</v>
      </c>
      <c r="DK165" s="269"/>
      <c r="DL165" s="269"/>
      <c r="DM165" s="196">
        <f>'Detailed Budget'!$AC$178</f>
        <v>5622683761.6229038</v>
      </c>
      <c r="DN165" s="269">
        <f t="shared" si="500"/>
        <v>18651516.433527343</v>
      </c>
      <c r="DO165" s="196">
        <f>'Detailed Budget'!$AC$179</f>
        <v>26827890683.128094</v>
      </c>
      <c r="DP165" s="269">
        <f t="shared" si="501"/>
        <v>88993240.5368395</v>
      </c>
      <c r="DQ165" s="269">
        <f t="shared" si="457"/>
        <v>107644756.97036684</v>
      </c>
      <c r="DR165" s="269">
        <f>'Detailed Budget'!$AC$181</f>
        <v>50888946855.375237</v>
      </c>
      <c r="DS165" s="269">
        <f t="shared" si="502"/>
        <v>134973348.6336208</v>
      </c>
      <c r="DT165" s="269">
        <f t="shared" si="503"/>
        <v>242618105.60398763</v>
      </c>
      <c r="DU165" s="272">
        <f>'Detailed Budget'!$AC$192</f>
        <v>77498869683.252869</v>
      </c>
      <c r="DV165" s="269">
        <f t="shared" si="464"/>
        <v>0</v>
      </c>
      <c r="DW165" s="140">
        <f>'Detailed Budget'!$AC$194</f>
        <v>2684962805.4134097</v>
      </c>
      <c r="DX165" s="269">
        <f t="shared" si="465"/>
        <v>0</v>
      </c>
      <c r="DY165" s="607">
        <f t="shared" si="421"/>
        <v>0</v>
      </c>
      <c r="DZ165" s="196">
        <f>'Detailed Budget'!$AC$198</f>
        <v>18732540018.380611</v>
      </c>
      <c r="EA165" s="269">
        <f t="shared" si="466"/>
        <v>28084866.176115453</v>
      </c>
      <c r="EB165" s="196">
        <f>'Detailed Budget'!$AC$200</f>
        <v>4683135004.5951529</v>
      </c>
      <c r="EC165" s="269">
        <f t="shared" si="467"/>
        <v>7021216.5440288633</v>
      </c>
      <c r="ED165" s="269">
        <f t="shared" si="422"/>
        <v>35106082.720144317</v>
      </c>
      <c r="EE165" s="196">
        <f>'Detailed Budget'!$AC$161</f>
        <v>251147290106.36197</v>
      </c>
      <c r="EF165" s="269">
        <f t="shared" si="468"/>
        <v>333760746.51487178</v>
      </c>
      <c r="EG165" s="196">
        <f>'Detailed Budget'!$AC$163</f>
        <v>15696705631.647623</v>
      </c>
      <c r="EH165" s="269">
        <f t="shared" si="469"/>
        <v>20860046.657179486</v>
      </c>
      <c r="EI165" s="269">
        <f t="shared" si="423"/>
        <v>354620793.17205125</v>
      </c>
      <c r="EJ165" s="196">
        <f>'Detailed Budget'!$AC$204</f>
        <v>45012172507.531975</v>
      </c>
      <c r="EK165" s="269">
        <f t="shared" si="470"/>
        <v>54091485.035782129</v>
      </c>
      <c r="EL165" s="201">
        <f>'Detailed Budget'!$AC$206</f>
        <v>11253043126.882994</v>
      </c>
      <c r="EM165" s="269">
        <f t="shared" si="471"/>
        <v>13522871.258945532</v>
      </c>
      <c r="EN165" s="269">
        <f t="shared" si="424"/>
        <v>67614356.294727653</v>
      </c>
      <c r="EO165" s="140">
        <f>'Detailed Budget'!$AC$209</f>
        <v>135789361677.54817</v>
      </c>
      <c r="EP165" s="269">
        <f t="shared" si="472"/>
        <v>146812030.90883094</v>
      </c>
      <c r="EQ165" s="196">
        <f>'Detailed Budget'!$AC$211</f>
        <v>33947340419.387043</v>
      </c>
      <c r="ER165" s="269">
        <f t="shared" si="473"/>
        <v>36703007.727207735</v>
      </c>
      <c r="ES165" s="269">
        <f t="shared" si="425"/>
        <v>183515038.63603866</v>
      </c>
      <c r="ET165" s="196">
        <f>'Detailed Budget'!$AC$214</f>
        <v>22239745544.201103</v>
      </c>
      <c r="EU165" s="269">
        <f t="shared" si="474"/>
        <v>23351788.750025924</v>
      </c>
      <c r="EV165" s="140">
        <f>'Detailed Budget'!$AC$217</f>
        <v>5559936386.0502758</v>
      </c>
      <c r="EW165" s="269">
        <f t="shared" si="475"/>
        <v>5837947.1875064811</v>
      </c>
      <c r="EX165" s="269">
        <f t="shared" si="426"/>
        <v>29189735.937532406</v>
      </c>
      <c r="EY165" s="196">
        <f>'Detailed Budget'!$AC$219</f>
        <v>372777004.58170313</v>
      </c>
      <c r="EZ165" s="269">
        <f t="shared" si="476"/>
        <v>409770.95521095971</v>
      </c>
      <c r="FA165" s="196">
        <f>'Detailed Budget'!$AC$222</f>
        <v>93194251.145425782</v>
      </c>
      <c r="FB165" s="269">
        <f t="shared" si="477"/>
        <v>102442.73880273993</v>
      </c>
      <c r="FC165" s="269">
        <f t="shared" si="427"/>
        <v>512213.69401369966</v>
      </c>
      <c r="FD165" s="269"/>
      <c r="FE165" s="269">
        <f t="shared" si="428"/>
        <v>280831344.56231242</v>
      </c>
      <c r="FF165" s="140">
        <f>'Detailed Budget'!$AC$165</f>
        <v>14927760000</v>
      </c>
      <c r="FG165" s="1087">
        <f t="shared" si="442"/>
        <v>383072543.29185402</v>
      </c>
      <c r="FH165" s="269">
        <f t="shared" si="478"/>
        <v>18657579.820474949</v>
      </c>
      <c r="FJ165" s="140">
        <f>'Detailed Budget'!$AC$235</f>
        <v>3623696172</v>
      </c>
      <c r="FK165" s="269">
        <f t="shared" si="479"/>
        <v>4681778</v>
      </c>
      <c r="FL165" s="269">
        <f t="shared" si="443"/>
        <v>4681778</v>
      </c>
      <c r="FO165" s="607"/>
      <c r="FP165" s="607"/>
      <c r="FQ165" s="607"/>
      <c r="FR165" s="269">
        <f>'Detailed Budget'!$AC$257</f>
        <v>13636439388</v>
      </c>
      <c r="FS165" s="269">
        <f t="shared" si="480"/>
        <v>10992696</v>
      </c>
      <c r="FT165" s="269">
        <f t="shared" si="444"/>
        <v>10992696</v>
      </c>
      <c r="FU165" s="269"/>
      <c r="FV165" s="269"/>
      <c r="FW165" s="616"/>
      <c r="FX165" s="140">
        <f>'Detailed Budget'!$AC$278</f>
        <v>1114560000</v>
      </c>
      <c r="FY165" s="269">
        <f t="shared" si="481"/>
        <v>1440000</v>
      </c>
      <c r="FZ165" s="269">
        <f t="shared" si="445"/>
        <v>1440000</v>
      </c>
      <c r="GB165" s="269">
        <f t="shared" si="453"/>
        <v>1550318171.8118846</v>
      </c>
      <c r="GC165" s="887">
        <f t="shared" si="429"/>
        <v>968948.8573824279</v>
      </c>
      <c r="GD165" s="1078">
        <f t="shared" si="454"/>
        <v>8.6993234433217792E-4</v>
      </c>
    </row>
    <row r="166" spans="1:186" outlineLevel="1">
      <c r="A166" s="211" t="s">
        <v>504</v>
      </c>
      <c r="B166" s="212" t="s">
        <v>505</v>
      </c>
      <c r="C166" s="213" t="s">
        <v>215</v>
      </c>
      <c r="D166" s="225"/>
      <c r="E166" s="213"/>
      <c r="F166" s="213"/>
      <c r="G166" s="213"/>
      <c r="H166" s="213" t="s">
        <v>215</v>
      </c>
      <c r="I166" s="214" t="s">
        <v>215</v>
      </c>
      <c r="J166" s="214"/>
      <c r="K166" s="213" t="s">
        <v>215</v>
      </c>
      <c r="L166" s="213"/>
      <c r="M166" s="214"/>
      <c r="N166" s="213"/>
      <c r="O166" s="214"/>
      <c r="P166" s="213"/>
      <c r="Q166" s="214"/>
      <c r="R166" s="214" t="s">
        <v>215</v>
      </c>
      <c r="S166" s="214"/>
      <c r="T166" s="214"/>
      <c r="U166" s="215">
        <f t="shared" si="489"/>
        <v>5</v>
      </c>
      <c r="V166" s="845" t="s">
        <v>467</v>
      </c>
      <c r="W166" s="216">
        <v>196197</v>
      </c>
      <c r="X166" s="217">
        <v>2.89</v>
      </c>
      <c r="Y166" s="218">
        <f t="shared" si="483"/>
        <v>1.0288999999999999</v>
      </c>
      <c r="Z166" s="196">
        <v>19</v>
      </c>
      <c r="AA166" s="218">
        <f t="shared" si="484"/>
        <v>1.7182651319612778</v>
      </c>
      <c r="AB166" s="196">
        <f t="shared" si="485"/>
        <v>337118.46409540682</v>
      </c>
      <c r="AC166">
        <v>17.600000000000001</v>
      </c>
      <c r="AD166" s="196">
        <f t="shared" si="486"/>
        <v>59332.849680791609</v>
      </c>
      <c r="AE166" s="196">
        <f t="shared" si="487"/>
        <v>56366.207196752024</v>
      </c>
      <c r="AF166" s="196">
        <f t="shared" si="490"/>
        <v>56366.207196752024</v>
      </c>
      <c r="AG166" s="606">
        <f t="shared" si="432"/>
        <v>2.6061259684916349E-3</v>
      </c>
      <c r="AH166" s="196">
        <f t="shared" si="504"/>
        <v>16855.923204770341</v>
      </c>
      <c r="AI166" s="248">
        <f t="shared" si="409"/>
        <v>1.3058028314553299E-3</v>
      </c>
      <c r="AJ166" s="196">
        <f t="shared" si="412"/>
        <v>76188.77288556195</v>
      </c>
      <c r="AK166" s="196">
        <f t="shared" si="455"/>
        <v>13484.738563816272</v>
      </c>
      <c r="AL166" s="196">
        <f t="shared" si="456"/>
        <v>13484.738563816272</v>
      </c>
      <c r="AM166" s="196">
        <f t="shared" si="413"/>
        <v>26969.477127632545</v>
      </c>
      <c r="AN166" s="627">
        <f t="shared" si="414"/>
        <v>1.3058028314553299E-3</v>
      </c>
      <c r="AO166" s="196">
        <f t="shared" si="415"/>
        <v>12810.501635625458</v>
      </c>
      <c r="AP166" s="589">
        <f t="shared" si="433"/>
        <v>1.3058028314553299E-3</v>
      </c>
      <c r="AQ166" s="196"/>
      <c r="AR166" s="589"/>
      <c r="AS166">
        <v>1</v>
      </c>
      <c r="AT166" s="589">
        <f t="shared" si="434"/>
        <v>1.2919896640826874E-3</v>
      </c>
      <c r="AU166" s="196">
        <v>11</v>
      </c>
      <c r="AV166" s="245">
        <f t="shared" si="416"/>
        <v>1.2498579706851495E-3</v>
      </c>
      <c r="AX166" s="245"/>
      <c r="AY166" s="245"/>
      <c r="AZ166" s="196">
        <v>25</v>
      </c>
      <c r="BA166" s="589">
        <f t="shared" si="447"/>
        <v>9.1605291121615189E-4</v>
      </c>
      <c r="BI166" s="196">
        <v>0</v>
      </c>
      <c r="BK166" s="246">
        <f t="shared" si="448"/>
        <v>0</v>
      </c>
      <c r="BL166" s="246"/>
      <c r="BM166" s="246">
        <f t="shared" si="449"/>
        <v>0</v>
      </c>
      <c r="BN166" s="196">
        <v>1</v>
      </c>
      <c r="BO166" s="196">
        <f t="shared" si="491"/>
        <v>25603.957757739587</v>
      </c>
      <c r="BP166" s="196">
        <f t="shared" si="417"/>
        <v>25603.957757739587</v>
      </c>
      <c r="BQ166" s="248">
        <f t="shared" si="450"/>
        <v>2.3951310170576738E-3</v>
      </c>
      <c r="BR166" s="248"/>
      <c r="BS166" s="248"/>
      <c r="BT166" s="276">
        <v>1</v>
      </c>
      <c r="BU166" s="196">
        <f t="shared" si="505"/>
        <v>46991.616947186958</v>
      </c>
      <c r="BV166" s="264">
        <f t="shared" si="451"/>
        <v>3.2594275609477384E-3</v>
      </c>
      <c r="BW166" s="196">
        <f t="shared" si="506"/>
        <v>201019.69471852199</v>
      </c>
      <c r="BX166" s="247">
        <f t="shared" si="452"/>
        <v>3.2594275903087867E-3</v>
      </c>
      <c r="BY166" s="196">
        <f t="shared" si="492"/>
        <v>248011.31166570896</v>
      </c>
      <c r="BZ166" s="620">
        <v>0</v>
      </c>
      <c r="CA166" s="196">
        <f t="shared" si="493"/>
        <v>103158.2500131945</v>
      </c>
      <c r="CB166" s="196">
        <f t="shared" si="494"/>
        <v>206316.500026389</v>
      </c>
      <c r="CC166" s="196">
        <f t="shared" si="430"/>
        <v>309474.75003958348</v>
      </c>
      <c r="CD166" s="247">
        <f t="shared" si="418"/>
        <v>1.3058028314553302E-3</v>
      </c>
      <c r="CE166" s="196">
        <f t="shared" si="495"/>
        <v>34113.997875969661</v>
      </c>
      <c r="CF166" s="247">
        <f t="shared" si="419"/>
        <v>1.4731485209642193E-3</v>
      </c>
      <c r="CG166" s="196">
        <f t="shared" si="460"/>
        <v>51242.006542501833</v>
      </c>
      <c r="CH166" s="589">
        <f t="shared" si="435"/>
        <v>1.3058028314553299E-3</v>
      </c>
      <c r="CI166" s="196">
        <f t="shared" si="496"/>
        <v>71823.742052331596</v>
      </c>
      <c r="CJ166" s="248">
        <f t="shared" si="436"/>
        <v>1.1807821370275694E-3</v>
      </c>
      <c r="CK166" s="196">
        <f t="shared" si="497"/>
        <v>73901.401798934763</v>
      </c>
      <c r="CL166" s="589">
        <f t="shared" si="437"/>
        <v>1.0623478517295106E-3</v>
      </c>
      <c r="CM166" s="196">
        <f t="shared" si="498"/>
        <v>7159.1745765868873</v>
      </c>
      <c r="CN166" s="589">
        <f t="shared" si="438"/>
        <v>1.0317184180069581E-3</v>
      </c>
      <c r="CO166" s="196">
        <f t="shared" si="499"/>
        <v>572.73890353129173</v>
      </c>
      <c r="CP166" s="589">
        <f t="shared" si="439"/>
        <v>1.0800973540285286E-3</v>
      </c>
      <c r="CQ166" s="196">
        <f>'Detailed Budget'!$AC$12</f>
        <v>292876014141.44696</v>
      </c>
      <c r="CR166" s="269">
        <f t="shared" si="507"/>
        <v>0</v>
      </c>
      <c r="CS166" s="269">
        <f>'Detailed Budget'!$AC$16</f>
        <v>10488008800.000002</v>
      </c>
      <c r="CT166" s="607">
        <f t="shared" si="461"/>
        <v>0</v>
      </c>
      <c r="CU166" s="269">
        <f>'Detailed Budget'!$AC$24</f>
        <v>30624985696</v>
      </c>
      <c r="CV166" s="269">
        <f t="shared" si="446"/>
        <v>0</v>
      </c>
      <c r="CW166" s="269"/>
      <c r="CX166" s="269">
        <f t="shared" si="431"/>
        <v>0</v>
      </c>
      <c r="CY166" s="196">
        <f>'Detailed Budget'!$AC$97</f>
        <v>74629165494.837845</v>
      </c>
      <c r="CZ166" s="269">
        <f t="shared" si="462"/>
        <v>178746629.05381644</v>
      </c>
      <c r="DA166" s="269">
        <f>'Detailed Budget'!$AC$100</f>
        <v>14925833098.967569</v>
      </c>
      <c r="DB166" s="269">
        <f t="shared" si="463"/>
        <v>35749325.810763285</v>
      </c>
      <c r="DC166" s="269">
        <f t="shared" si="420"/>
        <v>214495954.86457974</v>
      </c>
      <c r="DD166" s="207">
        <v>0</v>
      </c>
      <c r="DE166" s="606">
        <v>0</v>
      </c>
      <c r="DF166" s="269">
        <f>'Detailed Budget'!$AC$147</f>
        <v>5913600671000</v>
      </c>
      <c r="DG166" s="269">
        <f t="shared" si="441"/>
        <v>0</v>
      </c>
      <c r="DH166" s="269">
        <f>'Detailed Budget'!$AC$153</f>
        <v>226428026880.00003</v>
      </c>
      <c r="DI166" s="269"/>
      <c r="DJ166" s="269">
        <f>'Detailed Budget'!$AC$156</f>
        <v>27713070000</v>
      </c>
      <c r="DK166" s="269"/>
      <c r="DL166" s="269"/>
      <c r="DM166" s="196">
        <f>'Detailed Budget'!$AC$178</f>
        <v>5622683761.6229038</v>
      </c>
      <c r="DN166" s="269">
        <f t="shared" si="500"/>
        <v>18326730.419126995</v>
      </c>
      <c r="DO166" s="196">
        <f>'Detailed Budget'!$AC$179</f>
        <v>26827890683.128094</v>
      </c>
      <c r="DP166" s="269">
        <f t="shared" si="501"/>
        <v>87443567.08237575</v>
      </c>
      <c r="DQ166" s="269">
        <f t="shared" si="457"/>
        <v>105770297.50150275</v>
      </c>
      <c r="DR166" s="269">
        <f>'Detailed Budget'!$AC$181</f>
        <v>50888946855.375237</v>
      </c>
      <c r="DS166" s="269">
        <f t="shared" si="502"/>
        <v>132623005.90898412</v>
      </c>
      <c r="DT166" s="269">
        <f t="shared" si="503"/>
        <v>238393303.41048688</v>
      </c>
      <c r="DU166" s="272">
        <f>'Detailed Budget'!$AC$192</f>
        <v>77498869683.252869</v>
      </c>
      <c r="DV166" s="269">
        <f t="shared" si="464"/>
        <v>0</v>
      </c>
      <c r="DW166" s="140">
        <f>'Detailed Budget'!$AC$194</f>
        <v>2684962805.4134097</v>
      </c>
      <c r="DX166" s="269">
        <f t="shared" si="465"/>
        <v>0</v>
      </c>
      <c r="DY166" s="607">
        <f t="shared" si="421"/>
        <v>0</v>
      </c>
      <c r="DZ166" s="196">
        <f>'Detailed Budget'!$AC$198</f>
        <v>18732540018.380611</v>
      </c>
      <c r="EA166" s="269">
        <f t="shared" si="466"/>
        <v>27595813.621980447</v>
      </c>
      <c r="EB166" s="196">
        <f>'Detailed Budget'!$AC$200</f>
        <v>4683135004.5951529</v>
      </c>
      <c r="EC166" s="269">
        <f t="shared" si="467"/>
        <v>6898953.4054951118</v>
      </c>
      <c r="ED166" s="269">
        <f t="shared" si="422"/>
        <v>34494767.027475558</v>
      </c>
      <c r="EE166" s="196">
        <f>'Detailed Budget'!$AC$161</f>
        <v>251147290106.36197</v>
      </c>
      <c r="EF166" s="269">
        <f t="shared" si="468"/>
        <v>327948842.53322065</v>
      </c>
      <c r="EG166" s="196">
        <f>'Detailed Budget'!$AC$163</f>
        <v>15696705631.647623</v>
      </c>
      <c r="EH166" s="269">
        <f t="shared" si="469"/>
        <v>20496802.658326291</v>
      </c>
      <c r="EI166" s="269">
        <f t="shared" si="423"/>
        <v>348445645.19154692</v>
      </c>
      <c r="EJ166" s="196">
        <f>'Detailed Budget'!$AC$204</f>
        <v>45012172507.531975</v>
      </c>
      <c r="EK166" s="269">
        <f t="shared" si="470"/>
        <v>53149569.245697215</v>
      </c>
      <c r="EL166" s="201">
        <f>'Detailed Budget'!$AC$206</f>
        <v>11253043126.882994</v>
      </c>
      <c r="EM166" s="269">
        <f t="shared" si="471"/>
        <v>13287392.311424304</v>
      </c>
      <c r="EN166" s="269">
        <f t="shared" si="424"/>
        <v>66436961.557121515</v>
      </c>
      <c r="EO166" s="140">
        <f>'Detailed Budget'!$AC$209</f>
        <v>135789361677.54817</v>
      </c>
      <c r="EP166" s="269">
        <f t="shared" si="472"/>
        <v>144255536.66586486</v>
      </c>
      <c r="EQ166" s="196">
        <f>'Detailed Budget'!$AC$211</f>
        <v>33947340419.387043</v>
      </c>
      <c r="ER166" s="269">
        <f t="shared" si="473"/>
        <v>36063884.166466214</v>
      </c>
      <c r="ES166" s="269">
        <f t="shared" si="425"/>
        <v>180319420.83233106</v>
      </c>
      <c r="ET166" s="196">
        <f>'Detailed Budget'!$AC$214</f>
        <v>22239745544.201103</v>
      </c>
      <c r="EU166" s="269">
        <f t="shared" si="474"/>
        <v>22945155.089740459</v>
      </c>
      <c r="EV166" s="140">
        <f>'Detailed Budget'!$AC$217</f>
        <v>5559936386.0502758</v>
      </c>
      <c r="EW166" s="269">
        <f t="shared" si="475"/>
        <v>5736288.7724351147</v>
      </c>
      <c r="EX166" s="269">
        <f t="shared" si="426"/>
        <v>28681443.862175573</v>
      </c>
      <c r="EY166" s="196">
        <f>'Detailed Budget'!$AC$219</f>
        <v>372777004.58170313</v>
      </c>
      <c r="EZ166" s="269">
        <f t="shared" si="476"/>
        <v>402635.45629137824</v>
      </c>
      <c r="FA166" s="196">
        <f>'Detailed Budget'!$AC$222</f>
        <v>93194251.145425782</v>
      </c>
      <c r="FB166" s="269">
        <f t="shared" si="477"/>
        <v>100658.86407284456</v>
      </c>
      <c r="FC166" s="269">
        <f t="shared" si="427"/>
        <v>503294.3203642228</v>
      </c>
      <c r="FD166" s="269"/>
      <c r="FE166" s="269">
        <f t="shared" si="428"/>
        <v>275941120.5719924</v>
      </c>
      <c r="FF166" s="140">
        <f>'Detailed Budget'!$AC$165</f>
        <v>14927760000</v>
      </c>
      <c r="FG166" s="1087">
        <f t="shared" si="442"/>
        <v>376401954.06628746</v>
      </c>
      <c r="FH166" s="269">
        <f t="shared" si="478"/>
        <v>18657579.820474949</v>
      </c>
      <c r="FJ166" s="140">
        <f>'Detailed Budget'!$AC$235</f>
        <v>3623696172</v>
      </c>
      <c r="FK166" s="269">
        <f t="shared" si="479"/>
        <v>4681778</v>
      </c>
      <c r="FL166" s="269">
        <f t="shared" si="443"/>
        <v>4681778</v>
      </c>
      <c r="FO166" s="607"/>
      <c r="FP166" s="607"/>
      <c r="FQ166" s="607"/>
      <c r="FR166" s="269">
        <f>'Detailed Budget'!$AC$257</f>
        <v>13636439388</v>
      </c>
      <c r="FS166" s="269">
        <f t="shared" si="480"/>
        <v>12491700</v>
      </c>
      <c r="FT166" s="269">
        <f t="shared" si="444"/>
        <v>12491700</v>
      </c>
      <c r="FU166" s="269"/>
      <c r="FV166" s="269"/>
      <c r="FW166" s="616"/>
      <c r="FX166" s="140">
        <f>'Detailed Budget'!$AC$278</f>
        <v>1114560000</v>
      </c>
      <c r="FY166" s="269">
        <f t="shared" si="481"/>
        <v>1440000</v>
      </c>
      <c r="FZ166" s="269">
        <f t="shared" si="445"/>
        <v>1440000</v>
      </c>
      <c r="GB166" s="269">
        <f t="shared" si="453"/>
        <v>1525443802.9528439</v>
      </c>
      <c r="GC166" s="887">
        <f t="shared" si="429"/>
        <v>953402.37684552744</v>
      </c>
      <c r="GD166" s="1078">
        <f t="shared" si="454"/>
        <v>8.5597455269380816E-4</v>
      </c>
    </row>
    <row r="167" spans="1:186" outlineLevel="1">
      <c r="A167" s="211"/>
      <c r="B167" s="212"/>
      <c r="C167" s="213"/>
      <c r="D167" s="225"/>
      <c r="E167" s="213"/>
      <c r="F167" s="213"/>
      <c r="G167" s="213"/>
      <c r="H167" s="213"/>
      <c r="I167" s="214"/>
      <c r="J167" s="214"/>
      <c r="K167" s="213"/>
      <c r="L167" s="213"/>
      <c r="M167" s="214"/>
      <c r="N167" s="213"/>
      <c r="O167" s="214"/>
      <c r="P167" s="213"/>
      <c r="Q167" s="214"/>
      <c r="R167" s="214"/>
      <c r="S167" s="214"/>
      <c r="T167" s="214"/>
      <c r="U167" s="215"/>
      <c r="V167" s="845"/>
      <c r="W167" s="216"/>
      <c r="X167" s="217"/>
      <c r="Y167" s="218"/>
      <c r="Z167" s="196"/>
      <c r="AA167" s="218"/>
      <c r="AF167" s="196">
        <f t="shared" si="490"/>
        <v>0</v>
      </c>
      <c r="AG167" s="606">
        <f t="shared" si="432"/>
        <v>0</v>
      </c>
      <c r="AJ167" s="196"/>
      <c r="AK167" s="196"/>
      <c r="AL167" s="196"/>
      <c r="AM167" s="196"/>
      <c r="AO167" s="196"/>
      <c r="AP167" s="589">
        <f t="shared" si="433"/>
        <v>0</v>
      </c>
      <c r="AQ167" s="196"/>
      <c r="AR167" s="589"/>
      <c r="AS167"/>
      <c r="AT167" s="589">
        <f t="shared" si="434"/>
        <v>0</v>
      </c>
      <c r="AV167" s="245">
        <f t="shared" si="416"/>
        <v>0</v>
      </c>
      <c r="AX167" s="245"/>
      <c r="AY167" s="245"/>
      <c r="BA167" s="589">
        <f t="shared" si="447"/>
        <v>0</v>
      </c>
      <c r="BK167" s="246">
        <f t="shared" si="448"/>
        <v>0</v>
      </c>
      <c r="BL167" s="246"/>
      <c r="BM167" s="246">
        <f t="shared" si="449"/>
        <v>0</v>
      </c>
      <c r="BN167" s="196"/>
      <c r="BQ167" s="248">
        <f t="shared" si="450"/>
        <v>0</v>
      </c>
      <c r="BR167" s="248"/>
      <c r="BS167" s="248"/>
      <c r="BT167" s="276"/>
      <c r="BV167" s="264">
        <f t="shared" si="451"/>
        <v>0</v>
      </c>
      <c r="BX167" s="247">
        <f t="shared" si="452"/>
        <v>0</v>
      </c>
      <c r="BY167" s="196"/>
      <c r="BZ167" s="620"/>
      <c r="CA167" s="196">
        <f t="shared" si="493"/>
        <v>0</v>
      </c>
      <c r="CB167" s="196">
        <f t="shared" si="494"/>
        <v>0</v>
      </c>
      <c r="CC167" s="196">
        <f t="shared" si="430"/>
        <v>0</v>
      </c>
      <c r="CD167" s="247">
        <f t="shared" si="418"/>
        <v>0</v>
      </c>
      <c r="CF167" s="247">
        <f t="shared" si="419"/>
        <v>0</v>
      </c>
      <c r="CG167" s="196">
        <f t="shared" si="460"/>
        <v>0</v>
      </c>
      <c r="CH167" s="589">
        <f t="shared" si="435"/>
        <v>0</v>
      </c>
      <c r="CI167" s="196"/>
      <c r="CJ167" s="248">
        <f t="shared" si="436"/>
        <v>0</v>
      </c>
      <c r="CK167" s="196"/>
      <c r="CL167" s="589">
        <f t="shared" si="437"/>
        <v>0</v>
      </c>
      <c r="CM167" s="196"/>
      <c r="CN167" s="589">
        <f t="shared" si="438"/>
        <v>0</v>
      </c>
      <c r="CO167" s="196"/>
      <c r="CP167" s="589">
        <f t="shared" si="439"/>
        <v>0</v>
      </c>
      <c r="CQ167" s="196"/>
      <c r="CR167" s="269">
        <f t="shared" si="507"/>
        <v>0</v>
      </c>
      <c r="CS167" s="269">
        <f>'Detailed Budget'!$AC$16</f>
        <v>10488008800.000002</v>
      </c>
      <c r="CT167" s="607">
        <f t="shared" si="461"/>
        <v>0</v>
      </c>
      <c r="CU167" s="269">
        <f>'Detailed Budget'!$AC$24</f>
        <v>30624985696</v>
      </c>
      <c r="CV167" s="269">
        <f t="shared" si="446"/>
        <v>0</v>
      </c>
      <c r="CW167" s="269"/>
      <c r="CX167" s="269">
        <f t="shared" si="431"/>
        <v>0</v>
      </c>
      <c r="CY167" s="196">
        <f>'Detailed Budget'!$AC$97</f>
        <v>74629165494.837845</v>
      </c>
      <c r="CZ167" s="269">
        <f t="shared" si="462"/>
        <v>0</v>
      </c>
      <c r="DA167" s="269">
        <f>'Detailed Budget'!$AC$100</f>
        <v>14925833098.967569</v>
      </c>
      <c r="DB167" s="269">
        <f t="shared" si="463"/>
        <v>0</v>
      </c>
      <c r="DC167" s="269"/>
      <c r="DD167" s="207"/>
      <c r="DE167" s="606">
        <v>0</v>
      </c>
      <c r="DF167" s="269">
        <f>'Detailed Budget'!$AC$147</f>
        <v>5913600671000</v>
      </c>
      <c r="DG167" s="269">
        <f t="shared" si="441"/>
        <v>0</v>
      </c>
      <c r="DH167" s="269">
        <f>'Detailed Budget'!$AC$153</f>
        <v>226428026880.00003</v>
      </c>
      <c r="DI167" s="269"/>
      <c r="DJ167" s="269">
        <f>'Detailed Budget'!$AC$156</f>
        <v>27713070000</v>
      </c>
      <c r="DK167" s="269"/>
      <c r="DL167" s="269"/>
      <c r="DM167" s="196"/>
      <c r="DN167" s="269"/>
      <c r="DO167" s="196"/>
      <c r="DP167" s="269"/>
      <c r="DQ167" s="269"/>
      <c r="DR167" s="269"/>
      <c r="DS167" s="269"/>
      <c r="DT167" s="269"/>
      <c r="DU167" s="272">
        <f>'Detailed Budget'!$AC$192</f>
        <v>77498869683.252869</v>
      </c>
      <c r="DV167" s="269">
        <f t="shared" si="464"/>
        <v>0</v>
      </c>
      <c r="DW167" s="140">
        <f>'Detailed Budget'!$AC$194</f>
        <v>2684962805.4134097</v>
      </c>
      <c r="DX167" s="269">
        <f t="shared" si="465"/>
        <v>0</v>
      </c>
      <c r="DY167" s="607">
        <f t="shared" si="421"/>
        <v>0</v>
      </c>
      <c r="DZ167" s="196"/>
      <c r="EA167" s="269"/>
      <c r="EB167" s="196">
        <f>'Detailed Budget'!$AC$200</f>
        <v>4683135004.5951529</v>
      </c>
      <c r="EC167" s="269">
        <f t="shared" si="467"/>
        <v>0</v>
      </c>
      <c r="ED167" s="269">
        <f t="shared" si="422"/>
        <v>0</v>
      </c>
      <c r="EE167" s="196">
        <f>'Detailed Budget'!$AC$161</f>
        <v>251147290106.36197</v>
      </c>
      <c r="EF167" s="269">
        <f t="shared" si="468"/>
        <v>0</v>
      </c>
      <c r="EG167" s="196">
        <f>'Detailed Budget'!$AC$163</f>
        <v>15696705631.647623</v>
      </c>
      <c r="EH167" s="269">
        <f t="shared" si="469"/>
        <v>0</v>
      </c>
      <c r="EI167" s="269">
        <f t="shared" si="423"/>
        <v>0</v>
      </c>
      <c r="EJ167" s="196">
        <f>'Detailed Budget'!$AC$204</f>
        <v>45012172507.531975</v>
      </c>
      <c r="EK167" s="269">
        <f t="shared" si="470"/>
        <v>0</v>
      </c>
      <c r="EL167" s="201">
        <f>'Detailed Budget'!$AC$206</f>
        <v>11253043126.882994</v>
      </c>
      <c r="EM167" s="269">
        <f t="shared" si="471"/>
        <v>0</v>
      </c>
      <c r="EN167" s="269">
        <f t="shared" si="424"/>
        <v>0</v>
      </c>
      <c r="EO167" s="140">
        <f>'Detailed Budget'!$AC$209</f>
        <v>135789361677.54817</v>
      </c>
      <c r="EP167" s="269">
        <f t="shared" si="472"/>
        <v>0</v>
      </c>
      <c r="EQ167" s="196">
        <f>'Detailed Budget'!$AC$211</f>
        <v>33947340419.387043</v>
      </c>
      <c r="ER167" s="269">
        <f t="shared" si="473"/>
        <v>0</v>
      </c>
      <c r="ES167" s="269">
        <f t="shared" si="425"/>
        <v>0</v>
      </c>
      <c r="ET167" s="196">
        <f>'Detailed Budget'!$AC$214</f>
        <v>22239745544.201103</v>
      </c>
      <c r="EU167" s="269">
        <f t="shared" si="474"/>
        <v>0</v>
      </c>
      <c r="EV167" s="140">
        <f>'Detailed Budget'!$AC$217</f>
        <v>5559936386.0502758</v>
      </c>
      <c r="EW167" s="269">
        <f t="shared" si="475"/>
        <v>0</v>
      </c>
      <c r="EX167" s="269">
        <f t="shared" si="426"/>
        <v>0</v>
      </c>
      <c r="EY167" s="196">
        <f>'Detailed Budget'!$AC$219</f>
        <v>372777004.58170313</v>
      </c>
      <c r="EZ167" s="269">
        <f t="shared" si="476"/>
        <v>0</v>
      </c>
      <c r="FA167" s="196">
        <f>'Detailed Budget'!$AC$222</f>
        <v>93194251.145425782</v>
      </c>
      <c r="FB167" s="269">
        <f t="shared" si="477"/>
        <v>0</v>
      </c>
      <c r="FC167" s="269">
        <f t="shared" si="427"/>
        <v>0</v>
      </c>
      <c r="FD167" s="269"/>
      <c r="FE167" s="269">
        <f t="shared" si="428"/>
        <v>0</v>
      </c>
      <c r="FF167" s="140">
        <f>'Detailed Budget'!$AC$165</f>
        <v>14927760000</v>
      </c>
      <c r="FG167" s="1087">
        <f t="shared" si="442"/>
        <v>0</v>
      </c>
      <c r="FJ167" s="140"/>
      <c r="FL167" s="269">
        <f t="shared" si="443"/>
        <v>0</v>
      </c>
      <c r="FO167" s="607"/>
      <c r="FP167" s="607"/>
      <c r="FQ167" s="607"/>
      <c r="FT167" s="269">
        <f t="shared" si="444"/>
        <v>0</v>
      </c>
      <c r="FU167" s="269"/>
      <c r="FV167" s="269"/>
      <c r="FW167" s="616"/>
      <c r="FX167" s="140">
        <f>'Detailed Budget'!$AC$278</f>
        <v>1114560000</v>
      </c>
      <c r="FY167" s="269"/>
      <c r="FZ167" s="269"/>
      <c r="GB167" s="269">
        <f t="shared" si="453"/>
        <v>0</v>
      </c>
      <c r="GD167" s="1078">
        <f t="shared" si="454"/>
        <v>0</v>
      </c>
    </row>
    <row r="168" spans="1:186" s="210" customFormat="1">
      <c r="A168" s="203">
        <v>2.2000000000000002</v>
      </c>
      <c r="B168" s="204" t="s">
        <v>506</v>
      </c>
      <c r="C168" s="205">
        <f t="shared" ref="C168:T168" si="508">COUNTA(C169:C188)</f>
        <v>20</v>
      </c>
      <c r="D168" s="205">
        <f t="shared" si="508"/>
        <v>20</v>
      </c>
      <c r="E168" s="205">
        <f t="shared" si="508"/>
        <v>0</v>
      </c>
      <c r="F168" s="205">
        <f t="shared" si="508"/>
        <v>0</v>
      </c>
      <c r="G168" s="205">
        <f t="shared" si="508"/>
        <v>0</v>
      </c>
      <c r="H168" s="205">
        <f t="shared" si="508"/>
        <v>20</v>
      </c>
      <c r="I168" s="205">
        <f t="shared" si="508"/>
        <v>20</v>
      </c>
      <c r="J168" s="205">
        <f t="shared" si="508"/>
        <v>0</v>
      </c>
      <c r="K168" s="205">
        <f t="shared" si="508"/>
        <v>20</v>
      </c>
      <c r="L168" s="205">
        <f t="shared" si="508"/>
        <v>0</v>
      </c>
      <c r="M168" s="205">
        <f t="shared" si="508"/>
        <v>0</v>
      </c>
      <c r="N168" s="205">
        <f t="shared" si="508"/>
        <v>0</v>
      </c>
      <c r="O168" s="205">
        <f t="shared" si="508"/>
        <v>0</v>
      </c>
      <c r="P168" s="205">
        <f t="shared" si="508"/>
        <v>0</v>
      </c>
      <c r="Q168" s="205">
        <f t="shared" si="508"/>
        <v>1</v>
      </c>
      <c r="R168" s="205">
        <f t="shared" si="508"/>
        <v>19</v>
      </c>
      <c r="S168" s="205">
        <f t="shared" si="508"/>
        <v>2</v>
      </c>
      <c r="T168" s="205">
        <f t="shared" si="508"/>
        <v>0</v>
      </c>
      <c r="U168" s="206">
        <f>SUM(C168:T168)</f>
        <v>122</v>
      </c>
      <c r="V168" s="844"/>
      <c r="W168" s="207">
        <f>SUM(W169:W188)</f>
        <v>4653066</v>
      </c>
      <c r="X168" s="208">
        <v>3.39</v>
      </c>
      <c r="Y168" s="209">
        <f t="shared" si="483"/>
        <v>1.0339</v>
      </c>
      <c r="Z168" s="207">
        <v>19</v>
      </c>
      <c r="AA168" s="209">
        <f t="shared" si="484"/>
        <v>1.8840489025780363</v>
      </c>
      <c r="AB168" s="207">
        <f t="shared" si="485"/>
        <v>8766603.8909231722</v>
      </c>
      <c r="AC168" s="226">
        <v>20</v>
      </c>
      <c r="AD168" s="207">
        <f t="shared" si="486"/>
        <v>1753320.7781846344</v>
      </c>
      <c r="AE168" s="207">
        <f t="shared" si="487"/>
        <v>1665654.7392754026</v>
      </c>
      <c r="AF168" s="207">
        <f>SUM(AF169:AF188)</f>
        <v>1665654.7392754031</v>
      </c>
      <c r="AG168" s="588">
        <f t="shared" si="432"/>
        <v>7.7012562782775379E-2</v>
      </c>
      <c r="AH168" s="207">
        <f>SUM(AH169:AH188)</f>
        <v>438330.1945461586</v>
      </c>
      <c r="AI168" s="633">
        <f t="shared" si="409"/>
        <v>3.3956776036375994E-2</v>
      </c>
      <c r="AJ168" s="207">
        <f>SUM(AJ169:AJ188)</f>
        <v>2191650.9727307931</v>
      </c>
      <c r="AK168" s="207">
        <f t="shared" si="455"/>
        <v>350664.15563692688</v>
      </c>
      <c r="AL168" s="207">
        <f t="shared" si="456"/>
        <v>350664.15563692688</v>
      </c>
      <c r="AM168" s="207">
        <f t="shared" si="413"/>
        <v>701328.31127385376</v>
      </c>
      <c r="AN168" s="632">
        <f t="shared" si="414"/>
        <v>3.3956776036375994E-2</v>
      </c>
      <c r="AO168" s="207">
        <f t="shared" si="415"/>
        <v>333130.94785508054</v>
      </c>
      <c r="AP168" s="588">
        <f t="shared" si="433"/>
        <v>3.3956776036375994E-2</v>
      </c>
      <c r="AQ168" s="207">
        <v>1</v>
      </c>
      <c r="AR168" s="588">
        <f>AQ168/37</f>
        <v>2.7027027027027029E-2</v>
      </c>
      <c r="AS168" s="207">
        <f>SUM(AS169:AS188)</f>
        <v>20</v>
      </c>
      <c r="AT168" s="588">
        <f t="shared" si="434"/>
        <v>2.5839793281653745E-2</v>
      </c>
      <c r="AU168" s="207">
        <f>SUM(AU169:AU188)</f>
        <v>212</v>
      </c>
      <c r="AV168" s="892">
        <f t="shared" si="416"/>
        <v>2.4088171798659245E-2</v>
      </c>
      <c r="AW168" s="207">
        <v>64605</v>
      </c>
      <c r="AX168" s="208">
        <f>AW168*0.002</f>
        <v>129.21</v>
      </c>
      <c r="AY168" s="207">
        <f>AX168*100</f>
        <v>12921</v>
      </c>
      <c r="AZ168" s="207">
        <f>SUM(AZ169:AZ188)</f>
        <v>1111</v>
      </c>
      <c r="BA168" s="588">
        <f t="shared" si="447"/>
        <v>4.0709391374445791E-2</v>
      </c>
      <c r="BB168" s="207">
        <v>28</v>
      </c>
      <c r="BC168" s="207">
        <v>4</v>
      </c>
      <c r="BD168" s="207">
        <f>BB168+BC168</f>
        <v>32</v>
      </c>
      <c r="BE168" s="633">
        <f>BD168/1306</f>
        <v>2.4502297090352222E-2</v>
      </c>
      <c r="BF168" s="207">
        <f>AZ168+BD168</f>
        <v>1143</v>
      </c>
      <c r="BG168" s="588">
        <f>BF168/28597</f>
        <v>3.9969227541350488E-2</v>
      </c>
      <c r="BH168" s="1084">
        <v>48.6</v>
      </c>
      <c r="BI168" s="207"/>
      <c r="BJ168" s="207"/>
      <c r="BK168" s="892">
        <f t="shared" si="448"/>
        <v>0</v>
      </c>
      <c r="BL168" s="892"/>
      <c r="BM168" s="892">
        <f t="shared" si="449"/>
        <v>0</v>
      </c>
      <c r="BN168" s="207"/>
      <c r="BO168" s="207">
        <v>663102</v>
      </c>
      <c r="BP168" s="207">
        <f>SUM(BP169:BP188)</f>
        <v>663101.99174947769</v>
      </c>
      <c r="BQ168" s="633">
        <f t="shared" si="450"/>
        <v>6.2030103429295359E-2</v>
      </c>
      <c r="BR168" s="207">
        <f>AY168*0.5*24</f>
        <v>155052</v>
      </c>
      <c r="BS168" s="633">
        <f>BR168/2211211</f>
        <v>7.0120852329334474E-2</v>
      </c>
      <c r="BT168" s="634"/>
      <c r="BU168" s="207">
        <f>SUM(BU169:BU188)</f>
        <v>1262390.9602929368</v>
      </c>
      <c r="BV168" s="264">
        <f t="shared" si="451"/>
        <v>8.7561828172341608E-2</v>
      </c>
      <c r="BW168" s="207">
        <f>SUM(BW169:BW188)</f>
        <v>5400227.9968086742</v>
      </c>
      <c r="BX168" s="247">
        <f t="shared" si="452"/>
        <v>8.7561828961101915E-2</v>
      </c>
      <c r="BY168" s="207">
        <f>SUM(BY169:BY188)</f>
        <v>6662618.9571016124</v>
      </c>
      <c r="CA168" s="207">
        <f>SUM(CA169:CA188)</f>
        <v>2682580.7906224909</v>
      </c>
      <c r="CB168" s="207">
        <f>SUM(CB169:CB188)</f>
        <v>5365161.5812449818</v>
      </c>
      <c r="CC168" s="207">
        <f>SUM(CC169:CC188)</f>
        <v>8047742.3718674723</v>
      </c>
      <c r="CD168" s="633">
        <f t="shared" si="418"/>
        <v>3.3956776036375994E-2</v>
      </c>
      <c r="CE168" s="207">
        <v>609621</v>
      </c>
      <c r="CF168" s="633">
        <f t="shared" si="419"/>
        <v>2.6325330668186941E-2</v>
      </c>
      <c r="CG168" s="207">
        <f t="shared" si="460"/>
        <v>1332523.7914203221</v>
      </c>
      <c r="CH168" s="588">
        <f t="shared" si="435"/>
        <v>3.3956776036375994E-2</v>
      </c>
      <c r="CI168" s="207">
        <f t="shared" ref="CI168:CO168" si="509">SUM(CI169:CI188)</f>
        <v>2807021.644879282</v>
      </c>
      <c r="CJ168" s="633">
        <f t="shared" si="436"/>
        <v>4.6147428716652401E-2</v>
      </c>
      <c r="CK168" s="207">
        <f t="shared" si="509"/>
        <v>2931906.6290798872</v>
      </c>
      <c r="CL168" s="588">
        <f t="shared" si="437"/>
        <v>4.2146760860487839E-2</v>
      </c>
      <c r="CM168" s="207">
        <f t="shared" si="509"/>
        <v>284028.96406704962</v>
      </c>
      <c r="CN168" s="588">
        <f t="shared" si="438"/>
        <v>4.0931801612123342E-2</v>
      </c>
      <c r="CO168" s="207">
        <f t="shared" si="509"/>
        <v>22721.997125404458</v>
      </c>
      <c r="CP168" s="588">
        <f t="shared" si="439"/>
        <v>4.2850186746660086E-2</v>
      </c>
      <c r="CQ168" s="207">
        <f>'Detailed Budget'!$AC$12</f>
        <v>292876014141.44696</v>
      </c>
      <c r="CR168" s="605">
        <f t="shared" si="507"/>
        <v>0</v>
      </c>
      <c r="CS168" s="605">
        <f>'Detailed Budget'!$AC$16</f>
        <v>10488008800.000002</v>
      </c>
      <c r="CT168" s="605">
        <f t="shared" si="461"/>
        <v>0</v>
      </c>
      <c r="CU168" s="605">
        <f>'Detailed Budget'!$AC$24</f>
        <v>30624985696</v>
      </c>
      <c r="CV168" s="605">
        <f t="shared" si="446"/>
        <v>0</v>
      </c>
      <c r="CW168" s="605"/>
      <c r="CX168" s="605">
        <f t="shared" si="431"/>
        <v>0</v>
      </c>
      <c r="CY168" s="207">
        <f>'Detailed Budget'!$AC$97</f>
        <v>74629165494.837845</v>
      </c>
      <c r="CZ168" s="605">
        <f t="shared" si="462"/>
        <v>4629254854.4867916</v>
      </c>
      <c r="DA168" s="605">
        <f>'Detailed Budget'!$AC$100</f>
        <v>14925833098.967569</v>
      </c>
      <c r="DB168" s="605">
        <f t="shared" si="463"/>
        <v>925850970.89735842</v>
      </c>
      <c r="DC168" s="605">
        <f t="shared" si="420"/>
        <v>5555105825.3841496</v>
      </c>
      <c r="DD168" s="207">
        <f>SUM(DD169:DD188)</f>
        <v>2</v>
      </c>
      <c r="DE168" s="606">
        <v>0</v>
      </c>
      <c r="DF168" s="605">
        <f>'Detailed Budget'!$AC$147</f>
        <v>5913600671000</v>
      </c>
      <c r="DG168" s="605">
        <f t="shared" si="441"/>
        <v>0</v>
      </c>
      <c r="DH168" s="605">
        <f>'Detailed Budget'!$AC$153</f>
        <v>226428026880.00003</v>
      </c>
      <c r="DI168" s="605">
        <f>BS168*DH168</f>
        <v>15877326236.07506</v>
      </c>
      <c r="DJ168" s="605">
        <f>'Detailed Budget'!$AC$156</f>
        <v>27713070000</v>
      </c>
      <c r="DK168" s="605">
        <f>AT168*DJ168</f>
        <v>716100000</v>
      </c>
      <c r="DL168" s="605">
        <f>DI168+DK168</f>
        <v>16593426236.07506</v>
      </c>
      <c r="DM168" s="207">
        <f>'Detailed Budget'!$AC$178</f>
        <v>5622683761.6229038</v>
      </c>
      <c r="DN168" s="605">
        <f>SUM(DN169:DN188)</f>
        <v>492332469.4026401</v>
      </c>
      <c r="DO168" s="605">
        <f>'Detailed Budget'!$AC$179</f>
        <v>26827890683.128094</v>
      </c>
      <c r="DP168" s="605">
        <f>SUM(DP169:DP188)</f>
        <v>2349099175.3832016</v>
      </c>
      <c r="DQ168" s="605">
        <f>SUM(DQ169:DQ188)</f>
        <v>2841431644.7858415</v>
      </c>
      <c r="DR168" s="605">
        <f>'Detailed Budget'!$AC$181</f>
        <v>50888946855.375237</v>
      </c>
      <c r="DS168" s="605">
        <f>SUM(DS169:DS188)</f>
        <v>3919088214.6489053</v>
      </c>
      <c r="DT168" s="605">
        <f>SUM(DT169:DT188)</f>
        <v>6760519859.4347467</v>
      </c>
      <c r="DU168" s="634">
        <f>'Detailed Budget'!$AC$192</f>
        <v>77498869683.252869</v>
      </c>
      <c r="DV168" s="605">
        <f t="shared" si="464"/>
        <v>0</v>
      </c>
      <c r="DW168" s="930">
        <f>'Detailed Budget'!$AC$194</f>
        <v>2684962805.4134097</v>
      </c>
      <c r="DX168" s="605">
        <f t="shared" si="465"/>
        <v>0</v>
      </c>
      <c r="DY168" s="605">
        <f t="shared" si="421"/>
        <v>0</v>
      </c>
      <c r="DZ168" s="207">
        <f>'Detailed Budget'!$AC$198</f>
        <v>18732540018.380611</v>
      </c>
      <c r="EA168" s="605">
        <f t="shared" ref="EA168:EA188" si="510">CF168*DZ168</f>
        <v>493140310.23891425</v>
      </c>
      <c r="EB168" s="207">
        <f>'Detailed Budget'!$AC$200</f>
        <v>4683135004.5951529</v>
      </c>
      <c r="EC168" s="605">
        <f t="shared" si="467"/>
        <v>123285077.55972856</v>
      </c>
      <c r="ED168" s="605">
        <f t="shared" si="422"/>
        <v>616425387.79864287</v>
      </c>
      <c r="EE168" s="207">
        <f>'Detailed Budget'!$AC$161</f>
        <v>251147290106.36197</v>
      </c>
      <c r="EF168" s="605">
        <f t="shared" si="468"/>
        <v>8528152282.284482</v>
      </c>
      <c r="EG168" s="207">
        <f>'Detailed Budget'!$AC$163</f>
        <v>15696705631.647623</v>
      </c>
      <c r="EH168" s="605">
        <f t="shared" si="469"/>
        <v>533009517.64278013</v>
      </c>
      <c r="EI168" s="605">
        <f t="shared" si="423"/>
        <v>9061161799.9272614</v>
      </c>
      <c r="EJ168" s="207">
        <f>'Detailed Budget'!$AC$204</f>
        <v>45012172507.531975</v>
      </c>
      <c r="EK168" s="605">
        <f t="shared" si="470"/>
        <v>2077196022.1729927</v>
      </c>
      <c r="EL168" s="207">
        <f>'Detailed Budget'!$AC$206</f>
        <v>11253043126.882994</v>
      </c>
      <c r="EM168" s="605">
        <f t="shared" si="471"/>
        <v>519299005.54324818</v>
      </c>
      <c r="EN168" s="605">
        <f t="shared" si="424"/>
        <v>2596495027.7162409</v>
      </c>
      <c r="EO168" s="930">
        <f>'Detailed Budget'!$AC$209</f>
        <v>135789361677.54817</v>
      </c>
      <c r="EP168" s="605">
        <f t="shared" si="472"/>
        <v>5723081754.0219145</v>
      </c>
      <c r="EQ168" s="207">
        <f>'Detailed Budget'!$AC$211</f>
        <v>33947340419.387043</v>
      </c>
      <c r="ER168" s="605">
        <f t="shared" si="473"/>
        <v>1430770438.5054786</v>
      </c>
      <c r="ES168" s="605">
        <f t="shared" si="425"/>
        <v>7153852192.5273933</v>
      </c>
      <c r="ET168" s="207">
        <f>'Detailed Budget'!$AC$214</f>
        <v>22239745544.201103</v>
      </c>
      <c r="EU168" s="605">
        <f t="shared" si="474"/>
        <v>910312852.51934361</v>
      </c>
      <c r="EV168" s="930">
        <f>'Detailed Budget'!$AC$217</f>
        <v>5559936386.0502758</v>
      </c>
      <c r="EW168" s="605">
        <f t="shared" si="475"/>
        <v>227578213.1298359</v>
      </c>
      <c r="EX168" s="605">
        <f t="shared" si="426"/>
        <v>1137891065.6491795</v>
      </c>
      <c r="EY168" s="207">
        <f>'Detailed Budget'!$AC$219</f>
        <v>372777004.58170313</v>
      </c>
      <c r="EZ168" s="605">
        <f t="shared" si="476"/>
        <v>15973564.261186542</v>
      </c>
      <c r="FA168" s="207">
        <f>'Detailed Budget'!$AC$222</f>
        <v>93194251.145425782</v>
      </c>
      <c r="FB168" s="605">
        <f t="shared" si="477"/>
        <v>3993391.0652966355</v>
      </c>
      <c r="FC168" s="605">
        <f t="shared" si="427"/>
        <v>19966955.326483179</v>
      </c>
      <c r="FD168" s="605"/>
      <c r="FE168" s="605">
        <f t="shared" si="428"/>
        <v>10908205241.219296</v>
      </c>
      <c r="FF168" s="930">
        <f>'Detailed Budget'!$AC$165</f>
        <v>14927760000</v>
      </c>
      <c r="FG168" s="1087">
        <f t="shared" si="442"/>
        <v>14879514005.162016</v>
      </c>
      <c r="FH168" s="605">
        <f t="shared" ref="FH168:FH188" si="511">AV168*FF168</f>
        <v>359582447.44915354</v>
      </c>
      <c r="FI168" s="605"/>
      <c r="FJ168" s="930">
        <f>'Detailed Budget'!$AC$235</f>
        <v>3623696172</v>
      </c>
      <c r="FK168" s="605">
        <f t="shared" ref="FK168:FK188" si="512">AT168*FJ168</f>
        <v>93635560</v>
      </c>
      <c r="FL168" s="605">
        <f t="shared" si="443"/>
        <v>93635560</v>
      </c>
      <c r="FM168" s="605"/>
      <c r="FN168" s="605">
        <f>'Detailed Budget'!$AC$251</f>
        <v>1047595800</v>
      </c>
      <c r="FO168" s="605">
        <f>AR168*FN168</f>
        <v>28313400</v>
      </c>
      <c r="FP168" s="605">
        <f>'Detailed Budget'!$AB$254</f>
        <v>2773297530</v>
      </c>
      <c r="FQ168" s="605">
        <f>BE168*FP168</f>
        <v>67952160</v>
      </c>
      <c r="FR168" s="605">
        <f>'Detailed Budget'!$AC$257</f>
        <v>13636439388</v>
      </c>
      <c r="FS168" s="605">
        <f t="shared" ref="FS168:FS188" si="513">BA168*FR168</f>
        <v>555131148</v>
      </c>
      <c r="FT168" s="605">
        <f t="shared" si="444"/>
        <v>651396708</v>
      </c>
      <c r="FU168" s="605"/>
      <c r="FV168" s="605">
        <f>'Detailed Budget'!$AC$265</f>
        <v>6277805540</v>
      </c>
      <c r="FW168" s="605">
        <f>AR168*FV168</f>
        <v>169670420</v>
      </c>
      <c r="FX168" s="930">
        <f>'Detailed Budget'!$AC$278</f>
        <v>1114560000</v>
      </c>
      <c r="FY168" s="605">
        <f t="shared" ref="FY168:FY188" si="514">AT168*FX168</f>
        <v>28800000</v>
      </c>
      <c r="FZ168" s="605">
        <f t="shared" si="445"/>
        <v>198470420</v>
      </c>
      <c r="GB168" s="269">
        <f t="shared" si="453"/>
        <v>65677443490.450325</v>
      </c>
      <c r="GC168" s="889">
        <f t="shared" si="429"/>
        <v>41048402.181531452</v>
      </c>
      <c r="GD168" s="1078">
        <f t="shared" si="454"/>
        <v>3.6853681666271752E-2</v>
      </c>
    </row>
    <row r="169" spans="1:186" hidden="1" outlineLevel="1">
      <c r="A169" s="211" t="s">
        <v>507</v>
      </c>
      <c r="B169" s="212" t="s">
        <v>508</v>
      </c>
      <c r="C169" s="213" t="s">
        <v>215</v>
      </c>
      <c r="D169" s="225" t="s">
        <v>215</v>
      </c>
      <c r="E169" s="213"/>
      <c r="F169" s="213"/>
      <c r="G169" s="213"/>
      <c r="H169" s="213" t="s">
        <v>215</v>
      </c>
      <c r="I169" s="214" t="s">
        <v>215</v>
      </c>
      <c r="J169" s="214"/>
      <c r="K169" s="213" t="s">
        <v>215</v>
      </c>
      <c r="L169" s="213"/>
      <c r="M169" s="214"/>
      <c r="N169" s="213"/>
      <c r="O169" s="214"/>
      <c r="P169" s="213"/>
      <c r="Q169" s="214"/>
      <c r="R169" s="214" t="s">
        <v>215</v>
      </c>
      <c r="S169" s="214"/>
      <c r="T169" s="214"/>
      <c r="U169" s="215">
        <f t="shared" ref="U169:U188" si="515">COUNTA(C169:T169)</f>
        <v>6</v>
      </c>
      <c r="V169" s="845" t="s">
        <v>219</v>
      </c>
      <c r="W169" s="216">
        <v>328284</v>
      </c>
      <c r="X169" s="217">
        <v>3.39</v>
      </c>
      <c r="Y169" s="218">
        <f t="shared" si="483"/>
        <v>1.0339</v>
      </c>
      <c r="Z169" s="196">
        <v>19</v>
      </c>
      <c r="AA169" s="218">
        <f t="shared" si="484"/>
        <v>1.8840489025780363</v>
      </c>
      <c r="AB169" s="196">
        <f t="shared" si="485"/>
        <v>618503.109933928</v>
      </c>
      <c r="AC169" s="227">
        <v>20</v>
      </c>
      <c r="AD169" s="196">
        <f t="shared" si="486"/>
        <v>123700.62198678561</v>
      </c>
      <c r="AE169" s="196">
        <f t="shared" si="487"/>
        <v>117515.59088744632</v>
      </c>
      <c r="AF169" s="196">
        <f t="shared" ref="AF169:AF189" si="516">AE169*BT169</f>
        <v>117515.59088744632</v>
      </c>
      <c r="AG169" s="606">
        <f t="shared" si="432"/>
        <v>5.433405019524897E-3</v>
      </c>
      <c r="AH169" s="196">
        <f>AB169*0.05</f>
        <v>30925.155496696403</v>
      </c>
      <c r="AI169" s="248">
        <f t="shared" si="409"/>
        <v>2.3957249401417597E-3</v>
      </c>
      <c r="AJ169" s="196">
        <f t="shared" si="412"/>
        <v>154625.77748348203</v>
      </c>
      <c r="AK169" s="196">
        <f t="shared" si="455"/>
        <v>24740.124397357122</v>
      </c>
      <c r="AL169" s="196">
        <f t="shared" si="456"/>
        <v>24740.124397357122</v>
      </c>
      <c r="AM169" s="196">
        <f t="shared" si="413"/>
        <v>49480.248794714244</v>
      </c>
      <c r="AN169" s="627">
        <f t="shared" si="414"/>
        <v>2.3957249401417597E-3</v>
      </c>
      <c r="AO169" s="196">
        <f t="shared" si="415"/>
        <v>23503.118177489265</v>
      </c>
      <c r="AP169" s="589">
        <f t="shared" si="433"/>
        <v>2.3957249401417597E-3</v>
      </c>
      <c r="AQ169" s="196"/>
      <c r="AR169" s="589"/>
      <c r="AS169">
        <v>1</v>
      </c>
      <c r="AT169" s="589">
        <f t="shared" si="434"/>
        <v>1.2919896640826874E-3</v>
      </c>
      <c r="AU169" s="196">
        <v>11</v>
      </c>
      <c r="AV169" s="245">
        <f t="shared" si="416"/>
        <v>1.2498579706851495E-3</v>
      </c>
      <c r="AX169" s="245"/>
      <c r="AY169" s="245"/>
      <c r="AZ169" s="196">
        <v>60</v>
      </c>
      <c r="BA169" s="589">
        <f t="shared" si="447"/>
        <v>2.1985269869187643E-3</v>
      </c>
      <c r="BI169" s="196">
        <v>0</v>
      </c>
      <c r="BK169" s="246">
        <f t="shared" si="448"/>
        <v>0</v>
      </c>
      <c r="BL169" s="246"/>
      <c r="BM169" s="246">
        <f t="shared" si="449"/>
        <v>0</v>
      </c>
      <c r="BN169" s="196">
        <v>1</v>
      </c>
      <c r="BO169" s="196">
        <f t="shared" ref="BO169:BO188" si="517">AJ169/2191651*663102</f>
        <v>46783.298207995664</v>
      </c>
      <c r="BP169" s="196">
        <f t="shared" si="417"/>
        <v>46783.298207995664</v>
      </c>
      <c r="BQ169" s="248">
        <f t="shared" si="450"/>
        <v>4.3763596893280259E-3</v>
      </c>
      <c r="BR169" s="248"/>
      <c r="BS169" s="248"/>
      <c r="BT169" s="276">
        <v>1</v>
      </c>
      <c r="BU169" s="196">
        <f>AD169*BT169*0.18*4*1</f>
        <v>89064.447830485631</v>
      </c>
      <c r="BV169" s="264">
        <f t="shared" si="451"/>
        <v>6.1776788035521083E-3</v>
      </c>
      <c r="BW169" s="196">
        <f>AD169*BT169*0.77*4*1</f>
        <v>380997.91571929969</v>
      </c>
      <c r="BX169" s="247">
        <f t="shared" si="452"/>
        <v>6.1776788592008761E-3</v>
      </c>
      <c r="BY169" s="196">
        <f t="shared" si="492"/>
        <v>470062.36354978534</v>
      </c>
      <c r="BZ169" s="620">
        <v>0</v>
      </c>
      <c r="CA169" s="196">
        <f t="shared" ref="CA169:CA189" si="518">AK169*0.85*0.75*12</f>
        <v>189261.951639782</v>
      </c>
      <c r="CB169" s="196">
        <f t="shared" ref="CB169:CB189" si="519">AL169*0.85*0.75*2*12</f>
        <v>378523.90327956399</v>
      </c>
      <c r="CC169" s="196">
        <f t="shared" si="430"/>
        <v>567785.85491934605</v>
      </c>
      <c r="CD169" s="247">
        <f t="shared" si="418"/>
        <v>2.3957249401417601E-3</v>
      </c>
      <c r="CE169" s="196">
        <f t="shared" ref="CE169:CE188" si="520">AH169/438330*609621</f>
        <v>43010.116166020023</v>
      </c>
      <c r="CF169" s="247">
        <f t="shared" si="419"/>
        <v>1.8573105751731156E-3</v>
      </c>
      <c r="CG169" s="196">
        <f t="shared" si="460"/>
        <v>94012.472709957059</v>
      </c>
      <c r="CH169" s="589">
        <f t="shared" si="435"/>
        <v>2.3957249401417597E-3</v>
      </c>
      <c r="CI169" s="196">
        <f t="shared" ref="CI169:CI188" si="521">AD169/1753321*2807022</f>
        <v>198041.52652628408</v>
      </c>
      <c r="CJ169" s="248">
        <f t="shared" si="436"/>
        <v>3.2558021933962516E-3</v>
      </c>
      <c r="CK169" s="196">
        <f t="shared" ref="CK169:CK188" si="522">AD169/1753321*2931907</f>
        <v>206852.43575329942</v>
      </c>
      <c r="CL169" s="589">
        <f t="shared" si="437"/>
        <v>2.9735463116844665E-3</v>
      </c>
      <c r="CM169" s="196">
        <f t="shared" ref="CM169:CM188" si="523">AD169/1753321*284029</f>
        <v>20038.865651118496</v>
      </c>
      <c r="CN169" s="589">
        <f t="shared" si="438"/>
        <v>2.8878282750415107E-3</v>
      </c>
      <c r="CO169" s="196">
        <f t="shared" ref="CO169:CO188" si="524">AD169/1753321*22722</f>
        <v>1603.0866753912962</v>
      </c>
      <c r="CP169" s="589">
        <f t="shared" si="439"/>
        <v>3.0231745489835218E-3</v>
      </c>
      <c r="CQ169" s="196">
        <f>'Detailed Budget'!$AC$12</f>
        <v>292876014141.44696</v>
      </c>
      <c r="CR169" s="269">
        <f t="shared" si="507"/>
        <v>0</v>
      </c>
      <c r="CS169" s="269">
        <f>'Detailed Budget'!$AC$16</f>
        <v>10488008800.000002</v>
      </c>
      <c r="CT169" s="607">
        <f t="shared" si="461"/>
        <v>0</v>
      </c>
      <c r="CU169" s="269">
        <f>'Detailed Budget'!$AC$24</f>
        <v>30624985696</v>
      </c>
      <c r="CV169" s="269">
        <f t="shared" si="446"/>
        <v>0</v>
      </c>
      <c r="CW169" s="269"/>
      <c r="CX169" s="269">
        <f t="shared" si="431"/>
        <v>0</v>
      </c>
      <c r="CY169" s="196">
        <f>'Detailed Budget'!$AC$97</f>
        <v>74629165494.837845</v>
      </c>
      <c r="CZ169" s="269">
        <f t="shared" si="462"/>
        <v>326604071.5197984</v>
      </c>
      <c r="DA169" s="269">
        <f>'Detailed Budget'!$AC$100</f>
        <v>14925833098.967569</v>
      </c>
      <c r="DB169" s="269">
        <f t="shared" si="463"/>
        <v>65320814.303959675</v>
      </c>
      <c r="DC169" s="269">
        <f t="shared" si="420"/>
        <v>391924885.82375807</v>
      </c>
      <c r="DD169" s="207">
        <v>0</v>
      </c>
      <c r="DE169" s="606">
        <v>0</v>
      </c>
      <c r="DF169" s="269">
        <f>'Detailed Budget'!$AC$147</f>
        <v>5913600671000</v>
      </c>
      <c r="DG169" s="269">
        <f t="shared" si="441"/>
        <v>0</v>
      </c>
      <c r="DH169" s="269">
        <f>'Detailed Budget'!$AC$153</f>
        <v>226428026880.00003</v>
      </c>
      <c r="DI169" s="269"/>
      <c r="DJ169" s="269">
        <f>'Detailed Budget'!$AC$156</f>
        <v>27713070000</v>
      </c>
      <c r="DK169" s="269"/>
      <c r="DL169" s="269"/>
      <c r="DM169" s="196">
        <f>'Detailed Budget'!$AC$178</f>
        <v>5622683761.6229038</v>
      </c>
      <c r="DN169" s="269">
        <f t="shared" ref="DN169:DN188" si="525">BT169*BV169*DM169</f>
        <v>34735134.29325445</v>
      </c>
      <c r="DO169" s="196">
        <f>'Detailed Budget'!$AC$179</f>
        <v>26827890683.128094</v>
      </c>
      <c r="DP169" s="269">
        <f t="shared" ref="DP169:DP188" si="526">BT169*BX169*DO169</f>
        <v>165734093.11011258</v>
      </c>
      <c r="DQ169" s="269">
        <f t="shared" si="457"/>
        <v>200469227.40336704</v>
      </c>
      <c r="DR169" s="269">
        <f>'Detailed Budget'!$AC$181</f>
        <v>50888946855.375237</v>
      </c>
      <c r="DS169" s="269">
        <f t="shared" ref="DS169:DS188" si="527">BT169*AG169*DR169</f>
        <v>276500259.28233153</v>
      </c>
      <c r="DT169" s="269">
        <f t="shared" ref="DT169:DT188" si="528">DQ169+DS169</f>
        <v>476969486.68569857</v>
      </c>
      <c r="DU169" s="272">
        <f>'Detailed Budget'!$AC$192</f>
        <v>77498869683.252869</v>
      </c>
      <c r="DV169" s="269">
        <f t="shared" si="464"/>
        <v>0</v>
      </c>
      <c r="DW169" s="140">
        <f>'Detailed Budget'!$AC$194</f>
        <v>2684962805.4134097</v>
      </c>
      <c r="DX169" s="269">
        <f t="shared" si="465"/>
        <v>0</v>
      </c>
      <c r="DY169" s="607">
        <f t="shared" si="421"/>
        <v>0</v>
      </c>
      <c r="DZ169" s="196">
        <f>'Detailed Budget'!$AC$198</f>
        <v>18732540018.380611</v>
      </c>
      <c r="EA169" s="269">
        <f t="shared" si="510"/>
        <v>34792144.6759919</v>
      </c>
      <c r="EB169" s="196">
        <f>'Detailed Budget'!$AC$200</f>
        <v>4683135004.5951529</v>
      </c>
      <c r="EC169" s="269">
        <f t="shared" si="467"/>
        <v>8698036.1689979751</v>
      </c>
      <c r="ED169" s="269">
        <f t="shared" si="422"/>
        <v>43490180.844989873</v>
      </c>
      <c r="EE169" s="196">
        <f>'Detailed Budget'!$AC$161</f>
        <v>251147290106.36197</v>
      </c>
      <c r="EF169" s="269">
        <f t="shared" si="468"/>
        <v>601679826.55682921</v>
      </c>
      <c r="EG169" s="196">
        <f>'Detailed Budget'!$AC$163</f>
        <v>15696705631.647623</v>
      </c>
      <c r="EH169" s="269">
        <f t="shared" si="469"/>
        <v>37604989.159801826</v>
      </c>
      <c r="EI169" s="269">
        <f t="shared" si="423"/>
        <v>639284815.71663105</v>
      </c>
      <c r="EJ169" s="196">
        <f>'Detailed Budget'!$AC$204</f>
        <v>45012172507.531975</v>
      </c>
      <c r="EK169" s="269">
        <f t="shared" si="470"/>
        <v>146550729.97955307</v>
      </c>
      <c r="EL169" s="201">
        <f>'Detailed Budget'!$AC$206</f>
        <v>11253043126.882994</v>
      </c>
      <c r="EM169" s="269">
        <f t="shared" si="471"/>
        <v>36637682.494888268</v>
      </c>
      <c r="EN169" s="269">
        <f t="shared" si="424"/>
        <v>183188412.47444135</v>
      </c>
      <c r="EO169" s="140">
        <f>'Detailed Budget'!$AC$209</f>
        <v>135789361677.54817</v>
      </c>
      <c r="EP169" s="269">
        <f t="shared" si="472"/>
        <v>403775955.58226138</v>
      </c>
      <c r="EQ169" s="196">
        <f>'Detailed Budget'!$AC$211</f>
        <v>33947340419.387043</v>
      </c>
      <c r="ER169" s="269">
        <f t="shared" si="473"/>
        <v>100943988.89556535</v>
      </c>
      <c r="ES169" s="269">
        <f t="shared" si="425"/>
        <v>504719944.47782671</v>
      </c>
      <c r="ET169" s="196">
        <f>'Detailed Budget'!$AC$214</f>
        <v>22239745544.201103</v>
      </c>
      <c r="EU169" s="269">
        <f t="shared" si="474"/>
        <v>64224566.012272395</v>
      </c>
      <c r="EV169" s="140">
        <f>'Detailed Budget'!$AC$217</f>
        <v>5559936386.0502758</v>
      </c>
      <c r="EW169" s="269">
        <f t="shared" si="475"/>
        <v>16056141.503068099</v>
      </c>
      <c r="EX169" s="269">
        <f t="shared" si="426"/>
        <v>80280707.515340492</v>
      </c>
      <c r="EY169" s="196">
        <f>'Detailed Budget'!$AC$219</f>
        <v>372777004.58170313</v>
      </c>
      <c r="EZ169" s="269">
        <f t="shared" si="476"/>
        <v>1126969.9526977185</v>
      </c>
      <c r="FA169" s="196">
        <f>'Detailed Budget'!$AC$222</f>
        <v>93194251.145425782</v>
      </c>
      <c r="FB169" s="269">
        <f t="shared" si="477"/>
        <v>281742.48817442963</v>
      </c>
      <c r="FC169" s="269">
        <f t="shared" si="427"/>
        <v>1408712.4408721481</v>
      </c>
      <c r="FD169" s="269"/>
      <c r="FE169" s="269">
        <f t="shared" si="428"/>
        <v>769597776.90848076</v>
      </c>
      <c r="FF169" s="140">
        <f>'Detailed Budget'!$AC$165</f>
        <v>14927760000</v>
      </c>
      <c r="FG169" s="1087">
        <f t="shared" si="442"/>
        <v>1049782310.3456109</v>
      </c>
      <c r="FH169" s="269">
        <f t="shared" si="511"/>
        <v>18657579.820474949</v>
      </c>
      <c r="FJ169" s="140">
        <f>'Detailed Budget'!$AC$235</f>
        <v>3623696172</v>
      </c>
      <c r="FK169" s="269">
        <f t="shared" si="512"/>
        <v>4681778</v>
      </c>
      <c r="FL169" s="269">
        <f t="shared" si="443"/>
        <v>4681778</v>
      </c>
      <c r="FO169" s="607"/>
      <c r="FP169" s="607"/>
      <c r="FQ169" s="607"/>
      <c r="FR169" s="269">
        <f>'Detailed Budget'!$AC$257</f>
        <v>13636439388</v>
      </c>
      <c r="FS169" s="269">
        <f t="shared" si="513"/>
        <v>29980079.999999996</v>
      </c>
      <c r="FT169" s="269">
        <f t="shared" si="444"/>
        <v>29980079.999999996</v>
      </c>
      <c r="FU169" s="269"/>
      <c r="FV169" s="269"/>
      <c r="FW169" s="616"/>
      <c r="FX169" s="140">
        <f>'Detailed Budget'!$AC$278</f>
        <v>1114560000</v>
      </c>
      <c r="FY169" s="269">
        <f t="shared" si="514"/>
        <v>1440000</v>
      </c>
      <c r="FZ169" s="269">
        <f t="shared" si="445"/>
        <v>1440000</v>
      </c>
      <c r="GB169" s="269">
        <f t="shared" si="453"/>
        <v>3425808894.1456447</v>
      </c>
      <c r="GC169" s="887">
        <f t="shared" si="429"/>
        <v>2141130.5588410278</v>
      </c>
      <c r="GD169" s="1078">
        <f t="shared" si="454"/>
        <v>1.9223292461541027E-3</v>
      </c>
    </row>
    <row r="170" spans="1:186" hidden="1" outlineLevel="1">
      <c r="A170" s="211" t="s">
        <v>509</v>
      </c>
      <c r="B170" s="212" t="s">
        <v>506</v>
      </c>
      <c r="C170" s="213" t="s">
        <v>215</v>
      </c>
      <c r="D170" s="225" t="s">
        <v>215</v>
      </c>
      <c r="E170" s="213"/>
      <c r="F170" s="213"/>
      <c r="G170" s="213"/>
      <c r="H170" s="213" t="s">
        <v>215</v>
      </c>
      <c r="I170" s="214" t="s">
        <v>215</v>
      </c>
      <c r="J170" s="214"/>
      <c r="K170" s="213" t="s">
        <v>215</v>
      </c>
      <c r="L170" s="213"/>
      <c r="M170" s="214"/>
      <c r="N170" s="213"/>
      <c r="O170" s="214"/>
      <c r="P170" s="213"/>
      <c r="Q170" s="214" t="s">
        <v>215</v>
      </c>
      <c r="R170" s="214"/>
      <c r="S170" s="214"/>
      <c r="T170" s="214"/>
      <c r="U170" s="215">
        <f t="shared" si="515"/>
        <v>6</v>
      </c>
      <c r="V170" s="845" t="s">
        <v>265</v>
      </c>
      <c r="W170" s="216">
        <v>493730</v>
      </c>
      <c r="X170" s="217">
        <v>3.39</v>
      </c>
      <c r="Y170" s="218">
        <f t="shared" si="483"/>
        <v>1.0339</v>
      </c>
      <c r="Z170" s="196">
        <v>19</v>
      </c>
      <c r="AA170" s="218">
        <f t="shared" si="484"/>
        <v>1.8840489025780363</v>
      </c>
      <c r="AB170" s="196">
        <f t="shared" si="485"/>
        <v>930211.4646698538</v>
      </c>
      <c r="AC170" s="227">
        <v>20</v>
      </c>
      <c r="AD170" s="196">
        <f t="shared" si="486"/>
        <v>186042.29293397078</v>
      </c>
      <c r="AE170" s="196">
        <f t="shared" si="487"/>
        <v>176740.17828727223</v>
      </c>
      <c r="AF170" s="196">
        <f t="shared" si="516"/>
        <v>176740.17828727223</v>
      </c>
      <c r="AG170" s="606">
        <f t="shared" si="432"/>
        <v>8.1716899400824505E-3</v>
      </c>
      <c r="AH170" s="196">
        <f t="shared" ref="AH170:AH188" si="529">AB170*0.05</f>
        <v>46510.573233492694</v>
      </c>
      <c r="AI170" s="248">
        <f t="shared" si="409"/>
        <v>3.6031036379969511E-3</v>
      </c>
      <c r="AJ170" s="196">
        <f t="shared" si="412"/>
        <v>232552.86616746348</v>
      </c>
      <c r="AK170" s="196">
        <f t="shared" si="455"/>
        <v>37208.45858679415</v>
      </c>
      <c r="AL170" s="196">
        <f t="shared" si="456"/>
        <v>37208.45858679415</v>
      </c>
      <c r="AM170" s="196">
        <f t="shared" si="413"/>
        <v>74416.917173588299</v>
      </c>
      <c r="AN170" s="627">
        <f t="shared" si="414"/>
        <v>3.6031036379969507E-3</v>
      </c>
      <c r="AO170" s="196">
        <f t="shared" si="415"/>
        <v>35348.035657454442</v>
      </c>
      <c r="AP170" s="589">
        <f t="shared" si="433"/>
        <v>3.6031036379969507E-3</v>
      </c>
      <c r="AQ170" s="196"/>
      <c r="AR170" s="589"/>
      <c r="AS170">
        <v>1</v>
      </c>
      <c r="AT170" s="589">
        <f t="shared" si="434"/>
        <v>1.2919896640826874E-3</v>
      </c>
      <c r="AU170" s="196">
        <v>12</v>
      </c>
      <c r="AV170" s="245">
        <f t="shared" si="416"/>
        <v>1.3634814225656176E-3</v>
      </c>
      <c r="AX170" s="245"/>
      <c r="AY170" s="245"/>
      <c r="AZ170" s="196">
        <v>111</v>
      </c>
      <c r="BA170" s="589">
        <f t="shared" si="447"/>
        <v>4.0672749257997139E-3</v>
      </c>
      <c r="BI170" s="196">
        <v>0</v>
      </c>
      <c r="BK170" s="246">
        <f t="shared" si="448"/>
        <v>0</v>
      </c>
      <c r="BL170" s="246"/>
      <c r="BM170" s="246">
        <f t="shared" si="449"/>
        <v>0</v>
      </c>
      <c r="BN170" s="196">
        <v>1</v>
      </c>
      <c r="BO170" s="196">
        <f t="shared" si="517"/>
        <v>70360.778546117683</v>
      </c>
      <c r="BP170" s="196">
        <f t="shared" si="417"/>
        <v>70360.778546117683</v>
      </c>
      <c r="BQ170" s="248">
        <f t="shared" si="450"/>
        <v>6.5819231805751303E-3</v>
      </c>
      <c r="BR170" s="248"/>
      <c r="BS170" s="248"/>
      <c r="BT170" s="276">
        <v>1</v>
      </c>
      <c r="BU170" s="196">
        <f t="shared" ref="BU170:BU188" si="530">AD170*BT170*0.18*4*1</f>
        <v>133950.45091245897</v>
      </c>
      <c r="BV170" s="264">
        <f t="shared" si="451"/>
        <v>9.2910569984458059E-3</v>
      </c>
      <c r="BW170" s="196">
        <f t="shared" ref="BW170:BW188" si="531">AD170*BT170*0.77*4*1</f>
        <v>573010.26223662996</v>
      </c>
      <c r="BX170" s="247">
        <f t="shared" si="452"/>
        <v>9.2910570821400015E-3</v>
      </c>
      <c r="BY170" s="196">
        <f t="shared" si="492"/>
        <v>706960.7131490889</v>
      </c>
      <c r="BZ170" s="620">
        <v>0</v>
      </c>
      <c r="CA170" s="196">
        <f t="shared" si="518"/>
        <v>284644.70818897523</v>
      </c>
      <c r="CB170" s="196">
        <f t="shared" si="519"/>
        <v>569289.41637795046</v>
      </c>
      <c r="CC170" s="196">
        <f t="shared" si="430"/>
        <v>853934.12456692569</v>
      </c>
      <c r="CD170" s="247">
        <f t="shared" si="418"/>
        <v>3.6031036379969503E-3</v>
      </c>
      <c r="CE170" s="196">
        <f t="shared" si="520"/>
        <v>64686.01776099069</v>
      </c>
      <c r="CF170" s="247">
        <f t="shared" si="419"/>
        <v>2.7933434169201739E-3</v>
      </c>
      <c r="CG170" s="196">
        <f t="shared" si="460"/>
        <v>141392.14262981777</v>
      </c>
      <c r="CH170" s="589">
        <f t="shared" si="435"/>
        <v>3.6031036379969507E-3</v>
      </c>
      <c r="CI170" s="196">
        <f t="shared" si="521"/>
        <v>297848.94448654901</v>
      </c>
      <c r="CJ170" s="248">
        <f t="shared" si="436"/>
        <v>4.8966358913182838E-3</v>
      </c>
      <c r="CK170" s="196">
        <f t="shared" si="522"/>
        <v>311100.30676023359</v>
      </c>
      <c r="CL170" s="589">
        <f t="shared" si="437"/>
        <v>4.4721309002813776E-3</v>
      </c>
      <c r="CM170" s="196">
        <f t="shared" si="523"/>
        <v>30137.896266423995</v>
      </c>
      <c r="CN170" s="589">
        <f t="shared" si="438"/>
        <v>4.3432133586658048E-3</v>
      </c>
      <c r="CO170" s="196">
        <f t="shared" si="524"/>
        <v>2410.9977465881516</v>
      </c>
      <c r="CP170" s="589">
        <f t="shared" si="439"/>
        <v>4.5467703880470401E-3</v>
      </c>
      <c r="CQ170" s="196">
        <f>'Detailed Budget'!$AC$12</f>
        <v>292876014141.44696</v>
      </c>
      <c r="CR170" s="269">
        <f t="shared" si="507"/>
        <v>0</v>
      </c>
      <c r="CS170" s="269">
        <f>'Detailed Budget'!$AC$16</f>
        <v>10488008800.000002</v>
      </c>
      <c r="CT170" s="607">
        <f t="shared" si="461"/>
        <v>0</v>
      </c>
      <c r="CU170" s="269">
        <f>'Detailed Budget'!$AC$24</f>
        <v>30624985696</v>
      </c>
      <c r="CV170" s="269">
        <f t="shared" si="446"/>
        <v>0</v>
      </c>
      <c r="CW170" s="269"/>
      <c r="CX170" s="269">
        <f t="shared" si="431"/>
        <v>0</v>
      </c>
      <c r="CY170" s="196">
        <f>'Detailed Budget'!$AC$97</f>
        <v>74629165494.837845</v>
      </c>
      <c r="CZ170" s="269">
        <f t="shared" si="462"/>
        <v>491203434.31745088</v>
      </c>
      <c r="DA170" s="269">
        <f>'Detailed Budget'!$AC$100</f>
        <v>14925833098.967569</v>
      </c>
      <c r="DB170" s="269">
        <f t="shared" si="463"/>
        <v>98240686.863490179</v>
      </c>
      <c r="DC170" s="269">
        <f t="shared" si="420"/>
        <v>589444121.1809411</v>
      </c>
      <c r="DD170" s="207">
        <v>0</v>
      </c>
      <c r="DE170" s="606">
        <v>0</v>
      </c>
      <c r="DF170" s="269">
        <f>'Detailed Budget'!$AC$147</f>
        <v>5913600671000</v>
      </c>
      <c r="DG170" s="269">
        <f t="shared" si="441"/>
        <v>0</v>
      </c>
      <c r="DH170" s="269">
        <f>'Detailed Budget'!$AC$153</f>
        <v>226428026880.00003</v>
      </c>
      <c r="DI170" s="269"/>
      <c r="DJ170" s="269">
        <f>'Detailed Budget'!$AC$156</f>
        <v>27713070000</v>
      </c>
      <c r="DK170" s="269"/>
      <c r="DL170" s="269"/>
      <c r="DM170" s="196">
        <f>'Detailed Budget'!$AC$178</f>
        <v>5622683761.6229038</v>
      </c>
      <c r="DN170" s="269">
        <f t="shared" si="525"/>
        <v>52240675.313474067</v>
      </c>
      <c r="DO170" s="196">
        <f>'Detailed Budget'!$AC$179</f>
        <v>26827890683.128094</v>
      </c>
      <c r="DP170" s="269">
        <f t="shared" si="526"/>
        <v>249259463.73035502</v>
      </c>
      <c r="DQ170" s="269">
        <f t="shared" si="457"/>
        <v>301500139.04382908</v>
      </c>
      <c r="DR170" s="269">
        <f>'Detailed Budget'!$AC$181</f>
        <v>50888946855.375237</v>
      </c>
      <c r="DS170" s="269">
        <f t="shared" si="527"/>
        <v>415848695.07946026</v>
      </c>
      <c r="DT170" s="269">
        <f t="shared" si="528"/>
        <v>717348834.12328935</v>
      </c>
      <c r="DU170" s="272">
        <f>'Detailed Budget'!$AC$192</f>
        <v>77498869683.252869</v>
      </c>
      <c r="DV170" s="269">
        <f t="shared" si="464"/>
        <v>0</v>
      </c>
      <c r="DW170" s="140">
        <f>'Detailed Budget'!$AC$194</f>
        <v>2684962805.4134097</v>
      </c>
      <c r="DX170" s="269">
        <f t="shared" si="465"/>
        <v>0</v>
      </c>
      <c r="DY170" s="607">
        <f t="shared" si="421"/>
        <v>0</v>
      </c>
      <c r="DZ170" s="196">
        <f>'Detailed Budget'!$AC$198</f>
        <v>18732540018.380611</v>
      </c>
      <c r="EA170" s="269">
        <f t="shared" si="510"/>
        <v>52326417.342537194</v>
      </c>
      <c r="EB170" s="196">
        <f>'Detailed Budget'!$AC$200</f>
        <v>4683135004.5951529</v>
      </c>
      <c r="EC170" s="269">
        <f t="shared" si="467"/>
        <v>13081604.335634299</v>
      </c>
      <c r="ED170" s="269">
        <f t="shared" si="422"/>
        <v>65408021.678171493</v>
      </c>
      <c r="EE170" s="196">
        <f>'Detailed Budget'!$AC$161</f>
        <v>251147290106.36197</v>
      </c>
      <c r="EF170" s="269">
        <f t="shared" si="468"/>
        <v>904909714.65530837</v>
      </c>
      <c r="EG170" s="196">
        <f>'Detailed Budget'!$AC$163</f>
        <v>15696705631.647623</v>
      </c>
      <c r="EH170" s="269">
        <f t="shared" si="469"/>
        <v>56556857.165956773</v>
      </c>
      <c r="EI170" s="269">
        <f t="shared" si="423"/>
        <v>961466571.8212651</v>
      </c>
      <c r="EJ170" s="196">
        <f>'Detailed Budget'!$AC$204</f>
        <v>45012172507.531975</v>
      </c>
      <c r="EK170" s="269">
        <f t="shared" si="470"/>
        <v>220408219.44659117</v>
      </c>
      <c r="EL170" s="201">
        <f>'Detailed Budget'!$AC$206</f>
        <v>11253043126.882994</v>
      </c>
      <c r="EM170" s="269">
        <f t="shared" si="471"/>
        <v>55102054.861647792</v>
      </c>
      <c r="EN170" s="269">
        <f t="shared" si="424"/>
        <v>275510274.30823898</v>
      </c>
      <c r="EO170" s="140">
        <f>'Detailed Budget'!$AC$209</f>
        <v>135789361677.54817</v>
      </c>
      <c r="EP170" s="269">
        <f t="shared" si="472"/>
        <v>607267800.28764713</v>
      </c>
      <c r="EQ170" s="196">
        <f>'Detailed Budget'!$AC$211</f>
        <v>33947340419.387043</v>
      </c>
      <c r="ER170" s="269">
        <f t="shared" si="473"/>
        <v>151816950.07191178</v>
      </c>
      <c r="ES170" s="269">
        <f t="shared" si="425"/>
        <v>759084750.35955894</v>
      </c>
      <c r="ET170" s="196">
        <f>'Detailed Budget'!$AC$214</f>
        <v>22239745544.201103</v>
      </c>
      <c r="EU170" s="269">
        <f t="shared" si="474"/>
        <v>96591959.940902546</v>
      </c>
      <c r="EV170" s="140">
        <f>'Detailed Budget'!$AC$217</f>
        <v>5559936386.0502758</v>
      </c>
      <c r="EW170" s="269">
        <f t="shared" si="475"/>
        <v>24147989.985225637</v>
      </c>
      <c r="EX170" s="269">
        <f t="shared" si="426"/>
        <v>120739949.92612818</v>
      </c>
      <c r="EY170" s="196">
        <f>'Detailed Budget'!$AC$219</f>
        <v>372777004.58170313</v>
      </c>
      <c r="EZ170" s="269">
        <f t="shared" si="476"/>
        <v>1694931.4457769636</v>
      </c>
      <c r="FA170" s="196">
        <f>'Detailed Budget'!$AC$222</f>
        <v>93194251.145425782</v>
      </c>
      <c r="FB170" s="269">
        <f t="shared" si="477"/>
        <v>423732.8614442409</v>
      </c>
      <c r="FC170" s="269">
        <f t="shared" si="427"/>
        <v>2118664.3072212045</v>
      </c>
      <c r="FD170" s="269"/>
      <c r="FE170" s="269">
        <f t="shared" si="428"/>
        <v>1157453638.9011474</v>
      </c>
      <c r="FF170" s="140">
        <f>'Detailed Budget'!$AC$165</f>
        <v>14927760000</v>
      </c>
      <c r="FG170" s="1087">
        <f t="shared" si="442"/>
        <v>1578843379.7776878</v>
      </c>
      <c r="FH170" s="269">
        <f t="shared" si="511"/>
        <v>20353723.440518126</v>
      </c>
      <c r="FJ170" s="140">
        <f>'Detailed Budget'!$AC$235</f>
        <v>3623696172</v>
      </c>
      <c r="FK170" s="269">
        <f t="shared" si="512"/>
        <v>4681778</v>
      </c>
      <c r="FL170" s="269">
        <f t="shared" si="443"/>
        <v>4681778</v>
      </c>
      <c r="FO170" s="607"/>
      <c r="FP170" s="607"/>
      <c r="FQ170" s="607"/>
      <c r="FR170" s="269">
        <f>'Detailed Budget'!$AC$257</f>
        <v>13636439388</v>
      </c>
      <c r="FS170" s="269">
        <f t="shared" si="513"/>
        <v>55463147.999999993</v>
      </c>
      <c r="FT170" s="269">
        <f t="shared" si="444"/>
        <v>55463147.999999993</v>
      </c>
      <c r="FU170" s="269"/>
      <c r="FV170" s="269"/>
      <c r="FW170" s="616"/>
      <c r="FX170" s="140">
        <f>'Detailed Budget'!$AC$278</f>
        <v>1114560000</v>
      </c>
      <c r="FY170" s="269">
        <f t="shared" si="514"/>
        <v>1440000</v>
      </c>
      <c r="FZ170" s="269">
        <f t="shared" si="445"/>
        <v>1440000</v>
      </c>
      <c r="GB170" s="269">
        <f t="shared" si="453"/>
        <v>5151903216.9230204</v>
      </c>
      <c r="GC170" s="887">
        <f t="shared" si="429"/>
        <v>3219939.5105768875</v>
      </c>
      <c r="GD170" s="1078">
        <f t="shared" si="454"/>
        <v>2.890895123826333E-3</v>
      </c>
    </row>
    <row r="171" spans="1:186" hidden="1" outlineLevel="1">
      <c r="A171" s="211" t="s">
        <v>510</v>
      </c>
      <c r="B171" s="212" t="s">
        <v>511</v>
      </c>
      <c r="C171" s="213" t="s">
        <v>215</v>
      </c>
      <c r="D171" s="225" t="s">
        <v>215</v>
      </c>
      <c r="E171" s="213"/>
      <c r="F171" s="213"/>
      <c r="G171" s="213"/>
      <c r="H171" s="213" t="s">
        <v>215</v>
      </c>
      <c r="I171" s="214" t="s">
        <v>215</v>
      </c>
      <c r="J171" s="214"/>
      <c r="K171" s="213" t="s">
        <v>215</v>
      </c>
      <c r="L171" s="213"/>
      <c r="M171" s="214"/>
      <c r="N171" s="213"/>
      <c r="O171" s="214"/>
      <c r="P171" s="213"/>
      <c r="Q171" s="214"/>
      <c r="R171" s="214" t="s">
        <v>215</v>
      </c>
      <c r="S171" s="214"/>
      <c r="T171" s="214"/>
      <c r="U171" s="215">
        <f t="shared" si="515"/>
        <v>6</v>
      </c>
      <c r="V171" s="845" t="s">
        <v>219</v>
      </c>
      <c r="W171" s="216">
        <v>83809</v>
      </c>
      <c r="X171" s="217">
        <v>3.39</v>
      </c>
      <c r="Y171" s="218">
        <f t="shared" si="483"/>
        <v>1.0339</v>
      </c>
      <c r="Z171" s="196">
        <v>19</v>
      </c>
      <c r="AA171" s="218">
        <f t="shared" si="484"/>
        <v>1.8840489025780363</v>
      </c>
      <c r="AB171" s="196">
        <f t="shared" si="485"/>
        <v>157900.25447616263</v>
      </c>
      <c r="AC171" s="227">
        <v>20</v>
      </c>
      <c r="AD171" s="196">
        <f t="shared" si="486"/>
        <v>31580.050895232525</v>
      </c>
      <c r="AE171" s="196">
        <f t="shared" si="487"/>
        <v>30001.048350470897</v>
      </c>
      <c r="AF171" s="196">
        <f t="shared" si="516"/>
        <v>30001.048350470897</v>
      </c>
      <c r="AG171" s="606">
        <f t="shared" si="432"/>
        <v>1.3871167686556824E-3</v>
      </c>
      <c r="AH171" s="196">
        <f t="shared" si="529"/>
        <v>7895.0127238081323</v>
      </c>
      <c r="AI171" s="248">
        <f t="shared" si="409"/>
        <v>6.116146736007261E-4</v>
      </c>
      <c r="AJ171" s="196">
        <f t="shared" si="412"/>
        <v>39475.063619040659</v>
      </c>
      <c r="AK171" s="196">
        <f t="shared" si="455"/>
        <v>6316.0101790465051</v>
      </c>
      <c r="AL171" s="196">
        <f t="shared" si="456"/>
        <v>6316.0101790465051</v>
      </c>
      <c r="AM171" s="196">
        <f t="shared" si="413"/>
        <v>12632.02035809301</v>
      </c>
      <c r="AN171" s="627">
        <f t="shared" si="414"/>
        <v>6.11614673600726E-4</v>
      </c>
      <c r="AO171" s="196">
        <f t="shared" si="415"/>
        <v>6000.2096700941802</v>
      </c>
      <c r="AP171" s="589">
        <f t="shared" si="433"/>
        <v>6.11614673600726E-4</v>
      </c>
      <c r="AQ171" s="196"/>
      <c r="AR171" s="589"/>
      <c r="AS171">
        <v>1</v>
      </c>
      <c r="AT171" s="589">
        <f t="shared" si="434"/>
        <v>1.2919896640826874E-3</v>
      </c>
      <c r="AU171" s="196">
        <v>10</v>
      </c>
      <c r="AV171" s="245">
        <f t="shared" si="416"/>
        <v>1.1362345188046814E-3</v>
      </c>
      <c r="AX171" s="245"/>
      <c r="AY171" s="245"/>
      <c r="AZ171" s="196">
        <v>28</v>
      </c>
      <c r="BA171" s="589">
        <f t="shared" si="447"/>
        <v>1.0259792605620901E-3</v>
      </c>
      <c r="BI171" s="196">
        <v>0</v>
      </c>
      <c r="BK171" s="246">
        <f t="shared" si="448"/>
        <v>0</v>
      </c>
      <c r="BL171" s="246"/>
      <c r="BM171" s="246">
        <f t="shared" si="449"/>
        <v>0</v>
      </c>
      <c r="BN171" s="196">
        <v>1</v>
      </c>
      <c r="BO171" s="196">
        <f t="shared" si="517"/>
        <v>11943.504525087752</v>
      </c>
      <c r="BP171" s="196">
        <f t="shared" si="417"/>
        <v>11943.504525087752</v>
      </c>
      <c r="BQ171" s="248">
        <f t="shared" si="450"/>
        <v>1.1172592304312498E-3</v>
      </c>
      <c r="BR171" s="248"/>
      <c r="BS171" s="248"/>
      <c r="BT171" s="276">
        <v>1</v>
      </c>
      <c r="BU171" s="196">
        <f t="shared" si="530"/>
        <v>22737.636644567418</v>
      </c>
      <c r="BV171" s="264">
        <f t="shared" si="451"/>
        <v>1.5771255463162951E-3</v>
      </c>
      <c r="BW171" s="196">
        <f t="shared" si="531"/>
        <v>97266.556757316182</v>
      </c>
      <c r="BX171" s="247">
        <f t="shared" si="452"/>
        <v>1.5771255605231025E-3</v>
      </c>
      <c r="BY171" s="196">
        <f t="shared" si="492"/>
        <v>120004.1934018836</v>
      </c>
      <c r="BZ171" s="620">
        <v>0</v>
      </c>
      <c r="CA171" s="196">
        <f t="shared" si="518"/>
        <v>48317.477869705763</v>
      </c>
      <c r="CB171" s="196">
        <f t="shared" si="519"/>
        <v>96634.955739411525</v>
      </c>
      <c r="CC171" s="196">
        <f t="shared" si="430"/>
        <v>144952.43360911729</v>
      </c>
      <c r="CD171" s="247">
        <f t="shared" si="418"/>
        <v>6.11614673600726E-4</v>
      </c>
      <c r="CE171" s="196">
        <f t="shared" si="520"/>
        <v>10980.233047477101</v>
      </c>
      <c r="CF171" s="247">
        <f t="shared" si="419"/>
        <v>4.7416061091824048E-4</v>
      </c>
      <c r="CG171" s="196">
        <f t="shared" si="460"/>
        <v>24000.838680376721</v>
      </c>
      <c r="CH171" s="589">
        <f t="shared" si="435"/>
        <v>6.11614673600726E-4</v>
      </c>
      <c r="CI171" s="196">
        <f t="shared" si="521"/>
        <v>50558.85238586511</v>
      </c>
      <c r="CJ171" s="248">
        <f t="shared" si="436"/>
        <v>8.3118740488828712E-4</v>
      </c>
      <c r="CK171" s="196">
        <f t="shared" si="522"/>
        <v>52808.226377308267</v>
      </c>
      <c r="CL171" s="589">
        <f t="shared" si="437"/>
        <v>7.5912911636255012E-4</v>
      </c>
      <c r="CM171" s="196">
        <f t="shared" si="523"/>
        <v>5115.8061049414218</v>
      </c>
      <c r="CN171" s="589">
        <f t="shared" si="438"/>
        <v>7.3724579907322293E-4</v>
      </c>
      <c r="CO171" s="196">
        <f t="shared" si="524"/>
        <v>409.25872469529168</v>
      </c>
      <c r="CP171" s="589">
        <f t="shared" si="439"/>
        <v>7.7179891732694853E-4</v>
      </c>
      <c r="CQ171" s="196">
        <f>'Detailed Budget'!$AC$12</f>
        <v>292876014141.44696</v>
      </c>
      <c r="CR171" s="269">
        <f t="shared" si="507"/>
        <v>0</v>
      </c>
      <c r="CS171" s="269">
        <f>'Detailed Budget'!$AC$16</f>
        <v>10488008800.000002</v>
      </c>
      <c r="CT171" s="607">
        <f t="shared" si="461"/>
        <v>0</v>
      </c>
      <c r="CU171" s="269">
        <f>'Detailed Budget'!$AC$24</f>
        <v>30624985696</v>
      </c>
      <c r="CV171" s="269">
        <f t="shared" si="446"/>
        <v>0</v>
      </c>
      <c r="CW171" s="269"/>
      <c r="CX171" s="269">
        <f t="shared" si="431"/>
        <v>0</v>
      </c>
      <c r="CY171" s="196">
        <f>'Detailed Budget'!$AC$97</f>
        <v>74629165494.837845</v>
      </c>
      <c r="CZ171" s="269">
        <f t="shared" si="462"/>
        <v>83380124.008488908</v>
      </c>
      <c r="DA171" s="269">
        <f>'Detailed Budget'!$AC$100</f>
        <v>14925833098.967569</v>
      </c>
      <c r="DB171" s="269">
        <f t="shared" si="463"/>
        <v>16676024.801697783</v>
      </c>
      <c r="DC171" s="269">
        <f t="shared" si="420"/>
        <v>100056148.81018668</v>
      </c>
      <c r="DD171" s="207">
        <v>0</v>
      </c>
      <c r="DE171" s="606">
        <v>0</v>
      </c>
      <c r="DF171" s="269">
        <f>'Detailed Budget'!$AC$147</f>
        <v>5913600671000</v>
      </c>
      <c r="DG171" s="269">
        <f t="shared" si="441"/>
        <v>0</v>
      </c>
      <c r="DH171" s="269">
        <f>'Detailed Budget'!$AC$153</f>
        <v>226428026880.00003</v>
      </c>
      <c r="DI171" s="269"/>
      <c r="DJ171" s="269">
        <f>'Detailed Budget'!$AC$156</f>
        <v>27713070000</v>
      </c>
      <c r="DK171" s="269"/>
      <c r="DL171" s="269"/>
      <c r="DM171" s="196">
        <f>'Detailed Budget'!$AC$178</f>
        <v>5622683761.6229038</v>
      </c>
      <c r="DN171" s="269">
        <f t="shared" si="525"/>
        <v>8867678.199313283</v>
      </c>
      <c r="DO171" s="196">
        <f>'Detailed Budget'!$AC$179</f>
        <v>26827890683.128094</v>
      </c>
      <c r="DP171" s="269">
        <f t="shared" si="526"/>
        <v>42310952.131280914</v>
      </c>
      <c r="DQ171" s="269">
        <f t="shared" si="457"/>
        <v>51178630.330594197</v>
      </c>
      <c r="DR171" s="269">
        <f>'Detailed Budget'!$AC$181</f>
        <v>50888946855.375237</v>
      </c>
      <c r="DS171" s="269">
        <f t="shared" si="527"/>
        <v>70588911.52231884</v>
      </c>
      <c r="DT171" s="269">
        <f t="shared" si="528"/>
        <v>121767541.85291304</v>
      </c>
      <c r="DU171" s="272">
        <f>'Detailed Budget'!$AC$192</f>
        <v>77498869683.252869</v>
      </c>
      <c r="DV171" s="269">
        <f t="shared" si="464"/>
        <v>0</v>
      </c>
      <c r="DW171" s="140">
        <f>'Detailed Budget'!$AC$194</f>
        <v>2684962805.4134097</v>
      </c>
      <c r="DX171" s="269">
        <f t="shared" si="465"/>
        <v>0</v>
      </c>
      <c r="DY171" s="607">
        <f t="shared" si="421"/>
        <v>0</v>
      </c>
      <c r="DZ171" s="196">
        <f>'Detailed Budget'!$AC$198</f>
        <v>18732540018.380611</v>
      </c>
      <c r="EA171" s="269">
        <f t="shared" si="510"/>
        <v>8882232.619165739</v>
      </c>
      <c r="EB171" s="196">
        <f>'Detailed Budget'!$AC$200</f>
        <v>4683135004.5951529</v>
      </c>
      <c r="EC171" s="269">
        <f t="shared" si="467"/>
        <v>2220558.1547914348</v>
      </c>
      <c r="ED171" s="269">
        <f t="shared" si="422"/>
        <v>11102790.773957174</v>
      </c>
      <c r="EE171" s="196">
        <f>'Detailed Budget'!$AC$161</f>
        <v>251147290106.36197</v>
      </c>
      <c r="EF171" s="269">
        <f t="shared" si="468"/>
        <v>153605367.86410943</v>
      </c>
      <c r="EG171" s="196">
        <f>'Detailed Budget'!$AC$163</f>
        <v>15696705631.647623</v>
      </c>
      <c r="EH171" s="269">
        <f t="shared" si="469"/>
        <v>9600335.4915068392</v>
      </c>
      <c r="EI171" s="269">
        <f t="shared" si="423"/>
        <v>163205703.35561627</v>
      </c>
      <c r="EJ171" s="196">
        <f>'Detailed Budget'!$AC$204</f>
        <v>45012172507.531975</v>
      </c>
      <c r="EK171" s="269">
        <f t="shared" si="470"/>
        <v>37413550.854919404</v>
      </c>
      <c r="EL171" s="201">
        <f>'Detailed Budget'!$AC$206</f>
        <v>11253043126.882994</v>
      </c>
      <c r="EM171" s="269">
        <f t="shared" si="471"/>
        <v>9353387.7137298509</v>
      </c>
      <c r="EN171" s="269">
        <f t="shared" si="424"/>
        <v>46766938.568649255</v>
      </c>
      <c r="EO171" s="140">
        <f>'Detailed Budget'!$AC$209</f>
        <v>135789361677.54817</v>
      </c>
      <c r="EP171" s="269">
        <f t="shared" si="472"/>
        <v>103081658.14171188</v>
      </c>
      <c r="EQ171" s="196">
        <f>'Detailed Budget'!$AC$211</f>
        <v>33947340419.387043</v>
      </c>
      <c r="ER171" s="269">
        <f t="shared" si="473"/>
        <v>25770414.535427969</v>
      </c>
      <c r="ES171" s="269">
        <f t="shared" si="425"/>
        <v>128852072.67713985</v>
      </c>
      <c r="ET171" s="196">
        <f>'Detailed Budget'!$AC$214</f>
        <v>22239745544.201103</v>
      </c>
      <c r="EU171" s="269">
        <f t="shared" si="474"/>
        <v>16396158.974919692</v>
      </c>
      <c r="EV171" s="140">
        <f>'Detailed Budget'!$AC$217</f>
        <v>5559936386.0502758</v>
      </c>
      <c r="EW171" s="269">
        <f t="shared" si="475"/>
        <v>4099039.7437299229</v>
      </c>
      <c r="EX171" s="269">
        <f t="shared" si="426"/>
        <v>20495198.718649615</v>
      </c>
      <c r="EY171" s="196">
        <f>'Detailed Budget'!$AC$219</f>
        <v>372777004.58170313</v>
      </c>
      <c r="EZ171" s="269">
        <f t="shared" si="476"/>
        <v>287708.8885405414</v>
      </c>
      <c r="FA171" s="196">
        <f>'Detailed Budget'!$AC$222</f>
        <v>93194251.145425782</v>
      </c>
      <c r="FB171" s="269">
        <f t="shared" si="477"/>
        <v>71927.222135135351</v>
      </c>
      <c r="FC171" s="269">
        <f t="shared" si="427"/>
        <v>359636.11067567673</v>
      </c>
      <c r="FD171" s="269"/>
      <c r="FE171" s="269">
        <f t="shared" si="428"/>
        <v>196473846.0751144</v>
      </c>
      <c r="FF171" s="140">
        <f>'Detailed Budget'!$AC$165</f>
        <v>14927760000</v>
      </c>
      <c r="FG171" s="1087">
        <f t="shared" si="442"/>
        <v>268003331.40742552</v>
      </c>
      <c r="FH171" s="269">
        <f t="shared" si="511"/>
        <v>16961436.200431772</v>
      </c>
      <c r="FJ171" s="140">
        <f>'Detailed Budget'!$AC$235</f>
        <v>3623696172</v>
      </c>
      <c r="FK171" s="269">
        <f t="shared" si="512"/>
        <v>4681778</v>
      </c>
      <c r="FL171" s="269">
        <f t="shared" si="443"/>
        <v>4681778</v>
      </c>
      <c r="FO171" s="607"/>
      <c r="FP171" s="607"/>
      <c r="FQ171" s="607"/>
      <c r="FR171" s="269">
        <f>'Detailed Budget'!$AC$257</f>
        <v>13636439388</v>
      </c>
      <c r="FS171" s="269">
        <f t="shared" si="513"/>
        <v>13990704</v>
      </c>
      <c r="FT171" s="269">
        <f t="shared" si="444"/>
        <v>13990704</v>
      </c>
      <c r="FU171" s="269"/>
      <c r="FV171" s="269"/>
      <c r="FW171" s="616"/>
      <c r="FX171" s="140">
        <f>'Detailed Budget'!$AC$278</f>
        <v>1114560000</v>
      </c>
      <c r="FY171" s="269">
        <f t="shared" si="514"/>
        <v>1440000</v>
      </c>
      <c r="FZ171" s="269">
        <f t="shared" si="445"/>
        <v>1440000</v>
      </c>
      <c r="GB171" s="269">
        <f t="shared" si="453"/>
        <v>897683280.47564483</v>
      </c>
      <c r="GC171" s="887">
        <f t="shared" si="429"/>
        <v>561052.05029727798</v>
      </c>
      <c r="GD171" s="1078">
        <f t="shared" si="454"/>
        <v>5.0371835591612665E-4</v>
      </c>
    </row>
    <row r="172" spans="1:186" hidden="1" outlineLevel="1">
      <c r="A172" s="211" t="s">
        <v>512</v>
      </c>
      <c r="B172" s="212" t="s">
        <v>513</v>
      </c>
      <c r="C172" s="213" t="s">
        <v>215</v>
      </c>
      <c r="D172" s="225" t="s">
        <v>215</v>
      </c>
      <c r="E172" s="213"/>
      <c r="F172" s="213"/>
      <c r="G172" s="213"/>
      <c r="H172" s="213" t="s">
        <v>215</v>
      </c>
      <c r="I172" s="214" t="s">
        <v>215</v>
      </c>
      <c r="J172" s="214"/>
      <c r="K172" s="213" t="s">
        <v>215</v>
      </c>
      <c r="L172" s="213"/>
      <c r="M172" s="214"/>
      <c r="N172" s="213"/>
      <c r="O172" s="214"/>
      <c r="P172" s="213"/>
      <c r="Q172" s="214"/>
      <c r="R172" s="214" t="s">
        <v>215</v>
      </c>
      <c r="S172" s="214"/>
      <c r="T172" s="214"/>
      <c r="U172" s="215">
        <f t="shared" si="515"/>
        <v>6</v>
      </c>
      <c r="V172" s="845" t="s">
        <v>219</v>
      </c>
      <c r="W172" s="216">
        <v>150212</v>
      </c>
      <c r="X172" s="217">
        <v>3.39</v>
      </c>
      <c r="Y172" s="218">
        <f t="shared" si="483"/>
        <v>1.0339</v>
      </c>
      <c r="Z172" s="196">
        <v>19</v>
      </c>
      <c r="AA172" s="218">
        <f t="shared" si="484"/>
        <v>1.8840489025780363</v>
      </c>
      <c r="AB172" s="196">
        <f t="shared" si="485"/>
        <v>283006.75375405198</v>
      </c>
      <c r="AC172" s="227">
        <v>20</v>
      </c>
      <c r="AD172" s="196">
        <f t="shared" si="486"/>
        <v>56601.350750810394</v>
      </c>
      <c r="AE172" s="196">
        <f t="shared" si="487"/>
        <v>53771.283213269875</v>
      </c>
      <c r="AF172" s="196">
        <f t="shared" si="516"/>
        <v>53771.283213269875</v>
      </c>
      <c r="AG172" s="606">
        <f t="shared" si="432"/>
        <v>2.4861480754251619E-3</v>
      </c>
      <c r="AH172" s="196">
        <f t="shared" si="529"/>
        <v>14150.3376877026</v>
      </c>
      <c r="AI172" s="248">
        <f t="shared" si="409"/>
        <v>1.0962052208105604E-3</v>
      </c>
      <c r="AJ172" s="196">
        <f t="shared" si="412"/>
        <v>70751.688438512996</v>
      </c>
      <c r="AK172" s="196">
        <f t="shared" si="455"/>
        <v>11320.27015016208</v>
      </c>
      <c r="AL172" s="196">
        <f t="shared" si="456"/>
        <v>11320.27015016208</v>
      </c>
      <c r="AM172" s="196">
        <f t="shared" si="413"/>
        <v>22640.540300324159</v>
      </c>
      <c r="AN172" s="627">
        <f t="shared" si="414"/>
        <v>1.0962052208105604E-3</v>
      </c>
      <c r="AO172" s="196">
        <f t="shared" si="415"/>
        <v>10754.256642653974</v>
      </c>
      <c r="AP172" s="589">
        <f t="shared" si="433"/>
        <v>1.0962052208105604E-3</v>
      </c>
      <c r="AQ172" s="196"/>
      <c r="AR172" s="589"/>
      <c r="AS172">
        <v>1</v>
      </c>
      <c r="AT172" s="589">
        <f t="shared" si="434"/>
        <v>1.2919896640826874E-3</v>
      </c>
      <c r="AU172" s="196">
        <v>10</v>
      </c>
      <c r="AV172" s="245">
        <f t="shared" si="416"/>
        <v>1.1362345188046814E-3</v>
      </c>
      <c r="AX172" s="245"/>
      <c r="AY172" s="245"/>
      <c r="AZ172" s="196">
        <v>44</v>
      </c>
      <c r="BA172" s="589">
        <f t="shared" si="447"/>
        <v>1.6122531237404273E-3</v>
      </c>
      <c r="BI172" s="196">
        <v>0</v>
      </c>
      <c r="BK172" s="246">
        <f t="shared" si="448"/>
        <v>0</v>
      </c>
      <c r="BL172" s="246"/>
      <c r="BM172" s="246">
        <f t="shared" si="449"/>
        <v>0</v>
      </c>
      <c r="BN172" s="196">
        <v>1</v>
      </c>
      <c r="BO172" s="196">
        <f t="shared" si="517"/>
        <v>21406.504095293843</v>
      </c>
      <c r="BP172" s="196">
        <f t="shared" si="417"/>
        <v>21406.504095293843</v>
      </c>
      <c r="BQ172" s="248">
        <f t="shared" si="450"/>
        <v>2.0024787734197872E-3</v>
      </c>
      <c r="BR172" s="248"/>
      <c r="BS172" s="248"/>
      <c r="BT172" s="276">
        <v>1</v>
      </c>
      <c r="BU172" s="196">
        <f t="shared" si="530"/>
        <v>40752.972540583483</v>
      </c>
      <c r="BV172" s="264">
        <f t="shared" si="451"/>
        <v>2.826703367934987E-3</v>
      </c>
      <c r="BW172" s="196">
        <f t="shared" si="531"/>
        <v>174332.16031249601</v>
      </c>
      <c r="BX172" s="247">
        <f t="shared" si="452"/>
        <v>2.8267033933980393E-3</v>
      </c>
      <c r="BY172" s="196">
        <f t="shared" si="492"/>
        <v>215085.1328530795</v>
      </c>
      <c r="BZ172" s="620">
        <v>0</v>
      </c>
      <c r="CA172" s="196">
        <f t="shared" si="518"/>
        <v>86600.066648739914</v>
      </c>
      <c r="CB172" s="196">
        <f t="shared" si="519"/>
        <v>173200.13329747983</v>
      </c>
      <c r="CC172" s="196">
        <f t="shared" si="430"/>
        <v>259800.19994621974</v>
      </c>
      <c r="CD172" s="247">
        <f t="shared" si="418"/>
        <v>1.0962052208105604E-3</v>
      </c>
      <c r="CE172" s="196">
        <f t="shared" si="520"/>
        <v>19680.019646191104</v>
      </c>
      <c r="CF172" s="247">
        <f t="shared" si="419"/>
        <v>8.4984445211434021E-4</v>
      </c>
      <c r="CG172" s="196">
        <f t="shared" si="460"/>
        <v>43017.026570615897</v>
      </c>
      <c r="CH172" s="589">
        <f t="shared" si="435"/>
        <v>1.0962052208105604E-3</v>
      </c>
      <c r="CI172" s="196">
        <f t="shared" si="521"/>
        <v>90617.312395871195</v>
      </c>
      <c r="CJ172" s="248">
        <f t="shared" si="436"/>
        <v>1.4897483857709717E-3</v>
      </c>
      <c r="CK172" s="196">
        <f t="shared" si="522"/>
        <v>94648.895710344106</v>
      </c>
      <c r="CL172" s="589">
        <f t="shared" si="437"/>
        <v>1.3605973442834464E-3</v>
      </c>
      <c r="CM172" s="196">
        <f t="shared" si="523"/>
        <v>9169.1282157699152</v>
      </c>
      <c r="CN172" s="589">
        <f t="shared" si="438"/>
        <v>1.3213755798349457E-3</v>
      </c>
      <c r="CO172" s="196">
        <f t="shared" si="524"/>
        <v>733.51992690437964</v>
      </c>
      <c r="CP172" s="589">
        <f t="shared" si="439"/>
        <v>1.3833055992735338E-3</v>
      </c>
      <c r="CQ172" s="196">
        <f>'Detailed Budget'!$AC$12</f>
        <v>292876014141.44696</v>
      </c>
      <c r="CR172" s="269">
        <f t="shared" si="507"/>
        <v>0</v>
      </c>
      <c r="CS172" s="269">
        <f>'Detailed Budget'!$AC$16</f>
        <v>10488008800.000002</v>
      </c>
      <c r="CT172" s="607">
        <f t="shared" si="461"/>
        <v>0</v>
      </c>
      <c r="CU172" s="269">
        <f>'Detailed Budget'!$AC$24</f>
        <v>30624985696</v>
      </c>
      <c r="CV172" s="269">
        <f t="shared" si="446"/>
        <v>0</v>
      </c>
      <c r="CW172" s="269"/>
      <c r="CX172" s="269">
        <f t="shared" si="431"/>
        <v>0</v>
      </c>
      <c r="CY172" s="196">
        <f>'Detailed Budget'!$AC$97</f>
        <v>74629165494.837845</v>
      </c>
      <c r="CZ172" s="269">
        <f t="shared" si="462"/>
        <v>149443319.78144521</v>
      </c>
      <c r="DA172" s="269">
        <f>'Detailed Budget'!$AC$100</f>
        <v>14925833098.967569</v>
      </c>
      <c r="DB172" s="269">
        <f t="shared" si="463"/>
        <v>29888663.956289038</v>
      </c>
      <c r="DC172" s="269">
        <f t="shared" si="420"/>
        <v>179331983.73773426</v>
      </c>
      <c r="DD172" s="207">
        <v>0</v>
      </c>
      <c r="DE172" s="606">
        <v>0</v>
      </c>
      <c r="DF172" s="269">
        <f>'Detailed Budget'!$AC$147</f>
        <v>5913600671000</v>
      </c>
      <c r="DG172" s="269">
        <f t="shared" si="441"/>
        <v>0</v>
      </c>
      <c r="DH172" s="269">
        <f>'Detailed Budget'!$AC$153</f>
        <v>226428026880.00003</v>
      </c>
      <c r="DI172" s="269"/>
      <c r="DJ172" s="269">
        <f>'Detailed Budget'!$AC$156</f>
        <v>27713070000</v>
      </c>
      <c r="DK172" s="269"/>
      <c r="DL172" s="269"/>
      <c r="DM172" s="196">
        <f>'Detailed Budget'!$AC$178</f>
        <v>5622683761.6229038</v>
      </c>
      <c r="DN172" s="269">
        <f t="shared" si="525"/>
        <v>15893659.125812825</v>
      </c>
      <c r="DO172" s="196">
        <f>'Detailed Budget'!$AC$179</f>
        <v>26827890683.128094</v>
      </c>
      <c r="DP172" s="269">
        <f t="shared" si="526"/>
        <v>75834489.631709829</v>
      </c>
      <c r="DQ172" s="269">
        <f t="shared" si="457"/>
        <v>91728148.757522658</v>
      </c>
      <c r="DR172" s="269">
        <f>'Detailed Budget'!$AC$181</f>
        <v>50888946855.375237</v>
      </c>
      <c r="DS172" s="269">
        <f t="shared" si="527"/>
        <v>126517457.28490448</v>
      </c>
      <c r="DT172" s="269">
        <f t="shared" si="528"/>
        <v>218245606.04242712</v>
      </c>
      <c r="DU172" s="272">
        <f>'Detailed Budget'!$AC$192</f>
        <v>77498869683.252869</v>
      </c>
      <c r="DV172" s="269">
        <f t="shared" si="464"/>
        <v>0</v>
      </c>
      <c r="DW172" s="140">
        <f>'Detailed Budget'!$AC$194</f>
        <v>2684962805.4134097</v>
      </c>
      <c r="DX172" s="269">
        <f t="shared" si="465"/>
        <v>0</v>
      </c>
      <c r="DY172" s="607">
        <f t="shared" si="421"/>
        <v>0</v>
      </c>
      <c r="DZ172" s="196">
        <f>'Detailed Budget'!$AC$198</f>
        <v>18732540018.380611</v>
      </c>
      <c r="EA172" s="269">
        <f t="shared" si="510"/>
        <v>15919745.208630623</v>
      </c>
      <c r="EB172" s="196">
        <f>'Detailed Budget'!$AC$200</f>
        <v>4683135004.5951529</v>
      </c>
      <c r="EC172" s="269">
        <f t="shared" si="467"/>
        <v>3979936.3021576558</v>
      </c>
      <c r="ED172" s="269">
        <f t="shared" si="422"/>
        <v>19899681.510788281</v>
      </c>
      <c r="EE172" s="196">
        <f>'Detailed Budget'!$AC$161</f>
        <v>251147290106.36197</v>
      </c>
      <c r="EF172" s="269">
        <f t="shared" si="468"/>
        <v>275308970.60701841</v>
      </c>
      <c r="EG172" s="196">
        <f>'Detailed Budget'!$AC$163</f>
        <v>15696705631.647623</v>
      </c>
      <c r="EH172" s="269">
        <f t="shared" si="469"/>
        <v>17206810.662938651</v>
      </c>
      <c r="EI172" s="269">
        <f t="shared" si="423"/>
        <v>292515781.26995707</v>
      </c>
      <c r="EJ172" s="196">
        <f>'Detailed Budget'!$AC$204</f>
        <v>45012172507.531975</v>
      </c>
      <c r="EK172" s="269">
        <f t="shared" si="470"/>
        <v>67056811.333140276</v>
      </c>
      <c r="EL172" s="201">
        <f>'Detailed Budget'!$AC$206</f>
        <v>11253043126.882994</v>
      </c>
      <c r="EM172" s="269">
        <f t="shared" si="471"/>
        <v>16764202.833285069</v>
      </c>
      <c r="EN172" s="269">
        <f t="shared" si="424"/>
        <v>83821014.166425347</v>
      </c>
      <c r="EO172" s="140">
        <f>'Detailed Budget'!$AC$209</f>
        <v>135789361677.54817</v>
      </c>
      <c r="EP172" s="269">
        <f t="shared" si="472"/>
        <v>184754644.88041642</v>
      </c>
      <c r="EQ172" s="196">
        <f>'Detailed Budget'!$AC$211</f>
        <v>33947340419.387043</v>
      </c>
      <c r="ER172" s="269">
        <f t="shared" si="473"/>
        <v>46188661.220104106</v>
      </c>
      <c r="ES172" s="269">
        <f t="shared" si="425"/>
        <v>230943306.10052052</v>
      </c>
      <c r="ET172" s="196">
        <f>'Detailed Budget'!$AC$214</f>
        <v>22239745544.201103</v>
      </c>
      <c r="EU172" s="269">
        <f t="shared" si="474"/>
        <v>29387056.663850386</v>
      </c>
      <c r="EV172" s="140">
        <f>'Detailed Budget'!$AC$217</f>
        <v>5559936386.0502758</v>
      </c>
      <c r="EW172" s="269">
        <f t="shared" si="475"/>
        <v>7346764.1659625964</v>
      </c>
      <c r="EX172" s="269">
        <f t="shared" si="426"/>
        <v>36733820.829812981</v>
      </c>
      <c r="EY172" s="196">
        <f>'Detailed Budget'!$AC$219</f>
        <v>372777004.58170313</v>
      </c>
      <c r="EZ172" s="269">
        <f t="shared" si="476"/>
        <v>515664.51771828573</v>
      </c>
      <c r="FA172" s="196">
        <f>'Detailed Budget'!$AC$222</f>
        <v>93194251.145425782</v>
      </c>
      <c r="FB172" s="269">
        <f t="shared" si="477"/>
        <v>128916.12942957143</v>
      </c>
      <c r="FC172" s="269">
        <f t="shared" si="427"/>
        <v>644580.64714785712</v>
      </c>
      <c r="FD172" s="269"/>
      <c r="FE172" s="269">
        <f t="shared" si="428"/>
        <v>352142721.74390668</v>
      </c>
      <c r="FF172" s="140">
        <f>'Detailed Budget'!$AC$165</f>
        <v>14927760000</v>
      </c>
      <c r="FG172" s="1087">
        <f t="shared" si="442"/>
        <v>480345982.14239752</v>
      </c>
      <c r="FH172" s="269">
        <f t="shared" si="511"/>
        <v>16961436.200431772</v>
      </c>
      <c r="FJ172" s="140">
        <f>'Detailed Budget'!$AC$235</f>
        <v>3623696172</v>
      </c>
      <c r="FK172" s="269">
        <f t="shared" si="512"/>
        <v>4681778</v>
      </c>
      <c r="FL172" s="269">
        <f t="shared" si="443"/>
        <v>4681778</v>
      </c>
      <c r="FO172" s="607"/>
      <c r="FP172" s="607"/>
      <c r="FQ172" s="607"/>
      <c r="FR172" s="269">
        <f>'Detailed Budget'!$AC$257</f>
        <v>13636439388</v>
      </c>
      <c r="FS172" s="269">
        <f t="shared" si="513"/>
        <v>21985392</v>
      </c>
      <c r="FT172" s="269">
        <f t="shared" si="444"/>
        <v>21985392</v>
      </c>
      <c r="FU172" s="269"/>
      <c r="FV172" s="269"/>
      <c r="FW172" s="616"/>
      <c r="FX172" s="140">
        <f>'Detailed Budget'!$AC$278</f>
        <v>1114560000</v>
      </c>
      <c r="FY172" s="269">
        <f t="shared" si="514"/>
        <v>1440000</v>
      </c>
      <c r="FZ172" s="269">
        <f t="shared" si="445"/>
        <v>1440000</v>
      </c>
      <c r="GB172" s="269">
        <f t="shared" si="453"/>
        <v>1587550362.6476426</v>
      </c>
      <c r="GC172" s="887">
        <f t="shared" si="429"/>
        <v>992218.9766547766</v>
      </c>
      <c r="GD172" s="1078">
        <f t="shared" si="454"/>
        <v>8.9082449901841233E-4</v>
      </c>
    </row>
    <row r="173" spans="1:186" hidden="1" outlineLevel="1">
      <c r="A173" s="211" t="s">
        <v>514</v>
      </c>
      <c r="B173" s="212" t="s">
        <v>515</v>
      </c>
      <c r="C173" s="213" t="s">
        <v>215</v>
      </c>
      <c r="D173" s="225" t="s">
        <v>215</v>
      </c>
      <c r="E173" s="213"/>
      <c r="F173" s="213"/>
      <c r="G173" s="213"/>
      <c r="H173" s="213" t="s">
        <v>215</v>
      </c>
      <c r="I173" s="214" t="s">
        <v>215</v>
      </c>
      <c r="J173" s="214"/>
      <c r="K173" s="213" t="s">
        <v>215</v>
      </c>
      <c r="L173" s="213"/>
      <c r="M173" s="214"/>
      <c r="N173" s="213"/>
      <c r="O173" s="214"/>
      <c r="P173" s="213"/>
      <c r="Q173" s="214"/>
      <c r="R173" s="214" t="s">
        <v>215</v>
      </c>
      <c r="S173" s="214"/>
      <c r="T173" s="214"/>
      <c r="U173" s="215">
        <f t="shared" si="515"/>
        <v>6</v>
      </c>
      <c r="V173" s="845" t="s">
        <v>219</v>
      </c>
      <c r="W173" s="216">
        <v>249946</v>
      </c>
      <c r="X173" s="217">
        <v>3.39</v>
      </c>
      <c r="Y173" s="218">
        <f t="shared" si="483"/>
        <v>1.0339</v>
      </c>
      <c r="Z173" s="196">
        <v>19</v>
      </c>
      <c r="AA173" s="218">
        <f t="shared" si="484"/>
        <v>1.8840489025780363</v>
      </c>
      <c r="AB173" s="196">
        <f t="shared" si="485"/>
        <v>470910.48700376984</v>
      </c>
      <c r="AC173" s="227">
        <v>20</v>
      </c>
      <c r="AD173" s="196">
        <f t="shared" si="486"/>
        <v>94182.097400753963</v>
      </c>
      <c r="AE173" s="196">
        <f t="shared" si="487"/>
        <v>89472.992530716263</v>
      </c>
      <c r="AF173" s="196">
        <f t="shared" si="516"/>
        <v>89472.992530716263</v>
      </c>
      <c r="AG173" s="606">
        <f t="shared" si="432"/>
        <v>4.1368383808232196E-3</v>
      </c>
      <c r="AH173" s="196">
        <f t="shared" si="529"/>
        <v>23545.524350188494</v>
      </c>
      <c r="AI173" s="248">
        <f t="shared" si="409"/>
        <v>1.8240360964551191E-3</v>
      </c>
      <c r="AJ173" s="196">
        <f t="shared" si="412"/>
        <v>117727.62175094246</v>
      </c>
      <c r="AK173" s="196">
        <f t="shared" si="455"/>
        <v>18836.419480150795</v>
      </c>
      <c r="AL173" s="196">
        <f t="shared" si="456"/>
        <v>18836.419480150795</v>
      </c>
      <c r="AM173" s="196">
        <f t="shared" si="413"/>
        <v>37672.838960301589</v>
      </c>
      <c r="AN173" s="627">
        <f t="shared" si="414"/>
        <v>1.8240360964551191E-3</v>
      </c>
      <c r="AO173" s="196">
        <f t="shared" si="415"/>
        <v>17894.598506143255</v>
      </c>
      <c r="AP173" s="589">
        <f t="shared" si="433"/>
        <v>1.8240360964551191E-3</v>
      </c>
      <c r="AQ173" s="196"/>
      <c r="AR173" s="589"/>
      <c r="AS173">
        <v>1</v>
      </c>
      <c r="AT173" s="589">
        <f t="shared" si="434"/>
        <v>1.2919896640826874E-3</v>
      </c>
      <c r="AU173" s="196">
        <v>11</v>
      </c>
      <c r="AV173" s="245">
        <f t="shared" si="416"/>
        <v>1.2498579706851495E-3</v>
      </c>
      <c r="AX173" s="245"/>
      <c r="AY173" s="245"/>
      <c r="AZ173" s="196">
        <v>64</v>
      </c>
      <c r="BA173" s="589">
        <f t="shared" si="447"/>
        <v>2.3450954527133487E-3</v>
      </c>
      <c r="BI173" s="196">
        <v>0</v>
      </c>
      <c r="BK173" s="246">
        <f t="shared" si="448"/>
        <v>0</v>
      </c>
      <c r="BL173" s="246"/>
      <c r="BM173" s="246">
        <f t="shared" si="449"/>
        <v>0</v>
      </c>
      <c r="BN173" s="196">
        <v>1</v>
      </c>
      <c r="BO173" s="196">
        <f t="shared" si="517"/>
        <v>35619.458316261778</v>
      </c>
      <c r="BP173" s="196">
        <f t="shared" si="417"/>
        <v>35619.458316261778</v>
      </c>
      <c r="BQ173" s="248">
        <f t="shared" si="450"/>
        <v>3.3320344546453147E-3</v>
      </c>
      <c r="BR173" s="248"/>
      <c r="BS173" s="248"/>
      <c r="BT173" s="276">
        <v>1</v>
      </c>
      <c r="BU173" s="196">
        <f t="shared" si="530"/>
        <v>67811.110128542845</v>
      </c>
      <c r="BV173" s="264">
        <f t="shared" si="451"/>
        <v>4.7035070433911952E-3</v>
      </c>
      <c r="BW173" s="196">
        <f t="shared" si="531"/>
        <v>290080.85999432224</v>
      </c>
      <c r="BX173" s="247">
        <f t="shared" si="452"/>
        <v>4.7035070857605679E-3</v>
      </c>
      <c r="BY173" s="196">
        <f t="shared" si="492"/>
        <v>357891.97012286505</v>
      </c>
      <c r="BZ173" s="620">
        <v>0</v>
      </c>
      <c r="CA173" s="196">
        <f t="shared" si="518"/>
        <v>144098.60902315355</v>
      </c>
      <c r="CB173" s="196">
        <f t="shared" si="519"/>
        <v>288197.2180463071</v>
      </c>
      <c r="CC173" s="196">
        <f t="shared" si="430"/>
        <v>432295.82706946065</v>
      </c>
      <c r="CD173" s="247">
        <f t="shared" si="418"/>
        <v>1.8240360964551186E-3</v>
      </c>
      <c r="CE173" s="196">
        <f t="shared" si="520"/>
        <v>32746.665981991333</v>
      </c>
      <c r="CF173" s="247">
        <f t="shared" si="419"/>
        <v>1.4141028774543373E-3</v>
      </c>
      <c r="CG173" s="196">
        <f t="shared" si="460"/>
        <v>71578.394024573019</v>
      </c>
      <c r="CH173" s="589">
        <f t="shared" si="435"/>
        <v>1.8240360964551191E-3</v>
      </c>
      <c r="CI173" s="196">
        <f t="shared" si="521"/>
        <v>150783.12494406855</v>
      </c>
      <c r="CJ173" s="248">
        <f t="shared" si="436"/>
        <v>2.4788741913423116E-3</v>
      </c>
      <c r="CK173" s="196">
        <f t="shared" si="522"/>
        <v>157491.49793104193</v>
      </c>
      <c r="CL173" s="589">
        <f t="shared" si="437"/>
        <v>2.2639726773777753E-3</v>
      </c>
      <c r="CM173" s="196">
        <f t="shared" si="523"/>
        <v>15257.016223862458</v>
      </c>
      <c r="CN173" s="589">
        <f t="shared" si="438"/>
        <v>2.1987094285238554E-3</v>
      </c>
      <c r="CO173" s="196">
        <f t="shared" si="524"/>
        <v>1220.5441086600408</v>
      </c>
      <c r="CP173" s="589">
        <f t="shared" si="439"/>
        <v>2.3017581905308672E-3</v>
      </c>
      <c r="CQ173" s="196">
        <f>'Detailed Budget'!$AC$12</f>
        <v>292876014141.44696</v>
      </c>
      <c r="CR173" s="269">
        <f t="shared" si="507"/>
        <v>0</v>
      </c>
      <c r="CS173" s="269">
        <f>'Detailed Budget'!$AC$16</f>
        <v>10488008800.000002</v>
      </c>
      <c r="CT173" s="607">
        <f t="shared" si="461"/>
        <v>0</v>
      </c>
      <c r="CU173" s="269">
        <f>'Detailed Budget'!$AC$24</f>
        <v>30624985696</v>
      </c>
      <c r="CV173" s="269">
        <f t="shared" si="446"/>
        <v>0</v>
      </c>
      <c r="CW173" s="269"/>
      <c r="CX173" s="269">
        <f t="shared" si="431"/>
        <v>0</v>
      </c>
      <c r="CY173" s="196">
        <f>'Detailed Budget'!$AC$97</f>
        <v>74629165494.837845</v>
      </c>
      <c r="CZ173" s="269">
        <f t="shared" si="462"/>
        <v>248666950.75022694</v>
      </c>
      <c r="DA173" s="269">
        <f>'Detailed Budget'!$AC$100</f>
        <v>14925833098.967569</v>
      </c>
      <c r="DB173" s="269">
        <f t="shared" si="463"/>
        <v>49733390.150045395</v>
      </c>
      <c r="DC173" s="269">
        <f t="shared" si="420"/>
        <v>298400340.90027237</v>
      </c>
      <c r="DD173" s="207">
        <v>0</v>
      </c>
      <c r="DE173" s="606">
        <v>0</v>
      </c>
      <c r="DF173" s="269">
        <f>'Detailed Budget'!$AC$147</f>
        <v>5913600671000</v>
      </c>
      <c r="DG173" s="269">
        <f t="shared" si="441"/>
        <v>0</v>
      </c>
      <c r="DH173" s="269">
        <f>'Detailed Budget'!$AC$153</f>
        <v>226428026880.00003</v>
      </c>
      <c r="DI173" s="269"/>
      <c r="DJ173" s="269">
        <f>'Detailed Budget'!$AC$156</f>
        <v>27713070000</v>
      </c>
      <c r="DK173" s="269"/>
      <c r="DL173" s="269"/>
      <c r="DM173" s="196">
        <f>'Detailed Budget'!$AC$178</f>
        <v>5622683761.6229038</v>
      </c>
      <c r="DN173" s="269">
        <f t="shared" si="525"/>
        <v>26446332.675554629</v>
      </c>
      <c r="DO173" s="196">
        <f>'Detailed Budget'!$AC$179</f>
        <v>26827890683.128094</v>
      </c>
      <c r="DP173" s="269">
        <f t="shared" si="526"/>
        <v>126185173.92410292</v>
      </c>
      <c r="DQ173" s="269">
        <f t="shared" si="457"/>
        <v>152631506.59965754</v>
      </c>
      <c r="DR173" s="269">
        <f>'Detailed Budget'!$AC$181</f>
        <v>50888946855.375237</v>
      </c>
      <c r="DS173" s="269">
        <f t="shared" si="527"/>
        <v>210519348.51098937</v>
      </c>
      <c r="DT173" s="269">
        <f t="shared" si="528"/>
        <v>363150855.1106469</v>
      </c>
      <c r="DU173" s="272">
        <f>'Detailed Budget'!$AC$192</f>
        <v>77498869683.252869</v>
      </c>
      <c r="DV173" s="269">
        <f t="shared" si="464"/>
        <v>0</v>
      </c>
      <c r="DW173" s="140">
        <f>'Detailed Budget'!$AC$194</f>
        <v>2684962805.4134097</v>
      </c>
      <c r="DX173" s="269">
        <f t="shared" si="465"/>
        <v>0</v>
      </c>
      <c r="DY173" s="607">
        <f t="shared" si="421"/>
        <v>0</v>
      </c>
      <c r="DZ173" s="196">
        <f>'Detailed Budget'!$AC$198</f>
        <v>18732540018.380611</v>
      </c>
      <c r="EA173" s="269">
        <f t="shared" si="510"/>
        <v>26489738.742020547</v>
      </c>
      <c r="EB173" s="196">
        <f>'Detailed Budget'!$AC$200</f>
        <v>4683135004.5951529</v>
      </c>
      <c r="EC173" s="269">
        <f t="shared" si="467"/>
        <v>6622434.6855051368</v>
      </c>
      <c r="ED173" s="269">
        <f t="shared" si="422"/>
        <v>33112173.427525684</v>
      </c>
      <c r="EE173" s="196">
        <f>'Detailed Budget'!$AC$161</f>
        <v>251147290106.36197</v>
      </c>
      <c r="EF173" s="269">
        <f t="shared" si="468"/>
        <v>458101722.68088984</v>
      </c>
      <c r="EG173" s="196">
        <f>'Detailed Budget'!$AC$163</f>
        <v>15696705631.647623</v>
      </c>
      <c r="EH173" s="269">
        <f t="shared" si="469"/>
        <v>28631357.667555615</v>
      </c>
      <c r="EI173" s="269">
        <f t="shared" si="423"/>
        <v>486733080.34844548</v>
      </c>
      <c r="EJ173" s="196">
        <f>'Detailed Budget'!$AC$204</f>
        <v>45012172507.531975</v>
      </c>
      <c r="EK173" s="269">
        <f t="shared" si="470"/>
        <v>111579512.72516896</v>
      </c>
      <c r="EL173" s="201">
        <f>'Detailed Budget'!$AC$206</f>
        <v>11253043126.882994</v>
      </c>
      <c r="EM173" s="269">
        <f t="shared" si="471"/>
        <v>27894878.18129224</v>
      </c>
      <c r="EN173" s="269">
        <f t="shared" si="424"/>
        <v>139474390.90646121</v>
      </c>
      <c r="EO173" s="140">
        <f>'Detailed Budget'!$AC$209</f>
        <v>135789361677.54817</v>
      </c>
      <c r="EP173" s="269">
        <f t="shared" si="472"/>
        <v>307423404.71653783</v>
      </c>
      <c r="EQ173" s="196">
        <f>'Detailed Budget'!$AC$211</f>
        <v>33947340419.387043</v>
      </c>
      <c r="ER173" s="269">
        <f t="shared" si="473"/>
        <v>76855851.179134458</v>
      </c>
      <c r="ES173" s="269">
        <f t="shared" si="425"/>
        <v>384279255.89567232</v>
      </c>
      <c r="ET173" s="196">
        <f>'Detailed Budget'!$AC$214</f>
        <v>22239745544.201103</v>
      </c>
      <c r="EU173" s="269">
        <f t="shared" si="474"/>
        <v>48898738.216006368</v>
      </c>
      <c r="EV173" s="140">
        <f>'Detailed Budget'!$AC$217</f>
        <v>5559936386.0502758</v>
      </c>
      <c r="EW173" s="269">
        <f t="shared" si="475"/>
        <v>12224684.554001592</v>
      </c>
      <c r="EX173" s="269">
        <f t="shared" si="426"/>
        <v>61123422.77000796</v>
      </c>
      <c r="EY173" s="196">
        <f>'Detailed Budget'!$AC$219</f>
        <v>372777004.58170313</v>
      </c>
      <c r="EZ173" s="269">
        <f t="shared" si="476"/>
        <v>858042.52353749773</v>
      </c>
      <c r="FA173" s="196">
        <f>'Detailed Budget'!$AC$222</f>
        <v>93194251.145425782</v>
      </c>
      <c r="FB173" s="269">
        <f t="shared" si="477"/>
        <v>214510.63088437443</v>
      </c>
      <c r="FC173" s="269">
        <f t="shared" si="427"/>
        <v>1072553.1544218722</v>
      </c>
      <c r="FD173" s="269"/>
      <c r="FE173" s="269">
        <f t="shared" si="428"/>
        <v>585949622.72656345</v>
      </c>
      <c r="FF173" s="140">
        <f>'Detailed Budget'!$AC$165</f>
        <v>14927760000</v>
      </c>
      <c r="FG173" s="1087">
        <f t="shared" si="442"/>
        <v>799274071.66247547</v>
      </c>
      <c r="FH173" s="269">
        <f t="shared" si="511"/>
        <v>18657579.820474949</v>
      </c>
      <c r="FJ173" s="140">
        <f>'Detailed Budget'!$AC$235</f>
        <v>3623696172</v>
      </c>
      <c r="FK173" s="269">
        <f t="shared" si="512"/>
        <v>4681778</v>
      </c>
      <c r="FL173" s="269">
        <f t="shared" si="443"/>
        <v>4681778</v>
      </c>
      <c r="FO173" s="607"/>
      <c r="FP173" s="607"/>
      <c r="FQ173" s="607"/>
      <c r="FR173" s="269">
        <f>'Detailed Budget'!$AC$257</f>
        <v>13636439388</v>
      </c>
      <c r="FS173" s="269">
        <f t="shared" si="513"/>
        <v>31978752</v>
      </c>
      <c r="FT173" s="269">
        <f t="shared" si="444"/>
        <v>31978752</v>
      </c>
      <c r="FU173" s="269"/>
      <c r="FV173" s="269"/>
      <c r="FW173" s="616"/>
      <c r="FX173" s="140">
        <f>'Detailed Budget'!$AC$278</f>
        <v>1114560000</v>
      </c>
      <c r="FY173" s="269">
        <f t="shared" si="514"/>
        <v>1440000</v>
      </c>
      <c r="FZ173" s="269">
        <f t="shared" si="445"/>
        <v>1440000</v>
      </c>
      <c r="GB173" s="269">
        <f t="shared" si="453"/>
        <v>2623378253.9964046</v>
      </c>
      <c r="GC173" s="887">
        <f t="shared" si="429"/>
        <v>1639611.4087477529</v>
      </c>
      <c r="GD173" s="1078">
        <f t="shared" si="454"/>
        <v>1.4720601461453199E-3</v>
      </c>
    </row>
    <row r="174" spans="1:186" hidden="1" outlineLevel="1">
      <c r="A174" s="211" t="s">
        <v>516</v>
      </c>
      <c r="B174" s="212" t="s">
        <v>517</v>
      </c>
      <c r="C174" s="213" t="s">
        <v>215</v>
      </c>
      <c r="D174" s="225" t="s">
        <v>215</v>
      </c>
      <c r="E174" s="213"/>
      <c r="F174" s="213"/>
      <c r="G174" s="213"/>
      <c r="H174" s="213" t="s">
        <v>215</v>
      </c>
      <c r="I174" s="214" t="s">
        <v>215</v>
      </c>
      <c r="J174" s="214"/>
      <c r="K174" s="213" t="s">
        <v>215</v>
      </c>
      <c r="L174" s="213"/>
      <c r="M174" s="214"/>
      <c r="N174" s="213"/>
      <c r="O174" s="214"/>
      <c r="P174" s="213"/>
      <c r="Q174" s="214"/>
      <c r="R174" s="214" t="s">
        <v>215</v>
      </c>
      <c r="S174" s="214"/>
      <c r="T174" s="214"/>
      <c r="U174" s="215">
        <f t="shared" si="515"/>
        <v>6</v>
      </c>
      <c r="V174" s="845" t="s">
        <v>219</v>
      </c>
      <c r="W174" s="216">
        <v>90114</v>
      </c>
      <c r="X174" s="217">
        <v>3.39</v>
      </c>
      <c r="Y174" s="218">
        <f t="shared" si="483"/>
        <v>1.0339</v>
      </c>
      <c r="Z174" s="196">
        <v>19</v>
      </c>
      <c r="AA174" s="218">
        <f t="shared" si="484"/>
        <v>1.8840489025780363</v>
      </c>
      <c r="AB174" s="196">
        <f t="shared" si="485"/>
        <v>169779.18280691715</v>
      </c>
      <c r="AC174" s="227">
        <v>20</v>
      </c>
      <c r="AD174" s="196">
        <f t="shared" si="486"/>
        <v>33955.836561383425</v>
      </c>
      <c r="AE174" s="196">
        <f t="shared" si="487"/>
        <v>32258.044733314251</v>
      </c>
      <c r="AF174" s="196">
        <f t="shared" si="516"/>
        <v>32258.044733314251</v>
      </c>
      <c r="AG174" s="606">
        <f t="shared" si="432"/>
        <v>1.4914703729985818E-3</v>
      </c>
      <c r="AH174" s="196">
        <f t="shared" si="529"/>
        <v>8488.959140345858</v>
      </c>
      <c r="AI174" s="248">
        <f t="shared" si="409"/>
        <v>6.576268025731822E-4</v>
      </c>
      <c r="AJ174" s="196">
        <f t="shared" si="412"/>
        <v>42444.795701729279</v>
      </c>
      <c r="AK174" s="196">
        <f t="shared" si="455"/>
        <v>6791.1673122766861</v>
      </c>
      <c r="AL174" s="196">
        <f t="shared" si="456"/>
        <v>6791.1673122766861</v>
      </c>
      <c r="AM174" s="196">
        <f t="shared" si="413"/>
        <v>13582.334624553372</v>
      </c>
      <c r="AN174" s="627">
        <f t="shared" si="414"/>
        <v>6.576268025731822E-4</v>
      </c>
      <c r="AO174" s="196">
        <f t="shared" si="415"/>
        <v>6451.6089466628509</v>
      </c>
      <c r="AP174" s="589">
        <f t="shared" si="433"/>
        <v>6.5762680257318209E-4</v>
      </c>
      <c r="AQ174" s="196"/>
      <c r="AR174" s="589"/>
      <c r="AS174">
        <v>1</v>
      </c>
      <c r="AT174" s="589">
        <f t="shared" si="434"/>
        <v>1.2919896640826874E-3</v>
      </c>
      <c r="AU174" s="196">
        <v>10</v>
      </c>
      <c r="AV174" s="245">
        <f t="shared" si="416"/>
        <v>1.1362345188046814E-3</v>
      </c>
      <c r="AX174" s="245"/>
      <c r="AY174" s="245"/>
      <c r="AZ174" s="196">
        <v>41</v>
      </c>
      <c r="BA174" s="589">
        <f t="shared" si="447"/>
        <v>1.5023267743944891E-3</v>
      </c>
      <c r="BI174" s="196">
        <v>0</v>
      </c>
      <c r="BK174" s="246">
        <f t="shared" si="448"/>
        <v>0</v>
      </c>
      <c r="BL174" s="246"/>
      <c r="BM174" s="246">
        <f t="shared" si="449"/>
        <v>0</v>
      </c>
      <c r="BN174" s="196">
        <v>1</v>
      </c>
      <c r="BO174" s="196">
        <f t="shared" si="517"/>
        <v>12842.021343456639</v>
      </c>
      <c r="BP174" s="196">
        <f t="shared" si="417"/>
        <v>12842.021343456639</v>
      </c>
      <c r="BQ174" s="248">
        <f t="shared" si="450"/>
        <v>1.2013112946232698E-3</v>
      </c>
      <c r="BR174" s="248"/>
      <c r="BS174" s="248"/>
      <c r="BT174" s="276">
        <v>1</v>
      </c>
      <c r="BU174" s="196">
        <f t="shared" si="530"/>
        <v>24448.202324196063</v>
      </c>
      <c r="BV174" s="264">
        <f t="shared" si="451"/>
        <v>1.6957736219349543E-3</v>
      </c>
      <c r="BW174" s="196">
        <f t="shared" si="531"/>
        <v>104583.97660906095</v>
      </c>
      <c r="BX174" s="247">
        <f t="shared" si="452"/>
        <v>1.6957736372105482E-3</v>
      </c>
      <c r="BY174" s="196">
        <f t="shared" si="492"/>
        <v>129032.178933257</v>
      </c>
      <c r="BZ174" s="620">
        <v>0</v>
      </c>
      <c r="CA174" s="196">
        <f t="shared" si="518"/>
        <v>51952.429938916648</v>
      </c>
      <c r="CB174" s="196">
        <f t="shared" si="519"/>
        <v>103904.8598778333</v>
      </c>
      <c r="CC174" s="196">
        <f t="shared" si="430"/>
        <v>155857.28981674995</v>
      </c>
      <c r="CD174" s="247">
        <f t="shared" si="418"/>
        <v>6.576268025731822E-4</v>
      </c>
      <c r="CE174" s="196">
        <f t="shared" si="520"/>
        <v>11806.28239020095</v>
      </c>
      <c r="CF174" s="247">
        <f t="shared" si="419"/>
        <v>5.0983199050562975E-4</v>
      </c>
      <c r="CG174" s="196">
        <f t="shared" si="460"/>
        <v>25806.435786651404</v>
      </c>
      <c r="CH174" s="589">
        <f t="shared" si="435"/>
        <v>6.5762680257318209E-4</v>
      </c>
      <c r="CI174" s="196">
        <f t="shared" si="521"/>
        <v>54362.424368502754</v>
      </c>
      <c r="CJ174" s="248">
        <f t="shared" si="436"/>
        <v>8.9371811862810771E-4</v>
      </c>
      <c r="CK174" s="196">
        <f t="shared" si="522"/>
        <v>56781.02007856861</v>
      </c>
      <c r="CL174" s="589">
        <f t="shared" si="437"/>
        <v>8.1623884298696837E-4</v>
      </c>
      <c r="CM174" s="196">
        <f t="shared" si="523"/>
        <v>5500.6711849645171</v>
      </c>
      <c r="CN174" s="589">
        <f t="shared" si="438"/>
        <v>7.9270923096188238E-4</v>
      </c>
      <c r="CO174" s="196">
        <f t="shared" si="524"/>
        <v>440.04749749062159</v>
      </c>
      <c r="CP174" s="589">
        <f t="shared" si="439"/>
        <v>8.2986180047489675E-4</v>
      </c>
      <c r="CQ174" s="196">
        <f>'Detailed Budget'!$AC$12</f>
        <v>292876014141.44696</v>
      </c>
      <c r="CR174" s="269">
        <f t="shared" si="507"/>
        <v>0</v>
      </c>
      <c r="CS174" s="269">
        <f>'Detailed Budget'!$AC$16</f>
        <v>10488008800.000002</v>
      </c>
      <c r="CT174" s="607">
        <f t="shared" si="461"/>
        <v>0</v>
      </c>
      <c r="CU174" s="269">
        <f>'Detailed Budget'!$AC$24</f>
        <v>30624985696</v>
      </c>
      <c r="CV174" s="269">
        <f t="shared" si="446"/>
        <v>0</v>
      </c>
      <c r="CW174" s="269"/>
      <c r="CX174" s="269">
        <f t="shared" si="431"/>
        <v>0</v>
      </c>
      <c r="CY174" s="196">
        <f>'Detailed Budget'!$AC$97</f>
        <v>74629165494.837845</v>
      </c>
      <c r="CZ174" s="269">
        <f t="shared" si="462"/>
        <v>89652859.417257905</v>
      </c>
      <c r="DA174" s="269">
        <f>'Detailed Budget'!$AC$100</f>
        <v>14925833098.967569</v>
      </c>
      <c r="DB174" s="269">
        <f t="shared" si="463"/>
        <v>17930571.883451581</v>
      </c>
      <c r="DC174" s="269">
        <f t="shared" si="420"/>
        <v>107583431.30070949</v>
      </c>
      <c r="DD174" s="207">
        <v>0</v>
      </c>
      <c r="DE174" s="606">
        <v>0</v>
      </c>
      <c r="DF174" s="269">
        <f>'Detailed Budget'!$AC$147</f>
        <v>5913600671000</v>
      </c>
      <c r="DG174" s="269">
        <f t="shared" si="441"/>
        <v>0</v>
      </c>
      <c r="DH174" s="269">
        <f>'Detailed Budget'!$AC$153</f>
        <v>226428026880.00003</v>
      </c>
      <c r="DI174" s="269"/>
      <c r="DJ174" s="269">
        <f>'Detailed Budget'!$AC$156</f>
        <v>27713070000</v>
      </c>
      <c r="DK174" s="269"/>
      <c r="DL174" s="269"/>
      <c r="DM174" s="196">
        <f>'Detailed Budget'!$AC$178</f>
        <v>5622683761.6229038</v>
      </c>
      <c r="DN174" s="269">
        <f t="shared" si="525"/>
        <v>9534798.8074421249</v>
      </c>
      <c r="DO174" s="196">
        <f>'Detailed Budget'!$AC$179</f>
        <v>26827890683.128094</v>
      </c>
      <c r="DP174" s="269">
        <f t="shared" si="526"/>
        <v>45494029.762415104</v>
      </c>
      <c r="DQ174" s="269">
        <f t="shared" si="457"/>
        <v>55028828.569857225</v>
      </c>
      <c r="DR174" s="269">
        <f>'Detailed Budget'!$AC$181</f>
        <v>50888946855.375237</v>
      </c>
      <c r="DS174" s="269">
        <f t="shared" si="527"/>
        <v>75899356.547891513</v>
      </c>
      <c r="DT174" s="269">
        <f t="shared" si="528"/>
        <v>130928185.11774874</v>
      </c>
      <c r="DU174" s="272">
        <f>'Detailed Budget'!$AC$192</f>
        <v>77498869683.252869</v>
      </c>
      <c r="DV174" s="269">
        <f t="shared" si="464"/>
        <v>0</v>
      </c>
      <c r="DW174" s="140">
        <f>'Detailed Budget'!$AC$194</f>
        <v>2684962805.4134097</v>
      </c>
      <c r="DX174" s="269">
        <f t="shared" si="465"/>
        <v>0</v>
      </c>
      <c r="DY174" s="607">
        <f t="shared" si="421"/>
        <v>0</v>
      </c>
      <c r="DZ174" s="196">
        <f>'Detailed Budget'!$AC$198</f>
        <v>18732540018.380611</v>
      </c>
      <c r="EA174" s="269">
        <f t="shared" si="510"/>
        <v>9550448.1647973526</v>
      </c>
      <c r="EB174" s="196">
        <f>'Detailed Budget'!$AC$200</f>
        <v>4683135004.5951529</v>
      </c>
      <c r="EC174" s="269">
        <f t="shared" si="467"/>
        <v>2387612.0411993382</v>
      </c>
      <c r="ED174" s="269">
        <f t="shared" si="422"/>
        <v>11938060.20599669</v>
      </c>
      <c r="EE174" s="196">
        <f>'Detailed Budget'!$AC$161</f>
        <v>251147290106.36197</v>
      </c>
      <c r="EF174" s="269">
        <f t="shared" si="468"/>
        <v>165161189.3675662</v>
      </c>
      <c r="EG174" s="196">
        <f>'Detailed Budget'!$AC$163</f>
        <v>15696705631.647623</v>
      </c>
      <c r="EH174" s="269">
        <f t="shared" si="469"/>
        <v>10322574.335472887</v>
      </c>
      <c r="EI174" s="269">
        <f t="shared" si="423"/>
        <v>175483763.70303908</v>
      </c>
      <c r="EJ174" s="196">
        <f>'Detailed Budget'!$AC$204</f>
        <v>45012172507.531975</v>
      </c>
      <c r="EK174" s="269">
        <f t="shared" si="470"/>
        <v>40228194.128795311</v>
      </c>
      <c r="EL174" s="201">
        <f>'Detailed Budget'!$AC$206</f>
        <v>11253043126.882994</v>
      </c>
      <c r="EM174" s="269">
        <f t="shared" si="471"/>
        <v>10057048.532198828</v>
      </c>
      <c r="EN174" s="269">
        <f t="shared" si="424"/>
        <v>50285242.660994142</v>
      </c>
      <c r="EO174" s="140">
        <f>'Detailed Budget'!$AC$209</f>
        <v>135789361677.54817</v>
      </c>
      <c r="EP174" s="269">
        <f t="shared" si="472"/>
        <v>110836551.46562091</v>
      </c>
      <c r="EQ174" s="196">
        <f>'Detailed Budget'!$AC$211</f>
        <v>33947340419.387043</v>
      </c>
      <c r="ER174" s="269">
        <f t="shared" si="473"/>
        <v>27709137.866405226</v>
      </c>
      <c r="ES174" s="269">
        <f t="shared" si="425"/>
        <v>138545689.33202612</v>
      </c>
      <c r="ET174" s="196">
        <f>'Detailed Budget'!$AC$214</f>
        <v>22239745544.201103</v>
      </c>
      <c r="EU174" s="269">
        <f t="shared" si="474"/>
        <v>17629651.587131608</v>
      </c>
      <c r="EV174" s="140">
        <f>'Detailed Budget'!$AC$217</f>
        <v>5559936386.0502758</v>
      </c>
      <c r="EW174" s="269">
        <f t="shared" si="475"/>
        <v>4407412.8967829021</v>
      </c>
      <c r="EX174" s="269">
        <f t="shared" si="426"/>
        <v>22037064.483914509</v>
      </c>
      <c r="EY174" s="196">
        <f>'Detailed Budget'!$AC$219</f>
        <v>372777004.58170313</v>
      </c>
      <c r="EZ174" s="269">
        <f t="shared" si="476"/>
        <v>309353.396197811</v>
      </c>
      <c r="FA174" s="196">
        <f>'Detailed Budget'!$AC$222</f>
        <v>93194251.145425782</v>
      </c>
      <c r="FB174" s="269">
        <f t="shared" si="477"/>
        <v>77338.34904945275</v>
      </c>
      <c r="FC174" s="269">
        <f t="shared" si="427"/>
        <v>386691.74524726375</v>
      </c>
      <c r="FD174" s="269"/>
      <c r="FE174" s="269">
        <f t="shared" si="428"/>
        <v>211254688.22218207</v>
      </c>
      <c r="FF174" s="140">
        <f>'Detailed Budget'!$AC$165</f>
        <v>14927760000</v>
      </c>
      <c r="FG174" s="1087">
        <f t="shared" si="442"/>
        <v>288165378.49692446</v>
      </c>
      <c r="FH174" s="269">
        <f t="shared" si="511"/>
        <v>16961436.200431772</v>
      </c>
      <c r="FJ174" s="140">
        <f>'Detailed Budget'!$AC$235</f>
        <v>3623696172</v>
      </c>
      <c r="FK174" s="269">
        <f t="shared" si="512"/>
        <v>4681778</v>
      </c>
      <c r="FL174" s="269">
        <f t="shared" si="443"/>
        <v>4681778</v>
      </c>
      <c r="FO174" s="607"/>
      <c r="FP174" s="607"/>
      <c r="FQ174" s="607"/>
      <c r="FR174" s="269">
        <f>'Detailed Budget'!$AC$257</f>
        <v>13636439388</v>
      </c>
      <c r="FS174" s="269">
        <f t="shared" si="513"/>
        <v>20486388</v>
      </c>
      <c r="FT174" s="269">
        <f t="shared" si="444"/>
        <v>20486388</v>
      </c>
      <c r="FU174" s="269"/>
      <c r="FV174" s="269"/>
      <c r="FW174" s="616"/>
      <c r="FX174" s="140">
        <f>'Detailed Budget'!$AC$278</f>
        <v>1114560000</v>
      </c>
      <c r="FY174" s="269">
        <f t="shared" si="514"/>
        <v>1440000</v>
      </c>
      <c r="FZ174" s="269">
        <f t="shared" si="445"/>
        <v>1440000</v>
      </c>
      <c r="GB174" s="269">
        <f t="shared" si="453"/>
        <v>968923109.2470324</v>
      </c>
      <c r="GC174" s="887">
        <f t="shared" si="429"/>
        <v>605576.94327939523</v>
      </c>
      <c r="GD174" s="1078">
        <f t="shared" si="454"/>
        <v>5.4369326711805515E-4</v>
      </c>
    </row>
    <row r="175" spans="1:186" hidden="1" outlineLevel="1">
      <c r="A175" s="211" t="s">
        <v>518</v>
      </c>
      <c r="B175" s="212" t="s">
        <v>519</v>
      </c>
      <c r="C175" s="213" t="s">
        <v>215</v>
      </c>
      <c r="D175" s="225" t="s">
        <v>215</v>
      </c>
      <c r="E175" s="213"/>
      <c r="F175" s="213"/>
      <c r="G175" s="213"/>
      <c r="H175" s="213" t="s">
        <v>215</v>
      </c>
      <c r="I175" s="214" t="s">
        <v>215</v>
      </c>
      <c r="J175" s="214"/>
      <c r="K175" s="213" t="s">
        <v>215</v>
      </c>
      <c r="L175" s="213"/>
      <c r="M175" s="214"/>
      <c r="N175" s="213"/>
      <c r="O175" s="214"/>
      <c r="P175" s="213"/>
      <c r="Q175" s="214"/>
      <c r="R175" s="214" t="s">
        <v>215</v>
      </c>
      <c r="S175" s="214"/>
      <c r="T175" s="214"/>
      <c r="U175" s="215">
        <f t="shared" si="515"/>
        <v>6</v>
      </c>
      <c r="V175" s="845" t="s">
        <v>219</v>
      </c>
      <c r="W175" s="216">
        <v>284411</v>
      </c>
      <c r="X175" s="217">
        <v>3.39</v>
      </c>
      <c r="Y175" s="218">
        <f t="shared" si="483"/>
        <v>1.0339</v>
      </c>
      <c r="Z175" s="196">
        <v>19</v>
      </c>
      <c r="AA175" s="218">
        <f t="shared" si="484"/>
        <v>1.8840489025780363</v>
      </c>
      <c r="AB175" s="196">
        <f t="shared" si="485"/>
        <v>535844.23243112187</v>
      </c>
      <c r="AC175" s="227">
        <v>20</v>
      </c>
      <c r="AD175" s="196">
        <f t="shared" si="486"/>
        <v>107168.84648622439</v>
      </c>
      <c r="AE175" s="196">
        <f t="shared" si="487"/>
        <v>101810.40416191316</v>
      </c>
      <c r="AF175" s="196">
        <f t="shared" si="516"/>
        <v>101810.40416191316</v>
      </c>
      <c r="AG175" s="606">
        <f t="shared" si="432"/>
        <v>4.7072661323978495E-3</v>
      </c>
      <c r="AH175" s="196">
        <f t="shared" si="529"/>
        <v>26792.211621556096</v>
      </c>
      <c r="AI175" s="248">
        <f t="shared" si="409"/>
        <v>2.0755520401562616E-3</v>
      </c>
      <c r="AJ175" s="196">
        <f t="shared" si="412"/>
        <v>133961.05810778047</v>
      </c>
      <c r="AK175" s="196">
        <f t="shared" si="455"/>
        <v>21433.769297244875</v>
      </c>
      <c r="AL175" s="196">
        <f t="shared" si="456"/>
        <v>21433.769297244875</v>
      </c>
      <c r="AM175" s="196">
        <f t="shared" si="413"/>
        <v>42867.53859448975</v>
      </c>
      <c r="AN175" s="627">
        <f t="shared" si="414"/>
        <v>2.0755520401562612E-3</v>
      </c>
      <c r="AO175" s="196">
        <f t="shared" si="415"/>
        <v>20362.080832382631</v>
      </c>
      <c r="AP175" s="589">
        <f t="shared" si="433"/>
        <v>2.0755520401562612E-3</v>
      </c>
      <c r="AQ175" s="196"/>
      <c r="AR175" s="589"/>
      <c r="AS175">
        <v>1</v>
      </c>
      <c r="AT175" s="589">
        <f t="shared" si="434"/>
        <v>1.2919896640826874E-3</v>
      </c>
      <c r="AU175" s="196">
        <v>11</v>
      </c>
      <c r="AV175" s="245">
        <f t="shared" si="416"/>
        <v>1.2498579706851495E-3</v>
      </c>
      <c r="AX175" s="245"/>
      <c r="AY175" s="245"/>
      <c r="AZ175" s="196">
        <v>55</v>
      </c>
      <c r="BA175" s="589">
        <f t="shared" si="447"/>
        <v>2.015316404675534E-3</v>
      </c>
      <c r="BI175" s="196">
        <v>0</v>
      </c>
      <c r="BK175" s="246">
        <f t="shared" si="448"/>
        <v>0</v>
      </c>
      <c r="BL175" s="246"/>
      <c r="BM175" s="246">
        <f t="shared" si="449"/>
        <v>0</v>
      </c>
      <c r="BN175" s="196">
        <v>1</v>
      </c>
      <c r="BO175" s="196">
        <f t="shared" si="517"/>
        <v>40531.017736576418</v>
      </c>
      <c r="BP175" s="196">
        <f t="shared" si="417"/>
        <v>40531.017736576418</v>
      </c>
      <c r="BQ175" s="248">
        <f t="shared" si="450"/>
        <v>3.7914879665212832E-3</v>
      </c>
      <c r="BR175" s="248"/>
      <c r="BS175" s="248"/>
      <c r="BT175" s="276">
        <v>1</v>
      </c>
      <c r="BU175" s="196">
        <f t="shared" si="530"/>
        <v>77161.569470081551</v>
      </c>
      <c r="BV175" s="264">
        <f t="shared" si="451"/>
        <v>5.352072614556478E-3</v>
      </c>
      <c r="BW175" s="196">
        <f t="shared" si="531"/>
        <v>330080.0471775711</v>
      </c>
      <c r="BX175" s="247">
        <f t="shared" si="452"/>
        <v>5.3520726627681531E-3</v>
      </c>
      <c r="BY175" s="196">
        <f t="shared" si="492"/>
        <v>407241.61664765264</v>
      </c>
      <c r="BZ175" s="620">
        <v>0</v>
      </c>
      <c r="CA175" s="196">
        <f t="shared" si="518"/>
        <v>163968.33512392329</v>
      </c>
      <c r="CB175" s="196">
        <f t="shared" si="519"/>
        <v>327936.67024784657</v>
      </c>
      <c r="CC175" s="196">
        <f t="shared" si="430"/>
        <v>491905.00537176989</v>
      </c>
      <c r="CD175" s="247">
        <f t="shared" si="418"/>
        <v>2.0755520401562612E-3</v>
      </c>
      <c r="CE175" s="196">
        <f t="shared" si="520"/>
        <v>37262.096687301004</v>
      </c>
      <c r="CF175" s="247">
        <f t="shared" si="419"/>
        <v>1.6090932180537615E-3</v>
      </c>
      <c r="CG175" s="196">
        <f t="shared" si="460"/>
        <v>81448.323329530525</v>
      </c>
      <c r="CH175" s="589">
        <f t="shared" si="435"/>
        <v>2.0755520401562612E-3</v>
      </c>
      <c r="CI175" s="196">
        <f t="shared" si="521"/>
        <v>171574.57750261051</v>
      </c>
      <c r="CJ175" s="248">
        <f t="shared" si="436"/>
        <v>2.8206856186290571E-3</v>
      </c>
      <c r="CK175" s="196">
        <f t="shared" si="522"/>
        <v>179207.96659304638</v>
      </c>
      <c r="CL175" s="589">
        <f t="shared" si="437"/>
        <v>2.5761513812811187E-3</v>
      </c>
      <c r="CM175" s="196">
        <f t="shared" si="523"/>
        <v>17360.80289840584</v>
      </c>
      <c r="CN175" s="589">
        <f t="shared" si="438"/>
        <v>2.5018889971269729E-3</v>
      </c>
      <c r="CO175" s="196">
        <f t="shared" si="524"/>
        <v>1388.8446724016826</v>
      </c>
      <c r="CP175" s="589">
        <f t="shared" si="439"/>
        <v>2.6191471306885273E-3</v>
      </c>
      <c r="CQ175" s="196">
        <f>'Detailed Budget'!$AC$12</f>
        <v>292876014141.44696</v>
      </c>
      <c r="CR175" s="269">
        <f t="shared" si="507"/>
        <v>0</v>
      </c>
      <c r="CS175" s="269">
        <f>'Detailed Budget'!$AC$16</f>
        <v>10488008800.000002</v>
      </c>
      <c r="CT175" s="607">
        <f t="shared" si="461"/>
        <v>0</v>
      </c>
      <c r="CU175" s="269">
        <f>'Detailed Budget'!$AC$24</f>
        <v>30624985696</v>
      </c>
      <c r="CV175" s="269">
        <f t="shared" si="446"/>
        <v>0</v>
      </c>
      <c r="CW175" s="269"/>
      <c r="CX175" s="269">
        <f t="shared" si="431"/>
        <v>0</v>
      </c>
      <c r="CY175" s="196">
        <f>'Detailed Budget'!$AC$97</f>
        <v>74629165494.837845</v>
      </c>
      <c r="CZ175" s="269">
        <f t="shared" si="462"/>
        <v>282955582.92520308</v>
      </c>
      <c r="DA175" s="269">
        <f>'Detailed Budget'!$AC$100</f>
        <v>14925833098.967569</v>
      </c>
      <c r="DB175" s="269">
        <f t="shared" si="463"/>
        <v>56591116.585040614</v>
      </c>
      <c r="DC175" s="269">
        <f t="shared" si="420"/>
        <v>339546699.51024371</v>
      </c>
      <c r="DD175" s="207">
        <v>0</v>
      </c>
      <c r="DE175" s="606">
        <v>0</v>
      </c>
      <c r="DF175" s="269">
        <f>'Detailed Budget'!$AC$147</f>
        <v>5913600671000</v>
      </c>
      <c r="DG175" s="269">
        <f t="shared" si="441"/>
        <v>0</v>
      </c>
      <c r="DH175" s="269">
        <f>'Detailed Budget'!$AC$153</f>
        <v>226428026880.00003</v>
      </c>
      <c r="DI175" s="269"/>
      <c r="DJ175" s="269">
        <f>'Detailed Budget'!$AC$156</f>
        <v>27713070000</v>
      </c>
      <c r="DK175" s="269"/>
      <c r="DL175" s="269"/>
      <c r="DM175" s="196">
        <f>'Detailed Budget'!$AC$178</f>
        <v>5622683761.6229038</v>
      </c>
      <c r="DN175" s="269">
        <f t="shared" si="525"/>
        <v>30093011.780893348</v>
      </c>
      <c r="DO175" s="196">
        <f>'Detailed Budget'!$AC$179</f>
        <v>26827890683.128094</v>
      </c>
      <c r="DP175" s="269">
        <f t="shared" si="526"/>
        <v>143584820.3249023</v>
      </c>
      <c r="DQ175" s="269">
        <f t="shared" si="457"/>
        <v>173677832.10579565</v>
      </c>
      <c r="DR175" s="269">
        <f>'Detailed Budget'!$AC$181</f>
        <v>50888946855.375237</v>
      </c>
      <c r="DS175" s="269">
        <f t="shared" si="527"/>
        <v>239547816.04570189</v>
      </c>
      <c r="DT175" s="269">
        <f t="shared" si="528"/>
        <v>413225648.15149754</v>
      </c>
      <c r="DU175" s="272">
        <f>'Detailed Budget'!$AC$192</f>
        <v>77498869683.252869</v>
      </c>
      <c r="DV175" s="269">
        <f t="shared" si="464"/>
        <v>0</v>
      </c>
      <c r="DW175" s="140">
        <f>'Detailed Budget'!$AC$194</f>
        <v>2684962805.4134097</v>
      </c>
      <c r="DX175" s="269">
        <f t="shared" si="465"/>
        <v>0</v>
      </c>
      <c r="DY175" s="607">
        <f t="shared" si="421"/>
        <v>0</v>
      </c>
      <c r="DZ175" s="196">
        <f>'Detailed Budget'!$AC$198</f>
        <v>18732540018.380611</v>
      </c>
      <c r="EA175" s="269">
        <f t="shared" si="510"/>
        <v>30142403.100496925</v>
      </c>
      <c r="EB175" s="196">
        <f>'Detailed Budget'!$AC$200</f>
        <v>4683135004.5951529</v>
      </c>
      <c r="EC175" s="269">
        <f t="shared" si="467"/>
        <v>7535600.7751242314</v>
      </c>
      <c r="ED175" s="269">
        <f t="shared" si="422"/>
        <v>37678003.875621155</v>
      </c>
      <c r="EE175" s="196">
        <f>'Detailed Budget'!$AC$161</f>
        <v>251147290106.36197</v>
      </c>
      <c r="EF175" s="269">
        <f t="shared" si="468"/>
        <v>521269270.35997599</v>
      </c>
      <c r="EG175" s="196">
        <f>'Detailed Budget'!$AC$163</f>
        <v>15696705631.647623</v>
      </c>
      <c r="EH175" s="269">
        <f t="shared" si="469"/>
        <v>32579329.3974985</v>
      </c>
      <c r="EI175" s="269">
        <f t="shared" si="423"/>
        <v>553848599.75747454</v>
      </c>
      <c r="EJ175" s="196">
        <f>'Detailed Budget'!$AC$204</f>
        <v>45012172507.531975</v>
      </c>
      <c r="EK175" s="269">
        <f t="shared" si="470"/>
        <v>126965187.65524566</v>
      </c>
      <c r="EL175" s="201">
        <f>'Detailed Budget'!$AC$206</f>
        <v>11253043126.882994</v>
      </c>
      <c r="EM175" s="269">
        <f t="shared" si="471"/>
        <v>31741296.913811415</v>
      </c>
      <c r="EN175" s="269">
        <f t="shared" si="424"/>
        <v>158706484.56905708</v>
      </c>
      <c r="EO175" s="140">
        <f>'Detailed Budget'!$AC$209</f>
        <v>135789361677.54817</v>
      </c>
      <c r="EP175" s="269">
        <f t="shared" si="472"/>
        <v>349813951.64889711</v>
      </c>
      <c r="EQ175" s="196">
        <f>'Detailed Budget'!$AC$211</f>
        <v>33947340419.387043</v>
      </c>
      <c r="ER175" s="269">
        <f t="shared" si="473"/>
        <v>87453487.912224278</v>
      </c>
      <c r="ES175" s="269">
        <f t="shared" si="425"/>
        <v>437267439.5611214</v>
      </c>
      <c r="ET175" s="196">
        <f>'Detailed Budget'!$AC$214</f>
        <v>22239745544.201103</v>
      </c>
      <c r="EU175" s="269">
        <f t="shared" si="474"/>
        <v>55641374.675940365</v>
      </c>
      <c r="EV175" s="140">
        <f>'Detailed Budget'!$AC$217</f>
        <v>5559936386.0502758</v>
      </c>
      <c r="EW175" s="269">
        <f t="shared" si="475"/>
        <v>13910343.668985091</v>
      </c>
      <c r="EX175" s="269">
        <f t="shared" si="426"/>
        <v>69551718.344925463</v>
      </c>
      <c r="EY175" s="196">
        <f>'Detailed Budget'!$AC$219</f>
        <v>372777004.58170313</v>
      </c>
      <c r="EZ175" s="269">
        <f t="shared" si="476"/>
        <v>976357.82193683169</v>
      </c>
      <c r="FA175" s="196">
        <f>'Detailed Budget'!$AC$222</f>
        <v>93194251.145425782</v>
      </c>
      <c r="FB175" s="269">
        <f t="shared" si="477"/>
        <v>244089.45548420792</v>
      </c>
      <c r="FC175" s="269">
        <f t="shared" si="427"/>
        <v>1220447.2774210395</v>
      </c>
      <c r="FD175" s="269"/>
      <c r="FE175" s="269">
        <f t="shared" si="428"/>
        <v>666746089.75252485</v>
      </c>
      <c r="FF175" s="140">
        <f>'Detailed Budget'!$AC$165</f>
        <v>14927760000</v>
      </c>
      <c r="FG175" s="1087">
        <f t="shared" si="442"/>
        <v>909485800.9153825</v>
      </c>
      <c r="FH175" s="269">
        <f t="shared" si="511"/>
        <v>18657579.820474949</v>
      </c>
      <c r="FJ175" s="140">
        <f>'Detailed Budget'!$AC$235</f>
        <v>3623696172</v>
      </c>
      <c r="FK175" s="269">
        <f t="shared" si="512"/>
        <v>4681778</v>
      </c>
      <c r="FL175" s="269">
        <f t="shared" si="443"/>
        <v>4681778</v>
      </c>
      <c r="FO175" s="607"/>
      <c r="FP175" s="607"/>
      <c r="FQ175" s="607"/>
      <c r="FR175" s="269">
        <f>'Detailed Budget'!$AC$257</f>
        <v>13636439388</v>
      </c>
      <c r="FS175" s="269">
        <f t="shared" si="513"/>
        <v>27481740</v>
      </c>
      <c r="FT175" s="269">
        <f t="shared" si="444"/>
        <v>27481740</v>
      </c>
      <c r="FU175" s="269"/>
      <c r="FV175" s="269"/>
      <c r="FW175" s="616"/>
      <c r="FX175" s="140">
        <f>'Detailed Budget'!$AC$278</f>
        <v>1114560000</v>
      </c>
      <c r="FY175" s="269">
        <f t="shared" si="514"/>
        <v>1440000</v>
      </c>
      <c r="FZ175" s="269">
        <f t="shared" si="445"/>
        <v>1440000</v>
      </c>
      <c r="GB175" s="269">
        <f t="shared" si="453"/>
        <v>2972791939.7832193</v>
      </c>
      <c r="GC175" s="887">
        <f t="shared" si="429"/>
        <v>1857994.962364512</v>
      </c>
      <c r="GD175" s="1078">
        <f t="shared" si="454"/>
        <v>1.6681271679638283E-3</v>
      </c>
    </row>
    <row r="176" spans="1:186" hidden="1" outlineLevel="1">
      <c r="A176" s="211" t="s">
        <v>520</v>
      </c>
      <c r="B176" s="212" t="s">
        <v>521</v>
      </c>
      <c r="C176" s="213" t="s">
        <v>215</v>
      </c>
      <c r="D176" s="225" t="s">
        <v>215</v>
      </c>
      <c r="E176" s="213"/>
      <c r="F176" s="213"/>
      <c r="G176" s="213"/>
      <c r="H176" s="213" t="s">
        <v>215</v>
      </c>
      <c r="I176" s="214" t="s">
        <v>215</v>
      </c>
      <c r="J176" s="214"/>
      <c r="K176" s="213" t="s">
        <v>215</v>
      </c>
      <c r="L176" s="213"/>
      <c r="M176" s="214"/>
      <c r="N176" s="213"/>
      <c r="O176" s="214"/>
      <c r="P176" s="213"/>
      <c r="Q176" s="214"/>
      <c r="R176" s="214" t="s">
        <v>215</v>
      </c>
      <c r="S176" s="214" t="s">
        <v>215</v>
      </c>
      <c r="T176" s="214"/>
      <c r="U176" s="215">
        <f t="shared" si="515"/>
        <v>7</v>
      </c>
      <c r="V176" s="845" t="s">
        <v>399</v>
      </c>
      <c r="W176" s="216">
        <v>278471</v>
      </c>
      <c r="X176" s="217">
        <v>3.39</v>
      </c>
      <c r="Y176" s="218">
        <f t="shared" si="483"/>
        <v>1.0339</v>
      </c>
      <c r="Z176" s="196">
        <v>19</v>
      </c>
      <c r="AA176" s="218">
        <f t="shared" si="484"/>
        <v>1.8840489025780363</v>
      </c>
      <c r="AB176" s="196">
        <f t="shared" si="485"/>
        <v>524652.98194980831</v>
      </c>
      <c r="AC176" s="227">
        <v>20</v>
      </c>
      <c r="AD176" s="196">
        <f t="shared" si="486"/>
        <v>104930.59638996165</v>
      </c>
      <c r="AE176" s="196">
        <f t="shared" si="487"/>
        <v>99684.066570463561</v>
      </c>
      <c r="AF176" s="196">
        <f t="shared" si="516"/>
        <v>99684.066570463561</v>
      </c>
      <c r="AG176" s="606">
        <f t="shared" si="432"/>
        <v>4.6089536169661551E-3</v>
      </c>
      <c r="AH176" s="196">
        <f t="shared" si="529"/>
        <v>26232.649097490415</v>
      </c>
      <c r="AI176" s="248">
        <f t="shared" si="409"/>
        <v>2.032203579236929E-3</v>
      </c>
      <c r="AJ176" s="196">
        <f t="shared" si="412"/>
        <v>131163.24548745208</v>
      </c>
      <c r="AK176" s="196">
        <f t="shared" si="455"/>
        <v>20986.119277992333</v>
      </c>
      <c r="AL176" s="196">
        <f t="shared" si="456"/>
        <v>20986.119277992333</v>
      </c>
      <c r="AM176" s="196">
        <f t="shared" si="413"/>
        <v>41972.238555984666</v>
      </c>
      <c r="AN176" s="627">
        <f t="shared" si="414"/>
        <v>2.032203579236929E-3</v>
      </c>
      <c r="AO176" s="196">
        <f t="shared" si="415"/>
        <v>19936.813314092717</v>
      </c>
      <c r="AP176" s="589">
        <f t="shared" si="433"/>
        <v>2.032203579236929E-3</v>
      </c>
      <c r="AQ176" s="196"/>
      <c r="AR176" s="589"/>
      <c r="AS176">
        <v>1</v>
      </c>
      <c r="AT176" s="589">
        <f t="shared" si="434"/>
        <v>1.2919896640826874E-3</v>
      </c>
      <c r="AU176" s="196">
        <v>11</v>
      </c>
      <c r="AV176" s="245">
        <f t="shared" si="416"/>
        <v>1.2498579706851495E-3</v>
      </c>
      <c r="AX176" s="245"/>
      <c r="AY176" s="245"/>
      <c r="AZ176" s="196">
        <v>80</v>
      </c>
      <c r="BA176" s="589">
        <f t="shared" si="447"/>
        <v>2.9313693158916857E-3</v>
      </c>
      <c r="BI176" s="196">
        <v>0</v>
      </c>
      <c r="BK176" s="246">
        <f t="shared" si="448"/>
        <v>0</v>
      </c>
      <c r="BL176" s="246"/>
      <c r="BM176" s="246">
        <f t="shared" si="449"/>
        <v>0</v>
      </c>
      <c r="BN176" s="196">
        <v>1</v>
      </c>
      <c r="BO176" s="196">
        <f t="shared" si="517"/>
        <v>39684.516562728488</v>
      </c>
      <c r="BP176" s="196">
        <f t="shared" si="417"/>
        <v>39684.516562728488</v>
      </c>
      <c r="BQ176" s="248">
        <f t="shared" si="450"/>
        <v>3.7123017236504506E-3</v>
      </c>
      <c r="BR176" s="248"/>
      <c r="BS176" s="248"/>
      <c r="BT176" s="276">
        <v>1</v>
      </c>
      <c r="BU176" s="196">
        <f t="shared" si="530"/>
        <v>75550.029400772386</v>
      </c>
      <c r="BV176" s="264">
        <f t="shared" si="451"/>
        <v>5.2402931428396108E-3</v>
      </c>
      <c r="BW176" s="196">
        <f t="shared" si="531"/>
        <v>323186.23688108189</v>
      </c>
      <c r="BX176" s="247">
        <f t="shared" si="452"/>
        <v>5.2402931900443726E-3</v>
      </c>
      <c r="BY176" s="196">
        <f t="shared" si="492"/>
        <v>398736.26628185424</v>
      </c>
      <c r="BZ176" s="620">
        <v>0</v>
      </c>
      <c r="CA176" s="196">
        <f t="shared" si="518"/>
        <v>160543.81247664135</v>
      </c>
      <c r="CB176" s="196">
        <f t="shared" si="519"/>
        <v>321087.62495328271</v>
      </c>
      <c r="CC176" s="196">
        <f t="shared" si="430"/>
        <v>481631.43742992403</v>
      </c>
      <c r="CD176" s="247">
        <f t="shared" si="418"/>
        <v>2.032203579236929E-3</v>
      </c>
      <c r="CE176" s="196">
        <f t="shared" si="520"/>
        <v>36483.867806130555</v>
      </c>
      <c r="CF176" s="247">
        <f t="shared" si="419"/>
        <v>1.5754868747152853E-3</v>
      </c>
      <c r="CG176" s="196">
        <f t="shared" ref="CG176:CG207" si="532">AO176*4</f>
        <v>79747.253256370866</v>
      </c>
      <c r="CH176" s="589">
        <f t="shared" si="435"/>
        <v>2.032203579236929E-3</v>
      </c>
      <c r="CI176" s="196">
        <f t="shared" si="521"/>
        <v>167991.19644363064</v>
      </c>
      <c r="CJ176" s="248">
        <f t="shared" si="436"/>
        <v>2.7617748431152519E-3</v>
      </c>
      <c r="CK176" s="196">
        <f t="shared" si="522"/>
        <v>175465.16015601438</v>
      </c>
      <c r="CL176" s="589">
        <f t="shared" si="437"/>
        <v>2.5223477688863447E-3</v>
      </c>
      <c r="CM176" s="196">
        <f t="shared" si="523"/>
        <v>16998.217874561713</v>
      </c>
      <c r="CN176" s="589">
        <f t="shared" si="438"/>
        <v>2.4496363745387661E-3</v>
      </c>
      <c r="CO176" s="196">
        <f t="shared" si="524"/>
        <v>1359.8382789989446</v>
      </c>
      <c r="CP176" s="589">
        <f t="shared" si="439"/>
        <v>2.5644455405380404E-3</v>
      </c>
      <c r="CQ176" s="196">
        <f>'Detailed Budget'!$AC$12</f>
        <v>292876014141.44696</v>
      </c>
      <c r="CR176" s="269">
        <f t="shared" si="507"/>
        <v>0</v>
      </c>
      <c r="CS176" s="269">
        <f>'Detailed Budget'!$AC$16</f>
        <v>10488008800.000002</v>
      </c>
      <c r="CT176" s="607">
        <f t="shared" ref="CT176:CT207" si="533">BM176*CS176</f>
        <v>0</v>
      </c>
      <c r="CU176" s="269">
        <f>'Detailed Budget'!$AC$24</f>
        <v>30624985696</v>
      </c>
      <c r="CV176" s="269">
        <f t="shared" si="446"/>
        <v>0</v>
      </c>
      <c r="CW176" s="269"/>
      <c r="CX176" s="269">
        <f t="shared" si="431"/>
        <v>0</v>
      </c>
      <c r="CY176" s="196">
        <f>'Detailed Budget'!$AC$97</f>
        <v>74629165494.837845</v>
      </c>
      <c r="CZ176" s="269">
        <f t="shared" ref="CZ176:CZ207" si="534">BQ176*CY176</f>
        <v>277045979.70108128</v>
      </c>
      <c r="DA176" s="269">
        <f>'Detailed Budget'!$AC$100</f>
        <v>14925833098.967569</v>
      </c>
      <c r="DB176" s="269">
        <f t="shared" ref="DB176:DB207" si="535">BQ176*DA176</f>
        <v>55409195.940216258</v>
      </c>
      <c r="DC176" s="269">
        <f t="shared" si="420"/>
        <v>332455175.64129752</v>
      </c>
      <c r="DD176" s="207">
        <v>1</v>
      </c>
      <c r="DE176" s="606">
        <v>0</v>
      </c>
      <c r="DF176" s="269">
        <f>'Detailed Budget'!$AC$147</f>
        <v>5913600671000</v>
      </c>
      <c r="DG176" s="269">
        <f t="shared" si="441"/>
        <v>0</v>
      </c>
      <c r="DH176" s="269">
        <f>'Detailed Budget'!$AC$153</f>
        <v>226428026880.00003</v>
      </c>
      <c r="DI176" s="269"/>
      <c r="DJ176" s="269">
        <f>'Detailed Budget'!$AC$156</f>
        <v>27713070000</v>
      </c>
      <c r="DK176" s="269"/>
      <c r="DL176" s="269"/>
      <c r="DM176" s="196">
        <f>'Detailed Budget'!$AC$178</f>
        <v>5622683761.6229038</v>
      </c>
      <c r="DN176" s="269">
        <f t="shared" si="525"/>
        <v>29464511.160388131</v>
      </c>
      <c r="DO176" s="196">
        <f>'Detailed Budget'!$AC$179</f>
        <v>26827890683.128094</v>
      </c>
      <c r="DP176" s="269">
        <f t="shared" si="526"/>
        <v>140586012.85005102</v>
      </c>
      <c r="DQ176" s="269">
        <f t="shared" si="457"/>
        <v>170050524.01043916</v>
      </c>
      <c r="DR176" s="269">
        <f>'Detailed Budget'!$AC$181</f>
        <v>50888946855.375237</v>
      </c>
      <c r="DS176" s="269">
        <f t="shared" si="527"/>
        <v>234544795.67268014</v>
      </c>
      <c r="DT176" s="269">
        <f t="shared" si="528"/>
        <v>404595319.6831193</v>
      </c>
      <c r="DU176" s="272">
        <f>'Detailed Budget'!$AC$192</f>
        <v>77498869683.252869</v>
      </c>
      <c r="DV176" s="269">
        <f t="shared" ref="DV176:DV207" si="536">BZ176*CD176*DU176</f>
        <v>0</v>
      </c>
      <c r="DW176" s="140">
        <f>'Detailed Budget'!$AC$194</f>
        <v>2684962805.4134097</v>
      </c>
      <c r="DX176" s="269">
        <f t="shared" ref="DX176:DX207" si="537">BZ176*AN176*DW176</f>
        <v>0</v>
      </c>
      <c r="DY176" s="607">
        <f t="shared" si="421"/>
        <v>0</v>
      </c>
      <c r="DZ176" s="196">
        <f>'Detailed Budget'!$AC$198</f>
        <v>18732540018.380611</v>
      </c>
      <c r="EA176" s="269">
        <f t="shared" si="510"/>
        <v>29512870.929037482</v>
      </c>
      <c r="EB176" s="196">
        <f>'Detailed Budget'!$AC$200</f>
        <v>4683135004.5951529</v>
      </c>
      <c r="EC176" s="269">
        <f t="shared" ref="EC176:EC207" si="538">CF176*EB176</f>
        <v>7378217.7322593704</v>
      </c>
      <c r="ED176" s="269">
        <f t="shared" si="422"/>
        <v>36891088.661296852</v>
      </c>
      <c r="EE176" s="196">
        <f>'Detailed Budget'!$AC$161</f>
        <v>251147290106.36197</v>
      </c>
      <c r="EF176" s="269">
        <f t="shared" ref="EF176:EF207" si="539">CH176*EE176</f>
        <v>510382421.86980414</v>
      </c>
      <c r="EG176" s="196">
        <f>'Detailed Budget'!$AC$163</f>
        <v>15696705631.647623</v>
      </c>
      <c r="EH176" s="269">
        <f t="shared" ref="EH176:EH207" si="540">AP176*EG176</f>
        <v>31898901.366862759</v>
      </c>
      <c r="EI176" s="269">
        <f t="shared" si="423"/>
        <v>542281323.23666692</v>
      </c>
      <c r="EJ176" s="196">
        <f>'Detailed Budget'!$AC$204</f>
        <v>45012172507.531975</v>
      </c>
      <c r="EK176" s="269">
        <f t="shared" ref="EK176:EK207" si="541">CJ176*EJ176</f>
        <v>124313485.66526577</v>
      </c>
      <c r="EL176" s="201">
        <f>'Detailed Budget'!$AC$206</f>
        <v>11253043126.882994</v>
      </c>
      <c r="EM176" s="269">
        <f t="shared" ref="EM176:EM207" si="542">CJ176*EL176</f>
        <v>31078371.416316442</v>
      </c>
      <c r="EN176" s="269">
        <f t="shared" si="424"/>
        <v>155391857.08158222</v>
      </c>
      <c r="EO176" s="140">
        <f>'Detailed Budget'!$AC$209</f>
        <v>135789361677.54817</v>
      </c>
      <c r="EP176" s="269">
        <f t="shared" ref="EP176:EP207" si="543">CL176*EO176</f>
        <v>342507993.46586454</v>
      </c>
      <c r="EQ176" s="196">
        <f>'Detailed Budget'!$AC$211</f>
        <v>33947340419.387043</v>
      </c>
      <c r="ER176" s="269">
        <f t="shared" ref="ER176:ER207" si="544">CL176*EQ176</f>
        <v>85626998.366466135</v>
      </c>
      <c r="ES176" s="269">
        <f t="shared" si="425"/>
        <v>428134991.8323307</v>
      </c>
      <c r="ET176" s="196">
        <f>'Detailed Budget'!$AC$214</f>
        <v>22239745544.201103</v>
      </c>
      <c r="EU176" s="269">
        <f t="shared" ref="EU176:EU207" si="545">CN176*ET176</f>
        <v>54479289.645561472</v>
      </c>
      <c r="EV176" s="140">
        <f>'Detailed Budget'!$AC$217</f>
        <v>5559936386.0502758</v>
      </c>
      <c r="EW176" s="269">
        <f t="shared" ref="EW176:EW207" si="546">CN176*EV176</f>
        <v>13619822.411390368</v>
      </c>
      <c r="EX176" s="269">
        <f t="shared" si="426"/>
        <v>68099112.056951836</v>
      </c>
      <c r="EY176" s="196">
        <f>'Detailed Budget'!$AC$219</f>
        <v>372777004.58170313</v>
      </c>
      <c r="EZ176" s="269">
        <f t="shared" ref="EZ176:EZ207" si="547">CP176*EY176</f>
        <v>955966.32701467723</v>
      </c>
      <c r="FA176" s="196">
        <f>'Detailed Budget'!$AC$222</f>
        <v>93194251.145425782</v>
      </c>
      <c r="FB176" s="269">
        <f t="shared" ref="FB176:FB207" si="548">CP176*FA176</f>
        <v>238991.58175366931</v>
      </c>
      <c r="FC176" s="269">
        <f t="shared" si="427"/>
        <v>1194957.9087683465</v>
      </c>
      <c r="FD176" s="269"/>
      <c r="FE176" s="269">
        <f t="shared" si="428"/>
        <v>652820918.87963307</v>
      </c>
      <c r="FF176" s="140">
        <f>'Detailed Budget'!$AC$165</f>
        <v>14927760000</v>
      </c>
      <c r="FG176" s="1087">
        <f t="shared" si="442"/>
        <v>890490946.0840385</v>
      </c>
      <c r="FH176" s="269">
        <f t="shared" si="511"/>
        <v>18657579.820474949</v>
      </c>
      <c r="FJ176" s="140">
        <f>'Detailed Budget'!$AC$235</f>
        <v>3623696172</v>
      </c>
      <c r="FK176" s="269">
        <f t="shared" si="512"/>
        <v>4681778</v>
      </c>
      <c r="FL176" s="269">
        <f t="shared" si="443"/>
        <v>4681778</v>
      </c>
      <c r="FO176" s="607"/>
      <c r="FP176" s="607"/>
      <c r="FQ176" s="607"/>
      <c r="FR176" s="269">
        <f>'Detailed Budget'!$AC$257</f>
        <v>13636439388</v>
      </c>
      <c r="FS176" s="269">
        <f t="shared" si="513"/>
        <v>39973440</v>
      </c>
      <c r="FT176" s="269">
        <f t="shared" si="444"/>
        <v>39973440</v>
      </c>
      <c r="FU176" s="269"/>
      <c r="FV176" s="269"/>
      <c r="FW176" s="616"/>
      <c r="FX176" s="140">
        <f>'Detailed Budget'!$AC$278</f>
        <v>1114560000</v>
      </c>
      <c r="FY176" s="269">
        <f t="shared" si="514"/>
        <v>1440000</v>
      </c>
      <c r="FZ176" s="269">
        <f t="shared" si="445"/>
        <v>1440000</v>
      </c>
      <c r="GB176" s="269">
        <f t="shared" si="453"/>
        <v>2924287570.0065274</v>
      </c>
      <c r="GC176" s="887">
        <f t="shared" si="429"/>
        <v>1827679.7312540796</v>
      </c>
      <c r="GD176" s="1078">
        <f t="shared" si="454"/>
        <v>1.6409098387230327E-3</v>
      </c>
    </row>
    <row r="177" spans="1:186" hidden="1" outlineLevel="1">
      <c r="A177" s="211" t="s">
        <v>522</v>
      </c>
      <c r="B177" s="212" t="s">
        <v>523</v>
      </c>
      <c r="C177" s="213" t="s">
        <v>215</v>
      </c>
      <c r="D177" s="225" t="s">
        <v>215</v>
      </c>
      <c r="E177" s="213"/>
      <c r="F177" s="213"/>
      <c r="G177" s="213"/>
      <c r="H177" s="213" t="s">
        <v>215</v>
      </c>
      <c r="I177" s="214" t="s">
        <v>215</v>
      </c>
      <c r="J177" s="214"/>
      <c r="K177" s="213" t="s">
        <v>215</v>
      </c>
      <c r="L177" s="213"/>
      <c r="M177" s="214"/>
      <c r="N177" s="213"/>
      <c r="O177" s="214"/>
      <c r="P177" s="213"/>
      <c r="Q177" s="214"/>
      <c r="R177" s="214" t="s">
        <v>215</v>
      </c>
      <c r="S177" s="214"/>
      <c r="T177" s="214"/>
      <c r="U177" s="215">
        <f t="shared" si="515"/>
        <v>6</v>
      </c>
      <c r="V177" s="845" t="s">
        <v>219</v>
      </c>
      <c r="W177" s="216">
        <v>156022</v>
      </c>
      <c r="X177" s="217">
        <v>3.39</v>
      </c>
      <c r="Y177" s="218">
        <f t="shared" si="483"/>
        <v>1.0339</v>
      </c>
      <c r="Z177" s="196">
        <v>19</v>
      </c>
      <c r="AA177" s="218">
        <f t="shared" si="484"/>
        <v>1.8840489025780363</v>
      </c>
      <c r="AB177" s="196">
        <f t="shared" si="485"/>
        <v>293953.07787803037</v>
      </c>
      <c r="AC177" s="227">
        <v>20</v>
      </c>
      <c r="AD177" s="196">
        <f t="shared" si="486"/>
        <v>58790.615575606076</v>
      </c>
      <c r="AE177" s="196">
        <f t="shared" si="487"/>
        <v>55851.084796825773</v>
      </c>
      <c r="AF177" s="196">
        <f t="shared" si="516"/>
        <v>55851.084796825773</v>
      </c>
      <c r="AG177" s="606">
        <f t="shared" si="432"/>
        <v>2.582308970148754E-3</v>
      </c>
      <c r="AH177" s="196">
        <f t="shared" si="529"/>
        <v>14697.653893901519</v>
      </c>
      <c r="AI177" s="248">
        <f t="shared" si="409"/>
        <v>1.1386049780397389E-3</v>
      </c>
      <c r="AJ177" s="196">
        <f t="shared" si="412"/>
        <v>73488.269469507592</v>
      </c>
      <c r="AK177" s="196">
        <f t="shared" si="455"/>
        <v>11758.123115121214</v>
      </c>
      <c r="AL177" s="196">
        <f t="shared" si="456"/>
        <v>11758.123115121214</v>
      </c>
      <c r="AM177" s="196">
        <f t="shared" si="413"/>
        <v>23516.246230242428</v>
      </c>
      <c r="AN177" s="627">
        <f t="shared" si="414"/>
        <v>1.1386049780397389E-3</v>
      </c>
      <c r="AO177" s="196">
        <f t="shared" si="415"/>
        <v>11170.216959365154</v>
      </c>
      <c r="AP177" s="589">
        <f t="shared" si="433"/>
        <v>1.1386049780397389E-3</v>
      </c>
      <c r="AQ177" s="196"/>
      <c r="AR177" s="589"/>
      <c r="AS177">
        <v>1</v>
      </c>
      <c r="AT177" s="589">
        <f t="shared" si="434"/>
        <v>1.2919896640826874E-3</v>
      </c>
      <c r="AU177" s="196">
        <v>10</v>
      </c>
      <c r="AV177" s="245">
        <f t="shared" si="416"/>
        <v>1.1362345188046814E-3</v>
      </c>
      <c r="AX177" s="245"/>
      <c r="AY177" s="245"/>
      <c r="AZ177" s="196">
        <v>39</v>
      </c>
      <c r="BA177" s="589">
        <f t="shared" si="447"/>
        <v>1.4290425414971969E-3</v>
      </c>
      <c r="BI177" s="196">
        <v>0</v>
      </c>
      <c r="BK177" s="246">
        <f t="shared" si="448"/>
        <v>0</v>
      </c>
      <c r="BL177" s="246"/>
      <c r="BM177" s="246">
        <f t="shared" si="449"/>
        <v>0</v>
      </c>
      <c r="BN177" s="196">
        <v>1</v>
      </c>
      <c r="BO177" s="196">
        <f t="shared" si="517"/>
        <v>22234.479149175404</v>
      </c>
      <c r="BP177" s="196">
        <f t="shared" si="417"/>
        <v>22234.479149175404</v>
      </c>
      <c r="BQ177" s="248">
        <f t="shared" si="450"/>
        <v>2.0799319840392378E-3</v>
      </c>
      <c r="BR177" s="248"/>
      <c r="BS177" s="248"/>
      <c r="BT177" s="276">
        <v>1</v>
      </c>
      <c r="BU177" s="196">
        <f t="shared" si="530"/>
        <v>42329.24321443637</v>
      </c>
      <c r="BV177" s="264">
        <f t="shared" si="451"/>
        <v>2.9360364875772411E-3</v>
      </c>
      <c r="BW177" s="196">
        <f t="shared" si="531"/>
        <v>181075.09597286672</v>
      </c>
      <c r="BX177" s="247">
        <f t="shared" si="452"/>
        <v>2.9360365140251705E-3</v>
      </c>
      <c r="BY177" s="196">
        <f t="shared" si="492"/>
        <v>223404.33918730309</v>
      </c>
      <c r="BZ177" s="620">
        <v>0</v>
      </c>
      <c r="CA177" s="196">
        <f t="shared" si="518"/>
        <v>89949.641830677298</v>
      </c>
      <c r="CB177" s="196">
        <f t="shared" si="519"/>
        <v>179899.2836613546</v>
      </c>
      <c r="CC177" s="196">
        <f t="shared" si="430"/>
        <v>269848.92549203191</v>
      </c>
      <c r="CD177" s="247">
        <f t="shared" si="418"/>
        <v>1.1386049780397389E-3</v>
      </c>
      <c r="CE177" s="196">
        <f t="shared" si="520"/>
        <v>20441.216582150748</v>
      </c>
      <c r="CF177" s="247">
        <f t="shared" si="419"/>
        <v>8.8271530309018973E-4</v>
      </c>
      <c r="CG177" s="196">
        <f t="shared" si="532"/>
        <v>44680.867837460617</v>
      </c>
      <c r="CH177" s="589">
        <f t="shared" si="435"/>
        <v>1.1386049780397389E-3</v>
      </c>
      <c r="CI177" s="196">
        <f t="shared" si="521"/>
        <v>94122.269290260549</v>
      </c>
      <c r="CJ177" s="248">
        <f t="shared" si="436"/>
        <v>1.5473698682179759E-3</v>
      </c>
      <c r="CK177" s="196">
        <f t="shared" si="522"/>
        <v>98309.788875185142</v>
      </c>
      <c r="CL177" s="589">
        <f t="shared" si="437"/>
        <v>1.4132234365416341E-3</v>
      </c>
      <c r="CM177" s="196">
        <f t="shared" si="523"/>
        <v>9523.7778771393369</v>
      </c>
      <c r="CN177" s="589">
        <f t="shared" si="438"/>
        <v>1.3724846265079217E-3</v>
      </c>
      <c r="CO177" s="196">
        <f t="shared" si="524"/>
        <v>761.89150024948162</v>
      </c>
      <c r="CP177" s="589">
        <f t="shared" si="439"/>
        <v>1.4368100165756085E-3</v>
      </c>
      <c r="CQ177" s="196">
        <f>'Detailed Budget'!$AC$12</f>
        <v>292876014141.44696</v>
      </c>
      <c r="CR177" s="269">
        <f t="shared" si="507"/>
        <v>0</v>
      </c>
      <c r="CS177" s="269">
        <f>'Detailed Budget'!$AC$16</f>
        <v>10488008800.000002</v>
      </c>
      <c r="CT177" s="607">
        <f t="shared" si="533"/>
        <v>0</v>
      </c>
      <c r="CU177" s="269">
        <f>'Detailed Budget'!$AC$24</f>
        <v>30624985696</v>
      </c>
      <c r="CV177" s="269">
        <f t="shared" si="446"/>
        <v>0</v>
      </c>
      <c r="CW177" s="269"/>
      <c r="CX177" s="269">
        <f t="shared" si="431"/>
        <v>0</v>
      </c>
      <c r="CY177" s="196">
        <f>'Detailed Budget'!$AC$97</f>
        <v>74629165494.837845</v>
      </c>
      <c r="CZ177" s="269">
        <f t="shared" si="534"/>
        <v>155223588.25487071</v>
      </c>
      <c r="DA177" s="269">
        <f>'Detailed Budget'!$AC$100</f>
        <v>14925833098.967569</v>
      </c>
      <c r="DB177" s="269">
        <f t="shared" si="535"/>
        <v>31044717.650974143</v>
      </c>
      <c r="DC177" s="269">
        <f t="shared" si="420"/>
        <v>186268305.90584487</v>
      </c>
      <c r="DD177" s="207">
        <v>0</v>
      </c>
      <c r="DE177" s="606">
        <v>0</v>
      </c>
      <c r="DF177" s="269">
        <f>'Detailed Budget'!$AC$147</f>
        <v>5913600671000</v>
      </c>
      <c r="DG177" s="269">
        <f t="shared" si="441"/>
        <v>0</v>
      </c>
      <c r="DH177" s="269">
        <f>'Detailed Budget'!$AC$153</f>
        <v>226428026880.00003</v>
      </c>
      <c r="DI177" s="269"/>
      <c r="DJ177" s="269">
        <f>'Detailed Budget'!$AC$156</f>
        <v>27713070000</v>
      </c>
      <c r="DK177" s="269"/>
      <c r="DL177" s="269"/>
      <c r="DM177" s="196">
        <f>'Detailed Budget'!$AC$178</f>
        <v>5622683761.6229038</v>
      </c>
      <c r="DN177" s="269">
        <f t="shared" si="525"/>
        <v>16508404.6822329</v>
      </c>
      <c r="DO177" s="196">
        <f>'Detailed Budget'!$AC$179</f>
        <v>26827890683.128094</v>
      </c>
      <c r="DP177" s="269">
        <f t="shared" si="526"/>
        <v>78767666.639939755</v>
      </c>
      <c r="DQ177" s="269">
        <f t="shared" si="457"/>
        <v>95276071.322172657</v>
      </c>
      <c r="DR177" s="269">
        <f>'Detailed Budget'!$AC$181</f>
        <v>50888946855.375237</v>
      </c>
      <c r="DS177" s="269">
        <f t="shared" si="527"/>
        <v>131410983.94605871</v>
      </c>
      <c r="DT177" s="269">
        <f t="shared" si="528"/>
        <v>226687055.26823136</v>
      </c>
      <c r="DU177" s="272">
        <f>'Detailed Budget'!$AC$192</f>
        <v>77498869683.252869</v>
      </c>
      <c r="DV177" s="269">
        <f t="shared" si="536"/>
        <v>0</v>
      </c>
      <c r="DW177" s="140">
        <f>'Detailed Budget'!$AC$194</f>
        <v>2684962805.4134097</v>
      </c>
      <c r="DX177" s="269">
        <f t="shared" si="537"/>
        <v>0</v>
      </c>
      <c r="DY177" s="607">
        <f t="shared" si="421"/>
        <v>0</v>
      </c>
      <c r="DZ177" s="196">
        <f>'Detailed Budget'!$AC$198</f>
        <v>18732540018.380611</v>
      </c>
      <c r="EA177" s="269">
        <f t="shared" si="510"/>
        <v>16535499.739973949</v>
      </c>
      <c r="EB177" s="196">
        <f>'Detailed Budget'!$AC$200</f>
        <v>4683135004.5951529</v>
      </c>
      <c r="EC177" s="269">
        <f t="shared" si="538"/>
        <v>4133874.9349934873</v>
      </c>
      <c r="ED177" s="269">
        <f t="shared" si="422"/>
        <v>20669374.674967438</v>
      </c>
      <c r="EE177" s="196">
        <f>'Detailed Budget'!$AC$161</f>
        <v>251147290106.36197</v>
      </c>
      <c r="EF177" s="269">
        <f t="shared" si="539"/>
        <v>285957554.73629421</v>
      </c>
      <c r="EG177" s="196">
        <f>'Detailed Budget'!$AC$163</f>
        <v>15696705631.647623</v>
      </c>
      <c r="EH177" s="269">
        <f t="shared" si="540"/>
        <v>17872347.171018388</v>
      </c>
      <c r="EI177" s="269">
        <f t="shared" si="423"/>
        <v>303829901.90731257</v>
      </c>
      <c r="EJ177" s="196">
        <f>'Detailed Budget'!$AC$204</f>
        <v>45012172507.531975</v>
      </c>
      <c r="EK177" s="269">
        <f t="shared" si="541"/>
        <v>69650479.441184551</v>
      </c>
      <c r="EL177" s="201">
        <f>'Detailed Budget'!$AC$206</f>
        <v>11253043126.882994</v>
      </c>
      <c r="EM177" s="269">
        <f t="shared" si="542"/>
        <v>17412619.860296138</v>
      </c>
      <c r="EN177" s="269">
        <f t="shared" si="424"/>
        <v>87063099.301480681</v>
      </c>
      <c r="EO177" s="140">
        <f>'Detailed Budget'!$AC$209</f>
        <v>135789361677.54817</v>
      </c>
      <c r="EP177" s="269">
        <f t="shared" si="543"/>
        <v>191900708.3557395</v>
      </c>
      <c r="EQ177" s="196">
        <f>'Detailed Budget'!$AC$211</f>
        <v>33947340419.387043</v>
      </c>
      <c r="ER177" s="269">
        <f t="shared" si="544"/>
        <v>47975177.088934876</v>
      </c>
      <c r="ES177" s="269">
        <f t="shared" si="425"/>
        <v>239875885.44467437</v>
      </c>
      <c r="ET177" s="196">
        <f>'Detailed Budget'!$AC$214</f>
        <v>22239745544.201103</v>
      </c>
      <c r="EU177" s="269">
        <f t="shared" si="545"/>
        <v>30523708.856864069</v>
      </c>
      <c r="EV177" s="140">
        <f>'Detailed Budget'!$AC$217</f>
        <v>5559936386.0502758</v>
      </c>
      <c r="EW177" s="269">
        <f t="shared" si="546"/>
        <v>7630927.2142160172</v>
      </c>
      <c r="EX177" s="269">
        <f t="shared" si="426"/>
        <v>38154636.071080089</v>
      </c>
      <c r="EY177" s="196">
        <f>'Detailed Budget'!$AC$219</f>
        <v>372777004.58170313</v>
      </c>
      <c r="EZ177" s="269">
        <f t="shared" si="547"/>
        <v>535609.7341320425</v>
      </c>
      <c r="FA177" s="196">
        <f>'Detailed Budget'!$AC$222</f>
        <v>93194251.145425782</v>
      </c>
      <c r="FB177" s="269">
        <f t="shared" si="548"/>
        <v>133902.43353301063</v>
      </c>
      <c r="FC177" s="269">
        <f t="shared" si="427"/>
        <v>669512.16766505316</v>
      </c>
      <c r="FD177" s="269"/>
      <c r="FE177" s="269">
        <f t="shared" si="428"/>
        <v>365763132.98490018</v>
      </c>
      <c r="FF177" s="140">
        <f>'Detailed Budget'!$AC$165</f>
        <v>14927760000</v>
      </c>
      <c r="FG177" s="1087">
        <f t="shared" si="442"/>
        <v>498925124.66261792</v>
      </c>
      <c r="FH177" s="269">
        <f t="shared" si="511"/>
        <v>16961436.200431772</v>
      </c>
      <c r="FJ177" s="140">
        <f>'Detailed Budget'!$AC$235</f>
        <v>3623696172</v>
      </c>
      <c r="FK177" s="269">
        <f t="shared" si="512"/>
        <v>4681778</v>
      </c>
      <c r="FL177" s="269">
        <f t="shared" si="443"/>
        <v>4681778</v>
      </c>
      <c r="FO177" s="607"/>
      <c r="FP177" s="607"/>
      <c r="FQ177" s="607"/>
      <c r="FR177" s="269">
        <f>'Detailed Budget'!$AC$257</f>
        <v>13636439388</v>
      </c>
      <c r="FS177" s="269">
        <f t="shared" si="513"/>
        <v>19487052</v>
      </c>
      <c r="FT177" s="269">
        <f t="shared" si="444"/>
        <v>19487052</v>
      </c>
      <c r="FU177" s="269"/>
      <c r="FV177" s="269"/>
      <c r="FW177" s="616"/>
      <c r="FX177" s="140">
        <f>'Detailed Budget'!$AC$278</f>
        <v>1114560000</v>
      </c>
      <c r="FY177" s="269">
        <f t="shared" si="514"/>
        <v>1440000</v>
      </c>
      <c r="FZ177" s="269">
        <f t="shared" si="445"/>
        <v>1440000</v>
      </c>
      <c r="GB177" s="269">
        <f t="shared" si="453"/>
        <v>1644713161.6043062</v>
      </c>
      <c r="GC177" s="887">
        <f t="shared" si="429"/>
        <v>1027945.7260026914</v>
      </c>
      <c r="GD177" s="1078">
        <f t="shared" si="454"/>
        <v>9.2290034551825804E-4</v>
      </c>
    </row>
    <row r="178" spans="1:186" hidden="1" outlineLevel="1">
      <c r="A178" s="211" t="s">
        <v>524</v>
      </c>
      <c r="B178" s="212" t="s">
        <v>525</v>
      </c>
      <c r="C178" s="213" t="s">
        <v>215</v>
      </c>
      <c r="D178" s="225" t="s">
        <v>215</v>
      </c>
      <c r="E178" s="213"/>
      <c r="F178" s="213"/>
      <c r="G178" s="213"/>
      <c r="H178" s="213" t="s">
        <v>215</v>
      </c>
      <c r="I178" s="214" t="s">
        <v>215</v>
      </c>
      <c r="J178" s="214"/>
      <c r="K178" s="213" t="s">
        <v>215</v>
      </c>
      <c r="L178" s="213"/>
      <c r="M178" s="214"/>
      <c r="N178" s="213"/>
      <c r="O178" s="214"/>
      <c r="P178" s="213"/>
      <c r="Q178" s="214"/>
      <c r="R178" s="214" t="s">
        <v>215</v>
      </c>
      <c r="S178" s="214"/>
      <c r="T178" s="214"/>
      <c r="U178" s="215">
        <f t="shared" si="515"/>
        <v>6</v>
      </c>
      <c r="V178" s="845" t="s">
        <v>219</v>
      </c>
      <c r="W178" s="216">
        <v>228527</v>
      </c>
      <c r="X178" s="217">
        <v>3.39</v>
      </c>
      <c r="Y178" s="218">
        <f t="shared" si="483"/>
        <v>1.0339</v>
      </c>
      <c r="Z178" s="196">
        <v>19</v>
      </c>
      <c r="AA178" s="218">
        <f t="shared" si="484"/>
        <v>1.8840489025780363</v>
      </c>
      <c r="AB178" s="196">
        <f t="shared" ref="AB178:AB210" si="549">W178*AA178</f>
        <v>430556.04355945089</v>
      </c>
      <c r="AC178" s="227">
        <v>20</v>
      </c>
      <c r="AD178" s="196">
        <f t="shared" ref="AD178:AD210" si="550">AB178*AC178/100</f>
        <v>86111.208711890169</v>
      </c>
      <c r="AE178" s="196">
        <f t="shared" si="487"/>
        <v>81805.648276295658</v>
      </c>
      <c r="AF178" s="196">
        <f t="shared" si="516"/>
        <v>81805.648276295658</v>
      </c>
      <c r="AG178" s="606">
        <f t="shared" si="432"/>
        <v>3.78233404277079E-3</v>
      </c>
      <c r="AH178" s="196">
        <f t="shared" si="529"/>
        <v>21527.802177972546</v>
      </c>
      <c r="AI178" s="248">
        <f t="shared" si="409"/>
        <v>1.6677262169212509E-3</v>
      </c>
      <c r="AJ178" s="196">
        <f t="shared" si="412"/>
        <v>107639.01088986272</v>
      </c>
      <c r="AK178" s="196">
        <f t="shared" si="455"/>
        <v>17222.241742378035</v>
      </c>
      <c r="AL178" s="196">
        <f t="shared" si="456"/>
        <v>17222.241742378035</v>
      </c>
      <c r="AM178" s="196">
        <f t="shared" si="413"/>
        <v>34444.483484756071</v>
      </c>
      <c r="AN178" s="627">
        <f t="shared" si="414"/>
        <v>1.6677262169212509E-3</v>
      </c>
      <c r="AO178" s="196">
        <f t="shared" si="415"/>
        <v>16361.129655259134</v>
      </c>
      <c r="AP178" s="589">
        <f t="shared" si="433"/>
        <v>1.6677262169212509E-3</v>
      </c>
      <c r="AQ178" s="196"/>
      <c r="AR178" s="589"/>
      <c r="AS178">
        <v>1</v>
      </c>
      <c r="AT178" s="589">
        <f t="shared" si="434"/>
        <v>1.2919896640826874E-3</v>
      </c>
      <c r="AU178" s="196">
        <v>10</v>
      </c>
      <c r="AV178" s="245">
        <f t="shared" si="416"/>
        <v>1.1362345188046814E-3</v>
      </c>
      <c r="AX178" s="245"/>
      <c r="AY178" s="245"/>
      <c r="AZ178" s="196">
        <v>42</v>
      </c>
      <c r="BA178" s="589">
        <f t="shared" si="447"/>
        <v>1.5389688908431351E-3</v>
      </c>
      <c r="BI178" s="196">
        <v>0</v>
      </c>
      <c r="BK178" s="246">
        <f t="shared" si="448"/>
        <v>0</v>
      </c>
      <c r="BL178" s="246"/>
      <c r="BM178" s="246">
        <f t="shared" si="449"/>
        <v>0</v>
      </c>
      <c r="BN178" s="196">
        <v>1</v>
      </c>
      <c r="BO178" s="196">
        <f t="shared" si="517"/>
        <v>32567.066288879822</v>
      </c>
      <c r="BP178" s="196">
        <f t="shared" si="417"/>
        <v>32567.066288879822</v>
      </c>
      <c r="BQ178" s="248">
        <f t="shared" si="450"/>
        <v>3.0464973947041756E-3</v>
      </c>
      <c r="BR178" s="248"/>
      <c r="BS178" s="248"/>
      <c r="BT178" s="276">
        <v>1</v>
      </c>
      <c r="BU178" s="196">
        <f t="shared" si="530"/>
        <v>62000.070272560923</v>
      </c>
      <c r="BV178" s="264">
        <f t="shared" si="451"/>
        <v>4.300442311959622E-3</v>
      </c>
      <c r="BW178" s="196">
        <f t="shared" si="531"/>
        <v>265222.5228326217</v>
      </c>
      <c r="BX178" s="247">
        <f t="shared" si="452"/>
        <v>4.3004423506981708E-3</v>
      </c>
      <c r="BY178" s="196">
        <f t="shared" si="492"/>
        <v>327222.59310518263</v>
      </c>
      <c r="BZ178" s="620">
        <v>0</v>
      </c>
      <c r="CA178" s="196">
        <f t="shared" si="518"/>
        <v>131750.14932919198</v>
      </c>
      <c r="CB178" s="196">
        <f t="shared" si="519"/>
        <v>263500.29865838395</v>
      </c>
      <c r="CC178" s="196">
        <f t="shared" si="430"/>
        <v>395250.4479875759</v>
      </c>
      <c r="CD178" s="247">
        <f t="shared" si="418"/>
        <v>1.6677262169212509E-3</v>
      </c>
      <c r="CE178" s="196">
        <f t="shared" si="520"/>
        <v>29940.45648606712</v>
      </c>
      <c r="CF178" s="247">
        <f t="shared" si="419"/>
        <v>1.2929220242612696E-3</v>
      </c>
      <c r="CG178" s="196">
        <f t="shared" si="532"/>
        <v>65444.518621036535</v>
      </c>
      <c r="CH178" s="589">
        <f t="shared" si="435"/>
        <v>1.6677262169212509E-3</v>
      </c>
      <c r="CI178" s="196">
        <f t="shared" si="521"/>
        <v>137861.83893358224</v>
      </c>
      <c r="CJ178" s="248">
        <f t="shared" si="436"/>
        <v>2.2664482821284772E-3</v>
      </c>
      <c r="CK178" s="196">
        <f t="shared" si="522"/>
        <v>143995.3411844447</v>
      </c>
      <c r="CL178" s="589">
        <f t="shared" si="437"/>
        <v>2.0699626481044337E-3</v>
      </c>
      <c r="CM178" s="196">
        <f t="shared" si="523"/>
        <v>13949.573694280427</v>
      </c>
      <c r="CN178" s="589">
        <f t="shared" si="438"/>
        <v>2.0102921013829831E-3</v>
      </c>
      <c r="CO178" s="196">
        <f t="shared" si="524"/>
        <v>1115.9501793177453</v>
      </c>
      <c r="CP178" s="589">
        <f t="shared" si="439"/>
        <v>2.1045101502222383E-3</v>
      </c>
      <c r="CQ178" s="196">
        <f>'Detailed Budget'!$AC$12</f>
        <v>292876014141.44696</v>
      </c>
      <c r="CR178" s="269">
        <f t="shared" si="507"/>
        <v>0</v>
      </c>
      <c r="CS178" s="269">
        <f>'Detailed Budget'!$AC$16</f>
        <v>10488008800.000002</v>
      </c>
      <c r="CT178" s="607">
        <f t="shared" si="533"/>
        <v>0</v>
      </c>
      <c r="CU178" s="269">
        <f>'Detailed Budget'!$AC$24</f>
        <v>30624985696</v>
      </c>
      <c r="CV178" s="269">
        <f t="shared" si="446"/>
        <v>0</v>
      </c>
      <c r="CW178" s="269"/>
      <c r="CX178" s="269">
        <f t="shared" si="431"/>
        <v>0</v>
      </c>
      <c r="CY178" s="196">
        <f>'Detailed Budget'!$AC$97</f>
        <v>74629165494.837845</v>
      </c>
      <c r="CZ178" s="269">
        <f t="shared" si="534"/>
        <v>227357558.24897024</v>
      </c>
      <c r="DA178" s="269">
        <f>'Detailed Budget'!$AC$100</f>
        <v>14925833098.967569</v>
      </c>
      <c r="DB178" s="269">
        <f t="shared" si="535"/>
        <v>45471511.64979405</v>
      </c>
      <c r="DC178" s="269">
        <f t="shared" si="420"/>
        <v>272829069.89876431</v>
      </c>
      <c r="DD178" s="207">
        <v>0</v>
      </c>
      <c r="DE178" s="606">
        <v>0</v>
      </c>
      <c r="DF178" s="269">
        <f>'Detailed Budget'!$AC$147</f>
        <v>5913600671000</v>
      </c>
      <c r="DG178" s="269">
        <f t="shared" si="441"/>
        <v>0</v>
      </c>
      <c r="DH178" s="269">
        <f>'Detailed Budget'!$AC$153</f>
        <v>226428026880.00003</v>
      </c>
      <c r="DI178" s="269"/>
      <c r="DJ178" s="269">
        <f>'Detailed Budget'!$AC$156</f>
        <v>27713070000</v>
      </c>
      <c r="DK178" s="269"/>
      <c r="DL178" s="269"/>
      <c r="DM178" s="196">
        <f>'Detailed Budget'!$AC$178</f>
        <v>5622683761.6229038</v>
      </c>
      <c r="DN178" s="269">
        <f t="shared" si="525"/>
        <v>24180027.155251425</v>
      </c>
      <c r="DO178" s="196">
        <f>'Detailed Budget'!$AC$179</f>
        <v>26827890683.128094</v>
      </c>
      <c r="DP178" s="269">
        <f t="shared" si="526"/>
        <v>115371797.27362494</v>
      </c>
      <c r="DQ178" s="269">
        <f t="shared" si="457"/>
        <v>139551824.42887637</v>
      </c>
      <c r="DR178" s="269">
        <f>'Detailed Budget'!$AC$181</f>
        <v>50888946855.375237</v>
      </c>
      <c r="DS178" s="269">
        <f t="shared" si="527"/>
        <v>192478996.09183931</v>
      </c>
      <c r="DT178" s="269">
        <f t="shared" si="528"/>
        <v>332030820.52071571</v>
      </c>
      <c r="DU178" s="272">
        <f>'Detailed Budget'!$AC$192</f>
        <v>77498869683.252869</v>
      </c>
      <c r="DV178" s="269">
        <f t="shared" si="536"/>
        <v>0</v>
      </c>
      <c r="DW178" s="140">
        <f>'Detailed Budget'!$AC$194</f>
        <v>2684962805.4134097</v>
      </c>
      <c r="DX178" s="269">
        <f t="shared" si="537"/>
        <v>0</v>
      </c>
      <c r="DY178" s="607">
        <f t="shared" si="421"/>
        <v>0</v>
      </c>
      <c r="DZ178" s="196">
        <f>'Detailed Budget'!$AC$198</f>
        <v>18732540018.380611</v>
      </c>
      <c r="EA178" s="269">
        <f t="shared" si="510"/>
        <v>24219713.560119901</v>
      </c>
      <c r="EB178" s="196">
        <f>'Detailed Budget'!$AC$200</f>
        <v>4683135004.5951529</v>
      </c>
      <c r="EC178" s="269">
        <f t="shared" si="538"/>
        <v>6054928.3900299752</v>
      </c>
      <c r="ED178" s="269">
        <f t="shared" si="422"/>
        <v>30274641.950149875</v>
      </c>
      <c r="EE178" s="196">
        <f>'Detailed Budget'!$AC$161</f>
        <v>251147290106.36197</v>
      </c>
      <c r="EF178" s="269">
        <f t="shared" si="539"/>
        <v>418844920.01910698</v>
      </c>
      <c r="EG178" s="196">
        <f>'Detailed Budget'!$AC$163</f>
        <v>15696705631.647623</v>
      </c>
      <c r="EH178" s="269">
        <f t="shared" si="540"/>
        <v>26177807.501194187</v>
      </c>
      <c r="EI178" s="269">
        <f t="shared" si="423"/>
        <v>445022727.52030116</v>
      </c>
      <c r="EJ178" s="196">
        <f>'Detailed Budget'!$AC$204</f>
        <v>45012172507.531975</v>
      </c>
      <c r="EK178" s="269">
        <f t="shared" si="541"/>
        <v>102017761.05456652</v>
      </c>
      <c r="EL178" s="201">
        <f>'Detailed Budget'!$AC$206</f>
        <v>11253043126.882994</v>
      </c>
      <c r="EM178" s="269">
        <f t="shared" si="542"/>
        <v>25504440.263641629</v>
      </c>
      <c r="EN178" s="269">
        <f t="shared" si="424"/>
        <v>127522201.31820814</v>
      </c>
      <c r="EO178" s="140">
        <f>'Detailed Budget'!$AC$209</f>
        <v>135789361677.54817</v>
      </c>
      <c r="EP178" s="269">
        <f t="shared" si="543"/>
        <v>281078906.6824683</v>
      </c>
      <c r="EQ178" s="196">
        <f>'Detailed Budget'!$AC$211</f>
        <v>33947340419.387043</v>
      </c>
      <c r="ER178" s="269">
        <f t="shared" si="544"/>
        <v>70269726.670617074</v>
      </c>
      <c r="ES178" s="269">
        <f t="shared" si="425"/>
        <v>351348633.3530854</v>
      </c>
      <c r="ET178" s="196">
        <f>'Detailed Budget'!$AC$214</f>
        <v>22239745544.201103</v>
      </c>
      <c r="EU178" s="269">
        <f t="shared" si="545"/>
        <v>44708384.804274872</v>
      </c>
      <c r="EV178" s="140">
        <f>'Detailed Budget'!$AC$217</f>
        <v>5559936386.0502758</v>
      </c>
      <c r="EW178" s="269">
        <f t="shared" si="546"/>
        <v>11177096.201068718</v>
      </c>
      <c r="EX178" s="269">
        <f t="shared" si="426"/>
        <v>55885481.005343586</v>
      </c>
      <c r="EY178" s="196">
        <f>'Detailed Budget'!$AC$219</f>
        <v>372777004.58170313</v>
      </c>
      <c r="EZ178" s="269">
        <f t="shared" si="547"/>
        <v>784512.9899116361</v>
      </c>
      <c r="FA178" s="196">
        <f>'Detailed Budget'!$AC$222</f>
        <v>93194251.145425782</v>
      </c>
      <c r="FB178" s="269">
        <f t="shared" si="548"/>
        <v>196128.24747790903</v>
      </c>
      <c r="FC178" s="269">
        <f t="shared" si="427"/>
        <v>980641.23738954519</v>
      </c>
      <c r="FD178" s="269"/>
      <c r="FE178" s="269">
        <f t="shared" si="428"/>
        <v>535736956.91402674</v>
      </c>
      <c r="FF178" s="140">
        <f>'Detailed Budget'!$AC$165</f>
        <v>14927760000</v>
      </c>
      <c r="FG178" s="1087">
        <f t="shared" si="442"/>
        <v>730780671.72433436</v>
      </c>
      <c r="FH178" s="269">
        <f t="shared" si="511"/>
        <v>16961436.200431772</v>
      </c>
      <c r="FJ178" s="140">
        <f>'Detailed Budget'!$AC$235</f>
        <v>3623696172</v>
      </c>
      <c r="FK178" s="269">
        <f t="shared" si="512"/>
        <v>4681778</v>
      </c>
      <c r="FL178" s="269">
        <f t="shared" si="443"/>
        <v>4681778</v>
      </c>
      <c r="FO178" s="607"/>
      <c r="FP178" s="607"/>
      <c r="FQ178" s="607"/>
      <c r="FR178" s="269">
        <f>'Detailed Budget'!$AC$257</f>
        <v>13636439388</v>
      </c>
      <c r="FS178" s="269">
        <f t="shared" si="513"/>
        <v>20986056</v>
      </c>
      <c r="FT178" s="269">
        <f t="shared" si="444"/>
        <v>20986056</v>
      </c>
      <c r="FU178" s="269"/>
      <c r="FV178" s="269"/>
      <c r="FW178" s="616"/>
      <c r="FX178" s="140">
        <f>'Detailed Budget'!$AC$278</f>
        <v>1114560000</v>
      </c>
      <c r="FY178" s="269">
        <f t="shared" si="514"/>
        <v>1440000</v>
      </c>
      <c r="FZ178" s="269">
        <f t="shared" si="445"/>
        <v>1440000</v>
      </c>
      <c r="GB178" s="269">
        <f t="shared" si="453"/>
        <v>2390744158.728724</v>
      </c>
      <c r="GC178" s="887">
        <f t="shared" si="429"/>
        <v>1494215.0992054525</v>
      </c>
      <c r="GD178" s="1078">
        <f t="shared" si="454"/>
        <v>1.3415218298516469E-3</v>
      </c>
    </row>
    <row r="179" spans="1:186" hidden="1" outlineLevel="1">
      <c r="A179" s="211" t="s">
        <v>526</v>
      </c>
      <c r="B179" s="212" t="s">
        <v>527</v>
      </c>
      <c r="C179" s="213" t="s">
        <v>215</v>
      </c>
      <c r="D179" s="225" t="s">
        <v>215</v>
      </c>
      <c r="E179" s="213"/>
      <c r="F179" s="213"/>
      <c r="G179" s="213"/>
      <c r="H179" s="213" t="s">
        <v>215</v>
      </c>
      <c r="I179" s="214" t="s">
        <v>215</v>
      </c>
      <c r="J179" s="214"/>
      <c r="K179" s="213" t="s">
        <v>215</v>
      </c>
      <c r="L179" s="213"/>
      <c r="M179" s="214"/>
      <c r="N179" s="213"/>
      <c r="O179" s="214"/>
      <c r="P179" s="213"/>
      <c r="Q179" s="214"/>
      <c r="R179" s="214" t="s">
        <v>215</v>
      </c>
      <c r="S179" s="214"/>
      <c r="T179" s="214"/>
      <c r="U179" s="215">
        <f t="shared" si="515"/>
        <v>6</v>
      </c>
      <c r="V179" s="845" t="s">
        <v>219</v>
      </c>
      <c r="W179" s="216">
        <v>117482</v>
      </c>
      <c r="X179" s="217">
        <v>3.39</v>
      </c>
      <c r="Y179" s="218">
        <f t="shared" si="483"/>
        <v>1.0339</v>
      </c>
      <c r="Z179" s="196">
        <v>19</v>
      </c>
      <c r="AA179" s="218">
        <f t="shared" si="484"/>
        <v>1.8840489025780363</v>
      </c>
      <c r="AB179" s="196">
        <f t="shared" si="549"/>
        <v>221341.83317267286</v>
      </c>
      <c r="AC179" s="227">
        <v>20</v>
      </c>
      <c r="AD179" s="196">
        <f t="shared" si="550"/>
        <v>44268.36663453457</v>
      </c>
      <c r="AE179" s="196">
        <f t="shared" si="487"/>
        <v>42054.948302807839</v>
      </c>
      <c r="AF179" s="196">
        <f t="shared" si="516"/>
        <v>42054.948302807839</v>
      </c>
      <c r="AG179" s="606">
        <f t="shared" si="432"/>
        <v>1.9444361848394193E-3</v>
      </c>
      <c r="AH179" s="196">
        <f t="shared" si="529"/>
        <v>11067.091658633644</v>
      </c>
      <c r="AI179" s="248">
        <f t="shared" si="409"/>
        <v>8.5735082251262398E-4</v>
      </c>
      <c r="AJ179" s="196">
        <f t="shared" si="412"/>
        <v>55335.458293168216</v>
      </c>
      <c r="AK179" s="196">
        <f t="shared" si="455"/>
        <v>8853.6733269069155</v>
      </c>
      <c r="AL179" s="196">
        <f t="shared" si="456"/>
        <v>8853.6733269069155</v>
      </c>
      <c r="AM179" s="196">
        <f t="shared" si="413"/>
        <v>17707.346653813831</v>
      </c>
      <c r="AN179" s="627">
        <f t="shared" si="414"/>
        <v>8.5735082251262398E-4</v>
      </c>
      <c r="AO179" s="196">
        <f t="shared" si="415"/>
        <v>8410.9896605615686</v>
      </c>
      <c r="AP179" s="589">
        <f t="shared" si="433"/>
        <v>8.5735082251262387E-4</v>
      </c>
      <c r="AQ179" s="196"/>
      <c r="AR179" s="589"/>
      <c r="AS179">
        <v>1</v>
      </c>
      <c r="AT179" s="589">
        <f t="shared" si="434"/>
        <v>1.2919896640826874E-3</v>
      </c>
      <c r="AU179" s="196">
        <v>10</v>
      </c>
      <c r="AV179" s="245">
        <f t="shared" si="416"/>
        <v>1.1362345188046814E-3</v>
      </c>
      <c r="AX179" s="245"/>
      <c r="AY179" s="245"/>
      <c r="AZ179" s="196">
        <v>32</v>
      </c>
      <c r="BA179" s="589">
        <f t="shared" si="447"/>
        <v>1.1725477263566744E-3</v>
      </c>
      <c r="BI179" s="196">
        <v>0</v>
      </c>
      <c r="BK179" s="246">
        <f t="shared" si="448"/>
        <v>0</v>
      </c>
      <c r="BL179" s="246"/>
      <c r="BM179" s="246">
        <f t="shared" si="449"/>
        <v>0</v>
      </c>
      <c r="BN179" s="196">
        <v>1</v>
      </c>
      <c r="BO179" s="196">
        <f t="shared" si="517"/>
        <v>16742.197122222668</v>
      </c>
      <c r="BP179" s="196">
        <f t="shared" si="417"/>
        <v>16742.197122222668</v>
      </c>
      <c r="BQ179" s="248">
        <f t="shared" si="450"/>
        <v>1.5661545765911073E-3</v>
      </c>
      <c r="BR179" s="248"/>
      <c r="BS179" s="248"/>
      <c r="BT179" s="276">
        <v>1</v>
      </c>
      <c r="BU179" s="196">
        <f t="shared" si="530"/>
        <v>31873.223976864891</v>
      </c>
      <c r="BV179" s="264">
        <f t="shared" si="451"/>
        <v>2.2107871879193286E-3</v>
      </c>
      <c r="BW179" s="196">
        <f t="shared" si="531"/>
        <v>136346.56923436647</v>
      </c>
      <c r="BX179" s="247">
        <f t="shared" si="452"/>
        <v>2.210787207834184E-3</v>
      </c>
      <c r="BY179" s="196">
        <f t="shared" si="492"/>
        <v>168219.79321123136</v>
      </c>
      <c r="BZ179" s="620">
        <v>0</v>
      </c>
      <c r="CA179" s="196">
        <f t="shared" si="518"/>
        <v>67730.600950837892</v>
      </c>
      <c r="CB179" s="196">
        <f t="shared" si="519"/>
        <v>135461.20190167578</v>
      </c>
      <c r="CC179" s="196">
        <f t="shared" si="430"/>
        <v>203191.80285251368</v>
      </c>
      <c r="CD179" s="247">
        <f t="shared" si="418"/>
        <v>8.5735082251262387E-4</v>
      </c>
      <c r="CE179" s="196">
        <f t="shared" si="520"/>
        <v>15391.899901964047</v>
      </c>
      <c r="CF179" s="247">
        <f t="shared" si="419"/>
        <v>6.6467010573920148E-4</v>
      </c>
      <c r="CG179" s="196">
        <f t="shared" si="532"/>
        <v>33643.958642246274</v>
      </c>
      <c r="CH179" s="589">
        <f t="shared" si="435"/>
        <v>8.5735082251262387E-4</v>
      </c>
      <c r="CI179" s="196">
        <f t="shared" si="521"/>
        <v>70872.520803209729</v>
      </c>
      <c r="CJ179" s="248">
        <f t="shared" si="436"/>
        <v>1.1651440621065247E-3</v>
      </c>
      <c r="CK179" s="196">
        <f t="shared" si="522"/>
        <v>74025.654181041769</v>
      </c>
      <c r="CL179" s="589">
        <f t="shared" si="437"/>
        <v>1.0641340052799234E-3</v>
      </c>
      <c r="CM179" s="196">
        <f t="shared" si="523"/>
        <v>7171.2481096389192</v>
      </c>
      <c r="CN179" s="589">
        <f t="shared" si="438"/>
        <v>1.0334583513312459E-3</v>
      </c>
      <c r="CO179" s="196">
        <f t="shared" si="524"/>
        <v>573.69176931656807</v>
      </c>
      <c r="CP179" s="589">
        <f t="shared" si="439"/>
        <v>1.0818943121312097E-3</v>
      </c>
      <c r="CQ179" s="196">
        <f>'Detailed Budget'!$AC$12</f>
        <v>292876014141.44696</v>
      </c>
      <c r="CR179" s="269">
        <f t="shared" si="507"/>
        <v>0</v>
      </c>
      <c r="CS179" s="269">
        <f>'Detailed Budget'!$AC$16</f>
        <v>10488008800.000002</v>
      </c>
      <c r="CT179" s="607">
        <f t="shared" si="533"/>
        <v>0</v>
      </c>
      <c r="CU179" s="269">
        <f>'Detailed Budget'!$AC$24</f>
        <v>30624985696</v>
      </c>
      <c r="CV179" s="269">
        <f t="shared" si="446"/>
        <v>0</v>
      </c>
      <c r="CW179" s="269"/>
      <c r="CX179" s="269">
        <f t="shared" si="431"/>
        <v>0</v>
      </c>
      <c r="CY179" s="196">
        <f>'Detailed Budget'!$AC$97</f>
        <v>74629165494.837845</v>
      </c>
      <c r="CZ179" s="269">
        <f t="shared" si="534"/>
        <v>116880809.08691543</v>
      </c>
      <c r="DA179" s="269">
        <f>'Detailed Budget'!$AC$100</f>
        <v>14925833098.967569</v>
      </c>
      <c r="DB179" s="269">
        <f t="shared" si="535"/>
        <v>23376161.817383088</v>
      </c>
      <c r="DC179" s="269">
        <f t="shared" si="420"/>
        <v>140256970.90429851</v>
      </c>
      <c r="DD179" s="207">
        <v>0</v>
      </c>
      <c r="DE179" s="606">
        <v>0</v>
      </c>
      <c r="DF179" s="269">
        <f>'Detailed Budget'!$AC$147</f>
        <v>5913600671000</v>
      </c>
      <c r="DG179" s="269">
        <f t="shared" si="441"/>
        <v>0</v>
      </c>
      <c r="DH179" s="269">
        <f>'Detailed Budget'!$AC$153</f>
        <v>226428026880.00003</v>
      </c>
      <c r="DI179" s="269"/>
      <c r="DJ179" s="269">
        <f>'Detailed Budget'!$AC$156</f>
        <v>27713070000</v>
      </c>
      <c r="DK179" s="269"/>
      <c r="DL179" s="269"/>
      <c r="DM179" s="196">
        <f>'Detailed Budget'!$AC$178</f>
        <v>5622683761.6229038</v>
      </c>
      <c r="DN179" s="269">
        <f t="shared" si="525"/>
        <v>12430557.221917972</v>
      </c>
      <c r="DO179" s="196">
        <f>'Detailed Budget'!$AC$179</f>
        <v>26827890683.128094</v>
      </c>
      <c r="DP179" s="269">
        <f t="shared" si="526"/>
        <v>59310757.535433479</v>
      </c>
      <c r="DQ179" s="269">
        <f t="shared" si="457"/>
        <v>71741314.757351458</v>
      </c>
      <c r="DR179" s="269">
        <f>'Detailed Budget'!$AC$181</f>
        <v>50888946855.375237</v>
      </c>
      <c r="DS179" s="269">
        <f t="shared" si="527"/>
        <v>98950309.673961788</v>
      </c>
      <c r="DT179" s="269">
        <f t="shared" si="528"/>
        <v>170691624.43131325</v>
      </c>
      <c r="DU179" s="272">
        <f>'Detailed Budget'!$AC$192</f>
        <v>77498869683.252869</v>
      </c>
      <c r="DV179" s="269">
        <f t="shared" si="536"/>
        <v>0</v>
      </c>
      <c r="DW179" s="140">
        <f>'Detailed Budget'!$AC$194</f>
        <v>2684962805.4134097</v>
      </c>
      <c r="DX179" s="269">
        <f t="shared" si="537"/>
        <v>0</v>
      </c>
      <c r="DY179" s="607">
        <f t="shared" si="421"/>
        <v>0</v>
      </c>
      <c r="DZ179" s="196">
        <f>'Detailed Budget'!$AC$198</f>
        <v>18732540018.380611</v>
      </c>
      <c r="EA179" s="269">
        <f t="shared" si="510"/>
        <v>12450959.354780864</v>
      </c>
      <c r="EB179" s="196">
        <f>'Detailed Budget'!$AC$200</f>
        <v>4683135004.5951529</v>
      </c>
      <c r="EC179" s="269">
        <f t="shared" si="538"/>
        <v>3112739.838695216</v>
      </c>
      <c r="ED179" s="269">
        <f t="shared" si="422"/>
        <v>15563699.193476081</v>
      </c>
      <c r="EE179" s="196">
        <f>'Detailed Budget'!$AC$161</f>
        <v>251147290106.36197</v>
      </c>
      <c r="EF179" s="269">
        <f t="shared" si="539"/>
        <v>215321335.744506</v>
      </c>
      <c r="EG179" s="196">
        <f>'Detailed Budget'!$AC$163</f>
        <v>15696705631.647623</v>
      </c>
      <c r="EH179" s="269">
        <f t="shared" si="540"/>
        <v>13457583.484031625</v>
      </c>
      <c r="EI179" s="269">
        <f t="shared" si="423"/>
        <v>228778919.22853762</v>
      </c>
      <c r="EJ179" s="196">
        <f>'Detailed Budget'!$AC$204</f>
        <v>45012172507.531975</v>
      </c>
      <c r="EK179" s="269">
        <f t="shared" si="541"/>
        <v>52445665.519665435</v>
      </c>
      <c r="EL179" s="201">
        <f>'Detailed Budget'!$AC$206</f>
        <v>11253043126.882994</v>
      </c>
      <c r="EM179" s="269">
        <f t="shared" si="542"/>
        <v>13111416.379916359</v>
      </c>
      <c r="EN179" s="269">
        <f t="shared" si="424"/>
        <v>65557081.89958179</v>
      </c>
      <c r="EO179" s="140">
        <f>'Detailed Budget'!$AC$209</f>
        <v>135789361677.54817</v>
      </c>
      <c r="EP179" s="269">
        <f t="shared" si="543"/>
        <v>144498077.31633347</v>
      </c>
      <c r="EQ179" s="196">
        <f>'Detailed Budget'!$AC$211</f>
        <v>33947340419.387043</v>
      </c>
      <c r="ER179" s="269">
        <f t="shared" si="544"/>
        <v>36124519.329083368</v>
      </c>
      <c r="ES179" s="269">
        <f t="shared" si="425"/>
        <v>180622596.64541686</v>
      </c>
      <c r="ET179" s="196">
        <f>'Detailed Budget'!$AC$214</f>
        <v>22239745544.201103</v>
      </c>
      <c r="EU179" s="269">
        <f t="shared" si="545"/>
        <v>22983850.764136493</v>
      </c>
      <c r="EV179" s="140">
        <f>'Detailed Budget'!$AC$217</f>
        <v>5559936386.0502758</v>
      </c>
      <c r="EW179" s="269">
        <f t="shared" si="546"/>
        <v>5745962.6910341233</v>
      </c>
      <c r="EX179" s="269">
        <f t="shared" si="426"/>
        <v>28729813.455170617</v>
      </c>
      <c r="EY179" s="196">
        <f>'Detailed Budget'!$AC$219</f>
        <v>372777004.58170313</v>
      </c>
      <c r="EZ179" s="269">
        <f t="shared" si="547"/>
        <v>403305.32095025451</v>
      </c>
      <c r="FA179" s="196">
        <f>'Detailed Budget'!$AC$222</f>
        <v>93194251.145425782</v>
      </c>
      <c r="FB179" s="269">
        <f t="shared" si="548"/>
        <v>100826.33023756363</v>
      </c>
      <c r="FC179" s="269">
        <f t="shared" si="427"/>
        <v>504131.65118781815</v>
      </c>
      <c r="FD179" s="269"/>
      <c r="FE179" s="269">
        <f t="shared" si="428"/>
        <v>275413623.65135711</v>
      </c>
      <c r="FF179" s="140">
        <f>'Detailed Budget'!$AC$165</f>
        <v>14927760000</v>
      </c>
      <c r="FG179" s="1087">
        <f t="shared" si="442"/>
        <v>375682413.34948713</v>
      </c>
      <c r="FH179" s="269">
        <f t="shared" si="511"/>
        <v>16961436.200431772</v>
      </c>
      <c r="FJ179" s="140">
        <f>'Detailed Budget'!$AC$235</f>
        <v>3623696172</v>
      </c>
      <c r="FK179" s="269">
        <f t="shared" si="512"/>
        <v>4681778</v>
      </c>
      <c r="FL179" s="269">
        <f t="shared" si="443"/>
        <v>4681778</v>
      </c>
      <c r="FO179" s="607"/>
      <c r="FP179" s="607"/>
      <c r="FQ179" s="607"/>
      <c r="FR179" s="269">
        <f>'Detailed Budget'!$AC$257</f>
        <v>13636439388</v>
      </c>
      <c r="FS179" s="269">
        <f t="shared" si="513"/>
        <v>15989376</v>
      </c>
      <c r="FT179" s="269">
        <f t="shared" si="444"/>
        <v>15989376</v>
      </c>
      <c r="FU179" s="269"/>
      <c r="FV179" s="269"/>
      <c r="FW179" s="616"/>
      <c r="FX179" s="140">
        <f>'Detailed Budget'!$AC$278</f>
        <v>1114560000</v>
      </c>
      <c r="FY179" s="269">
        <f t="shared" si="514"/>
        <v>1440000</v>
      </c>
      <c r="FZ179" s="269">
        <f t="shared" si="445"/>
        <v>1440000</v>
      </c>
      <c r="GB179" s="269">
        <f t="shared" si="453"/>
        <v>1245459840.9589014</v>
      </c>
      <c r="GC179" s="887">
        <f t="shared" si="429"/>
        <v>778412.40059931343</v>
      </c>
      <c r="GD179" s="1078">
        <f t="shared" si="454"/>
        <v>6.9886673517520134E-4</v>
      </c>
    </row>
    <row r="180" spans="1:186" hidden="1" outlineLevel="1">
      <c r="A180" s="211" t="s">
        <v>528</v>
      </c>
      <c r="B180" s="212" t="s">
        <v>529</v>
      </c>
      <c r="C180" s="213" t="s">
        <v>215</v>
      </c>
      <c r="D180" s="225" t="s">
        <v>215</v>
      </c>
      <c r="E180" s="213"/>
      <c r="F180" s="213"/>
      <c r="G180" s="213"/>
      <c r="H180" s="213" t="s">
        <v>215</v>
      </c>
      <c r="I180" s="214" t="s">
        <v>215</v>
      </c>
      <c r="J180" s="214"/>
      <c r="K180" s="213" t="s">
        <v>215</v>
      </c>
      <c r="L180" s="213"/>
      <c r="M180" s="214"/>
      <c r="N180" s="213"/>
      <c r="O180" s="214"/>
      <c r="P180" s="213"/>
      <c r="Q180" s="214"/>
      <c r="R180" s="214" t="s">
        <v>215</v>
      </c>
      <c r="S180" s="214"/>
      <c r="T180" s="214"/>
      <c r="U180" s="215">
        <f t="shared" si="515"/>
        <v>6</v>
      </c>
      <c r="V180" s="845" t="s">
        <v>219</v>
      </c>
      <c r="W180" s="216">
        <v>293020</v>
      </c>
      <c r="X180" s="217">
        <v>3.39</v>
      </c>
      <c r="Y180" s="218">
        <f t="shared" si="483"/>
        <v>1.0339</v>
      </c>
      <c r="Z180" s="196">
        <v>19</v>
      </c>
      <c r="AA180" s="218">
        <f t="shared" si="484"/>
        <v>1.8840489025780363</v>
      </c>
      <c r="AB180" s="196">
        <f t="shared" si="549"/>
        <v>552064.00943341618</v>
      </c>
      <c r="AC180" s="227">
        <v>20</v>
      </c>
      <c r="AD180" s="196">
        <f t="shared" si="550"/>
        <v>110412.80188668324</v>
      </c>
      <c r="AE180" s="196">
        <f t="shared" si="487"/>
        <v>104892.16179234907</v>
      </c>
      <c r="AF180" s="196">
        <f t="shared" si="516"/>
        <v>104892.16179234907</v>
      </c>
      <c r="AG180" s="606">
        <f t="shared" si="432"/>
        <v>4.8497530760597081E-3</v>
      </c>
      <c r="AH180" s="196">
        <f t="shared" si="529"/>
        <v>27603.200471670811</v>
      </c>
      <c r="AI180" s="248">
        <f t="shared" si="409"/>
        <v>2.1383781176065189E-3</v>
      </c>
      <c r="AJ180" s="196">
        <f t="shared" si="412"/>
        <v>138016.00235835405</v>
      </c>
      <c r="AK180" s="196">
        <f t="shared" si="455"/>
        <v>22082.560377336649</v>
      </c>
      <c r="AL180" s="196">
        <f t="shared" si="456"/>
        <v>22082.560377336649</v>
      </c>
      <c r="AM180" s="196">
        <f t="shared" si="413"/>
        <v>44165.120754673299</v>
      </c>
      <c r="AN180" s="627">
        <f t="shared" si="414"/>
        <v>2.1383781176065189E-3</v>
      </c>
      <c r="AO180" s="196">
        <f t="shared" si="415"/>
        <v>20978.432358469814</v>
      </c>
      <c r="AP180" s="589">
        <f t="shared" si="433"/>
        <v>2.1383781176065189E-3</v>
      </c>
      <c r="AQ180" s="196"/>
      <c r="AR180" s="589"/>
      <c r="AS180">
        <v>1</v>
      </c>
      <c r="AT180" s="589">
        <f t="shared" si="434"/>
        <v>1.2919896640826874E-3</v>
      </c>
      <c r="AU180" s="196">
        <v>11</v>
      </c>
      <c r="AV180" s="245">
        <f t="shared" si="416"/>
        <v>1.2498579706851495E-3</v>
      </c>
      <c r="AX180" s="245"/>
      <c r="AY180" s="245"/>
      <c r="AZ180" s="196">
        <v>41</v>
      </c>
      <c r="BA180" s="589">
        <f t="shared" si="447"/>
        <v>1.5023267743944891E-3</v>
      </c>
      <c r="BI180" s="196">
        <v>0</v>
      </c>
      <c r="BK180" s="246">
        <f t="shared" si="448"/>
        <v>0</v>
      </c>
      <c r="BL180" s="246"/>
      <c r="BM180" s="246">
        <f t="shared" si="449"/>
        <v>0</v>
      </c>
      <c r="BN180" s="196">
        <v>1</v>
      </c>
      <c r="BO180" s="196">
        <f t="shared" si="517"/>
        <v>41757.874404195412</v>
      </c>
      <c r="BP180" s="196">
        <f t="shared" si="417"/>
        <v>41757.874404195412</v>
      </c>
      <c r="BQ180" s="248">
        <f t="shared" si="450"/>
        <v>3.9062546946147169E-3</v>
      </c>
      <c r="BR180" s="248"/>
      <c r="BS180" s="248"/>
      <c r="BT180" s="276">
        <v>1</v>
      </c>
      <c r="BU180" s="196">
        <f t="shared" si="530"/>
        <v>79497.21735841193</v>
      </c>
      <c r="BV180" s="264">
        <f t="shared" si="451"/>
        <v>5.5140775761744068E-3</v>
      </c>
      <c r="BW180" s="196">
        <f t="shared" si="531"/>
        <v>340071.42981098441</v>
      </c>
      <c r="BX180" s="247">
        <f t="shared" si="452"/>
        <v>5.5140776258454293E-3</v>
      </c>
      <c r="BY180" s="196">
        <f t="shared" si="492"/>
        <v>419568.64716939634</v>
      </c>
      <c r="BZ180" s="620">
        <v>0</v>
      </c>
      <c r="CA180" s="196">
        <f t="shared" si="518"/>
        <v>168931.58688662536</v>
      </c>
      <c r="CB180" s="196">
        <f t="shared" si="519"/>
        <v>337863.17377325072</v>
      </c>
      <c r="CC180" s="196">
        <f t="shared" si="430"/>
        <v>506794.76065987605</v>
      </c>
      <c r="CD180" s="247">
        <f t="shared" si="418"/>
        <v>2.1383781176065189E-3</v>
      </c>
      <c r="CE180" s="196">
        <f t="shared" si="520"/>
        <v>38390.004505145509</v>
      </c>
      <c r="CF180" s="247">
        <f t="shared" si="419"/>
        <v>1.6577997853603173E-3</v>
      </c>
      <c r="CG180" s="196">
        <f t="shared" si="532"/>
        <v>83913.729433879256</v>
      </c>
      <c r="CH180" s="589">
        <f t="shared" si="435"/>
        <v>2.1383781176065189E-3</v>
      </c>
      <c r="CI180" s="196">
        <f t="shared" si="521"/>
        <v>176768.06698691304</v>
      </c>
      <c r="CJ180" s="248">
        <f t="shared" si="436"/>
        <v>2.9060665725681714E-3</v>
      </c>
      <c r="CK180" s="196">
        <f t="shared" si="522"/>
        <v>184632.51551836758</v>
      </c>
      <c r="CL180" s="589">
        <f t="shared" si="437"/>
        <v>2.6541303878647214E-3</v>
      </c>
      <c r="CM180" s="196">
        <f t="shared" si="523"/>
        <v>17886.307017980595</v>
      </c>
      <c r="CN180" s="589">
        <f t="shared" si="438"/>
        <v>2.5776201129286331E-3</v>
      </c>
      <c r="CO180" s="196">
        <f t="shared" si="524"/>
        <v>1430.8844099108014</v>
      </c>
      <c r="CP180" s="589">
        <f t="shared" si="439"/>
        <v>2.6984276003190876E-3</v>
      </c>
      <c r="CQ180" s="196">
        <f>'Detailed Budget'!$AC$12</f>
        <v>292876014141.44696</v>
      </c>
      <c r="CR180" s="269">
        <f t="shared" si="507"/>
        <v>0</v>
      </c>
      <c r="CS180" s="269">
        <f>'Detailed Budget'!$AC$16</f>
        <v>10488008800.000002</v>
      </c>
      <c r="CT180" s="607">
        <f t="shared" si="533"/>
        <v>0</v>
      </c>
      <c r="CU180" s="269">
        <f>'Detailed Budget'!$AC$24</f>
        <v>30624985696</v>
      </c>
      <c r="CV180" s="269">
        <f t="shared" si="446"/>
        <v>0</v>
      </c>
      <c r="CW180" s="269"/>
      <c r="CX180" s="269">
        <f t="shared" si="431"/>
        <v>0</v>
      </c>
      <c r="CY180" s="196">
        <f>'Detailed Budget'!$AC$97</f>
        <v>74629165494.837845</v>
      </c>
      <c r="CZ180" s="269">
        <f t="shared" si="534"/>
        <v>291520528.06938899</v>
      </c>
      <c r="DA180" s="269">
        <f>'Detailed Budget'!$AC$100</f>
        <v>14925833098.967569</v>
      </c>
      <c r="DB180" s="269">
        <f t="shared" si="535"/>
        <v>58304105.613877796</v>
      </c>
      <c r="DC180" s="269">
        <f t="shared" si="420"/>
        <v>349824633.68326676</v>
      </c>
      <c r="DD180" s="207">
        <v>0</v>
      </c>
      <c r="DE180" s="606">
        <v>0</v>
      </c>
      <c r="DF180" s="269">
        <f>'Detailed Budget'!$AC$147</f>
        <v>5913600671000</v>
      </c>
      <c r="DG180" s="269">
        <f t="shared" si="441"/>
        <v>0</v>
      </c>
      <c r="DH180" s="269">
        <f>'Detailed Budget'!$AC$153</f>
        <v>226428026880.00003</v>
      </c>
      <c r="DI180" s="269"/>
      <c r="DJ180" s="269">
        <f>'Detailed Budget'!$AC$156</f>
        <v>27713070000</v>
      </c>
      <c r="DK180" s="269"/>
      <c r="DL180" s="269"/>
      <c r="DM180" s="196">
        <f>'Detailed Budget'!$AC$178</f>
        <v>5622683761.6229038</v>
      </c>
      <c r="DN180" s="269">
        <f t="shared" si="525"/>
        <v>31003914.447884817</v>
      </c>
      <c r="DO180" s="196">
        <f>'Detailed Budget'!$AC$179</f>
        <v>26827890683.128094</v>
      </c>
      <c r="DP180" s="269">
        <f t="shared" si="526"/>
        <v>147931071.76446366</v>
      </c>
      <c r="DQ180" s="269">
        <f t="shared" si="457"/>
        <v>178934986.21234849</v>
      </c>
      <c r="DR180" s="269">
        <f>'Detailed Budget'!$AC$181</f>
        <v>50888946855.375237</v>
      </c>
      <c r="DS180" s="269">
        <f t="shared" si="527"/>
        <v>246798826.54929507</v>
      </c>
      <c r="DT180" s="269">
        <f t="shared" si="528"/>
        <v>425733812.76164353</v>
      </c>
      <c r="DU180" s="272">
        <f>'Detailed Budget'!$AC$192</f>
        <v>77498869683.252869</v>
      </c>
      <c r="DV180" s="269">
        <f t="shared" si="536"/>
        <v>0</v>
      </c>
      <c r="DW180" s="140">
        <f>'Detailed Budget'!$AC$194</f>
        <v>2684962805.4134097</v>
      </c>
      <c r="DX180" s="269">
        <f t="shared" si="537"/>
        <v>0</v>
      </c>
      <c r="DY180" s="607">
        <f t="shared" si="421"/>
        <v>0</v>
      </c>
      <c r="DZ180" s="196">
        <f>'Detailed Budget'!$AC$198</f>
        <v>18732540018.380611</v>
      </c>
      <c r="EA180" s="269">
        <f t="shared" si="510"/>
        <v>31054800.821724933</v>
      </c>
      <c r="EB180" s="196">
        <f>'Detailed Budget'!$AC$200</f>
        <v>4683135004.5951529</v>
      </c>
      <c r="EC180" s="269">
        <f t="shared" si="538"/>
        <v>7763700.2054312332</v>
      </c>
      <c r="ED180" s="269">
        <f t="shared" si="422"/>
        <v>38818501.027156167</v>
      </c>
      <c r="EE180" s="196">
        <f>'Detailed Budget'!$AC$161</f>
        <v>251147290106.36197</v>
      </c>
      <c r="EF180" s="269">
        <f t="shared" si="539"/>
        <v>537047869.45962059</v>
      </c>
      <c r="EG180" s="196">
        <f>'Detailed Budget'!$AC$163</f>
        <v>15696705631.647623</v>
      </c>
      <c r="EH180" s="269">
        <f t="shared" si="540"/>
        <v>33565491.841226287</v>
      </c>
      <c r="EI180" s="269">
        <f t="shared" si="423"/>
        <v>570613361.30084693</v>
      </c>
      <c r="EJ180" s="196">
        <f>'Detailed Budget'!$AC$204</f>
        <v>45012172507.531975</v>
      </c>
      <c r="EK180" s="269">
        <f t="shared" si="541"/>
        <v>130808369.88281071</v>
      </c>
      <c r="EL180" s="201">
        <f>'Detailed Budget'!$AC$206</f>
        <v>11253043126.882994</v>
      </c>
      <c r="EM180" s="269">
        <f t="shared" si="542"/>
        <v>32702092.470702678</v>
      </c>
      <c r="EN180" s="269">
        <f t="shared" si="424"/>
        <v>163510462.35351339</v>
      </c>
      <c r="EO180" s="140">
        <f>'Detailed Budget'!$AC$209</f>
        <v>135789361677.54817</v>
      </c>
      <c r="EP180" s="269">
        <f t="shared" si="543"/>
        <v>360402671.17713386</v>
      </c>
      <c r="EQ180" s="196">
        <f>'Detailed Budget'!$AC$211</f>
        <v>33947340419.387043</v>
      </c>
      <c r="ER180" s="269">
        <f t="shared" si="544"/>
        <v>90100667.794283465</v>
      </c>
      <c r="ES180" s="269">
        <f t="shared" si="425"/>
        <v>450503338.97141731</v>
      </c>
      <c r="ET180" s="196">
        <f>'Detailed Budget'!$AC$214</f>
        <v>22239745544.201103</v>
      </c>
      <c r="EU180" s="269">
        <f t="shared" si="545"/>
        <v>57325615.421147712</v>
      </c>
      <c r="EV180" s="140">
        <f>'Detailed Budget'!$AC$217</f>
        <v>5559936386.0502758</v>
      </c>
      <c r="EW180" s="269">
        <f t="shared" si="546"/>
        <v>14331403.855286928</v>
      </c>
      <c r="EX180" s="269">
        <f t="shared" si="426"/>
        <v>71657019.276434645</v>
      </c>
      <c r="EY180" s="196">
        <f>'Detailed Budget'!$AC$219</f>
        <v>372777004.58170313</v>
      </c>
      <c r="EZ180" s="269">
        <f t="shared" si="547"/>
        <v>1005911.7579275427</v>
      </c>
      <c r="FA180" s="196">
        <f>'Detailed Budget'!$AC$222</f>
        <v>93194251.145425782</v>
      </c>
      <c r="FB180" s="269">
        <f t="shared" si="548"/>
        <v>251477.93948188567</v>
      </c>
      <c r="FC180" s="269">
        <f t="shared" si="427"/>
        <v>1257389.6974094284</v>
      </c>
      <c r="FD180" s="269"/>
      <c r="FE180" s="269">
        <f t="shared" si="428"/>
        <v>686928210.29877472</v>
      </c>
      <c r="FF180" s="140">
        <f>'Detailed Budget'!$AC$165</f>
        <v>14927760000</v>
      </c>
      <c r="FG180" s="1087">
        <f t="shared" si="442"/>
        <v>937015549.27279675</v>
      </c>
      <c r="FH180" s="269">
        <f t="shared" si="511"/>
        <v>18657579.820474949</v>
      </c>
      <c r="FJ180" s="140">
        <f>'Detailed Budget'!$AC$235</f>
        <v>3623696172</v>
      </c>
      <c r="FK180" s="269">
        <f t="shared" si="512"/>
        <v>4681778</v>
      </c>
      <c r="FL180" s="269">
        <f t="shared" si="443"/>
        <v>4681778</v>
      </c>
      <c r="FO180" s="607"/>
      <c r="FP180" s="607"/>
      <c r="FQ180" s="607"/>
      <c r="FR180" s="269">
        <f>'Detailed Budget'!$AC$257</f>
        <v>13636439388</v>
      </c>
      <c r="FS180" s="269">
        <f t="shared" si="513"/>
        <v>20486388</v>
      </c>
      <c r="FT180" s="269">
        <f t="shared" si="444"/>
        <v>20486388</v>
      </c>
      <c r="FU180" s="269"/>
      <c r="FV180" s="269"/>
      <c r="FW180" s="616"/>
      <c r="FX180" s="140">
        <f>'Detailed Budget'!$AC$278</f>
        <v>1114560000</v>
      </c>
      <c r="FY180" s="269">
        <f t="shared" si="514"/>
        <v>1440000</v>
      </c>
      <c r="FZ180" s="269">
        <f t="shared" si="445"/>
        <v>1440000</v>
      </c>
      <c r="GB180" s="269">
        <f t="shared" si="453"/>
        <v>3054199814.1649599</v>
      </c>
      <c r="GC180" s="887">
        <f t="shared" si="429"/>
        <v>1908874.8838531</v>
      </c>
      <c r="GD180" s="1078">
        <f t="shared" si="454"/>
        <v>1.7138076897403609E-3</v>
      </c>
    </row>
    <row r="181" spans="1:186" hidden="1" outlineLevel="1">
      <c r="A181" s="211" t="s">
        <v>530</v>
      </c>
      <c r="B181" s="212" t="s">
        <v>531</v>
      </c>
      <c r="C181" s="213" t="s">
        <v>215</v>
      </c>
      <c r="D181" s="225" t="s">
        <v>215</v>
      </c>
      <c r="E181" s="213"/>
      <c r="F181" s="213"/>
      <c r="G181" s="213"/>
      <c r="H181" s="213" t="s">
        <v>215</v>
      </c>
      <c r="I181" s="214" t="s">
        <v>215</v>
      </c>
      <c r="J181" s="214"/>
      <c r="K181" s="213" t="s">
        <v>215</v>
      </c>
      <c r="L181" s="213"/>
      <c r="M181" s="214"/>
      <c r="N181" s="213"/>
      <c r="O181" s="214"/>
      <c r="P181" s="213"/>
      <c r="Q181" s="214"/>
      <c r="R181" s="214" t="s">
        <v>215</v>
      </c>
      <c r="S181" s="214"/>
      <c r="T181" s="214"/>
      <c r="U181" s="215">
        <f t="shared" si="515"/>
        <v>6</v>
      </c>
      <c r="V181" s="845" t="s">
        <v>219</v>
      </c>
      <c r="W181" s="216">
        <v>145636</v>
      </c>
      <c r="X181" s="217">
        <v>3.39</v>
      </c>
      <c r="Y181" s="218">
        <f t="shared" si="483"/>
        <v>1.0339</v>
      </c>
      <c r="Z181" s="196">
        <v>19</v>
      </c>
      <c r="AA181" s="218">
        <f t="shared" si="484"/>
        <v>1.8840489025780363</v>
      </c>
      <c r="AB181" s="196">
        <f t="shared" si="549"/>
        <v>274385.3459758549</v>
      </c>
      <c r="AC181" s="227">
        <v>20</v>
      </c>
      <c r="AD181" s="196">
        <f t="shared" si="550"/>
        <v>54877.069195170981</v>
      </c>
      <c r="AE181" s="196">
        <f t="shared" si="487"/>
        <v>52133.215735412428</v>
      </c>
      <c r="AF181" s="196">
        <f t="shared" si="516"/>
        <v>52133.215735412428</v>
      </c>
      <c r="AG181" s="606">
        <f t="shared" si="432"/>
        <v>2.4104110265000061E-3</v>
      </c>
      <c r="AH181" s="196">
        <f t="shared" si="529"/>
        <v>13719.267298792745</v>
      </c>
      <c r="AI181" s="248">
        <f t="shared" si="409"/>
        <v>1.062810850917149E-3</v>
      </c>
      <c r="AJ181" s="196">
        <f t="shared" si="412"/>
        <v>68596.336493963725</v>
      </c>
      <c r="AK181" s="196">
        <f t="shared" si="455"/>
        <v>10975.413839034196</v>
      </c>
      <c r="AL181" s="196">
        <f t="shared" si="456"/>
        <v>10975.413839034196</v>
      </c>
      <c r="AM181" s="196">
        <f t="shared" si="413"/>
        <v>21950.827678068392</v>
      </c>
      <c r="AN181" s="627">
        <f t="shared" si="414"/>
        <v>1.062810850917149E-3</v>
      </c>
      <c r="AO181" s="196">
        <f t="shared" si="415"/>
        <v>10426.643147082486</v>
      </c>
      <c r="AP181" s="589">
        <f t="shared" si="433"/>
        <v>1.062810850917149E-3</v>
      </c>
      <c r="AQ181" s="196"/>
      <c r="AR181" s="589"/>
      <c r="AS181">
        <v>1</v>
      </c>
      <c r="AT181" s="589">
        <f t="shared" si="434"/>
        <v>1.2919896640826874E-3</v>
      </c>
      <c r="AU181" s="196">
        <v>10</v>
      </c>
      <c r="AV181" s="245">
        <f t="shared" si="416"/>
        <v>1.1362345188046814E-3</v>
      </c>
      <c r="AX181" s="245"/>
      <c r="AY181" s="245"/>
      <c r="AZ181" s="196">
        <v>38</v>
      </c>
      <c r="BA181" s="589">
        <f t="shared" si="447"/>
        <v>1.3924004250485508E-3</v>
      </c>
      <c r="BI181" s="196">
        <v>0</v>
      </c>
      <c r="BK181" s="246">
        <f t="shared" si="448"/>
        <v>0</v>
      </c>
      <c r="BL181" s="246"/>
      <c r="BM181" s="246">
        <f t="shared" si="449"/>
        <v>0</v>
      </c>
      <c r="BN181" s="196">
        <v>1</v>
      </c>
      <c r="BO181" s="196">
        <f t="shared" si="517"/>
        <v>20754.384672477656</v>
      </c>
      <c r="BP181" s="196">
        <f t="shared" si="417"/>
        <v>20754.384672477656</v>
      </c>
      <c r="BQ181" s="248">
        <f t="shared" si="450"/>
        <v>1.9414760381711452E-3</v>
      </c>
      <c r="BR181" s="248"/>
      <c r="BS181" s="248"/>
      <c r="BT181" s="276">
        <v>1</v>
      </c>
      <c r="BU181" s="196">
        <f t="shared" si="530"/>
        <v>39511.489820523107</v>
      </c>
      <c r="BV181" s="264">
        <f t="shared" si="451"/>
        <v>2.7405917749086612E-3</v>
      </c>
      <c r="BW181" s="196">
        <f t="shared" si="531"/>
        <v>169021.37312112661</v>
      </c>
      <c r="BX181" s="247">
        <f t="shared" si="452"/>
        <v>2.7405917995960167E-3</v>
      </c>
      <c r="BY181" s="196">
        <f t="shared" si="492"/>
        <v>208532.86294164971</v>
      </c>
      <c r="BZ181" s="620">
        <v>0</v>
      </c>
      <c r="CA181" s="196">
        <f t="shared" si="518"/>
        <v>83961.915868611584</v>
      </c>
      <c r="CB181" s="196">
        <f t="shared" si="519"/>
        <v>167923.83173722317</v>
      </c>
      <c r="CC181" s="196">
        <f t="shared" si="430"/>
        <v>251885.74760583474</v>
      </c>
      <c r="CD181" s="247">
        <f t="shared" si="418"/>
        <v>1.0628108509171488E-3</v>
      </c>
      <c r="CE181" s="196">
        <f t="shared" si="520"/>
        <v>19080.495174770909</v>
      </c>
      <c r="CF181" s="247">
        <f t="shared" si="419"/>
        <v>8.2395512094988457E-4</v>
      </c>
      <c r="CG181" s="196">
        <f t="shared" si="532"/>
        <v>41706.572588329946</v>
      </c>
      <c r="CH181" s="589">
        <f t="shared" si="435"/>
        <v>1.062810850917149E-3</v>
      </c>
      <c r="CI181" s="196">
        <f t="shared" si="521"/>
        <v>87856.781802286772</v>
      </c>
      <c r="CJ181" s="248">
        <f t="shared" si="436"/>
        <v>1.444365269819597E-3</v>
      </c>
      <c r="CK181" s="196">
        <f t="shared" si="522"/>
        <v>91765.548529223204</v>
      </c>
      <c r="CL181" s="589">
        <f t="shared" si="437"/>
        <v>1.3191486354756214E-3</v>
      </c>
      <c r="CM181" s="196">
        <f t="shared" si="523"/>
        <v>8889.803456660371</v>
      </c>
      <c r="CN181" s="589">
        <f t="shared" si="438"/>
        <v>1.2811217076188466E-3</v>
      </c>
      <c r="CO181" s="196">
        <f t="shared" si="524"/>
        <v>711.17426087560409</v>
      </c>
      <c r="CP181" s="589">
        <f t="shared" si="439"/>
        <v>1.3411651150094558E-3</v>
      </c>
      <c r="CQ181" s="196">
        <f>'Detailed Budget'!$AC$12</f>
        <v>292876014141.44696</v>
      </c>
      <c r="CR181" s="269">
        <f t="shared" si="507"/>
        <v>0</v>
      </c>
      <c r="CS181" s="269">
        <f>'Detailed Budget'!$AC$16</f>
        <v>10488008800.000002</v>
      </c>
      <c r="CT181" s="607">
        <f t="shared" si="533"/>
        <v>0</v>
      </c>
      <c r="CU181" s="269">
        <f>'Detailed Budget'!$AC$24</f>
        <v>30624985696</v>
      </c>
      <c r="CV181" s="269">
        <f t="shared" si="446"/>
        <v>0</v>
      </c>
      <c r="CW181" s="269"/>
      <c r="CX181" s="269">
        <f t="shared" si="431"/>
        <v>0</v>
      </c>
      <c r="CY181" s="196">
        <f>'Detailed Budget'!$AC$97</f>
        <v>74629165494.837845</v>
      </c>
      <c r="CZ181" s="269">
        <f t="shared" si="534"/>
        <v>144890736.5569365</v>
      </c>
      <c r="DA181" s="269">
        <f>'Detailed Budget'!$AC$100</f>
        <v>14925833098.967569</v>
      </c>
      <c r="DB181" s="269">
        <f t="shared" si="535"/>
        <v>28978147.311387304</v>
      </c>
      <c r="DC181" s="269">
        <f t="shared" si="420"/>
        <v>173868883.8683238</v>
      </c>
      <c r="DD181" s="207">
        <v>0</v>
      </c>
      <c r="DE181" s="606">
        <v>0</v>
      </c>
      <c r="DF181" s="269">
        <f>'Detailed Budget'!$AC$147</f>
        <v>5913600671000</v>
      </c>
      <c r="DG181" s="269">
        <f t="shared" si="441"/>
        <v>0</v>
      </c>
      <c r="DH181" s="269">
        <f>'Detailed Budget'!$AC$153</f>
        <v>226428026880.00003</v>
      </c>
      <c r="DI181" s="269"/>
      <c r="DJ181" s="269">
        <f>'Detailed Budget'!$AC$156</f>
        <v>27713070000</v>
      </c>
      <c r="DK181" s="269"/>
      <c r="DL181" s="269"/>
      <c r="DM181" s="196">
        <f>'Detailed Budget'!$AC$178</f>
        <v>5622683761.6229038</v>
      </c>
      <c r="DN181" s="269">
        <f t="shared" si="525"/>
        <v>15409480.870016221</v>
      </c>
      <c r="DO181" s="196">
        <f>'Detailed Budget'!$AC$179</f>
        <v>26827890683.128094</v>
      </c>
      <c r="DP181" s="269">
        <f t="shared" si="526"/>
        <v>73524297.20663923</v>
      </c>
      <c r="DQ181" s="269">
        <f t="shared" si="457"/>
        <v>88933778.076655447</v>
      </c>
      <c r="DR181" s="269">
        <f>'Detailed Budget'!$AC$181</f>
        <v>50888946855.375237</v>
      </c>
      <c r="DS181" s="269">
        <f t="shared" si="527"/>
        <v>122663278.62716928</v>
      </c>
      <c r="DT181" s="269">
        <f t="shared" si="528"/>
        <v>211597056.70382473</v>
      </c>
      <c r="DU181" s="272">
        <f>'Detailed Budget'!$AC$192</f>
        <v>77498869683.252869</v>
      </c>
      <c r="DV181" s="269">
        <f t="shared" si="536"/>
        <v>0</v>
      </c>
      <c r="DW181" s="140">
        <f>'Detailed Budget'!$AC$194</f>
        <v>2684962805.4134097</v>
      </c>
      <c r="DX181" s="269">
        <f t="shared" si="537"/>
        <v>0</v>
      </c>
      <c r="DY181" s="607">
        <f t="shared" si="421"/>
        <v>0</v>
      </c>
      <c r="DZ181" s="196">
        <f>'Detailed Budget'!$AC$198</f>
        <v>18732540018.380611</v>
      </c>
      <c r="EA181" s="269">
        <f t="shared" si="510"/>
        <v>15434772.276543349</v>
      </c>
      <c r="EB181" s="196">
        <f>'Detailed Budget'!$AC$200</f>
        <v>4683135004.5951529</v>
      </c>
      <c r="EC181" s="269">
        <f t="shared" si="538"/>
        <v>3858693.0691358373</v>
      </c>
      <c r="ED181" s="269">
        <f t="shared" si="422"/>
        <v>19293465.345679186</v>
      </c>
      <c r="EE181" s="196">
        <f>'Detailed Budget'!$AC$161</f>
        <v>251147290106.36197</v>
      </c>
      <c r="EF181" s="269">
        <f t="shared" si="539"/>
        <v>266922065.10347864</v>
      </c>
      <c r="EG181" s="196">
        <f>'Detailed Budget'!$AC$163</f>
        <v>15696705631.647623</v>
      </c>
      <c r="EH181" s="269">
        <f t="shared" si="540"/>
        <v>16682629.068967415</v>
      </c>
      <c r="EI181" s="269">
        <f t="shared" si="423"/>
        <v>283604694.17244607</v>
      </c>
      <c r="EJ181" s="196">
        <f>'Detailed Budget'!$AC$204</f>
        <v>45012172507.531975</v>
      </c>
      <c r="EK181" s="269">
        <f t="shared" si="541"/>
        <v>65014018.689007662</v>
      </c>
      <c r="EL181" s="201">
        <f>'Detailed Budget'!$AC$206</f>
        <v>11253043126.882994</v>
      </c>
      <c r="EM181" s="269">
        <f t="shared" si="542"/>
        <v>16253504.672251916</v>
      </c>
      <c r="EN181" s="269">
        <f t="shared" si="424"/>
        <v>81267523.36125958</v>
      </c>
      <c r="EO181" s="140">
        <f>'Detailed Budget'!$AC$209</f>
        <v>135789361677.54817</v>
      </c>
      <c r="EP181" s="269">
        <f t="shared" si="543"/>
        <v>179126351.1690433</v>
      </c>
      <c r="EQ181" s="196">
        <f>'Detailed Budget'!$AC$211</f>
        <v>33947340419.387043</v>
      </c>
      <c r="ER181" s="269">
        <f t="shared" si="544"/>
        <v>44781587.792260826</v>
      </c>
      <c r="ES181" s="269">
        <f t="shared" si="425"/>
        <v>223907938.96130413</v>
      </c>
      <c r="ET181" s="196">
        <f>'Detailed Budget'!$AC$214</f>
        <v>22239745544.201103</v>
      </c>
      <c r="EU181" s="269">
        <f t="shared" si="545"/>
        <v>28491820.788595553</v>
      </c>
      <c r="EV181" s="140">
        <f>'Detailed Budget'!$AC$217</f>
        <v>5559936386.0502758</v>
      </c>
      <c r="EW181" s="269">
        <f t="shared" si="546"/>
        <v>7122955.1971488884</v>
      </c>
      <c r="EX181" s="269">
        <f t="shared" si="426"/>
        <v>35614775.985744439</v>
      </c>
      <c r="EY181" s="196">
        <f>'Detailed Budget'!$AC$219</f>
        <v>372777004.58170313</v>
      </c>
      <c r="EZ181" s="269">
        <f t="shared" si="547"/>
        <v>499955.51422270032</v>
      </c>
      <c r="FA181" s="196">
        <f>'Detailed Budget'!$AC$222</f>
        <v>93194251.145425782</v>
      </c>
      <c r="FB181" s="269">
        <f t="shared" si="548"/>
        <v>124988.87855567508</v>
      </c>
      <c r="FC181" s="269">
        <f t="shared" si="427"/>
        <v>624944.39277837542</v>
      </c>
      <c r="FD181" s="269"/>
      <c r="FE181" s="269">
        <f t="shared" si="428"/>
        <v>341415182.70108652</v>
      </c>
      <c r="FF181" s="140">
        <f>'Detailed Budget'!$AC$165</f>
        <v>14927760000</v>
      </c>
      <c r="FG181" s="1087">
        <f t="shared" si="442"/>
        <v>465712908.79084378</v>
      </c>
      <c r="FH181" s="269">
        <f t="shared" si="511"/>
        <v>16961436.200431772</v>
      </c>
      <c r="FJ181" s="140">
        <f>'Detailed Budget'!$AC$235</f>
        <v>3623696172</v>
      </c>
      <c r="FK181" s="269">
        <f t="shared" si="512"/>
        <v>4681778</v>
      </c>
      <c r="FL181" s="269">
        <f t="shared" si="443"/>
        <v>4681778</v>
      </c>
      <c r="FO181" s="607"/>
      <c r="FP181" s="607"/>
      <c r="FQ181" s="607"/>
      <c r="FR181" s="269">
        <f>'Detailed Budget'!$AC$257</f>
        <v>13636439388</v>
      </c>
      <c r="FS181" s="269">
        <f t="shared" si="513"/>
        <v>18987384</v>
      </c>
      <c r="FT181" s="269">
        <f t="shared" si="444"/>
        <v>18987384</v>
      </c>
      <c r="FU181" s="269"/>
      <c r="FV181" s="269"/>
      <c r="FW181" s="616"/>
      <c r="FX181" s="140">
        <f>'Detailed Budget'!$AC$278</f>
        <v>1114560000</v>
      </c>
      <c r="FY181" s="269">
        <f t="shared" si="514"/>
        <v>1440000</v>
      </c>
      <c r="FZ181" s="269">
        <f t="shared" si="445"/>
        <v>1440000</v>
      </c>
      <c r="GB181" s="269">
        <f t="shared" si="453"/>
        <v>1537562789.7826359</v>
      </c>
      <c r="GC181" s="887">
        <f t="shared" si="429"/>
        <v>960976.74361414742</v>
      </c>
      <c r="GD181" s="1078">
        <f t="shared" si="454"/>
        <v>8.6277489782002857E-4</v>
      </c>
    </row>
    <row r="182" spans="1:186" hidden="1" outlineLevel="1">
      <c r="A182" s="211" t="s">
        <v>532</v>
      </c>
      <c r="B182" s="212" t="s">
        <v>533</v>
      </c>
      <c r="C182" s="213" t="s">
        <v>215</v>
      </c>
      <c r="D182" s="225" t="s">
        <v>215</v>
      </c>
      <c r="E182" s="213"/>
      <c r="F182" s="213"/>
      <c r="G182" s="213"/>
      <c r="H182" s="213" t="s">
        <v>215</v>
      </c>
      <c r="I182" s="214" t="s">
        <v>215</v>
      </c>
      <c r="J182" s="214"/>
      <c r="K182" s="213" t="s">
        <v>215</v>
      </c>
      <c r="L182" s="213"/>
      <c r="M182" s="214"/>
      <c r="N182" s="213"/>
      <c r="O182" s="214"/>
      <c r="P182" s="213"/>
      <c r="Q182" s="214"/>
      <c r="R182" s="214" t="s">
        <v>215</v>
      </c>
      <c r="S182" s="214"/>
      <c r="T182" s="214"/>
      <c r="U182" s="215">
        <f t="shared" si="515"/>
        <v>6</v>
      </c>
      <c r="V182" s="845" t="s">
        <v>219</v>
      </c>
      <c r="W182" s="216">
        <v>261410</v>
      </c>
      <c r="X182" s="217">
        <v>3.39</v>
      </c>
      <c r="Y182" s="218">
        <f t="shared" si="483"/>
        <v>1.0339</v>
      </c>
      <c r="Z182" s="196">
        <v>19</v>
      </c>
      <c r="AA182" s="218">
        <f t="shared" si="484"/>
        <v>1.8840489025780363</v>
      </c>
      <c r="AB182" s="196">
        <f t="shared" si="549"/>
        <v>492509.22362292447</v>
      </c>
      <c r="AC182" s="227">
        <v>20</v>
      </c>
      <c r="AD182" s="196">
        <f t="shared" si="550"/>
        <v>98501.844724584895</v>
      </c>
      <c r="AE182" s="196">
        <f t="shared" si="487"/>
        <v>93576.752488355647</v>
      </c>
      <c r="AF182" s="196">
        <f t="shared" si="516"/>
        <v>93576.752488355647</v>
      </c>
      <c r="AG182" s="606">
        <f t="shared" si="432"/>
        <v>4.3265782254206823E-3</v>
      </c>
      <c r="AH182" s="196">
        <f t="shared" si="529"/>
        <v>24625.461181146224</v>
      </c>
      <c r="AI182" s="248">
        <f t="shared" si="409"/>
        <v>1.9076971664852916E-3</v>
      </c>
      <c r="AJ182" s="196">
        <f t="shared" si="412"/>
        <v>123127.30590573112</v>
      </c>
      <c r="AK182" s="196">
        <f t="shared" si="455"/>
        <v>19700.36894491698</v>
      </c>
      <c r="AL182" s="196">
        <f t="shared" si="456"/>
        <v>19700.36894491698</v>
      </c>
      <c r="AM182" s="196">
        <f t="shared" si="413"/>
        <v>39400.737889833959</v>
      </c>
      <c r="AN182" s="627">
        <f t="shared" si="414"/>
        <v>1.9076971664852916E-3</v>
      </c>
      <c r="AO182" s="196">
        <f t="shared" si="415"/>
        <v>18715.35049767113</v>
      </c>
      <c r="AP182" s="589">
        <f t="shared" si="433"/>
        <v>1.9076971664852916E-3</v>
      </c>
      <c r="AQ182" s="196"/>
      <c r="AR182" s="589"/>
      <c r="AS182">
        <v>1</v>
      </c>
      <c r="AT182" s="589">
        <f t="shared" si="434"/>
        <v>1.2919896640826874E-3</v>
      </c>
      <c r="AU182" s="196">
        <v>10</v>
      </c>
      <c r="AV182" s="245">
        <f t="shared" si="416"/>
        <v>1.1362345188046814E-3</v>
      </c>
      <c r="AX182" s="245"/>
      <c r="AY182" s="245"/>
      <c r="AZ182" s="196">
        <v>51</v>
      </c>
      <c r="BA182" s="589">
        <f t="shared" si="447"/>
        <v>1.8687479388809498E-3</v>
      </c>
      <c r="BI182" s="196">
        <v>0</v>
      </c>
      <c r="BK182" s="246">
        <f t="shared" si="448"/>
        <v>0</v>
      </c>
      <c r="BL182" s="246"/>
      <c r="BM182" s="246">
        <f t="shared" si="449"/>
        <v>0</v>
      </c>
      <c r="BN182" s="196">
        <v>1</v>
      </c>
      <c r="BO182" s="196">
        <f t="shared" si="517"/>
        <v>37253.177080065267</v>
      </c>
      <c r="BP182" s="196">
        <f t="shared" si="417"/>
        <v>37253.177080065267</v>
      </c>
      <c r="BQ182" s="248">
        <f t="shared" si="450"/>
        <v>3.4848612371825589E-3</v>
      </c>
      <c r="BR182" s="248"/>
      <c r="BS182" s="248"/>
      <c r="BT182" s="276">
        <v>1</v>
      </c>
      <c r="BU182" s="196">
        <f t="shared" si="530"/>
        <v>70921.328201701122</v>
      </c>
      <c r="BV182" s="264">
        <f t="shared" si="451"/>
        <v>4.9192376601861704E-3</v>
      </c>
      <c r="BW182" s="196">
        <f t="shared" si="531"/>
        <v>303385.68175172148</v>
      </c>
      <c r="BX182" s="247">
        <f t="shared" si="452"/>
        <v>4.9192377044988515E-3</v>
      </c>
      <c r="BY182" s="196">
        <f t="shared" si="492"/>
        <v>374307.00995342259</v>
      </c>
      <c r="BZ182" s="620">
        <v>0</v>
      </c>
      <c r="CA182" s="196">
        <f t="shared" si="518"/>
        <v>150707.82242861489</v>
      </c>
      <c r="CB182" s="196">
        <f t="shared" si="519"/>
        <v>301415.64485722978</v>
      </c>
      <c r="CC182" s="196">
        <f t="shared" si="430"/>
        <v>452123.46728584467</v>
      </c>
      <c r="CD182" s="247">
        <f t="shared" si="418"/>
        <v>1.9076971664852916E-3</v>
      </c>
      <c r="CE182" s="196">
        <f t="shared" si="520"/>
        <v>34248.62151965766</v>
      </c>
      <c r="CF182" s="247">
        <f t="shared" si="419"/>
        <v>1.4789619885708842E-3</v>
      </c>
      <c r="CG182" s="196">
        <f t="shared" si="532"/>
        <v>74861.401990684521</v>
      </c>
      <c r="CH182" s="589">
        <f t="shared" si="435"/>
        <v>1.9076971664852916E-3</v>
      </c>
      <c r="CI182" s="196">
        <f t="shared" si="521"/>
        <v>157698.92973533866</v>
      </c>
      <c r="CJ182" s="248">
        <f t="shared" si="436"/>
        <v>2.592570004556159E-3</v>
      </c>
      <c r="CK182" s="196">
        <f t="shared" si="522"/>
        <v>164714.98833409487</v>
      </c>
      <c r="CL182" s="589">
        <f t="shared" si="437"/>
        <v>2.3678118377302468E-3</v>
      </c>
      <c r="CM182" s="196">
        <f t="shared" si="523"/>
        <v>15956.793111631654</v>
      </c>
      <c r="CN182" s="589">
        <f t="shared" si="438"/>
        <v>2.2995552307715312E-3</v>
      </c>
      <c r="CO182" s="196">
        <f t="shared" si="524"/>
        <v>1276.525471281082</v>
      </c>
      <c r="CP182" s="589">
        <f t="shared" si="439"/>
        <v>2.4073304177169232E-3</v>
      </c>
      <c r="CQ182" s="196">
        <f>'Detailed Budget'!$AC$12</f>
        <v>292876014141.44696</v>
      </c>
      <c r="CR182" s="269">
        <f t="shared" si="507"/>
        <v>0</v>
      </c>
      <c r="CS182" s="269">
        <f>'Detailed Budget'!$AC$16</f>
        <v>10488008800.000002</v>
      </c>
      <c r="CT182" s="607">
        <f t="shared" si="533"/>
        <v>0</v>
      </c>
      <c r="CU182" s="269">
        <f>'Detailed Budget'!$AC$24</f>
        <v>30624985696</v>
      </c>
      <c r="CV182" s="269">
        <f t="shared" si="446"/>
        <v>0</v>
      </c>
      <c r="CW182" s="269"/>
      <c r="CX182" s="269">
        <f t="shared" si="431"/>
        <v>0</v>
      </c>
      <c r="CY182" s="196">
        <f>'Detailed Budget'!$AC$97</f>
        <v>74629165494.837845</v>
      </c>
      <c r="CZ182" s="269">
        <f t="shared" si="534"/>
        <v>260072285.99624255</v>
      </c>
      <c r="DA182" s="269">
        <f>'Detailed Budget'!$AC$100</f>
        <v>14925833098.967569</v>
      </c>
      <c r="DB182" s="269">
        <f t="shared" si="535"/>
        <v>52014457.199248508</v>
      </c>
      <c r="DC182" s="269">
        <f t="shared" si="420"/>
        <v>312086743.19549108</v>
      </c>
      <c r="DD182" s="207">
        <v>0</v>
      </c>
      <c r="DE182" s="606">
        <v>0</v>
      </c>
      <c r="DF182" s="269">
        <f>'Detailed Budget'!$AC$147</f>
        <v>5913600671000</v>
      </c>
      <c r="DG182" s="269">
        <f t="shared" si="441"/>
        <v>0</v>
      </c>
      <c r="DH182" s="269">
        <f>'Detailed Budget'!$AC$153</f>
        <v>226428026880.00003</v>
      </c>
      <c r="DI182" s="269"/>
      <c r="DJ182" s="269">
        <f>'Detailed Budget'!$AC$156</f>
        <v>27713070000</v>
      </c>
      <c r="DK182" s="269"/>
      <c r="DL182" s="269"/>
      <c r="DM182" s="196">
        <f>'Detailed Budget'!$AC$178</f>
        <v>5622683761.6229038</v>
      </c>
      <c r="DN182" s="269">
        <f t="shared" si="525"/>
        <v>27659317.711492628</v>
      </c>
      <c r="DO182" s="196">
        <f>'Detailed Budget'!$AC$179</f>
        <v>26827890683.128094</v>
      </c>
      <c r="DP182" s="269">
        <f t="shared" si="526"/>
        <v>131972771.38061717</v>
      </c>
      <c r="DQ182" s="269">
        <f t="shared" si="457"/>
        <v>159632089.0921098</v>
      </c>
      <c r="DR182" s="269">
        <f>'Detailed Budget'!$AC$181</f>
        <v>50888946855.375237</v>
      </c>
      <c r="DS182" s="269">
        <f t="shared" si="527"/>
        <v>220175009.37905681</v>
      </c>
      <c r="DT182" s="269">
        <f t="shared" si="528"/>
        <v>379807098.47116661</v>
      </c>
      <c r="DU182" s="272">
        <f>'Detailed Budget'!$AC$192</f>
        <v>77498869683.252869</v>
      </c>
      <c r="DV182" s="269">
        <f t="shared" si="536"/>
        <v>0</v>
      </c>
      <c r="DW182" s="140">
        <f>'Detailed Budget'!$AC$194</f>
        <v>2684962805.4134097</v>
      </c>
      <c r="DX182" s="269">
        <f t="shared" si="537"/>
        <v>0</v>
      </c>
      <c r="DY182" s="607">
        <f t="shared" si="421"/>
        <v>0</v>
      </c>
      <c r="DZ182" s="196">
        <f>'Detailed Budget'!$AC$198</f>
        <v>18732540018.380611</v>
      </c>
      <c r="EA182" s="269">
        <f t="shared" si="510"/>
        <v>27704714.636567857</v>
      </c>
      <c r="EB182" s="196">
        <f>'Detailed Budget'!$AC$200</f>
        <v>4683135004.5951529</v>
      </c>
      <c r="EC182" s="269">
        <f t="shared" si="538"/>
        <v>6926178.6591419643</v>
      </c>
      <c r="ED182" s="269">
        <f t="shared" si="422"/>
        <v>34630893.295709819</v>
      </c>
      <c r="EE182" s="196">
        <f>'Detailed Budget'!$AC$161</f>
        <v>251147290106.36197</v>
      </c>
      <c r="EF182" s="269">
        <f t="shared" si="539"/>
        <v>479112973.70636624</v>
      </c>
      <c r="EG182" s="196">
        <f>'Detailed Budget'!$AC$163</f>
        <v>15696705631.647623</v>
      </c>
      <c r="EH182" s="269">
        <f t="shared" si="540"/>
        <v>29944560.85664789</v>
      </c>
      <c r="EI182" s="269">
        <f t="shared" si="423"/>
        <v>509057534.56301415</v>
      </c>
      <c r="EJ182" s="196">
        <f>'Detailed Budget'!$AC$204</f>
        <v>45012172507.531975</v>
      </c>
      <c r="EK182" s="269">
        <f t="shared" si="541"/>
        <v>116697208.28293478</v>
      </c>
      <c r="EL182" s="201">
        <f>'Detailed Budget'!$AC$206</f>
        <v>11253043126.882994</v>
      </c>
      <c r="EM182" s="269">
        <f t="shared" si="542"/>
        <v>29174302.070733696</v>
      </c>
      <c r="EN182" s="269">
        <f t="shared" si="424"/>
        <v>145871510.35366848</v>
      </c>
      <c r="EO182" s="140">
        <f>'Detailed Budget'!$AC$209</f>
        <v>135789361677.54817</v>
      </c>
      <c r="EP182" s="269">
        <f t="shared" si="543"/>
        <v>321523658.01793247</v>
      </c>
      <c r="EQ182" s="196">
        <f>'Detailed Budget'!$AC$211</f>
        <v>33947340419.387043</v>
      </c>
      <c r="ER182" s="269">
        <f t="shared" si="544"/>
        <v>80380914.504483119</v>
      </c>
      <c r="ES182" s="269">
        <f t="shared" si="425"/>
        <v>401904572.52241558</v>
      </c>
      <c r="ET182" s="196">
        <f>'Detailed Budget'!$AC$214</f>
        <v>22239745544.201103</v>
      </c>
      <c r="EU182" s="269">
        <f t="shared" si="545"/>
        <v>51141523.1971955</v>
      </c>
      <c r="EV182" s="140">
        <f>'Detailed Budget'!$AC$217</f>
        <v>5559936386.0502758</v>
      </c>
      <c r="EW182" s="269">
        <f t="shared" si="546"/>
        <v>12785380.799298875</v>
      </c>
      <c r="EX182" s="269">
        <f t="shared" si="426"/>
        <v>63926903.996494375</v>
      </c>
      <c r="EY182" s="196">
        <f>'Detailed Budget'!$AC$219</f>
        <v>372777004.58170313</v>
      </c>
      <c r="EZ182" s="269">
        <f t="shared" si="547"/>
        <v>897397.42215493473</v>
      </c>
      <c r="FA182" s="196">
        <f>'Detailed Budget'!$AC$222</f>
        <v>93194251.145425782</v>
      </c>
      <c r="FB182" s="269">
        <f t="shared" si="548"/>
        <v>224349.35553873368</v>
      </c>
      <c r="FC182" s="269">
        <f t="shared" si="427"/>
        <v>1121746.7776936684</v>
      </c>
      <c r="FD182" s="269"/>
      <c r="FE182" s="269">
        <f t="shared" si="428"/>
        <v>612824733.65027213</v>
      </c>
      <c r="FF182" s="140">
        <f>'Detailed Budget'!$AC$165</f>
        <v>14927760000</v>
      </c>
      <c r="FG182" s="1087">
        <f t="shared" si="442"/>
        <v>835933501.92956746</v>
      </c>
      <c r="FH182" s="269">
        <f t="shared" si="511"/>
        <v>16961436.200431772</v>
      </c>
      <c r="FJ182" s="140">
        <f>'Detailed Budget'!$AC$235</f>
        <v>3623696172</v>
      </c>
      <c r="FK182" s="269">
        <f t="shared" si="512"/>
        <v>4681778</v>
      </c>
      <c r="FL182" s="269">
        <f t="shared" si="443"/>
        <v>4681778</v>
      </c>
      <c r="FO182" s="607"/>
      <c r="FP182" s="607"/>
      <c r="FQ182" s="607"/>
      <c r="FR182" s="269">
        <f>'Detailed Budget'!$AC$257</f>
        <v>13636439388</v>
      </c>
      <c r="FS182" s="269">
        <f t="shared" si="513"/>
        <v>25483068</v>
      </c>
      <c r="FT182" s="269">
        <f t="shared" si="444"/>
        <v>25483068</v>
      </c>
      <c r="FU182" s="269"/>
      <c r="FV182" s="269"/>
      <c r="FW182" s="616"/>
      <c r="FX182" s="140">
        <f>'Detailed Budget'!$AC$278</f>
        <v>1114560000</v>
      </c>
      <c r="FY182" s="269">
        <f t="shared" si="514"/>
        <v>1440000</v>
      </c>
      <c r="FZ182" s="269">
        <f t="shared" si="445"/>
        <v>1440000</v>
      </c>
      <c r="GB182" s="269">
        <f t="shared" si="453"/>
        <v>2732906787.3056531</v>
      </c>
      <c r="GC182" s="887">
        <f t="shared" si="429"/>
        <v>1708066.7420660332</v>
      </c>
      <c r="GD182" s="1078">
        <f t="shared" si="454"/>
        <v>1.5335200551404014E-3</v>
      </c>
    </row>
    <row r="183" spans="1:186" hidden="1" outlineLevel="1">
      <c r="A183" s="211" t="s">
        <v>534</v>
      </c>
      <c r="B183" s="212" t="s">
        <v>535</v>
      </c>
      <c r="C183" s="213" t="s">
        <v>215</v>
      </c>
      <c r="D183" s="225" t="s">
        <v>215</v>
      </c>
      <c r="E183" s="213"/>
      <c r="F183" s="213"/>
      <c r="G183" s="213"/>
      <c r="H183" s="213" t="s">
        <v>215</v>
      </c>
      <c r="I183" s="214" t="s">
        <v>215</v>
      </c>
      <c r="J183" s="214"/>
      <c r="K183" s="213" t="s">
        <v>215</v>
      </c>
      <c r="L183" s="213"/>
      <c r="M183" s="214"/>
      <c r="N183" s="213"/>
      <c r="O183" s="214"/>
      <c r="P183" s="213"/>
      <c r="Q183" s="214"/>
      <c r="R183" s="214" t="s">
        <v>215</v>
      </c>
      <c r="S183" s="214"/>
      <c r="T183" s="214"/>
      <c r="U183" s="215">
        <f t="shared" si="515"/>
        <v>6</v>
      </c>
      <c r="V183" s="845" t="s">
        <v>219</v>
      </c>
      <c r="W183" s="216">
        <v>385997</v>
      </c>
      <c r="X183" s="217">
        <v>3.39</v>
      </c>
      <c r="Y183" s="218">
        <f t="shared" si="483"/>
        <v>1.0339</v>
      </c>
      <c r="Z183" s="196">
        <v>19</v>
      </c>
      <c r="AA183" s="218">
        <f t="shared" si="484"/>
        <v>1.8840489025780363</v>
      </c>
      <c r="AB183" s="196">
        <f t="shared" si="549"/>
        <v>727237.22424841428</v>
      </c>
      <c r="AC183" s="227">
        <v>20</v>
      </c>
      <c r="AD183" s="196">
        <f t="shared" si="550"/>
        <v>145447.44484968286</v>
      </c>
      <c r="AE183" s="196">
        <f t="shared" si="487"/>
        <v>138175.0726071987</v>
      </c>
      <c r="AF183" s="196">
        <f t="shared" si="516"/>
        <v>138175.0726071987</v>
      </c>
      <c r="AG183" s="606">
        <f t="shared" si="432"/>
        <v>6.3886087574220847E-3</v>
      </c>
      <c r="AH183" s="196">
        <f t="shared" si="529"/>
        <v>36361.861212420714</v>
      </c>
      <c r="AI183" s="248">
        <f t="shared" si="409"/>
        <v>2.8168982945251638E-3</v>
      </c>
      <c r="AJ183" s="196">
        <f t="shared" si="412"/>
        <v>181809.30606210357</v>
      </c>
      <c r="AK183" s="196">
        <f t="shared" si="455"/>
        <v>29089.48896993657</v>
      </c>
      <c r="AL183" s="196">
        <f t="shared" si="456"/>
        <v>29089.48896993657</v>
      </c>
      <c r="AM183" s="196">
        <f t="shared" si="413"/>
        <v>58178.977939873141</v>
      </c>
      <c r="AN183" s="627">
        <f t="shared" si="414"/>
        <v>2.8168982945251638E-3</v>
      </c>
      <c r="AO183" s="196">
        <f t="shared" si="415"/>
        <v>27635.014521439742</v>
      </c>
      <c r="AP183" s="589">
        <f t="shared" si="433"/>
        <v>2.8168982945251638E-3</v>
      </c>
      <c r="AQ183" s="196"/>
      <c r="AR183" s="589"/>
      <c r="AS183">
        <v>1</v>
      </c>
      <c r="AT183" s="589">
        <f t="shared" si="434"/>
        <v>1.2919896640826874E-3</v>
      </c>
      <c r="AU183" s="196">
        <v>11</v>
      </c>
      <c r="AV183" s="245">
        <f t="shared" si="416"/>
        <v>1.2498579706851495E-3</v>
      </c>
      <c r="AX183" s="245"/>
      <c r="AY183" s="245"/>
      <c r="AZ183" s="196">
        <v>71</v>
      </c>
      <c r="BA183" s="589">
        <f t="shared" si="447"/>
        <v>2.6015902678538714E-3</v>
      </c>
      <c r="BI183" s="196">
        <v>0</v>
      </c>
      <c r="BK183" s="246">
        <f t="shared" si="448"/>
        <v>0</v>
      </c>
      <c r="BL183" s="246"/>
      <c r="BM183" s="246">
        <f t="shared" si="449"/>
        <v>0</v>
      </c>
      <c r="BN183" s="196">
        <v>1</v>
      </c>
      <c r="BO183" s="196">
        <f t="shared" si="517"/>
        <v>55007.897912757559</v>
      </c>
      <c r="BP183" s="196">
        <f t="shared" si="417"/>
        <v>55007.897912757559</v>
      </c>
      <c r="BQ183" s="248">
        <f t="shared" si="450"/>
        <v>5.1457326918203442E-3</v>
      </c>
      <c r="BR183" s="248"/>
      <c r="BS183" s="248"/>
      <c r="BT183" s="276">
        <v>1</v>
      </c>
      <c r="BU183" s="196">
        <f t="shared" si="530"/>
        <v>104722.16029177165</v>
      </c>
      <c r="BV183" s="264">
        <f t="shared" si="451"/>
        <v>7.2637273980294603E-3</v>
      </c>
      <c r="BW183" s="196">
        <f t="shared" si="531"/>
        <v>447978.13013702322</v>
      </c>
      <c r="BX183" s="247">
        <f t="shared" si="452"/>
        <v>7.2637274634613953E-3</v>
      </c>
      <c r="BY183" s="196">
        <f t="shared" si="492"/>
        <v>552700.29042879492</v>
      </c>
      <c r="BZ183" s="620">
        <v>0</v>
      </c>
      <c r="CA183" s="196">
        <f t="shared" si="518"/>
        <v>222534.59062001476</v>
      </c>
      <c r="CB183" s="196">
        <f t="shared" si="519"/>
        <v>445069.18124002952</v>
      </c>
      <c r="CC183" s="196">
        <f t="shared" si="430"/>
        <v>667603.77186004422</v>
      </c>
      <c r="CD183" s="247">
        <f t="shared" si="418"/>
        <v>2.8168982945251633E-3</v>
      </c>
      <c r="CE183" s="196">
        <f t="shared" si="520"/>
        <v>50571.382734873565</v>
      </c>
      <c r="CF183" s="247">
        <f t="shared" si="419"/>
        <v>2.1838295807444078E-3</v>
      </c>
      <c r="CG183" s="196">
        <f t="shared" si="532"/>
        <v>110540.05808575897</v>
      </c>
      <c r="CH183" s="589">
        <f t="shared" si="435"/>
        <v>2.8168982945251638E-3</v>
      </c>
      <c r="CI183" s="196">
        <f t="shared" si="521"/>
        <v>232857.63276481969</v>
      </c>
      <c r="CJ183" s="248">
        <f t="shared" si="436"/>
        <v>3.8281788915828147E-3</v>
      </c>
      <c r="CK183" s="196">
        <f t="shared" si="522"/>
        <v>243217.5178914181</v>
      </c>
      <c r="CL183" s="589">
        <f t="shared" si="437"/>
        <v>3.496301847398194E-3</v>
      </c>
      <c r="CM183" s="196">
        <f t="shared" si="523"/>
        <v>23561.739301137994</v>
      </c>
      <c r="CN183" s="589">
        <f t="shared" si="438"/>
        <v>3.3955144042390061E-3</v>
      </c>
      <c r="CO183" s="196">
        <f t="shared" si="524"/>
        <v>1884.9125983630456</v>
      </c>
      <c r="CP183" s="589">
        <f t="shared" si="439"/>
        <v>3.5546548305247661E-3</v>
      </c>
      <c r="CQ183" s="196">
        <f>'Detailed Budget'!$AC$12</f>
        <v>292876014141.44696</v>
      </c>
      <c r="CR183" s="269">
        <f t="shared" si="507"/>
        <v>0</v>
      </c>
      <c r="CS183" s="269">
        <f>'Detailed Budget'!$AC$16</f>
        <v>10488008800.000002</v>
      </c>
      <c r="CT183" s="607">
        <f t="shared" si="533"/>
        <v>0</v>
      </c>
      <c r="CU183" s="269">
        <f>'Detailed Budget'!$AC$24</f>
        <v>30624985696</v>
      </c>
      <c r="CV183" s="269">
        <f t="shared" si="446"/>
        <v>0</v>
      </c>
      <c r="CW183" s="269"/>
      <c r="CX183" s="269">
        <f t="shared" si="431"/>
        <v>0</v>
      </c>
      <c r="CY183" s="196">
        <f>'Detailed Budget'!$AC$97</f>
        <v>74629165494.837845</v>
      </c>
      <c r="CZ183" s="269">
        <f t="shared" si="534"/>
        <v>384021736.65005791</v>
      </c>
      <c r="DA183" s="269">
        <f>'Detailed Budget'!$AC$100</f>
        <v>14925833098.967569</v>
      </c>
      <c r="DB183" s="269">
        <f t="shared" si="535"/>
        <v>76804347.330011576</v>
      </c>
      <c r="DC183" s="269">
        <f t="shared" si="420"/>
        <v>460826083.98006952</v>
      </c>
      <c r="DD183" s="207">
        <v>0</v>
      </c>
      <c r="DE183" s="606">
        <v>0</v>
      </c>
      <c r="DF183" s="269">
        <f>'Detailed Budget'!$AC$147</f>
        <v>5913600671000</v>
      </c>
      <c r="DG183" s="269">
        <f t="shared" si="441"/>
        <v>0</v>
      </c>
      <c r="DH183" s="269">
        <f>'Detailed Budget'!$AC$153</f>
        <v>226428026880.00003</v>
      </c>
      <c r="DI183" s="269"/>
      <c r="DJ183" s="269">
        <f>'Detailed Budget'!$AC$156</f>
        <v>27713070000</v>
      </c>
      <c r="DK183" s="269"/>
      <c r="DL183" s="269"/>
      <c r="DM183" s="196">
        <f>'Detailed Budget'!$AC$178</f>
        <v>5622683761.6229038</v>
      </c>
      <c r="DN183" s="269">
        <f t="shared" si="525"/>
        <v>40841642.089755632</v>
      </c>
      <c r="DO183" s="196">
        <f>'Detailed Budget'!$AC$179</f>
        <v>26827890683.128094</v>
      </c>
      <c r="DP183" s="269">
        <f t="shared" si="526"/>
        <v>194870486.34177762</v>
      </c>
      <c r="DQ183" s="269">
        <f t="shared" si="457"/>
        <v>235712128.43153325</v>
      </c>
      <c r="DR183" s="269">
        <f>'Detailed Budget'!$AC$181</f>
        <v>50888946855.375237</v>
      </c>
      <c r="DS183" s="269">
        <f t="shared" si="527"/>
        <v>325109571.5362373</v>
      </c>
      <c r="DT183" s="269">
        <f t="shared" si="528"/>
        <v>560821699.96777058</v>
      </c>
      <c r="DU183" s="272">
        <f>'Detailed Budget'!$AC$192</f>
        <v>77498869683.252869</v>
      </c>
      <c r="DV183" s="269">
        <f t="shared" si="536"/>
        <v>0</v>
      </c>
      <c r="DW183" s="140">
        <f>'Detailed Budget'!$AC$194</f>
        <v>2684962805.4134097</v>
      </c>
      <c r="DX183" s="269">
        <f t="shared" si="537"/>
        <v>0</v>
      </c>
      <c r="DY183" s="607">
        <f t="shared" si="421"/>
        <v>0</v>
      </c>
      <c r="DZ183" s="196">
        <f>'Detailed Budget'!$AC$198</f>
        <v>18732540018.380611</v>
      </c>
      <c r="EA183" s="269">
        <f t="shared" si="510"/>
        <v>40908675.014617972</v>
      </c>
      <c r="EB183" s="196">
        <f>'Detailed Budget'!$AC$200</f>
        <v>4683135004.5951529</v>
      </c>
      <c r="EC183" s="269">
        <f t="shared" si="538"/>
        <v>10227168.753654493</v>
      </c>
      <c r="ED183" s="269">
        <f t="shared" si="422"/>
        <v>51135843.768272467</v>
      </c>
      <c r="EE183" s="196">
        <f>'Detailed Budget'!$AC$161</f>
        <v>251147290106.36197</v>
      </c>
      <c r="EF183" s="269">
        <f t="shared" si="539"/>
        <v>707456373.17522752</v>
      </c>
      <c r="EG183" s="196">
        <f>'Detailed Budget'!$AC$163</f>
        <v>15696705631.647623</v>
      </c>
      <c r="EH183" s="269">
        <f t="shared" si="540"/>
        <v>44216023.32345172</v>
      </c>
      <c r="EI183" s="269">
        <f t="shared" si="423"/>
        <v>751672396.49867928</v>
      </c>
      <c r="EJ183" s="196">
        <f>'Detailed Budget'!$AC$204</f>
        <v>45012172507.531975</v>
      </c>
      <c r="EK183" s="269">
        <f t="shared" si="541"/>
        <v>172314648.65761819</v>
      </c>
      <c r="EL183" s="201">
        <f>'Detailed Budget'!$AC$206</f>
        <v>11253043126.882994</v>
      </c>
      <c r="EM183" s="269">
        <f t="shared" si="542"/>
        <v>43078662.164404549</v>
      </c>
      <c r="EN183" s="269">
        <f t="shared" si="424"/>
        <v>215393310.82202274</v>
      </c>
      <c r="EO183" s="140">
        <f>'Detailed Budget'!$AC$209</f>
        <v>135789361677.54817</v>
      </c>
      <c r="EP183" s="269">
        <f t="shared" si="543"/>
        <v>474760596.09023321</v>
      </c>
      <c r="EQ183" s="196">
        <f>'Detailed Budget'!$AC$211</f>
        <v>33947340419.387043</v>
      </c>
      <c r="ER183" s="269">
        <f t="shared" si="544"/>
        <v>118690149.0225583</v>
      </c>
      <c r="ES183" s="269">
        <f t="shared" si="425"/>
        <v>593450745.11279154</v>
      </c>
      <c r="ET183" s="196">
        <f>'Detailed Budget'!$AC$214</f>
        <v>22239745544.201103</v>
      </c>
      <c r="EU183" s="269">
        <f t="shared" si="545"/>
        <v>75515376.341945097</v>
      </c>
      <c r="EV183" s="140">
        <f>'Detailed Budget'!$AC$217</f>
        <v>5559936386.0502758</v>
      </c>
      <c r="EW183" s="269">
        <f t="shared" si="546"/>
        <v>18878844.085486274</v>
      </c>
      <c r="EX183" s="269">
        <f t="shared" si="426"/>
        <v>94394220.427431375</v>
      </c>
      <c r="EY183" s="196">
        <f>'Detailed Budget'!$AC$219</f>
        <v>372777004.58170313</v>
      </c>
      <c r="EZ183" s="269">
        <f t="shared" si="547"/>
        <v>1325093.5800449038</v>
      </c>
      <c r="FA183" s="196">
        <f>'Detailed Budget'!$AC$222</f>
        <v>93194251.145425782</v>
      </c>
      <c r="FB183" s="269">
        <f t="shared" si="548"/>
        <v>331273.39501122595</v>
      </c>
      <c r="FC183" s="269">
        <f t="shared" si="427"/>
        <v>1656366.9750561297</v>
      </c>
      <c r="FD183" s="269"/>
      <c r="FE183" s="269">
        <f t="shared" si="428"/>
        <v>904894643.33730173</v>
      </c>
      <c r="FF183" s="140">
        <f>'Detailed Budget'!$AC$165</f>
        <v>14927760000</v>
      </c>
      <c r="FG183" s="1087">
        <f t="shared" si="442"/>
        <v>1234336191.9754682</v>
      </c>
      <c r="FH183" s="269">
        <f t="shared" si="511"/>
        <v>18657579.820474949</v>
      </c>
      <c r="FJ183" s="140">
        <f>'Detailed Budget'!$AC$235</f>
        <v>3623696172</v>
      </c>
      <c r="FK183" s="269">
        <f t="shared" si="512"/>
        <v>4681778</v>
      </c>
      <c r="FL183" s="269">
        <f t="shared" si="443"/>
        <v>4681778</v>
      </c>
      <c r="FO183" s="607"/>
      <c r="FP183" s="607"/>
      <c r="FQ183" s="607"/>
      <c r="FR183" s="269">
        <f>'Detailed Budget'!$AC$257</f>
        <v>13636439388</v>
      </c>
      <c r="FS183" s="269">
        <f t="shared" si="513"/>
        <v>35476428</v>
      </c>
      <c r="FT183" s="269">
        <f t="shared" si="444"/>
        <v>35476428</v>
      </c>
      <c r="FU183" s="269"/>
      <c r="FV183" s="269"/>
      <c r="FW183" s="616"/>
      <c r="FX183" s="140">
        <f>'Detailed Budget'!$AC$278</f>
        <v>1114560000</v>
      </c>
      <c r="FY183" s="269">
        <f t="shared" si="514"/>
        <v>1440000</v>
      </c>
      <c r="FZ183" s="269">
        <f t="shared" si="445"/>
        <v>1440000</v>
      </c>
      <c r="GB183" s="269">
        <f t="shared" si="453"/>
        <v>4023942645.3480368</v>
      </c>
      <c r="GC183" s="887">
        <f t="shared" si="429"/>
        <v>2514964.1533425231</v>
      </c>
      <c r="GD183" s="1078">
        <f t="shared" si="454"/>
        <v>2.257960928649039E-3</v>
      </c>
    </row>
    <row r="184" spans="1:186" hidden="1" outlineLevel="1">
      <c r="A184" s="211" t="s">
        <v>536</v>
      </c>
      <c r="B184" s="212" t="s">
        <v>537</v>
      </c>
      <c r="C184" s="213" t="s">
        <v>215</v>
      </c>
      <c r="D184" s="225" t="s">
        <v>215</v>
      </c>
      <c r="E184" s="213"/>
      <c r="F184" s="213"/>
      <c r="G184" s="213"/>
      <c r="H184" s="213" t="s">
        <v>215</v>
      </c>
      <c r="I184" s="214" t="s">
        <v>215</v>
      </c>
      <c r="J184" s="214"/>
      <c r="K184" s="213" t="s">
        <v>215</v>
      </c>
      <c r="L184" s="213"/>
      <c r="M184" s="214"/>
      <c r="N184" s="213"/>
      <c r="O184" s="214"/>
      <c r="P184" s="213"/>
      <c r="Q184" s="214"/>
      <c r="R184" s="214" t="s">
        <v>215</v>
      </c>
      <c r="S184" s="214"/>
      <c r="T184" s="214"/>
      <c r="U184" s="215">
        <f t="shared" si="515"/>
        <v>6</v>
      </c>
      <c r="V184" s="845" t="s">
        <v>219</v>
      </c>
      <c r="W184" s="216">
        <v>233999</v>
      </c>
      <c r="X184" s="217">
        <v>3.39</v>
      </c>
      <c r="Y184" s="218">
        <f t="shared" si="483"/>
        <v>1.0339</v>
      </c>
      <c r="Z184" s="196">
        <v>19</v>
      </c>
      <c r="AA184" s="218">
        <f t="shared" si="484"/>
        <v>1.8840489025780363</v>
      </c>
      <c r="AB184" s="196">
        <f t="shared" si="549"/>
        <v>440865.55915435788</v>
      </c>
      <c r="AC184" s="227">
        <v>20</v>
      </c>
      <c r="AD184" s="196">
        <f t="shared" si="550"/>
        <v>88173.111830871567</v>
      </c>
      <c r="AE184" s="196">
        <f t="shared" si="487"/>
        <v>83764.456239327978</v>
      </c>
      <c r="AF184" s="196">
        <f t="shared" si="516"/>
        <v>83764.456239327978</v>
      </c>
      <c r="AG184" s="606">
        <f t="shared" si="432"/>
        <v>3.8729007236533186E-3</v>
      </c>
      <c r="AH184" s="196">
        <f t="shared" si="529"/>
        <v>22043.277957717895</v>
      </c>
      <c r="AI184" s="248">
        <f t="shared" si="409"/>
        <v>1.7076593445560296E-3</v>
      </c>
      <c r="AJ184" s="196">
        <f t="shared" si="412"/>
        <v>110216.38978858947</v>
      </c>
      <c r="AK184" s="196">
        <f t="shared" si="455"/>
        <v>17634.622366174317</v>
      </c>
      <c r="AL184" s="196">
        <f t="shared" si="456"/>
        <v>17634.622366174317</v>
      </c>
      <c r="AM184" s="196">
        <f t="shared" si="413"/>
        <v>35269.244732348634</v>
      </c>
      <c r="AN184" s="627">
        <f t="shared" si="414"/>
        <v>1.7076593445560298E-3</v>
      </c>
      <c r="AO184" s="196">
        <f t="shared" si="415"/>
        <v>16752.891247865598</v>
      </c>
      <c r="AP184" s="589">
        <f t="shared" si="433"/>
        <v>1.7076593445560296E-3</v>
      </c>
      <c r="AQ184" s="196"/>
      <c r="AR184" s="589"/>
      <c r="AS184">
        <v>1</v>
      </c>
      <c r="AT184" s="589">
        <f t="shared" si="434"/>
        <v>1.2919896640826874E-3</v>
      </c>
      <c r="AU184" s="196">
        <v>11</v>
      </c>
      <c r="AV184" s="245">
        <f t="shared" si="416"/>
        <v>1.2498579706851495E-3</v>
      </c>
      <c r="AX184" s="245"/>
      <c r="AY184" s="245"/>
      <c r="AZ184" s="196">
        <v>60</v>
      </c>
      <c r="BA184" s="589">
        <f t="shared" si="447"/>
        <v>2.1985269869187643E-3</v>
      </c>
      <c r="BI184" s="196">
        <v>0</v>
      </c>
      <c r="BK184" s="246">
        <f t="shared" si="448"/>
        <v>0</v>
      </c>
      <c r="BL184" s="246"/>
      <c r="BM184" s="246">
        <f t="shared" si="449"/>
        <v>0</v>
      </c>
      <c r="BN184" s="196">
        <v>1</v>
      </c>
      <c r="BO184" s="196">
        <f t="shared" si="517"/>
        <v>33346.87343084882</v>
      </c>
      <c r="BP184" s="196">
        <f t="shared" si="417"/>
        <v>33346.87343084882</v>
      </c>
      <c r="BQ184" s="248">
        <f t="shared" si="450"/>
        <v>3.1194447214700333E-3</v>
      </c>
      <c r="BR184" s="248"/>
      <c r="BS184" s="248"/>
      <c r="BT184" s="276">
        <v>1</v>
      </c>
      <c r="BU184" s="196">
        <f t="shared" si="530"/>
        <v>63484.640518227527</v>
      </c>
      <c r="BV184" s="264">
        <f t="shared" si="451"/>
        <v>4.4034149162078861E-3</v>
      </c>
      <c r="BW184" s="196">
        <f t="shared" si="531"/>
        <v>271573.18443908443</v>
      </c>
      <c r="BX184" s="247">
        <f t="shared" si="452"/>
        <v>4.4034149558740158E-3</v>
      </c>
      <c r="BY184" s="196">
        <f t="shared" si="492"/>
        <v>335057.82495731197</v>
      </c>
      <c r="BZ184" s="620">
        <v>0</v>
      </c>
      <c r="CA184" s="196">
        <f t="shared" si="518"/>
        <v>134904.86110123352</v>
      </c>
      <c r="CB184" s="196">
        <f t="shared" si="519"/>
        <v>269809.72220246703</v>
      </c>
      <c r="CC184" s="196">
        <f t="shared" si="430"/>
        <v>404714.58330370055</v>
      </c>
      <c r="CD184" s="247">
        <f t="shared" si="418"/>
        <v>1.7076593445560296E-3</v>
      </c>
      <c r="CE184" s="196">
        <f t="shared" si="520"/>
        <v>30657.370364478684</v>
      </c>
      <c r="CF184" s="247">
        <f t="shared" si="419"/>
        <v>1.32388059509429E-3</v>
      </c>
      <c r="CG184" s="196">
        <f t="shared" si="532"/>
        <v>67011.564991462394</v>
      </c>
      <c r="CH184" s="589">
        <f t="shared" si="435"/>
        <v>1.7076593445560296E-3</v>
      </c>
      <c r="CI184" s="196">
        <f t="shared" si="521"/>
        <v>141162.89300003639</v>
      </c>
      <c r="CJ184" s="248">
        <f t="shared" si="436"/>
        <v>2.3207176026018004E-3</v>
      </c>
      <c r="CK184" s="196">
        <f t="shared" si="522"/>
        <v>147443.25984158929</v>
      </c>
      <c r="CL184" s="589">
        <f t="shared" si="437"/>
        <v>2.1195271880074975E-3</v>
      </c>
      <c r="CM184" s="196">
        <f t="shared" si="523"/>
        <v>14283.591413215619</v>
      </c>
      <c r="CN184" s="589">
        <f t="shared" si="438"/>
        <v>2.0584278506763608E-3</v>
      </c>
      <c r="CO184" s="196">
        <f t="shared" si="524"/>
        <v>1142.6712205129943</v>
      </c>
      <c r="CP184" s="589">
        <f t="shared" si="439"/>
        <v>2.1549019181184431E-3</v>
      </c>
      <c r="CQ184" s="196">
        <f>'Detailed Budget'!$AC$12</f>
        <v>292876014141.44696</v>
      </c>
      <c r="CR184" s="269">
        <f t="shared" si="507"/>
        <v>0</v>
      </c>
      <c r="CS184" s="269">
        <f>'Detailed Budget'!$AC$16</f>
        <v>10488008800.000002</v>
      </c>
      <c r="CT184" s="607">
        <f t="shared" si="533"/>
        <v>0</v>
      </c>
      <c r="CU184" s="269">
        <f>'Detailed Budget'!$AC$24</f>
        <v>30624985696</v>
      </c>
      <c r="CV184" s="269">
        <f t="shared" si="446"/>
        <v>0</v>
      </c>
      <c r="CW184" s="269"/>
      <c r="CX184" s="269">
        <f t="shared" si="431"/>
        <v>0</v>
      </c>
      <c r="CY184" s="196">
        <f>'Detailed Budget'!$AC$97</f>
        <v>74629165494.837845</v>
      </c>
      <c r="CZ184" s="269">
        <f t="shared" si="534"/>
        <v>232801556.37058547</v>
      </c>
      <c r="DA184" s="269">
        <f>'Detailed Budget'!$AC$100</f>
        <v>14925833098.967569</v>
      </c>
      <c r="DB184" s="269">
        <f t="shared" si="535"/>
        <v>46560311.274117097</v>
      </c>
      <c r="DC184" s="269">
        <f t="shared" si="420"/>
        <v>279361867.64470255</v>
      </c>
      <c r="DD184" s="207">
        <v>0</v>
      </c>
      <c r="DE184" s="606">
        <v>0</v>
      </c>
      <c r="DF184" s="269">
        <f>'Detailed Budget'!$AC$147</f>
        <v>5913600671000</v>
      </c>
      <c r="DG184" s="269">
        <f t="shared" si="441"/>
        <v>0</v>
      </c>
      <c r="DH184" s="269">
        <f>'Detailed Budget'!$AC$153</f>
        <v>226428026880.00003</v>
      </c>
      <c r="DI184" s="269"/>
      <c r="DJ184" s="269">
        <f>'Detailed Budget'!$AC$156</f>
        <v>27713070000</v>
      </c>
      <c r="DK184" s="269"/>
      <c r="DL184" s="269"/>
      <c r="DM184" s="196">
        <f>'Detailed Budget'!$AC$178</f>
        <v>5622683761.6229038</v>
      </c>
      <c r="DN184" s="269">
        <f t="shared" si="525"/>
        <v>24759009.545050159</v>
      </c>
      <c r="DO184" s="196">
        <f>'Detailed Budget'!$AC$179</f>
        <v>26827890683.128094</v>
      </c>
      <c r="DP184" s="269">
        <f t="shared" si="526"/>
        <v>118134335.06863941</v>
      </c>
      <c r="DQ184" s="269">
        <f t="shared" si="457"/>
        <v>142893344.61368957</v>
      </c>
      <c r="DR184" s="269">
        <f>'Detailed Budget'!$AC$181</f>
        <v>50888946855.375237</v>
      </c>
      <c r="DS184" s="269">
        <f t="shared" si="527"/>
        <v>197087839.10213801</v>
      </c>
      <c r="DT184" s="269">
        <f t="shared" si="528"/>
        <v>339981183.71582758</v>
      </c>
      <c r="DU184" s="272">
        <f>'Detailed Budget'!$AC$192</f>
        <v>77498869683.252869</v>
      </c>
      <c r="DV184" s="269">
        <f t="shared" si="536"/>
        <v>0</v>
      </c>
      <c r="DW184" s="140">
        <f>'Detailed Budget'!$AC$194</f>
        <v>2684962805.4134097</v>
      </c>
      <c r="DX184" s="269">
        <f t="shared" si="537"/>
        <v>0</v>
      </c>
      <c r="DY184" s="607">
        <f t="shared" si="421"/>
        <v>0</v>
      </c>
      <c r="DZ184" s="196">
        <f>'Detailed Budget'!$AC$198</f>
        <v>18732540018.380611</v>
      </c>
      <c r="EA184" s="269">
        <f t="shared" si="510"/>
        <v>24799646.227161326</v>
      </c>
      <c r="EB184" s="196">
        <f>'Detailed Budget'!$AC$200</f>
        <v>4683135004.5951529</v>
      </c>
      <c r="EC184" s="269">
        <f t="shared" si="538"/>
        <v>6199911.5567903314</v>
      </c>
      <c r="ED184" s="269">
        <f t="shared" si="422"/>
        <v>30999557.783951655</v>
      </c>
      <c r="EE184" s="196">
        <f>'Detailed Budget'!$AC$161</f>
        <v>251147290106.36197</v>
      </c>
      <c r="EF184" s="269">
        <f t="shared" si="539"/>
        <v>428874016.81005311</v>
      </c>
      <c r="EG184" s="196">
        <f>'Detailed Budget'!$AC$163</f>
        <v>15696705631.647623</v>
      </c>
      <c r="EH184" s="269">
        <f t="shared" si="540"/>
        <v>26804626.050628319</v>
      </c>
      <c r="EI184" s="269">
        <f t="shared" si="423"/>
        <v>455678642.86068141</v>
      </c>
      <c r="EJ184" s="196">
        <f>'Detailed Budget'!$AC$204</f>
        <v>45012172507.531975</v>
      </c>
      <c r="EK184" s="269">
        <f t="shared" si="541"/>
        <v>104460541.06957828</v>
      </c>
      <c r="EL184" s="201">
        <f>'Detailed Budget'!$AC$206</f>
        <v>11253043126.882994</v>
      </c>
      <c r="EM184" s="269">
        <f t="shared" si="542"/>
        <v>26115135.267394569</v>
      </c>
      <c r="EN184" s="269">
        <f t="shared" si="424"/>
        <v>130575676.33697285</v>
      </c>
      <c r="EO184" s="140">
        <f>'Detailed Budget'!$AC$209</f>
        <v>135789361677.54817</v>
      </c>
      <c r="EP184" s="269">
        <f t="shared" si="543"/>
        <v>287809243.91774672</v>
      </c>
      <c r="EQ184" s="196">
        <f>'Detailed Budget'!$AC$211</f>
        <v>33947340419.387043</v>
      </c>
      <c r="ER184" s="269">
        <f t="shared" si="544"/>
        <v>71952310.979436681</v>
      </c>
      <c r="ES184" s="269">
        <f t="shared" si="425"/>
        <v>359761554.89718342</v>
      </c>
      <c r="ET184" s="196">
        <f>'Detailed Budget'!$AC$214</f>
        <v>22239745544.201103</v>
      </c>
      <c r="EU184" s="269">
        <f t="shared" si="545"/>
        <v>45778911.620139048</v>
      </c>
      <c r="EV184" s="140">
        <f>'Detailed Budget'!$AC$217</f>
        <v>5559936386.0502758</v>
      </c>
      <c r="EW184" s="269">
        <f t="shared" si="546"/>
        <v>11444727.905034762</v>
      </c>
      <c r="EX184" s="269">
        <f t="shared" si="426"/>
        <v>57223639.525173813</v>
      </c>
      <c r="EY184" s="196">
        <f>'Detailed Budget'!$AC$219</f>
        <v>372777004.58170313</v>
      </c>
      <c r="EZ184" s="269">
        <f t="shared" si="547"/>
        <v>803297.88220355974</v>
      </c>
      <c r="FA184" s="196">
        <f>'Detailed Budget'!$AC$222</f>
        <v>93194251.145425782</v>
      </c>
      <c r="FB184" s="269">
        <f t="shared" si="548"/>
        <v>200824.47055088994</v>
      </c>
      <c r="FC184" s="269">
        <f t="shared" si="427"/>
        <v>1004122.3527544497</v>
      </c>
      <c r="FD184" s="269"/>
      <c r="FE184" s="269">
        <f t="shared" si="428"/>
        <v>548564993.11208451</v>
      </c>
      <c r="FF184" s="140">
        <f>'Detailed Budget'!$AC$165</f>
        <v>14927760000</v>
      </c>
      <c r="FG184" s="1087">
        <f t="shared" si="442"/>
        <v>748278962.2356329</v>
      </c>
      <c r="FH184" s="269">
        <f t="shared" si="511"/>
        <v>18657579.820474949</v>
      </c>
      <c r="FJ184" s="140">
        <f>'Detailed Budget'!$AC$235</f>
        <v>3623696172</v>
      </c>
      <c r="FK184" s="269">
        <f t="shared" si="512"/>
        <v>4681778</v>
      </c>
      <c r="FL184" s="269">
        <f t="shared" si="443"/>
        <v>4681778</v>
      </c>
      <c r="FO184" s="607"/>
      <c r="FP184" s="607"/>
      <c r="FQ184" s="607"/>
      <c r="FR184" s="269">
        <f>'Detailed Budget'!$AC$257</f>
        <v>13636439388</v>
      </c>
      <c r="FS184" s="269">
        <f t="shared" si="513"/>
        <v>29980079.999999996</v>
      </c>
      <c r="FT184" s="269">
        <f t="shared" si="444"/>
        <v>29980079.999999996</v>
      </c>
      <c r="FU184" s="269"/>
      <c r="FV184" s="269"/>
      <c r="FW184" s="616"/>
      <c r="FX184" s="140">
        <f>'Detailed Budget'!$AC$278</f>
        <v>1114560000</v>
      </c>
      <c r="FY184" s="269">
        <f t="shared" si="514"/>
        <v>1440000</v>
      </c>
      <c r="FZ184" s="269">
        <f t="shared" si="445"/>
        <v>1440000</v>
      </c>
      <c r="GB184" s="269">
        <f t="shared" si="453"/>
        <v>2457624645.1733556</v>
      </c>
      <c r="GC184" s="887">
        <f t="shared" si="429"/>
        <v>1536015.4032333472</v>
      </c>
      <c r="GD184" s="1078">
        <f t="shared" si="454"/>
        <v>1.3790505768022533E-3</v>
      </c>
    </row>
    <row r="185" spans="1:186" hidden="1" outlineLevel="1">
      <c r="A185" s="211" t="s">
        <v>538</v>
      </c>
      <c r="B185" s="212" t="s">
        <v>539</v>
      </c>
      <c r="C185" s="213" t="s">
        <v>215</v>
      </c>
      <c r="D185" s="225" t="s">
        <v>215</v>
      </c>
      <c r="E185" s="213"/>
      <c r="F185" s="213"/>
      <c r="G185" s="213"/>
      <c r="H185" s="213" t="s">
        <v>215</v>
      </c>
      <c r="I185" s="214" t="s">
        <v>215</v>
      </c>
      <c r="J185" s="214"/>
      <c r="K185" s="213" t="s">
        <v>215</v>
      </c>
      <c r="L185" s="213"/>
      <c r="M185" s="214"/>
      <c r="N185" s="213"/>
      <c r="O185" s="214"/>
      <c r="P185" s="213"/>
      <c r="Q185" s="214"/>
      <c r="R185" s="214" t="s">
        <v>215</v>
      </c>
      <c r="S185" s="214"/>
      <c r="T185" s="214"/>
      <c r="U185" s="215">
        <f t="shared" si="515"/>
        <v>6</v>
      </c>
      <c r="V185" s="845" t="s">
        <v>219</v>
      </c>
      <c r="W185" s="216">
        <v>221310</v>
      </c>
      <c r="X185" s="217">
        <v>3.39</v>
      </c>
      <c r="Y185" s="218">
        <f t="shared" si="483"/>
        <v>1.0339</v>
      </c>
      <c r="Z185" s="196">
        <v>19</v>
      </c>
      <c r="AA185" s="218">
        <f t="shared" si="484"/>
        <v>1.8840489025780363</v>
      </c>
      <c r="AB185" s="196">
        <f t="shared" si="549"/>
        <v>416958.86262954521</v>
      </c>
      <c r="AC185" s="227">
        <v>20</v>
      </c>
      <c r="AD185" s="196">
        <f t="shared" si="550"/>
        <v>83391.772525909037</v>
      </c>
      <c r="AE185" s="196">
        <f t="shared" si="487"/>
        <v>79222.183899613578</v>
      </c>
      <c r="AF185" s="196">
        <f t="shared" si="516"/>
        <v>79222.183899613578</v>
      </c>
      <c r="AG185" s="606">
        <f t="shared" si="432"/>
        <v>3.6628859916141353E-3</v>
      </c>
      <c r="AH185" s="196">
        <f t="shared" si="529"/>
        <v>20847.943131477263</v>
      </c>
      <c r="AI185" s="248">
        <f t="shared" si="409"/>
        <v>1.6150585666763319E-3</v>
      </c>
      <c r="AJ185" s="196">
        <f t="shared" si="412"/>
        <v>104239.7156573863</v>
      </c>
      <c r="AK185" s="196">
        <f t="shared" si="455"/>
        <v>16678.354505181807</v>
      </c>
      <c r="AL185" s="196">
        <f t="shared" si="456"/>
        <v>16678.354505181807</v>
      </c>
      <c r="AM185" s="196">
        <f t="shared" si="413"/>
        <v>33356.709010363615</v>
      </c>
      <c r="AN185" s="627">
        <f t="shared" si="414"/>
        <v>1.6150585666763317E-3</v>
      </c>
      <c r="AO185" s="196">
        <f t="shared" si="415"/>
        <v>15844.436779922718</v>
      </c>
      <c r="AP185" s="589">
        <f t="shared" si="433"/>
        <v>1.6150585666763317E-3</v>
      </c>
      <c r="AQ185" s="196"/>
      <c r="AR185" s="589"/>
      <c r="AS185">
        <v>1</v>
      </c>
      <c r="AT185" s="589">
        <f t="shared" si="434"/>
        <v>1.2919896640826874E-3</v>
      </c>
      <c r="AU185" s="196">
        <v>11</v>
      </c>
      <c r="AV185" s="245">
        <f t="shared" si="416"/>
        <v>1.2498579706851495E-3</v>
      </c>
      <c r="AX185" s="245"/>
      <c r="AY185" s="245"/>
      <c r="AZ185" s="196">
        <v>66</v>
      </c>
      <c r="BA185" s="589">
        <f t="shared" si="447"/>
        <v>2.4183796856106408E-3</v>
      </c>
      <c r="BI185" s="196">
        <v>0</v>
      </c>
      <c r="BK185" s="246">
        <f t="shared" si="448"/>
        <v>0</v>
      </c>
      <c r="BL185" s="246"/>
      <c r="BM185" s="246">
        <f t="shared" si="449"/>
        <v>0</v>
      </c>
      <c r="BN185" s="196">
        <v>1</v>
      </c>
      <c r="BO185" s="196">
        <f t="shared" si="517"/>
        <v>31538.5816135161</v>
      </c>
      <c r="BP185" s="196">
        <f t="shared" si="417"/>
        <v>31538.5816135161</v>
      </c>
      <c r="BQ185" s="248">
        <f t="shared" si="450"/>
        <v>2.9502874427178457E-3</v>
      </c>
      <c r="BR185" s="248"/>
      <c r="BS185" s="248"/>
      <c r="BT185" s="276">
        <v>1</v>
      </c>
      <c r="BU185" s="196">
        <f t="shared" si="530"/>
        <v>60042.076218654503</v>
      </c>
      <c r="BV185" s="264">
        <f t="shared" si="451"/>
        <v>4.1646321356329187E-3</v>
      </c>
      <c r="BW185" s="196">
        <f t="shared" si="531"/>
        <v>256846.65937979985</v>
      </c>
      <c r="BX185" s="247">
        <f t="shared" si="452"/>
        <v>4.164632173148085E-3</v>
      </c>
      <c r="BY185" s="196">
        <f t="shared" si="492"/>
        <v>316888.73559845437</v>
      </c>
      <c r="BZ185" s="620">
        <v>0</v>
      </c>
      <c r="CA185" s="196">
        <f t="shared" si="518"/>
        <v>127589.41196464082</v>
      </c>
      <c r="CB185" s="196">
        <f t="shared" si="519"/>
        <v>255178.82392928164</v>
      </c>
      <c r="CC185" s="196">
        <f t="shared" si="430"/>
        <v>382768.23589392245</v>
      </c>
      <c r="CD185" s="247">
        <f t="shared" si="418"/>
        <v>1.6150585666763315E-3</v>
      </c>
      <c r="CE185" s="196">
        <f t="shared" si="520"/>
        <v>28994.921496941348</v>
      </c>
      <c r="CF185" s="247">
        <f t="shared" si="419"/>
        <v>1.2520908828683771E-3</v>
      </c>
      <c r="CG185" s="196">
        <f t="shared" si="532"/>
        <v>63377.747119690874</v>
      </c>
      <c r="CH185" s="589">
        <f t="shared" si="435"/>
        <v>1.6150585666763317E-3</v>
      </c>
      <c r="CI185" s="196">
        <f t="shared" si="521"/>
        <v>133508.09127320227</v>
      </c>
      <c r="CJ185" s="248">
        <f t="shared" si="436"/>
        <v>2.1948726816431031E-3</v>
      </c>
      <c r="CK185" s="196">
        <f t="shared" si="522"/>
        <v>139447.89437366027</v>
      </c>
      <c r="CL185" s="589">
        <f t="shared" si="437"/>
        <v>2.004592164829505E-3</v>
      </c>
      <c r="CM185" s="196">
        <f t="shared" si="523"/>
        <v>13509.038994434801</v>
      </c>
      <c r="CN185" s="589">
        <f t="shared" si="438"/>
        <v>1.9468060446120941E-3</v>
      </c>
      <c r="CO185" s="196">
        <f t="shared" si="524"/>
        <v>1080.7078996565406</v>
      </c>
      <c r="CP185" s="589">
        <f t="shared" si="439"/>
        <v>2.0380486390915889E-3</v>
      </c>
      <c r="CQ185" s="196">
        <f>'Detailed Budget'!$AC$12</f>
        <v>292876014141.44696</v>
      </c>
      <c r="CR185" s="269">
        <f t="shared" si="507"/>
        <v>0</v>
      </c>
      <c r="CS185" s="269">
        <f>'Detailed Budget'!$AC$16</f>
        <v>10488008800.000002</v>
      </c>
      <c r="CT185" s="607">
        <f t="shared" si="533"/>
        <v>0</v>
      </c>
      <c r="CU185" s="269">
        <f>'Detailed Budget'!$AC$24</f>
        <v>30624985696</v>
      </c>
      <c r="CV185" s="269">
        <f t="shared" si="446"/>
        <v>0</v>
      </c>
      <c r="CW185" s="269"/>
      <c r="CX185" s="269">
        <f t="shared" si="431"/>
        <v>0</v>
      </c>
      <c r="CY185" s="196">
        <f>'Detailed Budget'!$AC$97</f>
        <v>74629165494.837845</v>
      </c>
      <c r="CZ185" s="269">
        <f t="shared" si="534"/>
        <v>220177489.81993204</v>
      </c>
      <c r="DA185" s="269">
        <f>'Detailed Budget'!$AC$100</f>
        <v>14925833098.967569</v>
      </c>
      <c r="DB185" s="269">
        <f t="shared" si="535"/>
        <v>44035497.963986404</v>
      </c>
      <c r="DC185" s="269">
        <f t="shared" si="420"/>
        <v>264212987.78391844</v>
      </c>
      <c r="DD185" s="207">
        <v>0</v>
      </c>
      <c r="DE185" s="606">
        <v>0</v>
      </c>
      <c r="DF185" s="269">
        <f>'Detailed Budget'!$AC$147</f>
        <v>5913600671000</v>
      </c>
      <c r="DG185" s="269">
        <f t="shared" si="441"/>
        <v>0</v>
      </c>
      <c r="DH185" s="269">
        <f>'Detailed Budget'!$AC$153</f>
        <v>226428026880.00003</v>
      </c>
      <c r="DI185" s="269"/>
      <c r="DJ185" s="269">
        <f>'Detailed Budget'!$AC$156</f>
        <v>27713070000</v>
      </c>
      <c r="DK185" s="269"/>
      <c r="DL185" s="269"/>
      <c r="DM185" s="196">
        <f>'Detailed Budget'!$AC$178</f>
        <v>5622683761.6229038</v>
      </c>
      <c r="DN185" s="269">
        <f t="shared" si="525"/>
        <v>23416409.482156128</v>
      </c>
      <c r="DO185" s="196">
        <f>'Detailed Budget'!$AC$179</f>
        <v>26827890683.128094</v>
      </c>
      <c r="DP185" s="269">
        <f t="shared" si="526"/>
        <v>111728296.67665501</v>
      </c>
      <c r="DQ185" s="269">
        <f t="shared" si="457"/>
        <v>135144706.15881115</v>
      </c>
      <c r="DR185" s="269">
        <f>'Detailed Budget'!$AC$181</f>
        <v>50888946855.375237</v>
      </c>
      <c r="DS185" s="269">
        <f t="shared" si="527"/>
        <v>186400410.56455016</v>
      </c>
      <c r="DT185" s="269">
        <f t="shared" si="528"/>
        <v>321545116.72336131</v>
      </c>
      <c r="DU185" s="272">
        <f>'Detailed Budget'!$AC$192</f>
        <v>77498869683.252869</v>
      </c>
      <c r="DV185" s="269">
        <f t="shared" si="536"/>
        <v>0</v>
      </c>
      <c r="DW185" s="140">
        <f>'Detailed Budget'!$AC$194</f>
        <v>2684962805.4134097</v>
      </c>
      <c r="DX185" s="269">
        <f t="shared" si="537"/>
        <v>0</v>
      </c>
      <c r="DY185" s="607">
        <f t="shared" si="421"/>
        <v>0</v>
      </c>
      <c r="DZ185" s="196">
        <f>'Detailed Budget'!$AC$198</f>
        <v>18732540018.380611</v>
      </c>
      <c r="EA185" s="269">
        <f t="shared" si="510"/>
        <v>23454842.569981385</v>
      </c>
      <c r="EB185" s="196">
        <f>'Detailed Budget'!$AC$200</f>
        <v>4683135004.5951529</v>
      </c>
      <c r="EC185" s="269">
        <f t="shared" si="538"/>
        <v>5863710.6424953463</v>
      </c>
      <c r="ED185" s="269">
        <f t="shared" si="422"/>
        <v>29318553.21247673</v>
      </c>
      <c r="EE185" s="196">
        <f>'Detailed Budget'!$AC$161</f>
        <v>251147290106.36197</v>
      </c>
      <c r="EF185" s="269">
        <f t="shared" si="539"/>
        <v>405617582.38382584</v>
      </c>
      <c r="EG185" s="196">
        <f>'Detailed Budget'!$AC$163</f>
        <v>15696705631.647623</v>
      </c>
      <c r="EH185" s="269">
        <f t="shared" si="540"/>
        <v>25351098.898989115</v>
      </c>
      <c r="EI185" s="269">
        <f t="shared" si="423"/>
        <v>430968681.28281498</v>
      </c>
      <c r="EJ185" s="196">
        <f>'Detailed Budget'!$AC$204</f>
        <v>45012172507.531975</v>
      </c>
      <c r="EK185" s="269">
        <f t="shared" si="541"/>
        <v>98795987.778188661</v>
      </c>
      <c r="EL185" s="201">
        <f>'Detailed Budget'!$AC$206</f>
        <v>11253043126.882994</v>
      </c>
      <c r="EM185" s="269">
        <f t="shared" si="542"/>
        <v>24698996.944547165</v>
      </c>
      <c r="EN185" s="269">
        <f t="shared" si="424"/>
        <v>123494984.72273582</v>
      </c>
      <c r="EO185" s="140">
        <f>'Detailed Budget'!$AC$209</f>
        <v>135789361677.54817</v>
      </c>
      <c r="EP185" s="269">
        <f t="shared" si="543"/>
        <v>272202290.48601294</v>
      </c>
      <c r="EQ185" s="196">
        <f>'Detailed Budget'!$AC$211</f>
        <v>33947340419.387043</v>
      </c>
      <c r="ER185" s="269">
        <f t="shared" si="544"/>
        <v>68050572.621503234</v>
      </c>
      <c r="ES185" s="269">
        <f t="shared" si="425"/>
        <v>340252863.10751617</v>
      </c>
      <c r="ET185" s="196">
        <f>'Detailed Budget'!$AC$214</f>
        <v>22239745544.201103</v>
      </c>
      <c r="EU185" s="269">
        <f t="shared" si="545"/>
        <v>43296471.056085594</v>
      </c>
      <c r="EV185" s="140">
        <f>'Detailed Budget'!$AC$217</f>
        <v>5559936386.0502758</v>
      </c>
      <c r="EW185" s="269">
        <f t="shared" si="546"/>
        <v>10824117.764021398</v>
      </c>
      <c r="EX185" s="269">
        <f t="shared" si="426"/>
        <v>54120588.820106991</v>
      </c>
      <c r="EY185" s="196">
        <f>'Detailed Budget'!$AC$219</f>
        <v>372777004.58170313</v>
      </c>
      <c r="EZ185" s="269">
        <f t="shared" si="547"/>
        <v>759737.66687237902</v>
      </c>
      <c r="FA185" s="196">
        <f>'Detailed Budget'!$AC$222</f>
        <v>93194251.145425782</v>
      </c>
      <c r="FB185" s="269">
        <f t="shared" si="548"/>
        <v>189934.41671809476</v>
      </c>
      <c r="FC185" s="269">
        <f t="shared" si="427"/>
        <v>949672.08359047375</v>
      </c>
      <c r="FD185" s="269"/>
      <c r="FE185" s="269">
        <f t="shared" si="428"/>
        <v>518818108.73394942</v>
      </c>
      <c r="FF185" s="140">
        <f>'Detailed Budget'!$AC$165</f>
        <v>14927760000</v>
      </c>
      <c r="FG185" s="1087">
        <f t="shared" si="442"/>
        <v>707702242.88295221</v>
      </c>
      <c r="FH185" s="269">
        <f t="shared" si="511"/>
        <v>18657579.820474949</v>
      </c>
      <c r="FJ185" s="140">
        <f>'Detailed Budget'!$AC$235</f>
        <v>3623696172</v>
      </c>
      <c r="FK185" s="269">
        <f t="shared" si="512"/>
        <v>4681778</v>
      </c>
      <c r="FL185" s="269">
        <f t="shared" si="443"/>
        <v>4681778</v>
      </c>
      <c r="FO185" s="607"/>
      <c r="FP185" s="607"/>
      <c r="FQ185" s="607"/>
      <c r="FR185" s="269">
        <f>'Detailed Budget'!$AC$257</f>
        <v>13636439388</v>
      </c>
      <c r="FS185" s="269">
        <f t="shared" si="513"/>
        <v>32978088</v>
      </c>
      <c r="FT185" s="269">
        <f t="shared" si="444"/>
        <v>32978088</v>
      </c>
      <c r="FU185" s="269"/>
      <c r="FV185" s="269"/>
      <c r="FW185" s="616"/>
      <c r="FX185" s="140">
        <f>'Detailed Budget'!$AC$278</f>
        <v>1114560000</v>
      </c>
      <c r="FY185" s="269">
        <f t="shared" si="514"/>
        <v>1440000</v>
      </c>
      <c r="FZ185" s="269">
        <f t="shared" si="445"/>
        <v>1440000</v>
      </c>
      <c r="GB185" s="269">
        <f t="shared" si="453"/>
        <v>2330323136.4399481</v>
      </c>
      <c r="GC185" s="887">
        <f t="shared" si="429"/>
        <v>1456451.9602749676</v>
      </c>
      <c r="GD185" s="1078">
        <f t="shared" si="454"/>
        <v>1.3076176916416232E-3</v>
      </c>
    </row>
    <row r="186" spans="1:186" hidden="1" outlineLevel="1">
      <c r="A186" s="211" t="s">
        <v>540</v>
      </c>
      <c r="B186" s="212" t="s">
        <v>541</v>
      </c>
      <c r="C186" s="213" t="s">
        <v>215</v>
      </c>
      <c r="D186" s="225" t="s">
        <v>215</v>
      </c>
      <c r="E186" s="213"/>
      <c r="F186" s="213"/>
      <c r="G186" s="213"/>
      <c r="H186" s="213" t="s">
        <v>215</v>
      </c>
      <c r="I186" s="214" t="s">
        <v>215</v>
      </c>
      <c r="J186" s="214"/>
      <c r="K186" s="213" t="s">
        <v>215</v>
      </c>
      <c r="L186" s="213"/>
      <c r="M186" s="214"/>
      <c r="N186" s="213"/>
      <c r="O186" s="214"/>
      <c r="P186" s="213"/>
      <c r="Q186" s="214"/>
      <c r="R186" s="214" t="s">
        <v>215</v>
      </c>
      <c r="S186" s="214"/>
      <c r="T186" s="214"/>
      <c r="U186" s="215">
        <f t="shared" si="515"/>
        <v>6</v>
      </c>
      <c r="V186" s="845" t="s">
        <v>219</v>
      </c>
      <c r="W186" s="216">
        <v>346000</v>
      </c>
      <c r="X186" s="217">
        <v>3.39</v>
      </c>
      <c r="Y186" s="218">
        <f t="shared" si="483"/>
        <v>1.0339</v>
      </c>
      <c r="Z186" s="196">
        <v>19</v>
      </c>
      <c r="AA186" s="218">
        <f t="shared" si="484"/>
        <v>1.8840489025780363</v>
      </c>
      <c r="AB186" s="196">
        <f t="shared" si="549"/>
        <v>651880.92029200052</v>
      </c>
      <c r="AC186" s="227">
        <v>20</v>
      </c>
      <c r="AD186" s="196">
        <f t="shared" si="550"/>
        <v>130376.18405840009</v>
      </c>
      <c r="AE186" s="196">
        <f t="shared" si="487"/>
        <v>123857.37485548008</v>
      </c>
      <c r="AF186" s="196">
        <f t="shared" si="516"/>
        <v>123857.37485548008</v>
      </c>
      <c r="AG186" s="606">
        <f t="shared" si="432"/>
        <v>5.7266212692534939E-3</v>
      </c>
      <c r="AH186" s="196">
        <f t="shared" si="529"/>
        <v>32594.046014600026</v>
      </c>
      <c r="AI186" s="248">
        <f t="shared" si="409"/>
        <v>2.5250113599476335E-3</v>
      </c>
      <c r="AJ186" s="196">
        <f t="shared" si="412"/>
        <v>162970.23007300013</v>
      </c>
      <c r="AK186" s="196">
        <f t="shared" si="455"/>
        <v>26075.236811680021</v>
      </c>
      <c r="AL186" s="196">
        <f t="shared" si="456"/>
        <v>26075.236811680021</v>
      </c>
      <c r="AM186" s="196">
        <f t="shared" si="413"/>
        <v>52150.473623360042</v>
      </c>
      <c r="AN186" s="627">
        <f t="shared" si="414"/>
        <v>2.5250113599476335E-3</v>
      </c>
      <c r="AO186" s="196">
        <f t="shared" si="415"/>
        <v>24771.47497109602</v>
      </c>
      <c r="AP186" s="589">
        <f t="shared" si="433"/>
        <v>2.5250113599476335E-3</v>
      </c>
      <c r="AQ186" s="196"/>
      <c r="AR186" s="589"/>
      <c r="AS186">
        <v>1</v>
      </c>
      <c r="AT186" s="589">
        <f t="shared" si="434"/>
        <v>1.2919896640826874E-3</v>
      </c>
      <c r="AU186" s="196">
        <v>11</v>
      </c>
      <c r="AV186" s="245">
        <f t="shared" si="416"/>
        <v>1.2498579706851495E-3</v>
      </c>
      <c r="AX186" s="245"/>
      <c r="AY186" s="245"/>
      <c r="AZ186" s="196">
        <v>95</v>
      </c>
      <c r="BA186" s="589">
        <f t="shared" si="447"/>
        <v>3.4810010626213769E-3</v>
      </c>
      <c r="BI186" s="196">
        <v>0</v>
      </c>
      <c r="BK186" s="246">
        <f t="shared" si="448"/>
        <v>0</v>
      </c>
      <c r="BL186" s="246"/>
      <c r="BM186" s="246">
        <f t="shared" si="449"/>
        <v>0</v>
      </c>
      <c r="BN186" s="196">
        <v>1</v>
      </c>
      <c r="BO186" s="196">
        <f t="shared" si="517"/>
        <v>49307.980833566355</v>
      </c>
      <c r="BP186" s="196">
        <f t="shared" si="417"/>
        <v>49307.980833566355</v>
      </c>
      <c r="BQ186" s="248">
        <f t="shared" si="450"/>
        <v>4.6125319921394179E-3</v>
      </c>
      <c r="BR186" s="248"/>
      <c r="BS186" s="248"/>
      <c r="BT186" s="276">
        <v>1</v>
      </c>
      <c r="BU186" s="196">
        <f t="shared" si="530"/>
        <v>93870.852522048066</v>
      </c>
      <c r="BV186" s="264">
        <f t="shared" si="451"/>
        <v>6.5110601370430158E-3</v>
      </c>
      <c r="BW186" s="196">
        <f t="shared" si="531"/>
        <v>401558.64689987228</v>
      </c>
      <c r="BX186" s="247">
        <f t="shared" si="452"/>
        <v>6.5110601956948943E-3</v>
      </c>
      <c r="BY186" s="196">
        <f t="shared" si="492"/>
        <v>495429.49942192034</v>
      </c>
      <c r="BZ186" s="620">
        <v>0</v>
      </c>
      <c r="CA186" s="196">
        <f t="shared" si="518"/>
        <v>199475.56160935212</v>
      </c>
      <c r="CB186" s="196">
        <f t="shared" si="519"/>
        <v>398951.12321870425</v>
      </c>
      <c r="CC186" s="196">
        <f t="shared" si="430"/>
        <v>598426.68482805637</v>
      </c>
      <c r="CD186" s="247">
        <f t="shared" si="418"/>
        <v>2.5250113599476331E-3</v>
      </c>
      <c r="CE186" s="196">
        <f t="shared" si="520"/>
        <v>45331.17725336273</v>
      </c>
      <c r="CF186" s="247">
        <f t="shared" si="419"/>
        <v>1.9575412112984433E-3</v>
      </c>
      <c r="CG186" s="196">
        <f t="shared" si="532"/>
        <v>99085.899884384082</v>
      </c>
      <c r="CH186" s="589">
        <f t="shared" si="435"/>
        <v>2.5250113599476335E-3</v>
      </c>
      <c r="CI186" s="196">
        <f t="shared" si="521"/>
        <v>208728.93037155108</v>
      </c>
      <c r="CJ186" s="248">
        <f t="shared" si="436"/>
        <v>3.4315030854842232E-3</v>
      </c>
      <c r="CK186" s="196">
        <f t="shared" si="522"/>
        <v>218015.32444664248</v>
      </c>
      <c r="CL186" s="589">
        <f t="shared" si="437"/>
        <v>3.1340151327595165E-3</v>
      </c>
      <c r="CM186" s="196">
        <f t="shared" si="523"/>
        <v>21120.272432671096</v>
      </c>
      <c r="CN186" s="589">
        <f t="shared" si="438"/>
        <v>3.0436712820739436E-3</v>
      </c>
      <c r="CO186" s="196">
        <f t="shared" si="524"/>
        <v>1689.5979995533999</v>
      </c>
      <c r="CP186" s="589">
        <f t="shared" si="439"/>
        <v>3.1863215811562496E-3</v>
      </c>
      <c r="CQ186" s="196">
        <f>'Detailed Budget'!$AC$12</f>
        <v>292876014141.44696</v>
      </c>
      <c r="CR186" s="269">
        <f t="shared" si="507"/>
        <v>0</v>
      </c>
      <c r="CS186" s="269">
        <f>'Detailed Budget'!$AC$16</f>
        <v>10488008800.000002</v>
      </c>
      <c r="CT186" s="607">
        <f t="shared" si="533"/>
        <v>0</v>
      </c>
      <c r="CU186" s="269">
        <f>'Detailed Budget'!$AC$24</f>
        <v>30624985696</v>
      </c>
      <c r="CV186" s="269">
        <f t="shared" si="446"/>
        <v>0</v>
      </c>
      <c r="CW186" s="269"/>
      <c r="CX186" s="269">
        <f t="shared" si="431"/>
        <v>0</v>
      </c>
      <c r="CY186" s="196">
        <f>'Detailed Budget'!$AC$97</f>
        <v>74629165494.837845</v>
      </c>
      <c r="CZ186" s="269">
        <f t="shared" si="534"/>
        <v>344229413.39160669</v>
      </c>
      <c r="DA186" s="269">
        <f>'Detailed Budget'!$AC$100</f>
        <v>14925833098.967569</v>
      </c>
      <c r="DB186" s="269">
        <f t="shared" si="535"/>
        <v>68845882.678321347</v>
      </c>
      <c r="DC186" s="269">
        <f t="shared" si="420"/>
        <v>413075296.06992805</v>
      </c>
      <c r="DD186" s="207">
        <v>0</v>
      </c>
      <c r="DE186" s="606">
        <v>0</v>
      </c>
      <c r="DF186" s="269">
        <f>'Detailed Budget'!$AC$147</f>
        <v>5913600671000</v>
      </c>
      <c r="DG186" s="269">
        <f t="shared" si="441"/>
        <v>0</v>
      </c>
      <c r="DH186" s="269">
        <f>'Detailed Budget'!$AC$153</f>
        <v>226428026880.00003</v>
      </c>
      <c r="DI186" s="269"/>
      <c r="DJ186" s="269">
        <f>'Detailed Budget'!$AC$156</f>
        <v>27713070000</v>
      </c>
      <c r="DK186" s="269"/>
      <c r="DL186" s="269"/>
      <c r="DM186" s="196">
        <f>'Detailed Budget'!$AC$178</f>
        <v>5622683761.6229038</v>
      </c>
      <c r="DN186" s="269">
        <f t="shared" si="525"/>
        <v>36609632.103501961</v>
      </c>
      <c r="DO186" s="196">
        <f>'Detailed Budget'!$AC$179</f>
        <v>26827890683.128094</v>
      </c>
      <c r="DP186" s="269">
        <f t="shared" si="526"/>
        <v>174678011.16136923</v>
      </c>
      <c r="DQ186" s="269">
        <f t="shared" si="457"/>
        <v>211287643.26487118</v>
      </c>
      <c r="DR186" s="269">
        <f>'Detailed Budget'!$AC$181</f>
        <v>50888946855.375237</v>
      </c>
      <c r="DS186" s="269">
        <f t="shared" si="527"/>
        <v>291421725.43190253</v>
      </c>
      <c r="DT186" s="269">
        <f t="shared" si="528"/>
        <v>502709368.69677371</v>
      </c>
      <c r="DU186" s="272">
        <f>'Detailed Budget'!$AC$192</f>
        <v>77498869683.252869</v>
      </c>
      <c r="DV186" s="269">
        <f t="shared" si="536"/>
        <v>0</v>
      </c>
      <c r="DW186" s="140">
        <f>'Detailed Budget'!$AC$194</f>
        <v>2684962805.4134097</v>
      </c>
      <c r="DX186" s="269">
        <f t="shared" si="537"/>
        <v>0</v>
      </c>
      <c r="DY186" s="607">
        <f t="shared" si="421"/>
        <v>0</v>
      </c>
      <c r="DZ186" s="196">
        <f>'Detailed Budget'!$AC$198</f>
        <v>18732540018.380611</v>
      </c>
      <c r="EA186" s="269">
        <f t="shared" si="510"/>
        <v>36669719.078277342</v>
      </c>
      <c r="EB186" s="196">
        <f>'Detailed Budget'!$AC$200</f>
        <v>4683135004.5951529</v>
      </c>
      <c r="EC186" s="269">
        <f t="shared" si="538"/>
        <v>9167429.7695693355</v>
      </c>
      <c r="ED186" s="269">
        <f t="shared" si="422"/>
        <v>45837148.847846679</v>
      </c>
      <c r="EE186" s="196">
        <f>'Detailed Budget'!$AC$161</f>
        <v>251147290106.36197</v>
      </c>
      <c r="EF186" s="269">
        <f t="shared" si="539"/>
        <v>634149760.53862786</v>
      </c>
      <c r="EG186" s="196">
        <f>'Detailed Budget'!$AC$163</f>
        <v>15696705631.647623</v>
      </c>
      <c r="EH186" s="269">
        <f t="shared" si="540"/>
        <v>39634360.033664241</v>
      </c>
      <c r="EI186" s="269">
        <f t="shared" si="423"/>
        <v>673784120.57229209</v>
      </c>
      <c r="EJ186" s="196">
        <f>'Detailed Budget'!$AC$204</f>
        <v>45012172507.531975</v>
      </c>
      <c r="EK186" s="269">
        <f t="shared" si="541"/>
        <v>154459408.8439441</v>
      </c>
      <c r="EL186" s="201">
        <f>'Detailed Budget'!$AC$206</f>
        <v>11253043126.882994</v>
      </c>
      <c r="EM186" s="269">
        <f t="shared" si="542"/>
        <v>38614852.210986026</v>
      </c>
      <c r="EN186" s="269">
        <f t="shared" si="424"/>
        <v>193074261.05493012</v>
      </c>
      <c r="EO186" s="140">
        <f>'Detailed Budget'!$AC$209</f>
        <v>135789361677.54817</v>
      </c>
      <c r="EP186" s="269">
        <f t="shared" si="543"/>
        <v>425565914.3651911</v>
      </c>
      <c r="EQ186" s="196">
        <f>'Detailed Budget'!$AC$211</f>
        <v>33947340419.387043</v>
      </c>
      <c r="ER186" s="269">
        <f t="shared" si="544"/>
        <v>106391478.59129778</v>
      </c>
      <c r="ES186" s="269">
        <f t="shared" si="425"/>
        <v>531957392.95648885</v>
      </c>
      <c r="ET186" s="196">
        <f>'Detailed Budget'!$AC$214</f>
        <v>22239745544.201103</v>
      </c>
      <c r="EU186" s="269">
        <f t="shared" si="545"/>
        <v>67690474.833516851</v>
      </c>
      <c r="EV186" s="140">
        <f>'Detailed Budget'!$AC$217</f>
        <v>5559936386.0502758</v>
      </c>
      <c r="EW186" s="269">
        <f t="shared" si="546"/>
        <v>16922618.708379213</v>
      </c>
      <c r="EX186" s="269">
        <f t="shared" si="426"/>
        <v>84613093.54189606</v>
      </c>
      <c r="EY186" s="196">
        <f>'Detailed Budget'!$AC$219</f>
        <v>372777004.58170313</v>
      </c>
      <c r="EZ186" s="269">
        <f t="shared" si="547"/>
        <v>1187787.4146574629</v>
      </c>
      <c r="FA186" s="196">
        <f>'Detailed Budget'!$AC$222</f>
        <v>93194251.145425782</v>
      </c>
      <c r="FB186" s="269">
        <f t="shared" si="548"/>
        <v>296946.85366436571</v>
      </c>
      <c r="FC186" s="269">
        <f t="shared" si="427"/>
        <v>1484734.2683218285</v>
      </c>
      <c r="FD186" s="269"/>
      <c r="FE186" s="269">
        <f t="shared" si="428"/>
        <v>811129481.82163692</v>
      </c>
      <c r="FF186" s="140">
        <f>'Detailed Budget'!$AC$165</f>
        <v>14927760000</v>
      </c>
      <c r="FG186" s="1087">
        <f t="shared" si="442"/>
        <v>1106434304.9907434</v>
      </c>
      <c r="FH186" s="269">
        <f t="shared" si="511"/>
        <v>18657579.820474949</v>
      </c>
      <c r="FJ186" s="140">
        <f>'Detailed Budget'!$AC$235</f>
        <v>3623696172</v>
      </c>
      <c r="FK186" s="269">
        <f t="shared" si="512"/>
        <v>4681778</v>
      </c>
      <c r="FL186" s="269">
        <f t="shared" si="443"/>
        <v>4681778</v>
      </c>
      <c r="FO186" s="607"/>
      <c r="FP186" s="607"/>
      <c r="FQ186" s="607"/>
      <c r="FR186" s="269">
        <f>'Detailed Budget'!$AC$257</f>
        <v>13636439388</v>
      </c>
      <c r="FS186" s="269">
        <f t="shared" si="513"/>
        <v>47468460</v>
      </c>
      <c r="FT186" s="269">
        <f t="shared" si="444"/>
        <v>47468460</v>
      </c>
      <c r="FU186" s="269"/>
      <c r="FV186" s="269"/>
      <c r="FW186" s="616"/>
      <c r="FX186" s="140">
        <f>'Detailed Budget'!$AC$278</f>
        <v>1114560000</v>
      </c>
      <c r="FY186" s="269">
        <f t="shared" si="514"/>
        <v>1440000</v>
      </c>
      <c r="FZ186" s="269">
        <f t="shared" si="445"/>
        <v>1440000</v>
      </c>
      <c r="GB186" s="269">
        <f t="shared" si="453"/>
        <v>3625217538.8196959</v>
      </c>
      <c r="GC186" s="887">
        <f t="shared" si="429"/>
        <v>2265760.96176231</v>
      </c>
      <c r="GD186" s="1078">
        <f t="shared" si="454"/>
        <v>2.0342237158800557E-3</v>
      </c>
    </row>
    <row r="187" spans="1:186" hidden="1" outlineLevel="1">
      <c r="A187" s="211" t="s">
        <v>542</v>
      </c>
      <c r="B187" s="212" t="s">
        <v>543</v>
      </c>
      <c r="C187" s="213" t="s">
        <v>215</v>
      </c>
      <c r="D187" s="225" t="s">
        <v>215</v>
      </c>
      <c r="E187" s="213"/>
      <c r="F187" s="213"/>
      <c r="G187" s="213"/>
      <c r="H187" s="213" t="s">
        <v>215</v>
      </c>
      <c r="I187" s="214" t="s">
        <v>215</v>
      </c>
      <c r="J187" s="214"/>
      <c r="K187" s="213" t="s">
        <v>215</v>
      </c>
      <c r="L187" s="213"/>
      <c r="M187" s="214"/>
      <c r="N187" s="213"/>
      <c r="O187" s="214"/>
      <c r="P187" s="213"/>
      <c r="Q187" s="214"/>
      <c r="R187" s="214" t="s">
        <v>215</v>
      </c>
      <c r="S187" s="214" t="s">
        <v>215</v>
      </c>
      <c r="T187" s="214"/>
      <c r="U187" s="215">
        <f t="shared" si="515"/>
        <v>7</v>
      </c>
      <c r="V187" s="845" t="s">
        <v>399</v>
      </c>
      <c r="W187" s="216">
        <v>114983</v>
      </c>
      <c r="X187" s="217">
        <v>3.39</v>
      </c>
      <c r="Y187" s="218">
        <f t="shared" si="483"/>
        <v>1.0339</v>
      </c>
      <c r="Z187" s="196">
        <v>19</v>
      </c>
      <c r="AA187" s="218">
        <f t="shared" si="484"/>
        <v>1.8840489025780363</v>
      </c>
      <c r="AB187" s="196">
        <f t="shared" si="549"/>
        <v>216633.59496513035</v>
      </c>
      <c r="AC187" s="227">
        <v>20</v>
      </c>
      <c r="AD187" s="196">
        <f t="shared" si="550"/>
        <v>43326.718993026072</v>
      </c>
      <c r="AE187" s="196">
        <f t="shared" si="487"/>
        <v>41160.383043374764</v>
      </c>
      <c r="AF187" s="196">
        <f t="shared" si="516"/>
        <v>41160.383043374764</v>
      </c>
      <c r="AG187" s="606">
        <f t="shared" si="432"/>
        <v>1.9030754144583081E-3</v>
      </c>
      <c r="AH187" s="196">
        <f t="shared" si="529"/>
        <v>10831.679748256518</v>
      </c>
      <c r="AI187" s="248">
        <f t="shared" si="409"/>
        <v>8.3911381849959173E-4</v>
      </c>
      <c r="AJ187" s="196">
        <f t="shared" si="412"/>
        <v>54158.398741282588</v>
      </c>
      <c r="AK187" s="196">
        <f t="shared" si="455"/>
        <v>8665.343798605214</v>
      </c>
      <c r="AL187" s="196">
        <f t="shared" si="456"/>
        <v>8665.343798605214</v>
      </c>
      <c r="AM187" s="196">
        <f t="shared" si="413"/>
        <v>17330.687597210428</v>
      </c>
      <c r="AN187" s="627">
        <f t="shared" si="414"/>
        <v>8.3911381849959173E-4</v>
      </c>
      <c r="AO187" s="196">
        <f t="shared" si="415"/>
        <v>8232.0766086749536</v>
      </c>
      <c r="AP187" s="589">
        <f t="shared" si="433"/>
        <v>8.3911381849959173E-4</v>
      </c>
      <c r="AQ187" s="196"/>
      <c r="AR187" s="589"/>
      <c r="AS187">
        <v>1</v>
      </c>
      <c r="AT187" s="589">
        <f t="shared" si="434"/>
        <v>1.2919896640826874E-3</v>
      </c>
      <c r="AU187" s="196">
        <v>10</v>
      </c>
      <c r="AV187" s="245">
        <f t="shared" si="416"/>
        <v>1.1362345188046814E-3</v>
      </c>
      <c r="AX187" s="245"/>
      <c r="AY187" s="245"/>
      <c r="AZ187" s="196">
        <v>35</v>
      </c>
      <c r="BA187" s="589">
        <f t="shared" si="447"/>
        <v>1.2824740757026126E-3</v>
      </c>
      <c r="BI187" s="196">
        <v>0</v>
      </c>
      <c r="BK187" s="246">
        <f t="shared" si="448"/>
        <v>0</v>
      </c>
      <c r="BL187" s="246"/>
      <c r="BM187" s="246">
        <f t="shared" si="449"/>
        <v>0</v>
      </c>
      <c r="BN187" s="196">
        <v>1</v>
      </c>
      <c r="BO187" s="196">
        <f t="shared" si="517"/>
        <v>16386.068093023008</v>
      </c>
      <c r="BP187" s="196">
        <f t="shared" si="417"/>
        <v>16386.068093023008</v>
      </c>
      <c r="BQ187" s="248">
        <f t="shared" si="450"/>
        <v>1.5328403643126208E-3</v>
      </c>
      <c r="BR187" s="248"/>
      <c r="BS187" s="248"/>
      <c r="BT187" s="276">
        <v>1</v>
      </c>
      <c r="BU187" s="196">
        <f t="shared" si="530"/>
        <v>31195.237674978769</v>
      </c>
      <c r="BV187" s="264">
        <f t="shared" si="451"/>
        <v>2.1637607738081419E-3</v>
      </c>
      <c r="BW187" s="196">
        <f t="shared" si="531"/>
        <v>133446.29449852029</v>
      </c>
      <c r="BX187" s="247">
        <f t="shared" si="452"/>
        <v>2.1637607932993817E-3</v>
      </c>
      <c r="BY187" s="196">
        <f t="shared" si="492"/>
        <v>164641.53217349906</v>
      </c>
      <c r="BZ187" s="620">
        <v>0</v>
      </c>
      <c r="CA187" s="196">
        <f t="shared" si="518"/>
        <v>66289.88005932988</v>
      </c>
      <c r="CB187" s="196">
        <f t="shared" si="519"/>
        <v>132579.76011865976</v>
      </c>
      <c r="CC187" s="196">
        <f t="shared" si="430"/>
        <v>198869.64017798964</v>
      </c>
      <c r="CD187" s="247">
        <f t="shared" si="418"/>
        <v>8.3911381849959162E-4</v>
      </c>
      <c r="CE187" s="196">
        <f t="shared" si="520"/>
        <v>15064.493509027187</v>
      </c>
      <c r="CF187" s="247">
        <f t="shared" si="419"/>
        <v>6.5053167947609505E-4</v>
      </c>
      <c r="CG187" s="196">
        <f t="shared" si="532"/>
        <v>32928.306434699814</v>
      </c>
      <c r="CH187" s="589">
        <f t="shared" si="435"/>
        <v>8.3911381849959173E-4</v>
      </c>
      <c r="CI187" s="196">
        <f t="shared" si="521"/>
        <v>69364.967054659137</v>
      </c>
      <c r="CJ187" s="248">
        <f t="shared" si="436"/>
        <v>1.1403598823070305E-3</v>
      </c>
      <c r="CK187" s="196">
        <f t="shared" si="522"/>
        <v>72451.029048694501</v>
      </c>
      <c r="CL187" s="589">
        <f t="shared" si="437"/>
        <v>1.04149844511586E-3</v>
      </c>
      <c r="CM187" s="196">
        <f t="shared" si="523"/>
        <v>7018.7060263752055</v>
      </c>
      <c r="CN187" s="589">
        <f t="shared" si="438"/>
        <v>1.0114753035453997E-3</v>
      </c>
      <c r="CO187" s="196">
        <f t="shared" si="524"/>
        <v>561.48857451632546</v>
      </c>
      <c r="CP187" s="589">
        <f t="shared" si="439"/>
        <v>1.05888096637598E-3</v>
      </c>
      <c r="CQ187" s="196">
        <f>'Detailed Budget'!$AC$12</f>
        <v>292876014141.44696</v>
      </c>
      <c r="CR187" s="269">
        <f t="shared" si="507"/>
        <v>0</v>
      </c>
      <c r="CS187" s="269">
        <f>'Detailed Budget'!$AC$16</f>
        <v>10488008800.000002</v>
      </c>
      <c r="CT187" s="607">
        <f t="shared" si="533"/>
        <v>0</v>
      </c>
      <c r="CU187" s="269">
        <f>'Detailed Budget'!$AC$24</f>
        <v>30624985696</v>
      </c>
      <c r="CV187" s="269">
        <f t="shared" si="446"/>
        <v>0</v>
      </c>
      <c r="CW187" s="269"/>
      <c r="CX187" s="269">
        <f t="shared" si="431"/>
        <v>0</v>
      </c>
      <c r="CY187" s="196">
        <f>'Detailed Budget'!$AC$97</f>
        <v>74629165494.837845</v>
      </c>
      <c r="CZ187" s="269">
        <f t="shared" si="534"/>
        <v>114394597.22545411</v>
      </c>
      <c r="DA187" s="269">
        <f>'Detailed Budget'!$AC$100</f>
        <v>14925833098.967569</v>
      </c>
      <c r="DB187" s="269">
        <f t="shared" si="535"/>
        <v>22878919.445090823</v>
      </c>
      <c r="DC187" s="269">
        <f t="shared" si="420"/>
        <v>137273516.67054492</v>
      </c>
      <c r="DD187" s="207">
        <v>1</v>
      </c>
      <c r="DE187" s="606">
        <v>0</v>
      </c>
      <c r="DF187" s="269">
        <f>'Detailed Budget'!$AC$147</f>
        <v>5913600671000</v>
      </c>
      <c r="DG187" s="269">
        <f t="shared" si="441"/>
        <v>0</v>
      </c>
      <c r="DH187" s="269">
        <f>'Detailed Budget'!$AC$153</f>
        <v>226428026880.00003</v>
      </c>
      <c r="DI187" s="269"/>
      <c r="DJ187" s="269">
        <f>'Detailed Budget'!$AC$156</f>
        <v>27713070000</v>
      </c>
      <c r="DK187" s="269"/>
      <c r="DL187" s="269"/>
      <c r="DM187" s="196">
        <f>'Detailed Budget'!$AC$178</f>
        <v>5622683761.6229038</v>
      </c>
      <c r="DN187" s="269">
        <f t="shared" si="525"/>
        <v>12166142.566927649</v>
      </c>
      <c r="DO187" s="196">
        <f>'Detailed Budget'!$AC$179</f>
        <v>26827890683.128094</v>
      </c>
      <c r="DP187" s="269">
        <f t="shared" si="526"/>
        <v>58049138.027074337</v>
      </c>
      <c r="DQ187" s="269">
        <f t="shared" si="457"/>
        <v>70215280.594001979</v>
      </c>
      <c r="DR187" s="269">
        <f>'Detailed Budget'!$AC$181</f>
        <v>50888946855.375237</v>
      </c>
      <c r="DS187" s="269">
        <f t="shared" si="527"/>
        <v>96845503.628140047</v>
      </c>
      <c r="DT187" s="269">
        <f t="shared" si="528"/>
        <v>167060784.22214204</v>
      </c>
      <c r="DU187" s="272">
        <f>'Detailed Budget'!$AC$192</f>
        <v>77498869683.252869</v>
      </c>
      <c r="DV187" s="269">
        <f t="shared" si="536"/>
        <v>0</v>
      </c>
      <c r="DW187" s="140">
        <f>'Detailed Budget'!$AC$194</f>
        <v>2684962805.4134097</v>
      </c>
      <c r="DX187" s="269">
        <f t="shared" si="537"/>
        <v>0</v>
      </c>
      <c r="DY187" s="607">
        <f t="shared" si="421"/>
        <v>0</v>
      </c>
      <c r="DZ187" s="196">
        <f>'Detailed Budget'!$AC$198</f>
        <v>18732540018.380611</v>
      </c>
      <c r="EA187" s="269">
        <f t="shared" si="510"/>
        <v>12186110.719010299</v>
      </c>
      <c r="EB187" s="196">
        <f>'Detailed Budget'!$AC$200</f>
        <v>4683135004.5951529</v>
      </c>
      <c r="EC187" s="269">
        <f t="shared" si="538"/>
        <v>3046527.6797525748</v>
      </c>
      <c r="ED187" s="269">
        <f t="shared" si="422"/>
        <v>15232638.398762874</v>
      </c>
      <c r="EE187" s="196">
        <f>'Detailed Budget'!$AC$161</f>
        <v>251147290106.36197</v>
      </c>
      <c r="EF187" s="269">
        <f t="shared" si="539"/>
        <v>210741161.60697412</v>
      </c>
      <c r="EG187" s="196">
        <f>'Detailed Budget'!$AC$163</f>
        <v>15696705631.647623</v>
      </c>
      <c r="EH187" s="269">
        <f t="shared" si="540"/>
        <v>13171322.600435883</v>
      </c>
      <c r="EI187" s="269">
        <f t="shared" si="423"/>
        <v>223912484.20741001</v>
      </c>
      <c r="EJ187" s="196">
        <f>'Detailed Budget'!$AC$204</f>
        <v>45012172507.531975</v>
      </c>
      <c r="EK187" s="269">
        <f t="shared" si="541"/>
        <v>51330075.743072912</v>
      </c>
      <c r="EL187" s="201">
        <f>'Detailed Budget'!$AC$206</f>
        <v>11253043126.882994</v>
      </c>
      <c r="EM187" s="269">
        <f t="shared" si="542"/>
        <v>12832518.935768228</v>
      </c>
      <c r="EN187" s="269">
        <f t="shared" si="424"/>
        <v>64162594.678841144</v>
      </c>
      <c r="EO187" s="140">
        <f>'Detailed Budget'!$AC$209</f>
        <v>135789361677.54817</v>
      </c>
      <c r="EP187" s="269">
        <f t="shared" si="543"/>
        <v>141424409.05044156</v>
      </c>
      <c r="EQ187" s="196">
        <f>'Detailed Budget'!$AC$211</f>
        <v>33947340419.387043</v>
      </c>
      <c r="ER187" s="269">
        <f t="shared" si="544"/>
        <v>35356102.262610391</v>
      </c>
      <c r="ES187" s="269">
        <f t="shared" si="425"/>
        <v>176780511.31305194</v>
      </c>
      <c r="ET187" s="196">
        <f>'Detailed Budget'!$AC$214</f>
        <v>22239745544.201103</v>
      </c>
      <c r="EU187" s="269">
        <f t="shared" si="545"/>
        <v>22494953.375093263</v>
      </c>
      <c r="EV187" s="140">
        <f>'Detailed Budget'!$AC$217</f>
        <v>5559936386.0502758</v>
      </c>
      <c r="EW187" s="269">
        <f t="shared" si="546"/>
        <v>5623738.3437733157</v>
      </c>
      <c r="EX187" s="269">
        <f t="shared" si="426"/>
        <v>28118691.718866579</v>
      </c>
      <c r="EY187" s="196">
        <f>'Detailed Budget'!$AC$219</f>
        <v>372777004.58170313</v>
      </c>
      <c r="EZ187" s="269">
        <f t="shared" si="547"/>
        <v>394726.47485421691</v>
      </c>
      <c r="FA187" s="196">
        <f>'Detailed Budget'!$AC$222</f>
        <v>93194251.145425782</v>
      </c>
      <c r="FB187" s="269">
        <f t="shared" si="548"/>
        <v>98681.618713554228</v>
      </c>
      <c r="FC187" s="269">
        <f t="shared" si="427"/>
        <v>493408.09356777114</v>
      </c>
      <c r="FD187" s="269"/>
      <c r="FE187" s="269">
        <f t="shared" si="428"/>
        <v>269555205.80432743</v>
      </c>
      <c r="FF187" s="140">
        <f>'Detailed Budget'!$AC$165</f>
        <v>14927760000</v>
      </c>
      <c r="FG187" s="1087">
        <f t="shared" si="442"/>
        <v>367691143.61488634</v>
      </c>
      <c r="FH187" s="269">
        <f t="shared" si="511"/>
        <v>16961436.200431772</v>
      </c>
      <c r="FJ187" s="140">
        <f>'Detailed Budget'!$AC$235</f>
        <v>3623696172</v>
      </c>
      <c r="FK187" s="269">
        <f t="shared" si="512"/>
        <v>4681778</v>
      </c>
      <c r="FL187" s="269">
        <f t="shared" si="443"/>
        <v>4681778</v>
      </c>
      <c r="FO187" s="607"/>
      <c r="FP187" s="607"/>
      <c r="FQ187" s="607"/>
      <c r="FR187" s="269">
        <f>'Detailed Budget'!$AC$257</f>
        <v>13636439388</v>
      </c>
      <c r="FS187" s="269">
        <f t="shared" si="513"/>
        <v>17488380</v>
      </c>
      <c r="FT187" s="269">
        <f t="shared" si="444"/>
        <v>17488380</v>
      </c>
      <c r="FU187" s="269"/>
      <c r="FV187" s="269"/>
      <c r="FW187" s="616"/>
      <c r="FX187" s="140">
        <f>'Detailed Budget'!$AC$278</f>
        <v>1114560000</v>
      </c>
      <c r="FY187" s="269">
        <f t="shared" si="514"/>
        <v>1440000</v>
      </c>
      <c r="FZ187" s="269">
        <f t="shared" si="445"/>
        <v>1440000</v>
      </c>
      <c r="GB187" s="269">
        <f t="shared" si="453"/>
        <v>1221297367.1185055</v>
      </c>
      <c r="GC187" s="887">
        <f t="shared" si="429"/>
        <v>763310.85444906587</v>
      </c>
      <c r="GD187" s="1078">
        <f t="shared" si="454"/>
        <v>6.8530841024872868E-4</v>
      </c>
    </row>
    <row r="188" spans="1:186" hidden="1" outlineLevel="1">
      <c r="A188" s="211" t="s">
        <v>544</v>
      </c>
      <c r="B188" s="212" t="s">
        <v>545</v>
      </c>
      <c r="C188" s="213" t="s">
        <v>215</v>
      </c>
      <c r="D188" s="225" t="s">
        <v>215</v>
      </c>
      <c r="E188" s="213"/>
      <c r="F188" s="213"/>
      <c r="G188" s="213"/>
      <c r="H188" s="213" t="s">
        <v>215</v>
      </c>
      <c r="I188" s="214" t="s">
        <v>215</v>
      </c>
      <c r="J188" s="214"/>
      <c r="K188" s="213" t="s">
        <v>215</v>
      </c>
      <c r="L188" s="213"/>
      <c r="M188" s="214"/>
      <c r="N188" s="213"/>
      <c r="O188" s="214"/>
      <c r="P188" s="213"/>
      <c r="Q188" s="214"/>
      <c r="R188" s="214" t="s">
        <v>215</v>
      </c>
      <c r="S188" s="214"/>
      <c r="T188" s="214"/>
      <c r="U188" s="215">
        <f t="shared" si="515"/>
        <v>6</v>
      </c>
      <c r="V188" s="845" t="s">
        <v>219</v>
      </c>
      <c r="W188" s="216">
        <v>189703</v>
      </c>
      <c r="X188" s="217">
        <v>3.39</v>
      </c>
      <c r="Y188" s="218">
        <f t="shared" si="483"/>
        <v>1.0339</v>
      </c>
      <c r="Z188" s="196">
        <v>19</v>
      </c>
      <c r="AA188" s="218">
        <f t="shared" si="484"/>
        <v>1.8840489025780363</v>
      </c>
      <c r="AB188" s="196">
        <f t="shared" si="549"/>
        <v>357409.7289657612</v>
      </c>
      <c r="AC188" s="227">
        <v>20</v>
      </c>
      <c r="AD188" s="196">
        <f t="shared" si="550"/>
        <v>71481.945793152234</v>
      </c>
      <c r="AE188" s="196">
        <f t="shared" si="487"/>
        <v>67907.848503494621</v>
      </c>
      <c r="AF188" s="196">
        <f t="shared" si="516"/>
        <v>67907.848503494621</v>
      </c>
      <c r="AG188" s="606">
        <f t="shared" si="432"/>
        <v>3.139760793760681E-3</v>
      </c>
      <c r="AH188" s="196">
        <f t="shared" si="529"/>
        <v>17870.486448288062</v>
      </c>
      <c r="AI188" s="248">
        <f t="shared" si="409"/>
        <v>1.3843995087171848E-3</v>
      </c>
      <c r="AJ188" s="196">
        <f t="shared" si="412"/>
        <v>89352.4322414403</v>
      </c>
      <c r="AK188" s="196">
        <f t="shared" si="455"/>
        <v>14296.389158630449</v>
      </c>
      <c r="AL188" s="196">
        <f t="shared" si="456"/>
        <v>14296.389158630449</v>
      </c>
      <c r="AM188" s="196">
        <f t="shared" si="413"/>
        <v>28592.778317260898</v>
      </c>
      <c r="AN188" s="627">
        <f t="shared" si="414"/>
        <v>1.3843995087171848E-3</v>
      </c>
      <c r="AO188" s="196">
        <f t="shared" si="415"/>
        <v>13581.569700698925</v>
      </c>
      <c r="AP188" s="589">
        <f t="shared" si="433"/>
        <v>1.3843995087171846E-3</v>
      </c>
      <c r="AQ188" s="196"/>
      <c r="AR188" s="589"/>
      <c r="AS188">
        <v>1</v>
      </c>
      <c r="AT188" s="589">
        <f t="shared" si="434"/>
        <v>1.2919896640826874E-3</v>
      </c>
      <c r="AU188" s="196">
        <v>11</v>
      </c>
      <c r="AV188" s="245">
        <f t="shared" si="416"/>
        <v>1.2498579706851495E-3</v>
      </c>
      <c r="AX188" s="245"/>
      <c r="AY188" s="245"/>
      <c r="AZ188" s="196">
        <v>58</v>
      </c>
      <c r="BA188" s="589">
        <f t="shared" si="447"/>
        <v>2.1252427540214723E-3</v>
      </c>
      <c r="BI188" s="196">
        <v>0</v>
      </c>
      <c r="BK188" s="246">
        <f t="shared" si="448"/>
        <v>0</v>
      </c>
      <c r="BL188" s="246"/>
      <c r="BM188" s="246">
        <f t="shared" si="449"/>
        <v>0</v>
      </c>
      <c r="BN188" s="196">
        <v>1</v>
      </c>
      <c r="BO188" s="196">
        <f t="shared" si="517"/>
        <v>27034.311815231322</v>
      </c>
      <c r="BP188" s="196">
        <f t="shared" si="417"/>
        <v>27034.311815231322</v>
      </c>
      <c r="BQ188" s="248">
        <f t="shared" si="450"/>
        <v>2.5289339783376415E-3</v>
      </c>
      <c r="BR188" s="248"/>
      <c r="BS188" s="248"/>
      <c r="BT188" s="276">
        <v>1</v>
      </c>
      <c r="BU188" s="196">
        <f t="shared" si="530"/>
        <v>51467.000971069603</v>
      </c>
      <c r="BV188" s="264">
        <f t="shared" si="451"/>
        <v>3.5698486739233269E-3</v>
      </c>
      <c r="BW188" s="196">
        <f t="shared" si="531"/>
        <v>220164.39304290889</v>
      </c>
      <c r="BX188" s="247">
        <f t="shared" si="452"/>
        <v>3.569848706080661E-3</v>
      </c>
      <c r="BY188" s="196">
        <f t="shared" si="492"/>
        <v>271631.39401397848</v>
      </c>
      <c r="BZ188" s="620">
        <v>0</v>
      </c>
      <c r="CA188" s="196">
        <f t="shared" si="518"/>
        <v>109367.37706352294</v>
      </c>
      <c r="CB188" s="196">
        <f t="shared" si="519"/>
        <v>218734.75412704589</v>
      </c>
      <c r="CC188" s="196">
        <f t="shared" si="430"/>
        <v>328102.13119056885</v>
      </c>
      <c r="CD188" s="247">
        <f t="shared" si="418"/>
        <v>1.3843995087171848E-3</v>
      </c>
      <c r="CE188" s="196">
        <f t="shared" si="520"/>
        <v>24853.931556342974</v>
      </c>
      <c r="CF188" s="247">
        <f t="shared" si="419"/>
        <v>1.0732700589796199E-3</v>
      </c>
      <c r="CG188" s="196">
        <f t="shared" si="532"/>
        <v>54326.278802795699</v>
      </c>
      <c r="CH188" s="589">
        <f t="shared" si="435"/>
        <v>1.3843995087171846E-3</v>
      </c>
      <c r="CI188" s="196">
        <f t="shared" si="521"/>
        <v>114440.76381004149</v>
      </c>
      <c r="CJ188" s="248">
        <f t="shared" si="436"/>
        <v>1.8814058665480163E-3</v>
      </c>
      <c r="CK188" s="196">
        <f t="shared" si="522"/>
        <v>119532.25749566883</v>
      </c>
      <c r="CL188" s="589">
        <f t="shared" si="437"/>
        <v>1.7183007882366431E-3</v>
      </c>
      <c r="CM188" s="196">
        <f t="shared" si="523"/>
        <v>11579.708211835274</v>
      </c>
      <c r="CN188" s="589">
        <f t="shared" si="438"/>
        <v>1.66876755266842E-3</v>
      </c>
      <c r="CO188" s="196">
        <f t="shared" si="524"/>
        <v>926.3636107204585</v>
      </c>
      <c r="CP188" s="589">
        <f t="shared" si="439"/>
        <v>1.7469790835551564E-3</v>
      </c>
      <c r="CQ188" s="196">
        <f>'Detailed Budget'!$AC$12</f>
        <v>292876014141.44696</v>
      </c>
      <c r="CR188" s="269">
        <f t="shared" si="507"/>
        <v>0</v>
      </c>
      <c r="CS188" s="269">
        <f>'Detailed Budget'!$AC$16</f>
        <v>10488008800.000002</v>
      </c>
      <c r="CT188" s="607">
        <f t="shared" si="533"/>
        <v>0</v>
      </c>
      <c r="CU188" s="269">
        <f>'Detailed Budget'!$AC$24</f>
        <v>30624985696</v>
      </c>
      <c r="CV188" s="269">
        <f t="shared" si="446"/>
        <v>0</v>
      </c>
      <c r="CW188" s="269"/>
      <c r="CX188" s="269">
        <f t="shared" si="431"/>
        <v>0</v>
      </c>
      <c r="CY188" s="196">
        <f>'Detailed Budget'!$AC$97</f>
        <v>74629165494.837845</v>
      </c>
      <c r="CZ188" s="269">
        <f t="shared" si="534"/>
        <v>188732232.39487851</v>
      </c>
      <c r="DA188" s="269">
        <f>'Detailed Budget'!$AC$100</f>
        <v>14925833098.967569</v>
      </c>
      <c r="DB188" s="269">
        <f t="shared" si="535"/>
        <v>37746446.478975706</v>
      </c>
      <c r="DC188" s="269">
        <f t="shared" si="420"/>
        <v>226478678.87385422</v>
      </c>
      <c r="DD188" s="207">
        <v>0</v>
      </c>
      <c r="DE188" s="606">
        <v>0</v>
      </c>
      <c r="DF188" s="269">
        <f>'Detailed Budget'!$AC$147</f>
        <v>5913600671000</v>
      </c>
      <c r="DG188" s="269">
        <f t="shared" si="441"/>
        <v>0</v>
      </c>
      <c r="DH188" s="269">
        <f>'Detailed Budget'!$AC$153</f>
        <v>226428026880.00003</v>
      </c>
      <c r="DI188" s="269"/>
      <c r="DJ188" s="269">
        <f>'Detailed Budget'!$AC$156</f>
        <v>27713070000</v>
      </c>
      <c r="DK188" s="269"/>
      <c r="DL188" s="269"/>
      <c r="DM188" s="196">
        <f>'Detailed Budget'!$AC$178</f>
        <v>5622683761.6229038</v>
      </c>
      <c r="DN188" s="269">
        <f t="shared" si="525"/>
        <v>20072130.170319747</v>
      </c>
      <c r="DO188" s="196">
        <f>'Detailed Budget'!$AC$179</f>
        <v>26827890683.128094</v>
      </c>
      <c r="DP188" s="269">
        <f t="shared" si="526"/>
        <v>95771510.842038244</v>
      </c>
      <c r="DQ188" s="269">
        <f t="shared" si="457"/>
        <v>115843641.01235799</v>
      </c>
      <c r="DR188" s="269">
        <f>'Detailed Budget'!$AC$181</f>
        <v>50888946855.375237</v>
      </c>
      <c r="DS188" s="269">
        <f t="shared" si="527"/>
        <v>159779120.17227808</v>
      </c>
      <c r="DT188" s="269">
        <f t="shared" si="528"/>
        <v>275622761.18463606</v>
      </c>
      <c r="DU188" s="272">
        <f>'Detailed Budget'!$AC$192</f>
        <v>77498869683.252869</v>
      </c>
      <c r="DV188" s="269">
        <f t="shared" si="536"/>
        <v>0</v>
      </c>
      <c r="DW188" s="140">
        <f>'Detailed Budget'!$AC$194</f>
        <v>2684962805.4134097</v>
      </c>
      <c r="DX188" s="269">
        <f t="shared" si="537"/>
        <v>0</v>
      </c>
      <c r="DY188" s="607">
        <f t="shared" si="421"/>
        <v>0</v>
      </c>
      <c r="DZ188" s="196">
        <f>'Detailed Budget'!$AC$198</f>
        <v>18732540018.380611</v>
      </c>
      <c r="EA188" s="269">
        <f t="shared" si="510"/>
        <v>20105074.330365449</v>
      </c>
      <c r="EB188" s="196">
        <f>'Detailed Budget'!$AC$200</f>
        <v>4683135004.5951529</v>
      </c>
      <c r="EC188" s="269">
        <f t="shared" si="538"/>
        <v>5026268.5825913623</v>
      </c>
      <c r="ED188" s="269">
        <f t="shared" si="422"/>
        <v>25131342.912956811</v>
      </c>
      <c r="EE188" s="196">
        <f>'Detailed Budget'!$AC$161</f>
        <v>251147290106.36197</v>
      </c>
      <c r="EF188" s="269">
        <f t="shared" si="539"/>
        <v>347688185.03889978</v>
      </c>
      <c r="EG188" s="196">
        <f>'Detailed Budget'!$AC$163</f>
        <v>15696705631.647623</v>
      </c>
      <c r="EH188" s="269">
        <f t="shared" si="540"/>
        <v>21730511.564931236</v>
      </c>
      <c r="EI188" s="269">
        <f t="shared" si="423"/>
        <v>369418696.60383099</v>
      </c>
      <c r="EJ188" s="196">
        <f>'Detailed Budget'!$AC$204</f>
        <v>45012172507.531975</v>
      </c>
      <c r="EK188" s="269">
        <f t="shared" si="541"/>
        <v>84686165.421741992</v>
      </c>
      <c r="EL188" s="201">
        <f>'Detailed Budget'!$AC$206</f>
        <v>11253043126.882994</v>
      </c>
      <c r="EM188" s="269">
        <f t="shared" si="542"/>
        <v>21171541.355435498</v>
      </c>
      <c r="EN188" s="269">
        <f t="shared" si="424"/>
        <v>105857706.77717748</v>
      </c>
      <c r="EO188" s="140">
        <f>'Detailed Budget'!$AC$209</f>
        <v>135789361677.54817</v>
      </c>
      <c r="EP188" s="269">
        <f t="shared" si="543"/>
        <v>233326967.20468163</v>
      </c>
      <c r="EQ188" s="196">
        <f>'Detailed Budget'!$AC$211</f>
        <v>33947340419.387043</v>
      </c>
      <c r="ER188" s="269">
        <f t="shared" si="544"/>
        <v>58331741.801170409</v>
      </c>
      <c r="ES188" s="269">
        <f t="shared" si="425"/>
        <v>291658709.00585204</v>
      </c>
      <c r="ET188" s="196">
        <f>'Detailed Budget'!$AC$214</f>
        <v>22239745544.201103</v>
      </c>
      <c r="EU188" s="269">
        <f t="shared" si="545"/>
        <v>37112965.74376487</v>
      </c>
      <c r="EV188" s="140">
        <f>'Detailed Budget'!$AC$217</f>
        <v>5559936386.0502758</v>
      </c>
      <c r="EW188" s="269">
        <f t="shared" si="546"/>
        <v>9278241.4359412175</v>
      </c>
      <c r="EX188" s="269">
        <f t="shared" si="426"/>
        <v>46391207.179706089</v>
      </c>
      <c r="EY188" s="196">
        <f>'Detailed Budget'!$AC$219</f>
        <v>372777004.58170313</v>
      </c>
      <c r="EZ188" s="269">
        <f t="shared" si="547"/>
        <v>651233.62983458</v>
      </c>
      <c r="FA188" s="196">
        <f>'Detailed Budget'!$AC$222</f>
        <v>93194251.145425782</v>
      </c>
      <c r="FB188" s="269">
        <f t="shared" si="548"/>
        <v>162808.407458645</v>
      </c>
      <c r="FC188" s="269">
        <f t="shared" si="427"/>
        <v>814042.03729322506</v>
      </c>
      <c r="FD188" s="269"/>
      <c r="FE188" s="269">
        <f t="shared" si="428"/>
        <v>444721665.00002885</v>
      </c>
      <c r="FF188" s="140">
        <f>'Detailed Budget'!$AC$165</f>
        <v>14927760000</v>
      </c>
      <c r="FG188" s="1087">
        <f t="shared" si="442"/>
        <v>606629788.90074849</v>
      </c>
      <c r="FH188" s="269">
        <f t="shared" si="511"/>
        <v>18657579.820474949</v>
      </c>
      <c r="FJ188" s="140">
        <f>'Detailed Budget'!$AC$235</f>
        <v>3623696172</v>
      </c>
      <c r="FK188" s="269">
        <f t="shared" si="512"/>
        <v>4681778</v>
      </c>
      <c r="FL188" s="269">
        <f t="shared" si="443"/>
        <v>4681778</v>
      </c>
      <c r="FO188" s="607"/>
      <c r="FP188" s="607"/>
      <c r="FQ188" s="607"/>
      <c r="FR188" s="269">
        <f>'Detailed Budget'!$AC$257</f>
        <v>13636439388</v>
      </c>
      <c r="FS188" s="269">
        <f t="shared" si="513"/>
        <v>28980744</v>
      </c>
      <c r="FT188" s="269">
        <f t="shared" si="444"/>
        <v>28980744</v>
      </c>
      <c r="FU188" s="269"/>
      <c r="FV188" s="269"/>
      <c r="FW188" s="616"/>
      <c r="FX188" s="140">
        <f>'Detailed Budget'!$AC$278</f>
        <v>1114560000</v>
      </c>
      <c r="FY188" s="269">
        <f t="shared" si="514"/>
        <v>1440000</v>
      </c>
      <c r="FZ188" s="269">
        <f t="shared" si="445"/>
        <v>1440000</v>
      </c>
      <c r="GB188" s="269">
        <f t="shared" si="453"/>
        <v>2001763035.2965302</v>
      </c>
      <c r="GC188" s="887">
        <f t="shared" si="429"/>
        <v>1251101.8970603314</v>
      </c>
      <c r="GD188" s="1078">
        <f t="shared" si="454"/>
        <v>1.1232522728271987E-3</v>
      </c>
    </row>
    <row r="189" spans="1:186" hidden="1" outlineLevel="1">
      <c r="A189" s="211"/>
      <c r="B189" s="212"/>
      <c r="C189" s="213"/>
      <c r="D189" s="225"/>
      <c r="E189" s="213"/>
      <c r="F189" s="213"/>
      <c r="G189" s="213"/>
      <c r="H189" s="213"/>
      <c r="I189" s="214"/>
      <c r="J189" s="214"/>
      <c r="K189" s="213"/>
      <c r="L189" s="213"/>
      <c r="M189" s="214"/>
      <c r="N189" s="213"/>
      <c r="O189" s="214"/>
      <c r="P189" s="213"/>
      <c r="Q189" s="214"/>
      <c r="R189" s="214"/>
      <c r="S189" s="214"/>
      <c r="T189" s="214"/>
      <c r="U189" s="215"/>
      <c r="V189" s="845"/>
      <c r="W189" s="216"/>
      <c r="X189" s="217"/>
      <c r="Y189" s="218"/>
      <c r="Z189" s="196"/>
      <c r="AA189" s="218"/>
      <c r="AC189" s="227"/>
      <c r="AF189" s="196">
        <f t="shared" si="516"/>
        <v>0</v>
      </c>
      <c r="AG189" s="606">
        <f t="shared" si="432"/>
        <v>0</v>
      </c>
      <c r="AJ189" s="196"/>
      <c r="AK189" s="196"/>
      <c r="AL189" s="196"/>
      <c r="AM189" s="196"/>
      <c r="AO189" s="196"/>
      <c r="AP189" s="589">
        <f t="shared" si="433"/>
        <v>0</v>
      </c>
      <c r="AQ189" s="196"/>
      <c r="AR189" s="589"/>
      <c r="AS189"/>
      <c r="AT189" s="589">
        <f t="shared" si="434"/>
        <v>0</v>
      </c>
      <c r="AV189" s="245">
        <f t="shared" si="416"/>
        <v>0</v>
      </c>
      <c r="AX189" s="245"/>
      <c r="AY189" s="245"/>
      <c r="BA189" s="589">
        <f t="shared" si="447"/>
        <v>0</v>
      </c>
      <c r="BK189" s="246">
        <f t="shared" si="448"/>
        <v>0</v>
      </c>
      <c r="BL189" s="246"/>
      <c r="BM189" s="246">
        <f t="shared" si="449"/>
        <v>0</v>
      </c>
      <c r="BN189" s="196"/>
      <c r="BQ189" s="248">
        <f t="shared" si="450"/>
        <v>0</v>
      </c>
      <c r="BR189" s="248"/>
      <c r="BS189" s="248"/>
      <c r="BT189" s="276"/>
      <c r="BV189" s="264">
        <f t="shared" si="451"/>
        <v>0</v>
      </c>
      <c r="BX189" s="247">
        <f t="shared" si="452"/>
        <v>0</v>
      </c>
      <c r="BY189" s="196"/>
      <c r="BZ189" s="620"/>
      <c r="CA189" s="196">
        <f t="shared" si="518"/>
        <v>0</v>
      </c>
      <c r="CB189" s="196">
        <f t="shared" si="519"/>
        <v>0</v>
      </c>
      <c r="CC189" s="196">
        <f t="shared" si="430"/>
        <v>0</v>
      </c>
      <c r="CD189" s="247">
        <f t="shared" si="418"/>
        <v>0</v>
      </c>
      <c r="CF189" s="247">
        <f t="shared" si="419"/>
        <v>0</v>
      </c>
      <c r="CG189" s="196">
        <f t="shared" si="532"/>
        <v>0</v>
      </c>
      <c r="CH189" s="589">
        <f t="shared" si="435"/>
        <v>0</v>
      </c>
      <c r="CI189" s="196"/>
      <c r="CJ189" s="248">
        <f t="shared" si="436"/>
        <v>0</v>
      </c>
      <c r="CK189" s="196"/>
      <c r="CL189" s="589">
        <f t="shared" si="437"/>
        <v>0</v>
      </c>
      <c r="CM189" s="196"/>
      <c r="CN189" s="589">
        <f t="shared" si="438"/>
        <v>0</v>
      </c>
      <c r="CO189" s="196"/>
      <c r="CP189" s="589">
        <f t="shared" si="439"/>
        <v>0</v>
      </c>
      <c r="CQ189" s="196"/>
      <c r="CR189" s="269">
        <f t="shared" si="507"/>
        <v>0</v>
      </c>
      <c r="CS189" s="269">
        <f>'Detailed Budget'!$AC$16</f>
        <v>10488008800.000002</v>
      </c>
      <c r="CT189" s="607">
        <f t="shared" si="533"/>
        <v>0</v>
      </c>
      <c r="CU189" s="269">
        <f>'Detailed Budget'!$AC$24</f>
        <v>30624985696</v>
      </c>
      <c r="CV189" s="269">
        <f t="shared" si="446"/>
        <v>0</v>
      </c>
      <c r="CW189" s="269"/>
      <c r="CX189" s="269">
        <f t="shared" si="431"/>
        <v>0</v>
      </c>
      <c r="CY189" s="196">
        <f>'Detailed Budget'!$AC$97</f>
        <v>74629165494.837845</v>
      </c>
      <c r="CZ189" s="269">
        <f t="shared" si="534"/>
        <v>0</v>
      </c>
      <c r="DA189" s="269">
        <f>'Detailed Budget'!$AC$100</f>
        <v>14925833098.967569</v>
      </c>
      <c r="DB189" s="269">
        <f t="shared" si="535"/>
        <v>0</v>
      </c>
      <c r="DC189" s="269"/>
      <c r="DD189" s="207"/>
      <c r="DE189" s="606">
        <v>0</v>
      </c>
      <c r="DF189" s="269">
        <f>'Detailed Budget'!$AC$147</f>
        <v>5913600671000</v>
      </c>
      <c r="DG189" s="269">
        <f t="shared" si="441"/>
        <v>0</v>
      </c>
      <c r="DH189" s="269">
        <f>'Detailed Budget'!$AC$153</f>
        <v>226428026880.00003</v>
      </c>
      <c r="DI189" s="269"/>
      <c r="DJ189" s="269">
        <f>'Detailed Budget'!$AC$156</f>
        <v>27713070000</v>
      </c>
      <c r="DK189" s="269"/>
      <c r="DL189" s="269"/>
      <c r="DM189" s="196"/>
      <c r="DN189" s="269"/>
      <c r="DO189" s="196"/>
      <c r="DP189" s="269"/>
      <c r="DQ189" s="269"/>
      <c r="DR189" s="269"/>
      <c r="DS189" s="269"/>
      <c r="DT189" s="269"/>
      <c r="DU189" s="272">
        <f>'Detailed Budget'!$AC$192</f>
        <v>77498869683.252869</v>
      </c>
      <c r="DV189" s="269">
        <f t="shared" si="536"/>
        <v>0</v>
      </c>
      <c r="DW189" s="140">
        <f>'Detailed Budget'!$AC$194</f>
        <v>2684962805.4134097</v>
      </c>
      <c r="DX189" s="269">
        <f t="shared" si="537"/>
        <v>0</v>
      </c>
      <c r="DY189" s="607">
        <f t="shared" si="421"/>
        <v>0</v>
      </c>
      <c r="DZ189" s="196"/>
      <c r="EA189" s="269"/>
      <c r="EB189" s="196">
        <f>'Detailed Budget'!$AC$200</f>
        <v>4683135004.5951529</v>
      </c>
      <c r="EC189" s="269">
        <f t="shared" si="538"/>
        <v>0</v>
      </c>
      <c r="ED189" s="269">
        <f t="shared" si="422"/>
        <v>0</v>
      </c>
      <c r="EE189" s="196">
        <f>'Detailed Budget'!$AC$161</f>
        <v>251147290106.36197</v>
      </c>
      <c r="EF189" s="269">
        <f t="shared" si="539"/>
        <v>0</v>
      </c>
      <c r="EG189" s="196">
        <f>'Detailed Budget'!$AC$163</f>
        <v>15696705631.647623</v>
      </c>
      <c r="EH189" s="269">
        <f t="shared" si="540"/>
        <v>0</v>
      </c>
      <c r="EI189" s="269">
        <f t="shared" si="423"/>
        <v>0</v>
      </c>
      <c r="EJ189" s="196">
        <f>'Detailed Budget'!$AC$204</f>
        <v>45012172507.531975</v>
      </c>
      <c r="EK189" s="269">
        <f t="shared" si="541"/>
        <v>0</v>
      </c>
      <c r="EL189" s="201">
        <f>'Detailed Budget'!$AC$206</f>
        <v>11253043126.882994</v>
      </c>
      <c r="EM189" s="269">
        <f t="shared" si="542"/>
        <v>0</v>
      </c>
      <c r="EN189" s="269">
        <f t="shared" si="424"/>
        <v>0</v>
      </c>
      <c r="EO189" s="140">
        <f>'Detailed Budget'!$AC$209</f>
        <v>135789361677.54817</v>
      </c>
      <c r="EP189" s="269">
        <f t="shared" si="543"/>
        <v>0</v>
      </c>
      <c r="EQ189" s="196">
        <f>'Detailed Budget'!$AC$211</f>
        <v>33947340419.387043</v>
      </c>
      <c r="ER189" s="269">
        <f t="shared" si="544"/>
        <v>0</v>
      </c>
      <c r="ES189" s="269">
        <f t="shared" si="425"/>
        <v>0</v>
      </c>
      <c r="ET189" s="196">
        <f>'Detailed Budget'!$AC$214</f>
        <v>22239745544.201103</v>
      </c>
      <c r="EU189" s="269">
        <f t="shared" si="545"/>
        <v>0</v>
      </c>
      <c r="EV189" s="140">
        <f>'Detailed Budget'!$AC$217</f>
        <v>5559936386.0502758</v>
      </c>
      <c r="EW189" s="269">
        <f t="shared" si="546"/>
        <v>0</v>
      </c>
      <c r="EX189" s="269">
        <f t="shared" si="426"/>
        <v>0</v>
      </c>
      <c r="EY189" s="196">
        <f>'Detailed Budget'!$AC$219</f>
        <v>372777004.58170313</v>
      </c>
      <c r="EZ189" s="269">
        <f t="shared" si="547"/>
        <v>0</v>
      </c>
      <c r="FA189" s="196">
        <f>'Detailed Budget'!$AC$222</f>
        <v>93194251.145425782</v>
      </c>
      <c r="FB189" s="269">
        <f t="shared" si="548"/>
        <v>0</v>
      </c>
      <c r="FC189" s="269">
        <f t="shared" si="427"/>
        <v>0</v>
      </c>
      <c r="FD189" s="269"/>
      <c r="FE189" s="269"/>
      <c r="FF189" s="140">
        <f>'Detailed Budget'!$AC$165</f>
        <v>14927760000</v>
      </c>
      <c r="FG189" s="1087">
        <f t="shared" si="442"/>
        <v>0</v>
      </c>
      <c r="FJ189" s="140"/>
      <c r="FL189" s="269">
        <f t="shared" si="443"/>
        <v>0</v>
      </c>
      <c r="FO189" s="607"/>
      <c r="FP189" s="607"/>
      <c r="FQ189" s="607"/>
      <c r="FT189" s="269">
        <f t="shared" si="444"/>
        <v>0</v>
      </c>
      <c r="FU189" s="269"/>
      <c r="FV189" s="269"/>
      <c r="FW189" s="616"/>
      <c r="FX189" s="140">
        <f>'Detailed Budget'!$AC$278</f>
        <v>1114560000</v>
      </c>
      <c r="FY189" s="269"/>
      <c r="FZ189" s="269"/>
      <c r="GB189" s="269">
        <f t="shared" si="453"/>
        <v>0</v>
      </c>
      <c r="GD189" s="1078">
        <f t="shared" si="454"/>
        <v>0</v>
      </c>
    </row>
    <row r="190" spans="1:186" s="210" customFormat="1" collapsed="1">
      <c r="A190" s="203">
        <v>2.2999999999999998</v>
      </c>
      <c r="B190" s="204" t="s">
        <v>546</v>
      </c>
      <c r="C190" s="205">
        <f t="shared" ref="C190:T190" si="551">COUNTA(C191:C217)</f>
        <v>27</v>
      </c>
      <c r="D190" s="205">
        <f t="shared" si="551"/>
        <v>27</v>
      </c>
      <c r="E190" s="205">
        <f t="shared" si="551"/>
        <v>0</v>
      </c>
      <c r="F190" s="205">
        <f t="shared" si="551"/>
        <v>0</v>
      </c>
      <c r="G190" s="205">
        <f t="shared" si="551"/>
        <v>0</v>
      </c>
      <c r="H190" s="205">
        <f t="shared" si="551"/>
        <v>27</v>
      </c>
      <c r="I190" s="205">
        <f t="shared" si="551"/>
        <v>27</v>
      </c>
      <c r="J190" s="205">
        <f t="shared" si="551"/>
        <v>0</v>
      </c>
      <c r="K190" s="205">
        <f t="shared" si="551"/>
        <v>27</v>
      </c>
      <c r="L190" s="205">
        <f t="shared" si="551"/>
        <v>0</v>
      </c>
      <c r="M190" s="205">
        <f t="shared" si="551"/>
        <v>0</v>
      </c>
      <c r="N190" s="205">
        <f t="shared" si="551"/>
        <v>0</v>
      </c>
      <c r="O190" s="205">
        <f t="shared" si="551"/>
        <v>0</v>
      </c>
      <c r="P190" s="205">
        <f t="shared" si="551"/>
        <v>0</v>
      </c>
      <c r="Q190" s="205">
        <f t="shared" si="551"/>
        <v>1</v>
      </c>
      <c r="R190" s="205">
        <f t="shared" si="551"/>
        <v>26</v>
      </c>
      <c r="S190" s="205">
        <f t="shared" si="551"/>
        <v>0</v>
      </c>
      <c r="T190" s="205">
        <f t="shared" si="551"/>
        <v>0</v>
      </c>
      <c r="U190" s="206">
        <f>SUM(C190:T190)</f>
        <v>162</v>
      </c>
      <c r="V190" s="844"/>
      <c r="W190" s="207">
        <f>SUM(W191:W217)</f>
        <v>4171104</v>
      </c>
      <c r="X190" s="208">
        <v>3.47</v>
      </c>
      <c r="Y190" s="209">
        <f t="shared" si="483"/>
        <v>1.0347</v>
      </c>
      <c r="Z190" s="207">
        <v>19</v>
      </c>
      <c r="AA190" s="209">
        <f t="shared" si="484"/>
        <v>1.9119412036868784</v>
      </c>
      <c r="AB190" s="207">
        <f t="shared" si="549"/>
        <v>7974905.6024631532</v>
      </c>
      <c r="AC190" s="210">
        <v>19.100000000000001</v>
      </c>
      <c r="AD190" s="207">
        <f t="shared" si="550"/>
        <v>1523206.9700704622</v>
      </c>
      <c r="AE190" s="207">
        <f t="shared" si="487"/>
        <v>1447046.6215669389</v>
      </c>
      <c r="AF190" s="207">
        <f>SUM(AF191:AF217)</f>
        <v>1447046.6215669392</v>
      </c>
      <c r="AG190" s="588">
        <f t="shared" si="432"/>
        <v>6.6905083127555082E-2</v>
      </c>
      <c r="AH190" s="207">
        <f>SUM(AH191:AH217)</f>
        <v>398745.28012315766</v>
      </c>
      <c r="AI190" s="633">
        <f t="shared" ref="AI190:AI249" si="552">AH190/12908475</f>
        <v>3.0890192693029787E-2</v>
      </c>
      <c r="AJ190" s="207">
        <f>SUM(AJ191:AJ217)</f>
        <v>1921952.2501936203</v>
      </c>
      <c r="AK190" s="207">
        <f t="shared" si="455"/>
        <v>318996.22409852612</v>
      </c>
      <c r="AL190" s="207">
        <f t="shared" si="456"/>
        <v>318996.22409852612</v>
      </c>
      <c r="AM190" s="207">
        <f t="shared" ref="AM190:AM249" si="553">AK190+AL190</f>
        <v>637992.44819705223</v>
      </c>
      <c r="AN190" s="632">
        <f t="shared" ref="AN190:AN249" si="554">AM190/20653560</f>
        <v>3.0890192693029783E-2</v>
      </c>
      <c r="AO190" s="207">
        <f t="shared" ref="AO190:AO249" si="555">AB190*0.038</f>
        <v>303046.41289359983</v>
      </c>
      <c r="AP190" s="588">
        <f t="shared" si="433"/>
        <v>3.0890192693029787E-2</v>
      </c>
      <c r="AQ190" s="207">
        <v>1</v>
      </c>
      <c r="AR190" s="588">
        <f>AQ190/37</f>
        <v>2.7027027027027029E-2</v>
      </c>
      <c r="AS190" s="207">
        <f>SUM(AS191:AS217)</f>
        <v>27</v>
      </c>
      <c r="AT190" s="588">
        <f t="shared" si="434"/>
        <v>3.4883720930232558E-2</v>
      </c>
      <c r="AU190" s="207">
        <f>SUM(AU191:AU217)</f>
        <v>312</v>
      </c>
      <c r="AV190" s="892">
        <f t="shared" ref="AV190:AV249" si="556">AU190/8801</f>
        <v>3.5450516986706058E-2</v>
      </c>
      <c r="AW190" s="207">
        <v>71130</v>
      </c>
      <c r="AX190" s="208">
        <f>AW190*0.002</f>
        <v>142.26</v>
      </c>
      <c r="AY190" s="207">
        <f>AX190*100</f>
        <v>14226</v>
      </c>
      <c r="AZ190" s="207">
        <f>SUM(AZ191:AZ217)</f>
        <v>342</v>
      </c>
      <c r="BA190" s="588">
        <f t="shared" si="447"/>
        <v>1.2531603825436957E-2</v>
      </c>
      <c r="BB190" s="207">
        <v>36</v>
      </c>
      <c r="BC190" s="207">
        <v>2</v>
      </c>
      <c r="BD190" s="207">
        <f>BB190+BC190</f>
        <v>38</v>
      </c>
      <c r="BE190" s="633">
        <f>BD190/1306</f>
        <v>2.9096477794793262E-2</v>
      </c>
      <c r="BF190" s="207">
        <f>AZ190+BD190</f>
        <v>380</v>
      </c>
      <c r="BG190" s="588">
        <f>BF190/28597</f>
        <v>1.3288107144106024E-2</v>
      </c>
      <c r="BH190" s="1084">
        <v>16.2</v>
      </c>
      <c r="BI190" s="207"/>
      <c r="BJ190" s="207"/>
      <c r="BK190" s="892">
        <f t="shared" si="448"/>
        <v>0</v>
      </c>
      <c r="BL190" s="892"/>
      <c r="BM190" s="892">
        <f t="shared" si="449"/>
        <v>0</v>
      </c>
      <c r="BN190" s="207"/>
      <c r="BO190" s="207">
        <v>488691</v>
      </c>
      <c r="BP190" s="207">
        <f>SUM(BP191:BP217)</f>
        <v>488691.06361624564</v>
      </c>
      <c r="BQ190" s="633">
        <f t="shared" si="450"/>
        <v>4.571477329017079E-2</v>
      </c>
      <c r="BR190" s="207">
        <f>AY190*0.5*24</f>
        <v>170712</v>
      </c>
      <c r="BS190" s="633">
        <f>BR190/2211211</f>
        <v>7.7202944449896463E-2</v>
      </c>
      <c r="BT190" s="634"/>
      <c r="BU190" s="207">
        <f>SUM(BU191:BU217)</f>
        <v>1776668.6098901874</v>
      </c>
      <c r="BV190" s="264">
        <f t="shared" si="451"/>
        <v>0.12323310007091473</v>
      </c>
      <c r="BW190" s="207">
        <f>SUM(BW191:BW217)</f>
        <v>7600193.4978635795</v>
      </c>
      <c r="BX190" s="247">
        <f t="shared" si="452"/>
        <v>0.12323310118100321</v>
      </c>
      <c r="BY190" s="207">
        <f>SUM(BY191:BY217)</f>
        <v>9376862.1077537667</v>
      </c>
      <c r="CA190" s="207">
        <f>SUM(CA191:CA217)</f>
        <v>2440321.1143537252</v>
      </c>
      <c r="CB190" s="207">
        <f>SUM(CB191:CB217)</f>
        <v>4880642.2287074504</v>
      </c>
      <c r="CC190" s="207">
        <f>SUM(CC191:CC217)</f>
        <v>7320963.3430611752</v>
      </c>
      <c r="CD190" s="633">
        <f t="shared" ref="CD190:CD249" si="557">CC190/236999601</f>
        <v>3.0890192693029787E-2</v>
      </c>
      <c r="CE190" s="207">
        <v>606682</v>
      </c>
      <c r="CF190" s="633">
        <f t="shared" ref="CF190:CF249" si="558">CE190/23157202</f>
        <v>2.6198415508056631E-2</v>
      </c>
      <c r="CG190" s="207">
        <f t="shared" si="532"/>
        <v>1212185.6515743993</v>
      </c>
      <c r="CH190" s="588">
        <f t="shared" si="435"/>
        <v>3.0890192693029787E-2</v>
      </c>
      <c r="CI190" s="207">
        <f t="shared" ref="CI190:CO190" si="559">SUM(CI191:CI217)</f>
        <v>948388.98136507755</v>
      </c>
      <c r="CJ190" s="633">
        <f t="shared" si="436"/>
        <v>1.5591512446312353E-2</v>
      </c>
      <c r="CK190" s="207">
        <f t="shared" si="559"/>
        <v>2714444.9466637932</v>
      </c>
      <c r="CL190" s="588">
        <f t="shared" si="437"/>
        <v>3.9020704445796764E-2</v>
      </c>
      <c r="CM190" s="207">
        <f t="shared" si="559"/>
        <v>262961.99483305216</v>
      </c>
      <c r="CN190" s="588">
        <f t="shared" si="438"/>
        <v>3.7895811926750525E-2</v>
      </c>
      <c r="CO190" s="207">
        <f t="shared" si="559"/>
        <v>21036.999586643386</v>
      </c>
      <c r="CP190" s="588">
        <f t="shared" si="439"/>
        <v>3.9672540925956755E-2</v>
      </c>
      <c r="CQ190" s="207">
        <f>'Detailed Budget'!$AC$12</f>
        <v>292876014141.44696</v>
      </c>
      <c r="CR190" s="605">
        <f t="shared" si="507"/>
        <v>0</v>
      </c>
      <c r="CS190" s="605">
        <f>'Detailed Budget'!$AC$16</f>
        <v>10488008800.000002</v>
      </c>
      <c r="CT190" s="605">
        <f t="shared" si="533"/>
        <v>0</v>
      </c>
      <c r="CU190" s="605">
        <f>'Detailed Budget'!$AC$24</f>
        <v>30624985696</v>
      </c>
      <c r="CV190" s="605">
        <f t="shared" si="446"/>
        <v>0</v>
      </c>
      <c r="CW190" s="605"/>
      <c r="CX190" s="605">
        <f t="shared" si="431"/>
        <v>0</v>
      </c>
      <c r="CY190" s="207">
        <f>'Detailed Budget'!$AC$97</f>
        <v>74629165494.837845</v>
      </c>
      <c r="CZ190" s="605">
        <f t="shared" si="534"/>
        <v>3411655381.4311485</v>
      </c>
      <c r="DA190" s="605">
        <f>'Detailed Budget'!$AC$100</f>
        <v>14925833098.967569</v>
      </c>
      <c r="DB190" s="605">
        <f t="shared" si="535"/>
        <v>682331076.28622973</v>
      </c>
      <c r="DC190" s="605">
        <f t="shared" ref="DC190:DC249" si="560">CZ190+DB190</f>
        <v>4093986457.7173781</v>
      </c>
      <c r="DD190" s="207">
        <f>SUM(DD191:DD217)</f>
        <v>0</v>
      </c>
      <c r="DE190" s="606">
        <v>0</v>
      </c>
      <c r="DF190" s="605">
        <f>'Detailed Budget'!$AC$147</f>
        <v>5913600671000</v>
      </c>
      <c r="DG190" s="605">
        <f t="shared" si="441"/>
        <v>0</v>
      </c>
      <c r="DH190" s="605">
        <f>'Detailed Budget'!$AC$153</f>
        <v>226428026880.00003</v>
      </c>
      <c r="DI190" s="605">
        <f>BS190*DH190</f>
        <v>17480910381.116306</v>
      </c>
      <c r="DJ190" s="605">
        <f>'Detailed Budget'!$AC$156</f>
        <v>27713070000</v>
      </c>
      <c r="DK190" s="605">
        <f>AT190*DJ190</f>
        <v>966735000</v>
      </c>
      <c r="DL190" s="605">
        <f>DI190+DK190</f>
        <v>18447645381.116306</v>
      </c>
      <c r="DM190" s="207">
        <f>'Detailed Budget'!$AC$178</f>
        <v>5622683761.6229038</v>
      </c>
      <c r="DN190" s="605">
        <f>SUM(DN191:DN217)</f>
        <v>692900750.66318262</v>
      </c>
      <c r="DO190" s="605">
        <f>'Detailed Budget'!$AC$179</f>
        <v>26827890683.128094</v>
      </c>
      <c r="DP190" s="605">
        <f>SUM(DP191:DP217)</f>
        <v>3306084167.0268173</v>
      </c>
      <c r="DQ190" s="605">
        <f>SUM(DQ191:DQ217)</f>
        <v>3998984917.6900001</v>
      </c>
      <c r="DR190" s="605">
        <f>'Detailed Budget'!$AC$181</f>
        <v>50888946855.375237</v>
      </c>
      <c r="DS190" s="605">
        <f>SUM(DS191:DS217)</f>
        <v>3404729219.6326127</v>
      </c>
      <c r="DT190" s="605">
        <f>SUM(DT191:DT217)</f>
        <v>7403714137.3226147</v>
      </c>
      <c r="DU190" s="634">
        <f>'Detailed Budget'!$AC$192</f>
        <v>77498869683.252869</v>
      </c>
      <c r="DV190" s="605">
        <f t="shared" si="536"/>
        <v>0</v>
      </c>
      <c r="DW190" s="930">
        <f>'Detailed Budget'!$AC$194</f>
        <v>2684962805.4134097</v>
      </c>
      <c r="DX190" s="605">
        <f t="shared" si="537"/>
        <v>0</v>
      </c>
      <c r="DY190" s="605">
        <f t="shared" ref="DY190:DY249" si="561">DV190+DX190</f>
        <v>0</v>
      </c>
      <c r="DZ190" s="207">
        <f>'Detailed Budget'!$AC$198</f>
        <v>18732540018.380611</v>
      </c>
      <c r="EA190" s="605">
        <f t="shared" ref="EA190:EA217" si="562">CF190*DZ190</f>
        <v>490762866.92283404</v>
      </c>
      <c r="EB190" s="207">
        <f>'Detailed Budget'!$AC$200</f>
        <v>4683135004.5951529</v>
      </c>
      <c r="EC190" s="605">
        <f t="shared" si="538"/>
        <v>122690716.73070851</v>
      </c>
      <c r="ED190" s="605">
        <f t="shared" ref="ED190:ED249" si="563">EA190+EC190</f>
        <v>613453583.65354252</v>
      </c>
      <c r="EE190" s="207">
        <f>'Detailed Budget'!$AC$161</f>
        <v>251147290106.36197</v>
      </c>
      <c r="EF190" s="605">
        <f t="shared" si="539"/>
        <v>7757988185.7177744</v>
      </c>
      <c r="EG190" s="207">
        <f>'Detailed Budget'!$AC$163</f>
        <v>15696705631.647623</v>
      </c>
      <c r="EH190" s="605">
        <f t="shared" si="540"/>
        <v>484874261.6073609</v>
      </c>
      <c r="EI190" s="605">
        <f t="shared" ref="EI190:EI249" si="564">EF190+EH190</f>
        <v>8242862447.3251352</v>
      </c>
      <c r="EJ190" s="207">
        <f>'Detailed Budget'!$AC$204</f>
        <v>45012172507.531975</v>
      </c>
      <c r="EK190" s="605">
        <f t="shared" si="541"/>
        <v>701807847.88674355</v>
      </c>
      <c r="EL190" s="207">
        <f>'Detailed Budget'!$AC$206</f>
        <v>11253043126.882994</v>
      </c>
      <c r="EM190" s="605">
        <f t="shared" si="542"/>
        <v>175451961.97168589</v>
      </c>
      <c r="EN190" s="605">
        <f t="shared" ref="EN190:EN249" si="565">EK190+EM190</f>
        <v>877259809.85842943</v>
      </c>
      <c r="EO190" s="930">
        <f>'Detailed Budget'!$AC$209</f>
        <v>135789361677.54817</v>
      </c>
      <c r="EP190" s="605">
        <f t="shared" si="543"/>
        <v>5298596548.9030085</v>
      </c>
      <c r="EQ190" s="207">
        <f>'Detailed Budget'!$AC$211</f>
        <v>33947340419.387043</v>
      </c>
      <c r="ER190" s="605">
        <f t="shared" si="544"/>
        <v>1324649137.2257521</v>
      </c>
      <c r="ES190" s="605">
        <f t="shared" ref="ES190:ES249" si="566">EP190+ER190</f>
        <v>6623245686.1287603</v>
      </c>
      <c r="ET190" s="207">
        <f>'Detailed Budget'!$AC$214</f>
        <v>22239745544.201103</v>
      </c>
      <c r="EU190" s="605">
        <f t="shared" si="545"/>
        <v>842793214.44183302</v>
      </c>
      <c r="EV190" s="930">
        <f>'Detailed Budget'!$AC$217</f>
        <v>5559936386.0502758</v>
      </c>
      <c r="EW190" s="605">
        <f t="shared" si="546"/>
        <v>210698303.61045825</v>
      </c>
      <c r="EX190" s="605">
        <f t="shared" ref="EX190:EX249" si="567">EU190+EW190</f>
        <v>1053491518.0522913</v>
      </c>
      <c r="EY190" s="207">
        <f>'Detailed Budget'!$AC$219</f>
        <v>372777004.58170313</v>
      </c>
      <c r="EZ190" s="605">
        <f t="shared" si="547"/>
        <v>14789010.970523186</v>
      </c>
      <c r="FA190" s="207">
        <f>'Detailed Budget'!$AC$222</f>
        <v>93194251.145425782</v>
      </c>
      <c r="FB190" s="605">
        <f t="shared" si="548"/>
        <v>3697252.7426307965</v>
      </c>
      <c r="FC190" s="605">
        <f t="shared" ref="FC190:FC249" si="568">EZ190+FB190</f>
        <v>18486263.713153981</v>
      </c>
      <c r="FD190" s="605"/>
      <c r="FE190" s="605">
        <f t="shared" ref="FE190:FE249" si="569">EN190+ES190+EX190+FC190</f>
        <v>8572483277.752635</v>
      </c>
      <c r="FF190" s="930">
        <f>'Detailed Budget'!$AC$165</f>
        <v>14927760000</v>
      </c>
      <c r="FG190" s="1087">
        <f t="shared" si="442"/>
        <v>11693434636.556194</v>
      </c>
      <c r="FH190" s="605">
        <f t="shared" ref="FH190:FH217" si="570">AV190*FF190</f>
        <v>529196809.45347124</v>
      </c>
      <c r="FI190" s="605"/>
      <c r="FJ190" s="930">
        <f>'Detailed Budget'!$AC$235</f>
        <v>3623696172</v>
      </c>
      <c r="FK190" s="605">
        <f t="shared" ref="FK190:FK217" si="571">AT190*FJ190</f>
        <v>126408006</v>
      </c>
      <c r="FL190" s="605">
        <f t="shared" si="443"/>
        <v>126408006</v>
      </c>
      <c r="FM190" s="605"/>
      <c r="FN190" s="605">
        <f>'Detailed Budget'!$AC$251</f>
        <v>1047595800</v>
      </c>
      <c r="FO190" s="605">
        <f>AR190*FN190</f>
        <v>28313400</v>
      </c>
      <c r="FP190" s="605">
        <f>'Detailed Budget'!$AB$254</f>
        <v>2773297530</v>
      </c>
      <c r="FQ190" s="605">
        <f>BE190*FP190</f>
        <v>80693190</v>
      </c>
      <c r="FR190" s="605">
        <f>'Detailed Budget'!$AC$257</f>
        <v>13636439388</v>
      </c>
      <c r="FS190" s="605">
        <f t="shared" ref="FS190:FS217" si="572">BA190*FR190</f>
        <v>170886456</v>
      </c>
      <c r="FT190" s="605">
        <f t="shared" si="444"/>
        <v>279893046</v>
      </c>
      <c r="FU190" s="605"/>
      <c r="FV190" s="605">
        <f>'Detailed Budget'!$AC$265</f>
        <v>6277805540</v>
      </c>
      <c r="FW190" s="605">
        <f>AR190*FV190</f>
        <v>169670420</v>
      </c>
      <c r="FX190" s="930">
        <f>'Detailed Budget'!$AC$278</f>
        <v>1114560000</v>
      </c>
      <c r="FY190" s="605">
        <f t="shared" ref="FY190:FY217" si="573">AT190*FX190</f>
        <v>38880000</v>
      </c>
      <c r="FZ190" s="605">
        <f t="shared" si="445"/>
        <v>208550420</v>
      </c>
      <c r="GB190" s="269">
        <f t="shared" si="453"/>
        <v>60211628202.89727</v>
      </c>
      <c r="GC190" s="889">
        <f t="shared" ref="GC190:GC249" si="574">GB190/1600</f>
        <v>37632267.626810797</v>
      </c>
      <c r="GD190" s="1078">
        <f t="shared" si="454"/>
        <v>3.3786640594805392E-2</v>
      </c>
    </row>
    <row r="191" spans="1:186" hidden="1" outlineLevel="1">
      <c r="A191" s="211" t="s">
        <v>547</v>
      </c>
      <c r="B191" s="212" t="s">
        <v>548</v>
      </c>
      <c r="C191" s="213" t="s">
        <v>215</v>
      </c>
      <c r="D191" s="225" t="s">
        <v>215</v>
      </c>
      <c r="E191" s="213"/>
      <c r="F191" s="213"/>
      <c r="G191" s="213"/>
      <c r="H191" s="213" t="s">
        <v>215</v>
      </c>
      <c r="I191" s="214" t="s">
        <v>215</v>
      </c>
      <c r="J191" s="214"/>
      <c r="K191" s="213" t="s">
        <v>215</v>
      </c>
      <c r="L191" s="213"/>
      <c r="M191" s="214"/>
      <c r="N191" s="213"/>
      <c r="O191" s="214"/>
      <c r="P191" s="213"/>
      <c r="Q191" s="214"/>
      <c r="R191" s="214" t="s">
        <v>215</v>
      </c>
      <c r="S191" s="214"/>
      <c r="T191" s="214"/>
      <c r="U191" s="215">
        <f t="shared" ref="U191:U217" si="575">COUNTA(C191:T191)</f>
        <v>6</v>
      </c>
      <c r="V191" s="845" t="s">
        <v>219</v>
      </c>
      <c r="W191" s="216">
        <v>100065</v>
      </c>
      <c r="X191" s="217">
        <v>3.47</v>
      </c>
      <c r="Y191" s="218">
        <f t="shared" si="483"/>
        <v>1.0347</v>
      </c>
      <c r="Z191" s="196">
        <v>19</v>
      </c>
      <c r="AA191" s="218">
        <f t="shared" si="484"/>
        <v>1.9119412036868784</v>
      </c>
      <c r="AB191" s="196">
        <f t="shared" si="549"/>
        <v>191318.39654692748</v>
      </c>
      <c r="AC191">
        <v>19.100000000000001</v>
      </c>
      <c r="AD191" s="196">
        <f t="shared" si="550"/>
        <v>36541.813740463156</v>
      </c>
      <c r="AE191" s="196">
        <f t="shared" si="487"/>
        <v>34714.723053439993</v>
      </c>
      <c r="AF191" s="196">
        <f t="shared" ref="AF191:AF218" si="576">AE191*BT191</f>
        <v>34714.723053439993</v>
      </c>
      <c r="AG191" s="606">
        <f t="shared" ref="AG191:AG251" si="577">AE191/21628351</f>
        <v>1.6050563935012887E-3</v>
      </c>
      <c r="AH191" s="196">
        <f>AB191*0.05</f>
        <v>9565.9198273463753</v>
      </c>
      <c r="AI191" s="248">
        <f t="shared" si="552"/>
        <v>7.4105731524028791E-4</v>
      </c>
      <c r="AJ191" s="196">
        <f t="shared" ref="AJ191:AJ249" si="578">AD191+AH191</f>
        <v>46107.733567809533</v>
      </c>
      <c r="AK191" s="196">
        <f t="shared" si="455"/>
        <v>7652.7358618770995</v>
      </c>
      <c r="AL191" s="196">
        <f t="shared" si="456"/>
        <v>7652.7358618770995</v>
      </c>
      <c r="AM191" s="196">
        <f t="shared" si="553"/>
        <v>15305.471723754199</v>
      </c>
      <c r="AN191" s="627">
        <f t="shared" si="554"/>
        <v>7.410573152402878E-4</v>
      </c>
      <c r="AO191" s="196">
        <f t="shared" si="555"/>
        <v>7270.0990687832445</v>
      </c>
      <c r="AP191" s="589">
        <f t="shared" ref="AP191:AP251" si="579">AO191/9810441</f>
        <v>7.410573152402878E-4</v>
      </c>
      <c r="AQ191" s="196"/>
      <c r="AR191" s="589"/>
      <c r="AS191">
        <v>1</v>
      </c>
      <c r="AT191" s="589">
        <f t="shared" ref="AT191:AT251" si="580">AS191/774</f>
        <v>1.2919896640826874E-3</v>
      </c>
      <c r="AU191" s="196">
        <v>10</v>
      </c>
      <c r="AV191" s="245">
        <f t="shared" si="556"/>
        <v>1.1362345188046814E-3</v>
      </c>
      <c r="AX191" s="245"/>
      <c r="AY191" s="245"/>
      <c r="AZ191" s="196">
        <v>2</v>
      </c>
      <c r="BA191" s="589">
        <f t="shared" si="447"/>
        <v>7.3284232897292148E-5</v>
      </c>
      <c r="BI191" s="196">
        <v>0</v>
      </c>
      <c r="BK191" s="246">
        <f t="shared" si="448"/>
        <v>0</v>
      </c>
      <c r="BL191" s="246"/>
      <c r="BM191" s="246">
        <f t="shared" si="449"/>
        <v>0</v>
      </c>
      <c r="BN191" s="196">
        <v>1</v>
      </c>
      <c r="BO191" s="196">
        <f t="shared" ref="BO191:BO217" si="581">AJ191/1921952*488691</f>
        <v>11723.723810473108</v>
      </c>
      <c r="BP191" s="196">
        <f t="shared" ref="BP191:BP249" si="582">BN191*BO191</f>
        <v>11723.723810473108</v>
      </c>
      <c r="BQ191" s="248">
        <f t="shared" si="450"/>
        <v>1.0966997680424513E-3</v>
      </c>
      <c r="BR191" s="248"/>
      <c r="BS191" s="248"/>
      <c r="BT191" s="276">
        <v>1</v>
      </c>
      <c r="BU191" s="196">
        <f>AD191*BT191*0.18*4*1.62</f>
        <v>42622.371546876224</v>
      </c>
      <c r="BV191" s="264">
        <f t="shared" si="451"/>
        <v>2.9563684239462939E-3</v>
      </c>
      <c r="BW191" s="196">
        <f>AD191*BT191*0.77*4*1.62</f>
        <v>182329.03383941497</v>
      </c>
      <c r="BX191" s="247">
        <f t="shared" si="452"/>
        <v>2.956368450577374E-3</v>
      </c>
      <c r="BY191" s="196">
        <f t="shared" si="492"/>
        <v>224951.40538629121</v>
      </c>
      <c r="BZ191" s="620">
        <v>0</v>
      </c>
      <c r="CA191" s="196">
        <f t="shared" ref="CA191:CA218" si="583">AK191*0.85*0.75*12</f>
        <v>58543.429343359814</v>
      </c>
      <c r="CB191" s="196">
        <f t="shared" ref="CB191:CB218" si="584">AL191*0.85*0.75*2*12</f>
        <v>117086.85868671963</v>
      </c>
      <c r="CC191" s="196">
        <f t="shared" ref="CC191:CC249" si="585">CA191+CB191</f>
        <v>175630.28803007945</v>
      </c>
      <c r="CD191" s="247">
        <f t="shared" si="557"/>
        <v>7.4105731524028791E-4</v>
      </c>
      <c r="CE191" s="196">
        <f t="shared" ref="CE191:CE217" si="586">AH191/398745*606682</f>
        <v>14554.342681899845</v>
      </c>
      <c r="CF191" s="247">
        <f t="shared" si="558"/>
        <v>6.2850178021938254E-4</v>
      </c>
      <c r="CG191" s="196">
        <f t="shared" si="532"/>
        <v>29080.396275132978</v>
      </c>
      <c r="CH191" s="589">
        <f t="shared" ref="CH191:CH251" si="587">CG191/39241764</f>
        <v>7.410573152402878E-4</v>
      </c>
      <c r="CI191" s="196">
        <f t="shared" ref="CI191:CI217" si="588">AD191/1523207*948389</f>
        <v>22751.900556854132</v>
      </c>
      <c r="CJ191" s="248">
        <f t="shared" ref="CJ191:CJ251" si="589">CI191/60827260</f>
        <v>3.740411874027226E-4</v>
      </c>
      <c r="CK191" s="196">
        <f t="shared" ref="CK191:CK217" si="590">AD191/1523207*2714445</f>
        <v>65119.674212849277</v>
      </c>
      <c r="CL191" s="589">
        <f t="shared" ref="CL191:CL251" si="591">CK191/69564222</f>
        <v>9.3610871135523194E-4</v>
      </c>
      <c r="CM191" s="196">
        <f t="shared" ref="CM191:CM217" si="592">AD191/1523207*262962</f>
        <v>6308.4718129707071</v>
      </c>
      <c r="CN191" s="589">
        <f t="shared" ref="CN191:CN251" si="593">CM191/6939078</f>
        <v>9.0912248182982046E-4</v>
      </c>
      <c r="CO191" s="196">
        <f t="shared" ref="CO191:CO217" si="594">AD191/1523207*21037</f>
        <v>504.6787046396999</v>
      </c>
      <c r="CP191" s="589">
        <f t="shared" ref="CP191:CP251" si="595">CO191/530266</f>
        <v>9.5174630211950211E-4</v>
      </c>
      <c r="CQ191" s="196">
        <f>'Detailed Budget'!$AC$12</f>
        <v>292876014141.44696</v>
      </c>
      <c r="CR191" s="269">
        <f t="shared" si="507"/>
        <v>0</v>
      </c>
      <c r="CS191" s="269">
        <f>'Detailed Budget'!$AC$16</f>
        <v>10488008800.000002</v>
      </c>
      <c r="CT191" s="607">
        <f t="shared" si="533"/>
        <v>0</v>
      </c>
      <c r="CU191" s="269">
        <f>'Detailed Budget'!$AC$24</f>
        <v>30624985696</v>
      </c>
      <c r="CV191" s="269">
        <f t="shared" si="446"/>
        <v>0</v>
      </c>
      <c r="CW191" s="269"/>
      <c r="CX191" s="269">
        <f t="shared" ref="CX191:CX251" si="596">CR191+CT191+CV191+CW191</f>
        <v>0</v>
      </c>
      <c r="CY191" s="196">
        <f>'Detailed Budget'!$AC$97</f>
        <v>74629165494.837845</v>
      </c>
      <c r="CZ191" s="269">
        <f t="shared" si="534"/>
        <v>81845788.487390369</v>
      </c>
      <c r="DA191" s="269">
        <f>'Detailed Budget'!$AC$100</f>
        <v>14925833098.967569</v>
      </c>
      <c r="DB191" s="269">
        <f t="shared" si="535"/>
        <v>16369157.697478075</v>
      </c>
      <c r="DC191" s="269">
        <f t="shared" si="560"/>
        <v>98214946.18486844</v>
      </c>
      <c r="DD191" s="207">
        <v>0</v>
      </c>
      <c r="DE191" s="606">
        <v>0</v>
      </c>
      <c r="DF191" s="269">
        <f>'Detailed Budget'!$AC$147</f>
        <v>5913600671000</v>
      </c>
      <c r="DG191" s="269">
        <f t="shared" si="441"/>
        <v>0</v>
      </c>
      <c r="DH191" s="269">
        <f>'Detailed Budget'!$AC$153</f>
        <v>226428026880.00003</v>
      </c>
      <c r="DI191" s="269"/>
      <c r="DJ191" s="269">
        <f>'Detailed Budget'!$AC$156</f>
        <v>27713070000</v>
      </c>
      <c r="DK191" s="269"/>
      <c r="DL191" s="269"/>
      <c r="DM191" s="196">
        <f>'Detailed Budget'!$AC$178</f>
        <v>5622683761.6229038</v>
      </c>
      <c r="DN191" s="269">
        <f t="shared" ref="DN191:DN217" si="597">BT191*BV191*DM191</f>
        <v>16622724.730697524</v>
      </c>
      <c r="DO191" s="196">
        <f>'Detailed Budget'!$AC$179</f>
        <v>26827890683.128094</v>
      </c>
      <c r="DP191" s="269">
        <f t="shared" ref="DP191:DP217" si="598">BT191*BX191*DO191</f>
        <v>79313129.611138567</v>
      </c>
      <c r="DQ191" s="269">
        <f t="shared" si="457"/>
        <v>95935854.341836095</v>
      </c>
      <c r="DR191" s="269">
        <f>'Detailed Budget'!$AC$181</f>
        <v>50888946855.375237</v>
      </c>
      <c r="DS191" s="269">
        <f t="shared" ref="DS191:DS217" si="599">BT191*AG191*DR191</f>
        <v>81679629.508767322</v>
      </c>
      <c r="DT191" s="269">
        <f t="shared" ref="DT191:DT217" si="600">DQ191+DS191</f>
        <v>177615483.8506034</v>
      </c>
      <c r="DU191" s="272">
        <f>'Detailed Budget'!$AC$192</f>
        <v>77498869683.252869</v>
      </c>
      <c r="DV191" s="269">
        <f t="shared" si="536"/>
        <v>0</v>
      </c>
      <c r="DW191" s="140">
        <f>'Detailed Budget'!$AC$194</f>
        <v>2684962805.4134097</v>
      </c>
      <c r="DX191" s="269">
        <f t="shared" si="537"/>
        <v>0</v>
      </c>
      <c r="DY191" s="607">
        <f t="shared" si="561"/>
        <v>0</v>
      </c>
      <c r="DZ191" s="196">
        <f>'Detailed Budget'!$AC$198</f>
        <v>18732540018.380611</v>
      </c>
      <c r="EA191" s="269">
        <f t="shared" si="562"/>
        <v>11773434.749583039</v>
      </c>
      <c r="EB191" s="196">
        <f>'Detailed Budget'!$AC$200</f>
        <v>4683135004.5951529</v>
      </c>
      <c r="EC191" s="269">
        <f t="shared" si="538"/>
        <v>2943358.6873957599</v>
      </c>
      <c r="ED191" s="269">
        <f t="shared" si="563"/>
        <v>14716793.436978798</v>
      </c>
      <c r="EE191" s="196">
        <f>'Detailed Budget'!$AC$161</f>
        <v>251147290106.36197</v>
      </c>
      <c r="EF191" s="269">
        <f t="shared" si="539"/>
        <v>186114536.53609431</v>
      </c>
      <c r="EG191" s="196">
        <f>'Detailed Budget'!$AC$163</f>
        <v>15696705631.647623</v>
      </c>
      <c r="EH191" s="269">
        <f t="shared" si="540"/>
        <v>11632158.533505894</v>
      </c>
      <c r="EI191" s="269">
        <f t="shared" si="564"/>
        <v>197746695.06960019</v>
      </c>
      <c r="EJ191" s="196">
        <f>'Detailed Budget'!$AC$204</f>
        <v>45012172507.531975</v>
      </c>
      <c r="EK191" s="269">
        <f t="shared" si="541"/>
        <v>16836406.452293444</v>
      </c>
      <c r="EL191" s="201">
        <f>'Detailed Budget'!$AC$206</f>
        <v>11253043126.882994</v>
      </c>
      <c r="EM191" s="269">
        <f t="shared" si="542"/>
        <v>4209101.6130733611</v>
      </c>
      <c r="EN191" s="269">
        <f t="shared" si="565"/>
        <v>21045508.065366805</v>
      </c>
      <c r="EO191" s="140">
        <f>'Detailed Budget'!$AC$209</f>
        <v>135789361677.54817</v>
      </c>
      <c r="EP191" s="269">
        <f t="shared" si="543"/>
        <v>127113604.37571913</v>
      </c>
      <c r="EQ191" s="196">
        <f>'Detailed Budget'!$AC$211</f>
        <v>33947340419.387043</v>
      </c>
      <c r="ER191" s="269">
        <f t="shared" si="544"/>
        <v>31778401.093929783</v>
      </c>
      <c r="ES191" s="269">
        <f t="shared" si="566"/>
        <v>158892005.4696489</v>
      </c>
      <c r="ET191" s="196">
        <f>'Detailed Budget'!$AC$214</f>
        <v>22239745544.201103</v>
      </c>
      <c r="EU191" s="269">
        <f t="shared" si="545"/>
        <v>20218652.664407797</v>
      </c>
      <c r="EV191" s="140">
        <f>'Detailed Budget'!$AC$217</f>
        <v>5559936386.0502758</v>
      </c>
      <c r="EW191" s="269">
        <f t="shared" si="546"/>
        <v>5054663.1661019493</v>
      </c>
      <c r="EX191" s="269">
        <f t="shared" si="567"/>
        <v>25273315.830509745</v>
      </c>
      <c r="EY191" s="196">
        <f>'Detailed Budget'!$AC$219</f>
        <v>372777004.58170313</v>
      </c>
      <c r="EZ191" s="269">
        <f t="shared" si="547"/>
        <v>354789.13562582067</v>
      </c>
      <c r="FA191" s="196">
        <f>'Detailed Budget'!$AC$222</f>
        <v>93194251.145425782</v>
      </c>
      <c r="FB191" s="269">
        <f t="shared" si="548"/>
        <v>88697.283906455166</v>
      </c>
      <c r="FC191" s="269">
        <f t="shared" si="568"/>
        <v>443486.41953227582</v>
      </c>
      <c r="FD191" s="269"/>
      <c r="FE191" s="269">
        <f t="shared" si="569"/>
        <v>205654315.78505772</v>
      </c>
      <c r="FF191" s="140">
        <f>'Detailed Budget'!$AC$165</f>
        <v>14927760000</v>
      </c>
      <c r="FG191" s="1087">
        <f t="shared" si="442"/>
        <v>280526099.78245461</v>
      </c>
      <c r="FH191" s="269">
        <f t="shared" si="570"/>
        <v>16961436.200431772</v>
      </c>
      <c r="FJ191" s="140">
        <f>'Detailed Budget'!$AC$235</f>
        <v>3623696172</v>
      </c>
      <c r="FK191" s="269">
        <f t="shared" si="571"/>
        <v>4681778</v>
      </c>
      <c r="FL191" s="269">
        <f t="shared" si="443"/>
        <v>4681778</v>
      </c>
      <c r="FO191" s="607"/>
      <c r="FP191" s="607"/>
      <c r="FQ191" s="607"/>
      <c r="FR191" s="269">
        <f>'Detailed Budget'!$AC$257</f>
        <v>13636439388</v>
      </c>
      <c r="FS191" s="269">
        <f t="shared" si="572"/>
        <v>999336</v>
      </c>
      <c r="FT191" s="269">
        <f t="shared" si="444"/>
        <v>999336</v>
      </c>
      <c r="FU191" s="269"/>
      <c r="FV191" s="269"/>
      <c r="FW191" s="616"/>
      <c r="FX191" s="140">
        <f>'Detailed Budget'!$AC$278</f>
        <v>1114560000</v>
      </c>
      <c r="FY191" s="269">
        <f t="shared" si="573"/>
        <v>1440000</v>
      </c>
      <c r="FZ191" s="269">
        <f t="shared" si="445"/>
        <v>1440000</v>
      </c>
      <c r="GB191" s="269">
        <f t="shared" si="453"/>
        <v>998556884.30999506</v>
      </c>
      <c r="GC191" s="887">
        <f t="shared" si="574"/>
        <v>624098.05269374687</v>
      </c>
      <c r="GD191" s="1078">
        <f t="shared" si="454"/>
        <v>5.6032171144687745E-4</v>
      </c>
    </row>
    <row r="192" spans="1:186" hidden="1" outlineLevel="1">
      <c r="A192" s="211" t="s">
        <v>549</v>
      </c>
      <c r="B192" s="212" t="s">
        <v>550</v>
      </c>
      <c r="C192" s="213" t="s">
        <v>215</v>
      </c>
      <c r="D192" s="225" t="s">
        <v>215</v>
      </c>
      <c r="E192" s="213"/>
      <c r="F192" s="213"/>
      <c r="G192" s="213"/>
      <c r="H192" s="213" t="s">
        <v>215</v>
      </c>
      <c r="I192" s="214" t="s">
        <v>215</v>
      </c>
      <c r="J192" s="214"/>
      <c r="K192" s="213" t="s">
        <v>215</v>
      </c>
      <c r="L192" s="213"/>
      <c r="M192" s="214"/>
      <c r="N192" s="213"/>
      <c r="O192" s="214"/>
      <c r="P192" s="213"/>
      <c r="Q192" s="214"/>
      <c r="R192" s="214" t="s">
        <v>215</v>
      </c>
      <c r="S192" s="214"/>
      <c r="T192" s="214"/>
      <c r="U192" s="215">
        <f t="shared" si="575"/>
        <v>6</v>
      </c>
      <c r="V192" s="845" t="s">
        <v>219</v>
      </c>
      <c r="W192" s="216">
        <v>143313</v>
      </c>
      <c r="X192" s="217">
        <v>3.47</v>
      </c>
      <c r="Y192" s="218">
        <f t="shared" si="483"/>
        <v>1.0347</v>
      </c>
      <c r="Z192" s="196">
        <v>19</v>
      </c>
      <c r="AA192" s="218">
        <f t="shared" si="484"/>
        <v>1.9119412036868784</v>
      </c>
      <c r="AB192" s="196">
        <f t="shared" si="549"/>
        <v>274006.02972397761</v>
      </c>
      <c r="AC192">
        <v>19.100000000000001</v>
      </c>
      <c r="AD192" s="196">
        <f t="shared" si="550"/>
        <v>52335.151677279726</v>
      </c>
      <c r="AE192" s="196">
        <f t="shared" si="487"/>
        <v>49718.394093415736</v>
      </c>
      <c r="AF192" s="196">
        <f t="shared" si="576"/>
        <v>49718.394093415736</v>
      </c>
      <c r="AG192" s="606">
        <f t="shared" si="577"/>
        <v>2.2987602750397262E-3</v>
      </c>
      <c r="AH192" s="196">
        <f t="shared" ref="AH192:AH217" si="601">AB192*0.05</f>
        <v>13700.301486198881</v>
      </c>
      <c r="AI192" s="248">
        <f t="shared" si="552"/>
        <v>1.0613415981515152E-3</v>
      </c>
      <c r="AJ192" s="196">
        <f t="shared" si="578"/>
        <v>66035.453163478611</v>
      </c>
      <c r="AK192" s="196">
        <f t="shared" si="455"/>
        <v>10960.241188959104</v>
      </c>
      <c r="AL192" s="196">
        <f t="shared" si="456"/>
        <v>10960.241188959104</v>
      </c>
      <c r="AM192" s="196">
        <f t="shared" si="553"/>
        <v>21920.482377918208</v>
      </c>
      <c r="AN192" s="627">
        <f t="shared" si="554"/>
        <v>1.0613415981515152E-3</v>
      </c>
      <c r="AO192" s="196">
        <f t="shared" si="555"/>
        <v>10412.229129511148</v>
      </c>
      <c r="AP192" s="589">
        <f t="shared" si="579"/>
        <v>1.061341598151515E-3</v>
      </c>
      <c r="AQ192" s="196"/>
      <c r="AR192" s="589"/>
      <c r="AS192">
        <v>1</v>
      </c>
      <c r="AT192" s="589">
        <f t="shared" si="580"/>
        <v>1.2919896640826874E-3</v>
      </c>
      <c r="AU192" s="196">
        <v>13</v>
      </c>
      <c r="AV192" s="245">
        <f t="shared" si="556"/>
        <v>1.4771048744460858E-3</v>
      </c>
      <c r="AX192" s="245"/>
      <c r="AY192" s="245"/>
      <c r="AZ192" s="196">
        <v>28</v>
      </c>
      <c r="BA192" s="589">
        <f t="shared" si="447"/>
        <v>1.0259792605620901E-3</v>
      </c>
      <c r="BI192" s="196">
        <v>0</v>
      </c>
      <c r="BK192" s="246">
        <f t="shared" si="448"/>
        <v>0</v>
      </c>
      <c r="BL192" s="246"/>
      <c r="BM192" s="246">
        <f t="shared" si="449"/>
        <v>0</v>
      </c>
      <c r="BN192" s="196">
        <v>1</v>
      </c>
      <c r="BO192" s="196">
        <f t="shared" si="581"/>
        <v>16790.706345378829</v>
      </c>
      <c r="BP192" s="196">
        <f t="shared" si="582"/>
        <v>16790.706345378829</v>
      </c>
      <c r="BQ192" s="248">
        <f t="shared" si="450"/>
        <v>1.5706923885221388E-3</v>
      </c>
      <c r="BR192" s="248"/>
      <c r="BS192" s="248"/>
      <c r="BT192" s="276">
        <v>1</v>
      </c>
      <c r="BU192" s="196">
        <f t="shared" ref="BU192:BU217" si="602">AD192*BT192*0.18*4*1.62</f>
        <v>61043.720916379076</v>
      </c>
      <c r="BV192" s="264">
        <f t="shared" si="451"/>
        <v>4.2341081091392119E-3</v>
      </c>
      <c r="BW192" s="196">
        <f t="shared" ref="BW192:BW217" si="603">AD192*BT192*0.77*4*1.62</f>
        <v>261131.47280895498</v>
      </c>
      <c r="BX192" s="247">
        <f t="shared" si="452"/>
        <v>4.2341081472802205E-3</v>
      </c>
      <c r="BY192" s="196">
        <f t="shared" si="492"/>
        <v>322175.19372533407</v>
      </c>
      <c r="BZ192" s="620">
        <v>0</v>
      </c>
      <c r="CA192" s="196">
        <f t="shared" si="583"/>
        <v>83845.845095537137</v>
      </c>
      <c r="CB192" s="196">
        <f t="shared" si="584"/>
        <v>167691.69019107427</v>
      </c>
      <c r="CC192" s="196">
        <f t="shared" si="585"/>
        <v>251537.53528661141</v>
      </c>
      <c r="CD192" s="247">
        <f t="shared" si="557"/>
        <v>1.061341598151515E-3</v>
      </c>
      <c r="CE192" s="196">
        <f t="shared" si="586"/>
        <v>20844.716062270651</v>
      </c>
      <c r="CF192" s="247">
        <f t="shared" si="558"/>
        <v>9.0013966550322663E-4</v>
      </c>
      <c r="CG192" s="196">
        <f t="shared" si="532"/>
        <v>41648.916518044593</v>
      </c>
      <c r="CH192" s="589">
        <f t="shared" si="587"/>
        <v>1.061341598151515E-3</v>
      </c>
      <c r="CI192" s="196">
        <f t="shared" si="588"/>
        <v>32585.250832003556</v>
      </c>
      <c r="CJ192" s="248">
        <f t="shared" si="589"/>
        <v>5.3570144096583598E-4</v>
      </c>
      <c r="CK192" s="196">
        <f t="shared" si="590"/>
        <v>93264.336885684985</v>
      </c>
      <c r="CL192" s="589">
        <f t="shared" si="591"/>
        <v>1.3406940263873718E-3</v>
      </c>
      <c r="CM192" s="196">
        <f t="shared" si="592"/>
        <v>9034.9874674688544</v>
      </c>
      <c r="CN192" s="589">
        <f t="shared" si="593"/>
        <v>1.3020443735419682E-3</v>
      </c>
      <c r="CO192" s="196">
        <f t="shared" si="594"/>
        <v>722.80037173866299</v>
      </c>
      <c r="CP192" s="589">
        <f t="shared" si="595"/>
        <v>1.3630901693464468E-3</v>
      </c>
      <c r="CQ192" s="196">
        <f>'Detailed Budget'!$AC$12</f>
        <v>292876014141.44696</v>
      </c>
      <c r="CR192" s="269">
        <f t="shared" si="507"/>
        <v>0</v>
      </c>
      <c r="CS192" s="269">
        <f>'Detailed Budget'!$AC$16</f>
        <v>10488008800.000002</v>
      </c>
      <c r="CT192" s="607">
        <f t="shared" si="533"/>
        <v>0</v>
      </c>
      <c r="CU192" s="269">
        <f>'Detailed Budget'!$AC$24</f>
        <v>30624985696</v>
      </c>
      <c r="CV192" s="269">
        <f t="shared" si="446"/>
        <v>0</v>
      </c>
      <c r="CW192" s="269"/>
      <c r="CX192" s="269">
        <f t="shared" si="596"/>
        <v>0</v>
      </c>
      <c r="CY192" s="196">
        <f>'Detailed Budget'!$AC$97</f>
        <v>74629165494.837845</v>
      </c>
      <c r="CZ192" s="269">
        <f t="shared" si="534"/>
        <v>117219462.20450084</v>
      </c>
      <c r="DA192" s="269">
        <f>'Detailed Budget'!$AC$100</f>
        <v>14925833098.967569</v>
      </c>
      <c r="DB192" s="269">
        <f t="shared" si="535"/>
        <v>23443892.440900169</v>
      </c>
      <c r="DC192" s="269">
        <f t="shared" si="560"/>
        <v>140663354.645401</v>
      </c>
      <c r="DD192" s="207">
        <v>0</v>
      </c>
      <c r="DE192" s="606">
        <v>0</v>
      </c>
      <c r="DF192" s="269">
        <f>'Detailed Budget'!$AC$147</f>
        <v>5913600671000</v>
      </c>
      <c r="DG192" s="269">
        <f t="shared" si="441"/>
        <v>0</v>
      </c>
      <c r="DH192" s="269">
        <f>'Detailed Budget'!$AC$153</f>
        <v>226428026880.00003</v>
      </c>
      <c r="DI192" s="269"/>
      <c r="DJ192" s="269">
        <f>'Detailed Budget'!$AC$156</f>
        <v>27713070000</v>
      </c>
      <c r="DK192" s="269"/>
      <c r="DL192" s="269"/>
      <c r="DM192" s="196">
        <f>'Detailed Budget'!$AC$178</f>
        <v>5622683761.6229038</v>
      </c>
      <c r="DN192" s="269">
        <f t="shared" si="597"/>
        <v>23807050.910212904</v>
      </c>
      <c r="DO192" s="196">
        <f>'Detailed Budget'!$AC$179</f>
        <v>26827890683.128094</v>
      </c>
      <c r="DP192" s="269">
        <f t="shared" si="598"/>
        <v>113592190.51577578</v>
      </c>
      <c r="DQ192" s="269">
        <f t="shared" si="457"/>
        <v>137399241.42598867</v>
      </c>
      <c r="DR192" s="269">
        <f>'Detailed Budget'!$AC$181</f>
        <v>50888946855.375237</v>
      </c>
      <c r="DS192" s="269">
        <f t="shared" si="599"/>
        <v>116981489.46974438</v>
      </c>
      <c r="DT192" s="269">
        <f t="shared" si="600"/>
        <v>254380730.89573306</v>
      </c>
      <c r="DU192" s="272">
        <f>'Detailed Budget'!$AC$192</f>
        <v>77498869683.252869</v>
      </c>
      <c r="DV192" s="269">
        <f t="shared" si="536"/>
        <v>0</v>
      </c>
      <c r="DW192" s="140">
        <f>'Detailed Budget'!$AC$194</f>
        <v>2684962805.4134097</v>
      </c>
      <c r="DX192" s="269">
        <f t="shared" si="537"/>
        <v>0</v>
      </c>
      <c r="DY192" s="607">
        <f t="shared" si="561"/>
        <v>0</v>
      </c>
      <c r="DZ192" s="196">
        <f>'Detailed Budget'!$AC$198</f>
        <v>18732540018.380611</v>
      </c>
      <c r="EA192" s="269">
        <f t="shared" si="562"/>
        <v>16861902.306170929</v>
      </c>
      <c r="EB192" s="196">
        <f>'Detailed Budget'!$AC$200</f>
        <v>4683135004.5951529</v>
      </c>
      <c r="EC192" s="269">
        <f t="shared" si="538"/>
        <v>4215475.5765427323</v>
      </c>
      <c r="ED192" s="269">
        <f t="shared" si="563"/>
        <v>21077377.882713661</v>
      </c>
      <c r="EE192" s="196">
        <f>'Detailed Budget'!$AC$161</f>
        <v>251147290106.36197</v>
      </c>
      <c r="EF192" s="269">
        <f t="shared" si="539"/>
        <v>266553066.25290838</v>
      </c>
      <c r="EG192" s="196">
        <f>'Detailed Budget'!$AC$163</f>
        <v>15696705631.647623</v>
      </c>
      <c r="EH192" s="269">
        <f t="shared" si="540"/>
        <v>16659566.640806774</v>
      </c>
      <c r="EI192" s="269">
        <f t="shared" si="564"/>
        <v>283212632.89371514</v>
      </c>
      <c r="EJ192" s="196">
        <f>'Detailed Budget'!$AC$204</f>
        <v>45012172507.531975</v>
      </c>
      <c r="EK192" s="269">
        <f t="shared" si="541"/>
        <v>24113085.673287664</v>
      </c>
      <c r="EL192" s="201">
        <f>'Detailed Budget'!$AC$206</f>
        <v>11253043126.882994</v>
      </c>
      <c r="EM192" s="269">
        <f t="shared" si="542"/>
        <v>6028271.4183219159</v>
      </c>
      <c r="EN192" s="269">
        <f t="shared" si="565"/>
        <v>30141357.091609579</v>
      </c>
      <c r="EO192" s="140">
        <f>'Detailed Budget'!$AC$209</f>
        <v>135789361677.54817</v>
      </c>
      <c r="EP192" s="269">
        <f t="shared" si="543"/>
        <v>182051986.04804313</v>
      </c>
      <c r="EQ192" s="196">
        <f>'Detailed Budget'!$AC$211</f>
        <v>33947340419.387043</v>
      </c>
      <c r="ER192" s="269">
        <f t="shared" si="544"/>
        <v>45512996.512010783</v>
      </c>
      <c r="ES192" s="269">
        <f t="shared" si="566"/>
        <v>227564982.56005391</v>
      </c>
      <c r="ET192" s="196">
        <f>'Detailed Budget'!$AC$214</f>
        <v>22239745544.201103</v>
      </c>
      <c r="EU192" s="269">
        <f t="shared" si="545"/>
        <v>28957135.554832105</v>
      </c>
      <c r="EV192" s="140">
        <f>'Detailed Budget'!$AC$217</f>
        <v>5559936386.0502758</v>
      </c>
      <c r="EW192" s="269">
        <f t="shared" si="546"/>
        <v>7239283.8887080261</v>
      </c>
      <c r="EX192" s="269">
        <f t="shared" si="567"/>
        <v>36196419.443540134</v>
      </c>
      <c r="EY192" s="196">
        <f>'Detailed Budget'!$AC$219</f>
        <v>372777004.58170313</v>
      </c>
      <c r="EZ192" s="269">
        <f t="shared" si="547"/>
        <v>508128.67030373489</v>
      </c>
      <c r="FA192" s="196">
        <f>'Detailed Budget'!$AC$222</f>
        <v>93194251.145425782</v>
      </c>
      <c r="FB192" s="269">
        <f t="shared" si="548"/>
        <v>127032.16757593372</v>
      </c>
      <c r="FC192" s="269">
        <f t="shared" si="568"/>
        <v>635160.83787966857</v>
      </c>
      <c r="FD192" s="269"/>
      <c r="FE192" s="269">
        <f t="shared" si="569"/>
        <v>294537919.9330833</v>
      </c>
      <c r="FF192" s="140">
        <f>'Detailed Budget'!$AC$165</f>
        <v>14927760000</v>
      </c>
      <c r="FG192" s="1087">
        <f t="shared" si="442"/>
        <v>401769219.38862664</v>
      </c>
      <c r="FH192" s="269">
        <f t="shared" si="570"/>
        <v>22049867.060561303</v>
      </c>
      <c r="FJ192" s="140">
        <f>'Detailed Budget'!$AC$235</f>
        <v>3623696172</v>
      </c>
      <c r="FK192" s="269">
        <f t="shared" si="571"/>
        <v>4681778</v>
      </c>
      <c r="FL192" s="269">
        <f t="shared" si="443"/>
        <v>4681778</v>
      </c>
      <c r="FO192" s="607"/>
      <c r="FP192" s="607"/>
      <c r="FQ192" s="607"/>
      <c r="FR192" s="269">
        <f>'Detailed Budget'!$AC$257</f>
        <v>13636439388</v>
      </c>
      <c r="FS192" s="269">
        <f t="shared" si="572"/>
        <v>13990704</v>
      </c>
      <c r="FT192" s="269">
        <f t="shared" si="444"/>
        <v>13990704</v>
      </c>
      <c r="FU192" s="269"/>
      <c r="FV192" s="269"/>
      <c r="FW192" s="616"/>
      <c r="FX192" s="140">
        <f>'Detailed Budget'!$AC$278</f>
        <v>1114560000</v>
      </c>
      <c r="FY192" s="269">
        <f t="shared" si="573"/>
        <v>1440000</v>
      </c>
      <c r="FZ192" s="269">
        <f t="shared" si="445"/>
        <v>1440000</v>
      </c>
      <c r="GB192" s="269">
        <f t="shared" si="453"/>
        <v>1437803584.6998341</v>
      </c>
      <c r="GC192" s="887">
        <f t="shared" si="574"/>
        <v>898627.24043739634</v>
      </c>
      <c r="GD192" s="1078">
        <f t="shared" si="454"/>
        <v>8.0679686652018864E-4</v>
      </c>
    </row>
    <row r="193" spans="1:186" hidden="1" outlineLevel="1">
      <c r="A193" s="211" t="s">
        <v>551</v>
      </c>
      <c r="B193" s="212" t="s">
        <v>552</v>
      </c>
      <c r="C193" s="213" t="s">
        <v>215</v>
      </c>
      <c r="D193" s="225" t="s">
        <v>215</v>
      </c>
      <c r="E193" s="213"/>
      <c r="F193" s="213"/>
      <c r="G193" s="213"/>
      <c r="H193" s="213" t="s">
        <v>215</v>
      </c>
      <c r="I193" s="214" t="s">
        <v>215</v>
      </c>
      <c r="J193" s="214"/>
      <c r="K193" s="213" t="s">
        <v>215</v>
      </c>
      <c r="L193" s="213"/>
      <c r="M193" s="214"/>
      <c r="N193" s="213"/>
      <c r="O193" s="214"/>
      <c r="P193" s="213"/>
      <c r="Q193" s="214"/>
      <c r="R193" s="214" t="s">
        <v>215</v>
      </c>
      <c r="S193" s="214"/>
      <c r="T193" s="214"/>
      <c r="U193" s="215">
        <f t="shared" si="575"/>
        <v>6</v>
      </c>
      <c r="V193" s="845" t="s">
        <v>219</v>
      </c>
      <c r="W193" s="216">
        <v>270119</v>
      </c>
      <c r="X193" s="217">
        <v>3.47</v>
      </c>
      <c r="Y193" s="218">
        <f t="shared" si="483"/>
        <v>1.0347</v>
      </c>
      <c r="Z193" s="196">
        <v>19</v>
      </c>
      <c r="AA193" s="218">
        <f t="shared" si="484"/>
        <v>1.9119412036868784</v>
      </c>
      <c r="AB193" s="196">
        <f t="shared" si="549"/>
        <v>516451.64599869592</v>
      </c>
      <c r="AC193">
        <v>19.100000000000001</v>
      </c>
      <c r="AD193" s="196">
        <f t="shared" si="550"/>
        <v>98642.264385750925</v>
      </c>
      <c r="AE193" s="196">
        <f t="shared" si="487"/>
        <v>93710.151166463373</v>
      </c>
      <c r="AF193" s="196">
        <f t="shared" si="576"/>
        <v>93710.151166463373</v>
      </c>
      <c r="AG193" s="606">
        <f t="shared" si="577"/>
        <v>4.3327459946652137E-3</v>
      </c>
      <c r="AH193" s="196">
        <f t="shared" si="601"/>
        <v>25822.582299934798</v>
      </c>
      <c r="AI193" s="248">
        <f t="shared" si="552"/>
        <v>2.000436325742181E-3</v>
      </c>
      <c r="AJ193" s="196">
        <f t="shared" si="578"/>
        <v>124464.84668568573</v>
      </c>
      <c r="AK193" s="196">
        <f t="shared" si="455"/>
        <v>20658.065839947838</v>
      </c>
      <c r="AL193" s="196">
        <f t="shared" si="456"/>
        <v>20658.065839947838</v>
      </c>
      <c r="AM193" s="196">
        <f t="shared" si="553"/>
        <v>41316.131679895676</v>
      </c>
      <c r="AN193" s="627">
        <f t="shared" si="554"/>
        <v>2.000436325742181E-3</v>
      </c>
      <c r="AO193" s="196">
        <f t="shared" si="555"/>
        <v>19625.162547950444</v>
      </c>
      <c r="AP193" s="589">
        <f t="shared" si="579"/>
        <v>2.0004363257421806E-3</v>
      </c>
      <c r="AQ193" s="196"/>
      <c r="AR193" s="589"/>
      <c r="AS193">
        <v>1</v>
      </c>
      <c r="AT193" s="589">
        <f t="shared" si="580"/>
        <v>1.2919896640826874E-3</v>
      </c>
      <c r="AU193" s="196">
        <v>14</v>
      </c>
      <c r="AV193" s="245">
        <f t="shared" si="556"/>
        <v>1.5907283263265539E-3</v>
      </c>
      <c r="AX193" s="245"/>
      <c r="AY193" s="245"/>
      <c r="AZ193" s="196">
        <v>10</v>
      </c>
      <c r="BA193" s="589">
        <f t="shared" si="447"/>
        <v>3.6642116448646071E-4</v>
      </c>
      <c r="BI193" s="196">
        <v>0</v>
      </c>
      <c r="BK193" s="246">
        <f t="shared" si="448"/>
        <v>0</v>
      </c>
      <c r="BL193" s="246"/>
      <c r="BM193" s="246">
        <f t="shared" si="449"/>
        <v>0</v>
      </c>
      <c r="BN193" s="196">
        <v>1</v>
      </c>
      <c r="BO193" s="196">
        <f t="shared" si="581"/>
        <v>31647.434687065259</v>
      </c>
      <c r="BP193" s="196">
        <f t="shared" si="582"/>
        <v>31647.434687065259</v>
      </c>
      <c r="BQ193" s="248">
        <f t="shared" si="450"/>
        <v>2.9604701408470382E-3</v>
      </c>
      <c r="BR193" s="248"/>
      <c r="BS193" s="248"/>
      <c r="BT193" s="276">
        <v>1</v>
      </c>
      <c r="BU193" s="196">
        <f t="shared" si="602"/>
        <v>115056.33717953989</v>
      </c>
      <c r="BV193" s="264">
        <f t="shared" si="451"/>
        <v>7.9805254815165042E-3</v>
      </c>
      <c r="BW193" s="196">
        <f t="shared" si="603"/>
        <v>492185.44237914291</v>
      </c>
      <c r="BX193" s="247">
        <f t="shared" si="452"/>
        <v>7.9805255534053845E-3</v>
      </c>
      <c r="BY193" s="196">
        <f t="shared" si="492"/>
        <v>607241.77955868281</v>
      </c>
      <c r="BZ193" s="620">
        <v>0</v>
      </c>
      <c r="CA193" s="196">
        <f t="shared" si="583"/>
        <v>158034.20367560096</v>
      </c>
      <c r="CB193" s="196">
        <f t="shared" si="584"/>
        <v>316068.40735120192</v>
      </c>
      <c r="CC193" s="196">
        <f t="shared" si="585"/>
        <v>474102.61102680292</v>
      </c>
      <c r="CD193" s="247">
        <f t="shared" si="557"/>
        <v>2.000436325742181E-3</v>
      </c>
      <c r="CE193" s="196">
        <f t="shared" si="586"/>
        <v>39288.50737912461</v>
      </c>
      <c r="CF193" s="247">
        <f t="shared" si="558"/>
        <v>1.6965999337538538E-3</v>
      </c>
      <c r="CG193" s="196">
        <f t="shared" si="532"/>
        <v>78500.650191801775</v>
      </c>
      <c r="CH193" s="589">
        <f t="shared" si="587"/>
        <v>2.0004363257421806E-3</v>
      </c>
      <c r="CI193" s="196">
        <f t="shared" si="588"/>
        <v>61417.285029899373</v>
      </c>
      <c r="CJ193" s="248">
        <f t="shared" si="589"/>
        <v>1.0097000099938641E-3</v>
      </c>
      <c r="CK193" s="196">
        <f t="shared" si="590"/>
        <v>175786.35165842835</v>
      </c>
      <c r="CL193" s="589">
        <f t="shared" si="591"/>
        <v>2.5269649627998191E-3</v>
      </c>
      <c r="CM193" s="196">
        <f t="shared" si="592"/>
        <v>17029.311923727921</v>
      </c>
      <c r="CN193" s="589">
        <f t="shared" si="593"/>
        <v>2.4541173803966348E-3</v>
      </c>
      <c r="CO193" s="196">
        <f t="shared" si="594"/>
        <v>1362.3475442819276</v>
      </c>
      <c r="CP193" s="589">
        <f t="shared" si="595"/>
        <v>2.5691776283637414E-3</v>
      </c>
      <c r="CQ193" s="196">
        <f>'Detailed Budget'!$AC$12</f>
        <v>292876014141.44696</v>
      </c>
      <c r="CR193" s="269">
        <f t="shared" si="507"/>
        <v>0</v>
      </c>
      <c r="CS193" s="269">
        <f>'Detailed Budget'!$AC$16</f>
        <v>10488008800.000002</v>
      </c>
      <c r="CT193" s="607">
        <f t="shared" si="533"/>
        <v>0</v>
      </c>
      <c r="CU193" s="269">
        <f>'Detailed Budget'!$AC$24</f>
        <v>30624985696</v>
      </c>
      <c r="CV193" s="269">
        <f t="shared" si="446"/>
        <v>0</v>
      </c>
      <c r="CW193" s="269"/>
      <c r="CX193" s="269">
        <f t="shared" si="596"/>
        <v>0</v>
      </c>
      <c r="CY193" s="196">
        <f>'Detailed Budget'!$AC$97</f>
        <v>74629165494.837845</v>
      </c>
      <c r="CZ193" s="269">
        <f t="shared" si="534"/>
        <v>220937416.08379951</v>
      </c>
      <c r="DA193" s="269">
        <f>'Detailed Budget'!$AC$100</f>
        <v>14925833098.967569</v>
      </c>
      <c r="DB193" s="269">
        <f t="shared" si="535"/>
        <v>44187483.216759905</v>
      </c>
      <c r="DC193" s="269">
        <f t="shared" si="560"/>
        <v>265124899.3005594</v>
      </c>
      <c r="DD193" s="207">
        <v>0</v>
      </c>
      <c r="DE193" s="606">
        <v>0</v>
      </c>
      <c r="DF193" s="269">
        <f>'Detailed Budget'!$AC$147</f>
        <v>5913600671000</v>
      </c>
      <c r="DG193" s="269">
        <f t="shared" si="441"/>
        <v>0</v>
      </c>
      <c r="DH193" s="269">
        <f>'Detailed Budget'!$AC$153</f>
        <v>226428026880.00003</v>
      </c>
      <c r="DI193" s="269"/>
      <c r="DJ193" s="269">
        <f>'Detailed Budget'!$AC$156</f>
        <v>27713070000</v>
      </c>
      <c r="DK193" s="269"/>
      <c r="DL193" s="269"/>
      <c r="DM193" s="196">
        <f>'Detailed Budget'!$AC$178</f>
        <v>5622683761.6229038</v>
      </c>
      <c r="DN193" s="269">
        <f t="shared" si="597"/>
        <v>44871971.034140654</v>
      </c>
      <c r="DO193" s="196">
        <f>'Detailed Budget'!$AC$179</f>
        <v>26827890683.128094</v>
      </c>
      <c r="DP193" s="269">
        <f t="shared" si="598"/>
        <v>214100667.14067</v>
      </c>
      <c r="DQ193" s="269">
        <f t="shared" si="457"/>
        <v>258972638.17481065</v>
      </c>
      <c r="DR193" s="269">
        <f>'Detailed Budget'!$AC$181</f>
        <v>50888946855.375237</v>
      </c>
      <c r="DS193" s="269">
        <f t="shared" si="599"/>
        <v>220488880.66035798</v>
      </c>
      <c r="DT193" s="269">
        <f t="shared" si="600"/>
        <v>479461518.8351686</v>
      </c>
      <c r="DU193" s="272">
        <f>'Detailed Budget'!$AC$192</f>
        <v>77498869683.252869</v>
      </c>
      <c r="DV193" s="269">
        <f t="shared" si="536"/>
        <v>0</v>
      </c>
      <c r="DW193" s="140">
        <f>'Detailed Budget'!$AC$194</f>
        <v>2684962805.4134097</v>
      </c>
      <c r="DX193" s="269">
        <f t="shared" si="537"/>
        <v>0</v>
      </c>
      <c r="DY193" s="607">
        <f t="shared" si="561"/>
        <v>0</v>
      </c>
      <c r="DZ193" s="196">
        <f>'Detailed Budget'!$AC$198</f>
        <v>18732540018.380611</v>
      </c>
      <c r="EA193" s="269">
        <f t="shared" si="562"/>
        <v>31781626.15422596</v>
      </c>
      <c r="EB193" s="196">
        <f>'Detailed Budget'!$AC$200</f>
        <v>4683135004.5951529</v>
      </c>
      <c r="EC193" s="269">
        <f t="shared" si="538"/>
        <v>7945406.5385564901</v>
      </c>
      <c r="ED193" s="269">
        <f t="shared" si="563"/>
        <v>39727032.692782447</v>
      </c>
      <c r="EE193" s="196">
        <f>'Detailed Budget'!$AC$161</f>
        <v>251147290106.36197</v>
      </c>
      <c r="EF193" s="269">
        <f t="shared" si="539"/>
        <v>502404162.24047625</v>
      </c>
      <c r="EG193" s="196">
        <f>'Detailed Budget'!$AC$163</f>
        <v>15696705631.647623</v>
      </c>
      <c r="EH193" s="269">
        <f t="shared" si="540"/>
        <v>31400260.140029766</v>
      </c>
      <c r="EI193" s="269">
        <f t="shared" si="564"/>
        <v>533804422.38050604</v>
      </c>
      <c r="EJ193" s="196">
        <f>'Detailed Budget'!$AC$204</f>
        <v>45012172507.531975</v>
      </c>
      <c r="EK193" s="269">
        <f t="shared" si="541"/>
        <v>45448791.030700572</v>
      </c>
      <c r="EL193" s="201">
        <f>'Detailed Budget'!$AC$206</f>
        <v>11253043126.882994</v>
      </c>
      <c r="EM193" s="269">
        <f t="shared" si="542"/>
        <v>11362197.757675143</v>
      </c>
      <c r="EN193" s="269">
        <f t="shared" si="565"/>
        <v>56810988.788375713</v>
      </c>
      <c r="EO193" s="140">
        <f>'Detailed Budget'!$AC$209</f>
        <v>135789361677.54817</v>
      </c>
      <c r="EP193" s="269">
        <f t="shared" si="543"/>
        <v>343134959.28011668</v>
      </c>
      <c r="EQ193" s="196">
        <f>'Detailed Budget'!$AC$211</f>
        <v>33947340419.387043</v>
      </c>
      <c r="ER193" s="269">
        <f t="shared" si="544"/>
        <v>85783739.820029169</v>
      </c>
      <c r="ES193" s="269">
        <f t="shared" si="566"/>
        <v>428918699.10014582</v>
      </c>
      <c r="ET193" s="196">
        <f>'Detailed Budget'!$AC$214</f>
        <v>22239745544.201103</v>
      </c>
      <c r="EU193" s="269">
        <f t="shared" si="545"/>
        <v>54578946.075622544</v>
      </c>
      <c r="EV193" s="140">
        <f>'Detailed Budget'!$AC$217</f>
        <v>5559936386.0502758</v>
      </c>
      <c r="EW193" s="269">
        <f t="shared" si="546"/>
        <v>13644736.518905636</v>
      </c>
      <c r="EX193" s="269">
        <f t="shared" si="567"/>
        <v>68223682.594528183</v>
      </c>
      <c r="EY193" s="196">
        <f>'Detailed Budget'!$AC$219</f>
        <v>372777004.58170313</v>
      </c>
      <c r="EZ193" s="269">
        <f t="shared" si="547"/>
        <v>957730.34053975961</v>
      </c>
      <c r="FA193" s="196">
        <f>'Detailed Budget'!$AC$222</f>
        <v>93194251.145425782</v>
      </c>
      <c r="FB193" s="269">
        <f t="shared" si="548"/>
        <v>239432.5851349399</v>
      </c>
      <c r="FC193" s="269">
        <f t="shared" si="568"/>
        <v>1197162.9256746995</v>
      </c>
      <c r="FD193" s="269"/>
      <c r="FE193" s="269">
        <f t="shared" si="569"/>
        <v>555150533.40872443</v>
      </c>
      <c r="FF193" s="140">
        <f>'Detailed Budget'!$AC$165</f>
        <v>14927760000</v>
      </c>
      <c r="FG193" s="1087">
        <f t="shared" si="442"/>
        <v>757262075.12253892</v>
      </c>
      <c r="FH193" s="269">
        <f t="shared" si="570"/>
        <v>23746010.68060448</v>
      </c>
      <c r="FJ193" s="140">
        <f>'Detailed Budget'!$AC$235</f>
        <v>3623696172</v>
      </c>
      <c r="FK193" s="269">
        <f t="shared" si="571"/>
        <v>4681778</v>
      </c>
      <c r="FL193" s="269">
        <f t="shared" si="443"/>
        <v>4681778</v>
      </c>
      <c r="FO193" s="607"/>
      <c r="FP193" s="607"/>
      <c r="FQ193" s="607"/>
      <c r="FR193" s="269">
        <f>'Detailed Budget'!$AC$257</f>
        <v>13636439388</v>
      </c>
      <c r="FS193" s="269">
        <f t="shared" si="572"/>
        <v>4996680</v>
      </c>
      <c r="FT193" s="269">
        <f t="shared" si="444"/>
        <v>4996680</v>
      </c>
      <c r="FU193" s="269"/>
      <c r="FV193" s="269"/>
      <c r="FW193" s="616"/>
      <c r="FX193" s="140">
        <f>'Detailed Budget'!$AC$278</f>
        <v>1114560000</v>
      </c>
      <c r="FY193" s="269">
        <f t="shared" si="573"/>
        <v>1440000</v>
      </c>
      <c r="FZ193" s="269">
        <f t="shared" si="445"/>
        <v>1440000</v>
      </c>
      <c r="GB193" s="269">
        <f t="shared" si="453"/>
        <v>2665394950.4208841</v>
      </c>
      <c r="GC193" s="887">
        <f t="shared" si="574"/>
        <v>1665871.8440130525</v>
      </c>
      <c r="GD193" s="1078">
        <f t="shared" si="454"/>
        <v>1.4956370375771751E-3</v>
      </c>
    </row>
    <row r="194" spans="1:186" hidden="1" outlineLevel="1">
      <c r="A194" s="211" t="s">
        <v>553</v>
      </c>
      <c r="B194" s="212" t="s">
        <v>554</v>
      </c>
      <c r="C194" s="213" t="s">
        <v>215</v>
      </c>
      <c r="D194" s="225" t="s">
        <v>215</v>
      </c>
      <c r="E194" s="213"/>
      <c r="F194" s="213"/>
      <c r="G194" s="213"/>
      <c r="H194" s="213" t="s">
        <v>215</v>
      </c>
      <c r="I194" s="214" t="s">
        <v>215</v>
      </c>
      <c r="J194" s="214"/>
      <c r="K194" s="213" t="s">
        <v>215</v>
      </c>
      <c r="L194" s="213"/>
      <c r="M194" s="214"/>
      <c r="N194" s="213"/>
      <c r="O194" s="214"/>
      <c r="P194" s="213"/>
      <c r="Q194" s="214"/>
      <c r="R194" s="214" t="s">
        <v>215</v>
      </c>
      <c r="S194" s="214"/>
      <c r="T194" s="214"/>
      <c r="U194" s="215">
        <f t="shared" si="575"/>
        <v>6</v>
      </c>
      <c r="V194" s="845" t="s">
        <v>219</v>
      </c>
      <c r="W194" s="216">
        <v>79078</v>
      </c>
      <c r="X194" s="217">
        <v>3.47</v>
      </c>
      <c r="Y194" s="218">
        <f t="shared" si="483"/>
        <v>1.0347</v>
      </c>
      <c r="Z194" s="196">
        <v>19</v>
      </c>
      <c r="AA194" s="218">
        <f t="shared" si="484"/>
        <v>1.9119412036868784</v>
      </c>
      <c r="AB194" s="196">
        <f t="shared" si="549"/>
        <v>151192.48650515097</v>
      </c>
      <c r="AC194">
        <v>19.100000000000001</v>
      </c>
      <c r="AD194" s="196">
        <f t="shared" si="550"/>
        <v>28877.764922483839</v>
      </c>
      <c r="AE194" s="196">
        <f t="shared" si="487"/>
        <v>27433.876676359647</v>
      </c>
      <c r="AF194" s="196">
        <f t="shared" si="576"/>
        <v>27433.876676359647</v>
      </c>
      <c r="AG194" s="606">
        <f t="shared" si="577"/>
        <v>1.2684220205395986E-3</v>
      </c>
      <c r="AH194" s="196">
        <f t="shared" si="601"/>
        <v>7559.6243252575487</v>
      </c>
      <c r="AI194" s="248">
        <f t="shared" si="552"/>
        <v>5.8563264252807154E-4</v>
      </c>
      <c r="AJ194" s="196">
        <f t="shared" si="578"/>
        <v>36437.38924774139</v>
      </c>
      <c r="AK194" s="196">
        <f t="shared" si="455"/>
        <v>6047.6994602060386</v>
      </c>
      <c r="AL194" s="196">
        <f t="shared" si="456"/>
        <v>6047.6994602060386</v>
      </c>
      <c r="AM194" s="196">
        <f t="shared" si="553"/>
        <v>12095.398920412077</v>
      </c>
      <c r="AN194" s="627">
        <f t="shared" si="554"/>
        <v>5.8563264252807154E-4</v>
      </c>
      <c r="AO194" s="196">
        <f t="shared" si="555"/>
        <v>5745.3144871957365</v>
      </c>
      <c r="AP194" s="589">
        <f t="shared" si="579"/>
        <v>5.8563264252807154E-4</v>
      </c>
      <c r="AQ194" s="196"/>
      <c r="AR194" s="589"/>
      <c r="AS194">
        <v>1</v>
      </c>
      <c r="AT194" s="589">
        <f t="shared" si="580"/>
        <v>1.2919896640826874E-3</v>
      </c>
      <c r="AU194" s="196">
        <v>10</v>
      </c>
      <c r="AV194" s="245">
        <f t="shared" si="556"/>
        <v>1.1362345188046814E-3</v>
      </c>
      <c r="AX194" s="245"/>
      <c r="AY194" s="245"/>
      <c r="AZ194" s="196">
        <v>28</v>
      </c>
      <c r="BA194" s="589">
        <f t="shared" si="447"/>
        <v>1.0259792605620901E-3</v>
      </c>
      <c r="BI194" s="196">
        <v>0</v>
      </c>
      <c r="BK194" s="246">
        <f t="shared" si="448"/>
        <v>0</v>
      </c>
      <c r="BL194" s="246"/>
      <c r="BM194" s="246">
        <f t="shared" si="449"/>
        <v>0</v>
      </c>
      <c r="BN194" s="196">
        <v>1</v>
      </c>
      <c r="BO194" s="196">
        <f t="shared" si="581"/>
        <v>9264.8641531463782</v>
      </c>
      <c r="BP194" s="196">
        <f t="shared" si="582"/>
        <v>9264.8641531463782</v>
      </c>
      <c r="BQ194" s="248">
        <f t="shared" si="450"/>
        <v>8.6668489738930647E-4</v>
      </c>
      <c r="BR194" s="248"/>
      <c r="BS194" s="248"/>
      <c r="BT194" s="276">
        <v>1</v>
      </c>
      <c r="BU194" s="196">
        <f t="shared" si="602"/>
        <v>33683.02500558515</v>
      </c>
      <c r="BV194" s="264">
        <f t="shared" si="451"/>
        <v>2.3363184153182936E-3</v>
      </c>
      <c r="BW194" s="196">
        <f t="shared" si="603"/>
        <v>144088.49585722538</v>
      </c>
      <c r="BX194" s="247">
        <f t="shared" si="452"/>
        <v>2.3363184363639393E-3</v>
      </c>
      <c r="BY194" s="196">
        <f t="shared" si="492"/>
        <v>177771.52086281055</v>
      </c>
      <c r="BZ194" s="620">
        <v>0</v>
      </c>
      <c r="CA194" s="196">
        <f t="shared" si="583"/>
        <v>46264.900870576195</v>
      </c>
      <c r="CB194" s="196">
        <f t="shared" si="584"/>
        <v>92529.801741152391</v>
      </c>
      <c r="CC194" s="196">
        <f t="shared" si="585"/>
        <v>138794.70261172857</v>
      </c>
      <c r="CD194" s="247">
        <f t="shared" si="557"/>
        <v>5.8563264252807143E-4</v>
      </c>
      <c r="CE194" s="196">
        <f t="shared" si="586"/>
        <v>11501.806931487292</v>
      </c>
      <c r="CF194" s="247">
        <f t="shared" si="558"/>
        <v>4.966837932962407E-4</v>
      </c>
      <c r="CG194" s="196">
        <f t="shared" si="532"/>
        <v>22981.257948782946</v>
      </c>
      <c r="CH194" s="589">
        <f t="shared" si="587"/>
        <v>5.8563264252807154E-4</v>
      </c>
      <c r="CI194" s="196">
        <f t="shared" si="588"/>
        <v>17980.060882775306</v>
      </c>
      <c r="CJ194" s="248">
        <f t="shared" si="589"/>
        <v>2.9559215527339723E-4</v>
      </c>
      <c r="CK194" s="196">
        <f t="shared" si="590"/>
        <v>51461.885748300556</v>
      </c>
      <c r="CL194" s="589">
        <f t="shared" si="591"/>
        <v>7.3977519289011179E-4</v>
      </c>
      <c r="CM194" s="196">
        <f t="shared" si="592"/>
        <v>4985.3728479098345</v>
      </c>
      <c r="CN194" s="589">
        <f t="shared" si="593"/>
        <v>7.1844888440652122E-4</v>
      </c>
      <c r="CO194" s="196">
        <f t="shared" si="594"/>
        <v>398.83058617396881</v>
      </c>
      <c r="CP194" s="589">
        <f t="shared" si="595"/>
        <v>7.5213305430476174E-4</v>
      </c>
      <c r="CQ194" s="196">
        <f>'Detailed Budget'!$AC$12</f>
        <v>292876014141.44696</v>
      </c>
      <c r="CR194" s="269">
        <f t="shared" ref="CR194:CR225" si="604">BK194*CQ194</f>
        <v>0</v>
      </c>
      <c r="CS194" s="269">
        <f>'Detailed Budget'!$AC$16</f>
        <v>10488008800.000002</v>
      </c>
      <c r="CT194" s="607">
        <f t="shared" si="533"/>
        <v>0</v>
      </c>
      <c r="CU194" s="269">
        <f>'Detailed Budget'!$AC$24</f>
        <v>30624985696</v>
      </c>
      <c r="CV194" s="269">
        <f t="shared" si="446"/>
        <v>0</v>
      </c>
      <c r="CW194" s="269"/>
      <c r="CX194" s="269">
        <f t="shared" si="596"/>
        <v>0</v>
      </c>
      <c r="CY194" s="196">
        <f>'Detailed Budget'!$AC$97</f>
        <v>74629165494.837845</v>
      </c>
      <c r="CZ194" s="269">
        <f t="shared" si="534"/>
        <v>64679970.639143109</v>
      </c>
      <c r="DA194" s="269">
        <f>'Detailed Budget'!$AC$100</f>
        <v>14925833098.967569</v>
      </c>
      <c r="DB194" s="269">
        <f t="shared" si="535"/>
        <v>12935994.127828622</v>
      </c>
      <c r="DC194" s="269">
        <f t="shared" si="560"/>
        <v>77615964.766971737</v>
      </c>
      <c r="DD194" s="207">
        <v>0</v>
      </c>
      <c r="DE194" s="606">
        <v>0</v>
      </c>
      <c r="DF194" s="269">
        <f>'Detailed Budget'!$AC$147</f>
        <v>5913600671000</v>
      </c>
      <c r="DG194" s="269">
        <f t="shared" si="441"/>
        <v>0</v>
      </c>
      <c r="DH194" s="269">
        <f>'Detailed Budget'!$AC$153</f>
        <v>226428026880.00003</v>
      </c>
      <c r="DI194" s="269"/>
      <c r="DJ194" s="269">
        <f>'Detailed Budget'!$AC$156</f>
        <v>27713070000</v>
      </c>
      <c r="DK194" s="269"/>
      <c r="DL194" s="269"/>
      <c r="DM194" s="196">
        <f>'Detailed Budget'!$AC$178</f>
        <v>5622683761.6229038</v>
      </c>
      <c r="DN194" s="269">
        <f t="shared" si="597"/>
        <v>13136379.615790725</v>
      </c>
      <c r="DO194" s="196">
        <f>'Detailed Budget'!$AC$179</f>
        <v>26827890683.128094</v>
      </c>
      <c r="DP194" s="269">
        <f t="shared" si="598"/>
        <v>62678495.611748524</v>
      </c>
      <c r="DQ194" s="269">
        <f t="shared" si="457"/>
        <v>75814875.227539241</v>
      </c>
      <c r="DR194" s="269">
        <f>'Detailed Budget'!$AC$181</f>
        <v>50888946855.375237</v>
      </c>
      <c r="DS194" s="269">
        <f t="shared" si="599"/>
        <v>64548660.793427311</v>
      </c>
      <c r="DT194" s="269">
        <f t="shared" si="600"/>
        <v>140363536.02096656</v>
      </c>
      <c r="DU194" s="272">
        <f>'Detailed Budget'!$AC$192</f>
        <v>77498869683.252869</v>
      </c>
      <c r="DV194" s="269">
        <f t="shared" si="536"/>
        <v>0</v>
      </c>
      <c r="DW194" s="140">
        <f>'Detailed Budget'!$AC$194</f>
        <v>2684962805.4134097</v>
      </c>
      <c r="DX194" s="269">
        <f t="shared" si="537"/>
        <v>0</v>
      </c>
      <c r="DY194" s="607">
        <f t="shared" si="561"/>
        <v>0</v>
      </c>
      <c r="DZ194" s="196">
        <f>'Detailed Budget'!$AC$198</f>
        <v>18732540018.380611</v>
      </c>
      <c r="EA194" s="269">
        <f t="shared" si="562"/>
        <v>9304149.0344029125</v>
      </c>
      <c r="EB194" s="196">
        <f>'Detailed Budget'!$AC$200</f>
        <v>4683135004.5951529</v>
      </c>
      <c r="EC194" s="269">
        <f t="shared" si="538"/>
        <v>2326037.2586007281</v>
      </c>
      <c r="ED194" s="269">
        <f t="shared" si="563"/>
        <v>11630186.293003641</v>
      </c>
      <c r="EE194" s="196">
        <f>'Detailed Budget'!$AC$161</f>
        <v>251147290106.36197</v>
      </c>
      <c r="EF194" s="269">
        <f t="shared" si="539"/>
        <v>147080051.16875297</v>
      </c>
      <c r="EG194" s="196">
        <f>'Detailed Budget'!$AC$163</f>
        <v>15696705631.647623</v>
      </c>
      <c r="EH194" s="269">
        <f t="shared" si="540"/>
        <v>9192503.1980470605</v>
      </c>
      <c r="EI194" s="269">
        <f t="shared" si="564"/>
        <v>156272554.36680004</v>
      </c>
      <c r="EJ194" s="196">
        <f>'Detailed Budget'!$AC$204</f>
        <v>45012172507.531975</v>
      </c>
      <c r="EK194" s="269">
        <f t="shared" si="541"/>
        <v>13305245.085039334</v>
      </c>
      <c r="EL194" s="201">
        <f>'Detailed Budget'!$AC$206</f>
        <v>11253043126.882994</v>
      </c>
      <c r="EM194" s="269">
        <f t="shared" si="542"/>
        <v>3326311.2712598336</v>
      </c>
      <c r="EN194" s="269">
        <f t="shared" si="565"/>
        <v>16631556.356299167</v>
      </c>
      <c r="EO194" s="140">
        <f>'Detailed Budget'!$AC$209</f>
        <v>135789361677.54817</v>
      </c>
      <c r="EP194" s="269">
        <f t="shared" si="543"/>
        <v>100453601.22743335</v>
      </c>
      <c r="EQ194" s="196">
        <f>'Detailed Budget'!$AC$211</f>
        <v>33947340419.387043</v>
      </c>
      <c r="ER194" s="269">
        <f t="shared" si="544"/>
        <v>25113400.306858338</v>
      </c>
      <c r="ES194" s="269">
        <f t="shared" si="566"/>
        <v>125567001.53429168</v>
      </c>
      <c r="ET194" s="196">
        <f>'Detailed Budget'!$AC$214</f>
        <v>22239745544.201103</v>
      </c>
      <c r="EU194" s="269">
        <f t="shared" si="545"/>
        <v>15978120.375716183</v>
      </c>
      <c r="EV194" s="140">
        <f>'Detailed Budget'!$AC$217</f>
        <v>5559936386.0502758</v>
      </c>
      <c r="EW194" s="269">
        <f t="shared" si="546"/>
        <v>3994530.0939290458</v>
      </c>
      <c r="EX194" s="269">
        <f t="shared" si="567"/>
        <v>19972650.469645228</v>
      </c>
      <c r="EY194" s="196">
        <f>'Detailed Budget'!$AC$219</f>
        <v>372777004.58170313</v>
      </c>
      <c r="EZ194" s="269">
        <f t="shared" si="547"/>
        <v>280377.90703061654</v>
      </c>
      <c r="FA194" s="196">
        <f>'Detailed Budget'!$AC$222</f>
        <v>93194251.145425782</v>
      </c>
      <c r="FB194" s="269">
        <f t="shared" si="548"/>
        <v>70094.476757654134</v>
      </c>
      <c r="FC194" s="269">
        <f t="shared" si="568"/>
        <v>350472.38378827064</v>
      </c>
      <c r="FD194" s="269"/>
      <c r="FE194" s="269">
        <f t="shared" si="569"/>
        <v>162521680.74402434</v>
      </c>
      <c r="FF194" s="140">
        <f>'Detailed Budget'!$AC$165</f>
        <v>14927760000</v>
      </c>
      <c r="FG194" s="1087">
        <f t="shared" si="442"/>
        <v>221690330.47116321</v>
      </c>
      <c r="FH194" s="269">
        <f t="shared" si="570"/>
        <v>16961436.200431772</v>
      </c>
      <c r="FJ194" s="140">
        <f>'Detailed Budget'!$AC$235</f>
        <v>3623696172</v>
      </c>
      <c r="FK194" s="269">
        <f t="shared" si="571"/>
        <v>4681778</v>
      </c>
      <c r="FL194" s="269">
        <f t="shared" si="443"/>
        <v>4681778</v>
      </c>
      <c r="FO194" s="607"/>
      <c r="FP194" s="607"/>
      <c r="FQ194" s="607"/>
      <c r="FR194" s="269">
        <f>'Detailed Budget'!$AC$257</f>
        <v>13636439388</v>
      </c>
      <c r="FS194" s="269">
        <f t="shared" si="572"/>
        <v>13990704</v>
      </c>
      <c r="FT194" s="269">
        <f t="shared" si="444"/>
        <v>13990704</v>
      </c>
      <c r="FU194" s="269"/>
      <c r="FV194" s="269"/>
      <c r="FW194" s="616"/>
      <c r="FX194" s="140">
        <f>'Detailed Budget'!$AC$278</f>
        <v>1114560000</v>
      </c>
      <c r="FY194" s="269">
        <f t="shared" si="573"/>
        <v>1440000</v>
      </c>
      <c r="FZ194" s="269">
        <f t="shared" si="445"/>
        <v>1440000</v>
      </c>
      <c r="GB194" s="269">
        <f t="shared" si="453"/>
        <v>807168170.86336136</v>
      </c>
      <c r="GC194" s="887">
        <f t="shared" si="574"/>
        <v>504480.10678960086</v>
      </c>
      <c r="GD194" s="1078">
        <f t="shared" si="454"/>
        <v>4.5292747767306863E-4</v>
      </c>
    </row>
    <row r="195" spans="1:186" hidden="1" outlineLevel="1">
      <c r="A195" s="211" t="s">
        <v>555</v>
      </c>
      <c r="B195" s="212" t="s">
        <v>556</v>
      </c>
      <c r="C195" s="213" t="s">
        <v>215</v>
      </c>
      <c r="D195" s="225" t="s">
        <v>215</v>
      </c>
      <c r="E195" s="213"/>
      <c r="F195" s="213"/>
      <c r="G195" s="213"/>
      <c r="H195" s="213" t="s">
        <v>215</v>
      </c>
      <c r="I195" s="214" t="s">
        <v>215</v>
      </c>
      <c r="J195" s="214"/>
      <c r="K195" s="213" t="s">
        <v>215</v>
      </c>
      <c r="L195" s="213"/>
      <c r="M195" s="214"/>
      <c r="N195" s="213"/>
      <c r="O195" s="214"/>
      <c r="P195" s="213"/>
      <c r="Q195" s="214"/>
      <c r="R195" s="214" t="s">
        <v>215</v>
      </c>
      <c r="S195" s="214"/>
      <c r="T195" s="214"/>
      <c r="U195" s="215">
        <f t="shared" si="575"/>
        <v>6</v>
      </c>
      <c r="V195" s="845" t="s">
        <v>219</v>
      </c>
      <c r="W195" s="216">
        <v>175760</v>
      </c>
      <c r="X195" s="217">
        <v>3.47</v>
      </c>
      <c r="Y195" s="218">
        <f t="shared" si="483"/>
        <v>1.0347</v>
      </c>
      <c r="Z195" s="196">
        <v>19</v>
      </c>
      <c r="AA195" s="218">
        <f t="shared" si="484"/>
        <v>1.9119412036868784</v>
      </c>
      <c r="AB195" s="196">
        <f t="shared" si="549"/>
        <v>336042.78596000571</v>
      </c>
      <c r="AC195">
        <v>19.100000000000001</v>
      </c>
      <c r="AD195" s="196">
        <f t="shared" si="550"/>
        <v>64184.172118361101</v>
      </c>
      <c r="AE195" s="196">
        <f t="shared" si="487"/>
        <v>60974.963512443042</v>
      </c>
      <c r="AF195" s="196">
        <f t="shared" si="576"/>
        <v>60974.963512443042</v>
      </c>
      <c r="AG195" s="606">
        <f t="shared" si="577"/>
        <v>2.8192146277098537E-3</v>
      </c>
      <c r="AH195" s="196">
        <f t="shared" si="601"/>
        <v>16802.139298000286</v>
      </c>
      <c r="AI195" s="248">
        <f t="shared" si="552"/>
        <v>1.3016362736884323E-3</v>
      </c>
      <c r="AJ195" s="196">
        <f t="shared" si="578"/>
        <v>80986.311416361394</v>
      </c>
      <c r="AK195" s="196">
        <f t="shared" si="455"/>
        <v>13441.711438400229</v>
      </c>
      <c r="AL195" s="196">
        <f t="shared" si="456"/>
        <v>13441.711438400229</v>
      </c>
      <c r="AM195" s="196">
        <f t="shared" si="553"/>
        <v>26883.422876800458</v>
      </c>
      <c r="AN195" s="627">
        <f t="shared" si="554"/>
        <v>1.3016362736884323E-3</v>
      </c>
      <c r="AO195" s="196">
        <f t="shared" si="555"/>
        <v>12769.625866480217</v>
      </c>
      <c r="AP195" s="589">
        <f t="shared" si="579"/>
        <v>1.3016362736884323E-3</v>
      </c>
      <c r="AQ195" s="196"/>
      <c r="AR195" s="589"/>
      <c r="AS195">
        <v>1</v>
      </c>
      <c r="AT195" s="589">
        <f t="shared" si="580"/>
        <v>1.2919896640826874E-3</v>
      </c>
      <c r="AU195" s="196">
        <v>11</v>
      </c>
      <c r="AV195" s="245">
        <f t="shared" si="556"/>
        <v>1.2498579706851495E-3</v>
      </c>
      <c r="AX195" s="245"/>
      <c r="AY195" s="245"/>
      <c r="AZ195" s="196">
        <v>28</v>
      </c>
      <c r="BA195" s="589">
        <f t="shared" si="447"/>
        <v>1.0259792605620901E-3</v>
      </c>
      <c r="BI195" s="196">
        <v>0</v>
      </c>
      <c r="BK195" s="246">
        <f t="shared" si="448"/>
        <v>0</v>
      </c>
      <c r="BL195" s="246"/>
      <c r="BM195" s="246">
        <f t="shared" si="449"/>
        <v>0</v>
      </c>
      <c r="BN195" s="196">
        <v>1</v>
      </c>
      <c r="BO195" s="196">
        <f t="shared" si="581"/>
        <v>20592.232018475519</v>
      </c>
      <c r="BP195" s="196">
        <f t="shared" si="582"/>
        <v>20592.232018475519</v>
      </c>
      <c r="BQ195" s="248">
        <f t="shared" si="450"/>
        <v>1.926307412493291E-3</v>
      </c>
      <c r="BR195" s="248"/>
      <c r="BS195" s="248"/>
      <c r="BT195" s="276">
        <v>1</v>
      </c>
      <c r="BU195" s="196">
        <f t="shared" si="602"/>
        <v>74864.41835885639</v>
      </c>
      <c r="BV195" s="264">
        <f t="shared" si="451"/>
        <v>5.1927378623174997E-3</v>
      </c>
      <c r="BW195" s="196">
        <f t="shared" si="603"/>
        <v>320253.34520177456</v>
      </c>
      <c r="BX195" s="247">
        <f t="shared" si="452"/>
        <v>5.1927379090938811E-3</v>
      </c>
      <c r="BY195" s="196">
        <f t="shared" si="492"/>
        <v>395117.76356063096</v>
      </c>
      <c r="BZ195" s="620">
        <v>0</v>
      </c>
      <c r="CA195" s="196">
        <f t="shared" si="583"/>
        <v>102829.09250376176</v>
      </c>
      <c r="CB195" s="196">
        <f t="shared" si="584"/>
        <v>205658.18500752351</v>
      </c>
      <c r="CC195" s="196">
        <f t="shared" si="585"/>
        <v>308487.27751128527</v>
      </c>
      <c r="CD195" s="247">
        <f t="shared" si="557"/>
        <v>1.3016362736884323E-3</v>
      </c>
      <c r="CE195" s="196">
        <f t="shared" si="586"/>
        <v>25564.09603528423</v>
      </c>
      <c r="CF195" s="247">
        <f t="shared" si="558"/>
        <v>1.103937169753247E-3</v>
      </c>
      <c r="CG195" s="196">
        <f t="shared" si="532"/>
        <v>51078.503465920869</v>
      </c>
      <c r="CH195" s="589">
        <f t="shared" si="587"/>
        <v>1.3016362736884323E-3</v>
      </c>
      <c r="CI195" s="196">
        <f t="shared" si="588"/>
        <v>39962.764621722694</v>
      </c>
      <c r="CJ195" s="248">
        <f t="shared" si="589"/>
        <v>6.5698774894221265E-4</v>
      </c>
      <c r="CK195" s="196">
        <f t="shared" si="590"/>
        <v>114379.99240144294</v>
      </c>
      <c r="CL195" s="589">
        <f t="shared" si="591"/>
        <v>1.6442359177314301E-3</v>
      </c>
      <c r="CM195" s="196">
        <f t="shared" si="592"/>
        <v>11080.567689479152</v>
      </c>
      <c r="CN195" s="589">
        <f t="shared" si="593"/>
        <v>1.5968357308390471E-3</v>
      </c>
      <c r="CO195" s="196">
        <f t="shared" si="594"/>
        <v>886.44710065930792</v>
      </c>
      <c r="CP195" s="589">
        <f t="shared" si="595"/>
        <v>1.6717026938542314E-3</v>
      </c>
      <c r="CQ195" s="196">
        <f>'Detailed Budget'!$AC$12</f>
        <v>292876014141.44696</v>
      </c>
      <c r="CR195" s="269">
        <f t="shared" si="604"/>
        <v>0</v>
      </c>
      <c r="CS195" s="269">
        <f>'Detailed Budget'!$AC$16</f>
        <v>10488008800.000002</v>
      </c>
      <c r="CT195" s="607">
        <f t="shared" si="533"/>
        <v>0</v>
      </c>
      <c r="CU195" s="269">
        <f>'Detailed Budget'!$AC$24</f>
        <v>30624985696</v>
      </c>
      <c r="CV195" s="269">
        <f t="shared" si="446"/>
        <v>0</v>
      </c>
      <c r="CW195" s="269"/>
      <c r="CX195" s="269">
        <f t="shared" si="596"/>
        <v>0</v>
      </c>
      <c r="CY195" s="196">
        <f>'Detailed Budget'!$AC$97</f>
        <v>74629165494.837845</v>
      </c>
      <c r="CZ195" s="269">
        <f t="shared" si="534"/>
        <v>143758714.68089467</v>
      </c>
      <c r="DA195" s="269">
        <f>'Detailed Budget'!$AC$100</f>
        <v>14925833098.967569</v>
      </c>
      <c r="DB195" s="269">
        <f t="shared" si="535"/>
        <v>28751742.936178938</v>
      </c>
      <c r="DC195" s="269">
        <f t="shared" si="560"/>
        <v>172510457.6170736</v>
      </c>
      <c r="DD195" s="207">
        <v>0</v>
      </c>
      <c r="DE195" s="606">
        <v>0</v>
      </c>
      <c r="DF195" s="269">
        <f>'Detailed Budget'!$AC$147</f>
        <v>5913600671000</v>
      </c>
      <c r="DG195" s="269">
        <f t="shared" si="441"/>
        <v>0</v>
      </c>
      <c r="DH195" s="269">
        <f>'Detailed Budget'!$AC$153</f>
        <v>226428026880.00003</v>
      </c>
      <c r="DI195" s="269"/>
      <c r="DJ195" s="269">
        <f>'Detailed Budget'!$AC$156</f>
        <v>27713070000</v>
      </c>
      <c r="DK195" s="269"/>
      <c r="DL195" s="269"/>
      <c r="DM195" s="196">
        <f>'Detailed Budget'!$AC$178</f>
        <v>5622683761.6229038</v>
      </c>
      <c r="DN195" s="269">
        <f t="shared" si="597"/>
        <v>29197122.856817037</v>
      </c>
      <c r="DO195" s="196">
        <f>'Detailed Budget'!$AC$179</f>
        <v>26827890683.128094</v>
      </c>
      <c r="DP195" s="269">
        <f t="shared" si="598"/>
        <v>139310204.97130579</v>
      </c>
      <c r="DQ195" s="269">
        <f t="shared" si="457"/>
        <v>168507327.82812282</v>
      </c>
      <c r="DR195" s="269">
        <f>'Detailed Budget'!$AC$181</f>
        <v>50888946855.375237</v>
      </c>
      <c r="DS195" s="269">
        <f t="shared" si="599"/>
        <v>143466863.36342323</v>
      </c>
      <c r="DT195" s="269">
        <f t="shared" si="600"/>
        <v>311974191.19154608</v>
      </c>
      <c r="DU195" s="272">
        <f>'Detailed Budget'!$AC$192</f>
        <v>77498869683.252869</v>
      </c>
      <c r="DV195" s="269">
        <f t="shared" si="536"/>
        <v>0</v>
      </c>
      <c r="DW195" s="140">
        <f>'Detailed Budget'!$AC$194</f>
        <v>2684962805.4134097</v>
      </c>
      <c r="DX195" s="269">
        <f t="shared" si="537"/>
        <v>0</v>
      </c>
      <c r="DY195" s="607">
        <f t="shared" si="561"/>
        <v>0</v>
      </c>
      <c r="DZ195" s="196">
        <f>'Detailed Budget'!$AC$198</f>
        <v>18732540018.380611</v>
      </c>
      <c r="EA195" s="269">
        <f t="shared" si="562"/>
        <v>20679547.210180528</v>
      </c>
      <c r="EB195" s="196">
        <f>'Detailed Budget'!$AC$200</f>
        <v>4683135004.5951529</v>
      </c>
      <c r="EC195" s="269">
        <f t="shared" si="538"/>
        <v>5169886.8025451321</v>
      </c>
      <c r="ED195" s="269">
        <f t="shared" si="563"/>
        <v>25849434.012725659</v>
      </c>
      <c r="EE195" s="196">
        <f>'Detailed Budget'!$AC$161</f>
        <v>251147290106.36197</v>
      </c>
      <c r="EF195" s="269">
        <f t="shared" si="539"/>
        <v>326902422.84099269</v>
      </c>
      <c r="EG195" s="196">
        <f>'Detailed Budget'!$AC$163</f>
        <v>15696705631.647623</v>
      </c>
      <c r="EH195" s="269">
        <f t="shared" si="540"/>
        <v>20431401.427562043</v>
      </c>
      <c r="EI195" s="269">
        <f t="shared" si="564"/>
        <v>347333824.26855475</v>
      </c>
      <c r="EJ195" s="196">
        <f>'Detailed Budget'!$AC$204</f>
        <v>45012172507.531975</v>
      </c>
      <c r="EK195" s="269">
        <f t="shared" si="541"/>
        <v>29572445.890721984</v>
      </c>
      <c r="EL195" s="201">
        <f>'Detailed Budget'!$AC$206</f>
        <v>11253043126.882994</v>
      </c>
      <c r="EM195" s="269">
        <f t="shared" si="542"/>
        <v>7393111.4726804961</v>
      </c>
      <c r="EN195" s="269">
        <f t="shared" si="565"/>
        <v>36965557.363402478</v>
      </c>
      <c r="EO195" s="140">
        <f>'Detailed Budget'!$AC$209</f>
        <v>135789361677.54817</v>
      </c>
      <c r="EP195" s="269">
        <f t="shared" si="543"/>
        <v>223269745.71604851</v>
      </c>
      <c r="EQ195" s="196">
        <f>'Detailed Budget'!$AC$211</f>
        <v>33947340419.387043</v>
      </c>
      <c r="ER195" s="269">
        <f t="shared" si="544"/>
        <v>55817436.429012127</v>
      </c>
      <c r="ES195" s="269">
        <f t="shared" si="566"/>
        <v>279087182.14506066</v>
      </c>
      <c r="ET195" s="196">
        <f>'Detailed Budget'!$AC$214</f>
        <v>22239745544.201103</v>
      </c>
      <c r="EU195" s="269">
        <f t="shared" si="545"/>
        <v>35513220.329748809</v>
      </c>
      <c r="EV195" s="140">
        <f>'Detailed Budget'!$AC$217</f>
        <v>5559936386.0502758</v>
      </c>
      <c r="EW195" s="269">
        <f t="shared" si="546"/>
        <v>8878305.0824372023</v>
      </c>
      <c r="EX195" s="269">
        <f t="shared" si="567"/>
        <v>44391525.412186012</v>
      </c>
      <c r="EY195" s="196">
        <f>'Detailed Budget'!$AC$219</f>
        <v>372777004.58170313</v>
      </c>
      <c r="EZ195" s="269">
        <f t="shared" si="547"/>
        <v>623172.32276614429</v>
      </c>
      <c r="FA195" s="196">
        <f>'Detailed Budget'!$AC$222</f>
        <v>93194251.145425782</v>
      </c>
      <c r="FB195" s="269">
        <f t="shared" si="548"/>
        <v>155793.08069153607</v>
      </c>
      <c r="FC195" s="269">
        <f t="shared" si="568"/>
        <v>778965.40345768037</v>
      </c>
      <c r="FD195" s="269"/>
      <c r="FE195" s="269">
        <f t="shared" si="569"/>
        <v>361223230.32410687</v>
      </c>
      <c r="FF195" s="140">
        <f>'Detailed Budget'!$AC$165</f>
        <v>14927760000</v>
      </c>
      <c r="FG195" s="1087">
        <f t="shared" si="442"/>
        <v>492732396.91964459</v>
      </c>
      <c r="FH195" s="269">
        <f t="shared" si="570"/>
        <v>18657579.820474949</v>
      </c>
      <c r="FJ195" s="140">
        <f>'Detailed Budget'!$AC$235</f>
        <v>3623696172</v>
      </c>
      <c r="FK195" s="269">
        <f t="shared" si="571"/>
        <v>4681778</v>
      </c>
      <c r="FL195" s="269">
        <f t="shared" si="443"/>
        <v>4681778</v>
      </c>
      <c r="FO195" s="607"/>
      <c r="FP195" s="607"/>
      <c r="FQ195" s="607"/>
      <c r="FR195" s="269">
        <f>'Detailed Budget'!$AC$257</f>
        <v>13636439388</v>
      </c>
      <c r="FS195" s="269">
        <f t="shared" si="572"/>
        <v>13990704</v>
      </c>
      <c r="FT195" s="269">
        <f t="shared" si="444"/>
        <v>13990704</v>
      </c>
      <c r="FU195" s="269"/>
      <c r="FV195" s="269"/>
      <c r="FW195" s="616"/>
      <c r="FX195" s="140">
        <f>'Detailed Budget'!$AC$278</f>
        <v>1114560000</v>
      </c>
      <c r="FY195" s="269">
        <f t="shared" si="573"/>
        <v>1440000</v>
      </c>
      <c r="FZ195" s="269">
        <f t="shared" si="445"/>
        <v>1440000</v>
      </c>
      <c r="GB195" s="269">
        <f t="shared" si="453"/>
        <v>1750393596.1541264</v>
      </c>
      <c r="GC195" s="887">
        <f t="shared" si="574"/>
        <v>1093995.9975963291</v>
      </c>
      <c r="GD195" s="1078">
        <f t="shared" si="454"/>
        <v>9.822009651262462E-4</v>
      </c>
    </row>
    <row r="196" spans="1:186" hidden="1" outlineLevel="1">
      <c r="A196" s="211" t="s">
        <v>557</v>
      </c>
      <c r="B196" s="212" t="s">
        <v>558</v>
      </c>
      <c r="C196" s="213" t="s">
        <v>215</v>
      </c>
      <c r="D196" s="225" t="s">
        <v>215</v>
      </c>
      <c r="E196" s="213"/>
      <c r="F196" s="213"/>
      <c r="G196" s="213"/>
      <c r="H196" s="213" t="s">
        <v>215</v>
      </c>
      <c r="I196" s="214" t="s">
        <v>215</v>
      </c>
      <c r="J196" s="214"/>
      <c r="K196" s="213" t="s">
        <v>215</v>
      </c>
      <c r="L196" s="213"/>
      <c r="M196" s="214"/>
      <c r="N196" s="213"/>
      <c r="O196" s="214"/>
      <c r="P196" s="213"/>
      <c r="Q196" s="214"/>
      <c r="R196" s="214" t="s">
        <v>215</v>
      </c>
      <c r="S196" s="214"/>
      <c r="T196" s="214"/>
      <c r="U196" s="215">
        <f t="shared" si="575"/>
        <v>6</v>
      </c>
      <c r="V196" s="845" t="s">
        <v>219</v>
      </c>
      <c r="W196" s="216">
        <v>66333</v>
      </c>
      <c r="X196" s="217">
        <v>3.47</v>
      </c>
      <c r="Y196" s="218">
        <f t="shared" si="483"/>
        <v>1.0347</v>
      </c>
      <c r="Z196" s="196">
        <v>19</v>
      </c>
      <c r="AA196" s="218">
        <f t="shared" si="484"/>
        <v>1.9119412036868784</v>
      </c>
      <c r="AB196" s="196">
        <f t="shared" si="549"/>
        <v>126824.7958641617</v>
      </c>
      <c r="AC196">
        <v>19.100000000000001</v>
      </c>
      <c r="AD196" s="196">
        <f t="shared" si="550"/>
        <v>24223.536010054886</v>
      </c>
      <c r="AE196" s="196">
        <f t="shared" si="487"/>
        <v>23012.359209552142</v>
      </c>
      <c r="AF196" s="196">
        <f t="shared" si="576"/>
        <v>23012.359209552142</v>
      </c>
      <c r="AG196" s="606">
        <f t="shared" si="577"/>
        <v>1.063990463699805E-3</v>
      </c>
      <c r="AH196" s="196">
        <f t="shared" si="601"/>
        <v>6341.2397932080858</v>
      </c>
      <c r="AI196" s="248">
        <f t="shared" si="552"/>
        <v>4.9124623886307914E-4</v>
      </c>
      <c r="AJ196" s="196">
        <f t="shared" si="578"/>
        <v>30564.775803262972</v>
      </c>
      <c r="AK196" s="196">
        <f t="shared" si="455"/>
        <v>5072.9918345664682</v>
      </c>
      <c r="AL196" s="196">
        <f t="shared" si="456"/>
        <v>5072.9918345664682</v>
      </c>
      <c r="AM196" s="196">
        <f t="shared" si="553"/>
        <v>10145.983669132936</v>
      </c>
      <c r="AN196" s="627">
        <f t="shared" si="554"/>
        <v>4.9124623886307914E-4</v>
      </c>
      <c r="AO196" s="196">
        <f t="shared" si="555"/>
        <v>4819.3422428381446</v>
      </c>
      <c r="AP196" s="589">
        <f t="shared" si="579"/>
        <v>4.9124623886307914E-4</v>
      </c>
      <c r="AQ196" s="196"/>
      <c r="AR196" s="589"/>
      <c r="AS196">
        <v>1</v>
      </c>
      <c r="AT196" s="589">
        <f t="shared" si="580"/>
        <v>1.2919896640826874E-3</v>
      </c>
      <c r="AU196" s="196">
        <v>11</v>
      </c>
      <c r="AV196" s="245">
        <f t="shared" si="556"/>
        <v>1.2498579706851495E-3</v>
      </c>
      <c r="AX196" s="245"/>
      <c r="AY196" s="245"/>
      <c r="AZ196" s="196">
        <v>22</v>
      </c>
      <c r="BA196" s="589">
        <f t="shared" si="447"/>
        <v>8.0612656187021366E-4</v>
      </c>
      <c r="BI196" s="196">
        <v>0</v>
      </c>
      <c r="BK196" s="246">
        <f t="shared" si="448"/>
        <v>0</v>
      </c>
      <c r="BL196" s="246"/>
      <c r="BM196" s="246">
        <f t="shared" si="449"/>
        <v>0</v>
      </c>
      <c r="BN196" s="196">
        <v>1</v>
      </c>
      <c r="BO196" s="196">
        <f t="shared" si="581"/>
        <v>7771.6461452067397</v>
      </c>
      <c r="BP196" s="196">
        <f t="shared" si="582"/>
        <v>7771.6461452067397</v>
      </c>
      <c r="BQ196" s="248">
        <f t="shared" si="450"/>
        <v>7.2700130628651266E-4</v>
      </c>
      <c r="BR196" s="248"/>
      <c r="BS196" s="248"/>
      <c r="BT196" s="276">
        <v>1</v>
      </c>
      <c r="BU196" s="196">
        <f t="shared" si="602"/>
        <v>28254.33240212802</v>
      </c>
      <c r="BV196" s="264">
        <f t="shared" si="451"/>
        <v>1.9597740135474891E-3</v>
      </c>
      <c r="BW196" s="196">
        <f t="shared" si="603"/>
        <v>120865.75527576987</v>
      </c>
      <c r="BX196" s="247">
        <f t="shared" si="452"/>
        <v>1.9597740312012088E-3</v>
      </c>
      <c r="BY196" s="196">
        <f t="shared" si="492"/>
        <v>149120.08767789789</v>
      </c>
      <c r="BZ196" s="620">
        <v>0</v>
      </c>
      <c r="CA196" s="196">
        <f t="shared" si="583"/>
        <v>38808.387534433481</v>
      </c>
      <c r="CB196" s="196">
        <f t="shared" si="584"/>
        <v>77616.775068866962</v>
      </c>
      <c r="CC196" s="196">
        <f t="shared" si="585"/>
        <v>116425.16260330044</v>
      </c>
      <c r="CD196" s="247">
        <f t="shared" si="557"/>
        <v>4.9124623886307914E-4</v>
      </c>
      <c r="CE196" s="196">
        <f t="shared" si="586"/>
        <v>9648.0608916050805</v>
      </c>
      <c r="CF196" s="247">
        <f t="shared" si="558"/>
        <v>4.1663327424466395E-4</v>
      </c>
      <c r="CG196" s="196">
        <f t="shared" si="532"/>
        <v>19277.368971352578</v>
      </c>
      <c r="CH196" s="589">
        <f t="shared" si="587"/>
        <v>4.9124623886307914E-4</v>
      </c>
      <c r="CI196" s="196">
        <f t="shared" si="588"/>
        <v>15082.214756786139</v>
      </c>
      <c r="CJ196" s="248">
        <f t="shared" si="589"/>
        <v>2.4795157231784139E-4</v>
      </c>
      <c r="CK196" s="196">
        <f t="shared" si="590"/>
        <v>43167.77444222186</v>
      </c>
      <c r="CL196" s="589">
        <f t="shared" si="591"/>
        <v>6.2054563683932033E-4</v>
      </c>
      <c r="CM196" s="196">
        <f t="shared" si="592"/>
        <v>4181.8803854473181</v>
      </c>
      <c r="CN196" s="589">
        <f t="shared" si="593"/>
        <v>6.0265648915422453E-4</v>
      </c>
      <c r="CO196" s="196">
        <f t="shared" si="594"/>
        <v>334.55106695513126</v>
      </c>
      <c r="CP196" s="589">
        <f t="shared" si="595"/>
        <v>6.3091178192667689E-4</v>
      </c>
      <c r="CQ196" s="196">
        <f>'Detailed Budget'!$AC$12</f>
        <v>292876014141.44696</v>
      </c>
      <c r="CR196" s="269">
        <f t="shared" si="604"/>
        <v>0</v>
      </c>
      <c r="CS196" s="269">
        <f>'Detailed Budget'!$AC$16</f>
        <v>10488008800.000002</v>
      </c>
      <c r="CT196" s="607">
        <f t="shared" si="533"/>
        <v>0</v>
      </c>
      <c r="CU196" s="269">
        <f>'Detailed Budget'!$AC$24</f>
        <v>30624985696</v>
      </c>
      <c r="CV196" s="269">
        <f t="shared" si="446"/>
        <v>0</v>
      </c>
      <c r="CW196" s="269"/>
      <c r="CX196" s="269">
        <f t="shared" si="596"/>
        <v>0</v>
      </c>
      <c r="CY196" s="196">
        <f>'Detailed Budget'!$AC$97</f>
        <v>74629165494.837845</v>
      </c>
      <c r="CZ196" s="269">
        <f t="shared" si="534"/>
        <v>54255500.801819451</v>
      </c>
      <c r="DA196" s="269">
        <f>'Detailed Budget'!$AC$100</f>
        <v>14925833098.967569</v>
      </c>
      <c r="DB196" s="269">
        <f t="shared" si="535"/>
        <v>10851100.16036389</v>
      </c>
      <c r="DC196" s="269">
        <f t="shared" si="560"/>
        <v>65106600.962183341</v>
      </c>
      <c r="DD196" s="207">
        <v>0</v>
      </c>
      <c r="DE196" s="606">
        <v>0</v>
      </c>
      <c r="DF196" s="269">
        <f>'Detailed Budget'!$AC$147</f>
        <v>5913600671000</v>
      </c>
      <c r="DG196" s="269">
        <f t="shared" si="441"/>
        <v>0</v>
      </c>
      <c r="DH196" s="269">
        <f>'Detailed Budget'!$AC$153</f>
        <v>226428026880.00003</v>
      </c>
      <c r="DI196" s="269"/>
      <c r="DJ196" s="269">
        <f>'Detailed Budget'!$AC$156</f>
        <v>27713070000</v>
      </c>
      <c r="DK196" s="269"/>
      <c r="DL196" s="269"/>
      <c r="DM196" s="196">
        <f>'Detailed Budget'!$AC$178</f>
        <v>5622683761.6229038</v>
      </c>
      <c r="DN196" s="269">
        <f t="shared" si="597"/>
        <v>11019189.522424012</v>
      </c>
      <c r="DO196" s="196">
        <f>'Detailed Budget'!$AC$179</f>
        <v>26827890683.128094</v>
      </c>
      <c r="DP196" s="269">
        <f t="shared" si="598"/>
        <v>52576603.472699292</v>
      </c>
      <c r="DQ196" s="269">
        <f t="shared" si="457"/>
        <v>63595792.995123304</v>
      </c>
      <c r="DR196" s="269">
        <f>'Detailed Budget'!$AC$181</f>
        <v>50888946855.375237</v>
      </c>
      <c r="DS196" s="269">
        <f t="shared" si="599"/>
        <v>54145354.161845431</v>
      </c>
      <c r="DT196" s="269">
        <f t="shared" si="600"/>
        <v>117741147.15696874</v>
      </c>
      <c r="DU196" s="272">
        <f>'Detailed Budget'!$AC$192</f>
        <v>77498869683.252869</v>
      </c>
      <c r="DV196" s="269">
        <f t="shared" si="536"/>
        <v>0</v>
      </c>
      <c r="DW196" s="140">
        <f>'Detailed Budget'!$AC$194</f>
        <v>2684962805.4134097</v>
      </c>
      <c r="DX196" s="269">
        <f t="shared" si="537"/>
        <v>0</v>
      </c>
      <c r="DY196" s="607">
        <f t="shared" si="561"/>
        <v>0</v>
      </c>
      <c r="DZ196" s="196">
        <f>'Detailed Budget'!$AC$198</f>
        <v>18732540018.380611</v>
      </c>
      <c r="EA196" s="269">
        <f t="shared" si="562"/>
        <v>7804599.4827771112</v>
      </c>
      <c r="EB196" s="196">
        <f>'Detailed Budget'!$AC$200</f>
        <v>4683135004.5951529</v>
      </c>
      <c r="EC196" s="269">
        <f t="shared" si="538"/>
        <v>1951149.8706942778</v>
      </c>
      <c r="ED196" s="269">
        <f t="shared" si="563"/>
        <v>9755749.353471389</v>
      </c>
      <c r="EE196" s="196">
        <f>'Detailed Budget'!$AC$161</f>
        <v>251147290106.36197</v>
      </c>
      <c r="EF196" s="269">
        <f t="shared" si="539"/>
        <v>123375161.66540493</v>
      </c>
      <c r="EG196" s="196">
        <f>'Detailed Budget'!$AC$163</f>
        <v>15696705631.647623</v>
      </c>
      <c r="EH196" s="269">
        <f t="shared" si="540"/>
        <v>7710947.6040878082</v>
      </c>
      <c r="EI196" s="269">
        <f t="shared" si="564"/>
        <v>131086109.26949275</v>
      </c>
      <c r="EJ196" s="196">
        <f>'Detailed Budget'!$AC$204</f>
        <v>45012172507.531975</v>
      </c>
      <c r="EK196" s="269">
        <f t="shared" si="541"/>
        <v>11160838.946684467</v>
      </c>
      <c r="EL196" s="201">
        <f>'Detailed Budget'!$AC$206</f>
        <v>11253043126.882994</v>
      </c>
      <c r="EM196" s="269">
        <f t="shared" si="542"/>
        <v>2790209.7366711167</v>
      </c>
      <c r="EN196" s="269">
        <f t="shared" si="565"/>
        <v>13951048.683355583</v>
      </c>
      <c r="EO196" s="140">
        <f>'Detailed Budget'!$AC$209</f>
        <v>135789361677.54817</v>
      </c>
      <c r="EP196" s="269">
        <f t="shared" si="543"/>
        <v>84263495.918198928</v>
      </c>
      <c r="EQ196" s="196">
        <f>'Detailed Budget'!$AC$211</f>
        <v>33947340419.387043</v>
      </c>
      <c r="ER196" s="269">
        <f t="shared" si="544"/>
        <v>21065873.979549732</v>
      </c>
      <c r="ES196" s="269">
        <f t="shared" si="566"/>
        <v>105329369.89774866</v>
      </c>
      <c r="ET196" s="196">
        <f>'Detailed Budget'!$AC$214</f>
        <v>22239745544.201103</v>
      </c>
      <c r="EU196" s="269">
        <f t="shared" si="545"/>
        <v>13402926.969351545</v>
      </c>
      <c r="EV196" s="140">
        <f>'Detailed Budget'!$AC$217</f>
        <v>5559936386.0502758</v>
      </c>
      <c r="EW196" s="269">
        <f t="shared" si="546"/>
        <v>3350731.7423378862</v>
      </c>
      <c r="EX196" s="269">
        <f t="shared" si="567"/>
        <v>16753658.711689431</v>
      </c>
      <c r="EY196" s="196">
        <f>'Detailed Budget'!$AC$219</f>
        <v>372777004.58170313</v>
      </c>
      <c r="EZ196" s="269">
        <f t="shared" si="547"/>
        <v>235189.40422193133</v>
      </c>
      <c r="FA196" s="196">
        <f>'Detailed Budget'!$AC$222</f>
        <v>93194251.145425782</v>
      </c>
      <c r="FB196" s="269">
        <f t="shared" si="548"/>
        <v>58797.351055482832</v>
      </c>
      <c r="FC196" s="269">
        <f t="shared" si="568"/>
        <v>293986.75527741417</v>
      </c>
      <c r="FD196" s="269"/>
      <c r="FE196" s="269">
        <f t="shared" si="569"/>
        <v>136328064.04807112</v>
      </c>
      <c r="FF196" s="140">
        <f>'Detailed Budget'!$AC$165</f>
        <v>14927760000</v>
      </c>
      <c r="FG196" s="1087">
        <f t="shared" si="442"/>
        <v>185960503.4414587</v>
      </c>
      <c r="FH196" s="269">
        <f t="shared" si="570"/>
        <v>18657579.820474949</v>
      </c>
      <c r="FJ196" s="140">
        <f>'Detailed Budget'!$AC$235</f>
        <v>3623696172</v>
      </c>
      <c r="FK196" s="269">
        <f t="shared" si="571"/>
        <v>4681778</v>
      </c>
      <c r="FL196" s="269">
        <f t="shared" si="443"/>
        <v>4681778</v>
      </c>
      <c r="FO196" s="607"/>
      <c r="FP196" s="607"/>
      <c r="FQ196" s="607"/>
      <c r="FR196" s="269">
        <f>'Detailed Budget'!$AC$257</f>
        <v>13636439388</v>
      </c>
      <c r="FS196" s="269">
        <f t="shared" si="572"/>
        <v>10992696</v>
      </c>
      <c r="FT196" s="269">
        <f t="shared" si="444"/>
        <v>10992696</v>
      </c>
      <c r="FU196" s="269"/>
      <c r="FV196" s="269"/>
      <c r="FW196" s="616"/>
      <c r="FX196" s="140">
        <f>'Detailed Budget'!$AC$278</f>
        <v>1114560000</v>
      </c>
      <c r="FY196" s="269">
        <f t="shared" si="573"/>
        <v>1440000</v>
      </c>
      <c r="FZ196" s="269">
        <f t="shared" si="445"/>
        <v>1440000</v>
      </c>
      <c r="GB196" s="269">
        <f t="shared" si="453"/>
        <v>681750228.05212104</v>
      </c>
      <c r="GC196" s="887">
        <f t="shared" si="574"/>
        <v>426093.89253257564</v>
      </c>
      <c r="GD196" s="1078">
        <f t="shared" si="454"/>
        <v>3.8255152066316776E-4</v>
      </c>
    </row>
    <row r="197" spans="1:186" hidden="1" outlineLevel="1">
      <c r="A197" s="211" t="s">
        <v>559</v>
      </c>
      <c r="B197" s="212" t="s">
        <v>560</v>
      </c>
      <c r="C197" s="213" t="s">
        <v>215</v>
      </c>
      <c r="D197" s="225" t="s">
        <v>215</v>
      </c>
      <c r="E197" s="213"/>
      <c r="F197" s="213"/>
      <c r="G197" s="213"/>
      <c r="H197" s="213" t="s">
        <v>215</v>
      </c>
      <c r="I197" s="214" t="s">
        <v>215</v>
      </c>
      <c r="J197" s="214"/>
      <c r="K197" s="213" t="s">
        <v>215</v>
      </c>
      <c r="L197" s="213"/>
      <c r="M197" s="214"/>
      <c r="N197" s="213"/>
      <c r="O197" s="214"/>
      <c r="P197" s="213"/>
      <c r="Q197" s="214"/>
      <c r="R197" s="214" t="s">
        <v>215</v>
      </c>
      <c r="S197" s="214"/>
      <c r="T197" s="214"/>
      <c r="U197" s="215">
        <f t="shared" si="575"/>
        <v>6</v>
      </c>
      <c r="V197" s="845" t="s">
        <v>219</v>
      </c>
      <c r="W197" s="216">
        <v>233200</v>
      </c>
      <c r="X197" s="217">
        <v>3.47</v>
      </c>
      <c r="Y197" s="218">
        <f t="shared" si="483"/>
        <v>1.0347</v>
      </c>
      <c r="Z197" s="196">
        <v>19</v>
      </c>
      <c r="AA197" s="218">
        <f t="shared" si="484"/>
        <v>1.9119412036868784</v>
      </c>
      <c r="AB197" s="196">
        <f t="shared" si="549"/>
        <v>445864.68869978003</v>
      </c>
      <c r="AC197">
        <v>19.100000000000001</v>
      </c>
      <c r="AD197" s="196">
        <f t="shared" si="550"/>
        <v>85160.155541657994</v>
      </c>
      <c r="AE197" s="196">
        <f t="shared" si="487"/>
        <v>80902.147764575086</v>
      </c>
      <c r="AF197" s="196">
        <f t="shared" si="576"/>
        <v>80902.147764575086</v>
      </c>
      <c r="AG197" s="606">
        <f t="shared" si="577"/>
        <v>3.7405601455503977E-3</v>
      </c>
      <c r="AH197" s="196">
        <f t="shared" si="601"/>
        <v>22293.234434989005</v>
      </c>
      <c r="AI197" s="248">
        <f t="shared" si="552"/>
        <v>1.7270230941291674E-3</v>
      </c>
      <c r="AJ197" s="196">
        <f t="shared" si="578"/>
        <v>107453.389976647</v>
      </c>
      <c r="AK197" s="196">
        <f t="shared" si="455"/>
        <v>17834.587547991203</v>
      </c>
      <c r="AL197" s="196">
        <f t="shared" si="456"/>
        <v>17834.587547991203</v>
      </c>
      <c r="AM197" s="196">
        <f t="shared" si="553"/>
        <v>35669.175095982406</v>
      </c>
      <c r="AN197" s="627">
        <f t="shared" si="554"/>
        <v>1.7270230941291674E-3</v>
      </c>
      <c r="AO197" s="196">
        <f t="shared" si="555"/>
        <v>16942.85817059164</v>
      </c>
      <c r="AP197" s="589">
        <f t="shared" si="579"/>
        <v>1.7270230941291672E-3</v>
      </c>
      <c r="AQ197" s="196"/>
      <c r="AR197" s="589"/>
      <c r="AS197">
        <v>1</v>
      </c>
      <c r="AT197" s="589">
        <f t="shared" si="580"/>
        <v>1.2919896640826874E-3</v>
      </c>
      <c r="AU197" s="196">
        <v>10</v>
      </c>
      <c r="AV197" s="245">
        <f t="shared" si="556"/>
        <v>1.1362345188046814E-3</v>
      </c>
      <c r="AX197" s="245"/>
      <c r="AY197" s="245"/>
      <c r="AZ197" s="196">
        <v>10</v>
      </c>
      <c r="BA197" s="589">
        <f t="shared" si="447"/>
        <v>3.6642116448646071E-4</v>
      </c>
      <c r="BI197" s="196">
        <v>0</v>
      </c>
      <c r="BK197" s="246">
        <f t="shared" si="448"/>
        <v>0</v>
      </c>
      <c r="BL197" s="246"/>
      <c r="BM197" s="246">
        <f t="shared" si="449"/>
        <v>0</v>
      </c>
      <c r="BN197" s="196">
        <v>1</v>
      </c>
      <c r="BO197" s="196">
        <f t="shared" si="581"/>
        <v>27321.964649001431</v>
      </c>
      <c r="BP197" s="196">
        <f t="shared" si="582"/>
        <v>27321.964649001431</v>
      </c>
      <c r="BQ197" s="248">
        <f t="shared" si="450"/>
        <v>2.555842561410079E-3</v>
      </c>
      <c r="BR197" s="248"/>
      <c r="BS197" s="248"/>
      <c r="BT197" s="276">
        <v>1</v>
      </c>
      <c r="BU197" s="196">
        <f t="shared" si="602"/>
        <v>99330.80542378989</v>
      </c>
      <c r="BV197" s="264">
        <f t="shared" si="451"/>
        <v>6.8897728123147525E-3</v>
      </c>
      <c r="BW197" s="196">
        <f t="shared" si="603"/>
        <v>424915.11209065677</v>
      </c>
      <c r="BX197" s="247">
        <f t="shared" si="452"/>
        <v>6.8897728743780905E-3</v>
      </c>
      <c r="BY197" s="196">
        <f t="shared" si="492"/>
        <v>524245.91751444666</v>
      </c>
      <c r="BZ197" s="620">
        <v>0</v>
      </c>
      <c r="CA197" s="196">
        <f t="shared" si="583"/>
        <v>136434.5947421327</v>
      </c>
      <c r="CB197" s="196">
        <f t="shared" si="584"/>
        <v>272869.1894842654</v>
      </c>
      <c r="CC197" s="196">
        <f t="shared" si="585"/>
        <v>409303.7842263981</v>
      </c>
      <c r="CD197" s="247">
        <f t="shared" si="557"/>
        <v>1.7270230941291674E-3</v>
      </c>
      <c r="CE197" s="196">
        <f t="shared" si="586"/>
        <v>33918.67999219551</v>
      </c>
      <c r="CF197" s="247">
        <f t="shared" si="558"/>
        <v>1.4647140873148452E-3</v>
      </c>
      <c r="CG197" s="196">
        <f t="shared" si="532"/>
        <v>67771.432682366561</v>
      </c>
      <c r="CH197" s="589">
        <f t="shared" si="587"/>
        <v>1.7270230941291672E-3</v>
      </c>
      <c r="CI197" s="196">
        <f t="shared" si="588"/>
        <v>53022.96716992338</v>
      </c>
      <c r="CJ197" s="248">
        <f t="shared" si="589"/>
        <v>8.7169744568345471E-4</v>
      </c>
      <c r="CK197" s="196">
        <f t="shared" si="590"/>
        <v>151760.43598097688</v>
      </c>
      <c r="CL197" s="589">
        <f t="shared" si="591"/>
        <v>2.1815874830164402E-3</v>
      </c>
      <c r="CM197" s="196">
        <f t="shared" si="592"/>
        <v>14701.800097784129</v>
      </c>
      <c r="CN197" s="589">
        <f t="shared" si="593"/>
        <v>2.1186964749184442E-3</v>
      </c>
      <c r="CO197" s="196">
        <f t="shared" si="594"/>
        <v>1176.1462441610754</v>
      </c>
      <c r="CP197" s="589">
        <f t="shared" si="595"/>
        <v>2.2180306566158786E-3</v>
      </c>
      <c r="CQ197" s="196">
        <f>'Detailed Budget'!$AC$12</f>
        <v>292876014141.44696</v>
      </c>
      <c r="CR197" s="269">
        <f t="shared" si="604"/>
        <v>0</v>
      </c>
      <c r="CS197" s="269">
        <f>'Detailed Budget'!$AC$16</f>
        <v>10488008800.000002</v>
      </c>
      <c r="CT197" s="607">
        <f t="shared" si="533"/>
        <v>0</v>
      </c>
      <c r="CU197" s="269">
        <f>'Detailed Budget'!$AC$24</f>
        <v>30624985696</v>
      </c>
      <c r="CV197" s="269">
        <f t="shared" si="446"/>
        <v>0</v>
      </c>
      <c r="CW197" s="269"/>
      <c r="CX197" s="269">
        <f t="shared" si="596"/>
        <v>0</v>
      </c>
      <c r="CY197" s="196">
        <f>'Detailed Budget'!$AC$97</f>
        <v>74629165494.837845</v>
      </c>
      <c r="CZ197" s="269">
        <f t="shared" si="534"/>
        <v>190740397.49422306</v>
      </c>
      <c r="DA197" s="269">
        <f>'Detailed Budget'!$AC$100</f>
        <v>14925833098.967569</v>
      </c>
      <c r="DB197" s="269">
        <f t="shared" si="535"/>
        <v>38148079.498844609</v>
      </c>
      <c r="DC197" s="269">
        <f t="shared" si="560"/>
        <v>228888476.99306768</v>
      </c>
      <c r="DD197" s="207">
        <v>0</v>
      </c>
      <c r="DE197" s="606">
        <v>0</v>
      </c>
      <c r="DF197" s="269">
        <f>'Detailed Budget'!$AC$147</f>
        <v>5913600671000</v>
      </c>
      <c r="DG197" s="269">
        <f t="shared" si="441"/>
        <v>0</v>
      </c>
      <c r="DH197" s="269">
        <f>'Detailed Budget'!$AC$153</f>
        <v>226428026880.00003</v>
      </c>
      <c r="DI197" s="269"/>
      <c r="DJ197" s="269">
        <f>'Detailed Budget'!$AC$156</f>
        <v>27713070000</v>
      </c>
      <c r="DK197" s="269"/>
      <c r="DL197" s="269"/>
      <c r="DM197" s="196">
        <f>'Detailed Budget'!$AC$178</f>
        <v>5622683761.6229038</v>
      </c>
      <c r="DN197" s="269">
        <f t="shared" si="597"/>
        <v>38739013.713073127</v>
      </c>
      <c r="DO197" s="196">
        <f>'Detailed Budget'!$AC$179</f>
        <v>26827890683.128094</v>
      </c>
      <c r="DP197" s="269">
        <f t="shared" si="598"/>
        <v>184838073.50539663</v>
      </c>
      <c r="DQ197" s="269">
        <f t="shared" si="457"/>
        <v>223577087.21846977</v>
      </c>
      <c r="DR197" s="269">
        <f>'Detailed Budget'!$AC$181</f>
        <v>50888946855.375237</v>
      </c>
      <c r="DS197" s="269">
        <f t="shared" si="599"/>
        <v>190353166.45624885</v>
      </c>
      <c r="DT197" s="269">
        <f t="shared" si="600"/>
        <v>413930253.67471862</v>
      </c>
      <c r="DU197" s="272">
        <f>'Detailed Budget'!$AC$192</f>
        <v>77498869683.252869</v>
      </c>
      <c r="DV197" s="269">
        <f t="shared" si="536"/>
        <v>0</v>
      </c>
      <c r="DW197" s="140">
        <f>'Detailed Budget'!$AC$194</f>
        <v>2684962805.4134097</v>
      </c>
      <c r="DX197" s="269">
        <f t="shared" si="537"/>
        <v>0</v>
      </c>
      <c r="DY197" s="607">
        <f t="shared" si="561"/>
        <v>0</v>
      </c>
      <c r="DZ197" s="196">
        <f>'Detailed Budget'!$AC$198</f>
        <v>18732540018.380611</v>
      </c>
      <c r="EA197" s="269">
        <f t="shared" si="562"/>
        <v>27437815.256111171</v>
      </c>
      <c r="EB197" s="196">
        <f>'Detailed Budget'!$AC$200</f>
        <v>4683135004.5951529</v>
      </c>
      <c r="EC197" s="269">
        <f t="shared" si="538"/>
        <v>6859453.8140277928</v>
      </c>
      <c r="ED197" s="269">
        <f t="shared" si="563"/>
        <v>34297269.070138961</v>
      </c>
      <c r="EE197" s="196">
        <f>'Detailed Budget'!$AC$161</f>
        <v>251147290106.36197</v>
      </c>
      <c r="EF197" s="269">
        <f t="shared" si="539"/>
        <v>433737170.04164481</v>
      </c>
      <c r="EG197" s="196">
        <f>'Detailed Budget'!$AC$163</f>
        <v>15696705631.647623</v>
      </c>
      <c r="EH197" s="269">
        <f t="shared" si="540"/>
        <v>27108573.127602801</v>
      </c>
      <c r="EI197" s="269">
        <f t="shared" si="564"/>
        <v>460845743.16924763</v>
      </c>
      <c r="EJ197" s="196">
        <f>'Detailed Budget'!$AC$204</f>
        <v>45012172507.531975</v>
      </c>
      <c r="EK197" s="269">
        <f t="shared" si="541"/>
        <v>39236995.79947865</v>
      </c>
      <c r="EL197" s="201">
        <f>'Detailed Budget'!$AC$206</f>
        <v>11253043126.882994</v>
      </c>
      <c r="EM197" s="269">
        <f t="shared" si="542"/>
        <v>9809248.9498696625</v>
      </c>
      <c r="EN197" s="269">
        <f t="shared" si="565"/>
        <v>49046244.749348313</v>
      </c>
      <c r="EO197" s="140">
        <f>'Detailed Budget'!$AC$209</f>
        <v>135789361677.54817</v>
      </c>
      <c r="EP197" s="269">
        <f t="shared" si="543"/>
        <v>296236371.7625314</v>
      </c>
      <c r="EQ197" s="196">
        <f>'Detailed Budget'!$AC$211</f>
        <v>33947340419.387043</v>
      </c>
      <c r="ER197" s="269">
        <f t="shared" si="544"/>
        <v>74059092.94063285</v>
      </c>
      <c r="ES197" s="269">
        <f t="shared" si="566"/>
        <v>370295464.70316422</v>
      </c>
      <c r="ET197" s="196">
        <f>'Detailed Budget'!$AC$214</f>
        <v>22239745544.201103</v>
      </c>
      <c r="EU197" s="269">
        <f t="shared" si="545"/>
        <v>47119270.48758205</v>
      </c>
      <c r="EV197" s="140">
        <f>'Detailed Budget'!$AC$217</f>
        <v>5559936386.0502758</v>
      </c>
      <c r="EW197" s="269">
        <f t="shared" si="546"/>
        <v>11779817.621895513</v>
      </c>
      <c r="EX197" s="269">
        <f t="shared" si="567"/>
        <v>58899088.109477565</v>
      </c>
      <c r="EY197" s="196">
        <f>'Detailed Budget'!$AC$219</f>
        <v>372777004.58170313</v>
      </c>
      <c r="EZ197" s="269">
        <f t="shared" si="547"/>
        <v>826830.82424365531</v>
      </c>
      <c r="FA197" s="196">
        <f>'Detailed Budget'!$AC$222</f>
        <v>93194251.145425782</v>
      </c>
      <c r="FB197" s="269">
        <f t="shared" si="548"/>
        <v>206707.70606091383</v>
      </c>
      <c r="FC197" s="269">
        <f t="shared" si="568"/>
        <v>1033538.5303045692</v>
      </c>
      <c r="FD197" s="269"/>
      <c r="FE197" s="269">
        <f t="shared" si="569"/>
        <v>479274336.09229463</v>
      </c>
      <c r="FF197" s="140">
        <f>'Detailed Budget'!$AC$165</f>
        <v>14927760000</v>
      </c>
      <c r="FG197" s="1087">
        <f t="shared" si="442"/>
        <v>653761919.44504499</v>
      </c>
      <c r="FH197" s="269">
        <f t="shared" si="570"/>
        <v>16961436.200431772</v>
      </c>
      <c r="FJ197" s="140">
        <f>'Detailed Budget'!$AC$235</f>
        <v>3623696172</v>
      </c>
      <c r="FK197" s="269">
        <f t="shared" si="571"/>
        <v>4681778</v>
      </c>
      <c r="FL197" s="269">
        <f t="shared" si="443"/>
        <v>4681778</v>
      </c>
      <c r="FO197" s="607"/>
      <c r="FP197" s="607"/>
      <c r="FQ197" s="607"/>
      <c r="FR197" s="269">
        <f>'Detailed Budget'!$AC$257</f>
        <v>13636439388</v>
      </c>
      <c r="FS197" s="269">
        <f t="shared" si="572"/>
        <v>4996680</v>
      </c>
      <c r="FT197" s="269">
        <f t="shared" si="444"/>
        <v>4996680</v>
      </c>
      <c r="FU197" s="269"/>
      <c r="FV197" s="269"/>
      <c r="FW197" s="616"/>
      <c r="FX197" s="140">
        <f>'Detailed Budget'!$AC$278</f>
        <v>1114560000</v>
      </c>
      <c r="FY197" s="269">
        <f t="shared" si="573"/>
        <v>1440000</v>
      </c>
      <c r="FZ197" s="269">
        <f t="shared" si="445"/>
        <v>1440000</v>
      </c>
      <c r="GB197" s="269">
        <f t="shared" si="453"/>
        <v>2299077892.6449442</v>
      </c>
      <c r="GC197" s="887">
        <f t="shared" si="574"/>
        <v>1436923.68290309</v>
      </c>
      <c r="GD197" s="1078">
        <f t="shared" si="454"/>
        <v>1.2900850014635477E-3</v>
      </c>
    </row>
    <row r="198" spans="1:186" hidden="1" outlineLevel="1">
      <c r="A198" s="211" t="s">
        <v>561</v>
      </c>
      <c r="B198" s="212" t="s">
        <v>562</v>
      </c>
      <c r="C198" s="213" t="s">
        <v>215</v>
      </c>
      <c r="D198" s="225" t="s">
        <v>215</v>
      </c>
      <c r="E198" s="213"/>
      <c r="F198" s="213"/>
      <c r="G198" s="213"/>
      <c r="H198" s="213" t="s">
        <v>215</v>
      </c>
      <c r="I198" s="214" t="s">
        <v>215</v>
      </c>
      <c r="J198" s="214"/>
      <c r="K198" s="213" t="s">
        <v>215</v>
      </c>
      <c r="L198" s="213"/>
      <c r="M198" s="214"/>
      <c r="N198" s="213"/>
      <c r="O198" s="214"/>
      <c r="P198" s="213"/>
      <c r="Q198" s="214"/>
      <c r="R198" s="214" t="s">
        <v>215</v>
      </c>
      <c r="S198" s="214"/>
      <c r="T198" s="214"/>
      <c r="U198" s="215">
        <f t="shared" si="575"/>
        <v>6</v>
      </c>
      <c r="V198" s="845" t="s">
        <v>219</v>
      </c>
      <c r="W198" s="216">
        <v>105042</v>
      </c>
      <c r="X198" s="217">
        <v>3.47</v>
      </c>
      <c r="Y198" s="218">
        <f t="shared" si="483"/>
        <v>1.0347</v>
      </c>
      <c r="Z198" s="196">
        <v>19</v>
      </c>
      <c r="AA198" s="218">
        <f t="shared" si="484"/>
        <v>1.9119412036868784</v>
      </c>
      <c r="AB198" s="196">
        <f t="shared" si="549"/>
        <v>200834.12791767708</v>
      </c>
      <c r="AC198">
        <v>19.100000000000001</v>
      </c>
      <c r="AD198" s="196">
        <f t="shared" si="550"/>
        <v>38359.318432276326</v>
      </c>
      <c r="AE198" s="196">
        <f t="shared" si="487"/>
        <v>36441.352510662509</v>
      </c>
      <c r="AF198" s="196">
        <f t="shared" si="576"/>
        <v>36441.352510662509</v>
      </c>
      <c r="AG198" s="606">
        <f t="shared" si="577"/>
        <v>1.6848881595579112E-3</v>
      </c>
      <c r="AH198" s="196">
        <f t="shared" si="601"/>
        <v>10041.706395883855</v>
      </c>
      <c r="AI198" s="248">
        <f t="shared" si="552"/>
        <v>7.7791577981782165E-4</v>
      </c>
      <c r="AJ198" s="196">
        <f t="shared" si="578"/>
        <v>48401.024828160182</v>
      </c>
      <c r="AK198" s="196">
        <f t="shared" si="455"/>
        <v>8033.365116707083</v>
      </c>
      <c r="AL198" s="196">
        <f t="shared" si="456"/>
        <v>8033.365116707083</v>
      </c>
      <c r="AM198" s="196">
        <f t="shared" si="553"/>
        <v>16066.730233414166</v>
      </c>
      <c r="AN198" s="627">
        <f t="shared" si="554"/>
        <v>7.7791577981782154E-4</v>
      </c>
      <c r="AO198" s="196">
        <f t="shared" si="555"/>
        <v>7631.6968608717289</v>
      </c>
      <c r="AP198" s="589">
        <f t="shared" si="579"/>
        <v>7.7791577981782154E-4</v>
      </c>
      <c r="AQ198" s="196"/>
      <c r="AR198" s="589"/>
      <c r="AS198">
        <v>1</v>
      </c>
      <c r="AT198" s="589">
        <f t="shared" si="580"/>
        <v>1.2919896640826874E-3</v>
      </c>
      <c r="AU198" s="196">
        <v>10</v>
      </c>
      <c r="AV198" s="245">
        <f t="shared" si="556"/>
        <v>1.1362345188046814E-3</v>
      </c>
      <c r="AX198" s="245"/>
      <c r="AY198" s="245"/>
      <c r="AZ198" s="196">
        <v>6</v>
      </c>
      <c r="BA198" s="589">
        <f t="shared" si="447"/>
        <v>2.1985269869187644E-4</v>
      </c>
      <c r="BI198" s="196">
        <v>0</v>
      </c>
      <c r="BK198" s="246">
        <f t="shared" si="448"/>
        <v>0</v>
      </c>
      <c r="BL198" s="246"/>
      <c r="BM198" s="246">
        <f t="shared" si="449"/>
        <v>0</v>
      </c>
      <c r="BN198" s="196">
        <v>1</v>
      </c>
      <c r="BO198" s="196">
        <f t="shared" si="581"/>
        <v>12306.834522557498</v>
      </c>
      <c r="BP198" s="196">
        <f t="shared" si="582"/>
        <v>12306.834522557498</v>
      </c>
      <c r="BQ198" s="248">
        <f t="shared" si="450"/>
        <v>1.1512470597583085E-3</v>
      </c>
      <c r="BR198" s="248"/>
      <c r="BS198" s="248"/>
      <c r="BT198" s="276">
        <v>1</v>
      </c>
      <c r="BU198" s="196">
        <f t="shared" si="602"/>
        <v>44742.309019407105</v>
      </c>
      <c r="BV198" s="264">
        <f t="shared" si="451"/>
        <v>3.1034113025350182E-3</v>
      </c>
      <c r="BW198" s="196">
        <f t="shared" si="603"/>
        <v>191397.65524968598</v>
      </c>
      <c r="BX198" s="247">
        <f t="shared" si="452"/>
        <v>3.1034113304906664E-3</v>
      </c>
      <c r="BY198" s="196">
        <f t="shared" si="492"/>
        <v>236139.96426909309</v>
      </c>
      <c r="BZ198" s="620">
        <v>0</v>
      </c>
      <c r="CA198" s="196">
        <f t="shared" si="583"/>
        <v>61455.24314280918</v>
      </c>
      <c r="CB198" s="196">
        <f t="shared" si="584"/>
        <v>122910.48628561836</v>
      </c>
      <c r="CC198" s="196">
        <f t="shared" si="585"/>
        <v>184365.72942842753</v>
      </c>
      <c r="CD198" s="247">
        <f t="shared" si="557"/>
        <v>7.7791577981782144E-4</v>
      </c>
      <c r="CE198" s="196">
        <f t="shared" si="586"/>
        <v>15278.241782762439</v>
      </c>
      <c r="CF198" s="247">
        <f t="shared" si="558"/>
        <v>6.5976199468150082E-4</v>
      </c>
      <c r="CG198" s="196">
        <f t="shared" si="532"/>
        <v>30526.787443486915</v>
      </c>
      <c r="CH198" s="589">
        <f t="shared" si="587"/>
        <v>7.7791577981782154E-4</v>
      </c>
      <c r="CI198" s="196">
        <f t="shared" si="588"/>
        <v>23883.527090322008</v>
      </c>
      <c r="CJ198" s="248">
        <f t="shared" si="589"/>
        <v>3.9264512474048655E-4</v>
      </c>
      <c r="CK198" s="196">
        <f t="shared" si="590"/>
        <v>68358.575112837789</v>
      </c>
      <c r="CL198" s="589">
        <f t="shared" si="591"/>
        <v>9.8266857800605872E-4</v>
      </c>
      <c r="CM198" s="196">
        <f t="shared" si="592"/>
        <v>6622.240505452146</v>
      </c>
      <c r="CN198" s="589">
        <f t="shared" si="593"/>
        <v>9.5434011628809268E-4</v>
      </c>
      <c r="CO198" s="196">
        <f t="shared" si="594"/>
        <v>529.78024776658526</v>
      </c>
      <c r="CP198" s="589">
        <f t="shared" si="595"/>
        <v>9.9908394610739751E-4</v>
      </c>
      <c r="CQ198" s="196">
        <f>'Detailed Budget'!$AC$12</f>
        <v>292876014141.44696</v>
      </c>
      <c r="CR198" s="269">
        <f t="shared" si="604"/>
        <v>0</v>
      </c>
      <c r="CS198" s="269">
        <f>'Detailed Budget'!$AC$16</f>
        <v>10488008800.000002</v>
      </c>
      <c r="CT198" s="607">
        <f t="shared" si="533"/>
        <v>0</v>
      </c>
      <c r="CU198" s="269">
        <f>'Detailed Budget'!$AC$24</f>
        <v>30624985696</v>
      </c>
      <c r="CV198" s="269">
        <f t="shared" si="446"/>
        <v>0</v>
      </c>
      <c r="CW198" s="269"/>
      <c r="CX198" s="269">
        <f t="shared" si="596"/>
        <v>0</v>
      </c>
      <c r="CY198" s="196">
        <f>'Detailed Budget'!$AC$97</f>
        <v>74629165494.837845</v>
      </c>
      <c r="CZ198" s="269">
        <f t="shared" si="534"/>
        <v>85916607.348148286</v>
      </c>
      <c r="DA198" s="269">
        <f>'Detailed Budget'!$AC$100</f>
        <v>14925833098.967569</v>
      </c>
      <c r="DB198" s="269">
        <f t="shared" si="535"/>
        <v>17183321.469629657</v>
      </c>
      <c r="DC198" s="269">
        <f t="shared" si="560"/>
        <v>103099928.81777795</v>
      </c>
      <c r="DD198" s="207">
        <v>0</v>
      </c>
      <c r="DE198" s="606">
        <v>0</v>
      </c>
      <c r="DF198" s="269">
        <f>'Detailed Budget'!$AC$147</f>
        <v>5913600671000</v>
      </c>
      <c r="DG198" s="269">
        <f t="shared" si="441"/>
        <v>0</v>
      </c>
      <c r="DH198" s="269">
        <f>'Detailed Budget'!$AC$153</f>
        <v>226428026880.00003</v>
      </c>
      <c r="DI198" s="269"/>
      <c r="DJ198" s="269">
        <f>'Detailed Budget'!$AC$156</f>
        <v>27713070000</v>
      </c>
      <c r="DK198" s="269"/>
      <c r="DL198" s="269"/>
      <c r="DM198" s="196">
        <f>'Detailed Budget'!$AC$178</f>
        <v>5622683761.6229038</v>
      </c>
      <c r="DN198" s="269">
        <f t="shared" si="597"/>
        <v>17449500.336400632</v>
      </c>
      <c r="DO198" s="196">
        <f>'Detailed Budget'!$AC$179</f>
        <v>26827890683.128094</v>
      </c>
      <c r="DP198" s="269">
        <f t="shared" si="598"/>
        <v>83257979.919184715</v>
      </c>
      <c r="DQ198" s="269">
        <f t="shared" si="457"/>
        <v>100707480.25558534</v>
      </c>
      <c r="DR198" s="269">
        <f>'Detailed Budget'!$AC$181</f>
        <v>50888946855.375237</v>
      </c>
      <c r="DS198" s="269">
        <f t="shared" si="599"/>
        <v>85742184.008993536</v>
      </c>
      <c r="DT198" s="269">
        <f t="shared" si="600"/>
        <v>186449664.26457888</v>
      </c>
      <c r="DU198" s="272">
        <f>'Detailed Budget'!$AC$192</f>
        <v>77498869683.252869</v>
      </c>
      <c r="DV198" s="269">
        <f t="shared" si="536"/>
        <v>0</v>
      </c>
      <c r="DW198" s="140">
        <f>'Detailed Budget'!$AC$194</f>
        <v>2684962805.4134097</v>
      </c>
      <c r="DX198" s="269">
        <f t="shared" si="537"/>
        <v>0</v>
      </c>
      <c r="DY198" s="607">
        <f t="shared" si="561"/>
        <v>0</v>
      </c>
      <c r="DZ198" s="196">
        <f>'Detailed Budget'!$AC$198</f>
        <v>18732540018.380611</v>
      </c>
      <c r="EA198" s="269">
        <f t="shared" si="562"/>
        <v>12359017.967977831</v>
      </c>
      <c r="EB198" s="196">
        <f>'Detailed Budget'!$AC$200</f>
        <v>4683135004.5951529</v>
      </c>
      <c r="EC198" s="269">
        <f t="shared" si="538"/>
        <v>3089754.4919944578</v>
      </c>
      <c r="ED198" s="269">
        <f t="shared" si="563"/>
        <v>15448772.459972288</v>
      </c>
      <c r="EE198" s="196">
        <f>'Detailed Budget'!$AC$161</f>
        <v>251147290106.36197</v>
      </c>
      <c r="EF198" s="269">
        <f t="shared" si="539"/>
        <v>195371440.03222322</v>
      </c>
      <c r="EG198" s="196">
        <f>'Detailed Budget'!$AC$163</f>
        <v>15696705631.647623</v>
      </c>
      <c r="EH198" s="269">
        <f t="shared" si="540"/>
        <v>12210715.002013952</v>
      </c>
      <c r="EI198" s="269">
        <f t="shared" si="564"/>
        <v>207582155.03423718</v>
      </c>
      <c r="EJ198" s="196">
        <f>'Detailed Budget'!$AC$204</f>
        <v>45012172507.531975</v>
      </c>
      <c r="EK198" s="269">
        <f t="shared" si="541"/>
        <v>17673810.089060191</v>
      </c>
      <c r="EL198" s="201">
        <f>'Detailed Budget'!$AC$206</f>
        <v>11253043126.882994</v>
      </c>
      <c r="EM198" s="269">
        <f t="shared" si="542"/>
        <v>4418452.5222650478</v>
      </c>
      <c r="EN198" s="269">
        <f t="shared" si="565"/>
        <v>22092262.611325238</v>
      </c>
      <c r="EO198" s="140">
        <f>'Detailed Budget'!$AC$209</f>
        <v>135789361677.54817</v>
      </c>
      <c r="EP198" s="269">
        <f t="shared" si="543"/>
        <v>133435938.94802667</v>
      </c>
      <c r="EQ198" s="196">
        <f>'Detailed Budget'!$AC$211</f>
        <v>33947340419.387043</v>
      </c>
      <c r="ER198" s="269">
        <f t="shared" si="544"/>
        <v>33358984.737006668</v>
      </c>
      <c r="ES198" s="269">
        <f t="shared" si="566"/>
        <v>166794923.68503335</v>
      </c>
      <c r="ET198" s="196">
        <f>'Detailed Budget'!$AC$214</f>
        <v>22239745544.201103</v>
      </c>
      <c r="EU198" s="269">
        <f t="shared" si="545"/>
        <v>21224281.348870471</v>
      </c>
      <c r="EV198" s="140">
        <f>'Detailed Budget'!$AC$217</f>
        <v>5559936386.0502758</v>
      </c>
      <c r="EW198" s="269">
        <f t="shared" si="546"/>
        <v>5306070.3372176178</v>
      </c>
      <c r="EX198" s="269">
        <f t="shared" si="567"/>
        <v>26530351.686088089</v>
      </c>
      <c r="EY198" s="196">
        <f>'Detailed Budget'!$AC$219</f>
        <v>372777004.58170313</v>
      </c>
      <c r="EZ198" s="269">
        <f t="shared" si="547"/>
        <v>372435.52075558336</v>
      </c>
      <c r="FA198" s="196">
        <f>'Detailed Budget'!$AC$222</f>
        <v>93194251.145425782</v>
      </c>
      <c r="FB198" s="269">
        <f t="shared" si="548"/>
        <v>93108.880188895841</v>
      </c>
      <c r="FC198" s="269">
        <f t="shared" si="568"/>
        <v>465544.40094447922</v>
      </c>
      <c r="FD198" s="269"/>
      <c r="FE198" s="269">
        <f t="shared" si="569"/>
        <v>215883082.38339114</v>
      </c>
      <c r="FF198" s="140">
        <f>'Detailed Budget'!$AC$165</f>
        <v>14927760000</v>
      </c>
      <c r="FG198" s="1087">
        <f t="shared" si="442"/>
        <v>294478814.50405836</v>
      </c>
      <c r="FH198" s="269">
        <f t="shared" si="570"/>
        <v>16961436.200431772</v>
      </c>
      <c r="FJ198" s="140">
        <f>'Detailed Budget'!$AC$235</f>
        <v>3623696172</v>
      </c>
      <c r="FK198" s="269">
        <f t="shared" si="571"/>
        <v>4681778</v>
      </c>
      <c r="FL198" s="269">
        <f t="shared" si="443"/>
        <v>4681778</v>
      </c>
      <c r="FO198" s="607"/>
      <c r="FP198" s="607"/>
      <c r="FQ198" s="607"/>
      <c r="FR198" s="269">
        <f>'Detailed Budget'!$AC$257</f>
        <v>13636439388</v>
      </c>
      <c r="FS198" s="269">
        <f t="shared" si="572"/>
        <v>2998008</v>
      </c>
      <c r="FT198" s="269">
        <f t="shared" si="444"/>
        <v>2998008</v>
      </c>
      <c r="FU198" s="269"/>
      <c r="FV198" s="269"/>
      <c r="FW198" s="616"/>
      <c r="FX198" s="140">
        <f>'Detailed Budget'!$AC$278</f>
        <v>1114560000</v>
      </c>
      <c r="FY198" s="269">
        <f t="shared" si="573"/>
        <v>1440000</v>
      </c>
      <c r="FZ198" s="269">
        <f t="shared" si="445"/>
        <v>1440000</v>
      </c>
      <c r="GB198" s="269">
        <f t="shared" si="453"/>
        <v>1049023639.6644475</v>
      </c>
      <c r="GC198" s="887">
        <f t="shared" si="574"/>
        <v>655639.77479027968</v>
      </c>
      <c r="GD198" s="1078">
        <f t="shared" si="454"/>
        <v>5.8864019702911609E-4</v>
      </c>
    </row>
    <row r="199" spans="1:186" hidden="1" outlineLevel="1">
      <c r="A199" s="211" t="s">
        <v>563</v>
      </c>
      <c r="B199" s="212" t="s">
        <v>564</v>
      </c>
      <c r="C199" s="213" t="s">
        <v>215</v>
      </c>
      <c r="D199" s="225" t="s">
        <v>215</v>
      </c>
      <c r="E199" s="213"/>
      <c r="F199" s="213"/>
      <c r="G199" s="213"/>
      <c r="H199" s="213" t="s">
        <v>215</v>
      </c>
      <c r="I199" s="214" t="s">
        <v>215</v>
      </c>
      <c r="J199" s="214"/>
      <c r="K199" s="213" t="s">
        <v>215</v>
      </c>
      <c r="L199" s="213"/>
      <c r="M199" s="214"/>
      <c r="N199" s="213"/>
      <c r="O199" s="214"/>
      <c r="P199" s="213"/>
      <c r="Q199" s="214"/>
      <c r="R199" s="214" t="s">
        <v>215</v>
      </c>
      <c r="S199" s="214"/>
      <c r="T199" s="214"/>
      <c r="U199" s="215">
        <f t="shared" si="575"/>
        <v>6</v>
      </c>
      <c r="V199" s="845" t="s">
        <v>219</v>
      </c>
      <c r="W199" s="216">
        <v>151286</v>
      </c>
      <c r="X199" s="217">
        <v>3.47</v>
      </c>
      <c r="Y199" s="218">
        <f t="shared" si="483"/>
        <v>1.0347</v>
      </c>
      <c r="Z199" s="196">
        <v>19</v>
      </c>
      <c r="AA199" s="218">
        <f t="shared" si="484"/>
        <v>1.9119412036868784</v>
      </c>
      <c r="AB199" s="196">
        <f t="shared" si="549"/>
        <v>289249.9369409731</v>
      </c>
      <c r="AC199">
        <v>19.100000000000001</v>
      </c>
      <c r="AD199" s="196">
        <f t="shared" si="550"/>
        <v>55246.737955725861</v>
      </c>
      <c r="AE199" s="196">
        <f t="shared" si="487"/>
        <v>52484.401057939569</v>
      </c>
      <c r="AF199" s="196">
        <f t="shared" si="576"/>
        <v>52484.401057939569</v>
      </c>
      <c r="AG199" s="606">
        <f t="shared" si="577"/>
        <v>2.4266482940812069E-3</v>
      </c>
      <c r="AH199" s="196">
        <f t="shared" si="601"/>
        <v>14462.496847048656</v>
      </c>
      <c r="AI199" s="248">
        <f t="shared" si="552"/>
        <v>1.1203877179177754E-3</v>
      </c>
      <c r="AJ199" s="196">
        <f t="shared" si="578"/>
        <v>69709.234802774517</v>
      </c>
      <c r="AK199" s="196">
        <f t="shared" ref="AK199:AK259" si="605">AB199*0.04</f>
        <v>11569.997477638924</v>
      </c>
      <c r="AL199" s="196">
        <f t="shared" ref="AL199:AL259" si="606">AB199*0.04</f>
        <v>11569.997477638924</v>
      </c>
      <c r="AM199" s="196">
        <f t="shared" si="553"/>
        <v>23139.994955277849</v>
      </c>
      <c r="AN199" s="627">
        <f t="shared" si="554"/>
        <v>1.1203877179177754E-3</v>
      </c>
      <c r="AO199" s="196">
        <f t="shared" si="555"/>
        <v>10991.497603756978</v>
      </c>
      <c r="AP199" s="589">
        <f t="shared" si="579"/>
        <v>1.1203877179177754E-3</v>
      </c>
      <c r="AQ199" s="196"/>
      <c r="AR199" s="589"/>
      <c r="AS199">
        <v>1</v>
      </c>
      <c r="AT199" s="589">
        <f t="shared" si="580"/>
        <v>1.2919896640826874E-3</v>
      </c>
      <c r="AU199" s="196">
        <v>10</v>
      </c>
      <c r="AV199" s="245">
        <f t="shared" si="556"/>
        <v>1.1362345188046814E-3</v>
      </c>
      <c r="AX199" s="245"/>
      <c r="AY199" s="245"/>
      <c r="AZ199" s="196">
        <v>3</v>
      </c>
      <c r="BA199" s="589">
        <f t="shared" si="447"/>
        <v>1.0992634934593822E-4</v>
      </c>
      <c r="BI199" s="196">
        <v>0</v>
      </c>
      <c r="BK199" s="246">
        <f t="shared" si="448"/>
        <v>0</v>
      </c>
      <c r="BL199" s="246"/>
      <c r="BM199" s="246">
        <f t="shared" si="449"/>
        <v>0</v>
      </c>
      <c r="BN199" s="196">
        <v>1</v>
      </c>
      <c r="BO199" s="196">
        <f t="shared" si="581"/>
        <v>17724.831663331177</v>
      </c>
      <c r="BP199" s="196">
        <f t="shared" si="582"/>
        <v>17724.831663331177</v>
      </c>
      <c r="BQ199" s="248">
        <f t="shared" si="450"/>
        <v>1.6580754620303827E-3</v>
      </c>
      <c r="BR199" s="248"/>
      <c r="BS199" s="248"/>
      <c r="BT199" s="276">
        <v>1</v>
      </c>
      <c r="BU199" s="196">
        <f t="shared" si="602"/>
        <v>64439.795151558654</v>
      </c>
      <c r="BV199" s="264">
        <f t="shared" si="451"/>
        <v>4.4696662507883777E-3</v>
      </c>
      <c r="BW199" s="196">
        <f t="shared" si="603"/>
        <v>275659.12370388978</v>
      </c>
      <c r="BX199" s="247">
        <f t="shared" si="452"/>
        <v>4.4696662910513026E-3</v>
      </c>
      <c r="BY199" s="196">
        <f t="shared" si="492"/>
        <v>340098.91885544843</v>
      </c>
      <c r="BZ199" s="620">
        <v>0</v>
      </c>
      <c r="CA199" s="196">
        <f t="shared" si="583"/>
        <v>88510.480703937777</v>
      </c>
      <c r="CB199" s="196">
        <f t="shared" si="584"/>
        <v>177020.96140787555</v>
      </c>
      <c r="CC199" s="196">
        <f t="shared" si="585"/>
        <v>265531.44211181335</v>
      </c>
      <c r="CD199" s="247">
        <f t="shared" si="557"/>
        <v>1.1203877179177756E-3</v>
      </c>
      <c r="CE199" s="196">
        <f t="shared" si="586"/>
        <v>22004.380022724232</v>
      </c>
      <c r="CF199" s="247">
        <f t="shared" si="558"/>
        <v>9.5021756180752026E-4</v>
      </c>
      <c r="CG199" s="196">
        <f t="shared" si="532"/>
        <v>43965.990415027911</v>
      </c>
      <c r="CH199" s="589">
        <f t="shared" si="587"/>
        <v>1.1203877179177754E-3</v>
      </c>
      <c r="CI199" s="196">
        <f t="shared" si="588"/>
        <v>34398.081523452092</v>
      </c>
      <c r="CJ199" s="248">
        <f t="shared" si="589"/>
        <v>5.6550437293167717E-4</v>
      </c>
      <c r="CK199" s="196">
        <f t="shared" si="590"/>
        <v>98452.955908310731</v>
      </c>
      <c r="CL199" s="589">
        <f t="shared" si="591"/>
        <v>1.4152814920910168E-3</v>
      </c>
      <c r="CM199" s="196">
        <f t="shared" si="592"/>
        <v>9537.6352040882048</v>
      </c>
      <c r="CN199" s="589">
        <f t="shared" si="593"/>
        <v>1.3744816248049388E-3</v>
      </c>
      <c r="CO199" s="196">
        <f t="shared" si="594"/>
        <v>763.0122671275833</v>
      </c>
      <c r="CP199" s="589">
        <f t="shared" si="595"/>
        <v>1.4389236102778291E-3</v>
      </c>
      <c r="CQ199" s="196">
        <f>'Detailed Budget'!$AC$12</f>
        <v>292876014141.44696</v>
      </c>
      <c r="CR199" s="269">
        <f t="shared" si="604"/>
        <v>0</v>
      </c>
      <c r="CS199" s="269">
        <f>'Detailed Budget'!$AC$16</f>
        <v>10488008800.000002</v>
      </c>
      <c r="CT199" s="607">
        <f t="shared" si="533"/>
        <v>0</v>
      </c>
      <c r="CU199" s="269">
        <f>'Detailed Budget'!$AC$24</f>
        <v>30624985696</v>
      </c>
      <c r="CV199" s="269">
        <f t="shared" si="446"/>
        <v>0</v>
      </c>
      <c r="CW199" s="269"/>
      <c r="CX199" s="269">
        <f t="shared" si="596"/>
        <v>0</v>
      </c>
      <c r="CY199" s="196">
        <f>'Detailed Budget'!$AC$97</f>
        <v>74629165494.837845</v>
      </c>
      <c r="CZ199" s="269">
        <f t="shared" si="534"/>
        <v>123740788.05879515</v>
      </c>
      <c r="DA199" s="269">
        <f>'Detailed Budget'!$AC$100</f>
        <v>14925833098.967569</v>
      </c>
      <c r="DB199" s="269">
        <f t="shared" si="535"/>
        <v>24748157.611759029</v>
      </c>
      <c r="DC199" s="269">
        <f t="shared" si="560"/>
        <v>148488945.67055419</v>
      </c>
      <c r="DD199" s="207">
        <v>0</v>
      </c>
      <c r="DE199" s="606">
        <v>0</v>
      </c>
      <c r="DF199" s="269">
        <f>'Detailed Budget'!$AC$147</f>
        <v>5913600671000</v>
      </c>
      <c r="DG199" s="269">
        <f t="shared" ref="DG199:DG262" si="607">DE199*DF199</f>
        <v>0</v>
      </c>
      <c r="DH199" s="269">
        <f>'Detailed Budget'!$AC$153</f>
        <v>226428026880.00003</v>
      </c>
      <c r="DI199" s="269"/>
      <c r="DJ199" s="269">
        <f>'Detailed Budget'!$AC$156</f>
        <v>27713070000</v>
      </c>
      <c r="DK199" s="269"/>
      <c r="DL199" s="269"/>
      <c r="DM199" s="196">
        <f>'Detailed Budget'!$AC$178</f>
        <v>5622683761.6229038</v>
      </c>
      <c r="DN199" s="269">
        <f t="shared" si="597"/>
        <v>25131519.848181736</v>
      </c>
      <c r="DO199" s="196">
        <f>'Detailed Budget'!$AC$179</f>
        <v>26827890683.128094</v>
      </c>
      <c r="DP199" s="269">
        <f t="shared" si="598"/>
        <v>119911718.64638694</v>
      </c>
      <c r="DQ199" s="269">
        <f t="shared" si="457"/>
        <v>145043238.49456868</v>
      </c>
      <c r="DR199" s="269">
        <f>'Detailed Budget'!$AC$181</f>
        <v>50888946855.375237</v>
      </c>
      <c r="DS199" s="269">
        <f t="shared" si="599"/>
        <v>123489576.07418552</v>
      </c>
      <c r="DT199" s="269">
        <f t="shared" si="600"/>
        <v>268532814.5687542</v>
      </c>
      <c r="DU199" s="272">
        <f>'Detailed Budget'!$AC$192</f>
        <v>77498869683.252869</v>
      </c>
      <c r="DV199" s="269">
        <f t="shared" si="536"/>
        <v>0</v>
      </c>
      <c r="DW199" s="140">
        <f>'Detailed Budget'!$AC$194</f>
        <v>2684962805.4134097</v>
      </c>
      <c r="DX199" s="269">
        <f t="shared" si="537"/>
        <v>0</v>
      </c>
      <c r="DY199" s="607">
        <f t="shared" si="561"/>
        <v>0</v>
      </c>
      <c r="DZ199" s="196">
        <f>'Detailed Budget'!$AC$198</f>
        <v>18732540018.380611</v>
      </c>
      <c r="EA199" s="269">
        <f t="shared" si="562"/>
        <v>17799988.502727427</v>
      </c>
      <c r="EB199" s="196">
        <f>'Detailed Budget'!$AC$200</f>
        <v>4683135004.5951529</v>
      </c>
      <c r="EC199" s="269">
        <f t="shared" si="538"/>
        <v>4449997.1256818566</v>
      </c>
      <c r="ED199" s="269">
        <f t="shared" si="563"/>
        <v>22249985.628409281</v>
      </c>
      <c r="EE199" s="196">
        <f>'Detailed Budget'!$AC$161</f>
        <v>251147290106.36197</v>
      </c>
      <c r="EF199" s="269">
        <f t="shared" si="539"/>
        <v>281382339.22350037</v>
      </c>
      <c r="EG199" s="196">
        <f>'Detailed Budget'!$AC$163</f>
        <v>15696705631.647623</v>
      </c>
      <c r="EH199" s="269">
        <f t="shared" si="540"/>
        <v>17586396.201468773</v>
      </c>
      <c r="EI199" s="269">
        <f t="shared" si="564"/>
        <v>298968735.42496914</v>
      </c>
      <c r="EJ199" s="196">
        <f>'Detailed Budget'!$AC$204</f>
        <v>45012172507.531975</v>
      </c>
      <c r="EK199" s="269">
        <f t="shared" si="541"/>
        <v>25454580.388164349</v>
      </c>
      <c r="EL199" s="201">
        <f>'Detailed Budget'!$AC$206</f>
        <v>11253043126.882994</v>
      </c>
      <c r="EM199" s="269">
        <f t="shared" si="542"/>
        <v>6363645.0970410872</v>
      </c>
      <c r="EN199" s="269">
        <f t="shared" si="565"/>
        <v>31818225.485205434</v>
      </c>
      <c r="EO199" s="140">
        <f>'Detailed Budget'!$AC$209</f>
        <v>135789361677.54817</v>
      </c>
      <c r="EP199" s="269">
        <f t="shared" si="543"/>
        <v>192180170.40508711</v>
      </c>
      <c r="EQ199" s="196">
        <f>'Detailed Budget'!$AC$211</f>
        <v>33947340419.387043</v>
      </c>
      <c r="ER199" s="269">
        <f t="shared" si="544"/>
        <v>48045042.601271778</v>
      </c>
      <c r="ES199" s="269">
        <f t="shared" si="566"/>
        <v>240225213.00635889</v>
      </c>
      <c r="ET199" s="196">
        <f>'Detailed Budget'!$AC$214</f>
        <v>22239745544.201103</v>
      </c>
      <c r="EU199" s="269">
        <f t="shared" si="545"/>
        <v>30568121.59084193</v>
      </c>
      <c r="EV199" s="140">
        <f>'Detailed Budget'!$AC$217</f>
        <v>5559936386.0502758</v>
      </c>
      <c r="EW199" s="269">
        <f t="shared" si="546"/>
        <v>7642030.3977104826</v>
      </c>
      <c r="EX199" s="269">
        <f t="shared" si="567"/>
        <v>38210151.988552414</v>
      </c>
      <c r="EY199" s="196">
        <f>'Detailed Budget'!$AC$219</f>
        <v>372777004.58170313</v>
      </c>
      <c r="EZ199" s="269">
        <f t="shared" si="547"/>
        <v>536397.63326125906</v>
      </c>
      <c r="FA199" s="196">
        <f>'Detailed Budget'!$AC$222</f>
        <v>93194251.145425782</v>
      </c>
      <c r="FB199" s="269">
        <f t="shared" si="548"/>
        <v>134099.40831531477</v>
      </c>
      <c r="FC199" s="269">
        <f t="shared" si="568"/>
        <v>670497.04157657386</v>
      </c>
      <c r="FD199" s="269"/>
      <c r="FE199" s="269">
        <f t="shared" si="569"/>
        <v>310924087.52169329</v>
      </c>
      <c r="FF199" s="140">
        <f>'Detailed Budget'!$AC$165</f>
        <v>14927760000</v>
      </c>
      <c r="FG199" s="1087">
        <f t="shared" ref="FG199:FG262" si="608">FE199/0.423*0.577</f>
        <v>424121036.64306623</v>
      </c>
      <c r="FH199" s="269">
        <f t="shared" si="570"/>
        <v>16961436.200431772</v>
      </c>
      <c r="FJ199" s="140">
        <f>'Detailed Budget'!$AC$235</f>
        <v>3623696172</v>
      </c>
      <c r="FK199" s="269">
        <f t="shared" si="571"/>
        <v>4681778</v>
      </c>
      <c r="FL199" s="269">
        <f t="shared" ref="FL199:FL262" si="609">FI199+FK199</f>
        <v>4681778</v>
      </c>
      <c r="FO199" s="607"/>
      <c r="FP199" s="607"/>
      <c r="FQ199" s="607"/>
      <c r="FR199" s="269">
        <f>'Detailed Budget'!$AC$257</f>
        <v>13636439388</v>
      </c>
      <c r="FS199" s="269">
        <f t="shared" si="572"/>
        <v>1499004</v>
      </c>
      <c r="FT199" s="269">
        <f t="shared" ref="FT199:FT262" si="610">FM199+FO199+FQ199+FS199</f>
        <v>1499004</v>
      </c>
      <c r="FU199" s="269"/>
      <c r="FV199" s="269"/>
      <c r="FW199" s="616"/>
      <c r="FX199" s="140">
        <f>'Detailed Budget'!$AC$278</f>
        <v>1114560000</v>
      </c>
      <c r="FY199" s="269">
        <f t="shared" si="573"/>
        <v>1440000</v>
      </c>
      <c r="FZ199" s="269">
        <f t="shared" ref="FZ199:FZ262" si="611">FU199+FW199+FY199</f>
        <v>1440000</v>
      </c>
      <c r="GB199" s="269">
        <f t="shared" si="453"/>
        <v>1497867823.6578779</v>
      </c>
      <c r="GC199" s="887">
        <f t="shared" si="574"/>
        <v>936167.38978617371</v>
      </c>
      <c r="GD199" s="1078">
        <f t="shared" si="454"/>
        <v>8.4050080236855158E-4</v>
      </c>
    </row>
    <row r="200" spans="1:186" hidden="1" outlineLevel="1">
      <c r="A200" s="211" t="s">
        <v>565</v>
      </c>
      <c r="B200" s="212" t="s">
        <v>566</v>
      </c>
      <c r="C200" s="213" t="s">
        <v>215</v>
      </c>
      <c r="D200" s="225" t="s">
        <v>215</v>
      </c>
      <c r="E200" s="213"/>
      <c r="F200" s="213"/>
      <c r="G200" s="213"/>
      <c r="H200" s="213" t="s">
        <v>215</v>
      </c>
      <c r="I200" s="214" t="s">
        <v>215</v>
      </c>
      <c r="J200" s="214"/>
      <c r="K200" s="213" t="s">
        <v>215</v>
      </c>
      <c r="L200" s="213"/>
      <c r="M200" s="214"/>
      <c r="N200" s="213"/>
      <c r="O200" s="214"/>
      <c r="P200" s="213"/>
      <c r="Q200" s="214"/>
      <c r="R200" s="214" t="s">
        <v>215</v>
      </c>
      <c r="S200" s="214"/>
      <c r="T200" s="214"/>
      <c r="U200" s="215">
        <f t="shared" si="575"/>
        <v>6</v>
      </c>
      <c r="V200" s="845" t="s">
        <v>219</v>
      </c>
      <c r="W200" s="216">
        <v>95991</v>
      </c>
      <c r="X200" s="217">
        <v>3.47</v>
      </c>
      <c r="Y200" s="218">
        <f t="shared" si="483"/>
        <v>1.0347</v>
      </c>
      <c r="Z200" s="196">
        <v>19</v>
      </c>
      <c r="AA200" s="218">
        <f t="shared" si="484"/>
        <v>1.9119412036868784</v>
      </c>
      <c r="AB200" s="196">
        <f t="shared" si="549"/>
        <v>183529.14808310714</v>
      </c>
      <c r="AC200">
        <v>19.100000000000001</v>
      </c>
      <c r="AD200" s="196">
        <f t="shared" si="550"/>
        <v>35054.067283873468</v>
      </c>
      <c r="AE200" s="196">
        <f t="shared" si="487"/>
        <v>33301.363919679796</v>
      </c>
      <c r="AF200" s="196">
        <f t="shared" si="576"/>
        <v>33301.363919679796</v>
      </c>
      <c r="AG200" s="606">
        <f t="shared" si="577"/>
        <v>1.539708871919075E-3</v>
      </c>
      <c r="AH200" s="196">
        <f t="shared" si="601"/>
        <v>9176.4574041553569</v>
      </c>
      <c r="AI200" s="248">
        <f t="shared" si="552"/>
        <v>7.1088625140888892E-4</v>
      </c>
      <c r="AJ200" s="196">
        <f t="shared" si="578"/>
        <v>44230.524688028825</v>
      </c>
      <c r="AK200" s="196">
        <f t="shared" si="605"/>
        <v>7341.1659233242854</v>
      </c>
      <c r="AL200" s="196">
        <f t="shared" si="606"/>
        <v>7341.1659233242854</v>
      </c>
      <c r="AM200" s="196">
        <f t="shared" si="553"/>
        <v>14682.331846648571</v>
      </c>
      <c r="AN200" s="627">
        <f t="shared" si="554"/>
        <v>7.1088625140888892E-4</v>
      </c>
      <c r="AO200" s="196">
        <f t="shared" si="555"/>
        <v>6974.1076271580714</v>
      </c>
      <c r="AP200" s="589">
        <f t="shared" si="579"/>
        <v>7.1088625140888892E-4</v>
      </c>
      <c r="AQ200" s="196"/>
      <c r="AR200" s="589"/>
      <c r="AS200">
        <v>1</v>
      </c>
      <c r="AT200" s="589">
        <f t="shared" si="580"/>
        <v>1.2919896640826874E-3</v>
      </c>
      <c r="AU200" s="196">
        <v>10</v>
      </c>
      <c r="AV200" s="245">
        <f t="shared" si="556"/>
        <v>1.1362345188046814E-3</v>
      </c>
      <c r="AX200" s="245"/>
      <c r="AY200" s="245"/>
      <c r="AZ200" s="196">
        <v>0</v>
      </c>
      <c r="BA200" s="589">
        <f t="shared" si="447"/>
        <v>0</v>
      </c>
      <c r="BI200" s="196">
        <v>0</v>
      </c>
      <c r="BK200" s="246">
        <f t="shared" si="448"/>
        <v>0</v>
      </c>
      <c r="BL200" s="246"/>
      <c r="BM200" s="246">
        <f t="shared" si="449"/>
        <v>0</v>
      </c>
      <c r="BN200" s="196">
        <v>1</v>
      </c>
      <c r="BO200" s="196">
        <f t="shared" si="581"/>
        <v>11246.409556699384</v>
      </c>
      <c r="BP200" s="196">
        <f t="shared" si="582"/>
        <v>11246.409556699384</v>
      </c>
      <c r="BQ200" s="248">
        <f t="shared" si="450"/>
        <v>1.052049242334112E-3</v>
      </c>
      <c r="BR200" s="248"/>
      <c r="BS200" s="248"/>
      <c r="BT200" s="276">
        <v>1</v>
      </c>
      <c r="BU200" s="196">
        <f t="shared" si="602"/>
        <v>40887.064079910015</v>
      </c>
      <c r="BV200" s="264">
        <f t="shared" si="451"/>
        <v>2.8360042110930767E-3</v>
      </c>
      <c r="BW200" s="196">
        <f t="shared" si="603"/>
        <v>174905.77411961506</v>
      </c>
      <c r="BX200" s="247">
        <f t="shared" si="452"/>
        <v>2.8360042366399108E-3</v>
      </c>
      <c r="BY200" s="196">
        <f t="shared" si="492"/>
        <v>215792.83819952508</v>
      </c>
      <c r="BZ200" s="620">
        <v>0</v>
      </c>
      <c r="CA200" s="196">
        <f t="shared" si="583"/>
        <v>56159.919313430786</v>
      </c>
      <c r="CB200" s="196">
        <f t="shared" si="584"/>
        <v>112319.83862686157</v>
      </c>
      <c r="CC200" s="196">
        <f t="shared" si="585"/>
        <v>168479.75794029236</v>
      </c>
      <c r="CD200" s="247">
        <f t="shared" si="557"/>
        <v>7.1088625140888892E-4</v>
      </c>
      <c r="CE200" s="196">
        <f t="shared" si="586"/>
        <v>13961.783924231728</v>
      </c>
      <c r="CF200" s="247">
        <f t="shared" si="558"/>
        <v>6.0291325023773283E-4</v>
      </c>
      <c r="CG200" s="196">
        <f t="shared" si="532"/>
        <v>27896.430508632286</v>
      </c>
      <c r="CH200" s="589">
        <f t="shared" si="587"/>
        <v>7.1088625140888892E-4</v>
      </c>
      <c r="CI200" s="196">
        <f t="shared" si="588"/>
        <v>21825.590229880429</v>
      </c>
      <c r="CJ200" s="248">
        <f t="shared" si="589"/>
        <v>3.588126479785614E-4</v>
      </c>
      <c r="CK200" s="196">
        <f t="shared" si="590"/>
        <v>62468.421999356564</v>
      </c>
      <c r="CL200" s="589">
        <f t="shared" si="591"/>
        <v>8.9799641544696012E-4</v>
      </c>
      <c r="CM200" s="196">
        <f t="shared" si="592"/>
        <v>6051.6316174373769</v>
      </c>
      <c r="CN200" s="589">
        <f t="shared" si="593"/>
        <v>8.7210889075427266E-4</v>
      </c>
      <c r="CO200" s="196">
        <f t="shared" si="594"/>
        <v>484.13144992824095</v>
      </c>
      <c r="CP200" s="589">
        <f t="shared" si="595"/>
        <v>9.1299734459354546E-4</v>
      </c>
      <c r="CQ200" s="196">
        <f>'Detailed Budget'!$AC$12</f>
        <v>292876014141.44696</v>
      </c>
      <c r="CR200" s="269">
        <f t="shared" si="604"/>
        <v>0</v>
      </c>
      <c r="CS200" s="269">
        <f>'Detailed Budget'!$AC$16</f>
        <v>10488008800.000002</v>
      </c>
      <c r="CT200" s="607">
        <f t="shared" si="533"/>
        <v>0</v>
      </c>
      <c r="CU200" s="269">
        <f>'Detailed Budget'!$AC$24</f>
        <v>30624985696</v>
      </c>
      <c r="CV200" s="269">
        <f t="shared" ref="CV200:CV263" si="612">BK200*CU200</f>
        <v>0</v>
      </c>
      <c r="CW200" s="269"/>
      <c r="CX200" s="269">
        <f t="shared" si="596"/>
        <v>0</v>
      </c>
      <c r="CY200" s="196">
        <f>'Detailed Budget'!$AC$97</f>
        <v>74629165494.837845</v>
      </c>
      <c r="CZ200" s="269">
        <f t="shared" si="534"/>
        <v>78513557.01487121</v>
      </c>
      <c r="DA200" s="269">
        <f>'Detailed Budget'!$AC$100</f>
        <v>14925833098.967569</v>
      </c>
      <c r="DB200" s="269">
        <f t="shared" si="535"/>
        <v>15702711.402974242</v>
      </c>
      <c r="DC200" s="269">
        <f t="shared" si="560"/>
        <v>94216268.417845458</v>
      </c>
      <c r="DD200" s="207">
        <v>0</v>
      </c>
      <c r="DE200" s="606">
        <v>0</v>
      </c>
      <c r="DF200" s="269">
        <f>'Detailed Budget'!$AC$147</f>
        <v>5913600671000</v>
      </c>
      <c r="DG200" s="269">
        <f t="shared" si="607"/>
        <v>0</v>
      </c>
      <c r="DH200" s="269">
        <f>'Detailed Budget'!$AC$153</f>
        <v>226428026880.00003</v>
      </c>
      <c r="DI200" s="269"/>
      <c r="DJ200" s="269">
        <f>'Detailed Budget'!$AC$156</f>
        <v>27713070000</v>
      </c>
      <c r="DK200" s="269"/>
      <c r="DL200" s="269"/>
      <c r="DM200" s="196">
        <f>'Detailed Budget'!$AC$178</f>
        <v>5622683761.6229038</v>
      </c>
      <c r="DN200" s="269">
        <f t="shared" si="597"/>
        <v>15945954.825607216</v>
      </c>
      <c r="DO200" s="196">
        <f>'Detailed Budget'!$AC$179</f>
        <v>26827890683.128094</v>
      </c>
      <c r="DP200" s="269">
        <f t="shared" si="598"/>
        <v>76084011.637463659</v>
      </c>
      <c r="DQ200" s="269">
        <f t="shared" si="457"/>
        <v>92029966.463070869</v>
      </c>
      <c r="DR200" s="269">
        <f>'Detailed Budget'!$AC$181</f>
        <v>50888946855.375237</v>
      </c>
      <c r="DS200" s="269">
        <f t="shared" si="599"/>
        <v>78354162.955839559</v>
      </c>
      <c r="DT200" s="269">
        <f t="shared" si="600"/>
        <v>170384129.41891044</v>
      </c>
      <c r="DU200" s="272">
        <f>'Detailed Budget'!$AC$192</f>
        <v>77498869683.252869</v>
      </c>
      <c r="DV200" s="269">
        <f t="shared" si="536"/>
        <v>0</v>
      </c>
      <c r="DW200" s="140">
        <f>'Detailed Budget'!$AC$194</f>
        <v>2684962805.4134097</v>
      </c>
      <c r="DX200" s="269">
        <f t="shared" si="537"/>
        <v>0</v>
      </c>
      <c r="DY200" s="607">
        <f t="shared" si="561"/>
        <v>0</v>
      </c>
      <c r="DZ200" s="196">
        <f>'Detailed Budget'!$AC$198</f>
        <v>18732540018.380611</v>
      </c>
      <c r="EA200" s="269">
        <f t="shared" si="562"/>
        <v>11294096.587690255</v>
      </c>
      <c r="EB200" s="196">
        <f>'Detailed Budget'!$AC$200</f>
        <v>4683135004.5951529</v>
      </c>
      <c r="EC200" s="269">
        <f t="shared" si="538"/>
        <v>2823524.1469225637</v>
      </c>
      <c r="ED200" s="269">
        <f t="shared" si="563"/>
        <v>14117620.734612819</v>
      </c>
      <c r="EE200" s="196">
        <f>'Detailed Budget'!$AC$161</f>
        <v>251147290106.36197</v>
      </c>
      <c r="EF200" s="269">
        <f t="shared" si="539"/>
        <v>178537155.61521238</v>
      </c>
      <c r="EG200" s="196">
        <f>'Detailed Budget'!$AC$163</f>
        <v>15696705631.647623</v>
      </c>
      <c r="EH200" s="269">
        <f t="shared" si="540"/>
        <v>11158572.225950774</v>
      </c>
      <c r="EI200" s="269">
        <f t="shared" si="564"/>
        <v>189695727.84116316</v>
      </c>
      <c r="EJ200" s="196">
        <f>'Detailed Budget'!$AC$204</f>
        <v>45012172507.531975</v>
      </c>
      <c r="EK200" s="269">
        <f t="shared" si="541"/>
        <v>16150936.80869535</v>
      </c>
      <c r="EL200" s="201">
        <f>'Detailed Budget'!$AC$206</f>
        <v>11253043126.882994</v>
      </c>
      <c r="EM200" s="269">
        <f t="shared" si="542"/>
        <v>4037734.2021738375</v>
      </c>
      <c r="EN200" s="269">
        <f t="shared" si="565"/>
        <v>20188671.010869186</v>
      </c>
      <c r="EO200" s="140">
        <f>'Detailed Budget'!$AC$209</f>
        <v>135789361677.54817</v>
      </c>
      <c r="EP200" s="269">
        <f t="shared" si="543"/>
        <v>121938360.04226908</v>
      </c>
      <c r="EQ200" s="196">
        <f>'Detailed Budget'!$AC$211</f>
        <v>33947340419.387043</v>
      </c>
      <c r="ER200" s="269">
        <f t="shared" si="544"/>
        <v>30484590.01056727</v>
      </c>
      <c r="ES200" s="269">
        <f t="shared" si="566"/>
        <v>152422950.05283636</v>
      </c>
      <c r="ET200" s="196">
        <f>'Detailed Budget'!$AC$214</f>
        <v>22239745544.201103</v>
      </c>
      <c r="EU200" s="269">
        <f t="shared" si="545"/>
        <v>19395479.817210503</v>
      </c>
      <c r="EV200" s="140">
        <f>'Detailed Budget'!$AC$217</f>
        <v>5559936386.0502758</v>
      </c>
      <c r="EW200" s="269">
        <f t="shared" si="546"/>
        <v>4848869.9543026257</v>
      </c>
      <c r="EX200" s="269">
        <f t="shared" si="567"/>
        <v>24244349.771513127</v>
      </c>
      <c r="EY200" s="196">
        <f>'Detailed Budget'!$AC$219</f>
        <v>372777004.58170313</v>
      </c>
      <c r="EZ200" s="269">
        <f t="shared" si="547"/>
        <v>340344.41530863091</v>
      </c>
      <c r="FA200" s="196">
        <f>'Detailed Budget'!$AC$222</f>
        <v>93194251.145425782</v>
      </c>
      <c r="FB200" s="269">
        <f t="shared" si="548"/>
        <v>85086.103827157727</v>
      </c>
      <c r="FC200" s="269">
        <f t="shared" si="568"/>
        <v>425430.51913578867</v>
      </c>
      <c r="FD200" s="269"/>
      <c r="FE200" s="269">
        <f t="shared" si="569"/>
        <v>197281401.35435447</v>
      </c>
      <c r="FF200" s="140">
        <f>'Detailed Budget'!$AC$165</f>
        <v>14927760000</v>
      </c>
      <c r="FG200" s="1087">
        <f t="shared" si="608"/>
        <v>269104890.2635048</v>
      </c>
      <c r="FH200" s="269">
        <f t="shared" si="570"/>
        <v>16961436.200431772</v>
      </c>
      <c r="FJ200" s="140">
        <f>'Detailed Budget'!$AC$235</f>
        <v>3623696172</v>
      </c>
      <c r="FK200" s="269">
        <f t="shared" si="571"/>
        <v>4681778</v>
      </c>
      <c r="FL200" s="269">
        <f t="shared" si="609"/>
        <v>4681778</v>
      </c>
      <c r="FO200" s="607"/>
      <c r="FP200" s="607"/>
      <c r="FQ200" s="607"/>
      <c r="FR200" s="269">
        <f>'Detailed Budget'!$AC$257</f>
        <v>13636439388</v>
      </c>
      <c r="FS200" s="269">
        <f t="shared" si="572"/>
        <v>0</v>
      </c>
      <c r="FT200" s="269">
        <f t="shared" si="610"/>
        <v>0</v>
      </c>
      <c r="FU200" s="269"/>
      <c r="FV200" s="269"/>
      <c r="FW200" s="616"/>
      <c r="FX200" s="140">
        <f>'Detailed Budget'!$AC$278</f>
        <v>1114560000</v>
      </c>
      <c r="FY200" s="269">
        <f t="shared" si="573"/>
        <v>1440000</v>
      </c>
      <c r="FZ200" s="269">
        <f t="shared" si="611"/>
        <v>1440000</v>
      </c>
      <c r="GB200" s="269">
        <f t="shared" si="453"/>
        <v>957883252.23082304</v>
      </c>
      <c r="GC200" s="887">
        <f t="shared" si="574"/>
        <v>598677.0326442644</v>
      </c>
      <c r="GD200" s="1078">
        <f t="shared" si="454"/>
        <v>5.3749845571106586E-4</v>
      </c>
    </row>
    <row r="201" spans="1:186" hidden="1" outlineLevel="1">
      <c r="A201" s="211" t="s">
        <v>567</v>
      </c>
      <c r="B201" s="212" t="s">
        <v>568</v>
      </c>
      <c r="C201" s="213" t="s">
        <v>215</v>
      </c>
      <c r="D201" s="225" t="s">
        <v>215</v>
      </c>
      <c r="E201" s="213"/>
      <c r="F201" s="213"/>
      <c r="G201" s="213"/>
      <c r="H201" s="213" t="s">
        <v>215</v>
      </c>
      <c r="I201" s="214" t="s">
        <v>215</v>
      </c>
      <c r="J201" s="214"/>
      <c r="K201" s="213" t="s">
        <v>215</v>
      </c>
      <c r="L201" s="213"/>
      <c r="M201" s="214"/>
      <c r="N201" s="213"/>
      <c r="O201" s="214"/>
      <c r="P201" s="213"/>
      <c r="Q201" s="214"/>
      <c r="R201" s="214" t="s">
        <v>215</v>
      </c>
      <c r="S201" s="214"/>
      <c r="T201" s="214"/>
      <c r="U201" s="215">
        <f t="shared" si="575"/>
        <v>6</v>
      </c>
      <c r="V201" s="845" t="s">
        <v>219</v>
      </c>
      <c r="W201" s="216">
        <v>276568</v>
      </c>
      <c r="X201" s="217">
        <v>3.47</v>
      </c>
      <c r="Y201" s="218">
        <f t="shared" si="483"/>
        <v>1.0347</v>
      </c>
      <c r="Z201" s="196">
        <v>19</v>
      </c>
      <c r="AA201" s="218">
        <f t="shared" si="484"/>
        <v>1.9119412036868784</v>
      </c>
      <c r="AB201" s="196">
        <f t="shared" si="549"/>
        <v>528781.75482127257</v>
      </c>
      <c r="AC201">
        <v>19.100000000000001</v>
      </c>
      <c r="AD201" s="196">
        <f t="shared" si="550"/>
        <v>100997.31517086306</v>
      </c>
      <c r="AE201" s="196">
        <f t="shared" si="487"/>
        <v>95947.449412319897</v>
      </c>
      <c r="AF201" s="196">
        <f t="shared" si="576"/>
        <v>95947.449412319897</v>
      </c>
      <c r="AG201" s="606">
        <f t="shared" si="577"/>
        <v>4.4361888436302843E-3</v>
      </c>
      <c r="AH201" s="196">
        <f t="shared" si="601"/>
        <v>26439.087741063631</v>
      </c>
      <c r="AI201" s="248">
        <f t="shared" si="552"/>
        <v>2.0481960681694492E-3</v>
      </c>
      <c r="AJ201" s="196">
        <f t="shared" si="578"/>
        <v>127436.40291192669</v>
      </c>
      <c r="AK201" s="196">
        <f t="shared" si="605"/>
        <v>21151.270192850901</v>
      </c>
      <c r="AL201" s="196">
        <f t="shared" si="606"/>
        <v>21151.270192850901</v>
      </c>
      <c r="AM201" s="196">
        <f t="shared" si="553"/>
        <v>42302.540385701803</v>
      </c>
      <c r="AN201" s="627">
        <f t="shared" si="554"/>
        <v>2.0481960681694488E-3</v>
      </c>
      <c r="AO201" s="196">
        <f t="shared" si="555"/>
        <v>20093.706683208358</v>
      </c>
      <c r="AP201" s="589">
        <f t="shared" si="579"/>
        <v>2.0481960681694492E-3</v>
      </c>
      <c r="AQ201" s="196"/>
      <c r="AR201" s="589"/>
      <c r="AS201">
        <v>1</v>
      </c>
      <c r="AT201" s="589">
        <f t="shared" si="580"/>
        <v>1.2919896640826874E-3</v>
      </c>
      <c r="AU201" s="196">
        <v>13</v>
      </c>
      <c r="AV201" s="245">
        <f t="shared" si="556"/>
        <v>1.4771048744460858E-3</v>
      </c>
      <c r="AX201" s="245"/>
      <c r="AY201" s="245"/>
      <c r="AZ201" s="196">
        <v>11</v>
      </c>
      <c r="BA201" s="589">
        <f t="shared" ref="BA201:BA264" si="613">AZ201/27291</f>
        <v>4.0306328093510683E-4</v>
      </c>
      <c r="BI201" s="196">
        <v>0</v>
      </c>
      <c r="BK201" s="246">
        <f t="shared" ref="BK201:BK264" si="614">BJ201/52440044</f>
        <v>0</v>
      </c>
      <c r="BL201" s="246"/>
      <c r="BM201" s="246">
        <f t="shared" ref="BM201:BM264" si="615">BL201/1048801</f>
        <v>0</v>
      </c>
      <c r="BN201" s="196">
        <v>1</v>
      </c>
      <c r="BO201" s="196">
        <f t="shared" si="581"/>
        <v>32403.006513915207</v>
      </c>
      <c r="BP201" s="196">
        <f t="shared" si="582"/>
        <v>32403.006513915207</v>
      </c>
      <c r="BQ201" s="248">
        <f t="shared" ref="BQ201:BQ264" si="616">BP201/10690003</f>
        <v>3.0311503667412635E-3</v>
      </c>
      <c r="BR201" s="248"/>
      <c r="BS201" s="248"/>
      <c r="BT201" s="276">
        <v>1</v>
      </c>
      <c r="BU201" s="196">
        <f t="shared" si="602"/>
        <v>117803.26841529467</v>
      </c>
      <c r="BV201" s="264">
        <f t="shared" ref="BV201:BV264" si="617">BU201/14417138</f>
        <v>8.1710578351469401E-3</v>
      </c>
      <c r="BW201" s="196">
        <f t="shared" si="603"/>
        <v>503936.20377653837</v>
      </c>
      <c r="BX201" s="247">
        <f t="shared" ref="BX201:BX264" si="618">BW201/61673312</f>
        <v>8.1710579087521419E-3</v>
      </c>
      <c r="BY201" s="196">
        <f t="shared" si="492"/>
        <v>621739.47219183308</v>
      </c>
      <c r="BZ201" s="620">
        <v>0</v>
      </c>
      <c r="CA201" s="196">
        <f t="shared" si="583"/>
        <v>161807.21697530939</v>
      </c>
      <c r="CB201" s="196">
        <f t="shared" si="584"/>
        <v>323614.43395061878</v>
      </c>
      <c r="CC201" s="196">
        <f t="shared" si="585"/>
        <v>485421.65092592814</v>
      </c>
      <c r="CD201" s="247">
        <f t="shared" si="557"/>
        <v>2.0481960681694488E-3</v>
      </c>
      <c r="CE201" s="196">
        <f t="shared" si="586"/>
        <v>40226.507238771563</v>
      </c>
      <c r="CF201" s="247">
        <f t="shared" si="558"/>
        <v>1.7371056848220076E-3</v>
      </c>
      <c r="CG201" s="196">
        <f t="shared" si="532"/>
        <v>80374.826732833433</v>
      </c>
      <c r="CH201" s="589">
        <f t="shared" si="587"/>
        <v>2.0481960681694492E-3</v>
      </c>
      <c r="CI201" s="196">
        <f t="shared" si="588"/>
        <v>62883.601990786308</v>
      </c>
      <c r="CJ201" s="248">
        <f t="shared" si="589"/>
        <v>1.0338062571088409E-3</v>
      </c>
      <c r="CK201" s="196">
        <f t="shared" si="590"/>
        <v>179983.1915025163</v>
      </c>
      <c r="CL201" s="589">
        <f t="shared" si="591"/>
        <v>2.5872953988117097E-3</v>
      </c>
      <c r="CM201" s="196">
        <f t="shared" si="592"/>
        <v>17435.881001046142</v>
      </c>
      <c r="CN201" s="589">
        <f t="shared" si="593"/>
        <v>2.5127086049538776E-3</v>
      </c>
      <c r="CO201" s="196">
        <f t="shared" si="594"/>
        <v>1394.8731323119221</v>
      </c>
      <c r="CP201" s="589">
        <f t="shared" si="595"/>
        <v>2.6305158775254724E-3</v>
      </c>
      <c r="CQ201" s="196">
        <f>'Detailed Budget'!$AC$12</f>
        <v>292876014141.44696</v>
      </c>
      <c r="CR201" s="269">
        <f t="shared" si="604"/>
        <v>0</v>
      </c>
      <c r="CS201" s="269">
        <f>'Detailed Budget'!$AC$16</f>
        <v>10488008800.000002</v>
      </c>
      <c r="CT201" s="607">
        <f t="shared" si="533"/>
        <v>0</v>
      </c>
      <c r="CU201" s="269">
        <f>'Detailed Budget'!$AC$24</f>
        <v>30624985696</v>
      </c>
      <c r="CV201" s="269">
        <f t="shared" si="612"/>
        <v>0</v>
      </c>
      <c r="CW201" s="269"/>
      <c r="CX201" s="269">
        <f t="shared" si="596"/>
        <v>0</v>
      </c>
      <c r="CY201" s="196">
        <f>'Detailed Budget'!$AC$97</f>
        <v>74629165494.837845</v>
      </c>
      <c r="CZ201" s="269">
        <f t="shared" si="534"/>
        <v>226212222.35927218</v>
      </c>
      <c r="DA201" s="269">
        <f>'Detailed Budget'!$AC$100</f>
        <v>14925833098.967569</v>
      </c>
      <c r="DB201" s="269">
        <f t="shared" si="535"/>
        <v>45242444.471854433</v>
      </c>
      <c r="DC201" s="269">
        <f t="shared" si="560"/>
        <v>271454666.83112663</v>
      </c>
      <c r="DD201" s="207">
        <v>0</v>
      </c>
      <c r="DE201" s="606">
        <v>0</v>
      </c>
      <c r="DF201" s="269">
        <f>'Detailed Budget'!$AC$147</f>
        <v>5913600671000</v>
      </c>
      <c r="DG201" s="269">
        <f t="shared" si="607"/>
        <v>0</v>
      </c>
      <c r="DH201" s="269">
        <f>'Detailed Budget'!$AC$153</f>
        <v>226428026880.00003</v>
      </c>
      <c r="DI201" s="269"/>
      <c r="DJ201" s="269">
        <f>'Detailed Budget'!$AC$156</f>
        <v>27713070000</v>
      </c>
      <c r="DK201" s="269"/>
      <c r="DL201" s="269"/>
      <c r="DM201" s="196">
        <f>'Detailed Budget'!$AC$178</f>
        <v>5622683761.6229038</v>
      </c>
      <c r="DN201" s="269">
        <f t="shared" si="597"/>
        <v>45943274.204962298</v>
      </c>
      <c r="DO201" s="196">
        <f>'Detailed Budget'!$AC$179</f>
        <v>26827890683.128094</v>
      </c>
      <c r="DP201" s="269">
        <f t="shared" si="598"/>
        <v>219212248.34151173</v>
      </c>
      <c r="DQ201" s="269">
        <f t="shared" si="457"/>
        <v>265155522.54647404</v>
      </c>
      <c r="DR201" s="269">
        <f>'Detailed Budget'!$AC$181</f>
        <v>50888946855.375237</v>
      </c>
      <c r="DS201" s="269">
        <f t="shared" si="599"/>
        <v>225752978.30391008</v>
      </c>
      <c r="DT201" s="269">
        <f t="shared" si="600"/>
        <v>490908500.85038412</v>
      </c>
      <c r="DU201" s="272">
        <f>'Detailed Budget'!$AC$192</f>
        <v>77498869683.252869</v>
      </c>
      <c r="DV201" s="269">
        <f t="shared" si="536"/>
        <v>0</v>
      </c>
      <c r="DW201" s="140">
        <f>'Detailed Budget'!$AC$194</f>
        <v>2684962805.4134097</v>
      </c>
      <c r="DX201" s="269">
        <f t="shared" si="537"/>
        <v>0</v>
      </c>
      <c r="DY201" s="607">
        <f t="shared" si="561"/>
        <v>0</v>
      </c>
      <c r="DZ201" s="196">
        <f>'Detailed Budget'!$AC$198</f>
        <v>18732540018.380611</v>
      </c>
      <c r="EA201" s="269">
        <f t="shared" si="562"/>
        <v>32540401.757084712</v>
      </c>
      <c r="EB201" s="196">
        <f>'Detailed Budget'!$AC$200</f>
        <v>4683135004.5951529</v>
      </c>
      <c r="EC201" s="269">
        <f t="shared" si="538"/>
        <v>8135100.4392711781</v>
      </c>
      <c r="ED201" s="269">
        <f t="shared" si="563"/>
        <v>40675502.196355894</v>
      </c>
      <c r="EE201" s="196">
        <f>'Detailed Budget'!$AC$161</f>
        <v>251147290106.36197</v>
      </c>
      <c r="EF201" s="269">
        <f t="shared" si="539"/>
        <v>514398892.12726259</v>
      </c>
      <c r="EG201" s="196">
        <f>'Detailed Budget'!$AC$163</f>
        <v>15696705631.647623</v>
      </c>
      <c r="EH201" s="269">
        <f t="shared" si="540"/>
        <v>32149930.757953912</v>
      </c>
      <c r="EI201" s="269">
        <f t="shared" si="564"/>
        <v>546548822.88521647</v>
      </c>
      <c r="EJ201" s="196">
        <f>'Detailed Budget'!$AC$204</f>
        <v>45012172507.531975</v>
      </c>
      <c r="EK201" s="269">
        <f t="shared" si="541"/>
        <v>46533865.584349103</v>
      </c>
      <c r="EL201" s="201">
        <f>'Detailed Budget'!$AC$206</f>
        <v>11253043126.882994</v>
      </c>
      <c r="EM201" s="269">
        <f t="shared" si="542"/>
        <v>11633466.396087276</v>
      </c>
      <c r="EN201" s="269">
        <f t="shared" si="565"/>
        <v>58167331.980436377</v>
      </c>
      <c r="EO201" s="140">
        <f>'Detailed Budget'!$AC$209</f>
        <v>135789361677.54817</v>
      </c>
      <c r="EP201" s="269">
        <f t="shared" si="543"/>
        <v>351327190.67589951</v>
      </c>
      <c r="EQ201" s="196">
        <f>'Detailed Budget'!$AC$211</f>
        <v>33947340419.387043</v>
      </c>
      <c r="ER201" s="269">
        <f t="shared" si="544"/>
        <v>87831797.668974876</v>
      </c>
      <c r="ES201" s="269">
        <f t="shared" si="566"/>
        <v>439158988.34487438</v>
      </c>
      <c r="ET201" s="196">
        <f>'Detailed Budget'!$AC$214</f>
        <v>22239745544.201103</v>
      </c>
      <c r="EU201" s="269">
        <f t="shared" si="545"/>
        <v>55882000.000898771</v>
      </c>
      <c r="EV201" s="140">
        <f>'Detailed Budget'!$AC$217</f>
        <v>5559936386.0502758</v>
      </c>
      <c r="EW201" s="269">
        <f t="shared" si="546"/>
        <v>13970500.000224693</v>
      </c>
      <c r="EX201" s="269">
        <f t="shared" si="567"/>
        <v>69852500.001123458</v>
      </c>
      <c r="EY201" s="196">
        <f>'Detailed Budget'!$AC$219</f>
        <v>372777004.58170313</v>
      </c>
      <c r="EZ201" s="269">
        <f t="shared" si="547"/>
        <v>980595.82932855585</v>
      </c>
      <c r="FA201" s="196">
        <f>'Detailed Budget'!$AC$222</f>
        <v>93194251.145425782</v>
      </c>
      <c r="FB201" s="269">
        <f t="shared" si="548"/>
        <v>245148.95733213896</v>
      </c>
      <c r="FC201" s="269">
        <f t="shared" si="568"/>
        <v>1225744.7866606948</v>
      </c>
      <c r="FD201" s="269"/>
      <c r="FE201" s="269">
        <f t="shared" si="569"/>
        <v>568404565.11309493</v>
      </c>
      <c r="FF201" s="140">
        <f>'Detailed Budget'!$AC$165</f>
        <v>14927760000</v>
      </c>
      <c r="FG201" s="1087">
        <f t="shared" si="608"/>
        <v>775341451.70273232</v>
      </c>
      <c r="FH201" s="269">
        <f t="shared" si="570"/>
        <v>22049867.060561303</v>
      </c>
      <c r="FJ201" s="140">
        <f>'Detailed Budget'!$AC$235</f>
        <v>3623696172</v>
      </c>
      <c r="FK201" s="269">
        <f t="shared" si="571"/>
        <v>4681778</v>
      </c>
      <c r="FL201" s="269">
        <f t="shared" si="609"/>
        <v>4681778</v>
      </c>
      <c r="FO201" s="607"/>
      <c r="FP201" s="607"/>
      <c r="FQ201" s="607"/>
      <c r="FR201" s="269">
        <f>'Detailed Budget'!$AC$257</f>
        <v>13636439388</v>
      </c>
      <c r="FS201" s="269">
        <f t="shared" si="572"/>
        <v>5496348</v>
      </c>
      <c r="FT201" s="269">
        <f t="shared" si="610"/>
        <v>5496348</v>
      </c>
      <c r="FU201" s="269"/>
      <c r="FV201" s="269"/>
      <c r="FW201" s="616"/>
      <c r="FX201" s="140">
        <f>'Detailed Budget'!$AC$278</f>
        <v>1114560000</v>
      </c>
      <c r="FY201" s="269">
        <f t="shared" si="573"/>
        <v>1440000</v>
      </c>
      <c r="FZ201" s="269">
        <f t="shared" si="611"/>
        <v>1440000</v>
      </c>
      <c r="GB201" s="269">
        <f t="shared" ref="GB201:GB264" si="619">SUM(CX201,DC201,DG201,DL201,DT201,DY201,ED201,EI201,FE201,FG201,FH201,FL201,FT201,FZ201,GA201)</f>
        <v>2727001502.6394711</v>
      </c>
      <c r="GC201" s="887">
        <f t="shared" si="574"/>
        <v>1704375.9391496694</v>
      </c>
      <c r="GD201" s="1078">
        <f t="shared" ref="GD201:GD264" si="620">GB201/1782113496426</f>
        <v>1.5302064139620898E-3</v>
      </c>
    </row>
    <row r="202" spans="1:186" hidden="1" outlineLevel="1">
      <c r="A202" s="211" t="s">
        <v>569</v>
      </c>
      <c r="B202" s="212" t="s">
        <v>570</v>
      </c>
      <c r="C202" s="213" t="s">
        <v>215</v>
      </c>
      <c r="D202" s="225" t="s">
        <v>215</v>
      </c>
      <c r="E202" s="213"/>
      <c r="F202" s="213"/>
      <c r="G202" s="213"/>
      <c r="H202" s="213" t="s">
        <v>215</v>
      </c>
      <c r="I202" s="214" t="s">
        <v>215</v>
      </c>
      <c r="J202" s="214"/>
      <c r="K202" s="213" t="s">
        <v>215</v>
      </c>
      <c r="L202" s="213"/>
      <c r="M202" s="214"/>
      <c r="N202" s="213"/>
      <c r="O202" s="214"/>
      <c r="P202" s="213"/>
      <c r="Q202" s="214"/>
      <c r="R202" s="214" t="s">
        <v>215</v>
      </c>
      <c r="S202" s="214"/>
      <c r="T202" s="214"/>
      <c r="U202" s="215">
        <f t="shared" si="575"/>
        <v>6</v>
      </c>
      <c r="V202" s="845" t="s">
        <v>219</v>
      </c>
      <c r="W202" s="216">
        <v>120733</v>
      </c>
      <c r="X202" s="217">
        <v>3.47</v>
      </c>
      <c r="Y202" s="218">
        <f t="shared" si="483"/>
        <v>1.0347</v>
      </c>
      <c r="Z202" s="196">
        <v>19</v>
      </c>
      <c r="AA202" s="218">
        <f t="shared" si="484"/>
        <v>1.9119412036868784</v>
      </c>
      <c r="AB202" s="196">
        <f t="shared" si="549"/>
        <v>230834.39734472788</v>
      </c>
      <c r="AC202">
        <v>19.100000000000001</v>
      </c>
      <c r="AD202" s="196">
        <f t="shared" si="550"/>
        <v>44089.369892843031</v>
      </c>
      <c r="AE202" s="196">
        <f t="shared" si="487"/>
        <v>41884.901398200876</v>
      </c>
      <c r="AF202" s="196">
        <f t="shared" si="576"/>
        <v>41884.901398200876</v>
      </c>
      <c r="AG202" s="606">
        <f t="shared" si="577"/>
        <v>1.9365739624902924E-3</v>
      </c>
      <c r="AH202" s="196">
        <f t="shared" si="601"/>
        <v>11541.719867236396</v>
      </c>
      <c r="AI202" s="248">
        <f t="shared" si="552"/>
        <v>8.9411955070110112E-4</v>
      </c>
      <c r="AJ202" s="196">
        <f t="shared" si="578"/>
        <v>55631.089760079427</v>
      </c>
      <c r="AK202" s="196">
        <f t="shared" si="605"/>
        <v>9233.3758937891162</v>
      </c>
      <c r="AL202" s="196">
        <f t="shared" si="606"/>
        <v>9233.3758937891162</v>
      </c>
      <c r="AM202" s="196">
        <f t="shared" si="553"/>
        <v>18466.751787578232</v>
      </c>
      <c r="AN202" s="627">
        <f t="shared" si="554"/>
        <v>8.9411955070110101E-4</v>
      </c>
      <c r="AO202" s="196">
        <f t="shared" si="555"/>
        <v>8771.7070990996599</v>
      </c>
      <c r="AP202" s="589">
        <f t="shared" si="579"/>
        <v>8.9411955070110101E-4</v>
      </c>
      <c r="AQ202" s="196"/>
      <c r="AR202" s="589"/>
      <c r="AS202">
        <v>1</v>
      </c>
      <c r="AT202" s="589">
        <f t="shared" si="580"/>
        <v>1.2919896640826874E-3</v>
      </c>
      <c r="AU202" s="196">
        <v>12</v>
      </c>
      <c r="AV202" s="245">
        <f t="shared" si="556"/>
        <v>1.3634814225656176E-3</v>
      </c>
      <c r="AX202" s="245"/>
      <c r="AY202" s="245"/>
      <c r="AZ202" s="196">
        <v>23</v>
      </c>
      <c r="BA202" s="589">
        <f t="shared" si="613"/>
        <v>8.4276867831885966E-4</v>
      </c>
      <c r="BI202" s="196">
        <v>0</v>
      </c>
      <c r="BK202" s="246">
        <f t="shared" si="614"/>
        <v>0</v>
      </c>
      <c r="BL202" s="246"/>
      <c r="BM202" s="246">
        <f t="shared" si="615"/>
        <v>0</v>
      </c>
      <c r="BN202" s="196">
        <v>1</v>
      </c>
      <c r="BO202" s="196">
        <f t="shared" si="581"/>
        <v>14145.209082195068</v>
      </c>
      <c r="BP202" s="196">
        <f t="shared" si="582"/>
        <v>14145.209082195068</v>
      </c>
      <c r="BQ202" s="248">
        <f t="shared" si="616"/>
        <v>1.3232184389653648E-3</v>
      </c>
      <c r="BR202" s="248"/>
      <c r="BS202" s="248"/>
      <c r="BT202" s="276">
        <v>1</v>
      </c>
      <c r="BU202" s="196">
        <f t="shared" si="602"/>
        <v>51425.841043012115</v>
      </c>
      <c r="BV202" s="264">
        <f t="shared" si="617"/>
        <v>3.5669937433499017E-3</v>
      </c>
      <c r="BW202" s="196">
        <f t="shared" si="603"/>
        <v>219988.32001732959</v>
      </c>
      <c r="BX202" s="247">
        <f t="shared" si="618"/>
        <v>3.5669937754815176E-3</v>
      </c>
      <c r="BY202" s="196">
        <f t="shared" si="492"/>
        <v>271414.16106034169</v>
      </c>
      <c r="BZ202" s="620">
        <v>0</v>
      </c>
      <c r="CA202" s="196">
        <f t="shared" si="583"/>
        <v>70635.325587486732</v>
      </c>
      <c r="CB202" s="196">
        <f t="shared" si="584"/>
        <v>141270.65117497346</v>
      </c>
      <c r="CC202" s="196">
        <f t="shared" si="585"/>
        <v>211905.9767624602</v>
      </c>
      <c r="CD202" s="247">
        <f t="shared" si="557"/>
        <v>8.941195507011009E-4</v>
      </c>
      <c r="CE202" s="196">
        <f t="shared" si="586"/>
        <v>17560.480237983451</v>
      </c>
      <c r="CF202" s="247">
        <f t="shared" si="558"/>
        <v>7.5831614881553702E-4</v>
      </c>
      <c r="CG202" s="196">
        <f t="shared" si="532"/>
        <v>35086.82839639864</v>
      </c>
      <c r="CH202" s="589">
        <f t="shared" si="587"/>
        <v>8.9411955070110101E-4</v>
      </c>
      <c r="CI202" s="196">
        <f t="shared" si="588"/>
        <v>27451.208813577872</v>
      </c>
      <c r="CJ202" s="248">
        <f t="shared" si="589"/>
        <v>4.5129780321483939E-4</v>
      </c>
      <c r="CK202" s="196">
        <f t="shared" si="590"/>
        <v>78569.865854593823</v>
      </c>
      <c r="CL202" s="589">
        <f t="shared" si="591"/>
        <v>1.1294579827916976E-3</v>
      </c>
      <c r="CM202" s="196">
        <f t="shared" si="592"/>
        <v>7611.4598250676299</v>
      </c>
      <c r="CN202" s="589">
        <f t="shared" si="593"/>
        <v>1.096897862377052E-3</v>
      </c>
      <c r="CO202" s="196">
        <f t="shared" si="594"/>
        <v>608.91794380917293</v>
      </c>
      <c r="CP202" s="589">
        <f t="shared" si="595"/>
        <v>1.1483254513945319E-3</v>
      </c>
      <c r="CQ202" s="196">
        <f>'Detailed Budget'!$AC$12</f>
        <v>292876014141.44696</v>
      </c>
      <c r="CR202" s="269">
        <f t="shared" si="604"/>
        <v>0</v>
      </c>
      <c r="CS202" s="269">
        <f>'Detailed Budget'!$AC$16</f>
        <v>10488008800.000002</v>
      </c>
      <c r="CT202" s="607">
        <f t="shared" si="533"/>
        <v>0</v>
      </c>
      <c r="CU202" s="269">
        <f>'Detailed Budget'!$AC$24</f>
        <v>30624985696</v>
      </c>
      <c r="CV202" s="269">
        <f t="shared" si="612"/>
        <v>0</v>
      </c>
      <c r="CW202" s="269"/>
      <c r="CX202" s="269">
        <f t="shared" si="596"/>
        <v>0</v>
      </c>
      <c r="CY202" s="196">
        <f>'Detailed Budget'!$AC$97</f>
        <v>74629165494.837845</v>
      </c>
      <c r="CZ202" s="269">
        <f t="shared" si="534"/>
        <v>98750687.867367208</v>
      </c>
      <c r="DA202" s="269">
        <f>'Detailed Budget'!$AC$100</f>
        <v>14925833098.967569</v>
      </c>
      <c r="DB202" s="269">
        <f t="shared" si="535"/>
        <v>19750137.573473442</v>
      </c>
      <c r="DC202" s="269">
        <f t="shared" si="560"/>
        <v>118500825.44084065</v>
      </c>
      <c r="DD202" s="207">
        <v>0</v>
      </c>
      <c r="DE202" s="606">
        <v>0</v>
      </c>
      <c r="DF202" s="269">
        <f>'Detailed Budget'!$AC$147</f>
        <v>5913600671000</v>
      </c>
      <c r="DG202" s="269">
        <f t="shared" si="607"/>
        <v>0</v>
      </c>
      <c r="DH202" s="269">
        <f>'Detailed Budget'!$AC$153</f>
        <v>226428026880.00003</v>
      </c>
      <c r="DI202" s="269"/>
      <c r="DJ202" s="269">
        <f>'Detailed Budget'!$AC$156</f>
        <v>27713070000</v>
      </c>
      <c r="DK202" s="269"/>
      <c r="DL202" s="269"/>
      <c r="DM202" s="196">
        <f>'Detailed Budget'!$AC$178</f>
        <v>5622683761.6229038</v>
      </c>
      <c r="DN202" s="269">
        <f t="shared" si="597"/>
        <v>20056077.79854399</v>
      </c>
      <c r="DO202" s="196">
        <f>'Detailed Budget'!$AC$179</f>
        <v>26827890683.128094</v>
      </c>
      <c r="DP202" s="269">
        <f t="shared" si="598"/>
        <v>95694919.076016515</v>
      </c>
      <c r="DQ202" s="269">
        <f t="shared" si="457"/>
        <v>115750996.87456051</v>
      </c>
      <c r="DR202" s="269">
        <f>'Detailed Budget'!$AC$181</f>
        <v>50888946855.375237</v>
      </c>
      <c r="DS202" s="269">
        <f t="shared" si="599"/>
        <v>98550209.458671927</v>
      </c>
      <c r="DT202" s="269">
        <f t="shared" si="600"/>
        <v>214301206.33323243</v>
      </c>
      <c r="DU202" s="272">
        <f>'Detailed Budget'!$AC$192</f>
        <v>77498869683.252869</v>
      </c>
      <c r="DV202" s="269">
        <f t="shared" si="536"/>
        <v>0</v>
      </c>
      <c r="DW202" s="140">
        <f>'Detailed Budget'!$AC$194</f>
        <v>2684962805.4134097</v>
      </c>
      <c r="DX202" s="269">
        <f t="shared" si="537"/>
        <v>0</v>
      </c>
      <c r="DY202" s="607">
        <f t="shared" si="561"/>
        <v>0</v>
      </c>
      <c r="DZ202" s="196">
        <f>'Detailed Budget'!$AC$198</f>
        <v>18732540018.380611</v>
      </c>
      <c r="EA202" s="269">
        <f t="shared" si="562"/>
        <v>14205187.604271315</v>
      </c>
      <c r="EB202" s="196">
        <f>'Detailed Budget'!$AC$200</f>
        <v>4683135004.5951529</v>
      </c>
      <c r="EC202" s="269">
        <f t="shared" si="538"/>
        <v>3551296.9010678288</v>
      </c>
      <c r="ED202" s="269">
        <f t="shared" si="563"/>
        <v>17756484.505339146</v>
      </c>
      <c r="EE202" s="196">
        <f>'Detailed Budget'!$AC$161</f>
        <v>251147290106.36197</v>
      </c>
      <c r="EF202" s="269">
        <f t="shared" si="539"/>
        <v>224555702.18969944</v>
      </c>
      <c r="EG202" s="196">
        <f>'Detailed Budget'!$AC$163</f>
        <v>15696705631.647623</v>
      </c>
      <c r="EH202" s="269">
        <f t="shared" si="540"/>
        <v>14034731.386856215</v>
      </c>
      <c r="EI202" s="269">
        <f t="shared" si="564"/>
        <v>238590433.57655567</v>
      </c>
      <c r="EJ202" s="196">
        <f>'Detailed Budget'!$AC$204</f>
        <v>45012172507.531975</v>
      </c>
      <c r="EK202" s="269">
        <f t="shared" si="541"/>
        <v>20313894.570576567</v>
      </c>
      <c r="EL202" s="201">
        <f>'Detailed Budget'!$AC$206</f>
        <v>11253043126.882994</v>
      </c>
      <c r="EM202" s="269">
        <f t="shared" si="542"/>
        <v>5078473.6426441418</v>
      </c>
      <c r="EN202" s="269">
        <f t="shared" si="565"/>
        <v>25392368.213220708</v>
      </c>
      <c r="EO202" s="140">
        <f>'Detailed Budget'!$AC$209</f>
        <v>135789361677.54817</v>
      </c>
      <c r="EP202" s="269">
        <f t="shared" si="543"/>
        <v>153368378.52489579</v>
      </c>
      <c r="EQ202" s="196">
        <f>'Detailed Budget'!$AC$211</f>
        <v>33947340419.387043</v>
      </c>
      <c r="ER202" s="269">
        <f t="shared" si="544"/>
        <v>38342094.631223947</v>
      </c>
      <c r="ES202" s="269">
        <f t="shared" si="566"/>
        <v>191710473.15611973</v>
      </c>
      <c r="ET202" s="196">
        <f>'Detailed Budget'!$AC$214</f>
        <v>22239745544.201103</v>
      </c>
      <c r="EU202" s="269">
        <f t="shared" si="545"/>
        <v>24394729.34724376</v>
      </c>
      <c r="EV202" s="140">
        <f>'Detailed Budget'!$AC$217</f>
        <v>5559936386.0502758</v>
      </c>
      <c r="EW202" s="269">
        <f t="shared" si="546"/>
        <v>6098682.3368109399</v>
      </c>
      <c r="EX202" s="269">
        <f t="shared" si="567"/>
        <v>30493411.684054699</v>
      </c>
      <c r="EY202" s="196">
        <f>'Detailed Budget'!$AC$219</f>
        <v>372777004.58170313</v>
      </c>
      <c r="EZ202" s="269">
        <f t="shared" si="547"/>
        <v>428069.32205578574</v>
      </c>
      <c r="FA202" s="196">
        <f>'Detailed Budget'!$AC$222</f>
        <v>93194251.145425782</v>
      </c>
      <c r="FB202" s="269">
        <f t="shared" si="548"/>
        <v>107017.33051394644</v>
      </c>
      <c r="FC202" s="269">
        <f t="shared" si="568"/>
        <v>535086.65256973216</v>
      </c>
      <c r="FD202" s="269"/>
      <c r="FE202" s="269">
        <f t="shared" si="569"/>
        <v>248131339.70596489</v>
      </c>
      <c r="FF202" s="140">
        <f>'Detailed Budget'!$AC$165</f>
        <v>14927760000</v>
      </c>
      <c r="FG202" s="1087">
        <f t="shared" si="608"/>
        <v>338467572.12846744</v>
      </c>
      <c r="FH202" s="269">
        <f t="shared" si="570"/>
        <v>20353723.440518126</v>
      </c>
      <c r="FJ202" s="140">
        <f>'Detailed Budget'!$AC$235</f>
        <v>3623696172</v>
      </c>
      <c r="FK202" s="269">
        <f t="shared" si="571"/>
        <v>4681778</v>
      </c>
      <c r="FL202" s="269">
        <f t="shared" si="609"/>
        <v>4681778</v>
      </c>
      <c r="FO202" s="607"/>
      <c r="FP202" s="607"/>
      <c r="FQ202" s="607"/>
      <c r="FR202" s="269">
        <f>'Detailed Budget'!$AC$257</f>
        <v>13636439388</v>
      </c>
      <c r="FS202" s="269">
        <f t="shared" si="572"/>
        <v>11492364</v>
      </c>
      <c r="FT202" s="269">
        <f t="shared" si="610"/>
        <v>11492364</v>
      </c>
      <c r="FU202" s="269"/>
      <c r="FV202" s="269"/>
      <c r="FW202" s="616"/>
      <c r="FX202" s="140">
        <f>'Detailed Budget'!$AC$278</f>
        <v>1114560000</v>
      </c>
      <c r="FY202" s="269">
        <f t="shared" si="573"/>
        <v>1440000</v>
      </c>
      <c r="FZ202" s="269">
        <f t="shared" si="611"/>
        <v>1440000</v>
      </c>
      <c r="GB202" s="269">
        <f t="shared" si="619"/>
        <v>1213715727.1309183</v>
      </c>
      <c r="GC202" s="887">
        <f t="shared" si="574"/>
        <v>758572.32945682388</v>
      </c>
      <c r="GD202" s="1078">
        <f t="shared" si="620"/>
        <v>6.8105411331265131E-4</v>
      </c>
    </row>
    <row r="203" spans="1:186" hidden="1" outlineLevel="1">
      <c r="A203" s="211" t="s">
        <v>571</v>
      </c>
      <c r="B203" s="212" t="s">
        <v>572</v>
      </c>
      <c r="C203" s="213" t="s">
        <v>215</v>
      </c>
      <c r="D203" s="225" t="s">
        <v>215</v>
      </c>
      <c r="E203" s="213"/>
      <c r="F203" s="213"/>
      <c r="G203" s="213"/>
      <c r="H203" s="213" t="s">
        <v>215</v>
      </c>
      <c r="I203" s="214" t="s">
        <v>215</v>
      </c>
      <c r="J203" s="214"/>
      <c r="K203" s="213" t="s">
        <v>215</v>
      </c>
      <c r="L203" s="213"/>
      <c r="M203" s="214"/>
      <c r="N203" s="213"/>
      <c r="O203" s="214"/>
      <c r="P203" s="213"/>
      <c r="Q203" s="214"/>
      <c r="R203" s="214" t="s">
        <v>215</v>
      </c>
      <c r="S203" s="214"/>
      <c r="T203" s="214"/>
      <c r="U203" s="215">
        <f t="shared" si="575"/>
        <v>6</v>
      </c>
      <c r="V203" s="845" t="s">
        <v>219</v>
      </c>
      <c r="W203" s="216">
        <v>209107</v>
      </c>
      <c r="X203" s="217">
        <v>3.47</v>
      </c>
      <c r="Y203" s="218">
        <f t="shared" si="483"/>
        <v>1.0347</v>
      </c>
      <c r="Z203" s="196">
        <v>19</v>
      </c>
      <c r="AA203" s="218">
        <f t="shared" si="484"/>
        <v>1.9119412036868784</v>
      </c>
      <c r="AB203" s="196">
        <f t="shared" si="549"/>
        <v>399800.28927935206</v>
      </c>
      <c r="AC203">
        <v>19.100000000000001</v>
      </c>
      <c r="AD203" s="196">
        <f t="shared" si="550"/>
        <v>76361.855252356254</v>
      </c>
      <c r="AE203" s="196">
        <f t="shared" si="487"/>
        <v>72543.762489738438</v>
      </c>
      <c r="AF203" s="196">
        <f t="shared" si="576"/>
        <v>72543.762489738438</v>
      </c>
      <c r="AG203" s="606">
        <f t="shared" si="577"/>
        <v>3.3541051044408536E-3</v>
      </c>
      <c r="AH203" s="196">
        <f t="shared" si="601"/>
        <v>19990.014463967604</v>
      </c>
      <c r="AI203" s="248">
        <f t="shared" si="552"/>
        <v>1.548596132693258E-3</v>
      </c>
      <c r="AJ203" s="196">
        <f t="shared" si="578"/>
        <v>96351.869716323854</v>
      </c>
      <c r="AK203" s="196">
        <f t="shared" si="605"/>
        <v>15992.011571174082</v>
      </c>
      <c r="AL203" s="196">
        <f t="shared" si="606"/>
        <v>15992.011571174082</v>
      </c>
      <c r="AM203" s="196">
        <f t="shared" si="553"/>
        <v>31984.023142348164</v>
      </c>
      <c r="AN203" s="627">
        <f t="shared" si="554"/>
        <v>1.5485961326932578E-3</v>
      </c>
      <c r="AO203" s="196">
        <f t="shared" si="555"/>
        <v>15192.410992615378</v>
      </c>
      <c r="AP203" s="589">
        <f t="shared" si="579"/>
        <v>1.5485961326932578E-3</v>
      </c>
      <c r="AQ203" s="196"/>
      <c r="AR203" s="589"/>
      <c r="AS203">
        <v>1</v>
      </c>
      <c r="AT203" s="589">
        <f t="shared" si="580"/>
        <v>1.2919896640826874E-3</v>
      </c>
      <c r="AU203" s="196">
        <v>12</v>
      </c>
      <c r="AV203" s="245">
        <f t="shared" si="556"/>
        <v>1.3634814225656176E-3</v>
      </c>
      <c r="AX203" s="245"/>
      <c r="AY203" s="245"/>
      <c r="AZ203" s="196">
        <v>22</v>
      </c>
      <c r="BA203" s="589">
        <f t="shared" si="613"/>
        <v>8.0612656187021366E-4</v>
      </c>
      <c r="BI203" s="196">
        <v>0</v>
      </c>
      <c r="BK203" s="246">
        <f t="shared" si="614"/>
        <v>0</v>
      </c>
      <c r="BL203" s="246"/>
      <c r="BM203" s="246">
        <f t="shared" si="615"/>
        <v>0</v>
      </c>
      <c r="BN203" s="196">
        <v>1</v>
      </c>
      <c r="BO203" s="196">
        <f t="shared" si="581"/>
        <v>24499.202666632682</v>
      </c>
      <c r="BP203" s="196">
        <f t="shared" si="582"/>
        <v>24499.202666632682</v>
      </c>
      <c r="BQ203" s="248">
        <f t="shared" si="616"/>
        <v>2.2917863228506747E-3</v>
      </c>
      <c r="BR203" s="248"/>
      <c r="BS203" s="248"/>
      <c r="BT203" s="276">
        <v>1</v>
      </c>
      <c r="BU203" s="196">
        <f t="shared" si="602"/>
        <v>89068.46796634834</v>
      </c>
      <c r="BV203" s="264">
        <f t="shared" si="617"/>
        <v>6.1779576477903131E-3</v>
      </c>
      <c r="BW203" s="196">
        <f t="shared" si="603"/>
        <v>381015.11296715675</v>
      </c>
      <c r="BX203" s="247">
        <f t="shared" si="618"/>
        <v>6.1779577034415918E-3</v>
      </c>
      <c r="BY203" s="196">
        <f t="shared" si="492"/>
        <v>470083.58093350509</v>
      </c>
      <c r="BZ203" s="620">
        <v>0</v>
      </c>
      <c r="CA203" s="196">
        <f t="shared" si="583"/>
        <v>122338.88851948173</v>
      </c>
      <c r="CB203" s="196">
        <f t="shared" si="584"/>
        <v>244677.77703896345</v>
      </c>
      <c r="CC203" s="196">
        <f t="shared" si="585"/>
        <v>367016.66555844515</v>
      </c>
      <c r="CD203" s="247">
        <f t="shared" si="557"/>
        <v>1.5485961326932578E-3</v>
      </c>
      <c r="CE203" s="196">
        <f t="shared" si="586"/>
        <v>30414.38000483716</v>
      </c>
      <c r="CF203" s="247">
        <f t="shared" si="558"/>
        <v>1.3133875156781532E-3</v>
      </c>
      <c r="CG203" s="196">
        <f t="shared" si="532"/>
        <v>60769.643970461511</v>
      </c>
      <c r="CH203" s="589">
        <f t="shared" si="587"/>
        <v>1.5485961326932578E-3</v>
      </c>
      <c r="CI203" s="196">
        <f t="shared" si="588"/>
        <v>47544.912504293177</v>
      </c>
      <c r="CJ203" s="248">
        <f t="shared" si="589"/>
        <v>7.8163824088563541E-4</v>
      </c>
      <c r="CK203" s="196">
        <f t="shared" si="590"/>
        <v>136081.34428247911</v>
      </c>
      <c r="CL203" s="589">
        <f t="shared" si="591"/>
        <v>1.9561973147989653E-3</v>
      </c>
      <c r="CM203" s="196">
        <f t="shared" si="592"/>
        <v>13182.887277218464</v>
      </c>
      <c r="CN203" s="589">
        <f t="shared" si="593"/>
        <v>1.8998038755607682E-3</v>
      </c>
      <c r="CO203" s="196">
        <f t="shared" si="594"/>
        <v>1054.6329874690823</v>
      </c>
      <c r="CP203" s="589">
        <f t="shared" si="595"/>
        <v>1.9888753709818891E-3</v>
      </c>
      <c r="CQ203" s="196">
        <f>'Detailed Budget'!$AC$12</f>
        <v>292876014141.44696</v>
      </c>
      <c r="CR203" s="269">
        <f t="shared" si="604"/>
        <v>0</v>
      </c>
      <c r="CS203" s="269">
        <f>'Detailed Budget'!$AC$16</f>
        <v>10488008800.000002</v>
      </c>
      <c r="CT203" s="607">
        <f t="shared" si="533"/>
        <v>0</v>
      </c>
      <c r="CU203" s="269">
        <f>'Detailed Budget'!$AC$24</f>
        <v>30624985696</v>
      </c>
      <c r="CV203" s="269">
        <f t="shared" si="612"/>
        <v>0</v>
      </c>
      <c r="CW203" s="269"/>
      <c r="CX203" s="269">
        <f t="shared" si="596"/>
        <v>0</v>
      </c>
      <c r="CY203" s="196">
        <f>'Detailed Budget'!$AC$97</f>
        <v>74629165494.837845</v>
      </c>
      <c r="CZ203" s="269">
        <f t="shared" si="534"/>
        <v>171034100.76682886</v>
      </c>
      <c r="DA203" s="269">
        <f>'Detailed Budget'!$AC$100</f>
        <v>14925833098.967569</v>
      </c>
      <c r="DB203" s="269">
        <f t="shared" si="535"/>
        <v>34206820.153365776</v>
      </c>
      <c r="DC203" s="269">
        <f t="shared" si="560"/>
        <v>205240920.92019463</v>
      </c>
      <c r="DD203" s="207">
        <v>0</v>
      </c>
      <c r="DE203" s="606">
        <v>0</v>
      </c>
      <c r="DF203" s="269">
        <f>'Detailed Budget'!$AC$147</f>
        <v>5913600671000</v>
      </c>
      <c r="DG203" s="269">
        <f t="shared" si="607"/>
        <v>0</v>
      </c>
      <c r="DH203" s="269">
        <f>'Detailed Budget'!$AC$153</f>
        <v>226428026880.00003</v>
      </c>
      <c r="DI203" s="269"/>
      <c r="DJ203" s="269">
        <f>'Detailed Budget'!$AC$156</f>
        <v>27713070000</v>
      </c>
      <c r="DK203" s="269"/>
      <c r="DL203" s="269"/>
      <c r="DM203" s="196">
        <f>'Detailed Budget'!$AC$178</f>
        <v>5622683761.6229038</v>
      </c>
      <c r="DN203" s="269">
        <f t="shared" si="597"/>
        <v>34736702.146224625</v>
      </c>
      <c r="DO203" s="196">
        <f>'Detailed Budget'!$AC$179</f>
        <v>26827890683.128094</v>
      </c>
      <c r="DP203" s="269">
        <f t="shared" si="598"/>
        <v>165741573.91292012</v>
      </c>
      <c r="DQ203" s="269">
        <f t="shared" si="457"/>
        <v>200478276.05914474</v>
      </c>
      <c r="DR203" s="269">
        <f>'Detailed Budget'!$AC$181</f>
        <v>50888946855.375237</v>
      </c>
      <c r="DS203" s="269">
        <f t="shared" si="599"/>
        <v>170686876.40723342</v>
      </c>
      <c r="DT203" s="269">
        <f t="shared" si="600"/>
        <v>371165152.46637815</v>
      </c>
      <c r="DU203" s="272">
        <f>'Detailed Budget'!$AC$192</f>
        <v>77498869683.252869</v>
      </c>
      <c r="DV203" s="269">
        <f t="shared" si="536"/>
        <v>0</v>
      </c>
      <c r="DW203" s="140">
        <f>'Detailed Budget'!$AC$194</f>
        <v>2684962805.4134097</v>
      </c>
      <c r="DX203" s="269">
        <f t="shared" si="537"/>
        <v>0</v>
      </c>
      <c r="DY203" s="607">
        <f t="shared" si="561"/>
        <v>0</v>
      </c>
      <c r="DZ203" s="196">
        <f>'Detailed Budget'!$AC$198</f>
        <v>18732540018.380611</v>
      </c>
      <c r="EA203" s="269">
        <f t="shared" si="562"/>
        <v>24603084.197082497</v>
      </c>
      <c r="EB203" s="196">
        <f>'Detailed Budget'!$AC$200</f>
        <v>4683135004.5951529</v>
      </c>
      <c r="EC203" s="269">
        <f t="shared" si="538"/>
        <v>6150771.0492706243</v>
      </c>
      <c r="ED203" s="269">
        <f t="shared" si="563"/>
        <v>30753855.24635312</v>
      </c>
      <c r="EE203" s="196">
        <f>'Detailed Budget'!$AC$161</f>
        <v>251147290106.36197</v>
      </c>
      <c r="EF203" s="269">
        <f t="shared" si="539"/>
        <v>388925722.19510382</v>
      </c>
      <c r="EG203" s="196">
        <f>'Detailed Budget'!$AC$163</f>
        <v>15696705631.647623</v>
      </c>
      <c r="EH203" s="269">
        <f t="shared" si="540"/>
        <v>24307857.637193989</v>
      </c>
      <c r="EI203" s="269">
        <f t="shared" si="564"/>
        <v>413233579.8322978</v>
      </c>
      <c r="EJ203" s="196">
        <f>'Detailed Budget'!$AC$204</f>
        <v>45012172507.531975</v>
      </c>
      <c r="EK203" s="269">
        <f t="shared" si="541"/>
        <v>35183235.337228052</v>
      </c>
      <c r="EL203" s="201">
        <f>'Detailed Budget'!$AC$206</f>
        <v>11253043126.882994</v>
      </c>
      <c r="EM203" s="269">
        <f t="shared" si="542"/>
        <v>8795808.8343070131</v>
      </c>
      <c r="EN203" s="269">
        <f t="shared" si="565"/>
        <v>43979044.171535067</v>
      </c>
      <c r="EO203" s="140">
        <f>'Detailed Budget'!$AC$209</f>
        <v>135789361677.54817</v>
      </c>
      <c r="EP203" s="269">
        <f t="shared" si="543"/>
        <v>265630784.69188526</v>
      </c>
      <c r="EQ203" s="196">
        <f>'Detailed Budget'!$AC$211</f>
        <v>33947340419.387043</v>
      </c>
      <c r="ER203" s="269">
        <f t="shared" si="544"/>
        <v>66407696.172971316</v>
      </c>
      <c r="ES203" s="269">
        <f t="shared" si="566"/>
        <v>332038480.8648566</v>
      </c>
      <c r="ET203" s="196">
        <f>'Detailed Budget'!$AC$214</f>
        <v>22239745544.201103</v>
      </c>
      <c r="EU203" s="269">
        <f t="shared" si="545"/>
        <v>42251154.776358582</v>
      </c>
      <c r="EV203" s="140">
        <f>'Detailed Budget'!$AC$217</f>
        <v>5559936386.0502758</v>
      </c>
      <c r="EW203" s="269">
        <f t="shared" si="546"/>
        <v>10562788.694089646</v>
      </c>
      <c r="EX203" s="269">
        <f t="shared" si="567"/>
        <v>52813943.470448226</v>
      </c>
      <c r="EY203" s="196">
        <f>'Detailed Budget'!$AC$219</f>
        <v>372777004.58170313</v>
      </c>
      <c r="EZ203" s="269">
        <f t="shared" si="547"/>
        <v>741407.00328095211</v>
      </c>
      <c r="FA203" s="196">
        <f>'Detailed Budget'!$AC$222</f>
        <v>93194251.145425782</v>
      </c>
      <c r="FB203" s="269">
        <f t="shared" si="548"/>
        <v>185351.75082023803</v>
      </c>
      <c r="FC203" s="269">
        <f t="shared" si="568"/>
        <v>926758.75410119013</v>
      </c>
      <c r="FD203" s="269"/>
      <c r="FE203" s="269">
        <f t="shared" si="569"/>
        <v>429758227.26094109</v>
      </c>
      <c r="FF203" s="140">
        <f>'Detailed Budget'!$AC$165</f>
        <v>14927760000</v>
      </c>
      <c r="FG203" s="1087">
        <f t="shared" si="608"/>
        <v>586218669.33702838</v>
      </c>
      <c r="FH203" s="269">
        <f t="shared" si="570"/>
        <v>20353723.440518126</v>
      </c>
      <c r="FJ203" s="140">
        <f>'Detailed Budget'!$AC$235</f>
        <v>3623696172</v>
      </c>
      <c r="FK203" s="269">
        <f t="shared" si="571"/>
        <v>4681778</v>
      </c>
      <c r="FL203" s="269">
        <f t="shared" si="609"/>
        <v>4681778</v>
      </c>
      <c r="FO203" s="607"/>
      <c r="FP203" s="607"/>
      <c r="FQ203" s="607"/>
      <c r="FR203" s="269">
        <f>'Detailed Budget'!$AC$257</f>
        <v>13636439388</v>
      </c>
      <c r="FS203" s="269">
        <f t="shared" si="572"/>
        <v>10992696</v>
      </c>
      <c r="FT203" s="269">
        <f t="shared" si="610"/>
        <v>10992696</v>
      </c>
      <c r="FU203" s="269"/>
      <c r="FV203" s="269"/>
      <c r="FW203" s="616"/>
      <c r="FX203" s="140">
        <f>'Detailed Budget'!$AC$278</f>
        <v>1114560000</v>
      </c>
      <c r="FY203" s="269">
        <f t="shared" si="573"/>
        <v>1440000</v>
      </c>
      <c r="FZ203" s="269">
        <f t="shared" si="611"/>
        <v>1440000</v>
      </c>
      <c r="GB203" s="269">
        <f t="shared" si="619"/>
        <v>2073838602.5037115</v>
      </c>
      <c r="GC203" s="887">
        <f t="shared" si="574"/>
        <v>1296149.1265648196</v>
      </c>
      <c r="GD203" s="1078">
        <f t="shared" si="620"/>
        <v>1.1636961431821045E-3</v>
      </c>
    </row>
    <row r="204" spans="1:186" hidden="1" outlineLevel="1">
      <c r="A204" s="211" t="s">
        <v>573</v>
      </c>
      <c r="B204" s="212" t="s">
        <v>574</v>
      </c>
      <c r="C204" s="213" t="s">
        <v>215</v>
      </c>
      <c r="D204" s="225" t="s">
        <v>215</v>
      </c>
      <c r="E204" s="213"/>
      <c r="F204" s="213"/>
      <c r="G204" s="213"/>
      <c r="H204" s="213" t="s">
        <v>215</v>
      </c>
      <c r="I204" s="214" t="s">
        <v>215</v>
      </c>
      <c r="J204" s="214"/>
      <c r="K204" s="213" t="s">
        <v>215</v>
      </c>
      <c r="L204" s="213"/>
      <c r="M204" s="214"/>
      <c r="N204" s="213"/>
      <c r="O204" s="214"/>
      <c r="P204" s="213"/>
      <c r="Q204" s="214"/>
      <c r="R204" s="214" t="s">
        <v>215</v>
      </c>
      <c r="S204" s="214"/>
      <c r="T204" s="214"/>
      <c r="U204" s="215">
        <f t="shared" si="575"/>
        <v>6</v>
      </c>
      <c r="V204" s="845" t="s">
        <v>219</v>
      </c>
      <c r="W204" s="216">
        <v>89996</v>
      </c>
      <c r="X204" s="217">
        <v>3.47</v>
      </c>
      <c r="Y204" s="218">
        <f t="shared" si="483"/>
        <v>1.0347</v>
      </c>
      <c r="Z204" s="196">
        <v>19</v>
      </c>
      <c r="AA204" s="218">
        <f t="shared" si="484"/>
        <v>1.9119412036868784</v>
      </c>
      <c r="AB204" s="196">
        <f t="shared" si="549"/>
        <v>172067.06056700432</v>
      </c>
      <c r="AC204">
        <v>19.100000000000001</v>
      </c>
      <c r="AD204" s="196">
        <f t="shared" si="550"/>
        <v>32864.808568297827</v>
      </c>
      <c r="AE204" s="196">
        <f t="shared" si="487"/>
        <v>31221.568139882933</v>
      </c>
      <c r="AF204" s="196">
        <f t="shared" si="576"/>
        <v>31221.568139882933</v>
      </c>
      <c r="AG204" s="606">
        <f t="shared" si="577"/>
        <v>1.4435482455358217E-3</v>
      </c>
      <c r="AH204" s="196">
        <f t="shared" si="601"/>
        <v>8603.3530283502168</v>
      </c>
      <c r="AI204" s="248">
        <f t="shared" si="552"/>
        <v>6.6648872375320994E-4</v>
      </c>
      <c r="AJ204" s="196">
        <f t="shared" si="578"/>
        <v>41468.161596648046</v>
      </c>
      <c r="AK204" s="196">
        <f t="shared" si="605"/>
        <v>6882.6824226801727</v>
      </c>
      <c r="AL204" s="196">
        <f t="shared" si="606"/>
        <v>6882.6824226801727</v>
      </c>
      <c r="AM204" s="196">
        <f t="shared" si="553"/>
        <v>13765.364845360345</v>
      </c>
      <c r="AN204" s="627">
        <f t="shared" si="554"/>
        <v>6.6648872375320984E-4</v>
      </c>
      <c r="AO204" s="196">
        <f t="shared" si="555"/>
        <v>6538.5483015461641</v>
      </c>
      <c r="AP204" s="589">
        <f t="shared" si="579"/>
        <v>6.6648872375320984E-4</v>
      </c>
      <c r="AQ204" s="196"/>
      <c r="AR204" s="589"/>
      <c r="AS204">
        <v>1</v>
      </c>
      <c r="AT204" s="589">
        <f t="shared" si="580"/>
        <v>1.2919896640826874E-3</v>
      </c>
      <c r="AU204" s="196">
        <v>15</v>
      </c>
      <c r="AV204" s="245">
        <f t="shared" si="556"/>
        <v>1.7043517782070218E-3</v>
      </c>
      <c r="AX204" s="245"/>
      <c r="AY204" s="245"/>
      <c r="AZ204" s="196">
        <v>6</v>
      </c>
      <c r="BA204" s="589">
        <f t="shared" si="613"/>
        <v>2.1985269869187644E-4</v>
      </c>
      <c r="BI204" s="196">
        <v>0</v>
      </c>
      <c r="BK204" s="246">
        <f t="shared" si="614"/>
        <v>0</v>
      </c>
      <c r="BL204" s="246"/>
      <c r="BM204" s="246">
        <f t="shared" si="615"/>
        <v>0</v>
      </c>
      <c r="BN204" s="196">
        <v>1</v>
      </c>
      <c r="BO204" s="196">
        <f t="shared" si="581"/>
        <v>10544.028861713263</v>
      </c>
      <c r="BP204" s="196">
        <f t="shared" si="582"/>
        <v>10544.028861713263</v>
      </c>
      <c r="BQ204" s="248">
        <f t="shared" si="616"/>
        <v>9.8634479912805095E-4</v>
      </c>
      <c r="BR204" s="248"/>
      <c r="BS204" s="248"/>
      <c r="BT204" s="276">
        <v>1</v>
      </c>
      <c r="BU204" s="196">
        <f t="shared" si="602"/>
        <v>38333.512714062585</v>
      </c>
      <c r="BV204" s="264">
        <f t="shared" si="617"/>
        <v>2.6588850515312113E-3</v>
      </c>
      <c r="BW204" s="196">
        <f t="shared" si="603"/>
        <v>163982.24883237886</v>
      </c>
      <c r="BX204" s="247">
        <f t="shared" si="618"/>
        <v>2.6588850754825501E-3</v>
      </c>
      <c r="BY204" s="196">
        <f t="shared" si="492"/>
        <v>202315.76154644144</v>
      </c>
      <c r="BZ204" s="620">
        <v>0</v>
      </c>
      <c r="CA204" s="196">
        <f t="shared" si="583"/>
        <v>52652.520533503324</v>
      </c>
      <c r="CB204" s="196">
        <f t="shared" si="584"/>
        <v>105305.04106700665</v>
      </c>
      <c r="CC204" s="196">
        <f t="shared" si="585"/>
        <v>157957.56160050997</v>
      </c>
      <c r="CD204" s="247">
        <f t="shared" si="557"/>
        <v>6.6648872375320994E-4</v>
      </c>
      <c r="CE204" s="196">
        <f t="shared" si="586"/>
        <v>13089.817858394628</v>
      </c>
      <c r="CF204" s="247">
        <f t="shared" si="558"/>
        <v>5.6525904374779947E-4</v>
      </c>
      <c r="CG204" s="196">
        <f t="shared" si="532"/>
        <v>26154.193206184656</v>
      </c>
      <c r="CH204" s="589">
        <f t="shared" si="587"/>
        <v>6.6648872375320984E-4</v>
      </c>
      <c r="CI204" s="196">
        <f t="shared" si="588"/>
        <v>20462.499800276266</v>
      </c>
      <c r="CJ204" s="248">
        <f t="shared" si="589"/>
        <v>3.3640344477584992E-4</v>
      </c>
      <c r="CK204" s="196">
        <f t="shared" si="590"/>
        <v>58567.033432864475</v>
      </c>
      <c r="CL204" s="589">
        <f t="shared" si="591"/>
        <v>8.4191315232224511E-4</v>
      </c>
      <c r="CM204" s="196">
        <f t="shared" si="592"/>
        <v>5673.6843979424557</v>
      </c>
      <c r="CN204" s="589">
        <f t="shared" si="593"/>
        <v>8.176424011867939E-4</v>
      </c>
      <c r="CO204" s="196">
        <f t="shared" si="594"/>
        <v>453.89561487787375</v>
      </c>
      <c r="CP204" s="589">
        <f t="shared" si="595"/>
        <v>8.5597721686450526E-4</v>
      </c>
      <c r="CQ204" s="196">
        <f>'Detailed Budget'!$AC$12</f>
        <v>292876014141.44696</v>
      </c>
      <c r="CR204" s="269">
        <f t="shared" si="604"/>
        <v>0</v>
      </c>
      <c r="CS204" s="269">
        <f>'Detailed Budget'!$AC$16</f>
        <v>10488008800.000002</v>
      </c>
      <c r="CT204" s="607">
        <f t="shared" si="533"/>
        <v>0</v>
      </c>
      <c r="CU204" s="269">
        <f>'Detailed Budget'!$AC$24</f>
        <v>30624985696</v>
      </c>
      <c r="CV204" s="269">
        <f t="shared" si="612"/>
        <v>0</v>
      </c>
      <c r="CW204" s="269"/>
      <c r="CX204" s="269">
        <f t="shared" si="596"/>
        <v>0</v>
      </c>
      <c r="CY204" s="196">
        <f>'Detailed Budget'!$AC$97</f>
        <v>74629165494.837845</v>
      </c>
      <c r="CZ204" s="269">
        <f t="shared" si="534"/>
        <v>73610089.24909991</v>
      </c>
      <c r="DA204" s="269">
        <f>'Detailed Budget'!$AC$100</f>
        <v>14925833098.967569</v>
      </c>
      <c r="DB204" s="269">
        <f t="shared" si="535"/>
        <v>14722017.849819981</v>
      </c>
      <c r="DC204" s="269">
        <f t="shared" si="560"/>
        <v>88332107.098919898</v>
      </c>
      <c r="DD204" s="207">
        <v>0</v>
      </c>
      <c r="DE204" s="606">
        <v>0</v>
      </c>
      <c r="DF204" s="269">
        <f>'Detailed Budget'!$AC$147</f>
        <v>5913600671000</v>
      </c>
      <c r="DG204" s="269">
        <f t="shared" si="607"/>
        <v>0</v>
      </c>
      <c r="DH204" s="269">
        <f>'Detailed Budget'!$AC$153</f>
        <v>226428026880.00003</v>
      </c>
      <c r="DI204" s="269"/>
      <c r="DJ204" s="269">
        <f>'Detailed Budget'!$AC$156</f>
        <v>27713070000</v>
      </c>
      <c r="DK204" s="269"/>
      <c r="DL204" s="269"/>
      <c r="DM204" s="196">
        <f>'Detailed Budget'!$AC$178</f>
        <v>5622683761.6229038</v>
      </c>
      <c r="DN204" s="269">
        <f t="shared" si="597"/>
        <v>14950069.803266419</v>
      </c>
      <c r="DO204" s="196">
        <f>'Detailed Budget'!$AC$179</f>
        <v>26827890683.128094</v>
      </c>
      <c r="DP204" s="269">
        <f t="shared" si="598"/>
        <v>71332278.144046649</v>
      </c>
      <c r="DQ204" s="269">
        <f t="shared" si="457"/>
        <v>86282347.94731307</v>
      </c>
      <c r="DR204" s="269">
        <f>'Detailed Budget'!$AC$181</f>
        <v>50888946855.375237</v>
      </c>
      <c r="DS204" s="269">
        <f t="shared" si="599"/>
        <v>73460649.950242594</v>
      </c>
      <c r="DT204" s="269">
        <f t="shared" si="600"/>
        <v>159742997.89755565</v>
      </c>
      <c r="DU204" s="272">
        <f>'Detailed Budget'!$AC$192</f>
        <v>77498869683.252869</v>
      </c>
      <c r="DV204" s="269">
        <f t="shared" si="536"/>
        <v>0</v>
      </c>
      <c r="DW204" s="140">
        <f>'Detailed Budget'!$AC$194</f>
        <v>2684962805.4134097</v>
      </c>
      <c r="DX204" s="269">
        <f t="shared" si="537"/>
        <v>0</v>
      </c>
      <c r="DY204" s="607">
        <f t="shared" si="561"/>
        <v>0</v>
      </c>
      <c r="DZ204" s="196">
        <f>'Detailed Budget'!$AC$198</f>
        <v>18732540018.380611</v>
      </c>
      <c r="EA204" s="269">
        <f t="shared" si="562"/>
        <v>10588737.65775721</v>
      </c>
      <c r="EB204" s="196">
        <f>'Detailed Budget'!$AC$200</f>
        <v>4683135004.5951529</v>
      </c>
      <c r="EC204" s="269">
        <f t="shared" si="538"/>
        <v>2647184.4144393024</v>
      </c>
      <c r="ED204" s="269">
        <f t="shared" si="563"/>
        <v>13235922.072196512</v>
      </c>
      <c r="EE204" s="196">
        <f>'Detailed Budget'!$AC$161</f>
        <v>251147290106.36197</v>
      </c>
      <c r="EF204" s="269">
        <f t="shared" si="539"/>
        <v>167386836.85706633</v>
      </c>
      <c r="EG204" s="196">
        <f>'Detailed Budget'!$AC$163</f>
        <v>15696705631.647623</v>
      </c>
      <c r="EH204" s="269">
        <f t="shared" si="540"/>
        <v>10461677.303566646</v>
      </c>
      <c r="EI204" s="269">
        <f t="shared" si="564"/>
        <v>177848514.16063297</v>
      </c>
      <c r="EJ204" s="196">
        <f>'Detailed Budget'!$AC$204</f>
        <v>45012172507.531975</v>
      </c>
      <c r="EK204" s="269">
        <f t="shared" si="541"/>
        <v>15142249.888378562</v>
      </c>
      <c r="EL204" s="201">
        <f>'Detailed Budget'!$AC$206</f>
        <v>11253043126.882994</v>
      </c>
      <c r="EM204" s="269">
        <f t="shared" si="542"/>
        <v>3785562.4720946406</v>
      </c>
      <c r="EN204" s="269">
        <f t="shared" si="565"/>
        <v>18927812.360473204</v>
      </c>
      <c r="EO204" s="140">
        <f>'Detailed Budget'!$AC$209</f>
        <v>135789361677.54817</v>
      </c>
      <c r="EP204" s="269">
        <f t="shared" si="543"/>
        <v>114322849.54177004</v>
      </c>
      <c r="EQ204" s="196">
        <f>'Detailed Budget'!$AC$211</f>
        <v>33947340419.387043</v>
      </c>
      <c r="ER204" s="269">
        <f t="shared" si="544"/>
        <v>28580712.38544251</v>
      </c>
      <c r="ES204" s="269">
        <f t="shared" si="566"/>
        <v>142903561.92721254</v>
      </c>
      <c r="ET204" s="196">
        <f>'Detailed Budget'!$AC$214</f>
        <v>22239745544.201103</v>
      </c>
      <c r="EU204" s="269">
        <f t="shared" si="545"/>
        <v>18184158.948543891</v>
      </c>
      <c r="EV204" s="140">
        <f>'Detailed Budget'!$AC$217</f>
        <v>5559936386.0502758</v>
      </c>
      <c r="EW204" s="269">
        <f t="shared" si="546"/>
        <v>4546039.7371359728</v>
      </c>
      <c r="EX204" s="269">
        <f t="shared" si="567"/>
        <v>22730198.685679864</v>
      </c>
      <c r="EY204" s="196">
        <f>'Detailed Budget'!$AC$219</f>
        <v>372777004.58170313</v>
      </c>
      <c r="EZ204" s="269">
        <f t="shared" si="547"/>
        <v>319088.62289293314</v>
      </c>
      <c r="FA204" s="196">
        <f>'Detailed Budget'!$AC$222</f>
        <v>93194251.145425782</v>
      </c>
      <c r="FB204" s="269">
        <f t="shared" si="548"/>
        <v>79772.155723233285</v>
      </c>
      <c r="FC204" s="269">
        <f t="shared" si="568"/>
        <v>398860.77861616644</v>
      </c>
      <c r="FD204" s="269"/>
      <c r="FE204" s="269">
        <f t="shared" si="569"/>
        <v>184960433.75198177</v>
      </c>
      <c r="FF204" s="140">
        <f>'Detailed Budget'!$AC$165</f>
        <v>14927760000</v>
      </c>
      <c r="FG204" s="1087">
        <f t="shared" si="608"/>
        <v>252298274.88154483</v>
      </c>
      <c r="FH204" s="269">
        <f t="shared" si="570"/>
        <v>25442154.300647654</v>
      </c>
      <c r="FJ204" s="140">
        <f>'Detailed Budget'!$AC$235</f>
        <v>3623696172</v>
      </c>
      <c r="FK204" s="269">
        <f t="shared" si="571"/>
        <v>4681778</v>
      </c>
      <c r="FL204" s="269">
        <f t="shared" si="609"/>
        <v>4681778</v>
      </c>
      <c r="FO204" s="607"/>
      <c r="FP204" s="607"/>
      <c r="FQ204" s="607"/>
      <c r="FR204" s="269">
        <f>'Detailed Budget'!$AC$257</f>
        <v>13636439388</v>
      </c>
      <c r="FS204" s="269">
        <f t="shared" si="572"/>
        <v>2998008</v>
      </c>
      <c r="FT204" s="269">
        <f t="shared" si="610"/>
        <v>2998008</v>
      </c>
      <c r="FU204" s="269"/>
      <c r="FV204" s="269"/>
      <c r="FW204" s="616"/>
      <c r="FX204" s="140">
        <f>'Detailed Budget'!$AC$278</f>
        <v>1114560000</v>
      </c>
      <c r="FY204" s="269">
        <f t="shared" si="573"/>
        <v>1440000</v>
      </c>
      <c r="FZ204" s="269">
        <f t="shared" si="611"/>
        <v>1440000</v>
      </c>
      <c r="GB204" s="269">
        <f t="shared" si="619"/>
        <v>910980190.16347921</v>
      </c>
      <c r="GC204" s="887">
        <f t="shared" si="574"/>
        <v>569362.61885217449</v>
      </c>
      <c r="GD204" s="1078">
        <f t="shared" si="620"/>
        <v>5.1117967064972874E-4</v>
      </c>
    </row>
    <row r="205" spans="1:186" hidden="1" outlineLevel="1">
      <c r="A205" s="211" t="s">
        <v>575</v>
      </c>
      <c r="B205" s="212" t="s">
        <v>576</v>
      </c>
      <c r="C205" s="213" t="s">
        <v>215</v>
      </c>
      <c r="D205" s="225" t="s">
        <v>215</v>
      </c>
      <c r="E205" s="213"/>
      <c r="F205" s="213"/>
      <c r="G205" s="213"/>
      <c r="H205" s="213" t="s">
        <v>215</v>
      </c>
      <c r="I205" s="214" t="s">
        <v>215</v>
      </c>
      <c r="J205" s="214"/>
      <c r="K205" s="213" t="s">
        <v>215</v>
      </c>
      <c r="L205" s="213"/>
      <c r="M205" s="214"/>
      <c r="N205" s="213"/>
      <c r="O205" s="214"/>
      <c r="P205" s="213"/>
      <c r="Q205" s="214"/>
      <c r="R205" s="214" t="s">
        <v>215</v>
      </c>
      <c r="S205" s="214"/>
      <c r="T205" s="214"/>
      <c r="U205" s="215">
        <f t="shared" si="575"/>
        <v>6</v>
      </c>
      <c r="V205" s="845" t="s">
        <v>219</v>
      </c>
      <c r="W205" s="216">
        <v>60834</v>
      </c>
      <c r="X205" s="217">
        <v>3.47</v>
      </c>
      <c r="Y205" s="218">
        <f t="shared" si="483"/>
        <v>1.0347</v>
      </c>
      <c r="Z205" s="196">
        <v>19</v>
      </c>
      <c r="AA205" s="218">
        <f t="shared" si="484"/>
        <v>1.9119412036868784</v>
      </c>
      <c r="AB205" s="196">
        <f t="shared" si="549"/>
        <v>116311.03118508756</v>
      </c>
      <c r="AC205">
        <v>19.100000000000001</v>
      </c>
      <c r="AD205" s="196">
        <f t="shared" si="550"/>
        <v>22215.406956351726</v>
      </c>
      <c r="AE205" s="196">
        <f t="shared" si="487"/>
        <v>21104.63660853414</v>
      </c>
      <c r="AF205" s="196">
        <f t="shared" si="576"/>
        <v>21104.63660853414</v>
      </c>
      <c r="AG205" s="606">
        <f t="shared" si="577"/>
        <v>9.7578574568787696E-4</v>
      </c>
      <c r="AH205" s="196">
        <f t="shared" si="601"/>
        <v>5815.5515592543779</v>
      </c>
      <c r="AI205" s="248">
        <f t="shared" si="552"/>
        <v>4.5052196787415848E-4</v>
      </c>
      <c r="AJ205" s="196">
        <f t="shared" si="578"/>
        <v>28030.958515606104</v>
      </c>
      <c r="AK205" s="196">
        <f t="shared" si="605"/>
        <v>4652.4412474035025</v>
      </c>
      <c r="AL205" s="196">
        <f t="shared" si="606"/>
        <v>4652.4412474035025</v>
      </c>
      <c r="AM205" s="196">
        <f t="shared" si="553"/>
        <v>9304.8824948070051</v>
      </c>
      <c r="AN205" s="627">
        <f t="shared" si="554"/>
        <v>4.5052196787415848E-4</v>
      </c>
      <c r="AO205" s="196">
        <f t="shared" si="555"/>
        <v>4419.8191850333269</v>
      </c>
      <c r="AP205" s="589">
        <f t="shared" si="579"/>
        <v>4.5052196787415843E-4</v>
      </c>
      <c r="AQ205" s="196"/>
      <c r="AR205" s="589"/>
      <c r="AS205">
        <v>1</v>
      </c>
      <c r="AT205" s="589">
        <f t="shared" si="580"/>
        <v>1.2919896640826874E-3</v>
      </c>
      <c r="AU205" s="196">
        <v>10</v>
      </c>
      <c r="AV205" s="245">
        <f t="shared" si="556"/>
        <v>1.1362345188046814E-3</v>
      </c>
      <c r="AX205" s="245"/>
      <c r="AY205" s="245"/>
      <c r="AZ205" s="196">
        <v>1</v>
      </c>
      <c r="BA205" s="589">
        <f t="shared" si="613"/>
        <v>3.6642116448646074E-5</v>
      </c>
      <c r="BI205" s="196">
        <v>0</v>
      </c>
      <c r="BK205" s="246">
        <f t="shared" si="614"/>
        <v>0</v>
      </c>
      <c r="BL205" s="246"/>
      <c r="BM205" s="246">
        <f t="shared" si="615"/>
        <v>0</v>
      </c>
      <c r="BN205" s="196">
        <v>1</v>
      </c>
      <c r="BO205" s="196">
        <f t="shared" si="581"/>
        <v>7127.3773475872777</v>
      </c>
      <c r="BP205" s="196">
        <f t="shared" si="582"/>
        <v>7127.3773475872777</v>
      </c>
      <c r="BQ205" s="248">
        <f t="shared" si="616"/>
        <v>6.667329604666414E-4</v>
      </c>
      <c r="BR205" s="248"/>
      <c r="BS205" s="248"/>
      <c r="BT205" s="276">
        <v>1</v>
      </c>
      <c r="BU205" s="196">
        <f t="shared" si="602"/>
        <v>25912.050673888654</v>
      </c>
      <c r="BV205" s="264">
        <f t="shared" si="617"/>
        <v>1.7973089162279404E-3</v>
      </c>
      <c r="BW205" s="196">
        <f t="shared" si="603"/>
        <v>110845.99454941259</v>
      </c>
      <c r="BX205" s="247">
        <f t="shared" si="618"/>
        <v>1.7973089324181679E-3</v>
      </c>
      <c r="BY205" s="196">
        <f t="shared" si="492"/>
        <v>136758.04522330125</v>
      </c>
      <c r="BZ205" s="620">
        <v>0</v>
      </c>
      <c r="CA205" s="196">
        <f t="shared" si="583"/>
        <v>35591.175542636796</v>
      </c>
      <c r="CB205" s="196">
        <f t="shared" si="584"/>
        <v>71182.351085273593</v>
      </c>
      <c r="CC205" s="196">
        <f t="shared" si="585"/>
        <v>106773.52662791038</v>
      </c>
      <c r="CD205" s="247">
        <f t="shared" si="557"/>
        <v>4.5052196787415848E-4</v>
      </c>
      <c r="CE205" s="196">
        <f t="shared" si="586"/>
        <v>8848.2374727496644</v>
      </c>
      <c r="CF205" s="247">
        <f t="shared" si="558"/>
        <v>3.8209441161111193E-4</v>
      </c>
      <c r="CG205" s="196">
        <f t="shared" si="532"/>
        <v>17679.276740133308</v>
      </c>
      <c r="CH205" s="589">
        <f t="shared" si="587"/>
        <v>4.5052196787415843E-4</v>
      </c>
      <c r="CI205" s="196">
        <f t="shared" si="588"/>
        <v>13831.900449464489</v>
      </c>
      <c r="CJ205" s="248">
        <f t="shared" si="589"/>
        <v>2.2739640827919075E-4</v>
      </c>
      <c r="CK205" s="196">
        <f t="shared" si="590"/>
        <v>39589.169650371987</v>
      </c>
      <c r="CL205" s="589">
        <f t="shared" si="591"/>
        <v>5.6910245686887708E-4</v>
      </c>
      <c r="CM205" s="196">
        <f t="shared" si="592"/>
        <v>3835.2028608430519</v>
      </c>
      <c r="CN205" s="589">
        <f t="shared" si="593"/>
        <v>5.5269631798965976E-4</v>
      </c>
      <c r="CO205" s="196">
        <f t="shared" si="594"/>
        <v>306.81681225255085</v>
      </c>
      <c r="CP205" s="589">
        <f t="shared" si="595"/>
        <v>5.7860924941925533E-4</v>
      </c>
      <c r="CQ205" s="196">
        <f>'Detailed Budget'!$AC$12</f>
        <v>292876014141.44696</v>
      </c>
      <c r="CR205" s="269">
        <f t="shared" si="604"/>
        <v>0</v>
      </c>
      <c r="CS205" s="269">
        <f>'Detailed Budget'!$AC$16</f>
        <v>10488008800.000002</v>
      </c>
      <c r="CT205" s="607">
        <f t="shared" si="533"/>
        <v>0</v>
      </c>
      <c r="CU205" s="269">
        <f>'Detailed Budget'!$AC$24</f>
        <v>30624985696</v>
      </c>
      <c r="CV205" s="269">
        <f t="shared" si="612"/>
        <v>0</v>
      </c>
      <c r="CW205" s="269"/>
      <c r="CX205" s="269">
        <f t="shared" si="596"/>
        <v>0</v>
      </c>
      <c r="CY205" s="196">
        <f>'Detailed Budget'!$AC$97</f>
        <v>74629165494.837845</v>
      </c>
      <c r="CZ205" s="269">
        <f t="shared" si="534"/>
        <v>49757724.447528161</v>
      </c>
      <c r="DA205" s="269">
        <f>'Detailed Budget'!$AC$100</f>
        <v>14925833098.967569</v>
      </c>
      <c r="DB205" s="269">
        <f t="shared" si="535"/>
        <v>9951544.8895056322</v>
      </c>
      <c r="DC205" s="269">
        <f t="shared" si="560"/>
        <v>59709269.337033793</v>
      </c>
      <c r="DD205" s="207">
        <v>0</v>
      </c>
      <c r="DE205" s="606">
        <v>0</v>
      </c>
      <c r="DF205" s="269">
        <f>'Detailed Budget'!$AC$147</f>
        <v>5913600671000</v>
      </c>
      <c r="DG205" s="269">
        <f t="shared" si="607"/>
        <v>0</v>
      </c>
      <c r="DH205" s="269">
        <f>'Detailed Budget'!$AC$153</f>
        <v>226428026880.00003</v>
      </c>
      <c r="DI205" s="269"/>
      <c r="DJ205" s="269">
        <f>'Detailed Budget'!$AC$156</f>
        <v>27713070000</v>
      </c>
      <c r="DK205" s="269"/>
      <c r="DL205" s="269"/>
      <c r="DM205" s="196">
        <f>'Detailed Budget'!$AC$178</f>
        <v>5622683761.6229038</v>
      </c>
      <c r="DN205" s="269">
        <f t="shared" si="597"/>
        <v>10105699.6578949</v>
      </c>
      <c r="DO205" s="196">
        <f>'Detailed Budget'!$AC$179</f>
        <v>26827890683.128094</v>
      </c>
      <c r="DP205" s="269">
        <f t="shared" si="598"/>
        <v>48218007.56272427</v>
      </c>
      <c r="DQ205" s="269">
        <f t="shared" si="457"/>
        <v>58323707.220619172</v>
      </c>
      <c r="DR205" s="269">
        <f>'Detailed Budget'!$AC$181</f>
        <v>50888946855.375237</v>
      </c>
      <c r="DS205" s="269">
        <f t="shared" si="599"/>
        <v>49656708.954543069</v>
      </c>
      <c r="DT205" s="269">
        <f t="shared" si="600"/>
        <v>107980416.17516224</v>
      </c>
      <c r="DU205" s="272">
        <f>'Detailed Budget'!$AC$192</f>
        <v>77498869683.252869</v>
      </c>
      <c r="DV205" s="269">
        <f t="shared" si="536"/>
        <v>0</v>
      </c>
      <c r="DW205" s="140">
        <f>'Detailed Budget'!$AC$194</f>
        <v>2684962805.4134097</v>
      </c>
      <c r="DX205" s="269">
        <f t="shared" si="537"/>
        <v>0</v>
      </c>
      <c r="DY205" s="607">
        <f t="shared" si="561"/>
        <v>0</v>
      </c>
      <c r="DZ205" s="196">
        <f>'Detailed Budget'!$AC$198</f>
        <v>18732540018.380611</v>
      </c>
      <c r="EA205" s="269">
        <f t="shared" si="562"/>
        <v>7157598.8563047471</v>
      </c>
      <c r="EB205" s="196">
        <f>'Detailed Budget'!$AC$200</f>
        <v>4683135004.5951529</v>
      </c>
      <c r="EC205" s="269">
        <f t="shared" si="538"/>
        <v>1789399.7140761868</v>
      </c>
      <c r="ED205" s="269">
        <f t="shared" si="563"/>
        <v>8946998.5703809336</v>
      </c>
      <c r="EE205" s="196">
        <f>'Detailed Budget'!$AC$161</f>
        <v>251147290106.36197</v>
      </c>
      <c r="EF205" s="269">
        <f t="shared" si="539"/>
        <v>113147371.36498035</v>
      </c>
      <c r="EG205" s="196">
        <f>'Detailed Budget'!$AC$163</f>
        <v>15696705631.647623</v>
      </c>
      <c r="EH205" s="269">
        <f t="shared" si="540"/>
        <v>7071710.7103112722</v>
      </c>
      <c r="EI205" s="269">
        <f t="shared" si="564"/>
        <v>120219082.07529163</v>
      </c>
      <c r="EJ205" s="196">
        <f>'Detailed Budget'!$AC$204</f>
        <v>45012172507.531975</v>
      </c>
      <c r="EK205" s="269">
        <f t="shared" si="541"/>
        <v>10235606.357056106</v>
      </c>
      <c r="EL205" s="201">
        <f>'Detailed Budget'!$AC$206</f>
        <v>11253043126.882994</v>
      </c>
      <c r="EM205" s="269">
        <f t="shared" si="542"/>
        <v>2558901.5892640264</v>
      </c>
      <c r="EN205" s="269">
        <f t="shared" si="565"/>
        <v>12794507.946320131</v>
      </c>
      <c r="EO205" s="140">
        <f>'Detailed Budget'!$AC$209</f>
        <v>135789361677.54817</v>
      </c>
      <c r="EP205" s="269">
        <f t="shared" si="543"/>
        <v>77278059.347349212</v>
      </c>
      <c r="EQ205" s="196">
        <f>'Detailed Budget'!$AC$211</f>
        <v>33947340419.387043</v>
      </c>
      <c r="ER205" s="269">
        <f t="shared" si="544"/>
        <v>19319514.836837303</v>
      </c>
      <c r="ES205" s="269">
        <f t="shared" si="566"/>
        <v>96597574.184186518</v>
      </c>
      <c r="ET205" s="196">
        <f>'Detailed Budget'!$AC$214</f>
        <v>22239745544.201103</v>
      </c>
      <c r="EU205" s="269">
        <f t="shared" si="545"/>
        <v>12291825.475306891</v>
      </c>
      <c r="EV205" s="140">
        <f>'Detailed Budget'!$AC$217</f>
        <v>5559936386.0502758</v>
      </c>
      <c r="EW205" s="269">
        <f t="shared" si="546"/>
        <v>3072956.3688267227</v>
      </c>
      <c r="EX205" s="269">
        <f t="shared" si="567"/>
        <v>15364781.844133614</v>
      </c>
      <c r="EY205" s="196">
        <f>'Detailed Budget'!$AC$219</f>
        <v>372777004.58170313</v>
      </c>
      <c r="EZ205" s="269">
        <f t="shared" si="547"/>
        <v>215692.22282177754</v>
      </c>
      <c r="FA205" s="196">
        <f>'Detailed Budget'!$AC$222</f>
        <v>93194251.145425782</v>
      </c>
      <c r="FB205" s="269">
        <f t="shared" si="548"/>
        <v>53923.055705444385</v>
      </c>
      <c r="FC205" s="269">
        <f t="shared" si="568"/>
        <v>269615.27852722193</v>
      </c>
      <c r="FD205" s="269"/>
      <c r="FE205" s="269">
        <f t="shared" si="569"/>
        <v>125026479.25316748</v>
      </c>
      <c r="FF205" s="140">
        <f>'Detailed Budget'!$AC$165</f>
        <v>14927760000</v>
      </c>
      <c r="FG205" s="1087">
        <f t="shared" si="608"/>
        <v>170544393.68576273</v>
      </c>
      <c r="FH205" s="269">
        <f t="shared" si="570"/>
        <v>16961436.200431772</v>
      </c>
      <c r="FJ205" s="140">
        <f>'Detailed Budget'!$AC$235</f>
        <v>3623696172</v>
      </c>
      <c r="FK205" s="269">
        <f t="shared" si="571"/>
        <v>4681778</v>
      </c>
      <c r="FL205" s="269">
        <f t="shared" si="609"/>
        <v>4681778</v>
      </c>
      <c r="FO205" s="607"/>
      <c r="FP205" s="607"/>
      <c r="FQ205" s="607"/>
      <c r="FR205" s="269">
        <f>'Detailed Budget'!$AC$257</f>
        <v>13636439388</v>
      </c>
      <c r="FS205" s="269">
        <f t="shared" si="572"/>
        <v>499668</v>
      </c>
      <c r="FT205" s="269">
        <f t="shared" si="610"/>
        <v>499668</v>
      </c>
      <c r="FU205" s="269"/>
      <c r="FV205" s="269"/>
      <c r="FW205" s="616"/>
      <c r="FX205" s="140">
        <f>'Detailed Budget'!$AC$278</f>
        <v>1114560000</v>
      </c>
      <c r="FY205" s="269">
        <f t="shared" si="573"/>
        <v>1440000</v>
      </c>
      <c r="FZ205" s="269">
        <f t="shared" si="611"/>
        <v>1440000</v>
      </c>
      <c r="GB205" s="269">
        <f t="shared" si="619"/>
        <v>616009521.29723072</v>
      </c>
      <c r="GC205" s="887">
        <f t="shared" si="574"/>
        <v>385005.95081076922</v>
      </c>
      <c r="GD205" s="1078">
        <f t="shared" si="620"/>
        <v>3.4566233998711528E-4</v>
      </c>
    </row>
    <row r="206" spans="1:186" hidden="1" outlineLevel="1">
      <c r="A206" s="211" t="s">
        <v>577</v>
      </c>
      <c r="B206" s="212" t="s">
        <v>578</v>
      </c>
      <c r="C206" s="213" t="s">
        <v>215</v>
      </c>
      <c r="D206" s="225" t="s">
        <v>215</v>
      </c>
      <c r="E206" s="213"/>
      <c r="F206" s="213"/>
      <c r="G206" s="213"/>
      <c r="H206" s="213" t="s">
        <v>215</v>
      </c>
      <c r="I206" s="214" t="s">
        <v>215</v>
      </c>
      <c r="J206" s="214"/>
      <c r="K206" s="213" t="s">
        <v>215</v>
      </c>
      <c r="L206" s="213"/>
      <c r="M206" s="214"/>
      <c r="N206" s="213"/>
      <c r="O206" s="214"/>
      <c r="P206" s="213"/>
      <c r="Q206" s="214"/>
      <c r="R206" s="214" t="s">
        <v>215</v>
      </c>
      <c r="S206" s="214"/>
      <c r="T206" s="214"/>
      <c r="U206" s="215">
        <f t="shared" si="575"/>
        <v>6</v>
      </c>
      <c r="V206" s="845" t="s">
        <v>219</v>
      </c>
      <c r="W206" s="216">
        <v>157322</v>
      </c>
      <c r="X206" s="217">
        <v>3.47</v>
      </c>
      <c r="Y206" s="218">
        <f t="shared" si="483"/>
        <v>1.0347</v>
      </c>
      <c r="Z206" s="196">
        <v>19</v>
      </c>
      <c r="AA206" s="218">
        <f t="shared" si="484"/>
        <v>1.9119412036868784</v>
      </c>
      <c r="AB206" s="196">
        <f t="shared" si="549"/>
        <v>300790.41404642706</v>
      </c>
      <c r="AC206">
        <v>19.100000000000001</v>
      </c>
      <c r="AD206" s="196">
        <f t="shared" si="550"/>
        <v>57450.969082867567</v>
      </c>
      <c r="AE206" s="196">
        <f t="shared" si="487"/>
        <v>54578.420628724183</v>
      </c>
      <c r="AF206" s="196">
        <f t="shared" si="576"/>
        <v>54578.420628724183</v>
      </c>
      <c r="AG206" s="606">
        <f t="shared" si="577"/>
        <v>2.5234665661161217E-3</v>
      </c>
      <c r="AH206" s="196">
        <f t="shared" si="601"/>
        <v>15039.520702321353</v>
      </c>
      <c r="AI206" s="248">
        <f t="shared" si="552"/>
        <v>1.1650888817092146E-3</v>
      </c>
      <c r="AJ206" s="196">
        <f t="shared" si="578"/>
        <v>72490.489785188925</v>
      </c>
      <c r="AK206" s="196">
        <f t="shared" si="605"/>
        <v>12031.616561857083</v>
      </c>
      <c r="AL206" s="196">
        <f t="shared" si="606"/>
        <v>12031.616561857083</v>
      </c>
      <c r="AM206" s="196">
        <f t="shared" si="553"/>
        <v>24063.233123714166</v>
      </c>
      <c r="AN206" s="627">
        <f t="shared" si="554"/>
        <v>1.1650888817092146E-3</v>
      </c>
      <c r="AO206" s="196">
        <f t="shared" si="555"/>
        <v>11430.035733764227</v>
      </c>
      <c r="AP206" s="589">
        <f t="shared" si="579"/>
        <v>1.1650888817092144E-3</v>
      </c>
      <c r="AQ206" s="196"/>
      <c r="AR206" s="589"/>
      <c r="AS206">
        <v>1</v>
      </c>
      <c r="AT206" s="589">
        <f t="shared" si="580"/>
        <v>1.2919896640826874E-3</v>
      </c>
      <c r="AU206" s="196">
        <v>11</v>
      </c>
      <c r="AV206" s="245">
        <f t="shared" si="556"/>
        <v>1.2498579706851495E-3</v>
      </c>
      <c r="AX206" s="245"/>
      <c r="AY206" s="245"/>
      <c r="AZ206" s="196">
        <v>20</v>
      </c>
      <c r="BA206" s="589">
        <f t="shared" si="613"/>
        <v>7.3284232897292143E-4</v>
      </c>
      <c r="BI206" s="196">
        <v>0</v>
      </c>
      <c r="BK206" s="246">
        <f t="shared" si="614"/>
        <v>0</v>
      </c>
      <c r="BL206" s="246"/>
      <c r="BM206" s="246">
        <f t="shared" si="615"/>
        <v>0</v>
      </c>
      <c r="BN206" s="196">
        <v>1</v>
      </c>
      <c r="BO206" s="196">
        <f t="shared" si="581"/>
        <v>18432.015962736717</v>
      </c>
      <c r="BP206" s="196">
        <f t="shared" si="582"/>
        <v>18432.015962736717</v>
      </c>
      <c r="BQ206" s="248">
        <f t="shared" si="616"/>
        <v>1.724229260060705E-3</v>
      </c>
      <c r="BR206" s="248"/>
      <c r="BS206" s="248"/>
      <c r="BT206" s="276">
        <v>1</v>
      </c>
      <c r="BU206" s="196">
        <f t="shared" si="602"/>
        <v>67010.810338256735</v>
      </c>
      <c r="BV206" s="264">
        <f t="shared" si="617"/>
        <v>4.6479967340436598E-3</v>
      </c>
      <c r="BW206" s="196">
        <f t="shared" si="603"/>
        <v>286657.35533587605</v>
      </c>
      <c r="BX206" s="247">
        <f t="shared" si="618"/>
        <v>4.6479967759129924E-3</v>
      </c>
      <c r="BY206" s="196">
        <f t="shared" si="492"/>
        <v>353668.16567413276</v>
      </c>
      <c r="BZ206" s="620">
        <v>0</v>
      </c>
      <c r="CA206" s="196">
        <f t="shared" si="583"/>
        <v>92041.866698206693</v>
      </c>
      <c r="CB206" s="196">
        <f t="shared" si="584"/>
        <v>184083.73339641339</v>
      </c>
      <c r="CC206" s="196">
        <f t="shared" si="585"/>
        <v>276125.60009462008</v>
      </c>
      <c r="CD206" s="247">
        <f t="shared" si="557"/>
        <v>1.1650888817092146E-3</v>
      </c>
      <c r="CE206" s="196">
        <f t="shared" si="586"/>
        <v>22882.309492848119</v>
      </c>
      <c r="CF206" s="247">
        <f t="shared" si="558"/>
        <v>9.8812928664042052E-4</v>
      </c>
      <c r="CG206" s="196">
        <f t="shared" si="532"/>
        <v>45720.142935056909</v>
      </c>
      <c r="CH206" s="589">
        <f t="shared" si="587"/>
        <v>1.1650888817092144E-3</v>
      </c>
      <c r="CI206" s="196">
        <f t="shared" si="588"/>
        <v>35770.494172841703</v>
      </c>
      <c r="CJ206" s="248">
        <f t="shared" si="589"/>
        <v>5.8806683340399853E-4</v>
      </c>
      <c r="CK206" s="196">
        <f t="shared" si="590"/>
        <v>102381.02619810995</v>
      </c>
      <c r="CL206" s="589">
        <f t="shared" si="591"/>
        <v>1.471748310476468E-3</v>
      </c>
      <c r="CM206" s="196">
        <f t="shared" si="592"/>
        <v>9918.1672169107824</v>
      </c>
      <c r="CN206" s="589">
        <f t="shared" si="593"/>
        <v>1.4293206124662069E-3</v>
      </c>
      <c r="CO206" s="196">
        <f t="shared" si="594"/>
        <v>793.45488603734429</v>
      </c>
      <c r="CP206" s="589">
        <f t="shared" si="595"/>
        <v>1.496333700515108E-3</v>
      </c>
      <c r="CQ206" s="196">
        <f>'Detailed Budget'!$AC$12</f>
        <v>292876014141.44696</v>
      </c>
      <c r="CR206" s="269">
        <f t="shared" si="604"/>
        <v>0</v>
      </c>
      <c r="CS206" s="269">
        <f>'Detailed Budget'!$AC$16</f>
        <v>10488008800.000002</v>
      </c>
      <c r="CT206" s="607">
        <f t="shared" si="533"/>
        <v>0</v>
      </c>
      <c r="CU206" s="269">
        <f>'Detailed Budget'!$AC$24</f>
        <v>30624985696</v>
      </c>
      <c r="CV206" s="269">
        <f t="shared" si="612"/>
        <v>0</v>
      </c>
      <c r="CW206" s="269"/>
      <c r="CX206" s="269">
        <f t="shared" si="596"/>
        <v>0</v>
      </c>
      <c r="CY206" s="196">
        <f>'Detailed Budget'!$AC$97</f>
        <v>74629165494.837845</v>
      </c>
      <c r="CZ206" s="269">
        <f t="shared" si="534"/>
        <v>128677790.80011216</v>
      </c>
      <c r="DA206" s="269">
        <f>'Detailed Budget'!$AC$100</f>
        <v>14925833098.967569</v>
      </c>
      <c r="DB206" s="269">
        <f t="shared" si="535"/>
        <v>25735558.160022434</v>
      </c>
      <c r="DC206" s="269">
        <f t="shared" si="560"/>
        <v>154413348.9601346</v>
      </c>
      <c r="DD206" s="207">
        <v>0</v>
      </c>
      <c r="DE206" s="606">
        <v>0</v>
      </c>
      <c r="DF206" s="269">
        <f>'Detailed Budget'!$AC$147</f>
        <v>5913600671000</v>
      </c>
      <c r="DG206" s="269">
        <f t="shared" si="607"/>
        <v>0</v>
      </c>
      <c r="DH206" s="269">
        <f>'Detailed Budget'!$AC$153</f>
        <v>226428026880.00003</v>
      </c>
      <c r="DI206" s="269"/>
      <c r="DJ206" s="269">
        <f>'Detailed Budget'!$AC$156</f>
        <v>27713070000</v>
      </c>
      <c r="DK206" s="269"/>
      <c r="DL206" s="269"/>
      <c r="DM206" s="196">
        <f>'Detailed Budget'!$AC$178</f>
        <v>5622683761.6229038</v>
      </c>
      <c r="DN206" s="269">
        <f t="shared" si="597"/>
        <v>26134215.760583576</v>
      </c>
      <c r="DO206" s="196">
        <f>'Detailed Budget'!$AC$179</f>
        <v>26827890683.128094</v>
      </c>
      <c r="DP206" s="269">
        <f t="shared" si="598"/>
        <v>124695949.39972559</v>
      </c>
      <c r="DQ206" s="269">
        <f t="shared" si="457"/>
        <v>150830165.16030917</v>
      </c>
      <c r="DR206" s="269">
        <f>'Detailed Budget'!$AC$181</f>
        <v>50888946855.375237</v>
      </c>
      <c r="DS206" s="269">
        <f t="shared" si="599"/>
        <v>128416555.97439955</v>
      </c>
      <c r="DT206" s="269">
        <f t="shared" si="600"/>
        <v>279246721.1347087</v>
      </c>
      <c r="DU206" s="272">
        <f>'Detailed Budget'!$AC$192</f>
        <v>77498869683.252869</v>
      </c>
      <c r="DV206" s="269">
        <f t="shared" si="536"/>
        <v>0</v>
      </c>
      <c r="DW206" s="140">
        <f>'Detailed Budget'!$AC$194</f>
        <v>2684962805.4134097</v>
      </c>
      <c r="DX206" s="269">
        <f t="shared" si="537"/>
        <v>0</v>
      </c>
      <c r="DY206" s="607">
        <f t="shared" si="561"/>
        <v>0</v>
      </c>
      <c r="DZ206" s="196">
        <f>'Detailed Budget'!$AC$198</f>
        <v>18732540018.380611</v>
      </c>
      <c r="EA206" s="269">
        <f t="shared" si="562"/>
        <v>18510171.405325562</v>
      </c>
      <c r="EB206" s="196">
        <f>'Detailed Budget'!$AC$200</f>
        <v>4683135004.5951529</v>
      </c>
      <c r="EC206" s="269">
        <f t="shared" si="538"/>
        <v>4627542.8513313904</v>
      </c>
      <c r="ED206" s="269">
        <f t="shared" si="563"/>
        <v>23137714.256656952</v>
      </c>
      <c r="EE206" s="196">
        <f>'Detailed Budget'!$AC$161</f>
        <v>251147290106.36197</v>
      </c>
      <c r="EF206" s="269">
        <f t="shared" si="539"/>
        <v>292608915.37432092</v>
      </c>
      <c r="EG206" s="196">
        <f>'Detailed Budget'!$AC$163</f>
        <v>15696705631.647623</v>
      </c>
      <c r="EH206" s="269">
        <f t="shared" si="540"/>
        <v>18288057.210895058</v>
      </c>
      <c r="EI206" s="269">
        <f t="shared" si="564"/>
        <v>310896972.58521599</v>
      </c>
      <c r="EJ206" s="196">
        <f>'Detailed Budget'!$AC$204</f>
        <v>45012172507.531975</v>
      </c>
      <c r="EK206" s="269">
        <f t="shared" si="541"/>
        <v>26470165.751138847</v>
      </c>
      <c r="EL206" s="201">
        <f>'Detailed Budget'!$AC$206</f>
        <v>11253043126.882994</v>
      </c>
      <c r="EM206" s="269">
        <f t="shared" si="542"/>
        <v>6617541.4377847118</v>
      </c>
      <c r="EN206" s="269">
        <f t="shared" si="565"/>
        <v>33087707.18892356</v>
      </c>
      <c r="EO206" s="140">
        <f>'Detailed Budget'!$AC$209</f>
        <v>135789361677.54817</v>
      </c>
      <c r="EP206" s="269">
        <f t="shared" si="543"/>
        <v>199847763.62960958</v>
      </c>
      <c r="EQ206" s="196">
        <f>'Detailed Budget'!$AC$211</f>
        <v>33947340419.387043</v>
      </c>
      <c r="ER206" s="269">
        <f t="shared" si="544"/>
        <v>49961940.907402396</v>
      </c>
      <c r="ES206" s="269">
        <f t="shared" si="566"/>
        <v>249809704.53701198</v>
      </c>
      <c r="ET206" s="196">
        <f>'Detailed Budget'!$AC$214</f>
        <v>22239745544.201103</v>
      </c>
      <c r="EU206" s="269">
        <f t="shared" si="545"/>
        <v>31787726.722330116</v>
      </c>
      <c r="EV206" s="140">
        <f>'Detailed Budget'!$AC$217</f>
        <v>5559936386.0502758</v>
      </c>
      <c r="EW206" s="269">
        <f t="shared" si="546"/>
        <v>7946931.6805825289</v>
      </c>
      <c r="EX206" s="269">
        <f t="shared" si="567"/>
        <v>39734658.402912647</v>
      </c>
      <c r="EY206" s="196">
        <f>'Detailed Budget'!$AC$219</f>
        <v>372777004.58170313</v>
      </c>
      <c r="EZ206" s="269">
        <f t="shared" si="547"/>
        <v>557798.79473267717</v>
      </c>
      <c r="FA206" s="196">
        <f>'Detailed Budget'!$AC$222</f>
        <v>93194251.145425782</v>
      </c>
      <c r="FB206" s="269">
        <f t="shared" si="548"/>
        <v>139449.69868316929</v>
      </c>
      <c r="FC206" s="269">
        <f t="shared" si="568"/>
        <v>697248.49341584649</v>
      </c>
      <c r="FD206" s="269"/>
      <c r="FE206" s="269">
        <f t="shared" si="569"/>
        <v>323329318.62226403</v>
      </c>
      <c r="FF206" s="140">
        <f>'Detailed Budget'!$AC$165</f>
        <v>14927760000</v>
      </c>
      <c r="FG206" s="1087">
        <f t="shared" si="608"/>
        <v>441042593.01429397</v>
      </c>
      <c r="FH206" s="269">
        <f t="shared" si="570"/>
        <v>18657579.820474949</v>
      </c>
      <c r="FJ206" s="140">
        <f>'Detailed Budget'!$AC$235</f>
        <v>3623696172</v>
      </c>
      <c r="FK206" s="269">
        <f t="shared" si="571"/>
        <v>4681778</v>
      </c>
      <c r="FL206" s="269">
        <f t="shared" si="609"/>
        <v>4681778</v>
      </c>
      <c r="FO206" s="607"/>
      <c r="FP206" s="607"/>
      <c r="FQ206" s="607"/>
      <c r="FR206" s="269">
        <f>'Detailed Budget'!$AC$257</f>
        <v>13636439388</v>
      </c>
      <c r="FS206" s="269">
        <f t="shared" si="572"/>
        <v>9993360</v>
      </c>
      <c r="FT206" s="269">
        <f t="shared" si="610"/>
        <v>9993360</v>
      </c>
      <c r="FU206" s="269"/>
      <c r="FV206" s="269"/>
      <c r="FW206" s="616"/>
      <c r="FX206" s="140">
        <f>'Detailed Budget'!$AC$278</f>
        <v>1114560000</v>
      </c>
      <c r="FY206" s="269">
        <f t="shared" si="573"/>
        <v>1440000</v>
      </c>
      <c r="FZ206" s="269">
        <f t="shared" si="611"/>
        <v>1440000</v>
      </c>
      <c r="GB206" s="269">
        <f t="shared" si="619"/>
        <v>1566839386.393749</v>
      </c>
      <c r="GC206" s="887">
        <f t="shared" si="574"/>
        <v>979274.61649609311</v>
      </c>
      <c r="GD206" s="1078">
        <f t="shared" si="620"/>
        <v>8.7920291807228902E-4</v>
      </c>
    </row>
    <row r="207" spans="1:186" hidden="1" outlineLevel="1">
      <c r="A207" s="211" t="s">
        <v>579</v>
      </c>
      <c r="B207" s="212" t="s">
        <v>580</v>
      </c>
      <c r="C207" s="213" t="s">
        <v>215</v>
      </c>
      <c r="D207" s="225" t="s">
        <v>215</v>
      </c>
      <c r="E207" s="213"/>
      <c r="F207" s="213"/>
      <c r="G207" s="213"/>
      <c r="H207" s="213" t="s">
        <v>215</v>
      </c>
      <c r="I207" s="214" t="s">
        <v>215</v>
      </c>
      <c r="J207" s="214"/>
      <c r="K207" s="213" t="s">
        <v>215</v>
      </c>
      <c r="L207" s="213"/>
      <c r="M207" s="214"/>
      <c r="N207" s="213"/>
      <c r="O207" s="214"/>
      <c r="P207" s="213"/>
      <c r="Q207" s="214"/>
      <c r="R207" s="214" t="s">
        <v>215</v>
      </c>
      <c r="S207" s="214"/>
      <c r="T207" s="214"/>
      <c r="U207" s="215">
        <f t="shared" si="575"/>
        <v>6</v>
      </c>
      <c r="V207" s="845" t="s">
        <v>219</v>
      </c>
      <c r="W207" s="216">
        <v>203343</v>
      </c>
      <c r="X207" s="217">
        <v>3.47</v>
      </c>
      <c r="Y207" s="218">
        <f t="shared" si="483"/>
        <v>1.0347</v>
      </c>
      <c r="Z207" s="196">
        <v>19</v>
      </c>
      <c r="AA207" s="218">
        <f t="shared" si="484"/>
        <v>1.9119412036868784</v>
      </c>
      <c r="AB207" s="196">
        <f t="shared" si="549"/>
        <v>388779.8601813009</v>
      </c>
      <c r="AC207">
        <v>19.100000000000001</v>
      </c>
      <c r="AD207" s="196">
        <f t="shared" si="550"/>
        <v>74256.953294628474</v>
      </c>
      <c r="AE207" s="196">
        <f t="shared" si="487"/>
        <v>70544.105629897051</v>
      </c>
      <c r="AF207" s="196">
        <f t="shared" si="576"/>
        <v>70544.105629897051</v>
      </c>
      <c r="AG207" s="606">
        <f t="shared" si="577"/>
        <v>3.2616497498998906E-3</v>
      </c>
      <c r="AH207" s="196">
        <f t="shared" si="601"/>
        <v>19438.993009065045</v>
      </c>
      <c r="AI207" s="248">
        <f t="shared" si="552"/>
        <v>1.5059093354610087E-3</v>
      </c>
      <c r="AJ207" s="196">
        <f t="shared" si="578"/>
        <v>93695.946303693519</v>
      </c>
      <c r="AK207" s="196">
        <f t="shared" si="605"/>
        <v>15551.194407252036</v>
      </c>
      <c r="AL207" s="196">
        <f t="shared" si="606"/>
        <v>15551.194407252036</v>
      </c>
      <c r="AM207" s="196">
        <f t="shared" si="553"/>
        <v>31102.388814504073</v>
      </c>
      <c r="AN207" s="627">
        <f t="shared" si="554"/>
        <v>1.5059093354610087E-3</v>
      </c>
      <c r="AO207" s="196">
        <f t="shared" si="555"/>
        <v>14773.634686889434</v>
      </c>
      <c r="AP207" s="589">
        <f t="shared" si="579"/>
        <v>1.5059093354610087E-3</v>
      </c>
      <c r="AQ207" s="196"/>
      <c r="AR207" s="589"/>
      <c r="AS207">
        <v>1</v>
      </c>
      <c r="AT207" s="589">
        <f t="shared" si="580"/>
        <v>1.2919896640826874E-3</v>
      </c>
      <c r="AU207" s="196">
        <v>10</v>
      </c>
      <c r="AV207" s="245">
        <f t="shared" si="556"/>
        <v>1.1362345188046814E-3</v>
      </c>
      <c r="AX207" s="245"/>
      <c r="AY207" s="245"/>
      <c r="AZ207" s="196">
        <v>3</v>
      </c>
      <c r="BA207" s="589">
        <f t="shared" si="613"/>
        <v>1.0992634934593822E-4</v>
      </c>
      <c r="BI207" s="196">
        <v>0</v>
      </c>
      <c r="BK207" s="246">
        <f t="shared" si="614"/>
        <v>0</v>
      </c>
      <c r="BL207" s="246"/>
      <c r="BM207" s="246">
        <f t="shared" si="615"/>
        <v>0</v>
      </c>
      <c r="BN207" s="196">
        <v>1</v>
      </c>
      <c r="BO207" s="196">
        <f t="shared" si="581"/>
        <v>23823.886181912083</v>
      </c>
      <c r="BP207" s="196">
        <f t="shared" si="582"/>
        <v>23823.886181912083</v>
      </c>
      <c r="BQ207" s="248">
        <f t="shared" si="616"/>
        <v>2.2286136104837468E-3</v>
      </c>
      <c r="BR207" s="248"/>
      <c r="BS207" s="248"/>
      <c r="BT207" s="276">
        <v>1</v>
      </c>
      <c r="BU207" s="196">
        <f t="shared" si="602"/>
        <v>86613.310322854653</v>
      </c>
      <c r="BV207" s="264">
        <f t="shared" si="617"/>
        <v>6.0076632631840422E-3</v>
      </c>
      <c r="BW207" s="196">
        <f t="shared" si="603"/>
        <v>370512.49415887828</v>
      </c>
      <c r="BX207" s="247">
        <f t="shared" si="618"/>
        <v>6.0076633173013032E-3</v>
      </c>
      <c r="BY207" s="196">
        <f t="shared" si="492"/>
        <v>457125.80448173295</v>
      </c>
      <c r="BZ207" s="620">
        <v>0</v>
      </c>
      <c r="CA207" s="196">
        <f t="shared" si="583"/>
        <v>118966.63721547808</v>
      </c>
      <c r="CB207" s="196">
        <f t="shared" si="584"/>
        <v>237933.27443095617</v>
      </c>
      <c r="CC207" s="196">
        <f t="shared" si="585"/>
        <v>356899.91164643422</v>
      </c>
      <c r="CD207" s="247">
        <f t="shared" si="557"/>
        <v>1.5059093354610087E-3</v>
      </c>
      <c r="CE207" s="196">
        <f t="shared" si="586"/>
        <v>29576.012631445159</v>
      </c>
      <c r="CF207" s="247">
        <f t="shared" si="558"/>
        <v>1.277184205218107E-3</v>
      </c>
      <c r="CG207" s="196">
        <f t="shared" si="532"/>
        <v>59094.538747557737</v>
      </c>
      <c r="CH207" s="589">
        <f t="shared" si="587"/>
        <v>1.5059093354610087E-3</v>
      </c>
      <c r="CI207" s="196">
        <f t="shared" si="588"/>
        <v>46234.344825187516</v>
      </c>
      <c r="CJ207" s="248">
        <f t="shared" si="589"/>
        <v>7.6009251156779895E-4</v>
      </c>
      <c r="CK207" s="196">
        <f t="shared" si="590"/>
        <v>132330.28444974174</v>
      </c>
      <c r="CL207" s="589">
        <f t="shared" si="591"/>
        <v>1.9022750581432757E-3</v>
      </c>
      <c r="CM207" s="196">
        <f t="shared" si="592"/>
        <v>12819.503161593988</v>
      </c>
      <c r="CN207" s="589">
        <f t="shared" si="593"/>
        <v>1.847436094765614E-3</v>
      </c>
      <c r="CO207" s="196">
        <f t="shared" si="594"/>
        <v>1025.5622029435915</v>
      </c>
      <c r="CP207" s="589">
        <f t="shared" si="595"/>
        <v>1.934052349091949E-3</v>
      </c>
      <c r="CQ207" s="196">
        <f>'Detailed Budget'!$AC$12</f>
        <v>292876014141.44696</v>
      </c>
      <c r="CR207" s="269">
        <f t="shared" si="604"/>
        <v>0</v>
      </c>
      <c r="CS207" s="269">
        <f>'Detailed Budget'!$AC$16</f>
        <v>10488008800.000002</v>
      </c>
      <c r="CT207" s="607">
        <f t="shared" si="533"/>
        <v>0</v>
      </c>
      <c r="CU207" s="269">
        <f>'Detailed Budget'!$AC$24</f>
        <v>30624985696</v>
      </c>
      <c r="CV207" s="269">
        <f t="shared" si="612"/>
        <v>0</v>
      </c>
      <c r="CW207" s="269"/>
      <c r="CX207" s="269">
        <f t="shared" si="596"/>
        <v>0</v>
      </c>
      <c r="CY207" s="196">
        <f>'Detailed Budget'!$AC$97</f>
        <v>74629165494.837845</v>
      </c>
      <c r="CZ207" s="269">
        <f t="shared" si="534"/>
        <v>166319573.96083963</v>
      </c>
      <c r="DA207" s="269">
        <f>'Detailed Budget'!$AC$100</f>
        <v>14925833098.967569</v>
      </c>
      <c r="DB207" s="269">
        <f t="shared" si="535"/>
        <v>33263914.792167928</v>
      </c>
      <c r="DC207" s="269">
        <f t="shared" si="560"/>
        <v>199583488.75300756</v>
      </c>
      <c r="DD207" s="207">
        <v>0</v>
      </c>
      <c r="DE207" s="606">
        <v>0</v>
      </c>
      <c r="DF207" s="269">
        <f>'Detailed Budget'!$AC$147</f>
        <v>5913600671000</v>
      </c>
      <c r="DG207" s="269">
        <f t="shared" si="607"/>
        <v>0</v>
      </c>
      <c r="DH207" s="269">
        <f>'Detailed Budget'!$AC$153</f>
        <v>226428026880.00003</v>
      </c>
      <c r="DI207" s="269"/>
      <c r="DJ207" s="269">
        <f>'Detailed Budget'!$AC$156</f>
        <v>27713070000</v>
      </c>
      <c r="DK207" s="269"/>
      <c r="DL207" s="269"/>
      <c r="DM207" s="196">
        <f>'Detailed Budget'!$AC$178</f>
        <v>5622683761.6229038</v>
      </c>
      <c r="DN207" s="269">
        <f t="shared" si="597"/>
        <v>33779190.675203383</v>
      </c>
      <c r="DO207" s="196">
        <f>'Detailed Budget'!$AC$179</f>
        <v>26827890683.128094</v>
      </c>
      <c r="DP207" s="269">
        <f t="shared" si="598"/>
        <v>161172934.73759806</v>
      </c>
      <c r="DQ207" s="269">
        <f t="shared" si="457"/>
        <v>194952125.41280144</v>
      </c>
      <c r="DR207" s="269">
        <f>'Detailed Budget'!$AC$181</f>
        <v>50888946855.375237</v>
      </c>
      <c r="DS207" s="269">
        <f t="shared" si="599"/>
        <v>165981920.78350347</v>
      </c>
      <c r="DT207" s="269">
        <f t="shared" si="600"/>
        <v>360934046.19630492</v>
      </c>
      <c r="DU207" s="272">
        <f>'Detailed Budget'!$AC$192</f>
        <v>77498869683.252869</v>
      </c>
      <c r="DV207" s="269">
        <f t="shared" si="536"/>
        <v>0</v>
      </c>
      <c r="DW207" s="140">
        <f>'Detailed Budget'!$AC$194</f>
        <v>2684962805.4134097</v>
      </c>
      <c r="DX207" s="269">
        <f t="shared" si="537"/>
        <v>0</v>
      </c>
      <c r="DY207" s="607">
        <f t="shared" si="561"/>
        <v>0</v>
      </c>
      <c r="DZ207" s="196">
        <f>'Detailed Budget'!$AC$198</f>
        <v>18732540018.380611</v>
      </c>
      <c r="EA207" s="269">
        <f t="shared" si="562"/>
        <v>23924904.235091824</v>
      </c>
      <c r="EB207" s="196">
        <f>'Detailed Budget'!$AC$200</f>
        <v>4683135004.5951529</v>
      </c>
      <c r="EC207" s="269">
        <f t="shared" si="538"/>
        <v>5981226.058772956</v>
      </c>
      <c r="ED207" s="269">
        <f t="shared" si="563"/>
        <v>29906130.293864779</v>
      </c>
      <c r="EE207" s="196">
        <f>'Detailed Budget'!$AC$161</f>
        <v>251147290106.36197</v>
      </c>
      <c r="EF207" s="269">
        <f t="shared" si="539"/>
        <v>378205048.74690473</v>
      </c>
      <c r="EG207" s="196">
        <f>'Detailed Budget'!$AC$163</f>
        <v>15696705631.647623</v>
      </c>
      <c r="EH207" s="269">
        <f t="shared" si="540"/>
        <v>23637815.546681546</v>
      </c>
      <c r="EI207" s="269">
        <f t="shared" si="564"/>
        <v>401842864.29358625</v>
      </c>
      <c r="EJ207" s="196">
        <f>'Detailed Budget'!$AC$204</f>
        <v>45012172507.531975</v>
      </c>
      <c r="EK207" s="269">
        <f t="shared" si="541"/>
        <v>34213415.25237301</v>
      </c>
      <c r="EL207" s="201">
        <f>'Detailed Budget'!$AC$206</f>
        <v>11253043126.882994</v>
      </c>
      <c r="EM207" s="269">
        <f t="shared" si="542"/>
        <v>8553353.8130932525</v>
      </c>
      <c r="EN207" s="269">
        <f t="shared" si="565"/>
        <v>42766769.065466262</v>
      </c>
      <c r="EO207" s="140">
        <f>'Detailed Budget'!$AC$209</f>
        <v>135789361677.54817</v>
      </c>
      <c r="EP207" s="269">
        <f t="shared" si="543"/>
        <v>258308715.88039625</v>
      </c>
      <c r="EQ207" s="196">
        <f>'Detailed Budget'!$AC$211</f>
        <v>33947340419.387043</v>
      </c>
      <c r="ER207" s="269">
        <f t="shared" si="544"/>
        <v>64577178.970099062</v>
      </c>
      <c r="ES207" s="269">
        <f t="shared" si="566"/>
        <v>322885894.85049534</v>
      </c>
      <c r="ET207" s="196">
        <f>'Detailed Budget'!$AC$214</f>
        <v>22239745544.201103</v>
      </c>
      <c r="EU207" s="269">
        <f t="shared" si="545"/>
        <v>41086508.656759851</v>
      </c>
      <c r="EV207" s="140">
        <f>'Detailed Budget'!$AC$217</f>
        <v>5559936386.0502758</v>
      </c>
      <c r="EW207" s="269">
        <f t="shared" si="546"/>
        <v>10271627.164189963</v>
      </c>
      <c r="EX207" s="269">
        <f t="shared" si="567"/>
        <v>51358135.820949815</v>
      </c>
      <c r="EY207" s="196">
        <f>'Detailed Budget'!$AC$219</f>
        <v>372777004.58170313</v>
      </c>
      <c r="EZ207" s="269">
        <f t="shared" si="547"/>
        <v>720970.24139870319</v>
      </c>
      <c r="FA207" s="196">
        <f>'Detailed Budget'!$AC$222</f>
        <v>93194251.145425782</v>
      </c>
      <c r="FB207" s="269">
        <f t="shared" si="548"/>
        <v>180242.5603496758</v>
      </c>
      <c r="FC207" s="269">
        <f t="shared" si="568"/>
        <v>901212.80174837902</v>
      </c>
      <c r="FD207" s="269"/>
      <c r="FE207" s="269">
        <f t="shared" si="569"/>
        <v>417912012.53865981</v>
      </c>
      <c r="FF207" s="140">
        <f>'Detailed Budget'!$AC$165</f>
        <v>14927760000</v>
      </c>
      <c r="FG207" s="1087">
        <f t="shared" si="608"/>
        <v>570059648.30923569</v>
      </c>
      <c r="FH207" s="269">
        <f t="shared" si="570"/>
        <v>16961436.200431772</v>
      </c>
      <c r="FJ207" s="140">
        <f>'Detailed Budget'!$AC$235</f>
        <v>3623696172</v>
      </c>
      <c r="FK207" s="269">
        <f t="shared" si="571"/>
        <v>4681778</v>
      </c>
      <c r="FL207" s="269">
        <f t="shared" si="609"/>
        <v>4681778</v>
      </c>
      <c r="FO207" s="607"/>
      <c r="FP207" s="607"/>
      <c r="FQ207" s="607"/>
      <c r="FR207" s="269">
        <f>'Detailed Budget'!$AC$257</f>
        <v>13636439388</v>
      </c>
      <c r="FS207" s="269">
        <f t="shared" si="572"/>
        <v>1499004</v>
      </c>
      <c r="FT207" s="269">
        <f t="shared" si="610"/>
        <v>1499004</v>
      </c>
      <c r="FU207" s="269"/>
      <c r="FV207" s="269"/>
      <c r="FW207" s="616"/>
      <c r="FX207" s="140">
        <f>'Detailed Budget'!$AC$278</f>
        <v>1114560000</v>
      </c>
      <c r="FY207" s="269">
        <f t="shared" si="573"/>
        <v>1440000</v>
      </c>
      <c r="FZ207" s="269">
        <f t="shared" si="611"/>
        <v>1440000</v>
      </c>
      <c r="GB207" s="269">
        <f t="shared" si="619"/>
        <v>2004820408.5850906</v>
      </c>
      <c r="GC207" s="887">
        <f t="shared" si="574"/>
        <v>1253012.7553656816</v>
      </c>
      <c r="GD207" s="1078">
        <f t="shared" si="620"/>
        <v>1.1249678612533522E-3</v>
      </c>
    </row>
    <row r="208" spans="1:186" hidden="1" outlineLevel="1">
      <c r="A208" s="211" t="s">
        <v>581</v>
      </c>
      <c r="B208" s="212" t="s">
        <v>582</v>
      </c>
      <c r="C208" s="213" t="s">
        <v>215</v>
      </c>
      <c r="D208" s="225" t="s">
        <v>215</v>
      </c>
      <c r="E208" s="213"/>
      <c r="F208" s="213"/>
      <c r="G208" s="213"/>
      <c r="H208" s="213" t="s">
        <v>215</v>
      </c>
      <c r="I208" s="214" t="s">
        <v>215</v>
      </c>
      <c r="J208" s="214"/>
      <c r="K208" s="213" t="s">
        <v>215</v>
      </c>
      <c r="L208" s="213"/>
      <c r="M208" s="214"/>
      <c r="N208" s="213"/>
      <c r="O208" s="214"/>
      <c r="P208" s="213"/>
      <c r="Q208" s="214"/>
      <c r="R208" s="214" t="s">
        <v>215</v>
      </c>
      <c r="S208" s="214"/>
      <c r="T208" s="214"/>
      <c r="U208" s="215">
        <f t="shared" si="575"/>
        <v>6</v>
      </c>
      <c r="V208" s="845" t="s">
        <v>219</v>
      </c>
      <c r="W208" s="216">
        <v>56704</v>
      </c>
      <c r="X208" s="217">
        <v>3.47</v>
      </c>
      <c r="Y208" s="218">
        <f t="shared" si="483"/>
        <v>1.0347</v>
      </c>
      <c r="Z208" s="196">
        <v>19</v>
      </c>
      <c r="AA208" s="218">
        <f t="shared" si="484"/>
        <v>1.9119412036868784</v>
      </c>
      <c r="AB208" s="196">
        <f t="shared" si="549"/>
        <v>108414.71401386075</v>
      </c>
      <c r="AC208">
        <v>19.100000000000001</v>
      </c>
      <c r="AD208" s="196">
        <f t="shared" si="550"/>
        <v>20707.210376647407</v>
      </c>
      <c r="AE208" s="196">
        <f t="shared" si="487"/>
        <v>19671.849857815036</v>
      </c>
      <c r="AF208" s="196">
        <f t="shared" si="576"/>
        <v>19671.849857815036</v>
      </c>
      <c r="AG208" s="606">
        <f t="shared" si="577"/>
        <v>9.0953997638631978E-4</v>
      </c>
      <c r="AH208" s="196">
        <f t="shared" si="601"/>
        <v>5420.7357006930379</v>
      </c>
      <c r="AI208" s="248">
        <f t="shared" si="552"/>
        <v>4.1993618151586753E-4</v>
      </c>
      <c r="AJ208" s="196">
        <f t="shared" si="578"/>
        <v>26127.946077340443</v>
      </c>
      <c r="AK208" s="196">
        <f t="shared" si="605"/>
        <v>4336.5885605544299</v>
      </c>
      <c r="AL208" s="196">
        <f t="shared" si="606"/>
        <v>4336.5885605544299</v>
      </c>
      <c r="AM208" s="196">
        <f t="shared" si="553"/>
        <v>8673.1771211088599</v>
      </c>
      <c r="AN208" s="627">
        <f t="shared" si="554"/>
        <v>4.1993618151586748E-4</v>
      </c>
      <c r="AO208" s="196">
        <f t="shared" si="555"/>
        <v>4119.7591325267085</v>
      </c>
      <c r="AP208" s="589">
        <f t="shared" si="579"/>
        <v>4.1993618151586748E-4</v>
      </c>
      <c r="AQ208" s="196"/>
      <c r="AR208" s="589"/>
      <c r="AS208">
        <v>1</v>
      </c>
      <c r="AT208" s="589">
        <f t="shared" si="580"/>
        <v>1.2919896640826874E-3</v>
      </c>
      <c r="AU208" s="196">
        <v>10</v>
      </c>
      <c r="AV208" s="245">
        <f t="shared" si="556"/>
        <v>1.1362345188046814E-3</v>
      </c>
      <c r="AX208" s="245"/>
      <c r="AY208" s="245"/>
      <c r="AZ208" s="196">
        <v>23</v>
      </c>
      <c r="BA208" s="589">
        <f t="shared" si="613"/>
        <v>8.4276867831885966E-4</v>
      </c>
      <c r="BI208" s="196">
        <v>0</v>
      </c>
      <c r="BK208" s="246">
        <f t="shared" si="614"/>
        <v>0</v>
      </c>
      <c r="BL208" s="246"/>
      <c r="BM208" s="246">
        <f t="shared" si="615"/>
        <v>0</v>
      </c>
      <c r="BN208" s="196">
        <v>1</v>
      </c>
      <c r="BO208" s="196">
        <f t="shared" si="581"/>
        <v>6643.5020731431259</v>
      </c>
      <c r="BP208" s="196">
        <f t="shared" si="582"/>
        <v>6643.5020731431259</v>
      </c>
      <c r="BQ208" s="248">
        <f t="shared" si="616"/>
        <v>6.214686818276034E-4</v>
      </c>
      <c r="BR208" s="248"/>
      <c r="BS208" s="248"/>
      <c r="BT208" s="276">
        <v>1</v>
      </c>
      <c r="BU208" s="196">
        <f t="shared" si="602"/>
        <v>24152.890183321535</v>
      </c>
      <c r="BV208" s="264">
        <f t="shared" si="617"/>
        <v>1.6752902124763968E-3</v>
      </c>
      <c r="BW208" s="196">
        <f t="shared" si="603"/>
        <v>103320.69689531991</v>
      </c>
      <c r="BX208" s="247">
        <f t="shared" si="618"/>
        <v>1.6752902275674753E-3</v>
      </c>
      <c r="BY208" s="196">
        <f t="shared" si="492"/>
        <v>127473.58707864145</v>
      </c>
      <c r="BZ208" s="620">
        <v>0</v>
      </c>
      <c r="CA208" s="196">
        <f t="shared" si="583"/>
        <v>33174.902488241387</v>
      </c>
      <c r="CB208" s="196">
        <f t="shared" si="584"/>
        <v>66349.804976482774</v>
      </c>
      <c r="CC208" s="196">
        <f t="shared" si="585"/>
        <v>99524.707464724168</v>
      </c>
      <c r="CD208" s="247">
        <f t="shared" si="557"/>
        <v>4.1993618151586748E-4</v>
      </c>
      <c r="CE208" s="196">
        <f t="shared" si="586"/>
        <v>8247.5335775190997</v>
      </c>
      <c r="CF208" s="247">
        <f t="shared" si="558"/>
        <v>3.5615414925858056E-4</v>
      </c>
      <c r="CG208" s="196">
        <f t="shared" ref="CG208:CG239" si="621">AO208*4</f>
        <v>16479.036530106834</v>
      </c>
      <c r="CH208" s="589">
        <f t="shared" si="587"/>
        <v>4.1993618151586748E-4</v>
      </c>
      <c r="CI208" s="196">
        <f t="shared" si="588"/>
        <v>12892.857334491147</v>
      </c>
      <c r="CJ208" s="248">
        <f t="shared" si="589"/>
        <v>2.1195854185263559E-4</v>
      </c>
      <c r="CK208" s="196">
        <f t="shared" si="590"/>
        <v>36901.474107484188</v>
      </c>
      <c r="CL208" s="589">
        <f t="shared" si="591"/>
        <v>5.3046628060447775E-4</v>
      </c>
      <c r="CM208" s="196">
        <f t="shared" si="592"/>
        <v>3574.8322158865835</v>
      </c>
      <c r="CN208" s="589">
        <f t="shared" si="593"/>
        <v>5.1517394902991201E-4</v>
      </c>
      <c r="CO208" s="196">
        <f t="shared" si="594"/>
        <v>285.98712105021281</v>
      </c>
      <c r="CP208" s="589">
        <f t="shared" si="595"/>
        <v>5.3932766017472894E-4</v>
      </c>
      <c r="CQ208" s="196">
        <f>'Detailed Budget'!$AC$12</f>
        <v>292876014141.44696</v>
      </c>
      <c r="CR208" s="269">
        <f t="shared" si="604"/>
        <v>0</v>
      </c>
      <c r="CS208" s="269">
        <f>'Detailed Budget'!$AC$16</f>
        <v>10488008800.000002</v>
      </c>
      <c r="CT208" s="607">
        <f t="shared" ref="CT208:CT239" si="622">BM208*CS208</f>
        <v>0</v>
      </c>
      <c r="CU208" s="269">
        <f>'Detailed Budget'!$AC$24</f>
        <v>30624985696</v>
      </c>
      <c r="CV208" s="269">
        <f t="shared" si="612"/>
        <v>0</v>
      </c>
      <c r="CW208" s="269"/>
      <c r="CX208" s="269">
        <f t="shared" si="596"/>
        <v>0</v>
      </c>
      <c r="CY208" s="196">
        <f>'Detailed Budget'!$AC$97</f>
        <v>74629165494.837845</v>
      </c>
      <c r="CZ208" s="269">
        <f t="shared" ref="CZ208:CZ239" si="623">BQ208*CY208</f>
        <v>46379689.105970941</v>
      </c>
      <c r="DA208" s="269">
        <f>'Detailed Budget'!$AC$100</f>
        <v>14925833098.967569</v>
      </c>
      <c r="DB208" s="269">
        <f t="shared" ref="DB208:DB239" si="624">BQ208*DA208</f>
        <v>9275937.8211941887</v>
      </c>
      <c r="DC208" s="269">
        <f t="shared" si="560"/>
        <v>55655626.927165128</v>
      </c>
      <c r="DD208" s="207">
        <v>0</v>
      </c>
      <c r="DE208" s="606">
        <v>0</v>
      </c>
      <c r="DF208" s="269">
        <f>'Detailed Budget'!$AC$147</f>
        <v>5913600671000</v>
      </c>
      <c r="DG208" s="269">
        <f t="shared" si="607"/>
        <v>0</v>
      </c>
      <c r="DH208" s="269">
        <f>'Detailed Budget'!$AC$153</f>
        <v>226428026880.00003</v>
      </c>
      <c r="DI208" s="269"/>
      <c r="DJ208" s="269">
        <f>'Detailed Budget'!$AC$156</f>
        <v>27713070000</v>
      </c>
      <c r="DK208" s="269"/>
      <c r="DL208" s="269"/>
      <c r="DM208" s="196">
        <f>'Detailed Budget'!$AC$178</f>
        <v>5622683761.6229038</v>
      </c>
      <c r="DN208" s="269">
        <f t="shared" si="597"/>
        <v>9419627.0736968201</v>
      </c>
      <c r="DO208" s="196">
        <f>'Detailed Budget'!$AC$179</f>
        <v>26827890683.128094</v>
      </c>
      <c r="DP208" s="269">
        <f t="shared" si="598"/>
        <v>44944503.087693013</v>
      </c>
      <c r="DQ208" s="269">
        <f t="shared" ref="DQ208:DQ268" si="625">DN208+DP208</f>
        <v>54364130.161389835</v>
      </c>
      <c r="DR208" s="269">
        <f>'Detailed Budget'!$AC$181</f>
        <v>50888946855.375237</v>
      </c>
      <c r="DS208" s="269">
        <f t="shared" si="599"/>
        <v>46285531.521162674</v>
      </c>
      <c r="DT208" s="269">
        <f t="shared" si="600"/>
        <v>100649661.68255252</v>
      </c>
      <c r="DU208" s="272">
        <f>'Detailed Budget'!$AC$192</f>
        <v>77498869683.252869</v>
      </c>
      <c r="DV208" s="269">
        <f t="shared" ref="DV208:DV239" si="626">BZ208*CD208*DU208</f>
        <v>0</v>
      </c>
      <c r="DW208" s="140">
        <f>'Detailed Budget'!$AC$194</f>
        <v>2684962805.4134097</v>
      </c>
      <c r="DX208" s="269">
        <f t="shared" ref="DX208:DX239" si="627">BZ208*AN208*DW208</f>
        <v>0</v>
      </c>
      <c r="DY208" s="607">
        <f t="shared" si="561"/>
        <v>0</v>
      </c>
      <c r="DZ208" s="196">
        <f>'Detailed Budget'!$AC$198</f>
        <v>18732540018.380611</v>
      </c>
      <c r="EA208" s="269">
        <f t="shared" si="562"/>
        <v>6671671.8536986616</v>
      </c>
      <c r="EB208" s="196">
        <f>'Detailed Budget'!$AC$200</f>
        <v>4683135004.5951529</v>
      </c>
      <c r="EC208" s="269">
        <f t="shared" ref="EC208:EC239" si="628">CF208*EB208</f>
        <v>1667917.9634246654</v>
      </c>
      <c r="ED208" s="269">
        <f t="shared" si="563"/>
        <v>8339589.8171233274</v>
      </c>
      <c r="EE208" s="196">
        <f>'Detailed Budget'!$AC$161</f>
        <v>251147290106.36197</v>
      </c>
      <c r="EF208" s="269">
        <f t="shared" ref="EF208:EF239" si="629">CH208*EE208</f>
        <v>105465834.00532345</v>
      </c>
      <c r="EG208" s="196">
        <f>'Detailed Budget'!$AC$163</f>
        <v>15696705631.647623</v>
      </c>
      <c r="EH208" s="269">
        <f t="shared" ref="EH208:EH239" si="630">AP208*EG208</f>
        <v>6591614.6253327159</v>
      </c>
      <c r="EI208" s="269">
        <f t="shared" si="564"/>
        <v>112057448.63065617</v>
      </c>
      <c r="EJ208" s="196">
        <f>'Detailed Budget'!$AC$204</f>
        <v>45012172507.531975</v>
      </c>
      <c r="EK208" s="269">
        <f t="shared" ref="EK208:EK239" si="631">CJ208*EJ208</f>
        <v>9540714.4503157698</v>
      </c>
      <c r="EL208" s="201">
        <f>'Detailed Budget'!$AC$206</f>
        <v>11253043126.882994</v>
      </c>
      <c r="EM208" s="269">
        <f t="shared" ref="EM208:EM239" si="632">CJ208*EL208</f>
        <v>2385178.6125789424</v>
      </c>
      <c r="EN208" s="269">
        <f t="shared" si="565"/>
        <v>11925893.062894713</v>
      </c>
      <c r="EO208" s="140">
        <f>'Detailed Budget'!$AC$209</f>
        <v>135789361677.54817</v>
      </c>
      <c r="EP208" s="269">
        <f t="shared" ref="EP208:EP239" si="633">CL208*EO208</f>
        <v>72031677.634745181</v>
      </c>
      <c r="EQ208" s="196">
        <f>'Detailed Budget'!$AC$211</f>
        <v>33947340419.387043</v>
      </c>
      <c r="ER208" s="269">
        <f t="shared" ref="ER208:ER239" si="634">CL208*EQ208</f>
        <v>18007919.408686295</v>
      </c>
      <c r="ES208" s="269">
        <f t="shared" si="566"/>
        <v>90039597.043431476</v>
      </c>
      <c r="ET208" s="196">
        <f>'Detailed Budget'!$AC$214</f>
        <v>22239745544.201103</v>
      </c>
      <c r="EU208" s="269">
        <f t="shared" ref="EU208:EU239" si="635">CN208*ET208</f>
        <v>11457337.537426472</v>
      </c>
      <c r="EV208" s="140">
        <f>'Detailed Budget'!$AC$217</f>
        <v>5559936386.0502758</v>
      </c>
      <c r="EW208" s="269">
        <f t="shared" ref="EW208:EW239" si="636">CN208*EV208</f>
        <v>2864334.3843566179</v>
      </c>
      <c r="EX208" s="269">
        <f t="shared" si="567"/>
        <v>14321671.92178309</v>
      </c>
      <c r="EY208" s="196">
        <f>'Detailed Budget'!$AC$219</f>
        <v>372777004.58170313</v>
      </c>
      <c r="EZ208" s="269">
        <f t="shared" ref="EZ208:EZ239" si="637">CP208*EY208</f>
        <v>201048.94964799416</v>
      </c>
      <c r="FA208" s="196">
        <f>'Detailed Budget'!$AC$222</f>
        <v>93194251.145425782</v>
      </c>
      <c r="FB208" s="269">
        <f t="shared" ref="FB208:FB239" si="638">CP208*FA208</f>
        <v>50262.23741199854</v>
      </c>
      <c r="FC208" s="269">
        <f t="shared" si="568"/>
        <v>251311.18705999269</v>
      </c>
      <c r="FD208" s="269"/>
      <c r="FE208" s="269">
        <f t="shared" si="569"/>
        <v>116538473.21516928</v>
      </c>
      <c r="FF208" s="140">
        <f>'Detailed Budget'!$AC$165</f>
        <v>14927760000</v>
      </c>
      <c r="FG208" s="1087">
        <f t="shared" si="608"/>
        <v>158966191.59610561</v>
      </c>
      <c r="FH208" s="269">
        <f t="shared" si="570"/>
        <v>16961436.200431772</v>
      </c>
      <c r="FJ208" s="140">
        <f>'Detailed Budget'!$AC$235</f>
        <v>3623696172</v>
      </c>
      <c r="FK208" s="269">
        <f t="shared" si="571"/>
        <v>4681778</v>
      </c>
      <c r="FL208" s="269">
        <f t="shared" si="609"/>
        <v>4681778</v>
      </c>
      <c r="FO208" s="607"/>
      <c r="FP208" s="607"/>
      <c r="FQ208" s="607"/>
      <c r="FR208" s="269">
        <f>'Detailed Budget'!$AC$257</f>
        <v>13636439388</v>
      </c>
      <c r="FS208" s="269">
        <f t="shared" si="572"/>
        <v>11492364</v>
      </c>
      <c r="FT208" s="269">
        <f t="shared" si="610"/>
        <v>11492364</v>
      </c>
      <c r="FU208" s="269"/>
      <c r="FV208" s="269"/>
      <c r="FW208" s="616"/>
      <c r="FX208" s="140">
        <f>'Detailed Budget'!$AC$278</f>
        <v>1114560000</v>
      </c>
      <c r="FY208" s="269">
        <f t="shared" si="573"/>
        <v>1440000</v>
      </c>
      <c r="FZ208" s="269">
        <f t="shared" si="611"/>
        <v>1440000</v>
      </c>
      <c r="GB208" s="269">
        <f t="shared" si="619"/>
        <v>586782570.06920385</v>
      </c>
      <c r="GC208" s="887">
        <f t="shared" si="574"/>
        <v>366739.10629325244</v>
      </c>
      <c r="GD208" s="1078">
        <f t="shared" si="620"/>
        <v>3.29262177322593E-4</v>
      </c>
    </row>
    <row r="209" spans="1:186" hidden="1" outlineLevel="1">
      <c r="A209" s="211" t="s">
        <v>583</v>
      </c>
      <c r="B209" s="212" t="s">
        <v>584</v>
      </c>
      <c r="C209" s="213" t="s">
        <v>215</v>
      </c>
      <c r="D209" s="225" t="s">
        <v>215</v>
      </c>
      <c r="E209" s="213"/>
      <c r="F209" s="213"/>
      <c r="G209" s="213"/>
      <c r="H209" s="213" t="s">
        <v>215</v>
      </c>
      <c r="I209" s="214" t="s">
        <v>215</v>
      </c>
      <c r="J209" s="214"/>
      <c r="K209" s="213" t="s">
        <v>215</v>
      </c>
      <c r="L209" s="213"/>
      <c r="M209" s="214"/>
      <c r="N209" s="213"/>
      <c r="O209" s="214"/>
      <c r="P209" s="213"/>
      <c r="Q209" s="214"/>
      <c r="R209" s="214" t="s">
        <v>215</v>
      </c>
      <c r="S209" s="214"/>
      <c r="T209" s="214"/>
      <c r="U209" s="215">
        <f t="shared" si="575"/>
        <v>6</v>
      </c>
      <c r="V209" s="845" t="s">
        <v>219</v>
      </c>
      <c r="W209" s="216">
        <v>103600</v>
      </c>
      <c r="X209" s="217">
        <v>3.47</v>
      </c>
      <c r="Y209" s="218">
        <f t="shared" si="483"/>
        <v>1.0347</v>
      </c>
      <c r="Z209" s="196">
        <v>19</v>
      </c>
      <c r="AA209" s="218">
        <f t="shared" si="484"/>
        <v>1.9119412036868784</v>
      </c>
      <c r="AB209" s="196">
        <f t="shared" si="549"/>
        <v>198077.10870196059</v>
      </c>
      <c r="AC209">
        <v>19.100000000000001</v>
      </c>
      <c r="AD209" s="196">
        <f t="shared" si="550"/>
        <v>37832.727762074472</v>
      </c>
      <c r="AE209" s="196">
        <f t="shared" si="487"/>
        <v>35941.091373970747</v>
      </c>
      <c r="AF209" s="196">
        <f t="shared" si="576"/>
        <v>35941.091373970747</v>
      </c>
      <c r="AG209" s="606">
        <f t="shared" si="577"/>
        <v>1.6617582807848248E-3</v>
      </c>
      <c r="AH209" s="196">
        <f t="shared" si="601"/>
        <v>9903.8554350980303</v>
      </c>
      <c r="AI209" s="248">
        <f t="shared" si="552"/>
        <v>7.6723667475035045E-4</v>
      </c>
      <c r="AJ209" s="196">
        <f t="shared" si="578"/>
        <v>47736.583197172498</v>
      </c>
      <c r="AK209" s="196">
        <f t="shared" si="605"/>
        <v>7923.0843480784242</v>
      </c>
      <c r="AL209" s="196">
        <f t="shared" si="606"/>
        <v>7923.0843480784242</v>
      </c>
      <c r="AM209" s="196">
        <f t="shared" si="553"/>
        <v>15846.168696156848</v>
      </c>
      <c r="AN209" s="627">
        <f t="shared" si="554"/>
        <v>7.6723667475035045E-4</v>
      </c>
      <c r="AO209" s="196">
        <f t="shared" si="555"/>
        <v>7526.9301306745019</v>
      </c>
      <c r="AP209" s="589">
        <f t="shared" si="579"/>
        <v>7.6723667475035034E-4</v>
      </c>
      <c r="AQ209" s="196"/>
      <c r="AR209" s="589"/>
      <c r="AS209">
        <v>1</v>
      </c>
      <c r="AT209" s="589">
        <f t="shared" si="580"/>
        <v>1.2919896640826874E-3</v>
      </c>
      <c r="AU209" s="196">
        <v>12</v>
      </c>
      <c r="AV209" s="245">
        <f t="shared" si="556"/>
        <v>1.3634814225656176E-3</v>
      </c>
      <c r="AX209" s="245"/>
      <c r="AY209" s="245"/>
      <c r="AZ209" s="196">
        <v>5</v>
      </c>
      <c r="BA209" s="589">
        <f t="shared" si="613"/>
        <v>1.8321058224323036E-4</v>
      </c>
      <c r="BI209" s="196">
        <v>0</v>
      </c>
      <c r="BK209" s="246">
        <f t="shared" si="614"/>
        <v>0</v>
      </c>
      <c r="BL209" s="246"/>
      <c r="BM209" s="246">
        <f t="shared" si="615"/>
        <v>0</v>
      </c>
      <c r="BN209" s="196">
        <v>1</v>
      </c>
      <c r="BO209" s="196">
        <f t="shared" si="581"/>
        <v>12137.888240293943</v>
      </c>
      <c r="BP209" s="196">
        <f t="shared" si="582"/>
        <v>12137.888240293943</v>
      </c>
      <c r="BQ209" s="248">
        <f t="shared" si="616"/>
        <v>1.1354429217928137E-3</v>
      </c>
      <c r="BR209" s="248"/>
      <c r="BS209" s="248"/>
      <c r="BT209" s="276">
        <v>1</v>
      </c>
      <c r="BU209" s="196">
        <f t="shared" si="602"/>
        <v>44128.093661683663</v>
      </c>
      <c r="BV209" s="264">
        <f t="shared" si="617"/>
        <v>3.0608081619031228E-3</v>
      </c>
      <c r="BW209" s="196">
        <f t="shared" si="603"/>
        <v>188770.1784416468</v>
      </c>
      <c r="BX209" s="247">
        <f t="shared" si="618"/>
        <v>3.0608081894750003E-3</v>
      </c>
      <c r="BY209" s="196">
        <f t="shared" si="492"/>
        <v>232898.27210333047</v>
      </c>
      <c r="BZ209" s="620">
        <v>0</v>
      </c>
      <c r="CA209" s="196">
        <f t="shared" si="583"/>
        <v>60611.595262799943</v>
      </c>
      <c r="CB209" s="196">
        <f t="shared" si="584"/>
        <v>121223.19052559989</v>
      </c>
      <c r="CC209" s="196">
        <f t="shared" si="585"/>
        <v>181834.78578839984</v>
      </c>
      <c r="CD209" s="247">
        <f t="shared" si="557"/>
        <v>7.6723667475035045E-4</v>
      </c>
      <c r="CE209" s="196">
        <f t="shared" si="586"/>
        <v>15068.504490529394</v>
      </c>
      <c r="CF209" s="247">
        <f t="shared" si="558"/>
        <v>6.5070488613129486E-4</v>
      </c>
      <c r="CG209" s="196">
        <f t="shared" si="621"/>
        <v>30107.720522698008</v>
      </c>
      <c r="CH209" s="589">
        <f t="shared" si="587"/>
        <v>7.6723667475035034E-4</v>
      </c>
      <c r="CI209" s="196">
        <f t="shared" si="588"/>
        <v>23555.657799331308</v>
      </c>
      <c r="CJ209" s="248">
        <f t="shared" si="589"/>
        <v>3.8725495442884175E-4</v>
      </c>
      <c r="CK209" s="196">
        <f t="shared" si="590"/>
        <v>67420.159380914236</v>
      </c>
      <c r="CL209" s="589">
        <f t="shared" si="591"/>
        <v>9.6917865883577674E-4</v>
      </c>
      <c r="CM209" s="196">
        <f t="shared" si="592"/>
        <v>6531.331432806327</v>
      </c>
      <c r="CN209" s="589">
        <f t="shared" si="593"/>
        <v>9.4123908576994341E-4</v>
      </c>
      <c r="CO209" s="196">
        <f t="shared" si="594"/>
        <v>522.50750812644674</v>
      </c>
      <c r="CP209" s="589">
        <f t="shared" si="595"/>
        <v>9.8536867935422362E-4</v>
      </c>
      <c r="CQ209" s="196">
        <f>'Detailed Budget'!$AC$12</f>
        <v>292876014141.44696</v>
      </c>
      <c r="CR209" s="269">
        <f t="shared" si="604"/>
        <v>0</v>
      </c>
      <c r="CS209" s="269">
        <f>'Detailed Budget'!$AC$16</f>
        <v>10488008800.000002</v>
      </c>
      <c r="CT209" s="607">
        <f t="shared" si="622"/>
        <v>0</v>
      </c>
      <c r="CU209" s="269">
        <f>'Detailed Budget'!$AC$24</f>
        <v>30624985696</v>
      </c>
      <c r="CV209" s="269">
        <f t="shared" si="612"/>
        <v>0</v>
      </c>
      <c r="CW209" s="269"/>
      <c r="CX209" s="269">
        <f t="shared" si="596"/>
        <v>0</v>
      </c>
      <c r="CY209" s="196">
        <f>'Detailed Budget'!$AC$97</f>
        <v>74629165494.837845</v>
      </c>
      <c r="CZ209" s="269">
        <f t="shared" si="623"/>
        <v>84737157.72041811</v>
      </c>
      <c r="DA209" s="269">
        <f>'Detailed Budget'!$AC$100</f>
        <v>14925833098.967569</v>
      </c>
      <c r="DB209" s="269">
        <f t="shared" si="624"/>
        <v>16947431.544083625</v>
      </c>
      <c r="DC209" s="269">
        <f t="shared" si="560"/>
        <v>101684589.26450174</v>
      </c>
      <c r="DD209" s="207">
        <v>0</v>
      </c>
      <c r="DE209" s="606">
        <v>0</v>
      </c>
      <c r="DF209" s="269">
        <f>'Detailed Budget'!$AC$147</f>
        <v>5913600671000</v>
      </c>
      <c r="DG209" s="269">
        <f t="shared" si="607"/>
        <v>0</v>
      </c>
      <c r="DH209" s="269">
        <f>'Detailed Budget'!$AC$153</f>
        <v>226428026880.00003</v>
      </c>
      <c r="DI209" s="269"/>
      <c r="DJ209" s="269">
        <f>'Detailed Budget'!$AC$156</f>
        <v>27713070000</v>
      </c>
      <c r="DK209" s="269"/>
      <c r="DL209" s="269"/>
      <c r="DM209" s="196">
        <f>'Detailed Budget'!$AC$178</f>
        <v>5622683761.6229038</v>
      </c>
      <c r="DN209" s="269">
        <f t="shared" si="597"/>
        <v>17209956.349375535</v>
      </c>
      <c r="DO209" s="196">
        <f>'Detailed Budget'!$AC$179</f>
        <v>26827890683.128094</v>
      </c>
      <c r="DP209" s="269">
        <f t="shared" si="598"/>
        <v>82115027.509258524</v>
      </c>
      <c r="DQ209" s="269">
        <f t="shared" si="625"/>
        <v>99324983.858634055</v>
      </c>
      <c r="DR209" s="269">
        <f>'Detailed Budget'!$AC$181</f>
        <v>50888946855.375237</v>
      </c>
      <c r="DS209" s="269">
        <f t="shared" si="599"/>
        <v>84565128.837338671</v>
      </c>
      <c r="DT209" s="269">
        <f t="shared" si="600"/>
        <v>183890112.69597274</v>
      </c>
      <c r="DU209" s="272">
        <f>'Detailed Budget'!$AC$192</f>
        <v>77498869683.252869</v>
      </c>
      <c r="DV209" s="269">
        <f t="shared" si="626"/>
        <v>0</v>
      </c>
      <c r="DW209" s="140">
        <f>'Detailed Budget'!$AC$194</f>
        <v>2684962805.4134097</v>
      </c>
      <c r="DX209" s="269">
        <f t="shared" si="627"/>
        <v>0</v>
      </c>
      <c r="DY209" s="607">
        <f t="shared" si="561"/>
        <v>0</v>
      </c>
      <c r="DZ209" s="196">
        <f>'Detailed Budget'!$AC$198</f>
        <v>18732540018.380611</v>
      </c>
      <c r="EA209" s="269">
        <f t="shared" si="562"/>
        <v>12189355.319610279</v>
      </c>
      <c r="EB209" s="196">
        <f>'Detailed Budget'!$AC$200</f>
        <v>4683135004.5951529</v>
      </c>
      <c r="EC209" s="269">
        <f t="shared" si="628"/>
        <v>3047338.8299025698</v>
      </c>
      <c r="ED209" s="269">
        <f t="shared" si="563"/>
        <v>15236694.14951285</v>
      </c>
      <c r="EE209" s="196">
        <f>'Detailed Budget'!$AC$161</f>
        <v>251147290106.36197</v>
      </c>
      <c r="EF209" s="269">
        <f t="shared" si="629"/>
        <v>192689411.7337667</v>
      </c>
      <c r="EG209" s="196">
        <f>'Detailed Budget'!$AC$163</f>
        <v>15696705631.647623</v>
      </c>
      <c r="EH209" s="269">
        <f t="shared" si="630"/>
        <v>12043088.233360419</v>
      </c>
      <c r="EI209" s="269">
        <f t="shared" si="564"/>
        <v>204732499.96712711</v>
      </c>
      <c r="EJ209" s="196">
        <f>'Detailed Budget'!$AC$204</f>
        <v>45012172507.531975</v>
      </c>
      <c r="EK209" s="269">
        <f t="shared" si="631"/>
        <v>17431186.813147459</v>
      </c>
      <c r="EL209" s="201">
        <f>'Detailed Budget'!$AC$206</f>
        <v>11253043126.882994</v>
      </c>
      <c r="EM209" s="269">
        <f t="shared" si="632"/>
        <v>4357796.7032868648</v>
      </c>
      <c r="EN209" s="269">
        <f t="shared" si="565"/>
        <v>21788983.516434323</v>
      </c>
      <c r="EO209" s="140">
        <f>'Detailed Budget'!$AC$209</f>
        <v>135789361677.54817</v>
      </c>
      <c r="EP209" s="269">
        <f t="shared" si="633"/>
        <v>131604151.43481235</v>
      </c>
      <c r="EQ209" s="196">
        <f>'Detailed Budget'!$AC$211</f>
        <v>33947340419.387043</v>
      </c>
      <c r="ER209" s="269">
        <f t="shared" si="634"/>
        <v>32901037.858703088</v>
      </c>
      <c r="ES209" s="269">
        <f t="shared" si="566"/>
        <v>164505189.29351544</v>
      </c>
      <c r="ET209" s="196">
        <f>'Detailed Budget'!$AC$214</f>
        <v>22239745544.201103</v>
      </c>
      <c r="EU209" s="269">
        <f t="shared" si="635"/>
        <v>20932917.76378002</v>
      </c>
      <c r="EV209" s="140">
        <f>'Detailed Budget'!$AC$217</f>
        <v>5559936386.0502758</v>
      </c>
      <c r="EW209" s="269">
        <f t="shared" si="636"/>
        <v>5233229.440945005</v>
      </c>
      <c r="EX209" s="269">
        <f t="shared" si="567"/>
        <v>26166147.204725027</v>
      </c>
      <c r="EY209" s="196">
        <f>'Detailed Budget'!$AC$219</f>
        <v>372777004.58170313</v>
      </c>
      <c r="EZ209" s="269">
        <f t="shared" si="637"/>
        <v>367322.78469829616</v>
      </c>
      <c r="FA209" s="196">
        <f>'Detailed Budget'!$AC$222</f>
        <v>93194251.145425782</v>
      </c>
      <c r="FB209" s="269">
        <f t="shared" si="638"/>
        <v>91830.696174574041</v>
      </c>
      <c r="FC209" s="269">
        <f t="shared" si="568"/>
        <v>459153.48087287019</v>
      </c>
      <c r="FD209" s="269"/>
      <c r="FE209" s="269">
        <f t="shared" si="569"/>
        <v>212919473.49554765</v>
      </c>
      <c r="FF209" s="140">
        <f>'Detailed Budget'!$AC$165</f>
        <v>14927760000</v>
      </c>
      <c r="FG209" s="1087">
        <f t="shared" si="608"/>
        <v>290436255.80834752</v>
      </c>
      <c r="FH209" s="269">
        <f t="shared" si="570"/>
        <v>20353723.440518126</v>
      </c>
      <c r="FJ209" s="140">
        <f>'Detailed Budget'!$AC$235</f>
        <v>3623696172</v>
      </c>
      <c r="FK209" s="269">
        <f t="shared" si="571"/>
        <v>4681778</v>
      </c>
      <c r="FL209" s="269">
        <f t="shared" si="609"/>
        <v>4681778</v>
      </c>
      <c r="FO209" s="607"/>
      <c r="FP209" s="607"/>
      <c r="FQ209" s="607"/>
      <c r="FR209" s="269">
        <f>'Detailed Budget'!$AC$257</f>
        <v>13636439388</v>
      </c>
      <c r="FS209" s="269">
        <f t="shared" si="572"/>
        <v>2498340</v>
      </c>
      <c r="FT209" s="269">
        <f t="shared" si="610"/>
        <v>2498340</v>
      </c>
      <c r="FU209" s="269"/>
      <c r="FV209" s="269"/>
      <c r="FW209" s="616"/>
      <c r="FX209" s="140">
        <f>'Detailed Budget'!$AC$278</f>
        <v>1114560000</v>
      </c>
      <c r="FY209" s="269">
        <f t="shared" si="573"/>
        <v>1440000</v>
      </c>
      <c r="FZ209" s="269">
        <f t="shared" si="611"/>
        <v>1440000</v>
      </c>
      <c r="GB209" s="269">
        <f t="shared" si="619"/>
        <v>1037873466.8215277</v>
      </c>
      <c r="GC209" s="887">
        <f t="shared" si="574"/>
        <v>648670.91676345479</v>
      </c>
      <c r="GD209" s="1078">
        <f t="shared" si="620"/>
        <v>5.8238348393801305E-4</v>
      </c>
    </row>
    <row r="210" spans="1:186" hidden="1" outlineLevel="1">
      <c r="A210" s="211" t="s">
        <v>585</v>
      </c>
      <c r="B210" s="212" t="s">
        <v>586</v>
      </c>
      <c r="C210" s="213" t="s">
        <v>215</v>
      </c>
      <c r="D210" s="225" t="s">
        <v>215</v>
      </c>
      <c r="E210" s="213"/>
      <c r="F210" s="213"/>
      <c r="G210" s="213"/>
      <c r="H210" s="213" t="s">
        <v>215</v>
      </c>
      <c r="I210" s="214" t="s">
        <v>215</v>
      </c>
      <c r="J210" s="214"/>
      <c r="K210" s="213" t="s">
        <v>215</v>
      </c>
      <c r="L210" s="213"/>
      <c r="M210" s="214"/>
      <c r="N210" s="213"/>
      <c r="O210" s="214"/>
      <c r="P210" s="213"/>
      <c r="Q210" s="214"/>
      <c r="R210" s="214" t="s">
        <v>215</v>
      </c>
      <c r="S210" s="214"/>
      <c r="T210" s="214"/>
      <c r="U210" s="215">
        <f t="shared" si="575"/>
        <v>6</v>
      </c>
      <c r="V210" s="845" t="s">
        <v>219</v>
      </c>
      <c r="W210" s="216">
        <v>140257</v>
      </c>
      <c r="X210" s="217">
        <v>3.47</v>
      </c>
      <c r="Y210" s="218">
        <f t="shared" si="483"/>
        <v>1.0347</v>
      </c>
      <c r="Z210" s="196">
        <v>19</v>
      </c>
      <c r="AA210" s="218">
        <f t="shared" si="484"/>
        <v>1.9119412036868784</v>
      </c>
      <c r="AB210" s="196">
        <f t="shared" si="549"/>
        <v>268163.13740551053</v>
      </c>
      <c r="AC210">
        <v>19.100000000000001</v>
      </c>
      <c r="AD210" s="196">
        <f t="shared" si="550"/>
        <v>51219.159244452509</v>
      </c>
      <c r="AE210" s="196">
        <f t="shared" si="487"/>
        <v>48658.201282229878</v>
      </c>
      <c r="AF210" s="196">
        <f t="shared" si="576"/>
        <v>48658.201282229878</v>
      </c>
      <c r="AG210" s="606">
        <f t="shared" si="577"/>
        <v>2.2497416137841428E-3</v>
      </c>
      <c r="AH210" s="196">
        <f t="shared" si="601"/>
        <v>13408.156870275527</v>
      </c>
      <c r="AI210" s="248">
        <f t="shared" si="552"/>
        <v>1.0387095973982618E-3</v>
      </c>
      <c r="AJ210" s="196">
        <f t="shared" si="578"/>
        <v>64627.316114728033</v>
      </c>
      <c r="AK210" s="196">
        <f t="shared" si="605"/>
        <v>10726.525496220422</v>
      </c>
      <c r="AL210" s="196">
        <f t="shared" si="606"/>
        <v>10726.525496220422</v>
      </c>
      <c r="AM210" s="196">
        <f t="shared" si="553"/>
        <v>21453.050992440843</v>
      </c>
      <c r="AN210" s="627">
        <f t="shared" si="554"/>
        <v>1.0387095973982618E-3</v>
      </c>
      <c r="AO210" s="196">
        <f t="shared" si="555"/>
        <v>10190.199221409399</v>
      </c>
      <c r="AP210" s="589">
        <f t="shared" si="579"/>
        <v>1.0387095973982616E-3</v>
      </c>
      <c r="AQ210" s="196"/>
      <c r="AR210" s="589"/>
      <c r="AS210">
        <v>1</v>
      </c>
      <c r="AT210" s="589">
        <f t="shared" si="580"/>
        <v>1.2919896640826874E-3</v>
      </c>
      <c r="AU210" s="196">
        <v>13</v>
      </c>
      <c r="AV210" s="245">
        <f t="shared" si="556"/>
        <v>1.4771048744460858E-3</v>
      </c>
      <c r="AX210" s="245"/>
      <c r="AY210" s="245"/>
      <c r="AZ210" s="196">
        <v>4</v>
      </c>
      <c r="BA210" s="589">
        <f t="shared" si="613"/>
        <v>1.465684657945843E-4</v>
      </c>
      <c r="BI210" s="196">
        <v>0</v>
      </c>
      <c r="BK210" s="246">
        <f t="shared" si="614"/>
        <v>0</v>
      </c>
      <c r="BL210" s="246"/>
      <c r="BM210" s="246">
        <f t="shared" si="615"/>
        <v>0</v>
      </c>
      <c r="BN210" s="196">
        <v>1</v>
      </c>
      <c r="BO210" s="196">
        <f t="shared" si="581"/>
        <v>16432.662074506832</v>
      </c>
      <c r="BP210" s="196">
        <f t="shared" si="582"/>
        <v>16432.662074506832</v>
      </c>
      <c r="BQ210" s="248">
        <f t="shared" si="616"/>
        <v>1.5371990143040028E-3</v>
      </c>
      <c r="BR210" s="248"/>
      <c r="BS210" s="248"/>
      <c r="BT210" s="276">
        <v>1</v>
      </c>
      <c r="BU210" s="196">
        <f t="shared" si="602"/>
        <v>59742.027342729409</v>
      </c>
      <c r="BV210" s="264">
        <f t="shared" si="617"/>
        <v>4.1438201772591348E-3</v>
      </c>
      <c r="BW210" s="196">
        <f t="shared" si="603"/>
        <v>255563.11696612026</v>
      </c>
      <c r="BX210" s="247">
        <f t="shared" si="618"/>
        <v>4.1438202145868261E-3</v>
      </c>
      <c r="BY210" s="196">
        <f t="shared" ref="BY210:BY268" si="639">BU210+BW210</f>
        <v>315305.14430884965</v>
      </c>
      <c r="BZ210" s="620">
        <v>0</v>
      </c>
      <c r="CA210" s="196">
        <f t="shared" si="583"/>
        <v>82057.920046086234</v>
      </c>
      <c r="CB210" s="196">
        <f t="shared" si="584"/>
        <v>164115.84009217247</v>
      </c>
      <c r="CC210" s="196">
        <f t="shared" si="585"/>
        <v>246173.76013825869</v>
      </c>
      <c r="CD210" s="247">
        <f t="shared" si="557"/>
        <v>1.0387095973982618E-3</v>
      </c>
      <c r="CE210" s="196">
        <f t="shared" si="586"/>
        <v>20400.22426957704</v>
      </c>
      <c r="CF210" s="247">
        <f t="shared" si="558"/>
        <v>8.8094512754939222E-4</v>
      </c>
      <c r="CG210" s="196">
        <f t="shared" si="621"/>
        <v>40760.796885637596</v>
      </c>
      <c r="CH210" s="589">
        <f t="shared" si="587"/>
        <v>1.0387095973982616E-3</v>
      </c>
      <c r="CI210" s="196">
        <f t="shared" si="588"/>
        <v>31890.404401166139</v>
      </c>
      <c r="CJ210" s="248">
        <f t="shared" si="589"/>
        <v>5.2427816740662229E-4</v>
      </c>
      <c r="CK210" s="196">
        <f t="shared" si="590"/>
        <v>91275.572338695842</v>
      </c>
      <c r="CL210" s="589">
        <f t="shared" si="591"/>
        <v>1.3121051269529881E-3</v>
      </c>
      <c r="CM210" s="196">
        <f t="shared" si="592"/>
        <v>8842.3257989490066</v>
      </c>
      <c r="CN210" s="589">
        <f t="shared" si="593"/>
        <v>1.274279637575627E-3</v>
      </c>
      <c r="CO210" s="196">
        <f t="shared" si="594"/>
        <v>707.38740895068588</v>
      </c>
      <c r="CP210" s="589">
        <f t="shared" si="595"/>
        <v>1.3340236955616349E-3</v>
      </c>
      <c r="CQ210" s="196">
        <f>'Detailed Budget'!$AC$12</f>
        <v>292876014141.44696</v>
      </c>
      <c r="CR210" s="269">
        <f t="shared" si="604"/>
        <v>0</v>
      </c>
      <c r="CS210" s="269">
        <f>'Detailed Budget'!$AC$16</f>
        <v>10488008800.000002</v>
      </c>
      <c r="CT210" s="607">
        <f t="shared" si="622"/>
        <v>0</v>
      </c>
      <c r="CU210" s="269">
        <f>'Detailed Budget'!$AC$24</f>
        <v>30624985696</v>
      </c>
      <c r="CV210" s="269">
        <f t="shared" si="612"/>
        <v>0</v>
      </c>
      <c r="CW210" s="269"/>
      <c r="CX210" s="269">
        <f t="shared" si="596"/>
        <v>0</v>
      </c>
      <c r="CY210" s="196">
        <f>'Detailed Budget'!$AC$97</f>
        <v>74629165494.837845</v>
      </c>
      <c r="CZ210" s="269">
        <f t="shared" si="623"/>
        <v>114719879.63699503</v>
      </c>
      <c r="DA210" s="269">
        <f>'Detailed Budget'!$AC$100</f>
        <v>14925833098.967569</v>
      </c>
      <c r="DB210" s="269">
        <f t="shared" si="624"/>
        <v>22943975.927399006</v>
      </c>
      <c r="DC210" s="269">
        <f t="shared" si="560"/>
        <v>137663855.56439403</v>
      </c>
      <c r="DD210" s="207">
        <v>0</v>
      </c>
      <c r="DE210" s="606">
        <v>0</v>
      </c>
      <c r="DF210" s="269">
        <f>'Detailed Budget'!$AC$147</f>
        <v>5913600671000</v>
      </c>
      <c r="DG210" s="269">
        <f t="shared" si="607"/>
        <v>0</v>
      </c>
      <c r="DH210" s="269">
        <f>'Detailed Budget'!$AC$153</f>
        <v>226428026880.00003</v>
      </c>
      <c r="DI210" s="269"/>
      <c r="DJ210" s="269">
        <f>'Detailed Budget'!$AC$156</f>
        <v>27713070000</v>
      </c>
      <c r="DK210" s="269"/>
      <c r="DL210" s="269"/>
      <c r="DM210" s="196">
        <f>'Detailed Budget'!$AC$178</f>
        <v>5622683761.6229038</v>
      </c>
      <c r="DN210" s="269">
        <f t="shared" si="597"/>
        <v>23299390.42176028</v>
      </c>
      <c r="DO210" s="196">
        <f>'Detailed Budget'!$AC$179</f>
        <v>26827890683.128094</v>
      </c>
      <c r="DP210" s="269">
        <f t="shared" si="598"/>
        <v>111169955.72747177</v>
      </c>
      <c r="DQ210" s="269">
        <f t="shared" si="625"/>
        <v>134469346.14923206</v>
      </c>
      <c r="DR210" s="269">
        <f>'Detailed Budget'!$AC$181</f>
        <v>50888946855.375237</v>
      </c>
      <c r="DS210" s="269">
        <f t="shared" si="599"/>
        <v>114486981.42218737</v>
      </c>
      <c r="DT210" s="269">
        <f t="shared" si="600"/>
        <v>248956327.57141942</v>
      </c>
      <c r="DU210" s="272">
        <f>'Detailed Budget'!$AC$192</f>
        <v>77498869683.252869</v>
      </c>
      <c r="DV210" s="269">
        <f t="shared" si="626"/>
        <v>0</v>
      </c>
      <c r="DW210" s="140">
        <f>'Detailed Budget'!$AC$194</f>
        <v>2684962805.4134097</v>
      </c>
      <c r="DX210" s="269">
        <f t="shared" si="627"/>
        <v>0</v>
      </c>
      <c r="DY210" s="607">
        <f t="shared" si="561"/>
        <v>0</v>
      </c>
      <c r="DZ210" s="196">
        <f>'Detailed Budget'!$AC$198</f>
        <v>18732540018.380611</v>
      </c>
      <c r="EA210" s="269">
        <f t="shared" si="562"/>
        <v>16502339.855816402</v>
      </c>
      <c r="EB210" s="196">
        <f>'Detailed Budget'!$AC$200</f>
        <v>4683135004.5951529</v>
      </c>
      <c r="EC210" s="269">
        <f t="shared" si="628"/>
        <v>4125584.9639541004</v>
      </c>
      <c r="ED210" s="269">
        <f t="shared" si="563"/>
        <v>20627924.8197705</v>
      </c>
      <c r="EE210" s="196">
        <f>'Detailed Budget'!$AC$161</f>
        <v>251147290106.36197</v>
      </c>
      <c r="EF210" s="269">
        <f t="shared" si="629"/>
        <v>260869100.59404364</v>
      </c>
      <c r="EG210" s="196">
        <f>'Detailed Budget'!$AC$163</f>
        <v>15696705631.647623</v>
      </c>
      <c r="EH210" s="269">
        <f t="shared" si="630"/>
        <v>16304318.787127728</v>
      </c>
      <c r="EI210" s="269">
        <f t="shared" si="564"/>
        <v>277173419.38117135</v>
      </c>
      <c r="EJ210" s="196">
        <f>'Detailed Budget'!$AC$204</f>
        <v>45012172507.531975</v>
      </c>
      <c r="EK210" s="269">
        <f t="shared" si="631"/>
        <v>23598899.313239612</v>
      </c>
      <c r="EL210" s="201">
        <f>'Detailed Budget'!$AC$206</f>
        <v>11253043126.882994</v>
      </c>
      <c r="EM210" s="269">
        <f t="shared" si="632"/>
        <v>5899724.8283099029</v>
      </c>
      <c r="EN210" s="269">
        <f t="shared" si="565"/>
        <v>29498624.141549513</v>
      </c>
      <c r="EO210" s="140">
        <f>'Detailed Budget'!$AC$209</f>
        <v>135789361677.54817</v>
      </c>
      <c r="EP210" s="269">
        <f t="shared" si="633"/>
        <v>178169917.64278457</v>
      </c>
      <c r="EQ210" s="196">
        <f>'Detailed Budget'!$AC$211</f>
        <v>33947340419.387043</v>
      </c>
      <c r="ER210" s="269">
        <f t="shared" si="634"/>
        <v>44542479.410696141</v>
      </c>
      <c r="ES210" s="269">
        <f t="shared" si="566"/>
        <v>222712397.05348071</v>
      </c>
      <c r="ET210" s="196">
        <f>'Detailed Budget'!$AC$214</f>
        <v>22239745544.201103</v>
      </c>
      <c r="EU210" s="269">
        <f t="shared" si="635"/>
        <v>28339654.891838748</v>
      </c>
      <c r="EV210" s="140">
        <f>'Detailed Budget'!$AC$217</f>
        <v>5559936386.0502758</v>
      </c>
      <c r="EW210" s="269">
        <f t="shared" si="636"/>
        <v>7084913.722959687</v>
      </c>
      <c r="EX210" s="269">
        <f t="shared" si="567"/>
        <v>35424568.614798434</v>
      </c>
      <c r="EY210" s="196">
        <f>'Detailed Budget'!$AC$219</f>
        <v>372777004.58170313</v>
      </c>
      <c r="EZ210" s="269">
        <f t="shared" si="637"/>
        <v>497293.35727248009</v>
      </c>
      <c r="FA210" s="196">
        <f>'Detailed Budget'!$AC$222</f>
        <v>93194251.145425782</v>
      </c>
      <c r="FB210" s="269">
        <f t="shared" si="638"/>
        <v>124323.33931812002</v>
      </c>
      <c r="FC210" s="269">
        <f t="shared" si="568"/>
        <v>621616.69659060007</v>
      </c>
      <c r="FD210" s="269"/>
      <c r="FE210" s="269">
        <f t="shared" si="569"/>
        <v>288257206.50641924</v>
      </c>
      <c r="FF210" s="140">
        <f>'Detailed Budget'!$AC$165</f>
        <v>14927760000</v>
      </c>
      <c r="FG210" s="1087">
        <f t="shared" si="608"/>
        <v>393201910.53003287</v>
      </c>
      <c r="FH210" s="269">
        <f t="shared" si="570"/>
        <v>22049867.060561303</v>
      </c>
      <c r="FJ210" s="140">
        <f>'Detailed Budget'!$AC$235</f>
        <v>3623696172</v>
      </c>
      <c r="FK210" s="269">
        <f t="shared" si="571"/>
        <v>4681778</v>
      </c>
      <c r="FL210" s="269">
        <f t="shared" si="609"/>
        <v>4681778</v>
      </c>
      <c r="FO210" s="607"/>
      <c r="FP210" s="607"/>
      <c r="FQ210" s="607"/>
      <c r="FR210" s="269">
        <f>'Detailed Budget'!$AC$257</f>
        <v>13636439388</v>
      </c>
      <c r="FS210" s="269">
        <f t="shared" si="572"/>
        <v>1998672</v>
      </c>
      <c r="FT210" s="269">
        <f t="shared" si="610"/>
        <v>1998672</v>
      </c>
      <c r="FU210" s="269"/>
      <c r="FV210" s="269"/>
      <c r="FW210" s="616"/>
      <c r="FX210" s="140">
        <f>'Detailed Budget'!$AC$278</f>
        <v>1114560000</v>
      </c>
      <c r="FY210" s="269">
        <f t="shared" si="573"/>
        <v>1440000</v>
      </c>
      <c r="FZ210" s="269">
        <f t="shared" si="611"/>
        <v>1440000</v>
      </c>
      <c r="GB210" s="269">
        <f t="shared" si="619"/>
        <v>1396050961.4337687</v>
      </c>
      <c r="GC210" s="887">
        <f t="shared" si="574"/>
        <v>872531.85089610552</v>
      </c>
      <c r="GD210" s="1078">
        <f t="shared" si="620"/>
        <v>7.8336815485294654E-4</v>
      </c>
    </row>
    <row r="211" spans="1:186" hidden="1" outlineLevel="1">
      <c r="A211" s="211" t="s">
        <v>587</v>
      </c>
      <c r="B211" s="212" t="s">
        <v>588</v>
      </c>
      <c r="C211" s="213" t="s">
        <v>215</v>
      </c>
      <c r="D211" s="225" t="s">
        <v>215</v>
      </c>
      <c r="E211" s="213"/>
      <c r="F211" s="213"/>
      <c r="G211" s="213"/>
      <c r="H211" s="213" t="s">
        <v>215</v>
      </c>
      <c r="I211" s="214" t="s">
        <v>215</v>
      </c>
      <c r="J211" s="214"/>
      <c r="K211" s="213" t="s">
        <v>215</v>
      </c>
      <c r="L211" s="213"/>
      <c r="M211" s="214"/>
      <c r="N211" s="213"/>
      <c r="O211" s="214"/>
      <c r="P211" s="213"/>
      <c r="Q211" s="214" t="s">
        <v>215</v>
      </c>
      <c r="R211" s="214"/>
      <c r="S211" s="214"/>
      <c r="T211" s="214"/>
      <c r="U211" s="215">
        <f t="shared" si="575"/>
        <v>6</v>
      </c>
      <c r="V211" s="845" t="s">
        <v>265</v>
      </c>
      <c r="W211" s="216">
        <v>540016</v>
      </c>
      <c r="X211" s="217">
        <v>3.47</v>
      </c>
      <c r="Y211" s="218">
        <f t="shared" ref="Y211:Y268" si="640">1+X211/100</f>
        <v>1.0347</v>
      </c>
      <c r="Z211" s="196">
        <v>19</v>
      </c>
      <c r="AA211" s="218">
        <f t="shared" ref="AA211:AA268" si="641">POWER(Y211,Z211)</f>
        <v>1.9119412036868784</v>
      </c>
      <c r="AB211" s="196">
        <f t="shared" ref="AB211:AB244" si="642">W211*AA211</f>
        <v>1032478.8410501733</v>
      </c>
      <c r="AC211">
        <v>19.100000000000001</v>
      </c>
      <c r="AD211" s="196">
        <f t="shared" ref="AD211:AD244" si="643">AB211*AC211/100</f>
        <v>197203.45864058312</v>
      </c>
      <c r="AE211" s="196">
        <f t="shared" ref="AE211:AE277" si="644">AD211*0.95</f>
        <v>187343.28570855394</v>
      </c>
      <c r="AF211" s="196">
        <f t="shared" si="576"/>
        <v>187343.28570855394</v>
      </c>
      <c r="AG211" s="606">
        <f t="shared" si="577"/>
        <v>8.6619310787287452E-3</v>
      </c>
      <c r="AH211" s="196">
        <f t="shared" si="601"/>
        <v>51623.942052508668</v>
      </c>
      <c r="AI211" s="248">
        <f t="shared" si="552"/>
        <v>3.9992285728956108E-3</v>
      </c>
      <c r="AJ211" s="196">
        <f t="shared" si="578"/>
        <v>248827.4006930918</v>
      </c>
      <c r="AK211" s="196">
        <f t="shared" si="605"/>
        <v>41299.153642006931</v>
      </c>
      <c r="AL211" s="196">
        <f t="shared" si="606"/>
        <v>41299.153642006931</v>
      </c>
      <c r="AM211" s="196">
        <f t="shared" si="553"/>
        <v>82598.307284013863</v>
      </c>
      <c r="AN211" s="627">
        <f t="shared" si="554"/>
        <v>3.9992285728956108E-3</v>
      </c>
      <c r="AO211" s="196">
        <f t="shared" si="555"/>
        <v>39234.195959906581</v>
      </c>
      <c r="AP211" s="589">
        <f t="shared" si="579"/>
        <v>3.9992285728956099E-3</v>
      </c>
      <c r="AQ211" s="196"/>
      <c r="AR211" s="589"/>
      <c r="AS211">
        <v>1</v>
      </c>
      <c r="AT211" s="589">
        <f t="shared" si="580"/>
        <v>1.2919896640826874E-3</v>
      </c>
      <c r="AU211" s="196">
        <v>15</v>
      </c>
      <c r="AV211" s="245">
        <f t="shared" si="556"/>
        <v>1.7043517782070218E-3</v>
      </c>
      <c r="AX211" s="245"/>
      <c r="AY211" s="245"/>
      <c r="AZ211" s="196">
        <v>28</v>
      </c>
      <c r="BA211" s="589">
        <f t="shared" si="613"/>
        <v>1.0259792605620901E-3</v>
      </c>
      <c r="BI211" s="196">
        <v>0</v>
      </c>
      <c r="BK211" s="246">
        <f t="shared" si="614"/>
        <v>0</v>
      </c>
      <c r="BL211" s="246"/>
      <c r="BM211" s="246">
        <f t="shared" si="615"/>
        <v>0</v>
      </c>
      <c r="BN211" s="196">
        <v>1</v>
      </c>
      <c r="BO211" s="196">
        <f t="shared" si="581"/>
        <v>63268.85961361559</v>
      </c>
      <c r="BP211" s="196">
        <f t="shared" si="582"/>
        <v>63268.85961361559</v>
      </c>
      <c r="BQ211" s="248">
        <f t="shared" si="616"/>
        <v>5.9185071897188048E-3</v>
      </c>
      <c r="BR211" s="248"/>
      <c r="BS211" s="248"/>
      <c r="BT211" s="276">
        <v>1</v>
      </c>
      <c r="BU211" s="196">
        <f t="shared" si="602"/>
        <v>230018.11415837615</v>
      </c>
      <c r="BV211" s="264">
        <f t="shared" si="617"/>
        <v>1.5954492088400357E-2</v>
      </c>
      <c r="BW211" s="196">
        <f t="shared" si="603"/>
        <v>983966.37723305367</v>
      </c>
      <c r="BX211" s="247">
        <f t="shared" si="618"/>
        <v>1.5954492232119036E-2</v>
      </c>
      <c r="BY211" s="196">
        <f t="shared" si="639"/>
        <v>1213984.4913914299</v>
      </c>
      <c r="BZ211" s="620">
        <v>0</v>
      </c>
      <c r="CA211" s="196">
        <f t="shared" si="583"/>
        <v>315938.52536135301</v>
      </c>
      <c r="CB211" s="196">
        <f t="shared" si="584"/>
        <v>631877.05072270602</v>
      </c>
      <c r="CC211" s="196">
        <f t="shared" si="585"/>
        <v>947815.57608405896</v>
      </c>
      <c r="CD211" s="247">
        <f t="shared" si="557"/>
        <v>3.9992285728956099E-3</v>
      </c>
      <c r="CE211" s="196">
        <f t="shared" si="586"/>
        <v>78544.72510576951</v>
      </c>
      <c r="CF211" s="247">
        <f t="shared" si="558"/>
        <v>3.3918054998945688E-3</v>
      </c>
      <c r="CG211" s="196">
        <f t="shared" si="621"/>
        <v>156936.78383962633</v>
      </c>
      <c r="CH211" s="589">
        <f t="shared" si="587"/>
        <v>3.9992285728956099E-3</v>
      </c>
      <c r="CI211" s="196">
        <f t="shared" si="588"/>
        <v>122784.09365022875</v>
      </c>
      <c r="CJ211" s="248">
        <f t="shared" si="589"/>
        <v>2.0185701879425239E-3</v>
      </c>
      <c r="CK211" s="196">
        <f t="shared" si="590"/>
        <v>351428.23154675477</v>
      </c>
      <c r="CL211" s="589">
        <f t="shared" si="591"/>
        <v>5.0518531141878478E-3</v>
      </c>
      <c r="CM211" s="196">
        <f t="shared" si="592"/>
        <v>34044.628137242689</v>
      </c>
      <c r="CN211" s="589">
        <f t="shared" si="593"/>
        <v>4.9062178198951917E-3</v>
      </c>
      <c r="CO211" s="196">
        <f t="shared" si="594"/>
        <v>2723.5754296178702</v>
      </c>
      <c r="CP211" s="589">
        <f t="shared" si="595"/>
        <v>5.1362437524145807E-3</v>
      </c>
      <c r="CQ211" s="196">
        <f>'Detailed Budget'!$AC$12</f>
        <v>292876014141.44696</v>
      </c>
      <c r="CR211" s="269">
        <f t="shared" si="604"/>
        <v>0</v>
      </c>
      <c r="CS211" s="269">
        <f>'Detailed Budget'!$AC$16</f>
        <v>10488008800.000002</v>
      </c>
      <c r="CT211" s="607">
        <f t="shared" si="622"/>
        <v>0</v>
      </c>
      <c r="CU211" s="269">
        <f>'Detailed Budget'!$AC$24</f>
        <v>30624985696</v>
      </c>
      <c r="CV211" s="269">
        <f t="shared" si="612"/>
        <v>0</v>
      </c>
      <c r="CW211" s="269"/>
      <c r="CX211" s="269">
        <f t="shared" si="596"/>
        <v>0</v>
      </c>
      <c r="CY211" s="196">
        <f>'Detailed Budget'!$AC$97</f>
        <v>74629165494.837845</v>
      </c>
      <c r="CZ211" s="269">
        <f t="shared" si="623"/>
        <v>441693252.54391235</v>
      </c>
      <c r="DA211" s="269">
        <f>'Detailed Budget'!$AC$100</f>
        <v>14925833098.967569</v>
      </c>
      <c r="DB211" s="269">
        <f t="shared" si="624"/>
        <v>88338650.508782461</v>
      </c>
      <c r="DC211" s="269">
        <f t="shared" si="560"/>
        <v>530031903.0526948</v>
      </c>
      <c r="DD211" s="207">
        <v>0</v>
      </c>
      <c r="DE211" s="606">
        <v>0</v>
      </c>
      <c r="DF211" s="269">
        <f>'Detailed Budget'!$AC$147</f>
        <v>5913600671000</v>
      </c>
      <c r="DG211" s="269">
        <f t="shared" si="607"/>
        <v>0</v>
      </c>
      <c r="DH211" s="269">
        <f>'Detailed Budget'!$AC$153</f>
        <v>226428026880.00003</v>
      </c>
      <c r="DI211" s="269"/>
      <c r="DJ211" s="269">
        <f>'Detailed Budget'!$AC$156</f>
        <v>27713070000</v>
      </c>
      <c r="DK211" s="269"/>
      <c r="DL211" s="269"/>
      <c r="DM211" s="196">
        <f>'Detailed Budget'!$AC$178</f>
        <v>5622683761.6229038</v>
      </c>
      <c r="DN211" s="269">
        <f t="shared" si="597"/>
        <v>89707063.590389773</v>
      </c>
      <c r="DO211" s="196">
        <f>'Detailed Budget'!$AC$179</f>
        <v>26827890683.128094</v>
      </c>
      <c r="DP211" s="269">
        <f t="shared" si="598"/>
        <v>428025373.50810581</v>
      </c>
      <c r="DQ211" s="269">
        <f t="shared" si="625"/>
        <v>517732437.0984956</v>
      </c>
      <c r="DR211" s="269">
        <f>'Detailed Budget'!$AC$181</f>
        <v>50888946855.375237</v>
      </c>
      <c r="DS211" s="269">
        <f t="shared" si="599"/>
        <v>440796550.33035022</v>
      </c>
      <c r="DT211" s="269">
        <f t="shared" si="600"/>
        <v>958528987.42884588</v>
      </c>
      <c r="DU211" s="272">
        <f>'Detailed Budget'!$AC$192</f>
        <v>77498869683.252869</v>
      </c>
      <c r="DV211" s="269">
        <f t="shared" si="626"/>
        <v>0</v>
      </c>
      <c r="DW211" s="140">
        <f>'Detailed Budget'!$AC$194</f>
        <v>2684962805.4134097</v>
      </c>
      <c r="DX211" s="269">
        <f t="shared" si="627"/>
        <v>0</v>
      </c>
      <c r="DY211" s="607">
        <f t="shared" si="561"/>
        <v>0</v>
      </c>
      <c r="DZ211" s="196">
        <f>'Detailed Budget'!$AC$198</f>
        <v>18732540018.380611</v>
      </c>
      <c r="EA211" s="269">
        <f t="shared" si="562"/>
        <v>63537132.261338465</v>
      </c>
      <c r="EB211" s="196">
        <f>'Detailed Budget'!$AC$200</f>
        <v>4683135004.5951529</v>
      </c>
      <c r="EC211" s="269">
        <f t="shared" si="628"/>
        <v>15884283.065334616</v>
      </c>
      <c r="ED211" s="269">
        <f t="shared" si="563"/>
        <v>79421415.326673076</v>
      </c>
      <c r="EE211" s="196">
        <f>'Detailed Budget'!$AC$161</f>
        <v>251147290106.36197</v>
      </c>
      <c r="EF211" s="269">
        <f t="shared" si="629"/>
        <v>1004395418.5986657</v>
      </c>
      <c r="EG211" s="196">
        <f>'Detailed Budget'!$AC$163</f>
        <v>15696705631.647623</v>
      </c>
      <c r="EH211" s="269">
        <f t="shared" si="630"/>
        <v>62774713.662416607</v>
      </c>
      <c r="EI211" s="269">
        <f t="shared" si="564"/>
        <v>1067170132.2610823</v>
      </c>
      <c r="EJ211" s="196">
        <f>'Detailed Budget'!$AC$204</f>
        <v>45012172507.531975</v>
      </c>
      <c r="EK211" s="269">
        <f t="shared" si="631"/>
        <v>90860229.518230125</v>
      </c>
      <c r="EL211" s="201">
        <f>'Detailed Budget'!$AC$206</f>
        <v>11253043126.882994</v>
      </c>
      <c r="EM211" s="269">
        <f t="shared" si="632"/>
        <v>22715057.379557531</v>
      </c>
      <c r="EN211" s="269">
        <f t="shared" si="565"/>
        <v>113575286.89778766</v>
      </c>
      <c r="EO211" s="140">
        <f>'Detailed Budget'!$AC$209</f>
        <v>135789361677.54817</v>
      </c>
      <c r="EP211" s="269">
        <f t="shared" si="633"/>
        <v>685987909.66430175</v>
      </c>
      <c r="EQ211" s="196">
        <f>'Detailed Budget'!$AC$211</f>
        <v>33947340419.387043</v>
      </c>
      <c r="ER211" s="269">
        <f t="shared" si="634"/>
        <v>171496977.41607544</v>
      </c>
      <c r="ES211" s="269">
        <f t="shared" si="566"/>
        <v>857484887.08037722</v>
      </c>
      <c r="ET211" s="196">
        <f>'Detailed Budget'!$AC$214</f>
        <v>22239745544.201103</v>
      </c>
      <c r="EU211" s="269">
        <f t="shared" si="635"/>
        <v>109113035.89889415</v>
      </c>
      <c r="EV211" s="140">
        <f>'Detailed Budget'!$AC$217</f>
        <v>5559936386.0502758</v>
      </c>
      <c r="EW211" s="269">
        <f t="shared" si="636"/>
        <v>27278258.974723537</v>
      </c>
      <c r="EX211" s="269">
        <f t="shared" si="567"/>
        <v>136391294.87361768</v>
      </c>
      <c r="EY211" s="196">
        <f>'Detailed Budget'!$AC$219</f>
        <v>372777004.58170313</v>
      </c>
      <c r="EZ211" s="269">
        <f t="shared" si="637"/>
        <v>1914673.5608265942</v>
      </c>
      <c r="FA211" s="196">
        <f>'Detailed Budget'!$AC$222</f>
        <v>93194251.145425782</v>
      </c>
      <c r="FB211" s="269">
        <f t="shared" si="638"/>
        <v>478668.39020664856</v>
      </c>
      <c r="FC211" s="269">
        <f t="shared" si="568"/>
        <v>2393341.951033243</v>
      </c>
      <c r="FD211" s="269"/>
      <c r="FE211" s="269">
        <f t="shared" si="569"/>
        <v>1109844810.8028159</v>
      </c>
      <c r="FF211" s="140">
        <f>'Detailed Budget'!$AC$165</f>
        <v>14927760000</v>
      </c>
      <c r="FG211" s="1087">
        <f t="shared" si="608"/>
        <v>1513901786.8397748</v>
      </c>
      <c r="FH211" s="269">
        <f t="shared" si="570"/>
        <v>25442154.300647654</v>
      </c>
      <c r="FJ211" s="140">
        <f>'Detailed Budget'!$AC$235</f>
        <v>3623696172</v>
      </c>
      <c r="FK211" s="269">
        <f t="shared" si="571"/>
        <v>4681778</v>
      </c>
      <c r="FL211" s="269">
        <f t="shared" si="609"/>
        <v>4681778</v>
      </c>
      <c r="FO211" s="607"/>
      <c r="FP211" s="607"/>
      <c r="FQ211" s="607"/>
      <c r="FR211" s="269">
        <f>'Detailed Budget'!$AC$257</f>
        <v>13636439388</v>
      </c>
      <c r="FS211" s="269">
        <f t="shared" si="572"/>
        <v>13990704</v>
      </c>
      <c r="FT211" s="269">
        <f t="shared" si="610"/>
        <v>13990704</v>
      </c>
      <c r="FU211" s="269"/>
      <c r="FV211" s="269"/>
      <c r="FW211" s="616"/>
      <c r="FX211" s="140">
        <f>'Detailed Budget'!$AC$278</f>
        <v>1114560000</v>
      </c>
      <c r="FY211" s="269">
        <f t="shared" si="573"/>
        <v>1440000</v>
      </c>
      <c r="FZ211" s="269">
        <f t="shared" si="611"/>
        <v>1440000</v>
      </c>
      <c r="GB211" s="269">
        <f t="shared" si="619"/>
        <v>5304453672.0125341</v>
      </c>
      <c r="GC211" s="887">
        <f t="shared" si="574"/>
        <v>3315283.5450078337</v>
      </c>
      <c r="GD211" s="1078">
        <f t="shared" si="620"/>
        <v>2.9764959878540455E-3</v>
      </c>
    </row>
    <row r="212" spans="1:186" hidden="1" outlineLevel="1">
      <c r="A212" s="211" t="s">
        <v>589</v>
      </c>
      <c r="B212" s="212" t="s">
        <v>590</v>
      </c>
      <c r="C212" s="213" t="s">
        <v>215</v>
      </c>
      <c r="D212" s="225" t="s">
        <v>215</v>
      </c>
      <c r="E212" s="213"/>
      <c r="F212" s="213"/>
      <c r="G212" s="213"/>
      <c r="H212" s="213" t="s">
        <v>215</v>
      </c>
      <c r="I212" s="214" t="s">
        <v>215</v>
      </c>
      <c r="J212" s="214"/>
      <c r="K212" s="213" t="s">
        <v>215</v>
      </c>
      <c r="L212" s="213"/>
      <c r="M212" s="214"/>
      <c r="N212" s="213"/>
      <c r="O212" s="214"/>
      <c r="P212" s="213"/>
      <c r="Q212" s="214"/>
      <c r="R212" s="214" t="s">
        <v>215</v>
      </c>
      <c r="S212" s="214"/>
      <c r="T212" s="214"/>
      <c r="U212" s="215">
        <f t="shared" si="575"/>
        <v>6</v>
      </c>
      <c r="V212" s="845" t="s">
        <v>219</v>
      </c>
      <c r="W212" s="216">
        <v>129409</v>
      </c>
      <c r="X212" s="217">
        <v>3.47</v>
      </c>
      <c r="Y212" s="218">
        <f t="shared" si="640"/>
        <v>1.0347</v>
      </c>
      <c r="Z212" s="196">
        <v>19</v>
      </c>
      <c r="AA212" s="218">
        <f t="shared" si="641"/>
        <v>1.9119412036868784</v>
      </c>
      <c r="AB212" s="196">
        <f t="shared" si="642"/>
        <v>247422.39922791524</v>
      </c>
      <c r="AC212">
        <v>19.100000000000001</v>
      </c>
      <c r="AD212" s="196">
        <f t="shared" si="643"/>
        <v>47257.678252531812</v>
      </c>
      <c r="AE212" s="196">
        <f t="shared" si="644"/>
        <v>44894.794339905216</v>
      </c>
      <c r="AF212" s="196">
        <f t="shared" si="576"/>
        <v>44894.794339905216</v>
      </c>
      <c r="AG212" s="606">
        <f t="shared" si="577"/>
        <v>2.0757381984370985E-3</v>
      </c>
      <c r="AH212" s="196">
        <f t="shared" si="601"/>
        <v>12371.119961395763</v>
      </c>
      <c r="AI212" s="248">
        <f t="shared" si="552"/>
        <v>9.5837191933173852E-4</v>
      </c>
      <c r="AJ212" s="196">
        <f t="shared" si="578"/>
        <v>59628.798213927577</v>
      </c>
      <c r="AK212" s="196">
        <f t="shared" si="605"/>
        <v>9896.8959691166092</v>
      </c>
      <c r="AL212" s="196">
        <f t="shared" si="606"/>
        <v>9896.8959691166092</v>
      </c>
      <c r="AM212" s="196">
        <f t="shared" si="553"/>
        <v>19793.791938233218</v>
      </c>
      <c r="AN212" s="627">
        <f t="shared" si="554"/>
        <v>9.5837191933173841E-4</v>
      </c>
      <c r="AO212" s="196">
        <f t="shared" si="555"/>
        <v>9402.0511706607795</v>
      </c>
      <c r="AP212" s="589">
        <f t="shared" si="579"/>
        <v>9.5837191933173841E-4</v>
      </c>
      <c r="AQ212" s="196"/>
      <c r="AR212" s="589"/>
      <c r="AS212">
        <v>1</v>
      </c>
      <c r="AT212" s="589">
        <f t="shared" si="580"/>
        <v>1.2919896640826874E-3</v>
      </c>
      <c r="AU212" s="196">
        <v>13</v>
      </c>
      <c r="AV212" s="245">
        <f t="shared" si="556"/>
        <v>1.4771048744460858E-3</v>
      </c>
      <c r="AX212" s="245"/>
      <c r="AY212" s="245"/>
      <c r="AZ212" s="196">
        <v>1</v>
      </c>
      <c r="BA212" s="589">
        <f t="shared" si="613"/>
        <v>3.6642116448646074E-5</v>
      </c>
      <c r="BI212" s="196">
        <v>0</v>
      </c>
      <c r="BK212" s="246">
        <f t="shared" si="614"/>
        <v>0</v>
      </c>
      <c r="BL212" s="246"/>
      <c r="BM212" s="246">
        <f t="shared" si="615"/>
        <v>0</v>
      </c>
      <c r="BN212" s="196">
        <v>1</v>
      </c>
      <c r="BO212" s="196">
        <f t="shared" si="581"/>
        <v>15161.698641777984</v>
      </c>
      <c r="BP212" s="196">
        <f t="shared" si="582"/>
        <v>15161.698641777984</v>
      </c>
      <c r="BQ212" s="248">
        <f t="shared" si="616"/>
        <v>1.4183063037286317E-3</v>
      </c>
      <c r="BR212" s="248"/>
      <c r="BS212" s="248"/>
      <c r="BT212" s="276">
        <v>1</v>
      </c>
      <c r="BU212" s="196">
        <f t="shared" si="602"/>
        <v>55121.355913753105</v>
      </c>
      <c r="BV212" s="264">
        <f t="shared" si="617"/>
        <v>3.8233216546691238E-3</v>
      </c>
      <c r="BW212" s="196">
        <f t="shared" si="603"/>
        <v>235796.91140883276</v>
      </c>
      <c r="BX212" s="247">
        <f t="shared" si="618"/>
        <v>3.8233216891097525E-3</v>
      </c>
      <c r="BY212" s="196">
        <f t="shared" si="639"/>
        <v>290918.26732258586</v>
      </c>
      <c r="BZ212" s="620">
        <v>0</v>
      </c>
      <c r="CA212" s="196">
        <f t="shared" si="583"/>
        <v>75711.254163742065</v>
      </c>
      <c r="CB212" s="196">
        <f t="shared" si="584"/>
        <v>151422.50832748413</v>
      </c>
      <c r="CC212" s="196">
        <f t="shared" si="585"/>
        <v>227133.7624912262</v>
      </c>
      <c r="CD212" s="247">
        <f t="shared" si="557"/>
        <v>9.5837191933173841E-4</v>
      </c>
      <c r="CE212" s="196">
        <f t="shared" si="586"/>
        <v>18822.394764622764</v>
      </c>
      <c r="CF212" s="247">
        <f t="shared" si="558"/>
        <v>8.1280954256143572E-4</v>
      </c>
      <c r="CG212" s="196">
        <f t="shared" si="621"/>
        <v>37608.204682643118</v>
      </c>
      <c r="CH212" s="589">
        <f t="shared" si="587"/>
        <v>9.5837191933173841E-4</v>
      </c>
      <c r="CI212" s="196">
        <f t="shared" si="588"/>
        <v>29423.881468664727</v>
      </c>
      <c r="CJ212" s="248">
        <f t="shared" si="589"/>
        <v>4.8372853665716207E-4</v>
      </c>
      <c r="CK212" s="196">
        <f t="shared" si="590"/>
        <v>84215.978815875802</v>
      </c>
      <c r="CL212" s="589">
        <f t="shared" si="591"/>
        <v>1.2106220179660143E-3</v>
      </c>
      <c r="CM212" s="196">
        <f t="shared" si="592"/>
        <v>8158.4273106953096</v>
      </c>
      <c r="CN212" s="589">
        <f t="shared" si="593"/>
        <v>1.1757220931506043E-3</v>
      </c>
      <c r="CO212" s="196">
        <f t="shared" si="594"/>
        <v>652.67542586037996</v>
      </c>
      <c r="CP212" s="589">
        <f t="shared" si="595"/>
        <v>1.2308453226501038E-3</v>
      </c>
      <c r="CQ212" s="196">
        <f>'Detailed Budget'!$AC$12</f>
        <v>292876014141.44696</v>
      </c>
      <c r="CR212" s="269">
        <f t="shared" si="604"/>
        <v>0</v>
      </c>
      <c r="CS212" s="269">
        <f>'Detailed Budget'!$AC$16</f>
        <v>10488008800.000002</v>
      </c>
      <c r="CT212" s="607">
        <f t="shared" si="622"/>
        <v>0</v>
      </c>
      <c r="CU212" s="269">
        <f>'Detailed Budget'!$AC$24</f>
        <v>30624985696</v>
      </c>
      <c r="CV212" s="269">
        <f t="shared" si="612"/>
        <v>0</v>
      </c>
      <c r="CW212" s="269"/>
      <c r="CX212" s="269">
        <f t="shared" si="596"/>
        <v>0</v>
      </c>
      <c r="CY212" s="196">
        <f>'Detailed Budget'!$AC$97</f>
        <v>74629165494.837845</v>
      </c>
      <c r="CZ212" s="269">
        <f t="shared" si="623"/>
        <v>105847015.8633358</v>
      </c>
      <c r="DA212" s="269">
        <f>'Detailed Budget'!$AC$100</f>
        <v>14925833098.967569</v>
      </c>
      <c r="DB212" s="269">
        <f t="shared" si="624"/>
        <v>21169403.172667161</v>
      </c>
      <c r="DC212" s="269">
        <f t="shared" si="560"/>
        <v>127016419.03600296</v>
      </c>
      <c r="DD212" s="207">
        <v>0</v>
      </c>
      <c r="DE212" s="606">
        <v>0</v>
      </c>
      <c r="DF212" s="269">
        <f>'Detailed Budget'!$AC$147</f>
        <v>5913600671000</v>
      </c>
      <c r="DG212" s="269">
        <f t="shared" si="607"/>
        <v>0</v>
      </c>
      <c r="DH212" s="269">
        <f>'Detailed Budget'!$AC$153</f>
        <v>226428026880.00003</v>
      </c>
      <c r="DI212" s="269"/>
      <c r="DJ212" s="269">
        <f>'Detailed Budget'!$AC$156</f>
        <v>27713070000</v>
      </c>
      <c r="DK212" s="269"/>
      <c r="DL212" s="269"/>
      <c r="DM212" s="196">
        <f>'Detailed Budget'!$AC$178</f>
        <v>5622683761.6229038</v>
      </c>
      <c r="DN212" s="269">
        <f t="shared" si="597"/>
        <v>21497328.583169293</v>
      </c>
      <c r="DO212" s="196">
        <f>'Detailed Budget'!$AC$179</f>
        <v>26827890683.128094</v>
      </c>
      <c r="DP212" s="269">
        <f t="shared" si="598"/>
        <v>102571656.32186909</v>
      </c>
      <c r="DQ212" s="269">
        <f t="shared" si="625"/>
        <v>124068984.90503839</v>
      </c>
      <c r="DR212" s="269">
        <f>'Detailed Budget'!$AC$181</f>
        <v>50888946855.375237</v>
      </c>
      <c r="DS212" s="269">
        <f t="shared" si="599"/>
        <v>105632130.86593784</v>
      </c>
      <c r="DT212" s="269">
        <f t="shared" si="600"/>
        <v>229701115.77097625</v>
      </c>
      <c r="DU212" s="272">
        <f>'Detailed Budget'!$AC$192</f>
        <v>77498869683.252869</v>
      </c>
      <c r="DV212" s="269">
        <f t="shared" si="626"/>
        <v>0</v>
      </c>
      <c r="DW212" s="140">
        <f>'Detailed Budget'!$AC$194</f>
        <v>2684962805.4134097</v>
      </c>
      <c r="DX212" s="269">
        <f t="shared" si="627"/>
        <v>0</v>
      </c>
      <c r="DY212" s="607">
        <f t="shared" si="561"/>
        <v>0</v>
      </c>
      <c r="DZ212" s="196">
        <f>'Detailed Budget'!$AC$198</f>
        <v>18732540018.380611</v>
      </c>
      <c r="EA212" s="269">
        <f t="shared" si="562"/>
        <v>15225987.283353733</v>
      </c>
      <c r="EB212" s="196">
        <f>'Detailed Budget'!$AC$200</f>
        <v>4683135004.5951529</v>
      </c>
      <c r="EC212" s="269">
        <f t="shared" si="628"/>
        <v>3806496.8208384332</v>
      </c>
      <c r="ED212" s="269">
        <f t="shared" si="563"/>
        <v>19032484.104192168</v>
      </c>
      <c r="EE212" s="196">
        <f>'Detailed Budget'!$AC$161</f>
        <v>251147290106.36197</v>
      </c>
      <c r="EF212" s="269">
        <f t="shared" si="629"/>
        <v>240692510.45419905</v>
      </c>
      <c r="EG212" s="196">
        <f>'Detailed Budget'!$AC$163</f>
        <v>15696705631.647623</v>
      </c>
      <c r="EH212" s="269">
        <f t="shared" si="630"/>
        <v>15043281.90338744</v>
      </c>
      <c r="EI212" s="269">
        <f t="shared" si="564"/>
        <v>255735792.35758647</v>
      </c>
      <c r="EJ212" s="196">
        <f>'Detailed Budget'!$AC$204</f>
        <v>45012172507.531975</v>
      </c>
      <c r="EK212" s="269">
        <f t="shared" si="631"/>
        <v>21773672.338828184</v>
      </c>
      <c r="EL212" s="201">
        <f>'Detailed Budget'!$AC$206</f>
        <v>11253043126.882994</v>
      </c>
      <c r="EM212" s="269">
        <f t="shared" si="632"/>
        <v>5443418.0847070459</v>
      </c>
      <c r="EN212" s="269">
        <f t="shared" si="565"/>
        <v>27217090.423535228</v>
      </c>
      <c r="EO212" s="140">
        <f>'Detailed Budget'!$AC$209</f>
        <v>135789361677.54817</v>
      </c>
      <c r="EP212" s="269">
        <f t="shared" si="633"/>
        <v>164389591.05239034</v>
      </c>
      <c r="EQ212" s="196">
        <f>'Detailed Budget'!$AC$211</f>
        <v>33947340419.387043</v>
      </c>
      <c r="ER212" s="269">
        <f t="shared" si="634"/>
        <v>41097397.763097584</v>
      </c>
      <c r="ES212" s="269">
        <f t="shared" si="566"/>
        <v>205486988.81548792</v>
      </c>
      <c r="ET212" s="196">
        <f>'Detailed Budget'!$AC$214</f>
        <v>22239745544.201103</v>
      </c>
      <c r="EU212" s="269">
        <f t="shared" si="635"/>
        <v>26147760.182364948</v>
      </c>
      <c r="EV212" s="140">
        <f>'Detailed Budget'!$AC$217</f>
        <v>5559936386.0502758</v>
      </c>
      <c r="EW212" s="269">
        <f t="shared" si="636"/>
        <v>6536940.045591237</v>
      </c>
      <c r="EX212" s="269">
        <f t="shared" si="567"/>
        <v>32684700.227956183</v>
      </c>
      <c r="EY212" s="196">
        <f>'Detailed Budget'!$AC$219</f>
        <v>372777004.58170313</v>
      </c>
      <c r="EZ212" s="269">
        <f t="shared" si="637"/>
        <v>458830.83248090564</v>
      </c>
      <c r="FA212" s="196">
        <f>'Detailed Budget'!$AC$222</f>
        <v>93194251.145425782</v>
      </c>
      <c r="FB212" s="269">
        <f t="shared" si="638"/>
        <v>114707.70812022641</v>
      </c>
      <c r="FC212" s="269">
        <f t="shared" si="568"/>
        <v>573538.54060113209</v>
      </c>
      <c r="FD212" s="269"/>
      <c r="FE212" s="269">
        <f t="shared" si="569"/>
        <v>265962318.00758046</v>
      </c>
      <c r="FF212" s="140">
        <f>'Detailed Budget'!$AC$165</f>
        <v>14927760000</v>
      </c>
      <c r="FG212" s="1087">
        <f t="shared" si="608"/>
        <v>362790206.83303529</v>
      </c>
      <c r="FH212" s="269">
        <f t="shared" si="570"/>
        <v>22049867.060561303</v>
      </c>
      <c r="FJ212" s="140">
        <f>'Detailed Budget'!$AC$235</f>
        <v>3623696172</v>
      </c>
      <c r="FK212" s="269">
        <f t="shared" si="571"/>
        <v>4681778</v>
      </c>
      <c r="FL212" s="269">
        <f t="shared" si="609"/>
        <v>4681778</v>
      </c>
      <c r="FO212" s="607"/>
      <c r="FP212" s="607"/>
      <c r="FQ212" s="607"/>
      <c r="FR212" s="269">
        <f>'Detailed Budget'!$AC$257</f>
        <v>13636439388</v>
      </c>
      <c r="FS212" s="269">
        <f t="shared" si="572"/>
        <v>499668</v>
      </c>
      <c r="FT212" s="269">
        <f t="shared" si="610"/>
        <v>499668</v>
      </c>
      <c r="FU212" s="269"/>
      <c r="FV212" s="269"/>
      <c r="FW212" s="616"/>
      <c r="FX212" s="140">
        <f>'Detailed Budget'!$AC$278</f>
        <v>1114560000</v>
      </c>
      <c r="FY212" s="269">
        <f t="shared" si="573"/>
        <v>1440000</v>
      </c>
      <c r="FZ212" s="269">
        <f t="shared" si="611"/>
        <v>1440000</v>
      </c>
      <c r="GB212" s="269">
        <f t="shared" si="619"/>
        <v>1288909649.169935</v>
      </c>
      <c r="GC212" s="887">
        <f t="shared" si="574"/>
        <v>805568.53073120932</v>
      </c>
      <c r="GD212" s="1078">
        <f t="shared" si="620"/>
        <v>7.2324779075789655E-4</v>
      </c>
    </row>
    <row r="213" spans="1:186" hidden="1" outlineLevel="1">
      <c r="A213" s="211" t="s">
        <v>591</v>
      </c>
      <c r="B213" s="212" t="s">
        <v>592</v>
      </c>
      <c r="C213" s="213" t="s">
        <v>215</v>
      </c>
      <c r="D213" s="225" t="s">
        <v>215</v>
      </c>
      <c r="E213" s="213"/>
      <c r="F213" s="213"/>
      <c r="G213" s="213"/>
      <c r="H213" s="213" t="s">
        <v>215</v>
      </c>
      <c r="I213" s="214" t="s">
        <v>215</v>
      </c>
      <c r="J213" s="214"/>
      <c r="K213" s="213" t="s">
        <v>215</v>
      </c>
      <c r="L213" s="213"/>
      <c r="M213" s="214"/>
      <c r="N213" s="213"/>
      <c r="O213" s="214"/>
      <c r="P213" s="213"/>
      <c r="Q213" s="214"/>
      <c r="R213" s="214" t="s">
        <v>215</v>
      </c>
      <c r="S213" s="214"/>
      <c r="T213" s="214"/>
      <c r="U213" s="215">
        <f t="shared" si="575"/>
        <v>6</v>
      </c>
      <c r="V213" s="845" t="s">
        <v>219</v>
      </c>
      <c r="W213" s="216">
        <v>116633</v>
      </c>
      <c r="X213" s="217">
        <v>3.47</v>
      </c>
      <c r="Y213" s="218">
        <f t="shared" si="640"/>
        <v>1.0347</v>
      </c>
      <c r="Z213" s="196">
        <v>19</v>
      </c>
      <c r="AA213" s="218">
        <f t="shared" si="641"/>
        <v>1.9119412036868784</v>
      </c>
      <c r="AB213" s="196">
        <f t="shared" si="642"/>
        <v>222995.43840961167</v>
      </c>
      <c r="AC213">
        <v>19.100000000000001</v>
      </c>
      <c r="AD213" s="196">
        <f t="shared" si="643"/>
        <v>42592.128736235834</v>
      </c>
      <c r="AE213" s="196">
        <f t="shared" si="644"/>
        <v>40462.522299424039</v>
      </c>
      <c r="AF213" s="196">
        <f t="shared" si="576"/>
        <v>40462.522299424039</v>
      </c>
      <c r="AG213" s="606">
        <f t="shared" si="577"/>
        <v>1.8708093973240974E-3</v>
      </c>
      <c r="AH213" s="196">
        <f t="shared" si="601"/>
        <v>11149.771920480584</v>
      </c>
      <c r="AI213" s="248">
        <f t="shared" si="552"/>
        <v>8.6375593712507352E-4</v>
      </c>
      <c r="AJ213" s="196">
        <f t="shared" si="578"/>
        <v>53741.900656716418</v>
      </c>
      <c r="AK213" s="196">
        <f t="shared" si="605"/>
        <v>8919.8175363844675</v>
      </c>
      <c r="AL213" s="196">
        <f t="shared" si="606"/>
        <v>8919.8175363844675</v>
      </c>
      <c r="AM213" s="196">
        <f t="shared" si="553"/>
        <v>17839.635072768935</v>
      </c>
      <c r="AN213" s="627">
        <f t="shared" si="554"/>
        <v>8.6375593712507363E-4</v>
      </c>
      <c r="AO213" s="196">
        <f t="shared" si="555"/>
        <v>8473.826659565244</v>
      </c>
      <c r="AP213" s="589">
        <f t="shared" si="579"/>
        <v>8.6375593712507363E-4</v>
      </c>
      <c r="AQ213" s="196"/>
      <c r="AR213" s="589"/>
      <c r="AS213">
        <v>1</v>
      </c>
      <c r="AT213" s="589">
        <f t="shared" si="580"/>
        <v>1.2919896640826874E-3</v>
      </c>
      <c r="AU213" s="196">
        <v>10</v>
      </c>
      <c r="AV213" s="245">
        <f t="shared" si="556"/>
        <v>1.1362345188046814E-3</v>
      </c>
      <c r="AX213" s="245"/>
      <c r="AY213" s="245"/>
      <c r="AZ213" s="196">
        <v>2</v>
      </c>
      <c r="BA213" s="589">
        <f t="shared" si="613"/>
        <v>7.3284232897292148E-5</v>
      </c>
      <c r="BI213" s="196">
        <v>0</v>
      </c>
      <c r="BK213" s="246">
        <f t="shared" si="614"/>
        <v>0</v>
      </c>
      <c r="BL213" s="246"/>
      <c r="BM213" s="246">
        <f t="shared" si="615"/>
        <v>0</v>
      </c>
      <c r="BN213" s="196">
        <v>1</v>
      </c>
      <c r="BO213" s="196">
        <f t="shared" si="581"/>
        <v>13664.848640252932</v>
      </c>
      <c r="BP213" s="196">
        <f t="shared" si="582"/>
        <v>13664.848640252932</v>
      </c>
      <c r="BQ213" s="248">
        <f t="shared" si="616"/>
        <v>1.2782829565392013E-3</v>
      </c>
      <c r="BR213" s="248"/>
      <c r="BS213" s="248"/>
      <c r="BT213" s="276">
        <v>1</v>
      </c>
      <c r="BU213" s="196">
        <f t="shared" si="602"/>
        <v>49679.458957945477</v>
      </c>
      <c r="BV213" s="264">
        <f t="shared" si="617"/>
        <v>3.4458613740081753E-3</v>
      </c>
      <c r="BW213" s="196">
        <f t="shared" si="603"/>
        <v>212517.68554232232</v>
      </c>
      <c r="BX213" s="247">
        <f t="shared" si="618"/>
        <v>3.4458614050486263E-3</v>
      </c>
      <c r="BY213" s="196">
        <f t="shared" si="639"/>
        <v>262197.14450026781</v>
      </c>
      <c r="BZ213" s="620">
        <v>0</v>
      </c>
      <c r="CA213" s="196">
        <f t="shared" si="583"/>
        <v>68236.604153341177</v>
      </c>
      <c r="CB213" s="196">
        <f t="shared" si="584"/>
        <v>136473.20830668235</v>
      </c>
      <c r="CC213" s="196">
        <f t="shared" si="585"/>
        <v>204709.81246002353</v>
      </c>
      <c r="CD213" s="247">
        <f t="shared" si="557"/>
        <v>8.6375593712507363E-4</v>
      </c>
      <c r="CE213" s="196">
        <f t="shared" si="586"/>
        <v>16964.139809304193</v>
      </c>
      <c r="CF213" s="247">
        <f t="shared" si="558"/>
        <v>7.3256431451883491E-4</v>
      </c>
      <c r="CG213" s="196">
        <f t="shared" si="621"/>
        <v>33895.306638260976</v>
      </c>
      <c r="CH213" s="589">
        <f t="shared" si="587"/>
        <v>8.6375593712507363E-4</v>
      </c>
      <c r="CI213" s="196">
        <f t="shared" si="588"/>
        <v>26518.986835032905</v>
      </c>
      <c r="CJ213" s="248">
        <f t="shared" si="589"/>
        <v>4.3597207625385237E-4</v>
      </c>
      <c r="CK213" s="196">
        <f t="shared" si="590"/>
        <v>75901.693523881971</v>
      </c>
      <c r="CL213" s="589">
        <f t="shared" si="591"/>
        <v>1.0911024567180809E-3</v>
      </c>
      <c r="CM213" s="196">
        <f t="shared" si="592"/>
        <v>7352.9804923021284</v>
      </c>
      <c r="CN213" s="589">
        <f t="shared" si="593"/>
        <v>1.0596480529981257E-3</v>
      </c>
      <c r="CO213" s="196">
        <f t="shared" si="594"/>
        <v>588.23955786980582</v>
      </c>
      <c r="CP213" s="589">
        <f t="shared" si="595"/>
        <v>1.109329200570668E-3</v>
      </c>
      <c r="CQ213" s="196">
        <f>'Detailed Budget'!$AC$12</f>
        <v>292876014141.44696</v>
      </c>
      <c r="CR213" s="269">
        <f t="shared" si="604"/>
        <v>0</v>
      </c>
      <c r="CS213" s="269">
        <f>'Detailed Budget'!$AC$16</f>
        <v>10488008800.000002</v>
      </c>
      <c r="CT213" s="607">
        <f t="shared" si="622"/>
        <v>0</v>
      </c>
      <c r="CU213" s="269">
        <f>'Detailed Budget'!$AC$24</f>
        <v>30624985696</v>
      </c>
      <c r="CV213" s="269">
        <f t="shared" si="612"/>
        <v>0</v>
      </c>
      <c r="CW213" s="269"/>
      <c r="CX213" s="269">
        <f t="shared" si="596"/>
        <v>0</v>
      </c>
      <c r="CY213" s="196">
        <f>'Detailed Budget'!$AC$97</f>
        <v>74629165494.837845</v>
      </c>
      <c r="CZ213" s="269">
        <f t="shared" si="623"/>
        <v>95397190.31279467</v>
      </c>
      <c r="DA213" s="269">
        <f>'Detailed Budget'!$AC$100</f>
        <v>14925833098.967569</v>
      </c>
      <c r="DB213" s="269">
        <f t="shared" si="624"/>
        <v>19079438.062558934</v>
      </c>
      <c r="DC213" s="269">
        <f t="shared" si="560"/>
        <v>114476628.3753536</v>
      </c>
      <c r="DD213" s="207">
        <v>0</v>
      </c>
      <c r="DE213" s="606">
        <v>0</v>
      </c>
      <c r="DF213" s="269">
        <f>'Detailed Budget'!$AC$147</f>
        <v>5913600671000</v>
      </c>
      <c r="DG213" s="269">
        <f t="shared" si="607"/>
        <v>0</v>
      </c>
      <c r="DH213" s="269">
        <f>'Detailed Budget'!$AC$153</f>
        <v>226428026880.00003</v>
      </c>
      <c r="DI213" s="269"/>
      <c r="DJ213" s="269">
        <f>'Detailed Budget'!$AC$156</f>
        <v>27713070000</v>
      </c>
      <c r="DK213" s="269"/>
      <c r="DL213" s="269"/>
      <c r="DM213" s="196">
        <f>'Detailed Budget'!$AC$178</f>
        <v>5622683761.6229038</v>
      </c>
      <c r="DN213" s="269">
        <f t="shared" si="597"/>
        <v>19374988.792439356</v>
      </c>
      <c r="DO213" s="196">
        <f>'Detailed Budget'!$AC$179</f>
        <v>26827890683.128094</v>
      </c>
      <c r="DP213" s="269">
        <f t="shared" si="598"/>
        <v>92445193.08385472</v>
      </c>
      <c r="DQ213" s="269">
        <f t="shared" si="625"/>
        <v>111820181.87629408</v>
      </c>
      <c r="DR213" s="269">
        <f>'Detailed Budget'!$AC$181</f>
        <v>50888946855.375237</v>
      </c>
      <c r="DS213" s="269">
        <f t="shared" si="599"/>
        <v>95203519.996962562</v>
      </c>
      <c r="DT213" s="269">
        <f t="shared" si="600"/>
        <v>207023701.87325662</v>
      </c>
      <c r="DU213" s="272">
        <f>'Detailed Budget'!$AC$192</f>
        <v>77498869683.252869</v>
      </c>
      <c r="DV213" s="269">
        <f t="shared" si="626"/>
        <v>0</v>
      </c>
      <c r="DW213" s="140">
        <f>'Detailed Budget'!$AC$194</f>
        <v>2684962805.4134097</v>
      </c>
      <c r="DX213" s="269">
        <f t="shared" si="627"/>
        <v>0</v>
      </c>
      <c r="DY213" s="607">
        <f t="shared" si="561"/>
        <v>0</v>
      </c>
      <c r="DZ213" s="196">
        <f>'Detailed Budget'!$AC$198</f>
        <v>18732540018.380611</v>
      </c>
      <c r="EA213" s="269">
        <f t="shared" si="562"/>
        <v>13722790.337761635</v>
      </c>
      <c r="EB213" s="196">
        <f>'Detailed Budget'!$AC$200</f>
        <v>4683135004.5951529</v>
      </c>
      <c r="EC213" s="269">
        <f t="shared" si="628"/>
        <v>3430697.5844404087</v>
      </c>
      <c r="ED213" s="269">
        <f t="shared" si="563"/>
        <v>17153487.922202043</v>
      </c>
      <c r="EE213" s="196">
        <f>'Detailed Budget'!$AC$161</f>
        <v>251147290106.36197</v>
      </c>
      <c r="EF213" s="269">
        <f t="shared" si="629"/>
        <v>216929962.92224342</v>
      </c>
      <c r="EG213" s="196">
        <f>'Detailed Budget'!$AC$163</f>
        <v>15696705631.647623</v>
      </c>
      <c r="EH213" s="269">
        <f t="shared" si="630"/>
        <v>13558122.682640214</v>
      </c>
      <c r="EI213" s="269">
        <f t="shared" si="564"/>
        <v>230488085.60488364</v>
      </c>
      <c r="EJ213" s="196">
        <f>'Detailed Budget'!$AC$204</f>
        <v>45012172507.531975</v>
      </c>
      <c r="EK213" s="269">
        <f t="shared" si="631"/>
        <v>19624050.304805286</v>
      </c>
      <c r="EL213" s="201">
        <f>'Detailed Budget'!$AC$206</f>
        <v>11253043126.882994</v>
      </c>
      <c r="EM213" s="269">
        <f t="shared" si="632"/>
        <v>4906012.5762013216</v>
      </c>
      <c r="EN213" s="269">
        <f t="shared" si="565"/>
        <v>24530062.881006606</v>
      </c>
      <c r="EO213" s="140">
        <f>'Detailed Budget'!$AC$209</f>
        <v>135789361677.54817</v>
      </c>
      <c r="EP213" s="269">
        <f t="shared" si="633"/>
        <v>148160106.12255284</v>
      </c>
      <c r="EQ213" s="196">
        <f>'Detailed Budget'!$AC$211</f>
        <v>33947340419.387043</v>
      </c>
      <c r="ER213" s="269">
        <f t="shared" si="634"/>
        <v>37040026.53063821</v>
      </c>
      <c r="ES213" s="269">
        <f t="shared" si="566"/>
        <v>185200132.65319106</v>
      </c>
      <c r="ET213" s="196">
        <f>'Detailed Budget'!$AC$214</f>
        <v>22239745544.201103</v>
      </c>
      <c r="EU213" s="269">
        <f t="shared" si="635"/>
        <v>23566303.065086439</v>
      </c>
      <c r="EV213" s="140">
        <f>'Detailed Budget'!$AC$217</f>
        <v>5559936386.0502758</v>
      </c>
      <c r="EW213" s="269">
        <f t="shared" si="636"/>
        <v>5891575.7662716098</v>
      </c>
      <c r="EX213" s="269">
        <f t="shared" si="567"/>
        <v>29457878.831358049</v>
      </c>
      <c r="EY213" s="196">
        <f>'Detailed Budget'!$AC$219</f>
        <v>372777004.58170313</v>
      </c>
      <c r="EZ213" s="269">
        <f t="shared" si="637"/>
        <v>413532.41648374894</v>
      </c>
      <c r="FA213" s="196">
        <f>'Detailed Budget'!$AC$222</f>
        <v>93194251.145425782</v>
      </c>
      <c r="FB213" s="269">
        <f t="shared" si="638"/>
        <v>103383.10412093723</v>
      </c>
      <c r="FC213" s="269">
        <f t="shared" si="568"/>
        <v>516915.52060468617</v>
      </c>
      <c r="FD213" s="269"/>
      <c r="FE213" s="269">
        <f t="shared" si="569"/>
        <v>239704989.8861604</v>
      </c>
      <c r="FF213" s="140">
        <f>'Detailed Budget'!$AC$165</f>
        <v>14927760000</v>
      </c>
      <c r="FG213" s="1087">
        <f t="shared" si="608"/>
        <v>326973473.20168918</v>
      </c>
      <c r="FH213" s="269">
        <f t="shared" si="570"/>
        <v>16961436.200431772</v>
      </c>
      <c r="FJ213" s="140">
        <f>'Detailed Budget'!$AC$235</f>
        <v>3623696172</v>
      </c>
      <c r="FK213" s="269">
        <f t="shared" si="571"/>
        <v>4681778</v>
      </c>
      <c r="FL213" s="269">
        <f t="shared" si="609"/>
        <v>4681778</v>
      </c>
      <c r="FO213" s="607"/>
      <c r="FP213" s="607"/>
      <c r="FQ213" s="607"/>
      <c r="FR213" s="269">
        <f>'Detailed Budget'!$AC$257</f>
        <v>13636439388</v>
      </c>
      <c r="FS213" s="269">
        <f t="shared" si="572"/>
        <v>999336</v>
      </c>
      <c r="FT213" s="269">
        <f t="shared" si="610"/>
        <v>999336</v>
      </c>
      <c r="FU213" s="269"/>
      <c r="FV213" s="269"/>
      <c r="FW213" s="616"/>
      <c r="FX213" s="140">
        <f>'Detailed Budget'!$AC$278</f>
        <v>1114560000</v>
      </c>
      <c r="FY213" s="269">
        <f t="shared" si="573"/>
        <v>1440000</v>
      </c>
      <c r="FZ213" s="269">
        <f t="shared" si="611"/>
        <v>1440000</v>
      </c>
      <c r="GB213" s="269">
        <f t="shared" si="619"/>
        <v>1159902917.0639772</v>
      </c>
      <c r="GC213" s="887">
        <f t="shared" si="574"/>
        <v>724939.32316498575</v>
      </c>
      <c r="GD213" s="1078">
        <f t="shared" si="620"/>
        <v>6.5085805106697404E-4</v>
      </c>
    </row>
    <row r="214" spans="1:186" hidden="1" outlineLevel="1">
      <c r="A214" s="211" t="s">
        <v>593</v>
      </c>
      <c r="B214" s="212" t="s">
        <v>594</v>
      </c>
      <c r="C214" s="213" t="s">
        <v>215</v>
      </c>
      <c r="D214" s="225" t="s">
        <v>215</v>
      </c>
      <c r="E214" s="213"/>
      <c r="F214" s="213"/>
      <c r="G214" s="213"/>
      <c r="H214" s="213" t="s">
        <v>215</v>
      </c>
      <c r="I214" s="214" t="s">
        <v>215</v>
      </c>
      <c r="J214" s="214"/>
      <c r="K214" s="213" t="s">
        <v>215</v>
      </c>
      <c r="L214" s="213"/>
      <c r="M214" s="214"/>
      <c r="N214" s="213"/>
      <c r="O214" s="214"/>
      <c r="P214" s="213"/>
      <c r="Q214" s="214"/>
      <c r="R214" s="214" t="s">
        <v>215</v>
      </c>
      <c r="S214" s="214"/>
      <c r="T214" s="214"/>
      <c r="U214" s="215">
        <f t="shared" si="575"/>
        <v>6</v>
      </c>
      <c r="V214" s="845" t="s">
        <v>219</v>
      </c>
      <c r="W214" s="216">
        <v>109834</v>
      </c>
      <c r="X214" s="217">
        <v>3.47</v>
      </c>
      <c r="Y214" s="218">
        <f t="shared" si="640"/>
        <v>1.0347</v>
      </c>
      <c r="Z214" s="196">
        <v>19</v>
      </c>
      <c r="AA214" s="218">
        <f t="shared" si="641"/>
        <v>1.9119412036868784</v>
      </c>
      <c r="AB214" s="196">
        <f t="shared" si="642"/>
        <v>209996.15016574459</v>
      </c>
      <c r="AC214">
        <v>19.100000000000001</v>
      </c>
      <c r="AD214" s="196">
        <f t="shared" si="643"/>
        <v>40109.264681657223</v>
      </c>
      <c r="AE214" s="196">
        <f t="shared" si="644"/>
        <v>38103.801447574362</v>
      </c>
      <c r="AF214" s="196">
        <f t="shared" si="576"/>
        <v>38103.801447574362</v>
      </c>
      <c r="AG214" s="606">
        <f t="shared" si="577"/>
        <v>1.7617525001131322E-3</v>
      </c>
      <c r="AH214" s="196">
        <f t="shared" si="601"/>
        <v>10499.807508287231</v>
      </c>
      <c r="AI214" s="248">
        <f t="shared" si="552"/>
        <v>8.1340417890472967E-4</v>
      </c>
      <c r="AJ214" s="196">
        <f t="shared" si="578"/>
        <v>50609.072189944454</v>
      </c>
      <c r="AK214" s="196">
        <f t="shared" si="605"/>
        <v>8399.846006629783</v>
      </c>
      <c r="AL214" s="196">
        <f t="shared" si="606"/>
        <v>8399.846006629783</v>
      </c>
      <c r="AM214" s="196">
        <f t="shared" si="553"/>
        <v>16799.692013259566</v>
      </c>
      <c r="AN214" s="627">
        <f t="shared" si="554"/>
        <v>8.1340417890472957E-4</v>
      </c>
      <c r="AO214" s="196">
        <f t="shared" si="555"/>
        <v>7979.8537062982941</v>
      </c>
      <c r="AP214" s="589">
        <f t="shared" si="579"/>
        <v>8.1340417890472957E-4</v>
      </c>
      <c r="AQ214" s="196"/>
      <c r="AR214" s="589"/>
      <c r="AS214">
        <v>1</v>
      </c>
      <c r="AT214" s="589">
        <f t="shared" si="580"/>
        <v>1.2919896640826874E-3</v>
      </c>
      <c r="AU214" s="196">
        <v>12</v>
      </c>
      <c r="AV214" s="245">
        <f t="shared" si="556"/>
        <v>1.3634814225656176E-3</v>
      </c>
      <c r="AX214" s="245"/>
      <c r="AY214" s="245"/>
      <c r="AZ214" s="196">
        <v>16</v>
      </c>
      <c r="BA214" s="589">
        <f t="shared" si="613"/>
        <v>5.8627386317833719E-4</v>
      </c>
      <c r="BI214" s="196">
        <v>0</v>
      </c>
      <c r="BK214" s="246">
        <f t="shared" si="614"/>
        <v>0</v>
      </c>
      <c r="BL214" s="246"/>
      <c r="BM214" s="246">
        <f t="shared" si="615"/>
        <v>0</v>
      </c>
      <c r="BN214" s="196">
        <v>1</v>
      </c>
      <c r="BO214" s="196">
        <f t="shared" si="581"/>
        <v>12868.270434212793</v>
      </c>
      <c r="BP214" s="196">
        <f t="shared" si="582"/>
        <v>12868.270434212793</v>
      </c>
      <c r="BQ214" s="248">
        <f t="shared" si="616"/>
        <v>1.2037667748281075E-3</v>
      </c>
      <c r="BR214" s="248"/>
      <c r="BS214" s="248"/>
      <c r="BT214" s="276">
        <v>1</v>
      </c>
      <c r="BU214" s="196">
        <f t="shared" si="602"/>
        <v>46783.446324684992</v>
      </c>
      <c r="BV214" s="264">
        <f t="shared" si="617"/>
        <v>3.2449884522632016E-3</v>
      </c>
      <c r="BW214" s="196">
        <f t="shared" si="603"/>
        <v>200129.18705559691</v>
      </c>
      <c r="BX214" s="247">
        <f t="shared" si="618"/>
        <v>3.2449884814941821E-3</v>
      </c>
      <c r="BY214" s="196">
        <f t="shared" si="639"/>
        <v>246912.63338028191</v>
      </c>
      <c r="BZ214" s="620">
        <v>0</v>
      </c>
      <c r="CA214" s="196">
        <f t="shared" si="583"/>
        <v>64258.821950717836</v>
      </c>
      <c r="CB214" s="196">
        <f t="shared" si="584"/>
        <v>128517.64390143567</v>
      </c>
      <c r="CC214" s="196">
        <f t="shared" si="585"/>
        <v>192776.46585215352</v>
      </c>
      <c r="CD214" s="247">
        <f t="shared" si="557"/>
        <v>8.1340417890472957E-4</v>
      </c>
      <c r="CE214" s="196">
        <f t="shared" si="586"/>
        <v>15975.232839891945</v>
      </c>
      <c r="CF214" s="247">
        <f t="shared" si="558"/>
        <v>6.8986023613267031E-4</v>
      </c>
      <c r="CG214" s="196">
        <f t="shared" si="621"/>
        <v>31919.414825193177</v>
      </c>
      <c r="CH214" s="589">
        <f t="shared" si="587"/>
        <v>8.1340417890472957E-4</v>
      </c>
      <c r="CI214" s="196">
        <f t="shared" si="588"/>
        <v>24973.08994914822</v>
      </c>
      <c r="CJ214" s="248">
        <f t="shared" si="589"/>
        <v>4.1055753537391326E-4</v>
      </c>
      <c r="CK214" s="196">
        <f t="shared" si="590"/>
        <v>71477.082871074672</v>
      </c>
      <c r="CL214" s="589">
        <f t="shared" si="591"/>
        <v>1.0274977684803931E-3</v>
      </c>
      <c r="CM214" s="196">
        <f t="shared" si="592"/>
        <v>6924.3461060892878</v>
      </c>
      <c r="CN214" s="589">
        <f t="shared" si="593"/>
        <v>9.9787696666463286E-4</v>
      </c>
      <c r="CO214" s="196">
        <f t="shared" si="594"/>
        <v>553.94874177181634</v>
      </c>
      <c r="CP214" s="589">
        <f t="shared" si="595"/>
        <v>1.0446620031678748E-3</v>
      </c>
      <c r="CQ214" s="196">
        <f>'Detailed Budget'!$AC$12</f>
        <v>292876014141.44696</v>
      </c>
      <c r="CR214" s="269">
        <f t="shared" si="604"/>
        <v>0</v>
      </c>
      <c r="CS214" s="269">
        <f>'Detailed Budget'!$AC$16</f>
        <v>10488008800.000002</v>
      </c>
      <c r="CT214" s="607">
        <f t="shared" si="622"/>
        <v>0</v>
      </c>
      <c r="CU214" s="269">
        <f>'Detailed Budget'!$AC$24</f>
        <v>30624985696</v>
      </c>
      <c r="CV214" s="269">
        <f t="shared" si="612"/>
        <v>0</v>
      </c>
      <c r="CW214" s="269"/>
      <c r="CX214" s="269">
        <f t="shared" si="596"/>
        <v>0</v>
      </c>
      <c r="CY214" s="196">
        <f>'Detailed Budget'!$AC$97</f>
        <v>74629165494.837845</v>
      </c>
      <c r="CZ214" s="269">
        <f t="shared" si="623"/>
        <v>89836109.855834037</v>
      </c>
      <c r="DA214" s="269">
        <f>'Detailed Budget'!$AC$100</f>
        <v>14925833098.967569</v>
      </c>
      <c r="DB214" s="269">
        <f t="shared" si="624"/>
        <v>17967221.971166808</v>
      </c>
      <c r="DC214" s="269">
        <f t="shared" si="560"/>
        <v>107803331.82700084</v>
      </c>
      <c r="DD214" s="207">
        <v>0</v>
      </c>
      <c r="DE214" s="606">
        <v>0</v>
      </c>
      <c r="DF214" s="269">
        <f>'Detailed Budget'!$AC$147</f>
        <v>5913600671000</v>
      </c>
      <c r="DG214" s="269">
        <f t="shared" si="607"/>
        <v>0</v>
      </c>
      <c r="DH214" s="269">
        <f>'Detailed Budget'!$AC$153</f>
        <v>226428026880.00003</v>
      </c>
      <c r="DI214" s="269"/>
      <c r="DJ214" s="269">
        <f>'Detailed Budget'!$AC$156</f>
        <v>27713070000</v>
      </c>
      <c r="DK214" s="269"/>
      <c r="DL214" s="269"/>
      <c r="DM214" s="196">
        <f>'Detailed Budget'!$AC$178</f>
        <v>5622683761.6229038</v>
      </c>
      <c r="DN214" s="269">
        <f t="shared" si="597"/>
        <v>18245543.877194144</v>
      </c>
      <c r="DO214" s="196">
        <f>'Detailed Budget'!$AC$179</f>
        <v>26827890683.128094</v>
      </c>
      <c r="DP214" s="269">
        <f t="shared" si="598"/>
        <v>87056196.249535754</v>
      </c>
      <c r="DQ214" s="269">
        <f t="shared" si="625"/>
        <v>105301740.12672991</v>
      </c>
      <c r="DR214" s="269">
        <f>'Detailed Budget'!$AC$181</f>
        <v>50888946855.375237</v>
      </c>
      <c r="DS214" s="269">
        <f t="shared" si="599"/>
        <v>89653729.350581646</v>
      </c>
      <c r="DT214" s="269">
        <f t="shared" si="600"/>
        <v>194955469.47731155</v>
      </c>
      <c r="DU214" s="272">
        <f>'Detailed Budget'!$AC$192</f>
        <v>77498869683.252869</v>
      </c>
      <c r="DV214" s="269">
        <f t="shared" si="626"/>
        <v>0</v>
      </c>
      <c r="DW214" s="140">
        <f>'Detailed Budget'!$AC$194</f>
        <v>2684962805.4134097</v>
      </c>
      <c r="DX214" s="269">
        <f t="shared" si="627"/>
        <v>0</v>
      </c>
      <c r="DY214" s="607">
        <f t="shared" si="561"/>
        <v>0</v>
      </c>
      <c r="DZ214" s="196">
        <f>'Detailed Budget'!$AC$198</f>
        <v>18732540018.380611</v>
      </c>
      <c r="EA214" s="269">
        <f t="shared" si="562"/>
        <v>12922834.480444744</v>
      </c>
      <c r="EB214" s="196">
        <f>'Detailed Budget'!$AC$200</f>
        <v>4683135004.5951529</v>
      </c>
      <c r="EC214" s="269">
        <f t="shared" si="628"/>
        <v>3230708.6201111861</v>
      </c>
      <c r="ED214" s="269">
        <f t="shared" si="563"/>
        <v>16153543.10055593</v>
      </c>
      <c r="EE214" s="196">
        <f>'Detailed Budget'!$AC$161</f>
        <v>251147290106.36197</v>
      </c>
      <c r="EF214" s="269">
        <f t="shared" si="629"/>
        <v>204284255.29311326</v>
      </c>
      <c r="EG214" s="196">
        <f>'Detailed Budget'!$AC$163</f>
        <v>15696705631.647623</v>
      </c>
      <c r="EH214" s="269">
        <f t="shared" si="630"/>
        <v>12767765.955819579</v>
      </c>
      <c r="EI214" s="269">
        <f t="shared" si="564"/>
        <v>217052021.24893284</v>
      </c>
      <c r="EJ214" s="196">
        <f>'Detailed Budget'!$AC$204</f>
        <v>45012172507.531975</v>
      </c>
      <c r="EK214" s="269">
        <f t="shared" si="631"/>
        <v>18480086.606517743</v>
      </c>
      <c r="EL214" s="201">
        <f>'Detailed Budget'!$AC$206</f>
        <v>11253043126.882994</v>
      </c>
      <c r="EM214" s="269">
        <f t="shared" si="632"/>
        <v>4620021.6516294358</v>
      </c>
      <c r="EN214" s="269">
        <f t="shared" si="565"/>
        <v>23100108.25814718</v>
      </c>
      <c r="EO214" s="140">
        <f>'Detailed Budget'!$AC$209</f>
        <v>135789361677.54817</v>
      </c>
      <c r="EP214" s="269">
        <f t="shared" si="633"/>
        <v>139523266.10705775</v>
      </c>
      <c r="EQ214" s="196">
        <f>'Detailed Budget'!$AC$211</f>
        <v>33947340419.387043</v>
      </c>
      <c r="ER214" s="269">
        <f t="shared" si="634"/>
        <v>34880816.526764438</v>
      </c>
      <c r="ES214" s="269">
        <f t="shared" si="566"/>
        <v>174404082.6338222</v>
      </c>
      <c r="ET214" s="196">
        <f>'Detailed Budget'!$AC$214</f>
        <v>22239745544.201103</v>
      </c>
      <c r="EU214" s="269">
        <f t="shared" si="635"/>
        <v>22192529.823040683</v>
      </c>
      <c r="EV214" s="140">
        <f>'Detailed Budget'!$AC$217</f>
        <v>5559936386.0502758</v>
      </c>
      <c r="EW214" s="269">
        <f t="shared" si="636"/>
        <v>5548132.4557601707</v>
      </c>
      <c r="EX214" s="269">
        <f t="shared" si="567"/>
        <v>27740662.278800853</v>
      </c>
      <c r="EY214" s="196">
        <f>'Detailed Budget'!$AC$219</f>
        <v>372777004.58170313</v>
      </c>
      <c r="EZ214" s="269">
        <f t="shared" si="637"/>
        <v>389425.97234124207</v>
      </c>
      <c r="FA214" s="196">
        <f>'Detailed Budget'!$AC$222</f>
        <v>93194251.145425782</v>
      </c>
      <c r="FB214" s="269">
        <f t="shared" si="638"/>
        <v>97356.493085310518</v>
      </c>
      <c r="FC214" s="269">
        <f t="shared" si="568"/>
        <v>486782.46542655258</v>
      </c>
      <c r="FD214" s="269"/>
      <c r="FE214" s="269">
        <f t="shared" si="569"/>
        <v>225731635.63619679</v>
      </c>
      <c r="FF214" s="140">
        <f>'Detailed Budget'!$AC$165</f>
        <v>14927760000</v>
      </c>
      <c r="FG214" s="1087">
        <f t="shared" si="608"/>
        <v>307912893.05457574</v>
      </c>
      <c r="FH214" s="269">
        <f t="shared" si="570"/>
        <v>20353723.440518126</v>
      </c>
      <c r="FJ214" s="140">
        <f>'Detailed Budget'!$AC$235</f>
        <v>3623696172</v>
      </c>
      <c r="FK214" s="269">
        <f t="shared" si="571"/>
        <v>4681778</v>
      </c>
      <c r="FL214" s="269">
        <f t="shared" si="609"/>
        <v>4681778</v>
      </c>
      <c r="FO214" s="607"/>
      <c r="FP214" s="607"/>
      <c r="FQ214" s="607"/>
      <c r="FR214" s="269">
        <f>'Detailed Budget'!$AC$257</f>
        <v>13636439388</v>
      </c>
      <c r="FS214" s="269">
        <f t="shared" si="572"/>
        <v>7994688</v>
      </c>
      <c r="FT214" s="269">
        <f t="shared" si="610"/>
        <v>7994688</v>
      </c>
      <c r="FU214" s="269"/>
      <c r="FV214" s="269"/>
      <c r="FW214" s="616"/>
      <c r="FX214" s="140">
        <f>'Detailed Budget'!$AC$278</f>
        <v>1114560000</v>
      </c>
      <c r="FY214" s="269">
        <f t="shared" si="573"/>
        <v>1440000</v>
      </c>
      <c r="FZ214" s="269">
        <f t="shared" si="611"/>
        <v>1440000</v>
      </c>
      <c r="GB214" s="269">
        <f t="shared" si="619"/>
        <v>1104079083.7850919</v>
      </c>
      <c r="GC214" s="887">
        <f t="shared" si="574"/>
        <v>690049.42736568244</v>
      </c>
      <c r="GD214" s="1078">
        <f t="shared" si="620"/>
        <v>6.1953354037175788E-4</v>
      </c>
    </row>
    <row r="215" spans="1:186" hidden="1" outlineLevel="1">
      <c r="A215" s="211" t="s">
        <v>595</v>
      </c>
      <c r="B215" s="212" t="s">
        <v>596</v>
      </c>
      <c r="C215" s="213" t="s">
        <v>215</v>
      </c>
      <c r="D215" s="225" t="s">
        <v>215</v>
      </c>
      <c r="E215" s="213"/>
      <c r="F215" s="213"/>
      <c r="G215" s="213"/>
      <c r="H215" s="213" t="s">
        <v>215</v>
      </c>
      <c r="I215" s="214" t="s">
        <v>215</v>
      </c>
      <c r="J215" s="214"/>
      <c r="K215" s="213" t="s">
        <v>215</v>
      </c>
      <c r="L215" s="213"/>
      <c r="M215" s="214"/>
      <c r="N215" s="213"/>
      <c r="O215" s="214"/>
      <c r="P215" s="213"/>
      <c r="Q215" s="214"/>
      <c r="R215" s="214" t="s">
        <v>215</v>
      </c>
      <c r="S215" s="214"/>
      <c r="T215" s="214"/>
      <c r="U215" s="215">
        <f t="shared" si="575"/>
        <v>6</v>
      </c>
      <c r="V215" s="845" t="s">
        <v>219</v>
      </c>
      <c r="W215" s="216">
        <v>236498</v>
      </c>
      <c r="X215" s="217">
        <v>3.47</v>
      </c>
      <c r="Y215" s="218">
        <f t="shared" si="640"/>
        <v>1.0347</v>
      </c>
      <c r="Z215" s="196">
        <v>19</v>
      </c>
      <c r="AA215" s="218">
        <f t="shared" si="641"/>
        <v>1.9119412036868784</v>
      </c>
      <c r="AB215" s="196">
        <f t="shared" si="642"/>
        <v>452170.27078953938</v>
      </c>
      <c r="AC215">
        <v>19.100000000000001</v>
      </c>
      <c r="AD215" s="196">
        <f t="shared" si="643"/>
        <v>86364.521720802019</v>
      </c>
      <c r="AE215" s="196">
        <f t="shared" si="644"/>
        <v>82046.295634761918</v>
      </c>
      <c r="AF215" s="196">
        <f t="shared" si="576"/>
        <v>82046.295634761918</v>
      </c>
      <c r="AG215" s="606">
        <f t="shared" si="577"/>
        <v>3.7934605201645709E-3</v>
      </c>
      <c r="AH215" s="196">
        <f t="shared" si="601"/>
        <v>22608.513539476971</v>
      </c>
      <c r="AI215" s="248">
        <f t="shared" si="552"/>
        <v>1.7514472886593475E-3</v>
      </c>
      <c r="AJ215" s="196">
        <f t="shared" si="578"/>
        <v>108973.03526027899</v>
      </c>
      <c r="AK215" s="196">
        <f t="shared" si="605"/>
        <v>18086.810831581577</v>
      </c>
      <c r="AL215" s="196">
        <f t="shared" si="606"/>
        <v>18086.810831581577</v>
      </c>
      <c r="AM215" s="196">
        <f t="shared" si="553"/>
        <v>36173.621663163154</v>
      </c>
      <c r="AN215" s="627">
        <f t="shared" si="554"/>
        <v>1.7514472886593475E-3</v>
      </c>
      <c r="AO215" s="196">
        <f t="shared" si="555"/>
        <v>17182.470290002497</v>
      </c>
      <c r="AP215" s="589">
        <f t="shared" si="579"/>
        <v>1.7514472886593475E-3</v>
      </c>
      <c r="AQ215" s="196"/>
      <c r="AR215" s="589"/>
      <c r="AS215">
        <v>1</v>
      </c>
      <c r="AT215" s="589">
        <f t="shared" si="580"/>
        <v>1.2919896640826874E-3</v>
      </c>
      <c r="AU215" s="196">
        <v>12</v>
      </c>
      <c r="AV215" s="245">
        <f t="shared" si="556"/>
        <v>1.3634814225656176E-3</v>
      </c>
      <c r="AX215" s="245"/>
      <c r="AY215" s="245"/>
      <c r="AZ215" s="196">
        <v>4</v>
      </c>
      <c r="BA215" s="589">
        <f t="shared" si="613"/>
        <v>1.465684657945843E-4</v>
      </c>
      <c r="BI215" s="196">
        <v>0</v>
      </c>
      <c r="BK215" s="246">
        <f t="shared" si="614"/>
        <v>0</v>
      </c>
      <c r="BL215" s="246"/>
      <c r="BM215" s="246">
        <f t="shared" si="615"/>
        <v>0</v>
      </c>
      <c r="BN215" s="196">
        <v>1</v>
      </c>
      <c r="BO215" s="196">
        <f t="shared" si="581"/>
        <v>27708.361902056349</v>
      </c>
      <c r="BP215" s="196">
        <f t="shared" si="582"/>
        <v>27708.361902056349</v>
      </c>
      <c r="BQ215" s="248">
        <f t="shared" si="616"/>
        <v>2.5919882250787347E-3</v>
      </c>
      <c r="BR215" s="248"/>
      <c r="BS215" s="248"/>
      <c r="BT215" s="276">
        <v>1</v>
      </c>
      <c r="BU215" s="196">
        <f t="shared" si="602"/>
        <v>100735.57813514349</v>
      </c>
      <c r="BV215" s="264">
        <f t="shared" si="617"/>
        <v>6.9872105084340238E-3</v>
      </c>
      <c r="BW215" s="196">
        <f t="shared" si="603"/>
        <v>430924.41757811379</v>
      </c>
      <c r="BX215" s="247">
        <f t="shared" si="618"/>
        <v>6.9872105713750833E-3</v>
      </c>
      <c r="BY215" s="196">
        <f t="shared" si="639"/>
        <v>531659.99571325723</v>
      </c>
      <c r="BZ215" s="620">
        <v>0</v>
      </c>
      <c r="CA215" s="196">
        <f t="shared" si="583"/>
        <v>138364.10286159907</v>
      </c>
      <c r="CB215" s="196">
        <f t="shared" si="584"/>
        <v>276728.20572319813</v>
      </c>
      <c r="CC215" s="196">
        <f t="shared" si="585"/>
        <v>415092.3085847972</v>
      </c>
      <c r="CD215" s="247">
        <f t="shared" si="557"/>
        <v>1.7514472886593475E-3</v>
      </c>
      <c r="CE215" s="196">
        <f t="shared" si="586"/>
        <v>34398.370415069701</v>
      </c>
      <c r="CF215" s="247">
        <f t="shared" si="558"/>
        <v>1.4854286115857046E-3</v>
      </c>
      <c r="CG215" s="196">
        <f t="shared" si="621"/>
        <v>68729.881160009987</v>
      </c>
      <c r="CH215" s="589">
        <f t="shared" si="587"/>
        <v>1.7514472886593475E-3</v>
      </c>
      <c r="CI215" s="196">
        <f t="shared" si="588"/>
        <v>53772.837434616376</v>
      </c>
      <c r="CJ215" s="248">
        <f t="shared" si="589"/>
        <v>8.8402531093158526E-4</v>
      </c>
      <c r="CK215" s="196">
        <f t="shared" si="590"/>
        <v>153906.6877728519</v>
      </c>
      <c r="CL215" s="589">
        <f t="shared" si="591"/>
        <v>2.2124402939898025E-3</v>
      </c>
      <c r="CM215" s="196">
        <f t="shared" si="592"/>
        <v>14909.718351311109</v>
      </c>
      <c r="CN215" s="589">
        <f t="shared" si="593"/>
        <v>2.1486598581700782E-3</v>
      </c>
      <c r="CO215" s="196">
        <f t="shared" si="594"/>
        <v>1192.7797360703516</v>
      </c>
      <c r="CP215" s="589">
        <f t="shared" si="595"/>
        <v>2.2493988603273672E-3</v>
      </c>
      <c r="CQ215" s="196">
        <f>'Detailed Budget'!$AC$12</f>
        <v>292876014141.44696</v>
      </c>
      <c r="CR215" s="269">
        <f t="shared" si="604"/>
        <v>0</v>
      </c>
      <c r="CS215" s="269">
        <f>'Detailed Budget'!$AC$16</f>
        <v>10488008800.000002</v>
      </c>
      <c r="CT215" s="607">
        <f t="shared" si="622"/>
        <v>0</v>
      </c>
      <c r="CU215" s="269">
        <f>'Detailed Budget'!$AC$24</f>
        <v>30624985696</v>
      </c>
      <c r="CV215" s="269">
        <f t="shared" si="612"/>
        <v>0</v>
      </c>
      <c r="CW215" s="269"/>
      <c r="CX215" s="269">
        <f t="shared" si="596"/>
        <v>0</v>
      </c>
      <c r="CY215" s="196">
        <f>'Detailed Budget'!$AC$97</f>
        <v>74629165494.837845</v>
      </c>
      <c r="CZ215" s="269">
        <f t="shared" si="623"/>
        <v>193437918.21007189</v>
      </c>
      <c r="DA215" s="269">
        <f>'Detailed Budget'!$AC$100</f>
        <v>14925833098.967569</v>
      </c>
      <c r="DB215" s="269">
        <f t="shared" si="624"/>
        <v>38687583.642014377</v>
      </c>
      <c r="DC215" s="269">
        <f t="shared" si="560"/>
        <v>232125501.85208628</v>
      </c>
      <c r="DD215" s="207">
        <v>0</v>
      </c>
      <c r="DE215" s="606">
        <v>0</v>
      </c>
      <c r="DF215" s="269">
        <f>'Detailed Budget'!$AC$147</f>
        <v>5913600671000</v>
      </c>
      <c r="DG215" s="269">
        <f t="shared" si="607"/>
        <v>0</v>
      </c>
      <c r="DH215" s="269">
        <f>'Detailed Budget'!$AC$153</f>
        <v>226428026880.00003</v>
      </c>
      <c r="DI215" s="269"/>
      <c r="DJ215" s="269">
        <f>'Detailed Budget'!$AC$156</f>
        <v>27713070000</v>
      </c>
      <c r="DK215" s="269"/>
      <c r="DL215" s="269"/>
      <c r="DM215" s="196">
        <f>'Detailed Budget'!$AC$178</f>
        <v>5622683761.6229038</v>
      </c>
      <c r="DN215" s="269">
        <f t="shared" si="597"/>
        <v>39286875.064812899</v>
      </c>
      <c r="DO215" s="196">
        <f>'Detailed Budget'!$AC$179</f>
        <v>26827890683.128094</v>
      </c>
      <c r="DP215" s="269">
        <f t="shared" si="598"/>
        <v>187452121.38884771</v>
      </c>
      <c r="DQ215" s="269">
        <f t="shared" si="625"/>
        <v>226738996.45366061</v>
      </c>
      <c r="DR215" s="269">
        <f>'Detailed Budget'!$AC$181</f>
        <v>50888946855.375237</v>
      </c>
      <c r="DS215" s="269">
        <f t="shared" si="599"/>
        <v>193045210.80861896</v>
      </c>
      <c r="DT215" s="269">
        <f t="shared" si="600"/>
        <v>419784207.26227957</v>
      </c>
      <c r="DU215" s="272">
        <f>'Detailed Budget'!$AC$192</f>
        <v>77498869683.252869</v>
      </c>
      <c r="DV215" s="269">
        <f t="shared" si="626"/>
        <v>0</v>
      </c>
      <c r="DW215" s="140">
        <f>'Detailed Budget'!$AC$194</f>
        <v>2684962805.4134097</v>
      </c>
      <c r="DX215" s="269">
        <f t="shared" si="627"/>
        <v>0</v>
      </c>
      <c r="DY215" s="607">
        <f t="shared" si="561"/>
        <v>0</v>
      </c>
      <c r="DZ215" s="196">
        <f>'Detailed Budget'!$AC$198</f>
        <v>18732540018.380611</v>
      </c>
      <c r="EA215" s="269">
        <f t="shared" si="562"/>
        <v>27825850.91097676</v>
      </c>
      <c r="EB215" s="196">
        <f>'Detailed Budget'!$AC$200</f>
        <v>4683135004.5951529</v>
      </c>
      <c r="EC215" s="269">
        <f t="shared" si="628"/>
        <v>6956462.72774419</v>
      </c>
      <c r="ED215" s="269">
        <f t="shared" si="563"/>
        <v>34782313.638720952</v>
      </c>
      <c r="EE215" s="196">
        <f>'Detailed Budget'!$AC$161</f>
        <v>251147290106.36197</v>
      </c>
      <c r="EF215" s="269">
        <f t="shared" si="629"/>
        <v>439871240.31093025</v>
      </c>
      <c r="EG215" s="196">
        <f>'Detailed Budget'!$AC$163</f>
        <v>15696705631.647623</v>
      </c>
      <c r="EH215" s="269">
        <f t="shared" si="630"/>
        <v>27491952.519433141</v>
      </c>
      <c r="EI215" s="269">
        <f t="shared" si="564"/>
        <v>467363192.83036339</v>
      </c>
      <c r="EJ215" s="196">
        <f>'Detailed Budget'!$AC$204</f>
        <v>45012172507.531975</v>
      </c>
      <c r="EK215" s="269">
        <f t="shared" si="631"/>
        <v>39791899.796677105</v>
      </c>
      <c r="EL215" s="201">
        <f>'Detailed Budget'!$AC$206</f>
        <v>11253043126.882994</v>
      </c>
      <c r="EM215" s="269">
        <f t="shared" si="632"/>
        <v>9947974.9491692763</v>
      </c>
      <c r="EN215" s="269">
        <f t="shared" si="565"/>
        <v>49739874.745846383</v>
      </c>
      <c r="EO215" s="140">
        <f>'Detailed Budget'!$AC$209</f>
        <v>135789361677.54817</v>
      </c>
      <c r="EP215" s="269">
        <f t="shared" si="633"/>
        <v>300425855.27056229</v>
      </c>
      <c r="EQ215" s="196">
        <f>'Detailed Budget'!$AC$211</f>
        <v>33947340419.387043</v>
      </c>
      <c r="ER215" s="269">
        <f t="shared" si="634"/>
        <v>75106463.817640573</v>
      </c>
      <c r="ES215" s="269">
        <f t="shared" si="566"/>
        <v>375532319.08820283</v>
      </c>
      <c r="ET215" s="196">
        <f>'Detailed Budget'!$AC$214</f>
        <v>22239745544.201103</v>
      </c>
      <c r="EU215" s="269">
        <f t="shared" si="635"/>
        <v>47785648.50674177</v>
      </c>
      <c r="EV215" s="140">
        <f>'Detailed Budget'!$AC$217</f>
        <v>5559936386.0502758</v>
      </c>
      <c r="EW215" s="269">
        <f t="shared" si="636"/>
        <v>11946412.126685442</v>
      </c>
      <c r="EX215" s="269">
        <f t="shared" si="567"/>
        <v>59732060.63342721</v>
      </c>
      <c r="EY215" s="196">
        <f>'Detailed Budget'!$AC$219</f>
        <v>372777004.58170313</v>
      </c>
      <c r="EZ215" s="269">
        <f t="shared" si="637"/>
        <v>838524.16926233273</v>
      </c>
      <c r="FA215" s="196">
        <f>'Detailed Budget'!$AC$222</f>
        <v>93194251.145425782</v>
      </c>
      <c r="FB215" s="269">
        <f t="shared" si="638"/>
        <v>209631.04231558318</v>
      </c>
      <c r="FC215" s="269">
        <f t="shared" si="568"/>
        <v>1048155.2115779159</v>
      </c>
      <c r="FD215" s="269"/>
      <c r="FE215" s="269">
        <f t="shared" si="569"/>
        <v>486052409.67905432</v>
      </c>
      <c r="FF215" s="140">
        <f>'Detailed Budget'!$AC$165</f>
        <v>14927760000</v>
      </c>
      <c r="FG215" s="1087">
        <f t="shared" si="608"/>
        <v>663007660.48419464</v>
      </c>
      <c r="FH215" s="269">
        <f t="shared" si="570"/>
        <v>20353723.440518126</v>
      </c>
      <c r="FJ215" s="140">
        <f>'Detailed Budget'!$AC$235</f>
        <v>3623696172</v>
      </c>
      <c r="FK215" s="269">
        <f t="shared" si="571"/>
        <v>4681778</v>
      </c>
      <c r="FL215" s="269">
        <f t="shared" si="609"/>
        <v>4681778</v>
      </c>
      <c r="FO215" s="607"/>
      <c r="FP215" s="607"/>
      <c r="FQ215" s="607"/>
      <c r="FR215" s="269">
        <f>'Detailed Budget'!$AC$257</f>
        <v>13636439388</v>
      </c>
      <c r="FS215" s="269">
        <f t="shared" si="572"/>
        <v>1998672</v>
      </c>
      <c r="FT215" s="269">
        <f t="shared" si="610"/>
        <v>1998672</v>
      </c>
      <c r="FU215" s="269"/>
      <c r="FV215" s="269"/>
      <c r="FW215" s="616"/>
      <c r="FX215" s="140">
        <f>'Detailed Budget'!$AC$278</f>
        <v>1114560000</v>
      </c>
      <c r="FY215" s="269">
        <f t="shared" si="573"/>
        <v>1440000</v>
      </c>
      <c r="FZ215" s="269">
        <f t="shared" si="611"/>
        <v>1440000</v>
      </c>
      <c r="GB215" s="269">
        <f t="shared" si="619"/>
        <v>2331589459.1872172</v>
      </c>
      <c r="GC215" s="887">
        <f t="shared" si="574"/>
        <v>1457243.4119920107</v>
      </c>
      <c r="GD215" s="1078">
        <f t="shared" si="620"/>
        <v>1.3083282652104832E-3</v>
      </c>
    </row>
    <row r="216" spans="1:186" hidden="1" outlineLevel="1">
      <c r="A216" s="211" t="s">
        <v>597</v>
      </c>
      <c r="B216" s="212" t="s">
        <v>598</v>
      </c>
      <c r="C216" s="213" t="s">
        <v>215</v>
      </c>
      <c r="D216" s="225" t="s">
        <v>215</v>
      </c>
      <c r="E216" s="213"/>
      <c r="F216" s="213"/>
      <c r="G216" s="213"/>
      <c r="H216" s="213" t="s">
        <v>215</v>
      </c>
      <c r="I216" s="214" t="s">
        <v>215</v>
      </c>
      <c r="J216" s="214"/>
      <c r="K216" s="213" t="s">
        <v>215</v>
      </c>
      <c r="L216" s="213"/>
      <c r="M216" s="214"/>
      <c r="N216" s="213"/>
      <c r="O216" s="214"/>
      <c r="P216" s="213"/>
      <c r="Q216" s="214"/>
      <c r="R216" s="214" t="s">
        <v>215</v>
      </c>
      <c r="S216" s="214"/>
      <c r="T216" s="214"/>
      <c r="U216" s="215">
        <f t="shared" si="575"/>
        <v>6</v>
      </c>
      <c r="V216" s="845" t="s">
        <v>219</v>
      </c>
      <c r="W216" s="216">
        <v>99074</v>
      </c>
      <c r="X216" s="217">
        <v>3.47</v>
      </c>
      <c r="Y216" s="218">
        <f t="shared" si="640"/>
        <v>1.0347</v>
      </c>
      <c r="Z216" s="196">
        <v>19</v>
      </c>
      <c r="AA216" s="218">
        <f t="shared" si="641"/>
        <v>1.9119412036868784</v>
      </c>
      <c r="AB216" s="196">
        <f t="shared" si="642"/>
        <v>189423.66281407379</v>
      </c>
      <c r="AC216">
        <v>19.100000000000001</v>
      </c>
      <c r="AD216" s="196">
        <f t="shared" si="643"/>
        <v>36179.9195974881</v>
      </c>
      <c r="AE216" s="196">
        <f t="shared" si="644"/>
        <v>34370.923617613691</v>
      </c>
      <c r="AF216" s="196">
        <f t="shared" si="576"/>
        <v>34370.923617613691</v>
      </c>
      <c r="AG216" s="606">
        <f t="shared" si="577"/>
        <v>1.5891606168964843E-3</v>
      </c>
      <c r="AH216" s="196">
        <f t="shared" si="601"/>
        <v>9471.1831407036898</v>
      </c>
      <c r="AI216" s="248">
        <f t="shared" si="552"/>
        <v>7.3371820766617978E-4</v>
      </c>
      <c r="AJ216" s="196">
        <f t="shared" si="578"/>
        <v>45651.102738191788</v>
      </c>
      <c r="AK216" s="196">
        <f t="shared" si="605"/>
        <v>7576.9465125629513</v>
      </c>
      <c r="AL216" s="196">
        <f t="shared" si="606"/>
        <v>7576.9465125629513</v>
      </c>
      <c r="AM216" s="196">
        <f t="shared" si="553"/>
        <v>15153.893025125903</v>
      </c>
      <c r="AN216" s="627">
        <f t="shared" si="554"/>
        <v>7.3371820766617967E-4</v>
      </c>
      <c r="AO216" s="196">
        <f t="shared" si="555"/>
        <v>7198.0991869348036</v>
      </c>
      <c r="AP216" s="589">
        <f t="shared" si="579"/>
        <v>7.3371820766617967E-4</v>
      </c>
      <c r="AQ216" s="196"/>
      <c r="AR216" s="589"/>
      <c r="AS216">
        <v>1</v>
      </c>
      <c r="AT216" s="589">
        <f t="shared" si="580"/>
        <v>1.2919896640826874E-3</v>
      </c>
      <c r="AU216" s="196">
        <v>12</v>
      </c>
      <c r="AV216" s="245">
        <f t="shared" si="556"/>
        <v>1.3634814225656176E-3</v>
      </c>
      <c r="AX216" s="245"/>
      <c r="AY216" s="245"/>
      <c r="AZ216" s="196">
        <v>2</v>
      </c>
      <c r="BA216" s="589">
        <f t="shared" si="613"/>
        <v>7.3284232897292148E-5</v>
      </c>
      <c r="BI216" s="196">
        <v>0</v>
      </c>
      <c r="BK216" s="246">
        <f t="shared" si="614"/>
        <v>0</v>
      </c>
      <c r="BL216" s="246"/>
      <c r="BM216" s="246">
        <f t="shared" si="615"/>
        <v>0</v>
      </c>
      <c r="BN216" s="196">
        <v>1</v>
      </c>
      <c r="BO216" s="196">
        <f t="shared" si="581"/>
        <v>11607.617176823189</v>
      </c>
      <c r="BP216" s="196">
        <f t="shared" si="582"/>
        <v>11607.617176823189</v>
      </c>
      <c r="BQ216" s="248">
        <f t="shared" si="616"/>
        <v>1.0858385331438344E-3</v>
      </c>
      <c r="BR216" s="248"/>
      <c r="BS216" s="248"/>
      <c r="BT216" s="276">
        <v>1</v>
      </c>
      <c r="BU216" s="196">
        <f t="shared" si="602"/>
        <v>42200.25821851012</v>
      </c>
      <c r="BV216" s="264">
        <f t="shared" si="617"/>
        <v>2.9270898439419891E-3</v>
      </c>
      <c r="BW216" s="196">
        <f t="shared" si="603"/>
        <v>180523.32682362664</v>
      </c>
      <c r="BX216" s="247">
        <f t="shared" si="618"/>
        <v>2.9270898703093267E-3</v>
      </c>
      <c r="BY216" s="196">
        <f t="shared" si="639"/>
        <v>222723.58504213678</v>
      </c>
      <c r="BZ216" s="620">
        <v>0</v>
      </c>
      <c r="CA216" s="196">
        <f t="shared" si="583"/>
        <v>57963.640821106579</v>
      </c>
      <c r="CB216" s="196">
        <f t="shared" si="584"/>
        <v>115927.28164221316</v>
      </c>
      <c r="CC216" s="196">
        <f t="shared" si="585"/>
        <v>173890.92246331973</v>
      </c>
      <c r="CD216" s="247">
        <f t="shared" si="557"/>
        <v>7.3371820766617967E-4</v>
      </c>
      <c r="CE216" s="196">
        <f t="shared" si="586"/>
        <v>14410.202836821518</v>
      </c>
      <c r="CF216" s="247">
        <f t="shared" si="558"/>
        <v>6.2227737344181379E-4</v>
      </c>
      <c r="CG216" s="196">
        <f t="shared" si="621"/>
        <v>28792.396747739214</v>
      </c>
      <c r="CH216" s="589">
        <f t="shared" si="587"/>
        <v>7.3371820766617967E-4</v>
      </c>
      <c r="CI216" s="196">
        <f t="shared" si="588"/>
        <v>22526.575683503386</v>
      </c>
      <c r="CJ216" s="248">
        <f t="shared" si="589"/>
        <v>3.703368470567865E-4</v>
      </c>
      <c r="CK216" s="196">
        <f t="shared" si="590"/>
        <v>64474.757437304048</v>
      </c>
      <c r="CL216" s="589">
        <f t="shared" si="591"/>
        <v>9.2683790005304806E-4</v>
      </c>
      <c r="CM216" s="196">
        <f t="shared" si="592"/>
        <v>6245.9954669290946</v>
      </c>
      <c r="CN216" s="589">
        <f t="shared" si="593"/>
        <v>9.0011893034335324E-4</v>
      </c>
      <c r="CO216" s="196">
        <f t="shared" si="594"/>
        <v>499.68058745289193</v>
      </c>
      <c r="CP216" s="589">
        <f t="shared" si="595"/>
        <v>9.4232062295695356E-4</v>
      </c>
      <c r="CQ216" s="196">
        <f>'Detailed Budget'!$AC$12</f>
        <v>292876014141.44696</v>
      </c>
      <c r="CR216" s="269">
        <f t="shared" si="604"/>
        <v>0</v>
      </c>
      <c r="CS216" s="269">
        <f>'Detailed Budget'!$AC$16</f>
        <v>10488008800.000002</v>
      </c>
      <c r="CT216" s="607">
        <f t="shared" si="622"/>
        <v>0</v>
      </c>
      <c r="CU216" s="269">
        <f>'Detailed Budget'!$AC$24</f>
        <v>30624985696</v>
      </c>
      <c r="CV216" s="269">
        <f t="shared" si="612"/>
        <v>0</v>
      </c>
      <c r="CW216" s="269"/>
      <c r="CX216" s="269">
        <f t="shared" si="596"/>
        <v>0</v>
      </c>
      <c r="CY216" s="196">
        <f>'Detailed Budget'!$AC$97</f>
        <v>74629165494.837845</v>
      </c>
      <c r="CZ216" s="269">
        <f t="shared" si="623"/>
        <v>81035223.59066318</v>
      </c>
      <c r="DA216" s="269">
        <f>'Detailed Budget'!$AC$100</f>
        <v>14925833098.967569</v>
      </c>
      <c r="DB216" s="269">
        <f t="shared" si="624"/>
        <v>16207044.718132637</v>
      </c>
      <c r="DC216" s="269">
        <f t="shared" si="560"/>
        <v>97242268.30879581</v>
      </c>
      <c r="DD216" s="207">
        <v>0</v>
      </c>
      <c r="DE216" s="606">
        <v>0</v>
      </c>
      <c r="DF216" s="269">
        <f>'Detailed Budget'!$AC$147</f>
        <v>5913600671000</v>
      </c>
      <c r="DG216" s="269">
        <f t="shared" si="607"/>
        <v>0</v>
      </c>
      <c r="DH216" s="269">
        <f>'Detailed Budget'!$AC$153</f>
        <v>226428026880.00003</v>
      </c>
      <c r="DI216" s="269"/>
      <c r="DJ216" s="269">
        <f>'Detailed Budget'!$AC$156</f>
        <v>27713070000</v>
      </c>
      <c r="DK216" s="269"/>
      <c r="DL216" s="269"/>
      <c r="DM216" s="196">
        <f>'Detailed Budget'!$AC$178</f>
        <v>5622683761.6229038</v>
      </c>
      <c r="DN216" s="269">
        <f t="shared" si="597"/>
        <v>16458100.534343941</v>
      </c>
      <c r="DO216" s="196">
        <f>'Detailed Budget'!$AC$179</f>
        <v>26827890683.128094</v>
      </c>
      <c r="DP216" s="269">
        <f t="shared" si="598"/>
        <v>78527647.060350209</v>
      </c>
      <c r="DQ216" s="269">
        <f t="shared" si="625"/>
        <v>94985747.594694152</v>
      </c>
      <c r="DR216" s="269">
        <f>'Detailed Budget'!$AC$181</f>
        <v>50888946855.375237</v>
      </c>
      <c r="DS216" s="269">
        <f t="shared" si="599"/>
        <v>80870710.177900508</v>
      </c>
      <c r="DT216" s="269">
        <f t="shared" si="600"/>
        <v>175856457.77259466</v>
      </c>
      <c r="DU216" s="272">
        <f>'Detailed Budget'!$AC$192</f>
        <v>77498869683.252869</v>
      </c>
      <c r="DV216" s="269">
        <f t="shared" si="626"/>
        <v>0</v>
      </c>
      <c r="DW216" s="140">
        <f>'Detailed Budget'!$AC$194</f>
        <v>2684962805.4134097</v>
      </c>
      <c r="DX216" s="269">
        <f t="shared" si="627"/>
        <v>0</v>
      </c>
      <c r="DY216" s="607">
        <f t="shared" si="561"/>
        <v>0</v>
      </c>
      <c r="DZ216" s="196">
        <f>'Detailed Budget'!$AC$198</f>
        <v>18732540018.380611</v>
      </c>
      <c r="EA216" s="269">
        <f t="shared" si="562"/>
        <v>11656835.800531553</v>
      </c>
      <c r="EB216" s="196">
        <f>'Detailed Budget'!$AC$200</f>
        <v>4683135004.5951529</v>
      </c>
      <c r="EC216" s="269">
        <f t="shared" si="628"/>
        <v>2914208.9501328883</v>
      </c>
      <c r="ED216" s="269">
        <f t="shared" si="563"/>
        <v>14571044.750664441</v>
      </c>
      <c r="EE216" s="196">
        <f>'Detailed Budget'!$AC$161</f>
        <v>251147290106.36197</v>
      </c>
      <c r="EF216" s="269">
        <f t="shared" si="629"/>
        <v>184271339.55705798</v>
      </c>
      <c r="EG216" s="196">
        <f>'Detailed Budget'!$AC$163</f>
        <v>15696705631.647623</v>
      </c>
      <c r="EH216" s="269">
        <f t="shared" si="630"/>
        <v>11516958.722316124</v>
      </c>
      <c r="EI216" s="269">
        <f t="shared" si="564"/>
        <v>195788298.27937409</v>
      </c>
      <c r="EJ216" s="196">
        <f>'Detailed Budget'!$AC$204</f>
        <v>45012172507.531975</v>
      </c>
      <c r="EK216" s="269">
        <f t="shared" si="631"/>
        <v>16669666.045615559</v>
      </c>
      <c r="EL216" s="201">
        <f>'Detailed Budget'!$AC$206</f>
        <v>11253043126.882994</v>
      </c>
      <c r="EM216" s="269">
        <f t="shared" si="632"/>
        <v>4167416.5114038899</v>
      </c>
      <c r="EN216" s="269">
        <f t="shared" si="565"/>
        <v>20837082.55701945</v>
      </c>
      <c r="EO216" s="140">
        <f>'Detailed Budget'!$AC$209</f>
        <v>135789361677.54817</v>
      </c>
      <c r="EP216" s="269">
        <f t="shared" si="633"/>
        <v>125854726.82676259</v>
      </c>
      <c r="EQ216" s="196">
        <f>'Detailed Budget'!$AC$211</f>
        <v>33947340419.387043</v>
      </c>
      <c r="ER216" s="269">
        <f t="shared" si="634"/>
        <v>31463681.706690647</v>
      </c>
      <c r="ES216" s="269">
        <f t="shared" si="566"/>
        <v>157318408.53345323</v>
      </c>
      <c r="ET216" s="196">
        <f>'Detailed Budget'!$AC$214</f>
        <v>22239745544.201103</v>
      </c>
      <c r="EU216" s="269">
        <f t="shared" si="635"/>
        <v>20018415.970354654</v>
      </c>
      <c r="EV216" s="140">
        <f>'Detailed Budget'!$AC$217</f>
        <v>5559936386.0502758</v>
      </c>
      <c r="EW216" s="269">
        <f t="shared" si="636"/>
        <v>5004603.9925886635</v>
      </c>
      <c r="EX216" s="269">
        <f t="shared" si="567"/>
        <v>25023019.962943316</v>
      </c>
      <c r="EY216" s="196">
        <f>'Detailed Budget'!$AC$219</f>
        <v>372777004.58170313</v>
      </c>
      <c r="EZ216" s="269">
        <f t="shared" si="637"/>
        <v>351275.45918145764</v>
      </c>
      <c r="FA216" s="196">
        <f>'Detailed Budget'!$AC$222</f>
        <v>93194251.145425782</v>
      </c>
      <c r="FB216" s="269">
        <f t="shared" si="638"/>
        <v>87818.86479536441</v>
      </c>
      <c r="FC216" s="269">
        <f t="shared" si="568"/>
        <v>439094.32397682208</v>
      </c>
      <c r="FD216" s="269"/>
      <c r="FE216" s="269">
        <f t="shared" si="569"/>
        <v>203617605.3773928</v>
      </c>
      <c r="FF216" s="140">
        <f>'Detailed Budget'!$AC$165</f>
        <v>14927760000</v>
      </c>
      <c r="FG216" s="1087">
        <f t="shared" si="608"/>
        <v>277747891.96868944</v>
      </c>
      <c r="FH216" s="269">
        <f t="shared" si="570"/>
        <v>20353723.440518126</v>
      </c>
      <c r="FJ216" s="140">
        <f>'Detailed Budget'!$AC$235</f>
        <v>3623696172</v>
      </c>
      <c r="FK216" s="269">
        <f t="shared" si="571"/>
        <v>4681778</v>
      </c>
      <c r="FL216" s="269">
        <f t="shared" si="609"/>
        <v>4681778</v>
      </c>
      <c r="FO216" s="607"/>
      <c r="FP216" s="607"/>
      <c r="FQ216" s="607"/>
      <c r="FR216" s="269">
        <f>'Detailed Budget'!$AC$257</f>
        <v>13636439388</v>
      </c>
      <c r="FS216" s="269">
        <f t="shared" si="572"/>
        <v>999336</v>
      </c>
      <c r="FT216" s="269">
        <f t="shared" si="610"/>
        <v>999336</v>
      </c>
      <c r="FU216" s="269"/>
      <c r="FV216" s="269"/>
      <c r="FW216" s="616"/>
      <c r="FX216" s="140">
        <f>'Detailed Budget'!$AC$278</f>
        <v>1114560000</v>
      </c>
      <c r="FY216" s="269">
        <f t="shared" si="573"/>
        <v>1440000</v>
      </c>
      <c r="FZ216" s="269">
        <f t="shared" si="611"/>
        <v>1440000</v>
      </c>
      <c r="GB216" s="269">
        <f t="shared" si="619"/>
        <v>992298403.89802933</v>
      </c>
      <c r="GC216" s="887">
        <f t="shared" si="574"/>
        <v>620186.50243626838</v>
      </c>
      <c r="GD216" s="1078">
        <f t="shared" si="620"/>
        <v>5.5680988101378939E-4</v>
      </c>
    </row>
    <row r="217" spans="1:186" hidden="1" outlineLevel="1">
      <c r="A217" s="211" t="s">
        <v>599</v>
      </c>
      <c r="B217" s="212" t="s">
        <v>600</v>
      </c>
      <c r="C217" s="213" t="s">
        <v>215</v>
      </c>
      <c r="D217" s="225" t="s">
        <v>215</v>
      </c>
      <c r="E217" s="213"/>
      <c r="F217" s="213"/>
      <c r="G217" s="213"/>
      <c r="H217" s="213" t="s">
        <v>215</v>
      </c>
      <c r="I217" s="214" t="s">
        <v>215</v>
      </c>
      <c r="J217" s="214"/>
      <c r="K217" s="213" t="s">
        <v>215</v>
      </c>
      <c r="L217" s="213"/>
      <c r="M217" s="214"/>
      <c r="N217" s="213"/>
      <c r="O217" s="214"/>
      <c r="P217" s="213"/>
      <c r="Q217" s="214"/>
      <c r="R217" s="214" t="s">
        <v>215</v>
      </c>
      <c r="S217" s="214"/>
      <c r="T217" s="214"/>
      <c r="U217" s="215">
        <f t="shared" si="575"/>
        <v>6</v>
      </c>
      <c r="V217" s="845" t="s">
        <v>219</v>
      </c>
      <c r="W217" s="216">
        <v>100989</v>
      </c>
      <c r="X217" s="217">
        <v>3.47</v>
      </c>
      <c r="Y217" s="218">
        <f t="shared" si="640"/>
        <v>1.0347</v>
      </c>
      <c r="Z217" s="196">
        <v>19</v>
      </c>
      <c r="AA217" s="218">
        <f t="shared" si="641"/>
        <v>1.9119412036868784</v>
      </c>
      <c r="AB217" s="196">
        <f t="shared" si="642"/>
        <v>193085.03021913415</v>
      </c>
      <c r="AC217">
        <v>19.100000000000001</v>
      </c>
      <c r="AD217" s="196">
        <f t="shared" si="643"/>
        <v>36879.240771854624</v>
      </c>
      <c r="AE217" s="196">
        <f t="shared" si="644"/>
        <v>35035.27873326189</v>
      </c>
      <c r="AF217" s="196">
        <f t="shared" si="576"/>
        <v>35035.27873326189</v>
      </c>
      <c r="AG217" s="606">
        <f t="shared" si="577"/>
        <v>1.6198774808704505E-3</v>
      </c>
      <c r="AH217" s="196">
        <f t="shared" si="601"/>
        <v>9654.2515109567084</v>
      </c>
      <c r="AI217" s="248">
        <f t="shared" si="552"/>
        <v>7.4790023693400715E-4</v>
      </c>
      <c r="AJ217" s="196">
        <f t="shared" si="578"/>
        <v>46533.492282811334</v>
      </c>
      <c r="AK217" s="196">
        <f t="shared" si="605"/>
        <v>7723.4012087653664</v>
      </c>
      <c r="AL217" s="196">
        <f t="shared" si="606"/>
        <v>7723.4012087653664</v>
      </c>
      <c r="AM217" s="196">
        <f t="shared" si="553"/>
        <v>15446.802417530733</v>
      </c>
      <c r="AN217" s="627">
        <f t="shared" si="554"/>
        <v>7.4790023693400715E-4</v>
      </c>
      <c r="AO217" s="196">
        <f t="shared" si="555"/>
        <v>7337.2311483270978</v>
      </c>
      <c r="AP217" s="589">
        <f t="shared" si="579"/>
        <v>7.4790023693400715E-4</v>
      </c>
      <c r="AQ217" s="196"/>
      <c r="AR217" s="589"/>
      <c r="AS217">
        <v>1</v>
      </c>
      <c r="AT217" s="589">
        <f t="shared" si="580"/>
        <v>1.2919896640826874E-3</v>
      </c>
      <c r="AU217" s="196">
        <v>11</v>
      </c>
      <c r="AV217" s="245">
        <f t="shared" si="556"/>
        <v>1.2498579706851495E-3</v>
      </c>
      <c r="AX217" s="245"/>
      <c r="AY217" s="245"/>
      <c r="AZ217" s="196">
        <v>34</v>
      </c>
      <c r="BA217" s="589">
        <f t="shared" si="613"/>
        <v>1.2458319592539666E-3</v>
      </c>
      <c r="BI217" s="196">
        <v>0</v>
      </c>
      <c r="BK217" s="246">
        <f t="shared" si="614"/>
        <v>0</v>
      </c>
      <c r="BL217" s="246"/>
      <c r="BM217" s="246">
        <f t="shared" si="615"/>
        <v>0</v>
      </c>
      <c r="BN217" s="196">
        <v>1</v>
      </c>
      <c r="BO217" s="196">
        <f t="shared" si="581"/>
        <v>11831.980651535187</v>
      </c>
      <c r="BP217" s="196">
        <f t="shared" si="582"/>
        <v>11831.980651535187</v>
      </c>
      <c r="BQ217" s="248">
        <f t="shared" si="616"/>
        <v>1.1068266913989815E-3</v>
      </c>
      <c r="BR217" s="248"/>
      <c r="BS217" s="248"/>
      <c r="BT217" s="276">
        <v>1</v>
      </c>
      <c r="BU217" s="196">
        <f t="shared" si="602"/>
        <v>43015.946436291233</v>
      </c>
      <c r="BV217" s="264">
        <f t="shared" si="617"/>
        <v>2.9836675237686727E-3</v>
      </c>
      <c r="BW217" s="196">
        <f t="shared" si="603"/>
        <v>184012.65975524584</v>
      </c>
      <c r="BX217" s="247">
        <f t="shared" si="618"/>
        <v>2.9836675506456642E-3</v>
      </c>
      <c r="BY217" s="196">
        <f t="shared" si="639"/>
        <v>227028.60619153708</v>
      </c>
      <c r="BZ217" s="620">
        <v>0</v>
      </c>
      <c r="CA217" s="196">
        <f t="shared" si="583"/>
        <v>59084.019247055054</v>
      </c>
      <c r="CB217" s="196">
        <f t="shared" si="584"/>
        <v>118168.03849411011</v>
      </c>
      <c r="CC217" s="196">
        <f t="shared" si="585"/>
        <v>177252.05774116516</v>
      </c>
      <c r="CD217" s="247">
        <f t="shared" si="557"/>
        <v>7.4790023693400715E-4</v>
      </c>
      <c r="CE217" s="196">
        <f t="shared" si="586"/>
        <v>14688.737451680243</v>
      </c>
      <c r="CF217" s="247">
        <f t="shared" si="558"/>
        <v>6.343053643389319E-4</v>
      </c>
      <c r="CG217" s="196">
        <f t="shared" si="621"/>
        <v>29348.924593308391</v>
      </c>
      <c r="CH217" s="589">
        <f t="shared" si="587"/>
        <v>7.4790023693400715E-4</v>
      </c>
      <c r="CI217" s="196">
        <f t="shared" si="588"/>
        <v>22961.991558848164</v>
      </c>
      <c r="CJ217" s="248">
        <f t="shared" si="589"/>
        <v>3.7749508294222301E-4</v>
      </c>
      <c r="CK217" s="196">
        <f t="shared" si="590"/>
        <v>65720.989147868226</v>
      </c>
      <c r="CL217" s="589">
        <f t="shared" si="591"/>
        <v>9.4475273723133456E-4</v>
      </c>
      <c r="CM217" s="196">
        <f t="shared" si="592"/>
        <v>6366.7242284524928</v>
      </c>
      <c r="CN217" s="589">
        <f t="shared" si="593"/>
        <v>9.1751731691911993E-4</v>
      </c>
      <c r="CO217" s="196">
        <f t="shared" si="594"/>
        <v>509.33890673920598</v>
      </c>
      <c r="CP217" s="589">
        <f t="shared" si="595"/>
        <v>9.6053472547590448E-4</v>
      </c>
      <c r="CQ217" s="196">
        <f>'Detailed Budget'!$AC$12</f>
        <v>292876014141.44696</v>
      </c>
      <c r="CR217" s="269">
        <f t="shared" si="604"/>
        <v>0</v>
      </c>
      <c r="CS217" s="269">
        <f>'Detailed Budget'!$AC$16</f>
        <v>10488008800.000002</v>
      </c>
      <c r="CT217" s="607">
        <f t="shared" si="622"/>
        <v>0</v>
      </c>
      <c r="CU217" s="269">
        <f>'Detailed Budget'!$AC$24</f>
        <v>30624985696</v>
      </c>
      <c r="CV217" s="269">
        <f t="shared" si="612"/>
        <v>0</v>
      </c>
      <c r="CW217" s="269"/>
      <c r="CX217" s="269">
        <f t="shared" si="596"/>
        <v>0</v>
      </c>
      <c r="CY217" s="196">
        <f>'Detailed Budget'!$AC$97</f>
        <v>74629165494.837845</v>
      </c>
      <c r="CZ217" s="269">
        <f t="shared" si="623"/>
        <v>82601552.326518402</v>
      </c>
      <c r="DA217" s="269">
        <f>'Detailed Budget'!$AC$100</f>
        <v>14925833098.967569</v>
      </c>
      <c r="DB217" s="269">
        <f t="shared" si="624"/>
        <v>16520310.465303682</v>
      </c>
      <c r="DC217" s="269">
        <f t="shared" si="560"/>
        <v>99121862.791822076</v>
      </c>
      <c r="DD217" s="207">
        <v>0</v>
      </c>
      <c r="DE217" s="606">
        <v>0</v>
      </c>
      <c r="DF217" s="269">
        <f>'Detailed Budget'!$AC$147</f>
        <v>5913600671000</v>
      </c>
      <c r="DG217" s="269">
        <f t="shared" si="607"/>
        <v>0</v>
      </c>
      <c r="DH217" s="269">
        <f>'Detailed Budget'!$AC$153</f>
        <v>226428026880.00003</v>
      </c>
      <c r="DI217" s="269"/>
      <c r="DJ217" s="269">
        <f>'Detailed Budget'!$AC$156</f>
        <v>27713070000</v>
      </c>
      <c r="DK217" s="269"/>
      <c r="DL217" s="269"/>
      <c r="DM217" s="196">
        <f>'Detailed Budget'!$AC$178</f>
        <v>5622683761.6229038</v>
      </c>
      <c r="DN217" s="269">
        <f t="shared" si="597"/>
        <v>16776218.935975736</v>
      </c>
      <c r="DO217" s="196">
        <f>'Detailed Budget'!$AC$179</f>
        <v>26827890683.128094</v>
      </c>
      <c r="DP217" s="269">
        <f t="shared" si="598"/>
        <v>80045506.883518428</v>
      </c>
      <c r="DQ217" s="269">
        <f t="shared" si="625"/>
        <v>96821725.819494158</v>
      </c>
      <c r="DR217" s="269">
        <f>'Detailed Budget'!$AC$181</f>
        <v>50888946855.375237</v>
      </c>
      <c r="DS217" s="269">
        <f t="shared" si="599"/>
        <v>82433859.036235467</v>
      </c>
      <c r="DT217" s="269">
        <f t="shared" si="600"/>
        <v>179255584.85572964</v>
      </c>
      <c r="DU217" s="272">
        <f>'Detailed Budget'!$AC$192</f>
        <v>77498869683.252869</v>
      </c>
      <c r="DV217" s="269">
        <f t="shared" si="626"/>
        <v>0</v>
      </c>
      <c r="DW217" s="140">
        <f>'Detailed Budget'!$AC$194</f>
        <v>2684962805.4134097</v>
      </c>
      <c r="DX217" s="269">
        <f t="shared" si="627"/>
        <v>0</v>
      </c>
      <c r="DY217" s="607">
        <f t="shared" si="561"/>
        <v>0</v>
      </c>
      <c r="DZ217" s="196">
        <f>'Detailed Budget'!$AC$198</f>
        <v>18732540018.380611</v>
      </c>
      <c r="EA217" s="269">
        <f t="shared" si="562"/>
        <v>11882150.621352537</v>
      </c>
      <c r="EB217" s="196">
        <f>'Detailed Budget'!$AC$200</f>
        <v>4683135004.5951529</v>
      </c>
      <c r="EC217" s="269">
        <f t="shared" si="628"/>
        <v>2970537.6553381342</v>
      </c>
      <c r="ED217" s="269">
        <f t="shared" si="563"/>
        <v>14852688.276690671</v>
      </c>
      <c r="EE217" s="196">
        <f>'Detailed Budget'!$AC$161</f>
        <v>251147290106.36197</v>
      </c>
      <c r="EF217" s="269">
        <f t="shared" si="629"/>
        <v>187833117.77588195</v>
      </c>
      <c r="EG217" s="196">
        <f>'Detailed Budget'!$AC$163</f>
        <v>15696705631.647623</v>
      </c>
      <c r="EH217" s="269">
        <f t="shared" si="630"/>
        <v>11739569.860992622</v>
      </c>
      <c r="EI217" s="269">
        <f t="shared" si="564"/>
        <v>199572687.63687456</v>
      </c>
      <c r="EJ217" s="196">
        <f>'Detailed Budget'!$AC$204</f>
        <v>45012172507.531975</v>
      </c>
      <c r="EK217" s="269">
        <f t="shared" si="631"/>
        <v>16991873.794140432</v>
      </c>
      <c r="EL217" s="201">
        <f>'Detailed Budget'!$AC$206</f>
        <v>11253043126.882994</v>
      </c>
      <c r="EM217" s="269">
        <f t="shared" si="632"/>
        <v>4247968.448535108</v>
      </c>
      <c r="EN217" s="269">
        <f t="shared" si="565"/>
        <v>21239842.242675539</v>
      </c>
      <c r="EO217" s="140">
        <f>'Detailed Budget'!$AC$209</f>
        <v>135789361677.54817</v>
      </c>
      <c r="EP217" s="269">
        <f t="shared" si="633"/>
        <v>128287371.13175932</v>
      </c>
      <c r="EQ217" s="196">
        <f>'Detailed Budget'!$AC$211</f>
        <v>33947340419.387043</v>
      </c>
      <c r="ER217" s="269">
        <f t="shared" si="634"/>
        <v>32071842.782939829</v>
      </c>
      <c r="ES217" s="269">
        <f t="shared" si="566"/>
        <v>160359213.91469914</v>
      </c>
      <c r="ET217" s="196">
        <f>'Detailed Budget'!$AC$214</f>
        <v>22239745544.201103</v>
      </c>
      <c r="EU217" s="269">
        <f t="shared" si="635"/>
        <v>20405351.660679348</v>
      </c>
      <c r="EV217" s="140">
        <f>'Detailed Budget'!$AC$217</f>
        <v>5559936386.0502758</v>
      </c>
      <c r="EW217" s="269">
        <f t="shared" si="636"/>
        <v>5101337.915169837</v>
      </c>
      <c r="EX217" s="269">
        <f t="shared" si="567"/>
        <v>25506689.575849183</v>
      </c>
      <c r="EY217" s="196">
        <f>'Detailed Budget'!$AC$219</f>
        <v>372777004.58170313</v>
      </c>
      <c r="EZ217" s="269">
        <f t="shared" si="637"/>
        <v>358065.25775961619</v>
      </c>
      <c r="FA217" s="196">
        <f>'Detailed Budget'!$AC$222</f>
        <v>93194251.145425782</v>
      </c>
      <c r="FB217" s="269">
        <f t="shared" si="638"/>
        <v>89516.314439904047</v>
      </c>
      <c r="FC217" s="269">
        <f t="shared" si="568"/>
        <v>447581.57219952025</v>
      </c>
      <c r="FD217" s="269"/>
      <c r="FE217" s="269">
        <f t="shared" si="569"/>
        <v>207553327.30542338</v>
      </c>
      <c r="FF217" s="140">
        <f>'Detailed Budget'!$AC$165</f>
        <v>14927760000</v>
      </c>
      <c r="FG217" s="1087">
        <f t="shared" si="608"/>
        <v>283116477.19912362</v>
      </c>
      <c r="FH217" s="269">
        <f t="shared" si="570"/>
        <v>18657579.820474949</v>
      </c>
      <c r="FJ217" s="140">
        <f>'Detailed Budget'!$AC$235</f>
        <v>3623696172</v>
      </c>
      <c r="FK217" s="269">
        <f t="shared" si="571"/>
        <v>4681778</v>
      </c>
      <c r="FL217" s="269">
        <f t="shared" si="609"/>
        <v>4681778</v>
      </c>
      <c r="FO217" s="607"/>
      <c r="FP217" s="607"/>
      <c r="FQ217" s="607"/>
      <c r="FR217" s="269">
        <f>'Detailed Budget'!$AC$257</f>
        <v>13636439388</v>
      </c>
      <c r="FS217" s="269">
        <f t="shared" si="572"/>
        <v>16988712</v>
      </c>
      <c r="FT217" s="269">
        <f t="shared" si="610"/>
        <v>16988712</v>
      </c>
      <c r="FU217" s="269"/>
      <c r="FV217" s="269"/>
      <c r="FW217" s="616"/>
      <c r="FX217" s="140">
        <f>'Detailed Budget'!$AC$278</f>
        <v>1114560000</v>
      </c>
      <c r="FY217" s="269">
        <f t="shared" si="573"/>
        <v>1440000</v>
      </c>
      <c r="FZ217" s="269">
        <f t="shared" si="611"/>
        <v>1440000</v>
      </c>
      <c r="GB217" s="269">
        <f t="shared" si="619"/>
        <v>1025240697.8861389</v>
      </c>
      <c r="GC217" s="887">
        <f t="shared" si="574"/>
        <v>640775.43617883686</v>
      </c>
      <c r="GD217" s="1078">
        <f t="shared" si="620"/>
        <v>5.7529483949380483E-4</v>
      </c>
    </row>
    <row r="218" spans="1:186" hidden="1" outlineLevel="1">
      <c r="A218" s="211"/>
      <c r="B218" s="212"/>
      <c r="C218" s="213"/>
      <c r="D218" s="225"/>
      <c r="E218" s="213"/>
      <c r="F218" s="213"/>
      <c r="G218" s="213"/>
      <c r="H218" s="213"/>
      <c r="I218" s="214"/>
      <c r="J218" s="214"/>
      <c r="K218" s="213"/>
      <c r="L218" s="213"/>
      <c r="M218" s="214"/>
      <c r="N218" s="213"/>
      <c r="O218" s="214"/>
      <c r="P218" s="213"/>
      <c r="Q218" s="214"/>
      <c r="R218" s="214"/>
      <c r="S218" s="214"/>
      <c r="T218" s="214"/>
      <c r="U218" s="215"/>
      <c r="V218" s="845"/>
      <c r="W218" s="216"/>
      <c r="X218" s="217"/>
      <c r="Y218" s="218"/>
      <c r="Z218" s="196"/>
      <c r="AA218" s="218"/>
      <c r="AF218" s="196">
        <f t="shared" si="576"/>
        <v>0</v>
      </c>
      <c r="AG218" s="606">
        <f t="shared" si="577"/>
        <v>0</v>
      </c>
      <c r="AJ218" s="196"/>
      <c r="AK218" s="196"/>
      <c r="AL218" s="196"/>
      <c r="AM218" s="196"/>
      <c r="AO218" s="196"/>
      <c r="AP218" s="589">
        <f t="shared" si="579"/>
        <v>0</v>
      </c>
      <c r="AQ218" s="196"/>
      <c r="AR218" s="589"/>
      <c r="AS218"/>
      <c r="AT218" s="589">
        <f t="shared" si="580"/>
        <v>0</v>
      </c>
      <c r="AV218" s="245">
        <f t="shared" si="556"/>
        <v>0</v>
      </c>
      <c r="AX218" s="245"/>
      <c r="AY218" s="245"/>
      <c r="BA218" s="589">
        <f t="shared" si="613"/>
        <v>0</v>
      </c>
      <c r="BK218" s="246">
        <f t="shared" si="614"/>
        <v>0</v>
      </c>
      <c r="BL218" s="246"/>
      <c r="BM218" s="246">
        <f t="shared" si="615"/>
        <v>0</v>
      </c>
      <c r="BN218" s="196"/>
      <c r="BQ218" s="248">
        <f t="shared" si="616"/>
        <v>0</v>
      </c>
      <c r="BR218" s="248"/>
      <c r="BS218" s="248"/>
      <c r="BT218" s="276"/>
      <c r="BV218" s="264">
        <f t="shared" si="617"/>
        <v>0</v>
      </c>
      <c r="BX218" s="247">
        <f t="shared" si="618"/>
        <v>0</v>
      </c>
      <c r="BY218" s="196"/>
      <c r="BZ218" s="620"/>
      <c r="CA218" s="196">
        <f t="shared" si="583"/>
        <v>0</v>
      </c>
      <c r="CB218" s="196">
        <f t="shared" si="584"/>
        <v>0</v>
      </c>
      <c r="CC218" s="196">
        <f t="shared" si="585"/>
        <v>0</v>
      </c>
      <c r="CD218" s="247">
        <f t="shared" si="557"/>
        <v>0</v>
      </c>
      <c r="CF218" s="247">
        <f t="shared" si="558"/>
        <v>0</v>
      </c>
      <c r="CG218" s="196">
        <f t="shared" si="621"/>
        <v>0</v>
      </c>
      <c r="CH218" s="589">
        <f t="shared" si="587"/>
        <v>0</v>
      </c>
      <c r="CI218" s="196"/>
      <c r="CJ218" s="248">
        <f t="shared" si="589"/>
        <v>0</v>
      </c>
      <c r="CK218" s="196"/>
      <c r="CL218" s="589">
        <f t="shared" si="591"/>
        <v>0</v>
      </c>
      <c r="CM218" s="196"/>
      <c r="CN218" s="589">
        <f t="shared" si="593"/>
        <v>0</v>
      </c>
      <c r="CO218" s="196"/>
      <c r="CP218" s="589">
        <f t="shared" si="595"/>
        <v>0</v>
      </c>
      <c r="CQ218" s="196"/>
      <c r="CR218" s="269">
        <f t="shared" si="604"/>
        <v>0</v>
      </c>
      <c r="CS218" s="269">
        <f>'Detailed Budget'!$AC$16</f>
        <v>10488008800.000002</v>
      </c>
      <c r="CT218" s="607">
        <f t="shared" si="622"/>
        <v>0</v>
      </c>
      <c r="CU218" s="269">
        <f>'Detailed Budget'!$AC$24</f>
        <v>30624985696</v>
      </c>
      <c r="CV218" s="269">
        <f t="shared" si="612"/>
        <v>0</v>
      </c>
      <c r="CW218" s="269"/>
      <c r="CX218" s="269">
        <f t="shared" si="596"/>
        <v>0</v>
      </c>
      <c r="CY218" s="196">
        <f>'Detailed Budget'!$AC$97</f>
        <v>74629165494.837845</v>
      </c>
      <c r="CZ218" s="269">
        <f t="shared" si="623"/>
        <v>0</v>
      </c>
      <c r="DA218" s="269">
        <f>'Detailed Budget'!$AC$100</f>
        <v>14925833098.967569</v>
      </c>
      <c r="DB218" s="269">
        <f t="shared" si="624"/>
        <v>0</v>
      </c>
      <c r="DC218" s="269"/>
      <c r="DD218" s="207"/>
      <c r="DE218" s="606">
        <v>0</v>
      </c>
      <c r="DF218" s="269">
        <f>'Detailed Budget'!$AC$147</f>
        <v>5913600671000</v>
      </c>
      <c r="DG218" s="269">
        <f t="shared" si="607"/>
        <v>0</v>
      </c>
      <c r="DH218" s="269">
        <f>'Detailed Budget'!$AC$153</f>
        <v>226428026880.00003</v>
      </c>
      <c r="DI218" s="269"/>
      <c r="DJ218" s="269">
        <f>'Detailed Budget'!$AC$156</f>
        <v>27713070000</v>
      </c>
      <c r="DK218" s="269"/>
      <c r="DL218" s="269"/>
      <c r="DM218" s="196"/>
      <c r="DN218" s="269"/>
      <c r="DO218" s="196"/>
      <c r="DP218" s="269"/>
      <c r="DQ218" s="269"/>
      <c r="DR218" s="269"/>
      <c r="DS218" s="269"/>
      <c r="DT218" s="269"/>
      <c r="DU218" s="272">
        <f>'Detailed Budget'!$AC$192</f>
        <v>77498869683.252869</v>
      </c>
      <c r="DV218" s="269">
        <f t="shared" si="626"/>
        <v>0</v>
      </c>
      <c r="DW218" s="140">
        <f>'Detailed Budget'!$AC$194</f>
        <v>2684962805.4134097</v>
      </c>
      <c r="DX218" s="269">
        <f t="shared" si="627"/>
        <v>0</v>
      </c>
      <c r="DY218" s="607">
        <f t="shared" si="561"/>
        <v>0</v>
      </c>
      <c r="DZ218" s="196"/>
      <c r="EA218" s="269"/>
      <c r="EB218" s="196">
        <f>'Detailed Budget'!$AC$200</f>
        <v>4683135004.5951529</v>
      </c>
      <c r="EC218" s="269">
        <f t="shared" si="628"/>
        <v>0</v>
      </c>
      <c r="ED218" s="269">
        <f t="shared" si="563"/>
        <v>0</v>
      </c>
      <c r="EE218" s="196">
        <f>'Detailed Budget'!$AC$161</f>
        <v>251147290106.36197</v>
      </c>
      <c r="EF218" s="269">
        <f t="shared" si="629"/>
        <v>0</v>
      </c>
      <c r="EG218" s="196">
        <f>'Detailed Budget'!$AC$163</f>
        <v>15696705631.647623</v>
      </c>
      <c r="EH218" s="269">
        <f t="shared" si="630"/>
        <v>0</v>
      </c>
      <c r="EI218" s="269">
        <f t="shared" si="564"/>
        <v>0</v>
      </c>
      <c r="EJ218" s="196">
        <f>'Detailed Budget'!$AC$204</f>
        <v>45012172507.531975</v>
      </c>
      <c r="EK218" s="269">
        <f t="shared" si="631"/>
        <v>0</v>
      </c>
      <c r="EL218" s="201">
        <f>'Detailed Budget'!$AC$206</f>
        <v>11253043126.882994</v>
      </c>
      <c r="EM218" s="269">
        <f t="shared" si="632"/>
        <v>0</v>
      </c>
      <c r="EN218" s="269">
        <f t="shared" si="565"/>
        <v>0</v>
      </c>
      <c r="EO218" s="140">
        <f>'Detailed Budget'!$AC$209</f>
        <v>135789361677.54817</v>
      </c>
      <c r="EP218" s="269">
        <f t="shared" si="633"/>
        <v>0</v>
      </c>
      <c r="EQ218" s="196">
        <f>'Detailed Budget'!$AC$211</f>
        <v>33947340419.387043</v>
      </c>
      <c r="ER218" s="269">
        <f t="shared" si="634"/>
        <v>0</v>
      </c>
      <c r="ES218" s="269">
        <f t="shared" si="566"/>
        <v>0</v>
      </c>
      <c r="ET218" s="196">
        <f>'Detailed Budget'!$AC$214</f>
        <v>22239745544.201103</v>
      </c>
      <c r="EU218" s="269">
        <f t="shared" si="635"/>
        <v>0</v>
      </c>
      <c r="EV218" s="140">
        <f>'Detailed Budget'!$AC$217</f>
        <v>5559936386.0502758</v>
      </c>
      <c r="EW218" s="269">
        <f t="shared" si="636"/>
        <v>0</v>
      </c>
      <c r="EX218" s="269">
        <f t="shared" si="567"/>
        <v>0</v>
      </c>
      <c r="EY218" s="196">
        <f>'Detailed Budget'!$AC$219</f>
        <v>372777004.58170313</v>
      </c>
      <c r="EZ218" s="269">
        <f t="shared" si="637"/>
        <v>0</v>
      </c>
      <c r="FA218" s="196">
        <f>'Detailed Budget'!$AC$222</f>
        <v>93194251.145425782</v>
      </c>
      <c r="FB218" s="269">
        <f t="shared" si="638"/>
        <v>0</v>
      </c>
      <c r="FC218" s="269">
        <f t="shared" si="568"/>
        <v>0</v>
      </c>
      <c r="FD218" s="269"/>
      <c r="FE218" s="269"/>
      <c r="FF218" s="140"/>
      <c r="FG218" s="1087">
        <f t="shared" si="608"/>
        <v>0</v>
      </c>
      <c r="FJ218" s="140"/>
      <c r="FL218" s="269">
        <f t="shared" si="609"/>
        <v>0</v>
      </c>
      <c r="FO218" s="607"/>
      <c r="FP218" s="607"/>
      <c r="FQ218" s="607"/>
      <c r="FT218" s="269">
        <f t="shared" si="610"/>
        <v>0</v>
      </c>
      <c r="FU218" s="269"/>
      <c r="FV218" s="269"/>
      <c r="FW218" s="616"/>
      <c r="FX218" s="140">
        <f>'Detailed Budget'!$AC$278</f>
        <v>1114560000</v>
      </c>
      <c r="FY218" s="269"/>
      <c r="FZ218" s="269"/>
      <c r="GB218" s="269">
        <f t="shared" si="619"/>
        <v>0</v>
      </c>
      <c r="GD218" s="1078">
        <f t="shared" si="620"/>
        <v>0</v>
      </c>
    </row>
    <row r="219" spans="1:186" s="210" customFormat="1" collapsed="1">
      <c r="A219" s="203">
        <v>2.4</v>
      </c>
      <c r="B219" s="204" t="s">
        <v>601</v>
      </c>
      <c r="C219" s="205">
        <f t="shared" ref="C219:T219" si="645">COUNTA(C220:C230)</f>
        <v>11</v>
      </c>
      <c r="D219" s="205">
        <f t="shared" si="645"/>
        <v>11</v>
      </c>
      <c r="E219" s="205">
        <f t="shared" si="645"/>
        <v>0</v>
      </c>
      <c r="F219" s="205">
        <f t="shared" si="645"/>
        <v>0</v>
      </c>
      <c r="G219" s="205">
        <f t="shared" si="645"/>
        <v>0</v>
      </c>
      <c r="H219" s="205">
        <f t="shared" si="645"/>
        <v>11</v>
      </c>
      <c r="I219" s="205">
        <f t="shared" si="645"/>
        <v>11</v>
      </c>
      <c r="J219" s="205">
        <f t="shared" si="645"/>
        <v>0</v>
      </c>
      <c r="K219" s="205">
        <f t="shared" si="645"/>
        <v>11</v>
      </c>
      <c r="L219" s="205">
        <f t="shared" si="645"/>
        <v>0</v>
      </c>
      <c r="M219" s="205">
        <f t="shared" si="645"/>
        <v>0</v>
      </c>
      <c r="N219" s="205">
        <f t="shared" si="645"/>
        <v>0</v>
      </c>
      <c r="O219" s="205">
        <f t="shared" si="645"/>
        <v>0</v>
      </c>
      <c r="P219" s="205">
        <f t="shared" si="645"/>
        <v>0</v>
      </c>
      <c r="Q219" s="205">
        <f t="shared" si="645"/>
        <v>0</v>
      </c>
      <c r="R219" s="205">
        <f t="shared" si="645"/>
        <v>11</v>
      </c>
      <c r="S219" s="205">
        <f t="shared" si="645"/>
        <v>0</v>
      </c>
      <c r="T219" s="205">
        <f t="shared" si="645"/>
        <v>0</v>
      </c>
      <c r="U219" s="206">
        <f>SUM(C219:T219)</f>
        <v>66</v>
      </c>
      <c r="V219" s="844"/>
      <c r="W219" s="207">
        <f>SUM(W220:W230)</f>
        <v>2365040</v>
      </c>
      <c r="X219" s="208">
        <v>3.23</v>
      </c>
      <c r="Y219" s="209">
        <f t="shared" si="640"/>
        <v>1.0323</v>
      </c>
      <c r="Z219" s="207">
        <v>19</v>
      </c>
      <c r="AA219" s="209">
        <f t="shared" si="641"/>
        <v>1.8294166166228893</v>
      </c>
      <c r="AB219" s="207">
        <f t="shared" si="642"/>
        <v>4326643.4749777978</v>
      </c>
      <c r="AC219" s="210">
        <v>19.5</v>
      </c>
      <c r="AD219" s="207">
        <f t="shared" si="643"/>
        <v>843695.47762067069</v>
      </c>
      <c r="AE219" s="207">
        <f t="shared" si="644"/>
        <v>801510.70373963716</v>
      </c>
      <c r="AF219" s="207">
        <f>SUM(AF220:AF230)</f>
        <v>801510.70373963704</v>
      </c>
      <c r="AG219" s="588">
        <f t="shared" si="577"/>
        <v>3.7058336243000548E-2</v>
      </c>
      <c r="AH219" s="207">
        <f>SUM(AH220:AH230)</f>
        <v>216332.17374888991</v>
      </c>
      <c r="AI219" s="633">
        <f t="shared" si="552"/>
        <v>1.6758925725067438E-2</v>
      </c>
      <c r="AJ219" s="207">
        <f>SUM(AJ220:AJ230)</f>
        <v>1060027.6513695605</v>
      </c>
      <c r="AK219" s="207">
        <f t="shared" si="605"/>
        <v>173065.73899911193</v>
      </c>
      <c r="AL219" s="207">
        <f t="shared" si="606"/>
        <v>173065.73899911193</v>
      </c>
      <c r="AM219" s="207">
        <f t="shared" si="553"/>
        <v>346131.47799822385</v>
      </c>
      <c r="AN219" s="632">
        <f t="shared" si="554"/>
        <v>1.6758925725067438E-2</v>
      </c>
      <c r="AO219" s="207">
        <f t="shared" si="555"/>
        <v>164412.4520491563</v>
      </c>
      <c r="AP219" s="588">
        <f t="shared" si="579"/>
        <v>1.6758925725067438E-2</v>
      </c>
      <c r="AQ219" s="207">
        <v>1</v>
      </c>
      <c r="AR219" s="588">
        <f>AQ219/37</f>
        <v>2.7027027027027029E-2</v>
      </c>
      <c r="AS219" s="207">
        <f>SUM(AS220:AS230)</f>
        <v>11</v>
      </c>
      <c r="AT219" s="588">
        <f t="shared" si="580"/>
        <v>1.4211886304909561E-2</v>
      </c>
      <c r="AU219" s="207">
        <f>SUM(AU220:AU230)</f>
        <v>114</v>
      </c>
      <c r="AV219" s="892">
        <f t="shared" si="556"/>
        <v>1.2953073514373368E-2</v>
      </c>
      <c r="AW219" s="207">
        <v>18768</v>
      </c>
      <c r="AX219" s="208">
        <f>AW219*0.002</f>
        <v>37.536000000000001</v>
      </c>
      <c r="AY219" s="207">
        <f>AX219*100</f>
        <v>3753.6000000000004</v>
      </c>
      <c r="AZ219" s="207">
        <f>SUM(AZ220:AZ230)</f>
        <v>598</v>
      </c>
      <c r="BA219" s="588">
        <f t="shared" si="613"/>
        <v>2.1911985636290352E-2</v>
      </c>
      <c r="BB219" s="207">
        <v>28</v>
      </c>
      <c r="BC219" s="207">
        <v>1</v>
      </c>
      <c r="BD219" s="207">
        <f>BB219+BC219</f>
        <v>29</v>
      </c>
      <c r="BE219" s="633">
        <f>BD219/1306</f>
        <v>2.22052067381317E-2</v>
      </c>
      <c r="BF219" s="207">
        <f>AZ219+BD219</f>
        <v>627</v>
      </c>
      <c r="BG219" s="588">
        <f>BF219/28597</f>
        <v>2.1925376787774942E-2</v>
      </c>
      <c r="BH219" s="1084">
        <v>52</v>
      </c>
      <c r="BI219" s="207"/>
      <c r="BJ219" s="207"/>
      <c r="BK219" s="892">
        <f t="shared" si="614"/>
        <v>0</v>
      </c>
      <c r="BL219" s="892"/>
      <c r="BM219" s="892">
        <f t="shared" si="615"/>
        <v>0</v>
      </c>
      <c r="BN219" s="207"/>
      <c r="BO219" s="207">
        <v>261486</v>
      </c>
      <c r="BP219" s="207">
        <f>SUM(BP220:BP230)</f>
        <v>261485.91400040462</v>
      </c>
      <c r="BQ219" s="633">
        <f t="shared" si="616"/>
        <v>2.446078958073301E-2</v>
      </c>
      <c r="BR219" s="207">
        <f>AY219*0.5*24</f>
        <v>45043.200000000004</v>
      </c>
      <c r="BS219" s="633">
        <f>BR219/2211211</f>
        <v>2.0370376232752101E-2</v>
      </c>
      <c r="BT219" s="634"/>
      <c r="BU219" s="207">
        <f>SUM(BU220:BU230)</f>
        <v>668206.81827557122</v>
      </c>
      <c r="BV219" s="264">
        <f t="shared" si="617"/>
        <v>4.6348090604083222E-2</v>
      </c>
      <c r="BW219" s="207">
        <f>SUM(BW220:BW230)</f>
        <v>2858440.2781788325</v>
      </c>
      <c r="BX219" s="247">
        <f t="shared" si="618"/>
        <v>4.63480910215886E-2</v>
      </c>
      <c r="BY219" s="207">
        <f>SUM(BY220:BY230)</f>
        <v>3526647.0964544034</v>
      </c>
      <c r="CA219" s="207">
        <f>SUM(CA220:CA230)</f>
        <v>1323952.9033432065</v>
      </c>
      <c r="CB219" s="207">
        <f>SUM(CB220:CB230)</f>
        <v>2647905.806686413</v>
      </c>
      <c r="CC219" s="207">
        <f>SUM(CC220:CC230)</f>
        <v>3971858.7100296183</v>
      </c>
      <c r="CD219" s="633">
        <f t="shared" si="557"/>
        <v>1.6758925725067438E-2</v>
      </c>
      <c r="CE219" s="207">
        <v>353027</v>
      </c>
      <c r="CF219" s="633">
        <f t="shared" si="558"/>
        <v>1.5244803754788682E-2</v>
      </c>
      <c r="CG219" s="207">
        <f t="shared" si="621"/>
        <v>657649.80819662521</v>
      </c>
      <c r="CH219" s="588">
        <f t="shared" si="587"/>
        <v>1.6758925725067438E-2</v>
      </c>
      <c r="CI219" s="207">
        <f t="shared" ref="CI219:CO219" si="646">SUM(CI220:CI230)</f>
        <v>1576737.8926000316</v>
      </c>
      <c r="CJ219" s="633">
        <f t="shared" si="589"/>
        <v>2.5921566952054581E-2</v>
      </c>
      <c r="CK219" s="207">
        <f t="shared" si="646"/>
        <v>1662899.9413768433</v>
      </c>
      <c r="CL219" s="588">
        <f t="shared" si="591"/>
        <v>2.3904528701217176E-2</v>
      </c>
      <c r="CM219" s="207">
        <f t="shared" si="646"/>
        <v>161093.09119568884</v>
      </c>
      <c r="CN219" s="588">
        <f t="shared" si="593"/>
        <v>2.3215345208064939E-2</v>
      </c>
      <c r="CO219" s="207">
        <f t="shared" si="646"/>
        <v>12887.007295406023</v>
      </c>
      <c r="CP219" s="588">
        <f t="shared" si="595"/>
        <v>2.43029107945937E-2</v>
      </c>
      <c r="CQ219" s="207">
        <f>'Detailed Budget'!$AC$12</f>
        <v>292876014141.44696</v>
      </c>
      <c r="CR219" s="605">
        <f t="shared" si="604"/>
        <v>0</v>
      </c>
      <c r="CS219" s="605">
        <f>'Detailed Budget'!$AC$16</f>
        <v>10488008800.000002</v>
      </c>
      <c r="CT219" s="605">
        <f t="shared" si="622"/>
        <v>0</v>
      </c>
      <c r="CU219" s="605">
        <f>'Detailed Budget'!$AC$24</f>
        <v>30624985696</v>
      </c>
      <c r="CV219" s="605">
        <f t="shared" si="612"/>
        <v>0</v>
      </c>
      <c r="CW219" s="605"/>
      <c r="CX219" s="605">
        <f t="shared" si="596"/>
        <v>0</v>
      </c>
      <c r="CY219" s="207">
        <f>'Detailed Budget'!$AC$97</f>
        <v>74629165494.837845</v>
      </c>
      <c r="CZ219" s="605">
        <f t="shared" si="623"/>
        <v>1825488313.7549291</v>
      </c>
      <c r="DA219" s="605">
        <f>'Detailed Budget'!$AC$100</f>
        <v>14925833098.967569</v>
      </c>
      <c r="DB219" s="605">
        <f t="shared" si="624"/>
        <v>365097662.7509858</v>
      </c>
      <c r="DC219" s="605">
        <f t="shared" si="560"/>
        <v>2190585976.5059147</v>
      </c>
      <c r="DD219" s="207">
        <f>SUM(DD220:DD230)</f>
        <v>0</v>
      </c>
      <c r="DE219" s="606">
        <v>0</v>
      </c>
      <c r="DF219" s="605">
        <f>'Detailed Budget'!$AC$147</f>
        <v>5913600671000</v>
      </c>
      <c r="DG219" s="605">
        <f t="shared" si="607"/>
        <v>0</v>
      </c>
      <c r="DH219" s="605">
        <f>'Detailed Budget'!$AC$153</f>
        <v>226428026880.00003</v>
      </c>
      <c r="DI219" s="605">
        <f>BS219*DH219</f>
        <v>4612424097.1853065</v>
      </c>
      <c r="DJ219" s="605">
        <f>'Detailed Budget'!$AC$156</f>
        <v>27713070000</v>
      </c>
      <c r="DK219" s="605">
        <f>AT219*DJ219</f>
        <v>393855000</v>
      </c>
      <c r="DL219" s="605">
        <f>DI219+DK219</f>
        <v>5006279097.1853065</v>
      </c>
      <c r="DM219" s="207">
        <f>'Detailed Budget'!$AC$178</f>
        <v>5622683761.6229038</v>
      </c>
      <c r="DN219" s="605">
        <f>SUM(DN220:DN230)</f>
        <v>260600656.4218058</v>
      </c>
      <c r="DO219" s="605">
        <f>'Detailed Budget'!$AC$179</f>
        <v>26827890683.128094</v>
      </c>
      <c r="DP219" s="605">
        <f>SUM(DP220:DP230)</f>
        <v>1243421519.2988493</v>
      </c>
      <c r="DQ219" s="605">
        <f>SUM(DQ220:DQ230)</f>
        <v>1504022175.7206554</v>
      </c>
      <c r="DR219" s="605">
        <f>'Detailed Budget'!$AC$181</f>
        <v>50888946855.375237</v>
      </c>
      <c r="DS219" s="605">
        <f>SUM(DS220:DS230)</f>
        <v>1885859703.618681</v>
      </c>
      <c r="DT219" s="605">
        <f>SUM(DT220:DT230)</f>
        <v>3389881879.3393359</v>
      </c>
      <c r="DU219" s="634">
        <f>'Detailed Budget'!$AC$192</f>
        <v>77498869683.252869</v>
      </c>
      <c r="DV219" s="605">
        <f t="shared" si="626"/>
        <v>0</v>
      </c>
      <c r="DW219" s="930">
        <f>'Detailed Budget'!$AC$194</f>
        <v>2684962805.4134097</v>
      </c>
      <c r="DX219" s="605">
        <f t="shared" si="627"/>
        <v>0</v>
      </c>
      <c r="DY219" s="605">
        <f t="shared" si="561"/>
        <v>0</v>
      </c>
      <c r="DZ219" s="207">
        <f>'Detailed Budget'!$AC$198</f>
        <v>18732540018.380611</v>
      </c>
      <c r="EA219" s="605">
        <f t="shared" ref="EA219:EA230" si="647">CF219*DZ219</f>
        <v>285573896.40893799</v>
      </c>
      <c r="EB219" s="207">
        <f>'Detailed Budget'!$AC$200</f>
        <v>4683135004.5951529</v>
      </c>
      <c r="EC219" s="605">
        <f t="shared" si="628"/>
        <v>71393474.102234498</v>
      </c>
      <c r="ED219" s="605">
        <f t="shared" si="563"/>
        <v>356967370.51117247</v>
      </c>
      <c r="EE219" s="207">
        <f>'Detailed Budget'!$AC$161</f>
        <v>251147290106.36197</v>
      </c>
      <c r="EF219" s="605">
        <f t="shared" si="629"/>
        <v>4208958780.9444842</v>
      </c>
      <c r="EG219" s="207">
        <f>'Detailed Budget'!$AC$163</f>
        <v>15696705631.647623</v>
      </c>
      <c r="EH219" s="605">
        <f t="shared" si="630"/>
        <v>263059923.80903026</v>
      </c>
      <c r="EI219" s="605">
        <f t="shared" si="564"/>
        <v>4472018704.7535143</v>
      </c>
      <c r="EJ219" s="207">
        <f>'Detailed Budget'!$AC$204</f>
        <v>45012172507.531975</v>
      </c>
      <c r="EK219" s="605">
        <f t="shared" si="631"/>
        <v>1166786043.3114207</v>
      </c>
      <c r="EL219" s="207">
        <f>'Detailed Budget'!$AC$206</f>
        <v>11253043126.882994</v>
      </c>
      <c r="EM219" s="605">
        <f t="shared" si="632"/>
        <v>291696510.82785517</v>
      </c>
      <c r="EN219" s="605">
        <f t="shared" si="565"/>
        <v>1458482554.1392758</v>
      </c>
      <c r="EO219" s="930">
        <f>'Detailed Budget'!$AC$209</f>
        <v>135789361677.54817</v>
      </c>
      <c r="EP219" s="605">
        <f t="shared" si="633"/>
        <v>3245980693.5409098</v>
      </c>
      <c r="EQ219" s="207">
        <f>'Detailed Budget'!$AC$211</f>
        <v>33947340419.387043</v>
      </c>
      <c r="ER219" s="605">
        <f t="shared" si="634"/>
        <v>811495173.38522744</v>
      </c>
      <c r="ES219" s="605">
        <f t="shared" si="566"/>
        <v>4057475866.926137</v>
      </c>
      <c r="ET219" s="207">
        <f>'Detailed Budget'!$AC$214</f>
        <v>22239745544.201103</v>
      </c>
      <c r="EU219" s="605">
        <f t="shared" si="635"/>
        <v>516303370.14815265</v>
      </c>
      <c r="EV219" s="930">
        <f>'Detailed Budget'!$AC$217</f>
        <v>5559936386.0502758</v>
      </c>
      <c r="EW219" s="605">
        <f t="shared" si="636"/>
        <v>129075842.53703816</v>
      </c>
      <c r="EX219" s="605">
        <f t="shared" si="567"/>
        <v>645379212.6851908</v>
      </c>
      <c r="EY219" s="207">
        <f>'Detailed Budget'!$AC$219</f>
        <v>372777004.58170313</v>
      </c>
      <c r="EZ219" s="605">
        <f t="shared" si="637"/>
        <v>9059566.2886249777</v>
      </c>
      <c r="FA219" s="207">
        <f>'Detailed Budget'!$AC$222</f>
        <v>93194251.145425782</v>
      </c>
      <c r="FB219" s="605">
        <f t="shared" si="638"/>
        <v>2264891.5721562444</v>
      </c>
      <c r="FC219" s="605">
        <f t="shared" si="568"/>
        <v>11324457.860781223</v>
      </c>
      <c r="FD219" s="605"/>
      <c r="FE219" s="605">
        <f t="shared" si="569"/>
        <v>6172662091.6113853</v>
      </c>
      <c r="FF219" s="930">
        <f>'Detailed Budget'!$AC$165</f>
        <v>14927760000</v>
      </c>
      <c r="FG219" s="1087">
        <f t="shared" si="608"/>
        <v>8419919685.2476816</v>
      </c>
      <c r="FH219" s="605">
        <f t="shared" ref="FH219:FH248" si="648">AV219*FF219</f>
        <v>193360372.68492219</v>
      </c>
      <c r="FI219" s="605"/>
      <c r="FJ219" s="930">
        <f>'Detailed Budget'!$AC$235</f>
        <v>3623696172</v>
      </c>
      <c r="FK219" s="605">
        <f t="shared" ref="FK219:FK230" si="649">AT219*FJ219</f>
        <v>51499558</v>
      </c>
      <c r="FL219" s="605">
        <f t="shared" si="609"/>
        <v>51499558</v>
      </c>
      <c r="FM219" s="605"/>
      <c r="FN219" s="605">
        <f>'Detailed Budget'!$AC$251</f>
        <v>1047595800</v>
      </c>
      <c r="FO219" s="605">
        <f>AR219*FN219</f>
        <v>28313400</v>
      </c>
      <c r="FP219" s="605">
        <f>'Detailed Budget'!$AB$254</f>
        <v>2773297530</v>
      </c>
      <c r="FQ219" s="605">
        <f>BE219*FP219</f>
        <v>61581645</v>
      </c>
      <c r="FR219" s="605">
        <f>'Detailed Budget'!$AC$257</f>
        <v>13636439388</v>
      </c>
      <c r="FS219" s="605">
        <f t="shared" ref="FS219:FS230" si="650">BA219*FR219</f>
        <v>298801464</v>
      </c>
      <c r="FT219" s="605">
        <f t="shared" si="610"/>
        <v>388696509</v>
      </c>
      <c r="FU219" s="605"/>
      <c r="FV219" s="605">
        <f>'Detailed Budget'!$AC$265</f>
        <v>6277805540</v>
      </c>
      <c r="FW219" s="605">
        <f>AR219*FV219</f>
        <v>169670420</v>
      </c>
      <c r="FX219" s="930">
        <f>'Detailed Budget'!$AC$278</f>
        <v>1114560000</v>
      </c>
      <c r="FY219" s="605">
        <f t="shared" ref="FY219:FY230" si="651">AT219*FX219</f>
        <v>15840000</v>
      </c>
      <c r="FZ219" s="605">
        <f t="shared" si="611"/>
        <v>185510420</v>
      </c>
      <c r="GB219" s="269">
        <f t="shared" si="619"/>
        <v>30827381664.839233</v>
      </c>
      <c r="GC219" s="889">
        <f t="shared" si="574"/>
        <v>19267113.54052452</v>
      </c>
      <c r="GD219" s="1078">
        <f t="shared" si="620"/>
        <v>1.7298214578736457E-2</v>
      </c>
    </row>
    <row r="220" spans="1:186" hidden="1" outlineLevel="1">
      <c r="A220" s="211" t="s">
        <v>602</v>
      </c>
      <c r="B220" s="212" t="s">
        <v>603</v>
      </c>
      <c r="C220" s="213" t="s">
        <v>215</v>
      </c>
      <c r="D220" s="225" t="s">
        <v>215</v>
      </c>
      <c r="E220" s="213"/>
      <c r="F220" s="213"/>
      <c r="G220" s="213"/>
      <c r="H220" s="213" t="s">
        <v>215</v>
      </c>
      <c r="I220" s="214" t="s">
        <v>215</v>
      </c>
      <c r="J220" s="214"/>
      <c r="K220" s="213" t="s">
        <v>215</v>
      </c>
      <c r="L220" s="213"/>
      <c r="M220" s="214"/>
      <c r="N220" s="213"/>
      <c r="O220" s="214"/>
      <c r="P220" s="213"/>
      <c r="Q220" s="214"/>
      <c r="R220" s="214" t="s">
        <v>215</v>
      </c>
      <c r="S220" s="214"/>
      <c r="T220" s="214"/>
      <c r="U220" s="215">
        <f t="shared" ref="U220:U230" si="652">COUNTA(C220:T220)</f>
        <v>6</v>
      </c>
      <c r="V220" s="845" t="s">
        <v>219</v>
      </c>
      <c r="W220" s="216">
        <v>337435</v>
      </c>
      <c r="X220" s="217">
        <v>3.23</v>
      </c>
      <c r="Y220" s="218">
        <f t="shared" si="640"/>
        <v>1.0323</v>
      </c>
      <c r="Z220" s="196">
        <v>19</v>
      </c>
      <c r="AA220" s="218">
        <f t="shared" si="641"/>
        <v>1.8294166166228893</v>
      </c>
      <c r="AB220" s="196">
        <f t="shared" si="642"/>
        <v>617309.1960301447</v>
      </c>
      <c r="AC220">
        <v>19.5</v>
      </c>
      <c r="AD220" s="196">
        <f t="shared" si="643"/>
        <v>120375.29322587821</v>
      </c>
      <c r="AE220" s="196">
        <f t="shared" si="644"/>
        <v>114356.5285645843</v>
      </c>
      <c r="AF220" s="196">
        <f t="shared" ref="AF220:AF231" si="653">AE220*BT220</f>
        <v>114356.5285645843</v>
      </c>
      <c r="AG220" s="606">
        <f t="shared" si="577"/>
        <v>5.2873438462592128E-3</v>
      </c>
      <c r="AH220" s="196">
        <f>AB220*0.05</f>
        <v>30865.459801507237</v>
      </c>
      <c r="AI220" s="248">
        <f t="shared" si="552"/>
        <v>2.3911004050832679E-3</v>
      </c>
      <c r="AJ220" s="196">
        <f t="shared" si="578"/>
        <v>151240.75302738545</v>
      </c>
      <c r="AK220" s="196">
        <f t="shared" si="605"/>
        <v>24692.367841205789</v>
      </c>
      <c r="AL220" s="196">
        <f t="shared" si="606"/>
        <v>24692.367841205789</v>
      </c>
      <c r="AM220" s="196">
        <f t="shared" si="553"/>
        <v>49384.735682411578</v>
      </c>
      <c r="AN220" s="627">
        <f t="shared" si="554"/>
        <v>2.3911004050832679E-3</v>
      </c>
      <c r="AO220" s="196">
        <f t="shared" si="555"/>
        <v>23457.749449145496</v>
      </c>
      <c r="AP220" s="589">
        <f t="shared" si="579"/>
        <v>2.3911004050832674E-3</v>
      </c>
      <c r="AQ220" s="196"/>
      <c r="AR220" s="589"/>
      <c r="AS220">
        <v>1</v>
      </c>
      <c r="AT220" s="589">
        <f t="shared" si="580"/>
        <v>1.2919896640826874E-3</v>
      </c>
      <c r="AU220" s="196">
        <v>11</v>
      </c>
      <c r="AV220" s="245">
        <f t="shared" si="556"/>
        <v>1.2498579706851495E-3</v>
      </c>
      <c r="AX220" s="245"/>
      <c r="AY220" s="245"/>
      <c r="AZ220" s="196">
        <v>72</v>
      </c>
      <c r="BA220" s="589">
        <f t="shared" si="613"/>
        <v>2.6382323843025172E-3</v>
      </c>
      <c r="BI220" s="196">
        <v>0</v>
      </c>
      <c r="BK220" s="246">
        <f t="shared" si="614"/>
        <v>0</v>
      </c>
      <c r="BL220" s="246"/>
      <c r="BM220" s="246">
        <f t="shared" si="615"/>
        <v>0</v>
      </c>
      <c r="BN220" s="196">
        <v>1</v>
      </c>
      <c r="BO220" s="196">
        <f t="shared" ref="BO220:BO230" si="654">AJ220/1060028*261486</f>
        <v>37307.825402837392</v>
      </c>
      <c r="BP220" s="196">
        <f t="shared" si="582"/>
        <v>37307.825402837392</v>
      </c>
      <c r="BQ220" s="248">
        <f t="shared" si="616"/>
        <v>3.4899733332944241E-3</v>
      </c>
      <c r="BR220" s="248"/>
      <c r="BS220" s="248"/>
      <c r="BT220" s="276">
        <v>1</v>
      </c>
      <c r="BU220" s="196">
        <f>AD220*BT220*0.18*4*1.1</f>
        <v>95337.232234895535</v>
      </c>
      <c r="BV220" s="264">
        <f t="shared" si="617"/>
        <v>6.6127710114792229E-3</v>
      </c>
      <c r="BW220" s="196">
        <f>AD220*BT220*0.77*4*1.1</f>
        <v>407831.49344927538</v>
      </c>
      <c r="BX220" s="247">
        <f t="shared" si="618"/>
        <v>6.6127710710473173E-3</v>
      </c>
      <c r="BY220" s="196">
        <f t="shared" si="639"/>
        <v>503168.7256841709</v>
      </c>
      <c r="BZ220" s="620">
        <v>0</v>
      </c>
      <c r="CA220" s="196">
        <f t="shared" ref="CA220:CA231" si="655">AK220*0.85*0.75*12</f>
        <v>188896.61398522428</v>
      </c>
      <c r="CB220" s="196">
        <f t="shared" ref="CB220:CB231" si="656">AL220*0.85*0.75*2*12</f>
        <v>377793.22797044856</v>
      </c>
      <c r="CC220" s="196">
        <f t="shared" si="585"/>
        <v>566689.84195567283</v>
      </c>
      <c r="CD220" s="247">
        <f t="shared" si="557"/>
        <v>2.3911004050832679E-3</v>
      </c>
      <c r="CE220" s="196">
        <f t="shared" ref="CE220:CE230" si="657">AH220/216332*353027</f>
        <v>50368.603245690407</v>
      </c>
      <c r="CF220" s="247">
        <f t="shared" si="558"/>
        <v>2.1750729317682855E-3</v>
      </c>
      <c r="CG220" s="196">
        <f t="shared" si="621"/>
        <v>93830.997796581985</v>
      </c>
      <c r="CH220" s="589">
        <f t="shared" si="587"/>
        <v>2.3911004050832674E-3</v>
      </c>
      <c r="CI220" s="196">
        <f t="shared" ref="CI220:CI230" si="658">AD220/843695*1576737</f>
        <v>224963.02421502027</v>
      </c>
      <c r="CJ220" s="248">
        <f t="shared" si="589"/>
        <v>3.6983915470632784E-3</v>
      </c>
      <c r="CK220" s="196">
        <f t="shared" ref="CK220:CK230" si="659">AD220/843695*1662899</f>
        <v>237256.30083148487</v>
      </c>
      <c r="CL220" s="589">
        <f t="shared" si="591"/>
        <v>3.4106081259916176E-3</v>
      </c>
      <c r="CM220" s="196">
        <f t="shared" ref="CM220:CM230" si="660">AD220/843695*161093</f>
        <v>22984.155543930447</v>
      </c>
      <c r="CN220" s="589">
        <f t="shared" si="593"/>
        <v>3.3122780207875523E-3</v>
      </c>
      <c r="CO220" s="196">
        <f t="shared" ref="CO220:CO230" si="661">AD220/843695*12887</f>
        <v>1838.6696659360223</v>
      </c>
      <c r="CP220" s="589">
        <f t="shared" si="595"/>
        <v>3.4674477826902388E-3</v>
      </c>
      <c r="CQ220" s="196">
        <f>'Detailed Budget'!$AC$12</f>
        <v>292876014141.44696</v>
      </c>
      <c r="CR220" s="269">
        <f t="shared" si="604"/>
        <v>0</v>
      </c>
      <c r="CS220" s="269">
        <f>'Detailed Budget'!$AC$16</f>
        <v>10488008800.000002</v>
      </c>
      <c r="CT220" s="607">
        <f t="shared" si="622"/>
        <v>0</v>
      </c>
      <c r="CU220" s="269">
        <f>'Detailed Budget'!$AC$24</f>
        <v>30624985696</v>
      </c>
      <c r="CV220" s="269">
        <f t="shared" si="612"/>
        <v>0</v>
      </c>
      <c r="CW220" s="269"/>
      <c r="CX220" s="269">
        <f t="shared" si="596"/>
        <v>0</v>
      </c>
      <c r="CY220" s="196">
        <f>'Detailed Budget'!$AC$97</f>
        <v>74629165494.837845</v>
      </c>
      <c r="CZ220" s="269">
        <f t="shared" si="623"/>
        <v>260453797.46300045</v>
      </c>
      <c r="DA220" s="269">
        <f>'Detailed Budget'!$AC$100</f>
        <v>14925833098.967569</v>
      </c>
      <c r="DB220" s="269">
        <f t="shared" si="624"/>
        <v>52090759.492600091</v>
      </c>
      <c r="DC220" s="269">
        <f t="shared" si="560"/>
        <v>312544556.95560056</v>
      </c>
      <c r="DD220" s="207">
        <v>0</v>
      </c>
      <c r="DE220" s="606">
        <v>0</v>
      </c>
      <c r="DF220" s="269">
        <f>'Detailed Budget'!$AC$147</f>
        <v>5913600671000</v>
      </c>
      <c r="DG220" s="269">
        <f t="shared" si="607"/>
        <v>0</v>
      </c>
      <c r="DH220" s="269">
        <f>'Detailed Budget'!$AC$153</f>
        <v>226428026880.00003</v>
      </c>
      <c r="DI220" s="269"/>
      <c r="DJ220" s="269">
        <f>'Detailed Budget'!$AC$156</f>
        <v>27713070000</v>
      </c>
      <c r="DK220" s="269"/>
      <c r="DL220" s="269"/>
      <c r="DM220" s="196">
        <f>'Detailed Budget'!$AC$178</f>
        <v>5622683761.6229038</v>
      </c>
      <c r="DN220" s="269">
        <f t="shared" ref="DN220:DN230" si="662">BT220*BV220*DM220</f>
        <v>37181520.185574889</v>
      </c>
      <c r="DO220" s="196">
        <f>'Detailed Budget'!$AC$179</f>
        <v>26827890683.128094</v>
      </c>
      <c r="DP220" s="269">
        <f t="shared" ref="DP220:DP230" si="663">BT220*BX220*DO220</f>
        <v>177406699.4066093</v>
      </c>
      <c r="DQ220" s="269">
        <f t="shared" si="625"/>
        <v>214588219.59218419</v>
      </c>
      <c r="DR220" s="269">
        <f>'Detailed Budget'!$AC$181</f>
        <v>50888946855.375237</v>
      </c>
      <c r="DS220" s="269">
        <f t="shared" ref="DS220:DS230" si="664">BT220*AG220*DR220</f>
        <v>269067359.99838036</v>
      </c>
      <c r="DT220" s="269">
        <f t="shared" ref="DT220:DT230" si="665">DQ220+DS220</f>
        <v>483655579.59056455</v>
      </c>
      <c r="DU220" s="272">
        <f>'Detailed Budget'!$AC$192</f>
        <v>77498869683.252869</v>
      </c>
      <c r="DV220" s="269">
        <f t="shared" si="626"/>
        <v>0</v>
      </c>
      <c r="DW220" s="140">
        <f>'Detailed Budget'!$AC$194</f>
        <v>2684962805.4134097</v>
      </c>
      <c r="DX220" s="269">
        <f t="shared" si="627"/>
        <v>0</v>
      </c>
      <c r="DY220" s="607">
        <f t="shared" si="561"/>
        <v>0</v>
      </c>
      <c r="DZ220" s="196">
        <f>'Detailed Budget'!$AC$198</f>
        <v>18732540018.380611</v>
      </c>
      <c r="EA220" s="269">
        <f t="shared" si="647"/>
        <v>40744640.73724585</v>
      </c>
      <c r="EB220" s="196">
        <f>'Detailed Budget'!$AC$200</f>
        <v>4683135004.5951529</v>
      </c>
      <c r="EC220" s="269">
        <f t="shared" si="628"/>
        <v>10186160.184311463</v>
      </c>
      <c r="ED220" s="269">
        <f t="shared" si="563"/>
        <v>50930800.921557315</v>
      </c>
      <c r="EE220" s="196">
        <f>'Detailed Budget'!$AC$161</f>
        <v>251147290106.36197</v>
      </c>
      <c r="EF220" s="269">
        <f t="shared" si="629"/>
        <v>600518387.10888696</v>
      </c>
      <c r="EG220" s="196">
        <f>'Detailed Budget'!$AC$163</f>
        <v>15696705631.647623</v>
      </c>
      <c r="EH220" s="269">
        <f t="shared" si="630"/>
        <v>37532399.194305435</v>
      </c>
      <c r="EI220" s="269">
        <f t="shared" si="564"/>
        <v>638050786.30319238</v>
      </c>
      <c r="EJ220" s="196">
        <f>'Detailed Budget'!$AC$204</f>
        <v>45012172507.531975</v>
      </c>
      <c r="EK220" s="269">
        <f t="shared" si="631"/>
        <v>166472638.31681034</v>
      </c>
      <c r="EL220" s="201">
        <f>'Detailed Budget'!$AC$206</f>
        <v>11253043126.882994</v>
      </c>
      <c r="EM220" s="269">
        <f t="shared" si="632"/>
        <v>41618159.579202585</v>
      </c>
      <c r="EN220" s="269">
        <f t="shared" si="565"/>
        <v>208090797.89601293</v>
      </c>
      <c r="EO220" s="140">
        <f>'Detailed Budget'!$AC$209</f>
        <v>135789361677.54817</v>
      </c>
      <c r="EP220" s="269">
        <f t="shared" si="633"/>
        <v>463124300.36066055</v>
      </c>
      <c r="EQ220" s="196">
        <f>'Detailed Budget'!$AC$211</f>
        <v>33947340419.387043</v>
      </c>
      <c r="ER220" s="269">
        <f t="shared" si="634"/>
        <v>115781075.09016514</v>
      </c>
      <c r="ES220" s="269">
        <f t="shared" si="566"/>
        <v>578905375.45082569</v>
      </c>
      <c r="ET220" s="196">
        <f>'Detailed Budget'!$AC$214</f>
        <v>22239745544.201103</v>
      </c>
      <c r="EU220" s="269">
        <f t="shared" si="635"/>
        <v>73664220.353965223</v>
      </c>
      <c r="EV220" s="140">
        <f>'Detailed Budget'!$AC$217</f>
        <v>5559936386.0502758</v>
      </c>
      <c r="EW220" s="269">
        <f t="shared" si="636"/>
        <v>18416055.088491306</v>
      </c>
      <c r="EX220" s="269">
        <f t="shared" si="567"/>
        <v>92080275.442456529</v>
      </c>
      <c r="EY220" s="196">
        <f>'Detailed Budget'!$AC$219</f>
        <v>372777004.58170313</v>
      </c>
      <c r="EZ220" s="269">
        <f t="shared" si="637"/>
        <v>1292584.7979747355</v>
      </c>
      <c r="FA220" s="196">
        <f>'Detailed Budget'!$AC$222</f>
        <v>93194251.145425782</v>
      </c>
      <c r="FB220" s="269">
        <f t="shared" si="638"/>
        <v>323146.19949368387</v>
      </c>
      <c r="FC220" s="269">
        <f t="shared" si="568"/>
        <v>1615730.9974684194</v>
      </c>
      <c r="FD220" s="269"/>
      <c r="FE220" s="269">
        <f t="shared" si="569"/>
        <v>880692179.78676355</v>
      </c>
      <c r="FF220" s="140">
        <f>'Detailed Budget'!$AC$165</f>
        <v>14927760000</v>
      </c>
      <c r="FG220" s="1087">
        <f t="shared" si="608"/>
        <v>1201322429.6382093</v>
      </c>
      <c r="FH220" s="269">
        <f t="shared" si="648"/>
        <v>18657579.820474949</v>
      </c>
      <c r="FJ220" s="140">
        <f>'Detailed Budget'!$AC$235</f>
        <v>3623696172</v>
      </c>
      <c r="FK220" s="269">
        <f t="shared" si="649"/>
        <v>4681778</v>
      </c>
      <c r="FL220" s="269">
        <f t="shared" si="609"/>
        <v>4681778</v>
      </c>
      <c r="FO220" s="607"/>
      <c r="FP220" s="607"/>
      <c r="FQ220" s="607"/>
      <c r="FR220" s="269">
        <f>'Detailed Budget'!$AC$257</f>
        <v>13636439388</v>
      </c>
      <c r="FS220" s="269">
        <f t="shared" si="650"/>
        <v>35976096</v>
      </c>
      <c r="FT220" s="269">
        <f t="shared" si="610"/>
        <v>35976096</v>
      </c>
      <c r="FU220" s="269"/>
      <c r="FV220" s="269"/>
      <c r="FW220" s="616"/>
      <c r="FX220" s="140">
        <f>'Detailed Budget'!$AC$278</f>
        <v>1114560000</v>
      </c>
      <c r="FY220" s="269">
        <f t="shared" si="651"/>
        <v>1440000</v>
      </c>
      <c r="FZ220" s="269">
        <f t="shared" si="611"/>
        <v>1440000</v>
      </c>
      <c r="GB220" s="269">
        <f t="shared" si="619"/>
        <v>3627951787.0163627</v>
      </c>
      <c r="GC220" s="887">
        <f t="shared" si="574"/>
        <v>2267469.8668852267</v>
      </c>
      <c r="GD220" s="1078">
        <f t="shared" si="620"/>
        <v>2.0357579886422284E-3</v>
      </c>
    </row>
    <row r="221" spans="1:186" hidden="1" outlineLevel="1">
      <c r="A221" s="211" t="s">
        <v>604</v>
      </c>
      <c r="B221" s="212" t="s">
        <v>605</v>
      </c>
      <c r="C221" s="213" t="s">
        <v>215</v>
      </c>
      <c r="D221" s="225" t="s">
        <v>215</v>
      </c>
      <c r="E221" s="213"/>
      <c r="F221" s="213"/>
      <c r="G221" s="213"/>
      <c r="H221" s="213" t="s">
        <v>215</v>
      </c>
      <c r="I221" s="214" t="s">
        <v>215</v>
      </c>
      <c r="J221" s="214"/>
      <c r="K221" s="213" t="s">
        <v>215</v>
      </c>
      <c r="L221" s="213"/>
      <c r="M221" s="214"/>
      <c r="N221" s="213"/>
      <c r="O221" s="214"/>
      <c r="P221" s="213"/>
      <c r="Q221" s="214"/>
      <c r="R221" s="214" t="s">
        <v>215</v>
      </c>
      <c r="S221" s="214"/>
      <c r="T221" s="214"/>
      <c r="U221" s="215">
        <f t="shared" si="652"/>
        <v>6</v>
      </c>
      <c r="V221" s="845" t="s">
        <v>219</v>
      </c>
      <c r="W221" s="216">
        <v>211490</v>
      </c>
      <c r="X221" s="217">
        <v>3.23</v>
      </c>
      <c r="Y221" s="218">
        <f t="shared" si="640"/>
        <v>1.0323</v>
      </c>
      <c r="Z221" s="196">
        <v>19</v>
      </c>
      <c r="AA221" s="218">
        <f t="shared" si="641"/>
        <v>1.8294166166228893</v>
      </c>
      <c r="AB221" s="196">
        <f t="shared" si="642"/>
        <v>386903.32024957484</v>
      </c>
      <c r="AC221">
        <v>19.5</v>
      </c>
      <c r="AD221" s="196">
        <f t="shared" si="643"/>
        <v>75446.147448667092</v>
      </c>
      <c r="AE221" s="196">
        <f t="shared" si="644"/>
        <v>71673.840076233741</v>
      </c>
      <c r="AF221" s="196">
        <f t="shared" si="653"/>
        <v>71673.840076233741</v>
      </c>
      <c r="AG221" s="606">
        <f t="shared" si="577"/>
        <v>3.3138837110713499E-3</v>
      </c>
      <c r="AH221" s="196">
        <f t="shared" ref="AH221:AH230" si="666">AB221*0.05</f>
        <v>19345.166012478741</v>
      </c>
      <c r="AI221" s="248">
        <f t="shared" si="552"/>
        <v>1.4986407001972536E-3</v>
      </c>
      <c r="AJ221" s="196">
        <f t="shared" si="578"/>
        <v>94791.313461145837</v>
      </c>
      <c r="AK221" s="196">
        <f t="shared" si="605"/>
        <v>15476.132809982993</v>
      </c>
      <c r="AL221" s="196">
        <f t="shared" si="606"/>
        <v>15476.132809982993</v>
      </c>
      <c r="AM221" s="196">
        <f t="shared" si="553"/>
        <v>30952.265619965987</v>
      </c>
      <c r="AN221" s="627">
        <f t="shared" si="554"/>
        <v>1.4986407001972536E-3</v>
      </c>
      <c r="AO221" s="196">
        <f t="shared" si="555"/>
        <v>14702.326169483844</v>
      </c>
      <c r="AP221" s="589">
        <f t="shared" si="579"/>
        <v>1.4986407001972536E-3</v>
      </c>
      <c r="AQ221" s="196"/>
      <c r="AR221" s="589"/>
      <c r="AS221">
        <v>1</v>
      </c>
      <c r="AT221" s="589">
        <f t="shared" si="580"/>
        <v>1.2919896640826874E-3</v>
      </c>
      <c r="AU221" s="196">
        <v>10</v>
      </c>
      <c r="AV221" s="245">
        <f t="shared" si="556"/>
        <v>1.1362345188046814E-3</v>
      </c>
      <c r="AX221" s="245"/>
      <c r="AY221" s="245"/>
      <c r="AZ221" s="196">
        <v>64</v>
      </c>
      <c r="BA221" s="589">
        <f t="shared" si="613"/>
        <v>2.3450954527133487E-3</v>
      </c>
      <c r="BI221" s="196">
        <v>0</v>
      </c>
      <c r="BK221" s="246">
        <f t="shared" si="614"/>
        <v>0</v>
      </c>
      <c r="BL221" s="246"/>
      <c r="BM221" s="246">
        <f t="shared" si="615"/>
        <v>0</v>
      </c>
      <c r="BN221" s="196">
        <v>1</v>
      </c>
      <c r="BO221" s="196">
        <f t="shared" si="654"/>
        <v>23382.968555265692</v>
      </c>
      <c r="BP221" s="196">
        <f t="shared" si="582"/>
        <v>23382.968555265692</v>
      </c>
      <c r="BQ221" s="248">
        <f t="shared" si="616"/>
        <v>2.1873678197532492E-3</v>
      </c>
      <c r="BR221" s="248"/>
      <c r="BS221" s="248"/>
      <c r="BT221" s="276">
        <v>1</v>
      </c>
      <c r="BU221" s="196">
        <f t="shared" ref="BU221:BU230" si="667">AD221*BT221*0.18*4*1.1</f>
        <v>59753.348779344335</v>
      </c>
      <c r="BV221" s="264">
        <f t="shared" si="617"/>
        <v>4.1446054535473221E-3</v>
      </c>
      <c r="BW221" s="196">
        <f t="shared" ref="BW221:BW230" si="668">AD221*BT221*0.77*4*1.1</f>
        <v>255611.54755608412</v>
      </c>
      <c r="BX221" s="247">
        <f t="shared" si="618"/>
        <v>4.1446054908820867E-3</v>
      </c>
      <c r="BY221" s="196">
        <f t="shared" si="639"/>
        <v>315364.89633542846</v>
      </c>
      <c r="BZ221" s="620">
        <v>0</v>
      </c>
      <c r="CA221" s="196">
        <f t="shared" si="655"/>
        <v>118392.41599636989</v>
      </c>
      <c r="CB221" s="196">
        <f t="shared" si="656"/>
        <v>236784.83199273978</v>
      </c>
      <c r="CC221" s="196">
        <f t="shared" si="585"/>
        <v>355177.24798910966</v>
      </c>
      <c r="CD221" s="247">
        <f t="shared" si="557"/>
        <v>1.4986407001972533E-3</v>
      </c>
      <c r="CE221" s="196">
        <f t="shared" si="657"/>
        <v>31568.912236226413</v>
      </c>
      <c r="CF221" s="247">
        <f t="shared" si="558"/>
        <v>1.3632438079620507E-3</v>
      </c>
      <c r="CG221" s="196">
        <f t="shared" si="621"/>
        <v>58809.304677935375</v>
      </c>
      <c r="CH221" s="589">
        <f t="shared" si="587"/>
        <v>1.4986407001972536E-3</v>
      </c>
      <c r="CI221" s="196">
        <f t="shared" si="658"/>
        <v>140997.31797600913</v>
      </c>
      <c r="CJ221" s="248">
        <f t="shared" si="589"/>
        <v>2.3179955496270771E-3</v>
      </c>
      <c r="CK221" s="196">
        <f t="shared" si="659"/>
        <v>148702.22431831536</v>
      </c>
      <c r="CL221" s="589">
        <f t="shared" si="591"/>
        <v>2.1376250613183794E-3</v>
      </c>
      <c r="CM221" s="196">
        <f t="shared" si="660"/>
        <v>14405.497520962112</v>
      </c>
      <c r="CN221" s="589">
        <f t="shared" si="593"/>
        <v>2.0759959062230044E-3</v>
      </c>
      <c r="CO221" s="196">
        <f t="shared" si="661"/>
        <v>1152.4004553434272</v>
      </c>
      <c r="CP221" s="589">
        <f t="shared" si="595"/>
        <v>2.1732497564305973E-3</v>
      </c>
      <c r="CQ221" s="196">
        <f>'Detailed Budget'!$AC$12</f>
        <v>292876014141.44696</v>
      </c>
      <c r="CR221" s="269">
        <f t="shared" si="604"/>
        <v>0</v>
      </c>
      <c r="CS221" s="269">
        <f>'Detailed Budget'!$AC$16</f>
        <v>10488008800.000002</v>
      </c>
      <c r="CT221" s="607">
        <f t="shared" si="622"/>
        <v>0</v>
      </c>
      <c r="CU221" s="269">
        <f>'Detailed Budget'!$AC$24</f>
        <v>30624985696</v>
      </c>
      <c r="CV221" s="269">
        <f t="shared" si="612"/>
        <v>0</v>
      </c>
      <c r="CW221" s="269"/>
      <c r="CX221" s="269">
        <f t="shared" si="596"/>
        <v>0</v>
      </c>
      <c r="CY221" s="196">
        <f>'Detailed Budget'!$AC$97</f>
        <v>74629165494.837845</v>
      </c>
      <c r="CZ221" s="269">
        <f t="shared" si="623"/>
        <v>163241435.01844788</v>
      </c>
      <c r="DA221" s="269">
        <f>'Detailed Budget'!$AC$100</f>
        <v>14925833098.967569</v>
      </c>
      <c r="DB221" s="269">
        <f t="shared" si="624"/>
        <v>32648287.003689576</v>
      </c>
      <c r="DC221" s="269">
        <f t="shared" si="560"/>
        <v>195889722.02213746</v>
      </c>
      <c r="DD221" s="207">
        <v>0</v>
      </c>
      <c r="DE221" s="606">
        <v>0</v>
      </c>
      <c r="DF221" s="269">
        <f>'Detailed Budget'!$AC$147</f>
        <v>5913600671000</v>
      </c>
      <c r="DG221" s="269">
        <f t="shared" si="607"/>
        <v>0</v>
      </c>
      <c r="DH221" s="269">
        <f>'Detailed Budget'!$AC$153</f>
        <v>226428026880.00003</v>
      </c>
      <c r="DI221" s="269"/>
      <c r="DJ221" s="269">
        <f>'Detailed Budget'!$AC$156</f>
        <v>27713070000</v>
      </c>
      <c r="DK221" s="269"/>
      <c r="DL221" s="269"/>
      <c r="DM221" s="196">
        <f>'Detailed Budget'!$AC$178</f>
        <v>5622683761.6229038</v>
      </c>
      <c r="DN221" s="269">
        <f t="shared" si="662"/>
        <v>23303805.781994257</v>
      </c>
      <c r="DO221" s="196">
        <f>'Detailed Budget'!$AC$179</f>
        <v>26827890683.128094</v>
      </c>
      <c r="DP221" s="269">
        <f t="shared" si="663"/>
        <v>111191023.03407708</v>
      </c>
      <c r="DQ221" s="269">
        <f t="shared" si="625"/>
        <v>134494828.81607133</v>
      </c>
      <c r="DR221" s="269">
        <f>'Detailed Budget'!$AC$181</f>
        <v>50888946855.375237</v>
      </c>
      <c r="DS221" s="269">
        <f t="shared" si="664"/>
        <v>168640052.0576036</v>
      </c>
      <c r="DT221" s="269">
        <f t="shared" si="665"/>
        <v>303134880.87367493</v>
      </c>
      <c r="DU221" s="272">
        <f>'Detailed Budget'!$AC$192</f>
        <v>77498869683.252869</v>
      </c>
      <c r="DV221" s="269">
        <f t="shared" si="626"/>
        <v>0</v>
      </c>
      <c r="DW221" s="140">
        <f>'Detailed Budget'!$AC$194</f>
        <v>2684962805.4134097</v>
      </c>
      <c r="DX221" s="269">
        <f t="shared" si="627"/>
        <v>0</v>
      </c>
      <c r="DY221" s="607">
        <f t="shared" si="561"/>
        <v>0</v>
      </c>
      <c r="DZ221" s="196">
        <f>'Detailed Budget'!$AC$198</f>
        <v>18732540018.380611</v>
      </c>
      <c r="EA221" s="269">
        <f t="shared" si="647"/>
        <v>25537019.187458687</v>
      </c>
      <c r="EB221" s="196">
        <f>'Detailed Budget'!$AC$200</f>
        <v>4683135004.5951529</v>
      </c>
      <c r="EC221" s="269">
        <f t="shared" si="628"/>
        <v>6384254.7968646716</v>
      </c>
      <c r="ED221" s="269">
        <f t="shared" si="563"/>
        <v>31921273.98432336</v>
      </c>
      <c r="EE221" s="196">
        <f>'Detailed Budget'!$AC$161</f>
        <v>251147290106.36197</v>
      </c>
      <c r="EF221" s="269">
        <f t="shared" si="629"/>
        <v>376379550.69764107</v>
      </c>
      <c r="EG221" s="196">
        <f>'Detailed Budget'!$AC$163</f>
        <v>15696705631.647623</v>
      </c>
      <c r="EH221" s="269">
        <f t="shared" si="630"/>
        <v>23523721.918602567</v>
      </c>
      <c r="EI221" s="269">
        <f t="shared" si="564"/>
        <v>399903272.61624366</v>
      </c>
      <c r="EJ221" s="196">
        <f>'Detailed Budget'!$AC$204</f>
        <v>45012172507.531975</v>
      </c>
      <c r="EK221" s="269">
        <f t="shared" si="631"/>
        <v>104338015.55150539</v>
      </c>
      <c r="EL221" s="201">
        <f>'Detailed Budget'!$AC$206</f>
        <v>11253043126.882994</v>
      </c>
      <c r="EM221" s="269">
        <f t="shared" si="632"/>
        <v>26084503.887876347</v>
      </c>
      <c r="EN221" s="269">
        <f t="shared" si="565"/>
        <v>130422519.43938173</v>
      </c>
      <c r="EO221" s="140">
        <f>'Detailed Budget'!$AC$209</f>
        <v>135789361677.54817</v>
      </c>
      <c r="EP221" s="269">
        <f t="shared" si="633"/>
        <v>290266742.58235252</v>
      </c>
      <c r="EQ221" s="196">
        <f>'Detailed Budget'!$AC$211</f>
        <v>33947340419.387043</v>
      </c>
      <c r="ER221" s="269">
        <f t="shared" si="634"/>
        <v>72566685.64558813</v>
      </c>
      <c r="ES221" s="269">
        <f t="shared" si="566"/>
        <v>362833428.22794068</v>
      </c>
      <c r="ET221" s="196">
        <f>'Detailed Budget'!$AC$214</f>
        <v>22239745544.201103</v>
      </c>
      <c r="EU221" s="269">
        <f t="shared" si="635"/>
        <v>46169620.705202796</v>
      </c>
      <c r="EV221" s="140">
        <f>'Detailed Budget'!$AC$217</f>
        <v>5559936386.0502758</v>
      </c>
      <c r="EW221" s="269">
        <f t="shared" si="636"/>
        <v>11542405.176300699</v>
      </c>
      <c r="EX221" s="269">
        <f t="shared" si="567"/>
        <v>57712025.881503493</v>
      </c>
      <c r="EY221" s="196">
        <f>'Detailed Budget'!$AC$219</f>
        <v>372777004.58170313</v>
      </c>
      <c r="EZ221" s="269">
        <f t="shared" si="637"/>
        <v>810137.53441011393</v>
      </c>
      <c r="FA221" s="196">
        <f>'Detailed Budget'!$AC$222</f>
        <v>93194251.145425782</v>
      </c>
      <c r="FB221" s="269">
        <f t="shared" si="638"/>
        <v>202534.38360252848</v>
      </c>
      <c r="FC221" s="269">
        <f t="shared" si="568"/>
        <v>1012671.9180126424</v>
      </c>
      <c r="FD221" s="269"/>
      <c r="FE221" s="269">
        <f t="shared" si="569"/>
        <v>551980645.46683848</v>
      </c>
      <c r="FF221" s="140">
        <f>'Detailed Budget'!$AC$165</f>
        <v>14927760000</v>
      </c>
      <c r="FG221" s="1087">
        <f t="shared" si="608"/>
        <v>752938138.14270878</v>
      </c>
      <c r="FH221" s="269">
        <f t="shared" si="648"/>
        <v>16961436.200431772</v>
      </c>
      <c r="FJ221" s="140">
        <f>'Detailed Budget'!$AC$235</f>
        <v>3623696172</v>
      </c>
      <c r="FK221" s="269">
        <f t="shared" si="649"/>
        <v>4681778</v>
      </c>
      <c r="FL221" s="269">
        <f t="shared" si="609"/>
        <v>4681778</v>
      </c>
      <c r="FO221" s="607"/>
      <c r="FP221" s="607"/>
      <c r="FQ221" s="607"/>
      <c r="FR221" s="269">
        <f>'Detailed Budget'!$AC$257</f>
        <v>13636439388</v>
      </c>
      <c r="FS221" s="269">
        <f t="shared" si="650"/>
        <v>31978752</v>
      </c>
      <c r="FT221" s="269">
        <f t="shared" si="610"/>
        <v>31978752</v>
      </c>
      <c r="FU221" s="269"/>
      <c r="FV221" s="269"/>
      <c r="FW221" s="616"/>
      <c r="FX221" s="140">
        <f>'Detailed Budget'!$AC$278</f>
        <v>1114560000</v>
      </c>
      <c r="FY221" s="269">
        <f t="shared" si="651"/>
        <v>1440000</v>
      </c>
      <c r="FZ221" s="269">
        <f t="shared" si="611"/>
        <v>1440000</v>
      </c>
      <c r="GB221" s="269">
        <f t="shared" si="619"/>
        <v>2290829899.3063583</v>
      </c>
      <c r="GC221" s="887">
        <f t="shared" si="574"/>
        <v>1431768.687066474</v>
      </c>
      <c r="GD221" s="1078">
        <f t="shared" si="620"/>
        <v>1.2854567926793557E-3</v>
      </c>
    </row>
    <row r="222" spans="1:186" hidden="1" outlineLevel="1">
      <c r="A222" s="211" t="s">
        <v>606</v>
      </c>
      <c r="B222" s="212" t="s">
        <v>607</v>
      </c>
      <c r="C222" s="213" t="s">
        <v>215</v>
      </c>
      <c r="D222" s="225" t="s">
        <v>215</v>
      </c>
      <c r="E222" s="213"/>
      <c r="F222" s="213"/>
      <c r="G222" s="213"/>
      <c r="H222" s="213" t="s">
        <v>215</v>
      </c>
      <c r="I222" s="214" t="s">
        <v>215</v>
      </c>
      <c r="J222" s="214"/>
      <c r="K222" s="213" t="s">
        <v>215</v>
      </c>
      <c r="L222" s="213"/>
      <c r="M222" s="214"/>
      <c r="N222" s="213"/>
      <c r="O222" s="214"/>
      <c r="P222" s="213"/>
      <c r="Q222" s="214"/>
      <c r="R222" s="214" t="s">
        <v>215</v>
      </c>
      <c r="S222" s="214"/>
      <c r="T222" s="214"/>
      <c r="U222" s="215">
        <f t="shared" si="652"/>
        <v>6</v>
      </c>
      <c r="V222" s="845" t="s">
        <v>219</v>
      </c>
      <c r="W222" s="216">
        <v>202680</v>
      </c>
      <c r="X222" s="217">
        <v>3.23</v>
      </c>
      <c r="Y222" s="218">
        <f t="shared" si="640"/>
        <v>1.0323</v>
      </c>
      <c r="Z222" s="196">
        <v>19</v>
      </c>
      <c r="AA222" s="218">
        <f t="shared" si="641"/>
        <v>1.8294166166228893</v>
      </c>
      <c r="AB222" s="196">
        <f t="shared" si="642"/>
        <v>370786.15985712723</v>
      </c>
      <c r="AC222">
        <v>19.5</v>
      </c>
      <c r="AD222" s="196">
        <f t="shared" si="643"/>
        <v>72303.301172139807</v>
      </c>
      <c r="AE222" s="196">
        <f t="shared" si="644"/>
        <v>68688.136113532819</v>
      </c>
      <c r="AF222" s="196">
        <f t="shared" si="653"/>
        <v>68688.136113532819</v>
      </c>
      <c r="AG222" s="606">
        <f t="shared" si="577"/>
        <v>3.1758378673220544E-3</v>
      </c>
      <c r="AH222" s="196">
        <f t="shared" si="666"/>
        <v>18539.307992856364</v>
      </c>
      <c r="AI222" s="248">
        <f t="shared" si="552"/>
        <v>1.4362121004112697E-3</v>
      </c>
      <c r="AJ222" s="196">
        <f t="shared" si="578"/>
        <v>90842.609164996175</v>
      </c>
      <c r="AK222" s="196">
        <f t="shared" si="605"/>
        <v>14831.446394285089</v>
      </c>
      <c r="AL222" s="196">
        <f t="shared" si="606"/>
        <v>14831.446394285089</v>
      </c>
      <c r="AM222" s="196">
        <f t="shared" si="553"/>
        <v>29662.892788570178</v>
      </c>
      <c r="AN222" s="627">
        <f t="shared" si="554"/>
        <v>1.4362121004112694E-3</v>
      </c>
      <c r="AO222" s="196">
        <f t="shared" si="555"/>
        <v>14089.874074570835</v>
      </c>
      <c r="AP222" s="589">
        <f t="shared" si="579"/>
        <v>1.4362121004112694E-3</v>
      </c>
      <c r="AQ222" s="196"/>
      <c r="AR222" s="589"/>
      <c r="AS222">
        <v>1</v>
      </c>
      <c r="AT222" s="589">
        <f t="shared" si="580"/>
        <v>1.2919896640826874E-3</v>
      </c>
      <c r="AU222" s="196">
        <v>10</v>
      </c>
      <c r="AV222" s="245">
        <f t="shared" si="556"/>
        <v>1.1362345188046814E-3</v>
      </c>
      <c r="AX222" s="245"/>
      <c r="AY222" s="245"/>
      <c r="AZ222" s="196">
        <v>69</v>
      </c>
      <c r="BA222" s="589">
        <f t="shared" si="613"/>
        <v>2.528306034956579E-3</v>
      </c>
      <c r="BI222" s="196">
        <v>0</v>
      </c>
      <c r="BK222" s="246">
        <f t="shared" si="614"/>
        <v>0</v>
      </c>
      <c r="BL222" s="246"/>
      <c r="BM222" s="246">
        <f t="shared" si="615"/>
        <v>0</v>
      </c>
      <c r="BN222" s="196">
        <v>1</v>
      </c>
      <c r="BO222" s="196">
        <f t="shared" si="654"/>
        <v>22408.908538376523</v>
      </c>
      <c r="BP222" s="196">
        <f t="shared" si="582"/>
        <v>22408.908538376523</v>
      </c>
      <c r="BQ222" s="248">
        <f t="shared" si="616"/>
        <v>2.0962490411252947E-3</v>
      </c>
      <c r="BR222" s="248"/>
      <c r="BS222" s="248"/>
      <c r="BT222" s="276">
        <v>1</v>
      </c>
      <c r="BU222" s="196">
        <f t="shared" si="667"/>
        <v>57264.214528334727</v>
      </c>
      <c r="BV222" s="264">
        <f t="shared" si="617"/>
        <v>3.9719543870867244E-3</v>
      </c>
      <c r="BW222" s="196">
        <f t="shared" si="668"/>
        <v>244963.5843712097</v>
      </c>
      <c r="BX222" s="247">
        <f t="shared" si="618"/>
        <v>3.9719544228662427E-3</v>
      </c>
      <c r="BY222" s="196">
        <f t="shared" si="639"/>
        <v>302227.7988995444</v>
      </c>
      <c r="BZ222" s="620">
        <v>0</v>
      </c>
      <c r="CA222" s="196">
        <f t="shared" si="655"/>
        <v>113460.56491628094</v>
      </c>
      <c r="CB222" s="196">
        <f t="shared" si="656"/>
        <v>226921.12983256188</v>
      </c>
      <c r="CC222" s="196">
        <f t="shared" si="585"/>
        <v>340381.69474884286</v>
      </c>
      <c r="CD222" s="247">
        <f t="shared" si="557"/>
        <v>1.4362121004112697E-3</v>
      </c>
      <c r="CE222" s="196">
        <f t="shared" si="657"/>
        <v>30253.851870246213</v>
      </c>
      <c r="CF222" s="247">
        <f t="shared" si="558"/>
        <v>1.3064554115927397E-3</v>
      </c>
      <c r="CG222" s="196">
        <f t="shared" si="621"/>
        <v>56359.496298283339</v>
      </c>
      <c r="CH222" s="589">
        <f t="shared" si="587"/>
        <v>1.4362121004112694E-3</v>
      </c>
      <c r="CI222" s="196">
        <f t="shared" si="658"/>
        <v>135123.81865514931</v>
      </c>
      <c r="CJ222" s="248">
        <f t="shared" si="589"/>
        <v>2.2214352357010545E-3</v>
      </c>
      <c r="CK222" s="196">
        <f t="shared" si="659"/>
        <v>142507.76313223393</v>
      </c>
      <c r="CL222" s="589">
        <f t="shared" si="591"/>
        <v>2.0485784076221527E-3</v>
      </c>
      <c r="CM222" s="196">
        <f t="shared" si="660"/>
        <v>13805.410362421868</v>
      </c>
      <c r="CN222" s="589">
        <f t="shared" si="593"/>
        <v>1.9895165268962057E-3</v>
      </c>
      <c r="CO222" s="196">
        <f t="shared" si="661"/>
        <v>1104.3951217031815</v>
      </c>
      <c r="CP222" s="589">
        <f t="shared" si="595"/>
        <v>2.082719091367694E-3</v>
      </c>
      <c r="CQ222" s="196">
        <f>'Detailed Budget'!$AC$12</f>
        <v>292876014141.44696</v>
      </c>
      <c r="CR222" s="269">
        <f t="shared" si="604"/>
        <v>0</v>
      </c>
      <c r="CS222" s="269">
        <f>'Detailed Budget'!$AC$16</f>
        <v>10488008800.000002</v>
      </c>
      <c r="CT222" s="607">
        <f t="shared" si="622"/>
        <v>0</v>
      </c>
      <c r="CU222" s="269">
        <f>'Detailed Budget'!$AC$24</f>
        <v>30624985696</v>
      </c>
      <c r="CV222" s="269">
        <f t="shared" si="612"/>
        <v>0</v>
      </c>
      <c r="CW222" s="269"/>
      <c r="CX222" s="269">
        <f t="shared" si="596"/>
        <v>0</v>
      </c>
      <c r="CY222" s="196">
        <f>'Detailed Budget'!$AC$97</f>
        <v>74629165494.837845</v>
      </c>
      <c r="CZ222" s="269">
        <f t="shared" si="623"/>
        <v>156441316.60853475</v>
      </c>
      <c r="DA222" s="269">
        <f>'Detailed Budget'!$AC$100</f>
        <v>14925833098.967569</v>
      </c>
      <c r="DB222" s="269">
        <f t="shared" si="624"/>
        <v>31288263.321706954</v>
      </c>
      <c r="DC222" s="269">
        <f t="shared" si="560"/>
        <v>187729579.9302417</v>
      </c>
      <c r="DD222" s="207">
        <v>0</v>
      </c>
      <c r="DE222" s="606">
        <v>0</v>
      </c>
      <c r="DF222" s="269">
        <f>'Detailed Budget'!$AC$147</f>
        <v>5913600671000</v>
      </c>
      <c r="DG222" s="269">
        <f t="shared" si="607"/>
        <v>0</v>
      </c>
      <c r="DH222" s="269">
        <f>'Detailed Budget'!$AC$153</f>
        <v>226428026880.00003</v>
      </c>
      <c r="DI222" s="269"/>
      <c r="DJ222" s="269">
        <f>'Detailed Budget'!$AC$156</f>
        <v>27713070000</v>
      </c>
      <c r="DK222" s="269"/>
      <c r="DL222" s="269"/>
      <c r="DM222" s="196">
        <f>'Detailed Budget'!$AC$178</f>
        <v>5622683761.6229038</v>
      </c>
      <c r="DN222" s="269">
        <f t="shared" si="662"/>
        <v>22333043.434179381</v>
      </c>
      <c r="DO222" s="196">
        <f>'Detailed Budget'!$AC$179</f>
        <v>26827890683.128094</v>
      </c>
      <c r="DP222" s="269">
        <f t="shared" si="663"/>
        <v>106559159.0550227</v>
      </c>
      <c r="DQ222" s="269">
        <f t="shared" si="625"/>
        <v>128892202.48920208</v>
      </c>
      <c r="DR222" s="269">
        <f>'Detailed Budget'!$AC$181</f>
        <v>50888946855.375237</v>
      </c>
      <c r="DS222" s="269">
        <f t="shared" si="664"/>
        <v>161615044.45144024</v>
      </c>
      <c r="DT222" s="269">
        <f t="shared" si="665"/>
        <v>290507246.94064236</v>
      </c>
      <c r="DU222" s="272">
        <f>'Detailed Budget'!$AC$192</f>
        <v>77498869683.252869</v>
      </c>
      <c r="DV222" s="269">
        <f t="shared" si="626"/>
        <v>0</v>
      </c>
      <c r="DW222" s="140">
        <f>'Detailed Budget'!$AC$194</f>
        <v>2684962805.4134097</v>
      </c>
      <c r="DX222" s="269">
        <f t="shared" si="627"/>
        <v>0</v>
      </c>
      <c r="DY222" s="607">
        <f t="shared" si="561"/>
        <v>0</v>
      </c>
      <c r="DZ222" s="196">
        <f>'Detailed Budget'!$AC$198</f>
        <v>18732540018.380611</v>
      </c>
      <c r="EA222" s="269">
        <f t="shared" si="647"/>
        <v>24473228.27989091</v>
      </c>
      <c r="EB222" s="196">
        <f>'Detailed Budget'!$AC$200</f>
        <v>4683135004.5951529</v>
      </c>
      <c r="EC222" s="269">
        <f t="shared" si="628"/>
        <v>6118307.0699727274</v>
      </c>
      <c r="ED222" s="269">
        <f t="shared" si="563"/>
        <v>30591535.349863637</v>
      </c>
      <c r="EE222" s="196">
        <f>'Detailed Budget'!$AC$161</f>
        <v>251147290106.36197</v>
      </c>
      <c r="EF222" s="269">
        <f t="shared" si="629"/>
        <v>360700777.03625655</v>
      </c>
      <c r="EG222" s="196">
        <f>'Detailed Budget'!$AC$163</f>
        <v>15696705631.647623</v>
      </c>
      <c r="EH222" s="269">
        <f t="shared" si="630"/>
        <v>22543798.564766034</v>
      </c>
      <c r="EI222" s="269">
        <f t="shared" si="564"/>
        <v>383244575.6010226</v>
      </c>
      <c r="EJ222" s="196">
        <f>'Detailed Budget'!$AC$204</f>
        <v>45012172507.531975</v>
      </c>
      <c r="EK222" s="269">
        <f t="shared" si="631"/>
        <v>99991626.043685824</v>
      </c>
      <c r="EL222" s="201">
        <f>'Detailed Budget'!$AC$206</f>
        <v>11253043126.882994</v>
      </c>
      <c r="EM222" s="269">
        <f t="shared" si="632"/>
        <v>24997906.510921456</v>
      </c>
      <c r="EN222" s="269">
        <f t="shared" si="565"/>
        <v>124989532.55460727</v>
      </c>
      <c r="EO222" s="140">
        <f>'Detailed Budget'!$AC$209</f>
        <v>135789361677.54817</v>
      </c>
      <c r="EP222" s="269">
        <f t="shared" si="633"/>
        <v>278175154.31742018</v>
      </c>
      <c r="EQ222" s="196">
        <f>'Detailed Budget'!$AC$211</f>
        <v>33947340419.387043</v>
      </c>
      <c r="ER222" s="269">
        <f t="shared" si="634"/>
        <v>69543788.579355046</v>
      </c>
      <c r="ES222" s="269">
        <f t="shared" si="566"/>
        <v>347718942.89677525</v>
      </c>
      <c r="ET222" s="196">
        <f>'Detailed Budget'!$AC$214</f>
        <v>22239745544.201103</v>
      </c>
      <c r="EU222" s="269">
        <f t="shared" si="635"/>
        <v>44246341.314154342</v>
      </c>
      <c r="EV222" s="140">
        <f>'Detailed Budget'!$AC$217</f>
        <v>5559936386.0502758</v>
      </c>
      <c r="EW222" s="269">
        <f t="shared" si="636"/>
        <v>11061585.328538585</v>
      </c>
      <c r="EX222" s="269">
        <f t="shared" si="567"/>
        <v>55307926.642692924</v>
      </c>
      <c r="EY222" s="196">
        <f>'Detailed Budget'!$AC$219</f>
        <v>372777004.58170313</v>
      </c>
      <c r="EZ222" s="269">
        <f t="shared" si="637"/>
        <v>776389.78426517546</v>
      </c>
      <c r="FA222" s="196">
        <f>'Detailed Budget'!$AC$222</f>
        <v>93194251.145425782</v>
      </c>
      <c r="FB222" s="269">
        <f t="shared" si="638"/>
        <v>194097.44606629387</v>
      </c>
      <c r="FC222" s="269">
        <f t="shared" si="568"/>
        <v>970487.23033146933</v>
      </c>
      <c r="FD222" s="269"/>
      <c r="FE222" s="269">
        <f t="shared" si="569"/>
        <v>528986889.32440692</v>
      </c>
      <c r="FF222" s="140">
        <f>'Detailed Budget'!$AC$165</f>
        <v>14927760000</v>
      </c>
      <c r="FG222" s="1087">
        <f t="shared" si="608"/>
        <v>721573132.71910822</v>
      </c>
      <c r="FH222" s="269">
        <f t="shared" si="648"/>
        <v>16961436.200431772</v>
      </c>
      <c r="FJ222" s="140">
        <f>'Detailed Budget'!$AC$235</f>
        <v>3623696172</v>
      </c>
      <c r="FK222" s="269">
        <f t="shared" si="649"/>
        <v>4681778</v>
      </c>
      <c r="FL222" s="269">
        <f t="shared" si="609"/>
        <v>4681778</v>
      </c>
      <c r="FO222" s="607"/>
      <c r="FP222" s="607"/>
      <c r="FQ222" s="607"/>
      <c r="FR222" s="269">
        <f>'Detailed Budget'!$AC$257</f>
        <v>13636439388</v>
      </c>
      <c r="FS222" s="269">
        <f t="shared" si="650"/>
        <v>34477092</v>
      </c>
      <c r="FT222" s="269">
        <f t="shared" si="610"/>
        <v>34477092</v>
      </c>
      <c r="FU222" s="269"/>
      <c r="FV222" s="269"/>
      <c r="FW222" s="616"/>
      <c r="FX222" s="140">
        <f>'Detailed Budget'!$AC$278</f>
        <v>1114560000</v>
      </c>
      <c r="FY222" s="269">
        <f t="shared" si="651"/>
        <v>1440000</v>
      </c>
      <c r="FZ222" s="269">
        <f t="shared" si="611"/>
        <v>1440000</v>
      </c>
      <c r="GB222" s="269">
        <f t="shared" si="619"/>
        <v>2200193266.0657172</v>
      </c>
      <c r="GC222" s="887">
        <f t="shared" si="574"/>
        <v>1375120.7912910732</v>
      </c>
      <c r="GD222" s="1078">
        <f t="shared" si="620"/>
        <v>1.2345977237017561E-3</v>
      </c>
    </row>
    <row r="223" spans="1:186" hidden="1" outlineLevel="1">
      <c r="A223" s="211" t="s">
        <v>608</v>
      </c>
      <c r="B223" s="212" t="s">
        <v>609</v>
      </c>
      <c r="C223" s="213" t="s">
        <v>215</v>
      </c>
      <c r="D223" s="225" t="s">
        <v>215</v>
      </c>
      <c r="E223" s="213"/>
      <c r="F223" s="213"/>
      <c r="G223" s="213"/>
      <c r="H223" s="213" t="s">
        <v>215</v>
      </c>
      <c r="I223" s="214" t="s">
        <v>215</v>
      </c>
      <c r="J223" s="214"/>
      <c r="K223" s="213" t="s">
        <v>215</v>
      </c>
      <c r="L223" s="213"/>
      <c r="M223" s="214"/>
      <c r="N223" s="213"/>
      <c r="O223" s="214"/>
      <c r="P223" s="213"/>
      <c r="Q223" s="214"/>
      <c r="R223" s="214" t="s">
        <v>215</v>
      </c>
      <c r="S223" s="214"/>
      <c r="T223" s="214"/>
      <c r="U223" s="215">
        <f t="shared" si="652"/>
        <v>6</v>
      </c>
      <c r="V223" s="845" t="s">
        <v>219</v>
      </c>
      <c r="W223" s="216">
        <v>207658</v>
      </c>
      <c r="X223" s="217">
        <v>3.23</v>
      </c>
      <c r="Y223" s="218">
        <f t="shared" si="640"/>
        <v>1.0323</v>
      </c>
      <c r="Z223" s="196">
        <v>19</v>
      </c>
      <c r="AA223" s="218">
        <f t="shared" si="641"/>
        <v>1.8294166166228893</v>
      </c>
      <c r="AB223" s="196">
        <f t="shared" si="642"/>
        <v>379892.99577467598</v>
      </c>
      <c r="AC223">
        <v>19.5</v>
      </c>
      <c r="AD223" s="196">
        <f t="shared" si="643"/>
        <v>74079.134176061809</v>
      </c>
      <c r="AE223" s="196">
        <f t="shared" si="644"/>
        <v>70375.17746725872</v>
      </c>
      <c r="AF223" s="196">
        <f t="shared" si="653"/>
        <v>70375.17746725872</v>
      </c>
      <c r="AG223" s="606">
        <f t="shared" si="577"/>
        <v>3.2538392532680239E-3</v>
      </c>
      <c r="AH223" s="196">
        <f t="shared" si="666"/>
        <v>18994.649788733801</v>
      </c>
      <c r="AI223" s="248">
        <f t="shared" si="552"/>
        <v>1.4714867394276861E-3</v>
      </c>
      <c r="AJ223" s="196">
        <f t="shared" si="578"/>
        <v>93073.783964795613</v>
      </c>
      <c r="AK223" s="196">
        <f t="shared" si="605"/>
        <v>15195.71983098704</v>
      </c>
      <c r="AL223" s="196">
        <f t="shared" si="606"/>
        <v>15195.71983098704</v>
      </c>
      <c r="AM223" s="196">
        <f t="shared" si="553"/>
        <v>30391.43966197408</v>
      </c>
      <c r="AN223" s="627">
        <f t="shared" si="554"/>
        <v>1.4714867394276861E-3</v>
      </c>
      <c r="AO223" s="196">
        <f t="shared" si="555"/>
        <v>14435.933839437686</v>
      </c>
      <c r="AP223" s="589">
        <f t="shared" si="579"/>
        <v>1.4714867394276859E-3</v>
      </c>
      <c r="AQ223" s="196"/>
      <c r="AR223" s="589"/>
      <c r="AS223">
        <v>1</v>
      </c>
      <c r="AT223" s="589">
        <f t="shared" si="580"/>
        <v>1.2919896640826874E-3</v>
      </c>
      <c r="AU223" s="196">
        <v>11</v>
      </c>
      <c r="AV223" s="245">
        <f t="shared" si="556"/>
        <v>1.2498579706851495E-3</v>
      </c>
      <c r="AX223" s="245"/>
      <c r="AY223" s="245"/>
      <c r="AZ223" s="196">
        <v>67</v>
      </c>
      <c r="BA223" s="589">
        <f t="shared" si="613"/>
        <v>2.455021802059287E-3</v>
      </c>
      <c r="BI223" s="196">
        <v>0</v>
      </c>
      <c r="BK223" s="246">
        <f t="shared" si="614"/>
        <v>0</v>
      </c>
      <c r="BL223" s="246"/>
      <c r="BM223" s="246">
        <f t="shared" si="615"/>
        <v>0</v>
      </c>
      <c r="BN223" s="196">
        <v>1</v>
      </c>
      <c r="BO223" s="196">
        <f t="shared" si="654"/>
        <v>22959.291144968385</v>
      </c>
      <c r="BP223" s="196">
        <f t="shared" si="582"/>
        <v>22959.291144968385</v>
      </c>
      <c r="BQ223" s="248">
        <f t="shared" si="616"/>
        <v>2.1477347709788655E-3</v>
      </c>
      <c r="BR223" s="248"/>
      <c r="BS223" s="248"/>
      <c r="BT223" s="276">
        <v>1</v>
      </c>
      <c r="BU223" s="196">
        <f t="shared" si="667"/>
        <v>58670.674267440962</v>
      </c>
      <c r="BV223" s="264">
        <f t="shared" si="617"/>
        <v>4.0695090986464138E-3</v>
      </c>
      <c r="BW223" s="196">
        <f t="shared" si="668"/>
        <v>250980.10658849744</v>
      </c>
      <c r="BX223" s="247">
        <f t="shared" si="618"/>
        <v>4.0695091353047073E-3</v>
      </c>
      <c r="BY223" s="196">
        <f t="shared" si="639"/>
        <v>309650.78085593838</v>
      </c>
      <c r="BZ223" s="620">
        <v>0</v>
      </c>
      <c r="CA223" s="196">
        <f t="shared" si="655"/>
        <v>116247.25670705087</v>
      </c>
      <c r="CB223" s="196">
        <f t="shared" si="656"/>
        <v>232494.51341410173</v>
      </c>
      <c r="CC223" s="196">
        <f t="shared" si="585"/>
        <v>348741.77012115263</v>
      </c>
      <c r="CD223" s="247">
        <f t="shared" si="557"/>
        <v>1.4714867394276863E-3</v>
      </c>
      <c r="CE223" s="196">
        <f t="shared" si="657"/>
        <v>30996.91322119394</v>
      </c>
      <c r="CF223" s="247">
        <f t="shared" si="558"/>
        <v>1.3385431116070905E-3</v>
      </c>
      <c r="CG223" s="196">
        <f t="shared" si="621"/>
        <v>57743.735357750746</v>
      </c>
      <c r="CH223" s="589">
        <f t="shared" si="587"/>
        <v>1.4714867394276859E-3</v>
      </c>
      <c r="CI223" s="196">
        <f t="shared" si="658"/>
        <v>138442.57911136272</v>
      </c>
      <c r="CJ223" s="248">
        <f t="shared" si="589"/>
        <v>2.2759956491770748E-3</v>
      </c>
      <c r="CK223" s="196">
        <f t="shared" si="659"/>
        <v>146007.87979333647</v>
      </c>
      <c r="CL223" s="589">
        <f t="shared" si="591"/>
        <v>2.0988933045687835E-3</v>
      </c>
      <c r="CM223" s="196">
        <f t="shared" si="660"/>
        <v>14144.483447009079</v>
      </c>
      <c r="CN223" s="589">
        <f t="shared" si="593"/>
        <v>2.0383808118325055E-3</v>
      </c>
      <c r="CO223" s="196">
        <f t="shared" si="661"/>
        <v>1131.5200423457629</v>
      </c>
      <c r="CP223" s="589">
        <f t="shared" si="595"/>
        <v>2.1338725136926806E-3</v>
      </c>
      <c r="CQ223" s="196">
        <f>'Detailed Budget'!$AC$12</f>
        <v>292876014141.44696</v>
      </c>
      <c r="CR223" s="269">
        <f t="shared" si="604"/>
        <v>0</v>
      </c>
      <c r="CS223" s="269">
        <f>'Detailed Budget'!$AC$16</f>
        <v>10488008800.000002</v>
      </c>
      <c r="CT223" s="607">
        <f t="shared" si="622"/>
        <v>0</v>
      </c>
      <c r="CU223" s="269">
        <f>'Detailed Budget'!$AC$24</f>
        <v>30624985696</v>
      </c>
      <c r="CV223" s="269">
        <f t="shared" si="612"/>
        <v>0</v>
      </c>
      <c r="CW223" s="269"/>
      <c r="CX223" s="269">
        <f t="shared" si="596"/>
        <v>0</v>
      </c>
      <c r="CY223" s="196">
        <f>'Detailed Budget'!$AC$97</f>
        <v>74629165494.837845</v>
      </c>
      <c r="CZ223" s="269">
        <f t="shared" si="623"/>
        <v>160283653.66239941</v>
      </c>
      <c r="DA223" s="269">
        <f>'Detailed Budget'!$AC$100</f>
        <v>14925833098.967569</v>
      </c>
      <c r="DB223" s="269">
        <f t="shared" si="624"/>
        <v>32056730.732479881</v>
      </c>
      <c r="DC223" s="269">
        <f t="shared" si="560"/>
        <v>192340384.39487928</v>
      </c>
      <c r="DD223" s="207">
        <v>0</v>
      </c>
      <c r="DE223" s="606">
        <v>0</v>
      </c>
      <c r="DF223" s="269">
        <f>'Detailed Budget'!$AC$147</f>
        <v>5913600671000</v>
      </c>
      <c r="DG223" s="269">
        <f t="shared" si="607"/>
        <v>0</v>
      </c>
      <c r="DH223" s="269">
        <f>'Detailed Budget'!$AC$153</f>
        <v>226428026880.00003</v>
      </c>
      <c r="DI223" s="269"/>
      <c r="DJ223" s="269">
        <f>'Detailed Budget'!$AC$156</f>
        <v>27713070000</v>
      </c>
      <c r="DK223" s="269"/>
      <c r="DL223" s="269"/>
      <c r="DM223" s="196">
        <f>'Detailed Budget'!$AC$178</f>
        <v>5622683761.6229038</v>
      </c>
      <c r="DN223" s="269">
        <f t="shared" si="662"/>
        <v>22881562.726735849</v>
      </c>
      <c r="DO223" s="196">
        <f>'Detailed Budget'!$AC$179</f>
        <v>26827890683.128094</v>
      </c>
      <c r="DP223" s="269">
        <f t="shared" si="663"/>
        <v>109176346.21594582</v>
      </c>
      <c r="DQ223" s="269">
        <f t="shared" si="625"/>
        <v>132057908.94268167</v>
      </c>
      <c r="DR223" s="269">
        <f>'Detailed Budget'!$AC$181</f>
        <v>50888946855.375237</v>
      </c>
      <c r="DS223" s="269">
        <f t="shared" si="664"/>
        <v>165584452.83549032</v>
      </c>
      <c r="DT223" s="269">
        <f t="shared" si="665"/>
        <v>297642361.77817202</v>
      </c>
      <c r="DU223" s="272">
        <f>'Detailed Budget'!$AC$192</f>
        <v>77498869683.252869</v>
      </c>
      <c r="DV223" s="269">
        <f t="shared" si="626"/>
        <v>0</v>
      </c>
      <c r="DW223" s="140">
        <f>'Detailed Budget'!$AC$194</f>
        <v>2684962805.4134097</v>
      </c>
      <c r="DX223" s="269">
        <f t="shared" si="627"/>
        <v>0</v>
      </c>
      <c r="DY223" s="607">
        <f t="shared" si="561"/>
        <v>0</v>
      </c>
      <c r="DZ223" s="196">
        <f>'Detailed Budget'!$AC$198</f>
        <v>18732540018.380611</v>
      </c>
      <c r="EA223" s="269">
        <f t="shared" si="647"/>
        <v>25074312.404507529</v>
      </c>
      <c r="EB223" s="196">
        <f>'Detailed Budget'!$AC$200</f>
        <v>4683135004.5951529</v>
      </c>
      <c r="EC223" s="269">
        <f t="shared" si="628"/>
        <v>6268578.1011268822</v>
      </c>
      <c r="ED223" s="269">
        <f t="shared" si="563"/>
        <v>31342890.505634412</v>
      </c>
      <c r="EE223" s="196">
        <f>'Detailed Budget'!$AC$161</f>
        <v>251147290106.36197</v>
      </c>
      <c r="EF223" s="269">
        <f t="shared" si="629"/>
        <v>369559907.03470969</v>
      </c>
      <c r="EG223" s="196">
        <f>'Detailed Budget'!$AC$163</f>
        <v>15696705631.647623</v>
      </c>
      <c r="EH223" s="269">
        <f t="shared" si="630"/>
        <v>23097494.189669356</v>
      </c>
      <c r="EI223" s="269">
        <f t="shared" si="564"/>
        <v>392657401.22437906</v>
      </c>
      <c r="EJ223" s="196">
        <f>'Detailed Budget'!$AC$204</f>
        <v>45012172507.531975</v>
      </c>
      <c r="EK223" s="269">
        <f t="shared" si="631"/>
        <v>102447508.78715071</v>
      </c>
      <c r="EL223" s="201">
        <f>'Detailed Budget'!$AC$206</f>
        <v>11253043126.882994</v>
      </c>
      <c r="EM223" s="269">
        <f t="shared" si="632"/>
        <v>25611877.196787678</v>
      </c>
      <c r="EN223" s="269">
        <f t="shared" si="565"/>
        <v>128059385.9839384</v>
      </c>
      <c r="EO223" s="140">
        <f>'Detailed Budget'!$AC$209</f>
        <v>135789361677.54817</v>
      </c>
      <c r="EP223" s="269">
        <f t="shared" si="633"/>
        <v>285007382.05667484</v>
      </c>
      <c r="EQ223" s="196">
        <f>'Detailed Budget'!$AC$211</f>
        <v>33947340419.387043</v>
      </c>
      <c r="ER223" s="269">
        <f t="shared" si="634"/>
        <v>71251845.51416871</v>
      </c>
      <c r="ES223" s="269">
        <f t="shared" si="566"/>
        <v>356259227.57084358</v>
      </c>
      <c r="ET223" s="196">
        <f>'Detailed Budget'!$AC$214</f>
        <v>22239745544.201103</v>
      </c>
      <c r="EU223" s="269">
        <f t="shared" si="635"/>
        <v>45333070.577336989</v>
      </c>
      <c r="EV223" s="140">
        <f>'Detailed Budget'!$AC$217</f>
        <v>5559936386.0502758</v>
      </c>
      <c r="EW223" s="269">
        <f t="shared" si="636"/>
        <v>11333267.644334247</v>
      </c>
      <c r="EX223" s="269">
        <f t="shared" si="567"/>
        <v>56666338.221671239</v>
      </c>
      <c r="EY223" s="196">
        <f>'Detailed Budget'!$AC$219</f>
        <v>372777004.58170313</v>
      </c>
      <c r="EZ223" s="269">
        <f t="shared" si="637"/>
        <v>795458.60381358676</v>
      </c>
      <c r="FA223" s="196">
        <f>'Detailed Budget'!$AC$222</f>
        <v>93194251.145425782</v>
      </c>
      <c r="FB223" s="269">
        <f t="shared" si="638"/>
        <v>198864.65095339669</v>
      </c>
      <c r="FC223" s="269">
        <f t="shared" si="568"/>
        <v>994323.25476698345</v>
      </c>
      <c r="FD223" s="269"/>
      <c r="FE223" s="269">
        <f t="shared" si="569"/>
        <v>541979275.0312202</v>
      </c>
      <c r="FF223" s="140">
        <f>'Detailed Budget'!$AC$165</f>
        <v>14927760000</v>
      </c>
      <c r="FG223" s="1087">
        <f t="shared" si="608"/>
        <v>739295606.83927667</v>
      </c>
      <c r="FH223" s="269">
        <f t="shared" si="648"/>
        <v>18657579.820474949</v>
      </c>
      <c r="FJ223" s="140">
        <f>'Detailed Budget'!$AC$235</f>
        <v>3623696172</v>
      </c>
      <c r="FK223" s="269">
        <f t="shared" si="649"/>
        <v>4681778</v>
      </c>
      <c r="FL223" s="269">
        <f t="shared" si="609"/>
        <v>4681778</v>
      </c>
      <c r="FO223" s="607"/>
      <c r="FP223" s="607"/>
      <c r="FQ223" s="607"/>
      <c r="FR223" s="269">
        <f>'Detailed Budget'!$AC$257</f>
        <v>13636439388</v>
      </c>
      <c r="FS223" s="269">
        <f t="shared" si="650"/>
        <v>33477756</v>
      </c>
      <c r="FT223" s="269">
        <f t="shared" si="610"/>
        <v>33477756</v>
      </c>
      <c r="FU223" s="269"/>
      <c r="FV223" s="269"/>
      <c r="FW223" s="616"/>
      <c r="FX223" s="140">
        <f>'Detailed Budget'!$AC$278</f>
        <v>1114560000</v>
      </c>
      <c r="FY223" s="269">
        <f t="shared" si="651"/>
        <v>1440000</v>
      </c>
      <c r="FZ223" s="269">
        <f t="shared" si="611"/>
        <v>1440000</v>
      </c>
      <c r="GB223" s="269">
        <f t="shared" si="619"/>
        <v>2253515033.5940366</v>
      </c>
      <c r="GC223" s="887">
        <f t="shared" si="574"/>
        <v>1408446.8959962728</v>
      </c>
      <c r="GD223" s="1078">
        <f t="shared" si="620"/>
        <v>1.2645182465165236E-3</v>
      </c>
    </row>
    <row r="224" spans="1:186" hidden="1" outlineLevel="1">
      <c r="A224" s="211" t="s">
        <v>610</v>
      </c>
      <c r="B224" s="212" t="s">
        <v>611</v>
      </c>
      <c r="C224" s="213" t="s">
        <v>215</v>
      </c>
      <c r="D224" s="225" t="s">
        <v>215</v>
      </c>
      <c r="E224" s="213"/>
      <c r="F224" s="213"/>
      <c r="G224" s="213"/>
      <c r="H224" s="213" t="s">
        <v>215</v>
      </c>
      <c r="I224" s="214" t="s">
        <v>215</v>
      </c>
      <c r="J224" s="214"/>
      <c r="K224" s="213" t="s">
        <v>215</v>
      </c>
      <c r="L224" s="213"/>
      <c r="M224" s="214"/>
      <c r="N224" s="213"/>
      <c r="O224" s="214"/>
      <c r="P224" s="213"/>
      <c r="Q224" s="214"/>
      <c r="R224" s="214" t="s">
        <v>215</v>
      </c>
      <c r="S224" s="214"/>
      <c r="T224" s="214"/>
      <c r="U224" s="215">
        <f t="shared" si="652"/>
        <v>6</v>
      </c>
      <c r="V224" s="845" t="s">
        <v>219</v>
      </c>
      <c r="W224" s="216">
        <v>237687</v>
      </c>
      <c r="X224" s="217">
        <v>3.23</v>
      </c>
      <c r="Y224" s="218">
        <f t="shared" si="640"/>
        <v>1.0323</v>
      </c>
      <c r="Z224" s="196">
        <v>19</v>
      </c>
      <c r="AA224" s="218">
        <f t="shared" si="641"/>
        <v>1.8294166166228893</v>
      </c>
      <c r="AB224" s="196">
        <f t="shared" si="642"/>
        <v>434828.54735524469</v>
      </c>
      <c r="AC224">
        <v>19.5</v>
      </c>
      <c r="AD224" s="196">
        <f t="shared" si="643"/>
        <v>84791.56673427271</v>
      </c>
      <c r="AE224" s="196">
        <f t="shared" si="644"/>
        <v>80551.988397559064</v>
      </c>
      <c r="AF224" s="196">
        <f t="shared" si="653"/>
        <v>80551.988397559064</v>
      </c>
      <c r="AG224" s="606">
        <f t="shared" si="577"/>
        <v>3.7243703136480015E-3</v>
      </c>
      <c r="AH224" s="196">
        <f t="shared" si="666"/>
        <v>21741.427367762237</v>
      </c>
      <c r="AI224" s="248">
        <f t="shared" si="552"/>
        <v>1.6842754367004807E-3</v>
      </c>
      <c r="AJ224" s="196">
        <f t="shared" si="578"/>
        <v>106532.99410203495</v>
      </c>
      <c r="AK224" s="196">
        <f t="shared" si="605"/>
        <v>17393.141894209788</v>
      </c>
      <c r="AL224" s="196">
        <f t="shared" si="606"/>
        <v>17393.141894209788</v>
      </c>
      <c r="AM224" s="196">
        <f t="shared" si="553"/>
        <v>34786.283788419576</v>
      </c>
      <c r="AN224" s="627">
        <f t="shared" si="554"/>
        <v>1.6842754367004805E-3</v>
      </c>
      <c r="AO224" s="196">
        <f t="shared" si="555"/>
        <v>16523.4847994993</v>
      </c>
      <c r="AP224" s="589">
        <f t="shared" si="579"/>
        <v>1.6842754367004805E-3</v>
      </c>
      <c r="AQ224" s="196"/>
      <c r="AR224" s="589"/>
      <c r="AS224">
        <v>1</v>
      </c>
      <c r="AT224" s="589">
        <f t="shared" si="580"/>
        <v>1.2919896640826874E-3</v>
      </c>
      <c r="AU224" s="196">
        <v>10</v>
      </c>
      <c r="AV224" s="245">
        <f t="shared" si="556"/>
        <v>1.1362345188046814E-3</v>
      </c>
      <c r="AX224" s="245"/>
      <c r="AY224" s="245"/>
      <c r="AZ224" s="196">
        <v>51</v>
      </c>
      <c r="BA224" s="589">
        <f t="shared" si="613"/>
        <v>1.8687479388809498E-3</v>
      </c>
      <c r="BI224" s="196">
        <v>0</v>
      </c>
      <c r="BK224" s="246">
        <f t="shared" si="614"/>
        <v>0</v>
      </c>
      <c r="BL224" s="246"/>
      <c r="BM224" s="246">
        <f t="shared" si="615"/>
        <v>0</v>
      </c>
      <c r="BN224" s="196">
        <v>1</v>
      </c>
      <c r="BO224" s="196">
        <f t="shared" si="654"/>
        <v>26279.387427279948</v>
      </c>
      <c r="BP224" s="196">
        <f t="shared" si="582"/>
        <v>26279.387427279948</v>
      </c>
      <c r="BQ224" s="248">
        <f t="shared" si="616"/>
        <v>2.4583143173374177E-3</v>
      </c>
      <c r="BR224" s="248"/>
      <c r="BS224" s="248"/>
      <c r="BT224" s="276">
        <v>1</v>
      </c>
      <c r="BU224" s="196">
        <f t="shared" si="667"/>
        <v>67154.920853543983</v>
      </c>
      <c r="BV224" s="264">
        <f t="shared" si="617"/>
        <v>4.6579925123518958E-3</v>
      </c>
      <c r="BW224" s="196">
        <f t="shared" si="668"/>
        <v>287273.82809571596</v>
      </c>
      <c r="BX224" s="247">
        <f t="shared" si="618"/>
        <v>4.6579925543112711E-3</v>
      </c>
      <c r="BY224" s="196">
        <f t="shared" si="639"/>
        <v>354428.74894925993</v>
      </c>
      <c r="BZ224" s="620">
        <v>0</v>
      </c>
      <c r="CA224" s="196">
        <f t="shared" si="655"/>
        <v>133057.53549070487</v>
      </c>
      <c r="CB224" s="196">
        <f t="shared" si="656"/>
        <v>266115.07098140975</v>
      </c>
      <c r="CC224" s="196">
        <f t="shared" si="585"/>
        <v>399172.60647211462</v>
      </c>
      <c r="CD224" s="247">
        <f t="shared" si="557"/>
        <v>1.6842754367004805E-3</v>
      </c>
      <c r="CE224" s="196">
        <f t="shared" si="657"/>
        <v>35479.313644578702</v>
      </c>
      <c r="CF224" s="247">
        <f t="shared" si="558"/>
        <v>1.5321071019106151E-3</v>
      </c>
      <c r="CG224" s="196">
        <f t="shared" si="621"/>
        <v>66093.939197997199</v>
      </c>
      <c r="CH224" s="589">
        <f t="shared" si="587"/>
        <v>1.6842754367004805E-3</v>
      </c>
      <c r="CI224" s="196">
        <f t="shared" si="658"/>
        <v>158462.47821534672</v>
      </c>
      <c r="CJ224" s="248">
        <f t="shared" si="589"/>
        <v>2.6051227396293492E-3</v>
      </c>
      <c r="CK224" s="196">
        <f t="shared" si="659"/>
        <v>167121.78160455541</v>
      </c>
      <c r="CL224" s="589">
        <f t="shared" si="591"/>
        <v>2.4024099860493718E-3</v>
      </c>
      <c r="CM224" s="196">
        <f t="shared" si="660"/>
        <v>16189.888360040291</v>
      </c>
      <c r="CN224" s="589">
        <f t="shared" si="593"/>
        <v>2.3331469051133726E-3</v>
      </c>
      <c r="CO224" s="196">
        <f t="shared" si="661"/>
        <v>1295.1468486888893</v>
      </c>
      <c r="CP224" s="589">
        <f t="shared" si="595"/>
        <v>2.4424474672879071E-3</v>
      </c>
      <c r="CQ224" s="196">
        <f>'Detailed Budget'!$AC$12</f>
        <v>292876014141.44696</v>
      </c>
      <c r="CR224" s="269">
        <f t="shared" si="604"/>
        <v>0</v>
      </c>
      <c r="CS224" s="269">
        <f>'Detailed Budget'!$AC$16</f>
        <v>10488008800.000002</v>
      </c>
      <c r="CT224" s="607">
        <f t="shared" si="622"/>
        <v>0</v>
      </c>
      <c r="CU224" s="269">
        <f>'Detailed Budget'!$AC$24</f>
        <v>30624985696</v>
      </c>
      <c r="CV224" s="269">
        <f t="shared" si="612"/>
        <v>0</v>
      </c>
      <c r="CW224" s="269"/>
      <c r="CX224" s="269">
        <f t="shared" si="596"/>
        <v>0</v>
      </c>
      <c r="CY224" s="196">
        <f>'Detailed Budget'!$AC$97</f>
        <v>74629165494.837845</v>
      </c>
      <c r="CZ224" s="269">
        <f t="shared" si="623"/>
        <v>183461946.02690345</v>
      </c>
      <c r="DA224" s="269">
        <f>'Detailed Budget'!$AC$100</f>
        <v>14925833098.967569</v>
      </c>
      <c r="DB224" s="269">
        <f t="shared" si="624"/>
        <v>36692389.205380693</v>
      </c>
      <c r="DC224" s="269">
        <f t="shared" si="560"/>
        <v>220154335.23228413</v>
      </c>
      <c r="DD224" s="207">
        <v>0</v>
      </c>
      <c r="DE224" s="606">
        <v>0</v>
      </c>
      <c r="DF224" s="269">
        <f>'Detailed Budget'!$AC$147</f>
        <v>5913600671000</v>
      </c>
      <c r="DG224" s="269">
        <f t="shared" si="607"/>
        <v>0</v>
      </c>
      <c r="DH224" s="269">
        <f>'Detailed Budget'!$AC$153</f>
        <v>226428026880.00003</v>
      </c>
      <c r="DI224" s="269"/>
      <c r="DJ224" s="269">
        <f>'Detailed Budget'!$AC$156</f>
        <v>27713070000</v>
      </c>
      <c r="DK224" s="269"/>
      <c r="DL224" s="269"/>
      <c r="DM224" s="196">
        <f>'Detailed Budget'!$AC$178</f>
        <v>5622683761.6229038</v>
      </c>
      <c r="DN224" s="269">
        <f t="shared" si="662"/>
        <v>26190418.860962078</v>
      </c>
      <c r="DO224" s="196">
        <f>'Detailed Budget'!$AC$179</f>
        <v>26827890683.128094</v>
      </c>
      <c r="DP224" s="269">
        <f t="shared" si="663"/>
        <v>124964115.04988737</v>
      </c>
      <c r="DQ224" s="269">
        <f t="shared" si="625"/>
        <v>151154533.91084945</v>
      </c>
      <c r="DR224" s="269">
        <f>'Detailed Budget'!$AC$181</f>
        <v>50888946855.375237</v>
      </c>
      <c r="DS224" s="269">
        <f t="shared" si="664"/>
        <v>189529282.96097034</v>
      </c>
      <c r="DT224" s="269">
        <f t="shared" si="665"/>
        <v>340683816.87181979</v>
      </c>
      <c r="DU224" s="272">
        <f>'Detailed Budget'!$AC$192</f>
        <v>77498869683.252869</v>
      </c>
      <c r="DV224" s="269">
        <f t="shared" si="626"/>
        <v>0</v>
      </c>
      <c r="DW224" s="140">
        <f>'Detailed Budget'!$AC$194</f>
        <v>2684962805.4134097</v>
      </c>
      <c r="DX224" s="269">
        <f t="shared" si="627"/>
        <v>0</v>
      </c>
      <c r="DY224" s="607">
        <f t="shared" si="561"/>
        <v>0</v>
      </c>
      <c r="DZ224" s="196">
        <f>'Detailed Budget'!$AC$198</f>
        <v>18732540018.380611</v>
      </c>
      <c r="EA224" s="269">
        <f t="shared" si="647"/>
        <v>28700257.598985739</v>
      </c>
      <c r="EB224" s="196">
        <f>'Detailed Budget'!$AC$200</f>
        <v>4683135004.5951529</v>
      </c>
      <c r="EC224" s="269">
        <f t="shared" si="628"/>
        <v>7175064.3997464348</v>
      </c>
      <c r="ED224" s="269">
        <f t="shared" si="563"/>
        <v>35875321.998732172</v>
      </c>
      <c r="EE224" s="196">
        <f>'Detailed Budget'!$AC$161</f>
        <v>251147290106.36197</v>
      </c>
      <c r="EF224" s="269">
        <f t="shared" si="629"/>
        <v>423001211.72003508</v>
      </c>
      <c r="EG224" s="196">
        <f>'Detailed Budget'!$AC$163</f>
        <v>15696705631.647623</v>
      </c>
      <c r="EH224" s="269">
        <f t="shared" si="630"/>
        <v>26437575.732502192</v>
      </c>
      <c r="EI224" s="269">
        <f t="shared" si="564"/>
        <v>449438787.4525373</v>
      </c>
      <c r="EJ224" s="196">
        <f>'Detailed Budget'!$AC$204</f>
        <v>45012172507.531975</v>
      </c>
      <c r="EK224" s="269">
        <f t="shared" si="631"/>
        <v>117262234.15949057</v>
      </c>
      <c r="EL224" s="201">
        <f>'Detailed Budget'!$AC$206</f>
        <v>11253043126.882994</v>
      </c>
      <c r="EM224" s="269">
        <f t="shared" si="632"/>
        <v>29315558.539872643</v>
      </c>
      <c r="EN224" s="269">
        <f t="shared" si="565"/>
        <v>146577792.6993632</v>
      </c>
      <c r="EO224" s="140">
        <f>'Detailed Budget'!$AC$209</f>
        <v>135789361677.54817</v>
      </c>
      <c r="EP224" s="269">
        <f t="shared" si="633"/>
        <v>326221718.4934116</v>
      </c>
      <c r="EQ224" s="196">
        <f>'Detailed Budget'!$AC$211</f>
        <v>33947340419.387043</v>
      </c>
      <c r="ER224" s="269">
        <f t="shared" si="634"/>
        <v>81555429.6233529</v>
      </c>
      <c r="ES224" s="269">
        <f t="shared" si="566"/>
        <v>407777148.11676449</v>
      </c>
      <c r="ET224" s="196">
        <f>'Detailed Budget'!$AC$214</f>
        <v>22239745544.201103</v>
      </c>
      <c r="EU224" s="269">
        <f t="shared" si="635"/>
        <v>51888593.486961722</v>
      </c>
      <c r="EV224" s="140">
        <f>'Detailed Budget'!$AC$217</f>
        <v>5559936386.0502758</v>
      </c>
      <c r="EW224" s="269">
        <f t="shared" si="636"/>
        <v>12972148.371740431</v>
      </c>
      <c r="EX224" s="269">
        <f t="shared" si="567"/>
        <v>64860741.858702153</v>
      </c>
      <c r="EY224" s="196">
        <f>'Detailed Budget'!$AC$219</f>
        <v>372777004.58170313</v>
      </c>
      <c r="EZ224" s="269">
        <f t="shared" si="637"/>
        <v>910488.25070375332</v>
      </c>
      <c r="FA224" s="196">
        <f>'Detailed Budget'!$AC$222</f>
        <v>93194251.145425782</v>
      </c>
      <c r="FB224" s="269">
        <f t="shared" si="638"/>
        <v>227622.06267593833</v>
      </c>
      <c r="FC224" s="269">
        <f t="shared" si="568"/>
        <v>1138110.3133796917</v>
      </c>
      <c r="FD224" s="269"/>
      <c r="FE224" s="269">
        <f t="shared" si="569"/>
        <v>620353792.98820949</v>
      </c>
      <c r="FF224" s="140">
        <f>'Detailed Budget'!$AC$165</f>
        <v>14927760000</v>
      </c>
      <c r="FG224" s="1087">
        <f t="shared" si="608"/>
        <v>846203637.2439642</v>
      </c>
      <c r="FH224" s="269">
        <f t="shared" si="648"/>
        <v>16961436.200431772</v>
      </c>
      <c r="FJ224" s="140">
        <f>'Detailed Budget'!$AC$235</f>
        <v>3623696172</v>
      </c>
      <c r="FK224" s="269">
        <f t="shared" si="649"/>
        <v>4681778</v>
      </c>
      <c r="FL224" s="269">
        <f t="shared" si="609"/>
        <v>4681778</v>
      </c>
      <c r="FO224" s="607"/>
      <c r="FP224" s="607"/>
      <c r="FQ224" s="607"/>
      <c r="FR224" s="269">
        <f>'Detailed Budget'!$AC$257</f>
        <v>13636439388</v>
      </c>
      <c r="FS224" s="269">
        <f t="shared" si="650"/>
        <v>25483068</v>
      </c>
      <c r="FT224" s="269">
        <f t="shared" si="610"/>
        <v>25483068</v>
      </c>
      <c r="FU224" s="269"/>
      <c r="FV224" s="269"/>
      <c r="FW224" s="616"/>
      <c r="FX224" s="140">
        <f>'Detailed Budget'!$AC$278</f>
        <v>1114560000</v>
      </c>
      <c r="FY224" s="269">
        <f t="shared" si="651"/>
        <v>1440000</v>
      </c>
      <c r="FZ224" s="269">
        <f t="shared" si="611"/>
        <v>1440000</v>
      </c>
      <c r="GB224" s="269">
        <f t="shared" si="619"/>
        <v>2561275973.9879789</v>
      </c>
      <c r="GC224" s="887">
        <f t="shared" si="574"/>
        <v>1600797.4837424869</v>
      </c>
      <c r="GD224" s="1078">
        <f t="shared" si="620"/>
        <v>1.4372126012875031E-3</v>
      </c>
    </row>
    <row r="225" spans="1:186" hidden="1" outlineLevel="1">
      <c r="A225" s="211" t="s">
        <v>612</v>
      </c>
      <c r="B225" s="212" t="s">
        <v>601</v>
      </c>
      <c r="C225" s="213" t="s">
        <v>215</v>
      </c>
      <c r="D225" s="225" t="s">
        <v>215</v>
      </c>
      <c r="E225" s="213"/>
      <c r="F225" s="213"/>
      <c r="G225" s="213"/>
      <c r="H225" s="213" t="s">
        <v>215</v>
      </c>
      <c r="I225" s="214" t="s">
        <v>215</v>
      </c>
      <c r="J225" s="214"/>
      <c r="K225" s="213" t="s">
        <v>215</v>
      </c>
      <c r="L225" s="213"/>
      <c r="M225" s="214"/>
      <c r="N225" s="213"/>
      <c r="O225" s="214"/>
      <c r="P225" s="213"/>
      <c r="Q225" s="214"/>
      <c r="R225" s="214" t="s">
        <v>215</v>
      </c>
      <c r="S225" s="214"/>
      <c r="T225" s="214"/>
      <c r="U225" s="215">
        <f t="shared" si="652"/>
        <v>6</v>
      </c>
      <c r="V225" s="845" t="s">
        <v>219</v>
      </c>
      <c r="W225" s="216">
        <v>266844</v>
      </c>
      <c r="X225" s="217">
        <v>3.23</v>
      </c>
      <c r="Y225" s="218">
        <f t="shared" si="640"/>
        <v>1.0323</v>
      </c>
      <c r="Z225" s="196">
        <v>19</v>
      </c>
      <c r="AA225" s="218">
        <f t="shared" si="641"/>
        <v>1.8294166166228893</v>
      </c>
      <c r="AB225" s="196">
        <f t="shared" si="642"/>
        <v>488168.84764611826</v>
      </c>
      <c r="AC225">
        <v>19.5</v>
      </c>
      <c r="AD225" s="196">
        <f t="shared" si="643"/>
        <v>95192.925290993066</v>
      </c>
      <c r="AE225" s="196">
        <f t="shared" si="644"/>
        <v>90433.279026443415</v>
      </c>
      <c r="AF225" s="196">
        <f t="shared" si="653"/>
        <v>90433.279026443415</v>
      </c>
      <c r="AG225" s="606">
        <f t="shared" si="577"/>
        <v>4.1812378126489351E-3</v>
      </c>
      <c r="AH225" s="196">
        <f t="shared" si="666"/>
        <v>24408.442382305915</v>
      </c>
      <c r="AI225" s="248">
        <f t="shared" si="552"/>
        <v>1.8908850489547306E-3</v>
      </c>
      <c r="AJ225" s="196">
        <f t="shared" si="578"/>
        <v>119601.36767329898</v>
      </c>
      <c r="AK225" s="196">
        <f t="shared" si="605"/>
        <v>19526.753905844729</v>
      </c>
      <c r="AL225" s="196">
        <f t="shared" si="606"/>
        <v>19526.753905844729</v>
      </c>
      <c r="AM225" s="196">
        <f t="shared" si="553"/>
        <v>39053.507811689458</v>
      </c>
      <c r="AN225" s="627">
        <f t="shared" si="554"/>
        <v>1.8908850489547302E-3</v>
      </c>
      <c r="AO225" s="196">
        <f t="shared" si="555"/>
        <v>18550.416210552492</v>
      </c>
      <c r="AP225" s="589">
        <f t="shared" si="579"/>
        <v>1.8908850489547302E-3</v>
      </c>
      <c r="AQ225" s="196"/>
      <c r="AR225" s="589"/>
      <c r="AS225">
        <v>1</v>
      </c>
      <c r="AT225" s="589">
        <f t="shared" si="580"/>
        <v>1.2919896640826874E-3</v>
      </c>
      <c r="AU225" s="196">
        <v>11</v>
      </c>
      <c r="AV225" s="245">
        <f t="shared" si="556"/>
        <v>1.2498579706851495E-3</v>
      </c>
      <c r="AX225" s="245"/>
      <c r="AY225" s="245"/>
      <c r="AZ225" s="196">
        <v>27</v>
      </c>
      <c r="BA225" s="589">
        <f t="shared" si="613"/>
        <v>9.8933714411344391E-4</v>
      </c>
      <c r="BI225" s="196">
        <v>0</v>
      </c>
      <c r="BK225" s="246">
        <f t="shared" si="614"/>
        <v>0</v>
      </c>
      <c r="BL225" s="246"/>
      <c r="BM225" s="246">
        <f t="shared" si="615"/>
        <v>0</v>
      </c>
      <c r="BN225" s="196">
        <v>1</v>
      </c>
      <c r="BO225" s="196">
        <f t="shared" si="654"/>
        <v>29503.07277488921</v>
      </c>
      <c r="BP225" s="196">
        <f t="shared" si="582"/>
        <v>29503.07277488921</v>
      </c>
      <c r="BQ225" s="248">
        <f t="shared" si="616"/>
        <v>2.7598750697159962E-3</v>
      </c>
      <c r="BR225" s="248"/>
      <c r="BS225" s="248"/>
      <c r="BT225" s="276">
        <v>1</v>
      </c>
      <c r="BU225" s="196">
        <f t="shared" si="667"/>
        <v>75392.796830466512</v>
      </c>
      <c r="BV225" s="264">
        <f t="shared" si="617"/>
        <v>5.2293871939400535E-3</v>
      </c>
      <c r="BW225" s="196">
        <f t="shared" si="668"/>
        <v>322513.63088588457</v>
      </c>
      <c r="BX225" s="247">
        <f t="shared" si="618"/>
        <v>5.2293872410465745E-3</v>
      </c>
      <c r="BY225" s="196">
        <f t="shared" si="639"/>
        <v>397906.42771635111</v>
      </c>
      <c r="BZ225" s="620">
        <v>0</v>
      </c>
      <c r="CA225" s="196">
        <f t="shared" si="655"/>
        <v>149379.66737971216</v>
      </c>
      <c r="CB225" s="196">
        <f t="shared" si="656"/>
        <v>298759.33475942432</v>
      </c>
      <c r="CC225" s="196">
        <f t="shared" si="585"/>
        <v>448139.00213913649</v>
      </c>
      <c r="CD225" s="247">
        <f t="shared" si="557"/>
        <v>1.8908850489547299E-3</v>
      </c>
      <c r="CE225" s="196">
        <f t="shared" si="657"/>
        <v>39831.551452851687</v>
      </c>
      <c r="CF225" s="247">
        <f t="shared" si="558"/>
        <v>1.7200502656949525E-3</v>
      </c>
      <c r="CG225" s="196">
        <f t="shared" si="621"/>
        <v>74201.664842209968</v>
      </c>
      <c r="CH225" s="589">
        <f t="shared" si="587"/>
        <v>1.8908850489547302E-3</v>
      </c>
      <c r="CI225" s="196">
        <f t="shared" si="658"/>
        <v>177901.02755681204</v>
      </c>
      <c r="CJ225" s="248">
        <f t="shared" si="589"/>
        <v>2.9246924414614772E-3</v>
      </c>
      <c r="CK225" s="196">
        <f t="shared" si="659"/>
        <v>187622.56535059123</v>
      </c>
      <c r="CL225" s="589">
        <f t="shared" si="591"/>
        <v>2.6971129692299474E-3</v>
      </c>
      <c r="CM225" s="196">
        <f t="shared" si="660"/>
        <v>18175.897586096809</v>
      </c>
      <c r="CN225" s="589">
        <f t="shared" si="593"/>
        <v>2.6193534048899307E-3</v>
      </c>
      <c r="CO225" s="196">
        <f t="shared" si="661"/>
        <v>1454.0221623039458</v>
      </c>
      <c r="CP225" s="589">
        <f t="shared" si="595"/>
        <v>2.7420618374626054E-3</v>
      </c>
      <c r="CQ225" s="196">
        <f>'Detailed Budget'!$AC$12</f>
        <v>292876014141.44696</v>
      </c>
      <c r="CR225" s="269">
        <f t="shared" si="604"/>
        <v>0</v>
      </c>
      <c r="CS225" s="269">
        <f>'Detailed Budget'!$AC$16</f>
        <v>10488008800.000002</v>
      </c>
      <c r="CT225" s="607">
        <f t="shared" si="622"/>
        <v>0</v>
      </c>
      <c r="CU225" s="269">
        <f>'Detailed Budget'!$AC$24</f>
        <v>30624985696</v>
      </c>
      <c r="CV225" s="269">
        <f t="shared" si="612"/>
        <v>0</v>
      </c>
      <c r="CW225" s="269"/>
      <c r="CX225" s="269">
        <f t="shared" si="596"/>
        <v>0</v>
      </c>
      <c r="CY225" s="196">
        <f>'Detailed Budget'!$AC$97</f>
        <v>74629165494.837845</v>
      </c>
      <c r="CZ225" s="269">
        <f t="shared" si="623"/>
        <v>205967173.32291222</v>
      </c>
      <c r="DA225" s="269">
        <f>'Detailed Budget'!$AC$100</f>
        <v>14925833098.967569</v>
      </c>
      <c r="DB225" s="269">
        <f t="shared" si="624"/>
        <v>41193434.664582446</v>
      </c>
      <c r="DC225" s="269">
        <f t="shared" si="560"/>
        <v>247160607.98749465</v>
      </c>
      <c r="DD225" s="207">
        <v>0</v>
      </c>
      <c r="DE225" s="606">
        <v>0</v>
      </c>
      <c r="DF225" s="269">
        <f>'Detailed Budget'!$AC$147</f>
        <v>5913600671000</v>
      </c>
      <c r="DG225" s="269">
        <f t="shared" si="607"/>
        <v>0</v>
      </c>
      <c r="DH225" s="269">
        <f>'Detailed Budget'!$AC$153</f>
        <v>226428026880.00003</v>
      </c>
      <c r="DI225" s="269"/>
      <c r="DJ225" s="269">
        <f>'Detailed Budget'!$AC$156</f>
        <v>27713070000</v>
      </c>
      <c r="DK225" s="269"/>
      <c r="DL225" s="269"/>
      <c r="DM225" s="196">
        <f>'Detailed Budget'!$AC$178</f>
        <v>5622683761.6229038</v>
      </c>
      <c r="DN225" s="269">
        <f t="shared" si="662"/>
        <v>29403190.458605502</v>
      </c>
      <c r="DO225" s="196">
        <f>'Detailed Budget'!$AC$179</f>
        <v>26827890683.128094</v>
      </c>
      <c r="DP225" s="269">
        <f t="shared" si="663"/>
        <v>140293429.24254233</v>
      </c>
      <c r="DQ225" s="269">
        <f t="shared" si="625"/>
        <v>169696619.70114782</v>
      </c>
      <c r="DR225" s="269">
        <f>'Detailed Budget'!$AC$181</f>
        <v>50888946855.375237</v>
      </c>
      <c r="DS225" s="269">
        <f t="shared" si="664"/>
        <v>212778788.83757704</v>
      </c>
      <c r="DT225" s="269">
        <f t="shared" si="665"/>
        <v>382475408.5387249</v>
      </c>
      <c r="DU225" s="272">
        <f>'Detailed Budget'!$AC$192</f>
        <v>77498869683.252869</v>
      </c>
      <c r="DV225" s="269">
        <f t="shared" si="626"/>
        <v>0</v>
      </c>
      <c r="DW225" s="140">
        <f>'Detailed Budget'!$AC$194</f>
        <v>2684962805.4134097</v>
      </c>
      <c r="DX225" s="269">
        <f t="shared" si="627"/>
        <v>0</v>
      </c>
      <c r="DY225" s="607">
        <f t="shared" si="561"/>
        <v>0</v>
      </c>
      <c r="DZ225" s="196">
        <f>'Detailed Budget'!$AC$198</f>
        <v>18732540018.380611</v>
      </c>
      <c r="EA225" s="269">
        <f t="shared" si="647"/>
        <v>32220910.435756899</v>
      </c>
      <c r="EB225" s="196">
        <f>'Detailed Budget'!$AC$200</f>
        <v>4683135004.5951529</v>
      </c>
      <c r="EC225" s="269">
        <f t="shared" si="628"/>
        <v>8055227.6089392249</v>
      </c>
      <c r="ED225" s="269">
        <f t="shared" si="563"/>
        <v>40276138.044696122</v>
      </c>
      <c r="EE225" s="196">
        <f>'Detailed Budget'!$AC$161</f>
        <v>251147290106.36197</v>
      </c>
      <c r="EF225" s="269">
        <f t="shared" si="629"/>
        <v>474890655.94761604</v>
      </c>
      <c r="EG225" s="196">
        <f>'Detailed Budget'!$AC$163</f>
        <v>15696705631.647623</v>
      </c>
      <c r="EH225" s="269">
        <f t="shared" si="630"/>
        <v>29680665.996726003</v>
      </c>
      <c r="EI225" s="269">
        <f t="shared" si="564"/>
        <v>504571321.94434202</v>
      </c>
      <c r="EJ225" s="196">
        <f>'Detailed Budget'!$AC$204</f>
        <v>45012172507.531975</v>
      </c>
      <c r="EK225" s="269">
        <f t="shared" si="631"/>
        <v>131646760.70653887</v>
      </c>
      <c r="EL225" s="201">
        <f>'Detailed Budget'!$AC$206</f>
        <v>11253043126.882994</v>
      </c>
      <c r="EM225" s="269">
        <f t="shared" si="632"/>
        <v>32911690.176634718</v>
      </c>
      <c r="EN225" s="269">
        <f t="shared" si="565"/>
        <v>164558450.88317358</v>
      </c>
      <c r="EO225" s="140">
        <f>'Detailed Budget'!$AC$209</f>
        <v>135789361677.54817</v>
      </c>
      <c r="EP225" s="269">
        <f t="shared" si="633"/>
        <v>366239248.4639712</v>
      </c>
      <c r="EQ225" s="196">
        <f>'Detailed Budget'!$AC$211</f>
        <v>33947340419.387043</v>
      </c>
      <c r="ER225" s="269">
        <f t="shared" si="634"/>
        <v>91559812.115992799</v>
      </c>
      <c r="ES225" s="269">
        <f t="shared" si="566"/>
        <v>457799060.57996398</v>
      </c>
      <c r="ET225" s="196">
        <f>'Detailed Budget'!$AC$214</f>
        <v>22239745544.201103</v>
      </c>
      <c r="EU225" s="269">
        <f t="shared" si="635"/>
        <v>58253753.215088822</v>
      </c>
      <c r="EV225" s="140">
        <f>'Detailed Budget'!$AC$217</f>
        <v>5559936386.0502758</v>
      </c>
      <c r="EW225" s="269">
        <f t="shared" si="636"/>
        <v>14563438.303772205</v>
      </c>
      <c r="EX225" s="269">
        <f t="shared" si="567"/>
        <v>72817191.518861026</v>
      </c>
      <c r="EY225" s="196">
        <f>'Detailed Budget'!$AC$219</f>
        <v>372777004.58170313</v>
      </c>
      <c r="EZ225" s="269">
        <f t="shared" si="637"/>
        <v>1022177.5981471109</v>
      </c>
      <c r="FA225" s="196">
        <f>'Detailed Budget'!$AC$222</f>
        <v>93194251.145425782</v>
      </c>
      <c r="FB225" s="269">
        <f t="shared" si="638"/>
        <v>255544.39953677772</v>
      </c>
      <c r="FC225" s="269">
        <f t="shared" si="568"/>
        <v>1277721.9976838885</v>
      </c>
      <c r="FD225" s="269"/>
      <c r="FE225" s="269">
        <f t="shared" si="569"/>
        <v>696452424.97968256</v>
      </c>
      <c r="FF225" s="140">
        <f>'Detailed Budget'!$AC$165</f>
        <v>14927760000</v>
      </c>
      <c r="FG225" s="1087">
        <f t="shared" si="608"/>
        <v>950007208.54202557</v>
      </c>
      <c r="FH225" s="269">
        <f t="shared" si="648"/>
        <v>18657579.820474949</v>
      </c>
      <c r="FJ225" s="140">
        <f>'Detailed Budget'!$AC$235</f>
        <v>3623696172</v>
      </c>
      <c r="FK225" s="269">
        <f t="shared" si="649"/>
        <v>4681778</v>
      </c>
      <c r="FL225" s="269">
        <f t="shared" si="609"/>
        <v>4681778</v>
      </c>
      <c r="FO225" s="607"/>
      <c r="FP225" s="607"/>
      <c r="FQ225" s="607"/>
      <c r="FR225" s="269">
        <f>'Detailed Budget'!$AC$257</f>
        <v>13636439388</v>
      </c>
      <c r="FS225" s="269">
        <f t="shared" si="650"/>
        <v>13491035.999999998</v>
      </c>
      <c r="FT225" s="269">
        <f t="shared" si="610"/>
        <v>13491035.999999998</v>
      </c>
      <c r="FU225" s="269"/>
      <c r="FV225" s="269"/>
      <c r="FW225" s="616"/>
      <c r="FX225" s="140">
        <f>'Detailed Budget'!$AC$278</f>
        <v>1114560000</v>
      </c>
      <c r="FY225" s="269">
        <f t="shared" si="651"/>
        <v>1440000</v>
      </c>
      <c r="FZ225" s="269">
        <f t="shared" si="611"/>
        <v>1440000</v>
      </c>
      <c r="GB225" s="269">
        <f t="shared" si="619"/>
        <v>2859213503.8574409</v>
      </c>
      <c r="GC225" s="887">
        <f t="shared" si="574"/>
        <v>1787008.4399109005</v>
      </c>
      <c r="GD225" s="1078">
        <f t="shared" si="620"/>
        <v>1.6043947310828113E-3</v>
      </c>
    </row>
    <row r="226" spans="1:186" hidden="1" outlineLevel="1">
      <c r="A226" s="211" t="s">
        <v>613</v>
      </c>
      <c r="B226" s="212" t="s">
        <v>614</v>
      </c>
      <c r="C226" s="213" t="s">
        <v>215</v>
      </c>
      <c r="D226" s="225" t="s">
        <v>215</v>
      </c>
      <c r="E226" s="213"/>
      <c r="F226" s="213"/>
      <c r="G226" s="213"/>
      <c r="H226" s="213" t="s">
        <v>215</v>
      </c>
      <c r="I226" s="214" t="s">
        <v>215</v>
      </c>
      <c r="J226" s="214"/>
      <c r="K226" s="213" t="s">
        <v>215</v>
      </c>
      <c r="L226" s="213"/>
      <c r="M226" s="214"/>
      <c r="N226" s="213"/>
      <c r="O226" s="214"/>
      <c r="P226" s="213"/>
      <c r="Q226" s="214"/>
      <c r="R226" s="214" t="s">
        <v>215</v>
      </c>
      <c r="S226" s="214"/>
      <c r="T226" s="214"/>
      <c r="U226" s="215">
        <f t="shared" si="652"/>
        <v>6</v>
      </c>
      <c r="V226" s="845" t="s">
        <v>219</v>
      </c>
      <c r="W226" s="216">
        <v>160392</v>
      </c>
      <c r="X226" s="217">
        <v>3.23</v>
      </c>
      <c r="Y226" s="218">
        <f t="shared" si="640"/>
        <v>1.0323</v>
      </c>
      <c r="Z226" s="196">
        <v>19</v>
      </c>
      <c r="AA226" s="218">
        <f t="shared" si="641"/>
        <v>1.8294166166228893</v>
      </c>
      <c r="AB226" s="196">
        <f t="shared" si="642"/>
        <v>293423.78997337847</v>
      </c>
      <c r="AC226">
        <v>19.5</v>
      </c>
      <c r="AD226" s="196">
        <f t="shared" si="643"/>
        <v>57217.639044808799</v>
      </c>
      <c r="AE226" s="196">
        <f t="shared" si="644"/>
        <v>54356.757092568354</v>
      </c>
      <c r="AF226" s="196">
        <f t="shared" si="653"/>
        <v>54356.757092568354</v>
      </c>
      <c r="AG226" s="606">
        <f t="shared" si="577"/>
        <v>2.5132178173254333E-3</v>
      </c>
      <c r="AH226" s="196">
        <f t="shared" si="666"/>
        <v>14671.189498668924</v>
      </c>
      <c r="AI226" s="248">
        <f t="shared" si="552"/>
        <v>1.1365548214385451E-3</v>
      </c>
      <c r="AJ226" s="196">
        <f t="shared" si="578"/>
        <v>71888.828543477721</v>
      </c>
      <c r="AK226" s="196">
        <f t="shared" si="605"/>
        <v>11736.951598935138</v>
      </c>
      <c r="AL226" s="196">
        <f t="shared" si="606"/>
        <v>11736.951598935138</v>
      </c>
      <c r="AM226" s="196">
        <f t="shared" si="553"/>
        <v>23473.903197870277</v>
      </c>
      <c r="AN226" s="627">
        <f t="shared" si="554"/>
        <v>1.1365548214385451E-3</v>
      </c>
      <c r="AO226" s="196">
        <f t="shared" si="555"/>
        <v>11150.104018988382</v>
      </c>
      <c r="AP226" s="589">
        <f t="shared" si="579"/>
        <v>1.1365548214385451E-3</v>
      </c>
      <c r="AQ226" s="196"/>
      <c r="AR226" s="589"/>
      <c r="AS226">
        <v>1</v>
      </c>
      <c r="AT226" s="589">
        <f t="shared" si="580"/>
        <v>1.2919896640826874E-3</v>
      </c>
      <c r="AU226" s="196">
        <v>10</v>
      </c>
      <c r="AV226" s="245">
        <f t="shared" si="556"/>
        <v>1.1362345188046814E-3</v>
      </c>
      <c r="AX226" s="245"/>
      <c r="AY226" s="245"/>
      <c r="AZ226" s="196">
        <v>57</v>
      </c>
      <c r="BA226" s="589">
        <f t="shared" si="613"/>
        <v>2.088600637572826E-3</v>
      </c>
      <c r="BI226" s="196">
        <v>0</v>
      </c>
      <c r="BK226" s="246">
        <f t="shared" si="614"/>
        <v>0</v>
      </c>
      <c r="BL226" s="246"/>
      <c r="BM226" s="246">
        <f t="shared" si="615"/>
        <v>0</v>
      </c>
      <c r="BN226" s="196">
        <v>1</v>
      </c>
      <c r="BO226" s="196">
        <f t="shared" si="654"/>
        <v>17733.420457308501</v>
      </c>
      <c r="BP226" s="196">
        <f t="shared" si="582"/>
        <v>17733.420457308501</v>
      </c>
      <c r="BQ226" s="248">
        <f t="shared" si="616"/>
        <v>1.6588789037111122E-3</v>
      </c>
      <c r="BR226" s="248"/>
      <c r="BS226" s="248"/>
      <c r="BT226" s="276">
        <v>1</v>
      </c>
      <c r="BU226" s="196">
        <f t="shared" si="667"/>
        <v>45316.370123488574</v>
      </c>
      <c r="BV226" s="264">
        <f t="shared" si="617"/>
        <v>3.1432292680758536E-3</v>
      </c>
      <c r="BW226" s="196">
        <f t="shared" si="668"/>
        <v>193853.36108381223</v>
      </c>
      <c r="BX226" s="247">
        <f t="shared" si="618"/>
        <v>3.1432292963901828E-3</v>
      </c>
      <c r="BY226" s="196">
        <f t="shared" si="639"/>
        <v>239169.73120730079</v>
      </c>
      <c r="BZ226" s="620">
        <v>0</v>
      </c>
      <c r="CA226" s="196">
        <f t="shared" si="655"/>
        <v>89787.679731853801</v>
      </c>
      <c r="CB226" s="196">
        <f t="shared" si="656"/>
        <v>179575.3594637076</v>
      </c>
      <c r="CC226" s="196">
        <f t="shared" si="585"/>
        <v>269363.03919556143</v>
      </c>
      <c r="CD226" s="247">
        <f t="shared" si="557"/>
        <v>1.1365548214385451E-3</v>
      </c>
      <c r="CE226" s="196">
        <f t="shared" si="657"/>
        <v>23941.562113541197</v>
      </c>
      <c r="CF226" s="247">
        <f t="shared" si="558"/>
        <v>1.0338711090200447E-3</v>
      </c>
      <c r="CG226" s="196">
        <f t="shared" si="621"/>
        <v>44600.41607595353</v>
      </c>
      <c r="CH226" s="589">
        <f t="shared" si="587"/>
        <v>1.1365548214385451E-3</v>
      </c>
      <c r="CI226" s="196">
        <f t="shared" si="658"/>
        <v>106931.02191502225</v>
      </c>
      <c r="CJ226" s="248">
        <f t="shared" si="589"/>
        <v>1.7579457288561453E-3</v>
      </c>
      <c r="CK226" s="196">
        <f t="shared" si="659"/>
        <v>112774.34943904316</v>
      </c>
      <c r="CL226" s="589">
        <f t="shared" si="591"/>
        <v>1.6211544698802663E-3</v>
      </c>
      <c r="CM226" s="196">
        <f t="shared" si="660"/>
        <v>10924.992001428696</v>
      </c>
      <c r="CN226" s="589">
        <f t="shared" si="593"/>
        <v>1.5744155061275715E-3</v>
      </c>
      <c r="CO226" s="196">
        <f t="shared" si="661"/>
        <v>873.96952023000142</v>
      </c>
      <c r="CP226" s="589">
        <f t="shared" si="595"/>
        <v>1.6481718990657545E-3</v>
      </c>
      <c r="CQ226" s="196">
        <f>'Detailed Budget'!$AC$12</f>
        <v>292876014141.44696</v>
      </c>
      <c r="CR226" s="269">
        <f t="shared" ref="CR226:CR249" si="669">BK226*CQ226</f>
        <v>0</v>
      </c>
      <c r="CS226" s="269">
        <f>'Detailed Budget'!$AC$16</f>
        <v>10488008800.000002</v>
      </c>
      <c r="CT226" s="607">
        <f t="shared" si="622"/>
        <v>0</v>
      </c>
      <c r="CU226" s="269">
        <f>'Detailed Budget'!$AC$24</f>
        <v>30624985696</v>
      </c>
      <c r="CV226" s="269">
        <f t="shared" si="612"/>
        <v>0</v>
      </c>
      <c r="CW226" s="269"/>
      <c r="CX226" s="269">
        <f t="shared" si="596"/>
        <v>0</v>
      </c>
      <c r="CY226" s="196">
        <f>'Detailed Budget'!$AC$97</f>
        <v>74629165494.837845</v>
      </c>
      <c r="CZ226" s="269">
        <f t="shared" si="623"/>
        <v>123800748.24095176</v>
      </c>
      <c r="DA226" s="269">
        <f>'Detailed Budget'!$AC$100</f>
        <v>14925833098.967569</v>
      </c>
      <c r="DB226" s="269">
        <f t="shared" si="624"/>
        <v>24760149.648190353</v>
      </c>
      <c r="DC226" s="269">
        <f t="shared" si="560"/>
        <v>148560897.88914213</v>
      </c>
      <c r="DD226" s="207">
        <v>0</v>
      </c>
      <c r="DE226" s="606">
        <v>0</v>
      </c>
      <c r="DF226" s="269">
        <f>'Detailed Budget'!$AC$147</f>
        <v>5913600671000</v>
      </c>
      <c r="DG226" s="269">
        <f t="shared" si="607"/>
        <v>0</v>
      </c>
      <c r="DH226" s="269">
        <f>'Detailed Budget'!$AC$153</f>
        <v>226428026880.00003</v>
      </c>
      <c r="DI226" s="269"/>
      <c r="DJ226" s="269">
        <f>'Detailed Budget'!$AC$156</f>
        <v>27713070000</v>
      </c>
      <c r="DK226" s="269"/>
      <c r="DL226" s="269"/>
      <c r="DM226" s="196">
        <f>'Detailed Budget'!$AC$178</f>
        <v>5622683761.6229038</v>
      </c>
      <c r="DN226" s="269">
        <f t="shared" si="662"/>
        <v>17673384.164667949</v>
      </c>
      <c r="DO226" s="196">
        <f>'Detailed Budget'!$AC$179</f>
        <v>26827890683.128094</v>
      </c>
      <c r="DP226" s="269">
        <f t="shared" si="663"/>
        <v>84326211.955561459</v>
      </c>
      <c r="DQ226" s="269">
        <f t="shared" si="625"/>
        <v>101999596.12022941</v>
      </c>
      <c r="DR226" s="269">
        <f>'Detailed Budget'!$AC$181</f>
        <v>50888946855.375237</v>
      </c>
      <c r="DS226" s="269">
        <f t="shared" si="664"/>
        <v>127895007.94185613</v>
      </c>
      <c r="DT226" s="269">
        <f t="shared" si="665"/>
        <v>229894604.06208554</v>
      </c>
      <c r="DU226" s="272">
        <f>'Detailed Budget'!$AC$192</f>
        <v>77498869683.252869</v>
      </c>
      <c r="DV226" s="269">
        <f t="shared" si="626"/>
        <v>0</v>
      </c>
      <c r="DW226" s="140">
        <f>'Detailed Budget'!$AC$194</f>
        <v>2684962805.4134097</v>
      </c>
      <c r="DX226" s="269">
        <f t="shared" si="627"/>
        <v>0</v>
      </c>
      <c r="DY226" s="607">
        <f t="shared" si="561"/>
        <v>0</v>
      </c>
      <c r="DZ226" s="196">
        <f>'Detailed Budget'!$AC$198</f>
        <v>18732540018.380611</v>
      </c>
      <c r="EA226" s="269">
        <f t="shared" si="647"/>
        <v>19367031.923565533</v>
      </c>
      <c r="EB226" s="196">
        <f>'Detailed Budget'!$AC$200</f>
        <v>4683135004.5951529</v>
      </c>
      <c r="EC226" s="269">
        <f t="shared" si="628"/>
        <v>4841757.9808913833</v>
      </c>
      <c r="ED226" s="269">
        <f t="shared" si="563"/>
        <v>24208789.904456917</v>
      </c>
      <c r="EE226" s="196">
        <f>'Detailed Budget'!$AC$161</f>
        <v>251147290106.36197</v>
      </c>
      <c r="EF226" s="269">
        <f t="shared" si="629"/>
        <v>285442663.46161073</v>
      </c>
      <c r="EG226" s="196">
        <f>'Detailed Budget'!$AC$163</f>
        <v>15696705631.647623</v>
      </c>
      <c r="EH226" s="269">
        <f t="shared" si="630"/>
        <v>17840166.466350671</v>
      </c>
      <c r="EI226" s="269">
        <f t="shared" si="564"/>
        <v>303282829.92796141</v>
      </c>
      <c r="EJ226" s="196">
        <f>'Detailed Budget'!$AC$204</f>
        <v>45012172507.531975</v>
      </c>
      <c r="EK226" s="269">
        <f t="shared" si="631"/>
        <v>79128956.406151846</v>
      </c>
      <c r="EL226" s="201">
        <f>'Detailed Budget'!$AC$206</f>
        <v>11253043126.882994</v>
      </c>
      <c r="EM226" s="269">
        <f t="shared" si="632"/>
        <v>19782239.101537962</v>
      </c>
      <c r="EN226" s="269">
        <f t="shared" si="565"/>
        <v>98911195.507689804</v>
      </c>
      <c r="EO226" s="140">
        <f>'Detailed Budget'!$AC$209</f>
        <v>135789361677.54817</v>
      </c>
      <c r="EP226" s="269">
        <f t="shared" si="633"/>
        <v>220135530.64574537</v>
      </c>
      <c r="EQ226" s="196">
        <f>'Detailed Budget'!$AC$211</f>
        <v>33947340419.387043</v>
      </c>
      <c r="ER226" s="269">
        <f t="shared" si="634"/>
        <v>55033882.661436342</v>
      </c>
      <c r="ES226" s="269">
        <f t="shared" si="566"/>
        <v>275169413.30718172</v>
      </c>
      <c r="ET226" s="196">
        <f>'Detailed Budget'!$AC$214</f>
        <v>22239745544.201103</v>
      </c>
      <c r="EU226" s="269">
        <f t="shared" si="635"/>
        <v>35014600.237121783</v>
      </c>
      <c r="EV226" s="140">
        <f>'Detailed Budget'!$AC$217</f>
        <v>5559936386.0502758</v>
      </c>
      <c r="EW226" s="269">
        <f t="shared" si="636"/>
        <v>8753650.0592804458</v>
      </c>
      <c r="EX226" s="269">
        <f t="shared" si="567"/>
        <v>43768250.296402231</v>
      </c>
      <c r="EY226" s="196">
        <f>'Detailed Budget'!$AC$219</f>
        <v>372777004.58170313</v>
      </c>
      <c r="EZ226" s="269">
        <f t="shared" si="637"/>
        <v>614400.58356946916</v>
      </c>
      <c r="FA226" s="196">
        <f>'Detailed Budget'!$AC$222</f>
        <v>93194251.145425782</v>
      </c>
      <c r="FB226" s="269">
        <f t="shared" si="638"/>
        <v>153600.14589236729</v>
      </c>
      <c r="FC226" s="269">
        <f t="shared" si="568"/>
        <v>768000.7294618364</v>
      </c>
      <c r="FD226" s="269"/>
      <c r="FE226" s="269">
        <f t="shared" si="569"/>
        <v>418616859.84073561</v>
      </c>
      <c r="FF226" s="140">
        <f>'Detailed Budget'!$AC$165</f>
        <v>14927760000</v>
      </c>
      <c r="FG226" s="1087">
        <f t="shared" si="608"/>
        <v>571021106.68582606</v>
      </c>
      <c r="FH226" s="269">
        <f t="shared" si="648"/>
        <v>16961436.200431772</v>
      </c>
      <c r="FJ226" s="140">
        <f>'Detailed Budget'!$AC$235</f>
        <v>3623696172</v>
      </c>
      <c r="FK226" s="269">
        <f t="shared" si="649"/>
        <v>4681778</v>
      </c>
      <c r="FL226" s="269">
        <f t="shared" si="609"/>
        <v>4681778</v>
      </c>
      <c r="FO226" s="607"/>
      <c r="FP226" s="607"/>
      <c r="FQ226" s="607"/>
      <c r="FR226" s="269">
        <f>'Detailed Budget'!$AC$257</f>
        <v>13636439388</v>
      </c>
      <c r="FS226" s="269">
        <f t="shared" si="650"/>
        <v>28481075.999999996</v>
      </c>
      <c r="FT226" s="269">
        <f t="shared" si="610"/>
        <v>28481075.999999996</v>
      </c>
      <c r="FU226" s="269"/>
      <c r="FV226" s="269"/>
      <c r="FW226" s="616"/>
      <c r="FX226" s="140">
        <f>'Detailed Budget'!$AC$278</f>
        <v>1114560000</v>
      </c>
      <c r="FY226" s="269">
        <f t="shared" si="651"/>
        <v>1440000</v>
      </c>
      <c r="FZ226" s="269">
        <f t="shared" si="611"/>
        <v>1440000</v>
      </c>
      <c r="GB226" s="269">
        <f t="shared" si="619"/>
        <v>1747149378.5106394</v>
      </c>
      <c r="GC226" s="887">
        <f t="shared" si="574"/>
        <v>1091968.3615691497</v>
      </c>
      <c r="GD226" s="1078">
        <f t="shared" si="620"/>
        <v>9.8038053244898235E-4</v>
      </c>
    </row>
    <row r="227" spans="1:186" hidden="1" outlineLevel="1">
      <c r="A227" s="211" t="s">
        <v>615</v>
      </c>
      <c r="B227" s="212" t="s">
        <v>616</v>
      </c>
      <c r="C227" s="213" t="s">
        <v>215</v>
      </c>
      <c r="D227" s="225" t="s">
        <v>215</v>
      </c>
      <c r="E227" s="213"/>
      <c r="F227" s="213"/>
      <c r="G227" s="213"/>
      <c r="H227" s="213" t="s">
        <v>215</v>
      </c>
      <c r="I227" s="214" t="s">
        <v>215</v>
      </c>
      <c r="J227" s="214"/>
      <c r="K227" s="213" t="s">
        <v>215</v>
      </c>
      <c r="L227" s="213"/>
      <c r="M227" s="214"/>
      <c r="N227" s="213"/>
      <c r="O227" s="214"/>
      <c r="P227" s="213"/>
      <c r="Q227" s="214"/>
      <c r="R227" s="214" t="s">
        <v>215</v>
      </c>
      <c r="S227" s="214"/>
      <c r="T227" s="214"/>
      <c r="U227" s="215">
        <f t="shared" si="652"/>
        <v>6</v>
      </c>
      <c r="V227" s="845" t="s">
        <v>219</v>
      </c>
      <c r="W227" s="216">
        <v>193995</v>
      </c>
      <c r="X227" s="217">
        <v>3.23</v>
      </c>
      <c r="Y227" s="218">
        <f t="shared" si="640"/>
        <v>1.0323</v>
      </c>
      <c r="Z227" s="196">
        <v>19</v>
      </c>
      <c r="AA227" s="218">
        <f t="shared" si="641"/>
        <v>1.8294166166228893</v>
      </c>
      <c r="AB227" s="196">
        <f t="shared" si="642"/>
        <v>354897.67654175742</v>
      </c>
      <c r="AC227">
        <v>19.5</v>
      </c>
      <c r="AD227" s="196">
        <f t="shared" si="643"/>
        <v>69205.046925642702</v>
      </c>
      <c r="AE227" s="196">
        <f t="shared" si="644"/>
        <v>65744.794579360561</v>
      </c>
      <c r="AF227" s="196">
        <f t="shared" si="653"/>
        <v>65744.794579360561</v>
      </c>
      <c r="AG227" s="606">
        <f t="shared" si="577"/>
        <v>3.039750676293378E-3</v>
      </c>
      <c r="AH227" s="196">
        <f t="shared" si="666"/>
        <v>17744.883827087873</v>
      </c>
      <c r="AI227" s="248">
        <f t="shared" si="552"/>
        <v>1.3746692639593657E-3</v>
      </c>
      <c r="AJ227" s="196">
        <f t="shared" si="578"/>
        <v>86949.930752730579</v>
      </c>
      <c r="AK227" s="196">
        <f t="shared" si="605"/>
        <v>14195.907061670297</v>
      </c>
      <c r="AL227" s="196">
        <f t="shared" si="606"/>
        <v>14195.907061670297</v>
      </c>
      <c r="AM227" s="196">
        <f t="shared" si="553"/>
        <v>28391.814123340595</v>
      </c>
      <c r="AN227" s="627">
        <f t="shared" si="554"/>
        <v>1.3746692639593657E-3</v>
      </c>
      <c r="AO227" s="196">
        <f t="shared" si="555"/>
        <v>13486.111708586781</v>
      </c>
      <c r="AP227" s="589">
        <f t="shared" si="579"/>
        <v>1.3746692639593655E-3</v>
      </c>
      <c r="AQ227" s="196"/>
      <c r="AR227" s="589"/>
      <c r="AS227">
        <v>1</v>
      </c>
      <c r="AT227" s="589">
        <f t="shared" si="580"/>
        <v>1.2919896640826874E-3</v>
      </c>
      <c r="AU227" s="196">
        <v>10</v>
      </c>
      <c r="AV227" s="245">
        <f t="shared" si="556"/>
        <v>1.1362345188046814E-3</v>
      </c>
      <c r="AX227" s="245"/>
      <c r="AY227" s="245"/>
      <c r="AZ227" s="196">
        <v>51</v>
      </c>
      <c r="BA227" s="589">
        <f t="shared" si="613"/>
        <v>1.8687479388809498E-3</v>
      </c>
      <c r="BI227" s="196">
        <v>0</v>
      </c>
      <c r="BK227" s="246">
        <f t="shared" si="614"/>
        <v>0</v>
      </c>
      <c r="BL227" s="246"/>
      <c r="BM227" s="246">
        <f t="shared" si="615"/>
        <v>0</v>
      </c>
      <c r="BN227" s="196">
        <v>1</v>
      </c>
      <c r="BO227" s="196">
        <f t="shared" si="654"/>
        <v>21448.668896301329</v>
      </c>
      <c r="BP227" s="196">
        <f t="shared" si="582"/>
        <v>21448.668896301329</v>
      </c>
      <c r="BQ227" s="248">
        <f t="shared" si="616"/>
        <v>2.006423094203185E-3</v>
      </c>
      <c r="BR227" s="248"/>
      <c r="BS227" s="248"/>
      <c r="BT227" s="276">
        <v>1</v>
      </c>
      <c r="BU227" s="196">
        <f t="shared" si="667"/>
        <v>54810.397165109018</v>
      </c>
      <c r="BV227" s="264">
        <f t="shared" si="617"/>
        <v>3.8017529668585414E-3</v>
      </c>
      <c r="BW227" s="196">
        <f t="shared" si="668"/>
        <v>234466.69898407749</v>
      </c>
      <c r="BX227" s="247">
        <f t="shared" si="618"/>
        <v>3.8017530011048781E-3</v>
      </c>
      <c r="BY227" s="196">
        <f t="shared" si="639"/>
        <v>289277.09614918649</v>
      </c>
      <c r="BZ227" s="620">
        <v>0</v>
      </c>
      <c r="CA227" s="196">
        <f t="shared" si="655"/>
        <v>108598.68902177778</v>
      </c>
      <c r="CB227" s="196">
        <f t="shared" si="656"/>
        <v>217197.37804355557</v>
      </c>
      <c r="CC227" s="196">
        <f t="shared" si="585"/>
        <v>325796.06706533337</v>
      </c>
      <c r="CD227" s="247">
        <f t="shared" si="557"/>
        <v>1.3746692639593657E-3</v>
      </c>
      <c r="CE227" s="196">
        <f t="shared" si="657"/>
        <v>28957.450136019408</v>
      </c>
      <c r="CF227" s="247">
        <f t="shared" si="558"/>
        <v>1.2504727529698712E-3</v>
      </c>
      <c r="CG227" s="196">
        <f t="shared" si="621"/>
        <v>53944.446834347124</v>
      </c>
      <c r="CH227" s="589">
        <f t="shared" si="587"/>
        <v>1.3746692639593655E-3</v>
      </c>
      <c r="CI227" s="196">
        <f t="shared" si="658"/>
        <v>129333.65502272396</v>
      </c>
      <c r="CJ227" s="248">
        <f t="shared" si="589"/>
        <v>2.1262449602813603E-3</v>
      </c>
      <c r="CK227" s="196">
        <f t="shared" si="659"/>
        <v>136401.19157705607</v>
      </c>
      <c r="CL227" s="589">
        <f t="shared" si="591"/>
        <v>1.9607951854482908E-3</v>
      </c>
      <c r="CM227" s="196">
        <f t="shared" si="660"/>
        <v>13213.837493872265</v>
      </c>
      <c r="CN227" s="589">
        <f t="shared" si="593"/>
        <v>1.9042641535189926E-3</v>
      </c>
      <c r="CO227" s="196">
        <f t="shared" si="661"/>
        <v>1057.0709080067529</v>
      </c>
      <c r="CP227" s="589">
        <f t="shared" si="595"/>
        <v>1.9934729136070442E-3</v>
      </c>
      <c r="CQ227" s="196">
        <f>'Detailed Budget'!$AC$12</f>
        <v>292876014141.44696</v>
      </c>
      <c r="CR227" s="269">
        <f t="shared" si="669"/>
        <v>0</v>
      </c>
      <c r="CS227" s="269">
        <f>'Detailed Budget'!$AC$16</f>
        <v>10488008800.000002</v>
      </c>
      <c r="CT227" s="607">
        <f t="shared" si="622"/>
        <v>0</v>
      </c>
      <c r="CU227" s="269">
        <f>'Detailed Budget'!$AC$24</f>
        <v>30624985696</v>
      </c>
      <c r="CV227" s="269">
        <f t="shared" si="612"/>
        <v>0</v>
      </c>
      <c r="CW227" s="269"/>
      <c r="CX227" s="269">
        <f t="shared" si="596"/>
        <v>0</v>
      </c>
      <c r="CY227" s="196">
        <f>'Detailed Budget'!$AC$97</f>
        <v>74629165494.837845</v>
      </c>
      <c r="CZ227" s="269">
        <f t="shared" si="623"/>
        <v>149737681.14995411</v>
      </c>
      <c r="DA227" s="269">
        <f>'Detailed Budget'!$AC$100</f>
        <v>14925833098.967569</v>
      </c>
      <c r="DB227" s="269">
        <f t="shared" si="624"/>
        <v>29947536.229990825</v>
      </c>
      <c r="DC227" s="269">
        <f t="shared" si="560"/>
        <v>179685217.37994492</v>
      </c>
      <c r="DD227" s="207">
        <v>0</v>
      </c>
      <c r="DE227" s="606">
        <v>0</v>
      </c>
      <c r="DF227" s="269">
        <f>'Detailed Budget'!$AC$147</f>
        <v>5913600671000</v>
      </c>
      <c r="DG227" s="269">
        <f t="shared" si="607"/>
        <v>0</v>
      </c>
      <c r="DH227" s="269">
        <f>'Detailed Budget'!$AC$153</f>
        <v>226428026880.00003</v>
      </c>
      <c r="DI227" s="269"/>
      <c r="DJ227" s="269">
        <f>'Detailed Budget'!$AC$156</f>
        <v>27713070000</v>
      </c>
      <c r="DK227" s="269"/>
      <c r="DL227" s="269"/>
      <c r="DM227" s="196">
        <f>'Detailed Budget'!$AC$178</f>
        <v>5622683761.6229038</v>
      </c>
      <c r="DN227" s="269">
        <f t="shared" si="662"/>
        <v>21376054.672457218</v>
      </c>
      <c r="DO227" s="196">
        <f>'Detailed Budget'!$AC$179</f>
        <v>26827890683.128094</v>
      </c>
      <c r="DP227" s="269">
        <f t="shared" si="663"/>
        <v>101993013.91789582</v>
      </c>
      <c r="DQ227" s="269">
        <f t="shared" si="625"/>
        <v>123369068.59035304</v>
      </c>
      <c r="DR227" s="269">
        <f>'Detailed Budget'!$AC$181</f>
        <v>50888946855.375237</v>
      </c>
      <c r="DS227" s="269">
        <f t="shared" si="664"/>
        <v>154689710.61948463</v>
      </c>
      <c r="DT227" s="269">
        <f t="shared" si="665"/>
        <v>278058779.20983768</v>
      </c>
      <c r="DU227" s="272">
        <f>'Detailed Budget'!$AC$192</f>
        <v>77498869683.252869</v>
      </c>
      <c r="DV227" s="269">
        <f t="shared" si="626"/>
        <v>0</v>
      </c>
      <c r="DW227" s="140">
        <f>'Detailed Budget'!$AC$194</f>
        <v>2684962805.4134097</v>
      </c>
      <c r="DX227" s="269">
        <f t="shared" si="627"/>
        <v>0</v>
      </c>
      <c r="DY227" s="607">
        <f t="shared" si="561"/>
        <v>0</v>
      </c>
      <c r="DZ227" s="196">
        <f>'Detailed Budget'!$AC$198</f>
        <v>18732540018.380611</v>
      </c>
      <c r="EA227" s="269">
        <f t="shared" si="647"/>
        <v>23424530.886902686</v>
      </c>
      <c r="EB227" s="196">
        <f>'Detailed Budget'!$AC$200</f>
        <v>4683135004.5951529</v>
      </c>
      <c r="EC227" s="269">
        <f t="shared" si="628"/>
        <v>5856132.7217256716</v>
      </c>
      <c r="ED227" s="269">
        <f t="shared" si="563"/>
        <v>29280663.608628359</v>
      </c>
      <c r="EE227" s="196">
        <f>'Detailed Budget'!$AC$161</f>
        <v>251147290106.36197</v>
      </c>
      <c r="EF227" s="269">
        <f t="shared" si="629"/>
        <v>345244460.43590182</v>
      </c>
      <c r="EG227" s="196">
        <f>'Detailed Budget'!$AC$163</f>
        <v>15696705631.647623</v>
      </c>
      <c r="EH227" s="269">
        <f t="shared" si="630"/>
        <v>21577778.777243864</v>
      </c>
      <c r="EI227" s="269">
        <f t="shared" si="564"/>
        <v>366822239.21314567</v>
      </c>
      <c r="EJ227" s="196">
        <f>'Detailed Budget'!$AC$204</f>
        <v>45012172507.531975</v>
      </c>
      <c r="EK227" s="269">
        <f t="shared" si="631"/>
        <v>95706904.945455059</v>
      </c>
      <c r="EL227" s="201">
        <f>'Detailed Budget'!$AC$206</f>
        <v>11253043126.882994</v>
      </c>
      <c r="EM227" s="269">
        <f t="shared" si="632"/>
        <v>23926726.236363765</v>
      </c>
      <c r="EN227" s="269">
        <f t="shared" si="565"/>
        <v>119633631.18181883</v>
      </c>
      <c r="EO227" s="140">
        <f>'Detailed Budget'!$AC$209</f>
        <v>135789361677.54817</v>
      </c>
      <c r="EP227" s="269">
        <f t="shared" si="633"/>
        <v>266255126.61243311</v>
      </c>
      <c r="EQ227" s="196">
        <f>'Detailed Budget'!$AC$211</f>
        <v>33947340419.387043</v>
      </c>
      <c r="ER227" s="269">
        <f t="shared" si="634"/>
        <v>66563781.653108276</v>
      </c>
      <c r="ES227" s="269">
        <f t="shared" si="566"/>
        <v>332818908.26554137</v>
      </c>
      <c r="ET227" s="196">
        <f>'Detailed Budget'!$AC$214</f>
        <v>22239745544.201103</v>
      </c>
      <c r="EU227" s="269">
        <f t="shared" si="635"/>
        <v>42350350.223205902</v>
      </c>
      <c r="EV227" s="140">
        <f>'Detailed Budget'!$AC$217</f>
        <v>5559936386.0502758</v>
      </c>
      <c r="EW227" s="269">
        <f t="shared" si="636"/>
        <v>10587587.555801475</v>
      </c>
      <c r="EX227" s="269">
        <f t="shared" si="567"/>
        <v>52937937.779007375</v>
      </c>
      <c r="EY227" s="196">
        <f>'Detailed Budget'!$AC$219</f>
        <v>372777004.58170313</v>
      </c>
      <c r="EZ227" s="269">
        <f t="shared" si="637"/>
        <v>743120.86144919426</v>
      </c>
      <c r="FA227" s="196">
        <f>'Detailed Budget'!$AC$222</f>
        <v>93194251.145425782</v>
      </c>
      <c r="FB227" s="269">
        <f t="shared" si="638"/>
        <v>185780.21536229856</v>
      </c>
      <c r="FC227" s="269">
        <f t="shared" si="568"/>
        <v>928901.07681149279</v>
      </c>
      <c r="FD227" s="269"/>
      <c r="FE227" s="269">
        <f t="shared" si="569"/>
        <v>506319378.30317909</v>
      </c>
      <c r="FF227" s="140">
        <f>'Detailed Budget'!$AC$165</f>
        <v>14927760000</v>
      </c>
      <c r="FG227" s="1087">
        <f t="shared" si="608"/>
        <v>690653147.23625124</v>
      </c>
      <c r="FH227" s="269">
        <f t="shared" si="648"/>
        <v>16961436.200431772</v>
      </c>
      <c r="FJ227" s="140">
        <f>'Detailed Budget'!$AC$235</f>
        <v>3623696172</v>
      </c>
      <c r="FK227" s="269">
        <f t="shared" si="649"/>
        <v>4681778</v>
      </c>
      <c r="FL227" s="269">
        <f t="shared" si="609"/>
        <v>4681778</v>
      </c>
      <c r="FO227" s="607"/>
      <c r="FP227" s="607"/>
      <c r="FQ227" s="607"/>
      <c r="FR227" s="269">
        <f>'Detailed Budget'!$AC$257</f>
        <v>13636439388</v>
      </c>
      <c r="FS227" s="269">
        <f t="shared" si="650"/>
        <v>25483068</v>
      </c>
      <c r="FT227" s="269">
        <f t="shared" si="610"/>
        <v>25483068</v>
      </c>
      <c r="FU227" s="269"/>
      <c r="FV227" s="269"/>
      <c r="FW227" s="616"/>
      <c r="FX227" s="140">
        <f>'Detailed Budget'!$AC$278</f>
        <v>1114560000</v>
      </c>
      <c r="FY227" s="269">
        <f t="shared" si="651"/>
        <v>1440000</v>
      </c>
      <c r="FZ227" s="269">
        <f t="shared" si="611"/>
        <v>1440000</v>
      </c>
      <c r="GB227" s="269">
        <f t="shared" si="619"/>
        <v>2099385707.1514187</v>
      </c>
      <c r="GC227" s="887">
        <f t="shared" si="574"/>
        <v>1312116.0669696366</v>
      </c>
      <c r="GD227" s="1078">
        <f t="shared" si="620"/>
        <v>1.1780314280553416E-3</v>
      </c>
    </row>
    <row r="228" spans="1:186" hidden="1" outlineLevel="1">
      <c r="A228" s="211" t="s">
        <v>617</v>
      </c>
      <c r="B228" s="212" t="s">
        <v>618</v>
      </c>
      <c r="C228" s="213" t="s">
        <v>215</v>
      </c>
      <c r="D228" s="225" t="s">
        <v>215</v>
      </c>
      <c r="E228" s="213"/>
      <c r="F228" s="213"/>
      <c r="G228" s="213"/>
      <c r="H228" s="213" t="s">
        <v>215</v>
      </c>
      <c r="I228" s="214" t="s">
        <v>215</v>
      </c>
      <c r="J228" s="214"/>
      <c r="K228" s="213" t="s">
        <v>215</v>
      </c>
      <c r="L228" s="213"/>
      <c r="M228" s="214"/>
      <c r="N228" s="213"/>
      <c r="O228" s="214"/>
      <c r="P228" s="213"/>
      <c r="Q228" s="214"/>
      <c r="R228" s="214" t="s">
        <v>215</v>
      </c>
      <c r="S228" s="214"/>
      <c r="T228" s="214"/>
      <c r="U228" s="215">
        <f t="shared" si="652"/>
        <v>6</v>
      </c>
      <c r="V228" s="845" t="s">
        <v>219</v>
      </c>
      <c r="W228" s="216">
        <v>140185</v>
      </c>
      <c r="X228" s="217">
        <v>3.23</v>
      </c>
      <c r="Y228" s="218">
        <f t="shared" si="640"/>
        <v>1.0323</v>
      </c>
      <c r="Z228" s="196">
        <v>19</v>
      </c>
      <c r="AA228" s="218">
        <f t="shared" si="641"/>
        <v>1.8294166166228893</v>
      </c>
      <c r="AB228" s="196">
        <f t="shared" si="642"/>
        <v>256456.76840127975</v>
      </c>
      <c r="AC228">
        <v>19.5</v>
      </c>
      <c r="AD228" s="196">
        <f t="shared" si="643"/>
        <v>50009.069838249554</v>
      </c>
      <c r="AE228" s="196">
        <f t="shared" si="644"/>
        <v>47508.616346337076</v>
      </c>
      <c r="AF228" s="196">
        <f t="shared" si="653"/>
        <v>47508.616346337076</v>
      </c>
      <c r="AG228" s="606">
        <f t="shared" si="577"/>
        <v>2.1965898531208909E-3</v>
      </c>
      <c r="AH228" s="196">
        <f t="shared" si="666"/>
        <v>12822.838420063988</v>
      </c>
      <c r="AI228" s="248">
        <f t="shared" si="552"/>
        <v>9.9336586390444946E-4</v>
      </c>
      <c r="AJ228" s="196">
        <f t="shared" si="578"/>
        <v>62831.908258313546</v>
      </c>
      <c r="AK228" s="196">
        <f t="shared" si="605"/>
        <v>10258.27073605119</v>
      </c>
      <c r="AL228" s="196">
        <f t="shared" si="606"/>
        <v>10258.27073605119</v>
      </c>
      <c r="AM228" s="196">
        <f t="shared" si="553"/>
        <v>20516.541472102381</v>
      </c>
      <c r="AN228" s="627">
        <f t="shared" si="554"/>
        <v>9.9336586390444946E-4</v>
      </c>
      <c r="AO228" s="196">
        <f t="shared" si="555"/>
        <v>9745.3571992486304</v>
      </c>
      <c r="AP228" s="589">
        <f t="shared" si="579"/>
        <v>9.9336586390444946E-4</v>
      </c>
      <c r="AQ228" s="196"/>
      <c r="AR228" s="589"/>
      <c r="AS228">
        <v>1</v>
      </c>
      <c r="AT228" s="589">
        <f t="shared" si="580"/>
        <v>1.2919896640826874E-3</v>
      </c>
      <c r="AU228" s="196">
        <v>10</v>
      </c>
      <c r="AV228" s="245">
        <f t="shared" si="556"/>
        <v>1.1362345188046814E-3</v>
      </c>
      <c r="AX228" s="245"/>
      <c r="AY228" s="245"/>
      <c r="AZ228" s="196">
        <v>32</v>
      </c>
      <c r="BA228" s="589">
        <f t="shared" si="613"/>
        <v>1.1725477263566744E-3</v>
      </c>
      <c r="BI228" s="196">
        <v>0</v>
      </c>
      <c r="BK228" s="246">
        <f t="shared" si="614"/>
        <v>0</v>
      </c>
      <c r="BL228" s="246"/>
      <c r="BM228" s="246">
        <f t="shared" si="615"/>
        <v>0</v>
      </c>
      <c r="BN228" s="196">
        <v>1</v>
      </c>
      <c r="BO228" s="196">
        <f t="shared" si="654"/>
        <v>15499.273946380074</v>
      </c>
      <c r="BP228" s="196">
        <f t="shared" si="582"/>
        <v>15499.273946380074</v>
      </c>
      <c r="BQ228" s="248">
        <f t="shared" si="616"/>
        <v>1.4498849014710354E-3</v>
      </c>
      <c r="BR228" s="248"/>
      <c r="BS228" s="248"/>
      <c r="BT228" s="276">
        <v>1</v>
      </c>
      <c r="BU228" s="196">
        <f t="shared" si="667"/>
        <v>39607.183311893648</v>
      </c>
      <c r="BV228" s="264">
        <f t="shared" si="617"/>
        <v>2.7472292567285997E-3</v>
      </c>
      <c r="BW228" s="196">
        <f t="shared" si="668"/>
        <v>169430.7286119895</v>
      </c>
      <c r="BX228" s="247">
        <f t="shared" si="618"/>
        <v>2.7472292814757458E-3</v>
      </c>
      <c r="BY228" s="196">
        <f t="shared" si="639"/>
        <v>209037.91192388313</v>
      </c>
      <c r="BZ228" s="620">
        <v>0</v>
      </c>
      <c r="CA228" s="196">
        <f t="shared" si="655"/>
        <v>78475.771130791603</v>
      </c>
      <c r="CB228" s="196">
        <f t="shared" si="656"/>
        <v>156951.54226158321</v>
      </c>
      <c r="CC228" s="196">
        <f t="shared" si="585"/>
        <v>235427.31339237481</v>
      </c>
      <c r="CD228" s="247">
        <f t="shared" si="557"/>
        <v>9.9336586390444946E-4</v>
      </c>
      <c r="CE228" s="196">
        <f t="shared" si="657"/>
        <v>20925.282338812242</v>
      </c>
      <c r="CF228" s="247">
        <f t="shared" si="558"/>
        <v>9.0361876788103504E-4</v>
      </c>
      <c r="CG228" s="196">
        <f t="shared" si="621"/>
        <v>38981.428796994522</v>
      </c>
      <c r="CH228" s="589">
        <f t="shared" si="587"/>
        <v>9.9336586390444946E-4</v>
      </c>
      <c r="CI228" s="196">
        <f t="shared" si="658"/>
        <v>93459.307865463343</v>
      </c>
      <c r="CJ228" s="248">
        <f t="shared" si="589"/>
        <v>1.5364707840771284E-3</v>
      </c>
      <c r="CK228" s="196">
        <f t="shared" si="659"/>
        <v>98566.463265700702</v>
      </c>
      <c r="CL228" s="589">
        <f t="shared" si="591"/>
        <v>1.4169131837009649E-3</v>
      </c>
      <c r="CM228" s="196">
        <f t="shared" si="660"/>
        <v>9548.6059387019432</v>
      </c>
      <c r="CN228" s="589">
        <f t="shared" si="593"/>
        <v>1.3760626323413489E-3</v>
      </c>
      <c r="CO228" s="196">
        <f t="shared" si="661"/>
        <v>763.86239459226624</v>
      </c>
      <c r="CP228" s="589">
        <f t="shared" si="595"/>
        <v>1.4405268197324856E-3</v>
      </c>
      <c r="CQ228" s="196">
        <f>'Detailed Budget'!$AC$12</f>
        <v>292876014141.44696</v>
      </c>
      <c r="CR228" s="269">
        <f t="shared" si="669"/>
        <v>0</v>
      </c>
      <c r="CS228" s="269">
        <f>'Detailed Budget'!$AC$16</f>
        <v>10488008800.000002</v>
      </c>
      <c r="CT228" s="607">
        <f t="shared" si="622"/>
        <v>0</v>
      </c>
      <c r="CU228" s="269">
        <f>'Detailed Budget'!$AC$24</f>
        <v>30624985696</v>
      </c>
      <c r="CV228" s="269">
        <f t="shared" si="612"/>
        <v>0</v>
      </c>
      <c r="CW228" s="269"/>
      <c r="CX228" s="269">
        <f t="shared" si="596"/>
        <v>0</v>
      </c>
      <c r="CY228" s="196">
        <f>'Detailed Budget'!$AC$97</f>
        <v>74629165494.837845</v>
      </c>
      <c r="CZ228" s="269">
        <f t="shared" si="623"/>
        <v>108203700.26034856</v>
      </c>
      <c r="DA228" s="269">
        <f>'Detailed Budget'!$AC$100</f>
        <v>14925833098.967569</v>
      </c>
      <c r="DB228" s="269">
        <f t="shared" si="624"/>
        <v>21640740.052069712</v>
      </c>
      <c r="DC228" s="269">
        <f t="shared" si="560"/>
        <v>129844440.31241827</v>
      </c>
      <c r="DD228" s="207">
        <v>0</v>
      </c>
      <c r="DE228" s="606">
        <v>0</v>
      </c>
      <c r="DF228" s="269">
        <f>'Detailed Budget'!$AC$147</f>
        <v>5913600671000</v>
      </c>
      <c r="DG228" s="269">
        <f t="shared" si="607"/>
        <v>0</v>
      </c>
      <c r="DH228" s="269">
        <f>'Detailed Budget'!$AC$153</f>
        <v>226428026880.00003</v>
      </c>
      <c r="DI228" s="269"/>
      <c r="DJ228" s="269">
        <f>'Detailed Budget'!$AC$156</f>
        <v>27713070000</v>
      </c>
      <c r="DK228" s="269"/>
      <c r="DL228" s="269"/>
      <c r="DM228" s="196">
        <f>'Detailed Budget'!$AC$178</f>
        <v>5622683761.6229038</v>
      </c>
      <c r="DN228" s="269">
        <f t="shared" si="662"/>
        <v>15446801.331263257</v>
      </c>
      <c r="DO228" s="196">
        <f>'Detailed Budget'!$AC$179</f>
        <v>26827890683.128094</v>
      </c>
      <c r="DP228" s="269">
        <f t="shared" si="663"/>
        <v>73702366.844919845</v>
      </c>
      <c r="DQ228" s="269">
        <f t="shared" si="625"/>
        <v>89149168.176183105</v>
      </c>
      <c r="DR228" s="269">
        <f>'Detailed Budget'!$AC$181</f>
        <v>50888946855.375237</v>
      </c>
      <c r="DS228" s="269">
        <f t="shared" si="664"/>
        <v>111782144.29852551</v>
      </c>
      <c r="DT228" s="269">
        <f t="shared" si="665"/>
        <v>200931312.47470862</v>
      </c>
      <c r="DU228" s="272">
        <f>'Detailed Budget'!$AC$192</f>
        <v>77498869683.252869</v>
      </c>
      <c r="DV228" s="269">
        <f t="shared" si="626"/>
        <v>0</v>
      </c>
      <c r="DW228" s="140">
        <f>'Detailed Budget'!$AC$194</f>
        <v>2684962805.4134097</v>
      </c>
      <c r="DX228" s="269">
        <f t="shared" si="627"/>
        <v>0</v>
      </c>
      <c r="DY228" s="607">
        <f t="shared" si="561"/>
        <v>0</v>
      </c>
      <c r="DZ228" s="196">
        <f>'Detailed Budget'!$AC$198</f>
        <v>18732540018.380611</v>
      </c>
      <c r="EA228" s="269">
        <f t="shared" si="647"/>
        <v>16927074.730691269</v>
      </c>
      <c r="EB228" s="196">
        <f>'Detailed Budget'!$AC$200</f>
        <v>4683135004.5951529</v>
      </c>
      <c r="EC228" s="269">
        <f t="shared" si="628"/>
        <v>4231768.6826728173</v>
      </c>
      <c r="ED228" s="269">
        <f t="shared" si="563"/>
        <v>21158843.413364086</v>
      </c>
      <c r="EE228" s="196">
        <f>'Detailed Budget'!$AC$161</f>
        <v>251147290106.36197</v>
      </c>
      <c r="EF228" s="269">
        <f t="shared" si="629"/>
        <v>249481144.80376765</v>
      </c>
      <c r="EG228" s="196">
        <f>'Detailed Budget'!$AC$163</f>
        <v>15696705631.647623</v>
      </c>
      <c r="EH228" s="269">
        <f t="shared" si="630"/>
        <v>15592571.550235478</v>
      </c>
      <c r="EI228" s="269">
        <f t="shared" si="564"/>
        <v>265073716.35400313</v>
      </c>
      <c r="EJ228" s="196">
        <f>'Detailed Budget'!$AC$204</f>
        <v>45012172507.531975</v>
      </c>
      <c r="EK228" s="269">
        <f t="shared" si="631"/>
        <v>69159887.985662609</v>
      </c>
      <c r="EL228" s="201">
        <f>'Detailed Budget'!$AC$206</f>
        <v>11253043126.882994</v>
      </c>
      <c r="EM228" s="269">
        <f t="shared" si="632"/>
        <v>17289971.996415652</v>
      </c>
      <c r="EN228" s="269">
        <f t="shared" si="565"/>
        <v>86449859.982078254</v>
      </c>
      <c r="EO228" s="140">
        <f>'Detailed Budget'!$AC$209</f>
        <v>135789361677.54817</v>
      </c>
      <c r="EP228" s="269">
        <f t="shared" si="633"/>
        <v>192401736.76725659</v>
      </c>
      <c r="EQ228" s="196">
        <f>'Detailed Budget'!$AC$211</f>
        <v>33947340419.387043</v>
      </c>
      <c r="ER228" s="269">
        <f t="shared" si="634"/>
        <v>48100434.191814147</v>
      </c>
      <c r="ES228" s="269">
        <f t="shared" si="566"/>
        <v>240502170.95907074</v>
      </c>
      <c r="ET228" s="196">
        <f>'Detailed Budget'!$AC$214</f>
        <v>22239745544.201103</v>
      </c>
      <c r="EU228" s="269">
        <f t="shared" si="635"/>
        <v>30603282.796155155</v>
      </c>
      <c r="EV228" s="140">
        <f>'Detailed Budget'!$AC$217</f>
        <v>5559936386.0502758</v>
      </c>
      <c r="EW228" s="269">
        <f t="shared" si="636"/>
        <v>7650820.6990387887</v>
      </c>
      <c r="EX228" s="269">
        <f t="shared" si="567"/>
        <v>38254103.495193943</v>
      </c>
      <c r="EY228" s="196">
        <f>'Detailed Budget'!$AC$219</f>
        <v>372777004.58170313</v>
      </c>
      <c r="EZ228" s="269">
        <f t="shared" si="637"/>
        <v>536995.27287948306</v>
      </c>
      <c r="FA228" s="196">
        <f>'Detailed Budget'!$AC$222</f>
        <v>93194251.145425782</v>
      </c>
      <c r="FB228" s="269">
        <f t="shared" si="638"/>
        <v>134248.81821987077</v>
      </c>
      <c r="FC228" s="269">
        <f t="shared" si="568"/>
        <v>671244.09109935386</v>
      </c>
      <c r="FD228" s="269"/>
      <c r="FE228" s="269">
        <f t="shared" si="569"/>
        <v>365877378.52744234</v>
      </c>
      <c r="FF228" s="140">
        <f>'Detailed Budget'!$AC$165</f>
        <v>14927760000</v>
      </c>
      <c r="FG228" s="1087">
        <f t="shared" si="608"/>
        <v>499080963.14499813</v>
      </c>
      <c r="FH228" s="269">
        <f t="shared" si="648"/>
        <v>16961436.200431772</v>
      </c>
      <c r="FJ228" s="140">
        <f>'Detailed Budget'!$AC$235</f>
        <v>3623696172</v>
      </c>
      <c r="FK228" s="269">
        <f t="shared" si="649"/>
        <v>4681778</v>
      </c>
      <c r="FL228" s="269">
        <f t="shared" si="609"/>
        <v>4681778</v>
      </c>
      <c r="FO228" s="607"/>
      <c r="FP228" s="607"/>
      <c r="FQ228" s="607"/>
      <c r="FR228" s="269">
        <f>'Detailed Budget'!$AC$257</f>
        <v>13636439388</v>
      </c>
      <c r="FS228" s="269">
        <f t="shared" si="650"/>
        <v>15989376</v>
      </c>
      <c r="FT228" s="269">
        <f t="shared" si="610"/>
        <v>15989376</v>
      </c>
      <c r="FU228" s="269"/>
      <c r="FV228" s="269"/>
      <c r="FW228" s="616"/>
      <c r="FX228" s="140">
        <f>'Detailed Budget'!$AC$278</f>
        <v>1114560000</v>
      </c>
      <c r="FY228" s="269">
        <f t="shared" si="651"/>
        <v>1440000</v>
      </c>
      <c r="FZ228" s="269">
        <f t="shared" si="611"/>
        <v>1440000</v>
      </c>
      <c r="GB228" s="269">
        <f t="shared" si="619"/>
        <v>1521039244.4273665</v>
      </c>
      <c r="GC228" s="887">
        <f t="shared" si="574"/>
        <v>950649.5277671041</v>
      </c>
      <c r="GD228" s="1078">
        <f t="shared" si="620"/>
        <v>8.5350301620956595E-4</v>
      </c>
    </row>
    <row r="229" spans="1:186" hidden="1" outlineLevel="1">
      <c r="A229" s="211" t="s">
        <v>619</v>
      </c>
      <c r="B229" s="212" t="s">
        <v>620</v>
      </c>
      <c r="C229" s="213" t="s">
        <v>215</v>
      </c>
      <c r="D229" s="225" t="s">
        <v>215</v>
      </c>
      <c r="E229" s="213"/>
      <c r="F229" s="213"/>
      <c r="G229" s="213"/>
      <c r="H229" s="213" t="s">
        <v>215</v>
      </c>
      <c r="I229" s="214" t="s">
        <v>215</v>
      </c>
      <c r="J229" s="214"/>
      <c r="K229" s="213" t="s">
        <v>215</v>
      </c>
      <c r="L229" s="213"/>
      <c r="M229" s="214"/>
      <c r="N229" s="213"/>
      <c r="O229" s="214"/>
      <c r="P229" s="213"/>
      <c r="Q229" s="214"/>
      <c r="R229" s="214" t="s">
        <v>215</v>
      </c>
      <c r="S229" s="214"/>
      <c r="T229" s="214"/>
      <c r="U229" s="215">
        <f t="shared" si="652"/>
        <v>6</v>
      </c>
      <c r="V229" s="845" t="s">
        <v>219</v>
      </c>
      <c r="W229" s="216">
        <v>150948</v>
      </c>
      <c r="X229" s="217">
        <v>3.23</v>
      </c>
      <c r="Y229" s="218">
        <f t="shared" si="640"/>
        <v>1.0323</v>
      </c>
      <c r="Z229" s="196">
        <v>19</v>
      </c>
      <c r="AA229" s="218">
        <f t="shared" si="641"/>
        <v>1.8294166166228893</v>
      </c>
      <c r="AB229" s="196">
        <f t="shared" si="642"/>
        <v>276146.77944599191</v>
      </c>
      <c r="AC229">
        <v>19.5</v>
      </c>
      <c r="AD229" s="196">
        <f t="shared" si="643"/>
        <v>53848.621991968423</v>
      </c>
      <c r="AE229" s="196">
        <f t="shared" si="644"/>
        <v>51156.190892369996</v>
      </c>
      <c r="AF229" s="196">
        <f t="shared" si="653"/>
        <v>51156.190892369996</v>
      </c>
      <c r="AG229" s="606">
        <f t="shared" si="577"/>
        <v>2.3652376869771532E-3</v>
      </c>
      <c r="AH229" s="196">
        <f t="shared" si="666"/>
        <v>13807.338972299596</v>
      </c>
      <c r="AI229" s="248">
        <f t="shared" si="552"/>
        <v>1.0696336300221054E-3</v>
      </c>
      <c r="AJ229" s="196">
        <f t="shared" si="578"/>
        <v>67655.960964268015</v>
      </c>
      <c r="AK229" s="196">
        <f t="shared" si="605"/>
        <v>11045.871177839677</v>
      </c>
      <c r="AL229" s="196">
        <f t="shared" si="606"/>
        <v>11045.871177839677</v>
      </c>
      <c r="AM229" s="196">
        <f t="shared" si="553"/>
        <v>22091.742355679355</v>
      </c>
      <c r="AN229" s="627">
        <f t="shared" si="554"/>
        <v>1.0696336300221054E-3</v>
      </c>
      <c r="AO229" s="196">
        <f t="shared" si="555"/>
        <v>10493.577618947693</v>
      </c>
      <c r="AP229" s="589">
        <f t="shared" si="579"/>
        <v>1.0696336300221054E-3</v>
      </c>
      <c r="AQ229" s="196"/>
      <c r="AR229" s="589"/>
      <c r="AS229">
        <v>1</v>
      </c>
      <c r="AT229" s="589">
        <f t="shared" si="580"/>
        <v>1.2919896640826874E-3</v>
      </c>
      <c r="AU229" s="196">
        <v>10</v>
      </c>
      <c r="AV229" s="245">
        <f t="shared" si="556"/>
        <v>1.1362345188046814E-3</v>
      </c>
      <c r="AX229" s="245"/>
      <c r="AY229" s="245"/>
      <c r="AZ229" s="196">
        <v>52</v>
      </c>
      <c r="BA229" s="589">
        <f t="shared" si="613"/>
        <v>1.9053900553295958E-3</v>
      </c>
      <c r="BI229" s="196">
        <v>0</v>
      </c>
      <c r="BK229" s="246">
        <f t="shared" si="614"/>
        <v>0</v>
      </c>
      <c r="BL229" s="246"/>
      <c r="BM229" s="246">
        <f t="shared" si="615"/>
        <v>0</v>
      </c>
      <c r="BN229" s="196">
        <v>1</v>
      </c>
      <c r="BO229" s="196">
        <f t="shared" si="654"/>
        <v>16689.263499362834</v>
      </c>
      <c r="BP229" s="196">
        <f t="shared" si="582"/>
        <v>16689.263499362834</v>
      </c>
      <c r="BQ229" s="248">
        <f t="shared" si="616"/>
        <v>1.561202882671112E-3</v>
      </c>
      <c r="BR229" s="248"/>
      <c r="BS229" s="248"/>
      <c r="BT229" s="276">
        <v>1</v>
      </c>
      <c r="BU229" s="196">
        <f t="shared" si="667"/>
        <v>42648.108617638994</v>
      </c>
      <c r="BV229" s="264">
        <f t="shared" si="617"/>
        <v>2.9581535959244472E-3</v>
      </c>
      <c r="BW229" s="196">
        <f t="shared" si="668"/>
        <v>182439.13130878902</v>
      </c>
      <c r="BX229" s="247">
        <f t="shared" si="618"/>
        <v>2.9581536225716078E-3</v>
      </c>
      <c r="BY229" s="196">
        <f t="shared" si="639"/>
        <v>225087.23992642801</v>
      </c>
      <c r="BZ229" s="620">
        <v>0</v>
      </c>
      <c r="CA229" s="196">
        <f t="shared" si="655"/>
        <v>84500.914510473536</v>
      </c>
      <c r="CB229" s="196">
        <f t="shared" si="656"/>
        <v>169001.82902094707</v>
      </c>
      <c r="CC229" s="196">
        <f t="shared" si="585"/>
        <v>253502.74353142059</v>
      </c>
      <c r="CD229" s="247">
        <f t="shared" si="557"/>
        <v>1.0696336300221054E-3</v>
      </c>
      <c r="CE229" s="196">
        <f t="shared" si="657"/>
        <v>22531.8651673077</v>
      </c>
      <c r="CF229" s="247">
        <f t="shared" si="558"/>
        <v>9.7299601080077375E-4</v>
      </c>
      <c r="CG229" s="196">
        <f t="shared" si="621"/>
        <v>41974.310475790771</v>
      </c>
      <c r="CH229" s="589">
        <f t="shared" si="587"/>
        <v>1.0696336300221054E-3</v>
      </c>
      <c r="CI229" s="196">
        <f t="shared" si="658"/>
        <v>100634.84398242294</v>
      </c>
      <c r="CJ229" s="248">
        <f t="shared" si="589"/>
        <v>1.6544365796260254E-3</v>
      </c>
      <c r="CK229" s="196">
        <f t="shared" si="659"/>
        <v>106134.11204501899</v>
      </c>
      <c r="CL229" s="589">
        <f t="shared" si="591"/>
        <v>1.5256996915026088E-3</v>
      </c>
      <c r="CM229" s="196">
        <f t="shared" si="660"/>
        <v>10281.720364055933</v>
      </c>
      <c r="CN229" s="589">
        <f t="shared" si="593"/>
        <v>1.4817127526244745E-3</v>
      </c>
      <c r="CO229" s="196">
        <f t="shared" si="661"/>
        <v>822.50954623471409</v>
      </c>
      <c r="CP229" s="589">
        <f t="shared" si="595"/>
        <v>1.5511263144058153E-3</v>
      </c>
      <c r="CQ229" s="196">
        <f>'Detailed Budget'!$AC$12</f>
        <v>292876014141.44696</v>
      </c>
      <c r="CR229" s="269">
        <f t="shared" si="669"/>
        <v>0</v>
      </c>
      <c r="CS229" s="269">
        <f>'Detailed Budget'!$AC$16</f>
        <v>10488008800.000002</v>
      </c>
      <c r="CT229" s="607">
        <f t="shared" si="622"/>
        <v>0</v>
      </c>
      <c r="CU229" s="269">
        <f>'Detailed Budget'!$AC$24</f>
        <v>30624985696</v>
      </c>
      <c r="CV229" s="269">
        <f t="shared" si="612"/>
        <v>0</v>
      </c>
      <c r="CW229" s="269"/>
      <c r="CX229" s="269">
        <f t="shared" si="596"/>
        <v>0</v>
      </c>
      <c r="CY229" s="196">
        <f>'Detailed Budget'!$AC$97</f>
        <v>74629165494.837845</v>
      </c>
      <c r="CZ229" s="269">
        <f t="shared" si="623"/>
        <v>116511268.30188033</v>
      </c>
      <c r="DA229" s="269">
        <f>'Detailed Budget'!$AC$100</f>
        <v>14925833098.967569</v>
      </c>
      <c r="DB229" s="269">
        <f t="shared" si="624"/>
        <v>23302253.660376068</v>
      </c>
      <c r="DC229" s="269">
        <f t="shared" si="560"/>
        <v>139813521.9622564</v>
      </c>
      <c r="DD229" s="207">
        <v>0</v>
      </c>
      <c r="DE229" s="606">
        <v>0</v>
      </c>
      <c r="DF229" s="269">
        <f>'Detailed Budget'!$AC$147</f>
        <v>5913600671000</v>
      </c>
      <c r="DG229" s="269">
        <f t="shared" si="607"/>
        <v>0</v>
      </c>
      <c r="DH229" s="269">
        <f>'Detailed Budget'!$AC$153</f>
        <v>226428026880.00003</v>
      </c>
      <c r="DI229" s="269"/>
      <c r="DJ229" s="269">
        <f>'Detailed Budget'!$AC$156</f>
        <v>27713070000</v>
      </c>
      <c r="DK229" s="269"/>
      <c r="DL229" s="269"/>
      <c r="DM229" s="196">
        <f>'Detailed Budget'!$AC$178</f>
        <v>5622683761.6229038</v>
      </c>
      <c r="DN229" s="269">
        <f t="shared" si="662"/>
        <v>16632762.18819079</v>
      </c>
      <c r="DO229" s="196">
        <f>'Detailed Budget'!$AC$179</f>
        <v>26827890683.128094</v>
      </c>
      <c r="DP229" s="269">
        <f t="shared" si="663"/>
        <v>79361022.010250449</v>
      </c>
      <c r="DQ229" s="269">
        <f t="shared" si="625"/>
        <v>95993784.198441237</v>
      </c>
      <c r="DR229" s="269">
        <f>'Detailed Budget'!$AC$181</f>
        <v>50888946855.375237</v>
      </c>
      <c r="DS229" s="269">
        <f t="shared" si="664"/>
        <v>120364454.952911</v>
      </c>
      <c r="DT229" s="269">
        <f t="shared" si="665"/>
        <v>216358239.15135223</v>
      </c>
      <c r="DU229" s="272">
        <f>'Detailed Budget'!$AC$192</f>
        <v>77498869683.252869</v>
      </c>
      <c r="DV229" s="269">
        <f t="shared" si="626"/>
        <v>0</v>
      </c>
      <c r="DW229" s="140">
        <f>'Detailed Budget'!$AC$194</f>
        <v>2684962805.4134097</v>
      </c>
      <c r="DX229" s="269">
        <f t="shared" si="627"/>
        <v>0</v>
      </c>
      <c r="DY229" s="607">
        <f t="shared" si="561"/>
        <v>0</v>
      </c>
      <c r="DZ229" s="196">
        <f>'Detailed Budget'!$AC$198</f>
        <v>18732540018.380611</v>
      </c>
      <c r="EA229" s="269">
        <f t="shared" si="647"/>
        <v>18226686.710050188</v>
      </c>
      <c r="EB229" s="196">
        <f>'Detailed Budget'!$AC$200</f>
        <v>4683135004.5951529</v>
      </c>
      <c r="EC229" s="269">
        <f t="shared" si="628"/>
        <v>4556671.677512547</v>
      </c>
      <c r="ED229" s="269">
        <f t="shared" si="563"/>
        <v>22783358.387562737</v>
      </c>
      <c r="EE229" s="196">
        <f>'Detailed Budget'!$AC$161</f>
        <v>251147290106.36197</v>
      </c>
      <c r="EF229" s="269">
        <f t="shared" si="629"/>
        <v>268635587.58668274</v>
      </c>
      <c r="EG229" s="196">
        <f>'Detailed Budget'!$AC$163</f>
        <v>15696705631.647623</v>
      </c>
      <c r="EH229" s="269">
        <f t="shared" si="630"/>
        <v>16789724.224167671</v>
      </c>
      <c r="EI229" s="269">
        <f t="shared" si="564"/>
        <v>285425311.81085038</v>
      </c>
      <c r="EJ229" s="196">
        <f>'Detailed Budget'!$AC$204</f>
        <v>45012172507.531975</v>
      </c>
      <c r="EK229" s="269">
        <f t="shared" si="631"/>
        <v>74469784.724897817</v>
      </c>
      <c r="EL229" s="201">
        <f>'Detailed Budget'!$AC$206</f>
        <v>11253043126.882994</v>
      </c>
      <c r="EM229" s="269">
        <f t="shared" si="632"/>
        <v>18617446.181224454</v>
      </c>
      <c r="EN229" s="269">
        <f t="shared" si="565"/>
        <v>93087230.906122267</v>
      </c>
      <c r="EO229" s="140">
        <f>'Detailed Budget'!$AC$209</f>
        <v>135789361677.54817</v>
      </c>
      <c r="EP229" s="269">
        <f t="shared" si="633"/>
        <v>207173787.2207714</v>
      </c>
      <c r="EQ229" s="196">
        <f>'Detailed Budget'!$AC$211</f>
        <v>33947340419.387043</v>
      </c>
      <c r="ER229" s="269">
        <f t="shared" si="634"/>
        <v>51793446.805192851</v>
      </c>
      <c r="ES229" s="269">
        <f t="shared" si="566"/>
        <v>258967234.02596426</v>
      </c>
      <c r="ET229" s="196">
        <f>'Detailed Budget'!$AC$214</f>
        <v>22239745544.201103</v>
      </c>
      <c r="EU229" s="269">
        <f t="shared" si="635"/>
        <v>32952914.587966107</v>
      </c>
      <c r="EV229" s="140">
        <f>'Detailed Budget'!$AC$217</f>
        <v>5559936386.0502758</v>
      </c>
      <c r="EW229" s="269">
        <f t="shared" si="636"/>
        <v>8238228.6469915267</v>
      </c>
      <c r="EX229" s="269">
        <f t="shared" si="567"/>
        <v>41191143.234957635</v>
      </c>
      <c r="EY229" s="196">
        <f>'Detailed Budget'!$AC$219</f>
        <v>372777004.58170313</v>
      </c>
      <c r="EZ229" s="269">
        <f t="shared" si="637"/>
        <v>578224.22121205693</v>
      </c>
      <c r="FA229" s="196">
        <f>'Detailed Budget'!$AC$222</f>
        <v>93194251.145425782</v>
      </c>
      <c r="FB229" s="269">
        <f t="shared" si="638"/>
        <v>144556.05530301423</v>
      </c>
      <c r="FC229" s="269">
        <f t="shared" si="568"/>
        <v>722780.27651507116</v>
      </c>
      <c r="FD229" s="269"/>
      <c r="FE229" s="269">
        <f t="shared" si="569"/>
        <v>393968388.44355923</v>
      </c>
      <c r="FF229" s="140">
        <f>'Detailed Budget'!$AC$165</f>
        <v>14927760000</v>
      </c>
      <c r="FG229" s="1087">
        <f t="shared" si="608"/>
        <v>537398960.1227746</v>
      </c>
      <c r="FH229" s="269">
        <f t="shared" si="648"/>
        <v>16961436.200431772</v>
      </c>
      <c r="FJ229" s="140">
        <f>'Detailed Budget'!$AC$235</f>
        <v>3623696172</v>
      </c>
      <c r="FK229" s="269">
        <f t="shared" si="649"/>
        <v>4681778</v>
      </c>
      <c r="FL229" s="269">
        <f t="shared" si="609"/>
        <v>4681778</v>
      </c>
      <c r="FO229" s="607"/>
      <c r="FP229" s="607"/>
      <c r="FQ229" s="607"/>
      <c r="FR229" s="269">
        <f>'Detailed Budget'!$AC$257</f>
        <v>13636439388</v>
      </c>
      <c r="FS229" s="269">
        <f t="shared" si="650"/>
        <v>25982736</v>
      </c>
      <c r="FT229" s="269">
        <f t="shared" si="610"/>
        <v>25982736</v>
      </c>
      <c r="FU229" s="269"/>
      <c r="FV229" s="269"/>
      <c r="FW229" s="616"/>
      <c r="FX229" s="140">
        <f>'Detailed Budget'!$AC$278</f>
        <v>1114560000</v>
      </c>
      <c r="FY229" s="269">
        <f t="shared" si="651"/>
        <v>1440000</v>
      </c>
      <c r="FZ229" s="269">
        <f t="shared" si="611"/>
        <v>1440000</v>
      </c>
      <c r="GB229" s="269">
        <f t="shared" si="619"/>
        <v>1644813730.0787873</v>
      </c>
      <c r="GC229" s="887">
        <f t="shared" si="574"/>
        <v>1028008.5812992421</v>
      </c>
      <c r="GD229" s="1078">
        <f t="shared" si="620"/>
        <v>9.2295677765610038E-4</v>
      </c>
    </row>
    <row r="230" spans="1:186" hidden="1" outlineLevel="1">
      <c r="A230" s="211" t="s">
        <v>621</v>
      </c>
      <c r="B230" s="212" t="s">
        <v>622</v>
      </c>
      <c r="C230" s="213" t="s">
        <v>215</v>
      </c>
      <c r="D230" s="225" t="s">
        <v>215</v>
      </c>
      <c r="E230" s="213"/>
      <c r="F230" s="213"/>
      <c r="G230" s="213"/>
      <c r="H230" s="213" t="s">
        <v>215</v>
      </c>
      <c r="I230" s="214" t="s">
        <v>215</v>
      </c>
      <c r="J230" s="214"/>
      <c r="K230" s="213" t="s">
        <v>215</v>
      </c>
      <c r="L230" s="213"/>
      <c r="M230" s="214"/>
      <c r="N230" s="213"/>
      <c r="O230" s="214"/>
      <c r="P230" s="213"/>
      <c r="Q230" s="214"/>
      <c r="R230" s="214" t="s">
        <v>215</v>
      </c>
      <c r="S230" s="214"/>
      <c r="T230" s="214"/>
      <c r="U230" s="215">
        <f t="shared" si="652"/>
        <v>6</v>
      </c>
      <c r="V230" s="845" t="s">
        <v>219</v>
      </c>
      <c r="W230" s="216">
        <v>255726</v>
      </c>
      <c r="X230" s="217">
        <v>3.23</v>
      </c>
      <c r="Y230" s="218">
        <f t="shared" si="640"/>
        <v>1.0323</v>
      </c>
      <c r="Z230" s="196">
        <v>19</v>
      </c>
      <c r="AA230" s="218">
        <f t="shared" si="641"/>
        <v>1.8294166166228893</v>
      </c>
      <c r="AB230" s="196">
        <f t="shared" si="642"/>
        <v>467829.39370250498</v>
      </c>
      <c r="AC230">
        <v>19.5</v>
      </c>
      <c r="AD230" s="196">
        <f t="shared" si="643"/>
        <v>91226.731771988474</v>
      </c>
      <c r="AE230" s="196">
        <f t="shared" si="644"/>
        <v>86665.395183389046</v>
      </c>
      <c r="AF230" s="196">
        <f t="shared" si="653"/>
        <v>86665.395183389046</v>
      </c>
      <c r="AG230" s="606">
        <f t="shared" si="577"/>
        <v>4.0070274050661115E-3</v>
      </c>
      <c r="AH230" s="196">
        <f t="shared" si="666"/>
        <v>23391.469685125252</v>
      </c>
      <c r="AI230" s="248">
        <f t="shared" si="552"/>
        <v>1.8121017149682864E-3</v>
      </c>
      <c r="AJ230" s="196">
        <f t="shared" si="578"/>
        <v>114618.20145711373</v>
      </c>
      <c r="AK230" s="196">
        <f t="shared" si="605"/>
        <v>18713.175748100199</v>
      </c>
      <c r="AL230" s="196">
        <f t="shared" si="606"/>
        <v>18713.175748100199</v>
      </c>
      <c r="AM230" s="196">
        <f t="shared" si="553"/>
        <v>37426.351496200397</v>
      </c>
      <c r="AN230" s="627">
        <f t="shared" si="554"/>
        <v>1.8121017149682862E-3</v>
      </c>
      <c r="AO230" s="196">
        <f t="shared" si="555"/>
        <v>17777.516960695189</v>
      </c>
      <c r="AP230" s="589">
        <f t="shared" si="579"/>
        <v>1.8121017149682864E-3</v>
      </c>
      <c r="AQ230" s="196"/>
      <c r="AR230" s="589"/>
      <c r="AS230">
        <v>1</v>
      </c>
      <c r="AT230" s="589">
        <f t="shared" si="580"/>
        <v>1.2919896640826874E-3</v>
      </c>
      <c r="AU230" s="196">
        <v>11</v>
      </c>
      <c r="AV230" s="245">
        <f t="shared" si="556"/>
        <v>1.2498579706851495E-3</v>
      </c>
      <c r="AX230" s="245"/>
      <c r="AY230" s="245"/>
      <c r="AZ230" s="196">
        <v>56</v>
      </c>
      <c r="BA230" s="589">
        <f t="shared" si="613"/>
        <v>2.0519585211241803E-3</v>
      </c>
      <c r="BI230" s="196">
        <v>0</v>
      </c>
      <c r="BK230" s="246">
        <f t="shared" si="614"/>
        <v>0</v>
      </c>
      <c r="BL230" s="246"/>
      <c r="BM230" s="246">
        <f t="shared" si="615"/>
        <v>0</v>
      </c>
      <c r="BN230" s="196">
        <v>1</v>
      </c>
      <c r="BO230" s="196">
        <f t="shared" si="654"/>
        <v>28273.833357434745</v>
      </c>
      <c r="BP230" s="196">
        <f t="shared" si="582"/>
        <v>28273.833357434745</v>
      </c>
      <c r="BQ230" s="248">
        <f t="shared" si="616"/>
        <v>2.6448854464713196E-3</v>
      </c>
      <c r="BR230" s="248"/>
      <c r="BS230" s="248"/>
      <c r="BT230" s="276">
        <v>1</v>
      </c>
      <c r="BU230" s="196">
        <f t="shared" si="667"/>
        <v>72251.57156341488</v>
      </c>
      <c r="BV230" s="264">
        <f t="shared" si="617"/>
        <v>5.0115058594441472E-3</v>
      </c>
      <c r="BW230" s="196">
        <f t="shared" si="668"/>
        <v>309076.16724349698</v>
      </c>
      <c r="BX230" s="247">
        <f t="shared" si="618"/>
        <v>5.0115059045879838E-3</v>
      </c>
      <c r="BY230" s="196">
        <f t="shared" si="639"/>
        <v>381327.73880691186</v>
      </c>
      <c r="BZ230" s="620">
        <v>0</v>
      </c>
      <c r="CA230" s="196">
        <f t="shared" si="655"/>
        <v>143155.79447296652</v>
      </c>
      <c r="CB230" s="196">
        <f t="shared" si="656"/>
        <v>286311.58894593304</v>
      </c>
      <c r="CC230" s="196">
        <f t="shared" si="585"/>
        <v>429467.38341889955</v>
      </c>
      <c r="CD230" s="247">
        <f t="shared" si="557"/>
        <v>1.8121017149682862E-3</v>
      </c>
      <c r="CE230" s="196">
        <f t="shared" si="657"/>
        <v>38171.978110176547</v>
      </c>
      <c r="CF230" s="247">
        <f t="shared" si="558"/>
        <v>1.6483847275753152E-3</v>
      </c>
      <c r="CG230" s="196">
        <f t="shared" si="621"/>
        <v>71110.067842780758</v>
      </c>
      <c r="CH230" s="589">
        <f t="shared" si="587"/>
        <v>1.8121017149682864E-3</v>
      </c>
      <c r="CI230" s="196">
        <f t="shared" si="658"/>
        <v>170488.81808469861</v>
      </c>
      <c r="CJ230" s="248">
        <f t="shared" si="589"/>
        <v>2.8028357365546073E-3</v>
      </c>
      <c r="CK230" s="196">
        <f t="shared" si="659"/>
        <v>179805.31001950687</v>
      </c>
      <c r="CL230" s="589">
        <f t="shared" si="591"/>
        <v>2.5847383159047889E-3</v>
      </c>
      <c r="CM230" s="196">
        <f t="shared" si="660"/>
        <v>17418.602577169404</v>
      </c>
      <c r="CN230" s="589">
        <f t="shared" si="593"/>
        <v>2.5102185877099816E-3</v>
      </c>
      <c r="CO230" s="196">
        <f t="shared" si="661"/>
        <v>1393.4406300210567</v>
      </c>
      <c r="CP230" s="589">
        <f t="shared" si="595"/>
        <v>2.6278143988508725E-3</v>
      </c>
      <c r="CQ230" s="196">
        <f>'Detailed Budget'!$AC$12</f>
        <v>292876014141.44696</v>
      </c>
      <c r="CR230" s="269">
        <f t="shared" si="669"/>
        <v>0</v>
      </c>
      <c r="CS230" s="269">
        <f>'Detailed Budget'!$AC$16</f>
        <v>10488008800.000002</v>
      </c>
      <c r="CT230" s="607">
        <f t="shared" si="622"/>
        <v>0</v>
      </c>
      <c r="CU230" s="269">
        <f>'Detailed Budget'!$AC$24</f>
        <v>30624985696</v>
      </c>
      <c r="CV230" s="269">
        <f t="shared" si="612"/>
        <v>0</v>
      </c>
      <c r="CW230" s="269"/>
      <c r="CX230" s="269">
        <f t="shared" si="596"/>
        <v>0</v>
      </c>
      <c r="CY230" s="196">
        <f>'Detailed Budget'!$AC$97</f>
        <v>74629165494.837845</v>
      </c>
      <c r="CZ230" s="269">
        <f t="shared" si="623"/>
        <v>197385593.6995962</v>
      </c>
      <c r="DA230" s="269">
        <f>'Detailed Budget'!$AC$100</f>
        <v>14925833098.967569</v>
      </c>
      <c r="DB230" s="269">
        <f t="shared" si="624"/>
        <v>39477118.739919238</v>
      </c>
      <c r="DC230" s="269">
        <f t="shared" si="560"/>
        <v>236862712.43951544</v>
      </c>
      <c r="DD230" s="207">
        <v>0</v>
      </c>
      <c r="DE230" s="606">
        <v>0</v>
      </c>
      <c r="DF230" s="269">
        <f>'Detailed Budget'!$AC$147</f>
        <v>5913600671000</v>
      </c>
      <c r="DG230" s="269">
        <f t="shared" si="607"/>
        <v>0</v>
      </c>
      <c r="DH230" s="269">
        <f>'Detailed Budget'!$AC$153</f>
        <v>226428026880.00003</v>
      </c>
      <c r="DI230" s="269"/>
      <c r="DJ230" s="269">
        <f>'Detailed Budget'!$AC$156</f>
        <v>27713070000</v>
      </c>
      <c r="DK230" s="269"/>
      <c r="DL230" s="269"/>
      <c r="DM230" s="196">
        <f>'Detailed Budget'!$AC$178</f>
        <v>5622683761.6229038</v>
      </c>
      <c r="DN230" s="269">
        <f t="shared" si="662"/>
        <v>28178112.61717464</v>
      </c>
      <c r="DO230" s="196">
        <f>'Detailed Budget'!$AC$179</f>
        <v>26827890683.128094</v>
      </c>
      <c r="DP230" s="269">
        <f t="shared" si="663"/>
        <v>134448132.5661374</v>
      </c>
      <c r="DQ230" s="269">
        <f t="shared" si="625"/>
        <v>162626245.18331206</v>
      </c>
      <c r="DR230" s="269">
        <f>'Detailed Budget'!$AC$181</f>
        <v>50888946855.375237</v>
      </c>
      <c r="DS230" s="269">
        <f t="shared" si="664"/>
        <v>203913404.6644415</v>
      </c>
      <c r="DT230" s="269">
        <f t="shared" si="665"/>
        <v>366539649.84775352</v>
      </c>
      <c r="DU230" s="272">
        <f>'Detailed Budget'!$AC$192</f>
        <v>77498869683.252869</v>
      </c>
      <c r="DV230" s="269">
        <f t="shared" si="626"/>
        <v>0</v>
      </c>
      <c r="DW230" s="140">
        <f>'Detailed Budget'!$AC$194</f>
        <v>2684962805.4134097</v>
      </c>
      <c r="DX230" s="269">
        <f t="shared" si="627"/>
        <v>0</v>
      </c>
      <c r="DY230" s="607">
        <f t="shared" si="561"/>
        <v>0</v>
      </c>
      <c r="DZ230" s="196">
        <f>'Detailed Budget'!$AC$198</f>
        <v>18732540018.380611</v>
      </c>
      <c r="EA230" s="269">
        <f t="shared" si="647"/>
        <v>30878432.874992013</v>
      </c>
      <c r="EB230" s="196">
        <f>'Detailed Budget'!$AC$200</f>
        <v>4683135004.5951529</v>
      </c>
      <c r="EC230" s="269">
        <f t="shared" si="628"/>
        <v>7719608.2187480032</v>
      </c>
      <c r="ED230" s="269">
        <f t="shared" si="563"/>
        <v>38598041.093740016</v>
      </c>
      <c r="EE230" s="196">
        <f>'Detailed Budget'!$AC$161</f>
        <v>251147290106.36197</v>
      </c>
      <c r="EF230" s="269">
        <f t="shared" si="629"/>
        <v>455104435.11137629</v>
      </c>
      <c r="EG230" s="196">
        <f>'Detailed Budget'!$AC$163</f>
        <v>15696705631.647623</v>
      </c>
      <c r="EH230" s="269">
        <f t="shared" si="630"/>
        <v>28444027.194461018</v>
      </c>
      <c r="EI230" s="269">
        <f t="shared" si="564"/>
        <v>483548462.30583727</v>
      </c>
      <c r="EJ230" s="196">
        <f>'Detailed Budget'!$AC$204</f>
        <v>45012172507.531975</v>
      </c>
      <c r="EK230" s="269">
        <f t="shared" si="631"/>
        <v>126161725.68407142</v>
      </c>
      <c r="EL230" s="201">
        <f>'Detailed Budget'!$AC$206</f>
        <v>11253043126.882994</v>
      </c>
      <c r="EM230" s="269">
        <f t="shared" si="632"/>
        <v>31540431.421017855</v>
      </c>
      <c r="EN230" s="269">
        <f t="shared" si="565"/>
        <v>157702157.10508928</v>
      </c>
      <c r="EO230" s="140">
        <f>'Detailed Budget'!$AC$209</f>
        <v>135789361677.54817</v>
      </c>
      <c r="EP230" s="269">
        <f t="shared" si="633"/>
        <v>350979966.02021217</v>
      </c>
      <c r="EQ230" s="196">
        <f>'Detailed Budget'!$AC$211</f>
        <v>33947340419.387043</v>
      </c>
      <c r="ER230" s="269">
        <f t="shared" si="634"/>
        <v>87744991.505053043</v>
      </c>
      <c r="ES230" s="269">
        <f t="shared" si="566"/>
        <v>438724957.52526522</v>
      </c>
      <c r="ET230" s="196">
        <f>'Detailed Budget'!$AC$214</f>
        <v>22239745544.201103</v>
      </c>
      <c r="EU230" s="269">
        <f t="shared" si="635"/>
        <v>55826622.650993854</v>
      </c>
      <c r="EV230" s="140">
        <f>'Detailed Budget'!$AC$217</f>
        <v>5559936386.0502758</v>
      </c>
      <c r="EW230" s="269">
        <f t="shared" si="636"/>
        <v>13956655.662748463</v>
      </c>
      <c r="EX230" s="269">
        <f t="shared" si="567"/>
        <v>69783278.31374231</v>
      </c>
      <c r="EY230" s="196">
        <f>'Detailed Budget'!$AC$219</f>
        <v>372777004.58170313</v>
      </c>
      <c r="EZ230" s="269">
        <f t="shared" si="637"/>
        <v>979588.78020029713</v>
      </c>
      <c r="FA230" s="196">
        <f>'Detailed Budget'!$AC$222</f>
        <v>93194251.145425782</v>
      </c>
      <c r="FB230" s="269">
        <f t="shared" si="638"/>
        <v>244897.19505007428</v>
      </c>
      <c r="FC230" s="269">
        <f t="shared" si="568"/>
        <v>1224485.9752503715</v>
      </c>
      <c r="FD230" s="269"/>
      <c r="FE230" s="269">
        <f t="shared" si="569"/>
        <v>667434878.91934717</v>
      </c>
      <c r="FF230" s="140">
        <f>'Detailed Budget'!$AC$165</f>
        <v>14927760000</v>
      </c>
      <c r="FG230" s="1087">
        <f t="shared" si="608"/>
        <v>910425354.93253732</v>
      </c>
      <c r="FH230" s="269">
        <f t="shared" si="648"/>
        <v>18657579.820474949</v>
      </c>
      <c r="FJ230" s="140">
        <f>'Detailed Budget'!$AC$235</f>
        <v>3623696172</v>
      </c>
      <c r="FK230" s="269">
        <f t="shared" si="649"/>
        <v>4681778</v>
      </c>
      <c r="FL230" s="269">
        <f t="shared" si="609"/>
        <v>4681778</v>
      </c>
      <c r="FO230" s="607"/>
      <c r="FP230" s="607"/>
      <c r="FQ230" s="607"/>
      <c r="FR230" s="269">
        <f>'Detailed Budget'!$AC$257</f>
        <v>13636439388</v>
      </c>
      <c r="FS230" s="269">
        <f t="shared" si="650"/>
        <v>27981408</v>
      </c>
      <c r="FT230" s="269">
        <f t="shared" si="610"/>
        <v>27981408</v>
      </c>
      <c r="FU230" s="269"/>
      <c r="FV230" s="269"/>
      <c r="FW230" s="616"/>
      <c r="FX230" s="140">
        <f>'Detailed Budget'!$AC$278</f>
        <v>1114560000</v>
      </c>
      <c r="FY230" s="269">
        <f t="shared" si="651"/>
        <v>1440000</v>
      </c>
      <c r="FZ230" s="269">
        <f t="shared" si="611"/>
        <v>1440000</v>
      </c>
      <c r="GB230" s="269">
        <f t="shared" si="619"/>
        <v>2756169865.3592057</v>
      </c>
      <c r="GC230" s="887">
        <f t="shared" si="574"/>
        <v>1722606.1658495036</v>
      </c>
      <c r="GD230" s="1078">
        <f t="shared" si="620"/>
        <v>1.5465737007697097E-3</v>
      </c>
    </row>
    <row r="231" spans="1:186" hidden="1" outlineLevel="1">
      <c r="A231" s="211"/>
      <c r="B231" s="212"/>
      <c r="C231" s="213"/>
      <c r="D231" s="225"/>
      <c r="E231" s="213"/>
      <c r="F231" s="213"/>
      <c r="G231" s="213"/>
      <c r="H231" s="213"/>
      <c r="I231" s="214"/>
      <c r="J231" s="214"/>
      <c r="K231" s="213"/>
      <c r="L231" s="213"/>
      <c r="M231" s="214"/>
      <c r="N231" s="213"/>
      <c r="O231" s="214"/>
      <c r="P231" s="213"/>
      <c r="Q231" s="214"/>
      <c r="R231" s="214"/>
      <c r="S231" s="214"/>
      <c r="T231" s="214"/>
      <c r="U231" s="215"/>
      <c r="V231" s="845"/>
      <c r="W231" s="216"/>
      <c r="X231" s="217"/>
      <c r="Y231" s="218"/>
      <c r="Z231" s="196"/>
      <c r="AA231" s="218"/>
      <c r="AF231" s="196">
        <f t="shared" si="653"/>
        <v>0</v>
      </c>
      <c r="AG231" s="606">
        <f t="shared" si="577"/>
        <v>0</v>
      </c>
      <c r="AJ231" s="196"/>
      <c r="AK231" s="196"/>
      <c r="AL231" s="196"/>
      <c r="AM231" s="196"/>
      <c r="AO231" s="196"/>
      <c r="AP231" s="589"/>
      <c r="AQ231" s="196"/>
      <c r="AR231" s="589"/>
      <c r="AS231"/>
      <c r="AT231" s="589">
        <f t="shared" si="580"/>
        <v>0</v>
      </c>
      <c r="AV231" s="245">
        <f t="shared" si="556"/>
        <v>0</v>
      </c>
      <c r="AX231" s="245"/>
      <c r="AY231" s="245"/>
      <c r="BA231" s="589">
        <f t="shared" si="613"/>
        <v>0</v>
      </c>
      <c r="BK231" s="246">
        <f t="shared" si="614"/>
        <v>0</v>
      </c>
      <c r="BL231" s="246"/>
      <c r="BM231" s="246">
        <f t="shared" si="615"/>
        <v>0</v>
      </c>
      <c r="BN231" s="196"/>
      <c r="BQ231" s="248">
        <f t="shared" si="616"/>
        <v>0</v>
      </c>
      <c r="BR231" s="248"/>
      <c r="BS231" s="248"/>
      <c r="BT231" s="276"/>
      <c r="BV231" s="264">
        <f t="shared" si="617"/>
        <v>0</v>
      </c>
      <c r="BX231" s="247">
        <f t="shared" si="618"/>
        <v>0</v>
      </c>
      <c r="BY231" s="196"/>
      <c r="BZ231" s="620"/>
      <c r="CA231" s="196">
        <f t="shared" si="655"/>
        <v>0</v>
      </c>
      <c r="CB231" s="196">
        <f t="shared" si="656"/>
        <v>0</v>
      </c>
      <c r="CC231" s="196">
        <f t="shared" si="585"/>
        <v>0</v>
      </c>
      <c r="CD231" s="247">
        <f t="shared" si="557"/>
        <v>0</v>
      </c>
      <c r="CF231" s="247">
        <f t="shared" si="558"/>
        <v>0</v>
      </c>
      <c r="CG231" s="196">
        <f t="shared" si="621"/>
        <v>0</v>
      </c>
      <c r="CH231" s="589">
        <f t="shared" si="587"/>
        <v>0</v>
      </c>
      <c r="CI231" s="196"/>
      <c r="CJ231" s="248">
        <f t="shared" si="589"/>
        <v>0</v>
      </c>
      <c r="CK231" s="196"/>
      <c r="CL231" s="589">
        <f t="shared" si="591"/>
        <v>0</v>
      </c>
      <c r="CM231" s="196"/>
      <c r="CN231" s="589">
        <f t="shared" si="593"/>
        <v>0</v>
      </c>
      <c r="CO231" s="196"/>
      <c r="CP231" s="589">
        <f t="shared" si="595"/>
        <v>0</v>
      </c>
      <c r="CQ231" s="196"/>
      <c r="CR231" s="269">
        <f t="shared" si="669"/>
        <v>0</v>
      </c>
      <c r="CS231" s="269">
        <f>'Detailed Budget'!$AC$16</f>
        <v>10488008800.000002</v>
      </c>
      <c r="CT231" s="607">
        <f t="shared" si="622"/>
        <v>0</v>
      </c>
      <c r="CU231" s="269">
        <f>'Detailed Budget'!$AC$24</f>
        <v>30624985696</v>
      </c>
      <c r="CV231" s="269">
        <f t="shared" si="612"/>
        <v>0</v>
      </c>
      <c r="CW231" s="269"/>
      <c r="CX231" s="269">
        <f t="shared" si="596"/>
        <v>0</v>
      </c>
      <c r="CY231" s="196">
        <f>'Detailed Budget'!$AC$97</f>
        <v>74629165494.837845</v>
      </c>
      <c r="CZ231" s="269">
        <f t="shared" si="623"/>
        <v>0</v>
      </c>
      <c r="DA231" s="269">
        <f>'Detailed Budget'!$AC$100</f>
        <v>14925833098.967569</v>
      </c>
      <c r="DB231" s="269">
        <f t="shared" si="624"/>
        <v>0</v>
      </c>
      <c r="DC231" s="269"/>
      <c r="DD231" s="207"/>
      <c r="DE231" s="606">
        <v>0</v>
      </c>
      <c r="DF231" s="269">
        <f>'Detailed Budget'!$AC$147</f>
        <v>5913600671000</v>
      </c>
      <c r="DG231" s="269">
        <f t="shared" si="607"/>
        <v>0</v>
      </c>
      <c r="DH231" s="269">
        <f>'Detailed Budget'!$AC$153</f>
        <v>226428026880.00003</v>
      </c>
      <c r="DI231" s="269"/>
      <c r="DJ231" s="269">
        <f>'Detailed Budget'!$AC$156</f>
        <v>27713070000</v>
      </c>
      <c r="DK231" s="269"/>
      <c r="DL231" s="269"/>
      <c r="DM231" s="196"/>
      <c r="DN231" s="269"/>
      <c r="DO231" s="196"/>
      <c r="DP231" s="269"/>
      <c r="DQ231" s="269"/>
      <c r="DR231" s="269"/>
      <c r="DS231" s="269"/>
      <c r="DT231" s="269"/>
      <c r="DU231" s="272">
        <f>'Detailed Budget'!$AC$192</f>
        <v>77498869683.252869</v>
      </c>
      <c r="DV231" s="269">
        <f t="shared" si="626"/>
        <v>0</v>
      </c>
      <c r="DW231" s="140">
        <f>'Detailed Budget'!$AC$194</f>
        <v>2684962805.4134097</v>
      </c>
      <c r="DX231" s="269">
        <f t="shared" si="627"/>
        <v>0</v>
      </c>
      <c r="DY231" s="607">
        <f t="shared" si="561"/>
        <v>0</v>
      </c>
      <c r="DZ231" s="196"/>
      <c r="EA231" s="269"/>
      <c r="EB231" s="196">
        <f>'Detailed Budget'!$AC$200</f>
        <v>4683135004.5951529</v>
      </c>
      <c r="EC231" s="269">
        <f t="shared" si="628"/>
        <v>0</v>
      </c>
      <c r="ED231" s="269">
        <f t="shared" si="563"/>
        <v>0</v>
      </c>
      <c r="EE231" s="196">
        <f>'Detailed Budget'!$AC$161</f>
        <v>251147290106.36197</v>
      </c>
      <c r="EF231" s="269">
        <f t="shared" si="629"/>
        <v>0</v>
      </c>
      <c r="EG231" s="196">
        <f>'Detailed Budget'!$AC$163</f>
        <v>15696705631.647623</v>
      </c>
      <c r="EH231" s="269">
        <f t="shared" si="630"/>
        <v>0</v>
      </c>
      <c r="EI231" s="269">
        <f t="shared" si="564"/>
        <v>0</v>
      </c>
      <c r="EJ231" s="196">
        <f>'Detailed Budget'!$AC$204</f>
        <v>45012172507.531975</v>
      </c>
      <c r="EK231" s="269">
        <f t="shared" si="631"/>
        <v>0</v>
      </c>
      <c r="EL231" s="201">
        <f>'Detailed Budget'!$AC$206</f>
        <v>11253043126.882994</v>
      </c>
      <c r="EM231" s="269">
        <f t="shared" si="632"/>
        <v>0</v>
      </c>
      <c r="EN231" s="269">
        <f t="shared" si="565"/>
        <v>0</v>
      </c>
      <c r="EO231" s="140">
        <f>'Detailed Budget'!$AC$209</f>
        <v>135789361677.54817</v>
      </c>
      <c r="EP231" s="269">
        <f t="shared" si="633"/>
        <v>0</v>
      </c>
      <c r="EQ231" s="196">
        <f>'Detailed Budget'!$AC$211</f>
        <v>33947340419.387043</v>
      </c>
      <c r="ER231" s="269">
        <f t="shared" si="634"/>
        <v>0</v>
      </c>
      <c r="ES231" s="269">
        <f t="shared" si="566"/>
        <v>0</v>
      </c>
      <c r="ET231" s="196">
        <f>'Detailed Budget'!$AC$214</f>
        <v>22239745544.201103</v>
      </c>
      <c r="EU231" s="269">
        <f t="shared" si="635"/>
        <v>0</v>
      </c>
      <c r="EV231" s="140">
        <f>'Detailed Budget'!$AC$217</f>
        <v>5559936386.0502758</v>
      </c>
      <c r="EW231" s="269">
        <f t="shared" si="636"/>
        <v>0</v>
      </c>
      <c r="EX231" s="269">
        <f t="shared" si="567"/>
        <v>0</v>
      </c>
      <c r="EY231" s="196">
        <f>'Detailed Budget'!$AC$219</f>
        <v>372777004.58170313</v>
      </c>
      <c r="EZ231" s="269">
        <f t="shared" si="637"/>
        <v>0</v>
      </c>
      <c r="FA231" s="196">
        <f>'Detailed Budget'!$AC$222</f>
        <v>93194251.145425782</v>
      </c>
      <c r="FB231" s="269">
        <f t="shared" si="638"/>
        <v>0</v>
      </c>
      <c r="FC231" s="269">
        <f t="shared" si="568"/>
        <v>0</v>
      </c>
      <c r="FD231" s="269"/>
      <c r="FE231" s="269">
        <f t="shared" si="569"/>
        <v>0</v>
      </c>
      <c r="FF231" s="140">
        <f>'Detailed Budget'!$AC$165</f>
        <v>14927760000</v>
      </c>
      <c r="FG231" s="1087">
        <f t="shared" si="608"/>
        <v>0</v>
      </c>
      <c r="FH231" s="269">
        <f t="shared" si="648"/>
        <v>0</v>
      </c>
      <c r="FJ231" s="140">
        <f>'Detailed Budget'!$AC$235</f>
        <v>3623696172</v>
      </c>
      <c r="FL231" s="269">
        <f t="shared" si="609"/>
        <v>0</v>
      </c>
      <c r="FO231" s="607"/>
      <c r="FP231" s="607"/>
      <c r="FQ231" s="607"/>
      <c r="FT231" s="269">
        <f t="shared" si="610"/>
        <v>0</v>
      </c>
      <c r="FU231" s="269"/>
      <c r="FV231" s="269"/>
      <c r="FW231" s="616"/>
      <c r="FX231" s="140">
        <f>'Detailed Budget'!$AC$278</f>
        <v>1114560000</v>
      </c>
      <c r="FY231" s="269"/>
      <c r="FZ231" s="269"/>
      <c r="GB231" s="269">
        <f t="shared" si="619"/>
        <v>0</v>
      </c>
      <c r="GD231" s="1078">
        <f t="shared" si="620"/>
        <v>0</v>
      </c>
    </row>
    <row r="232" spans="1:186" s="210" customFormat="1" collapsed="1">
      <c r="A232" s="203">
        <v>2.5</v>
      </c>
      <c r="B232" s="204" t="s">
        <v>623</v>
      </c>
      <c r="C232" s="205">
        <f t="shared" ref="C232:T232" si="670">COUNTA(C233:C248)</f>
        <v>16</v>
      </c>
      <c r="D232" s="205">
        <f t="shared" si="670"/>
        <v>9</v>
      </c>
      <c r="E232" s="205">
        <f t="shared" si="670"/>
        <v>0</v>
      </c>
      <c r="F232" s="205">
        <f t="shared" si="670"/>
        <v>0</v>
      </c>
      <c r="G232" s="205">
        <f t="shared" si="670"/>
        <v>7</v>
      </c>
      <c r="H232" s="205">
        <f t="shared" si="670"/>
        <v>16</v>
      </c>
      <c r="I232" s="205">
        <f t="shared" si="670"/>
        <v>16</v>
      </c>
      <c r="J232" s="205">
        <f t="shared" si="670"/>
        <v>0</v>
      </c>
      <c r="K232" s="205">
        <f t="shared" si="670"/>
        <v>16</v>
      </c>
      <c r="L232" s="205">
        <f t="shared" si="670"/>
        <v>0</v>
      </c>
      <c r="M232" s="205">
        <f t="shared" si="670"/>
        <v>0</v>
      </c>
      <c r="N232" s="205">
        <f t="shared" si="670"/>
        <v>0</v>
      </c>
      <c r="O232" s="205">
        <f t="shared" si="670"/>
        <v>0</v>
      </c>
      <c r="P232" s="205">
        <f t="shared" si="670"/>
        <v>0</v>
      </c>
      <c r="Q232" s="205">
        <f t="shared" si="670"/>
        <v>0</v>
      </c>
      <c r="R232" s="205">
        <f t="shared" si="670"/>
        <v>16</v>
      </c>
      <c r="S232" s="205">
        <f t="shared" si="670"/>
        <v>0</v>
      </c>
      <c r="T232" s="205">
        <f t="shared" si="670"/>
        <v>0</v>
      </c>
      <c r="U232" s="206">
        <f>SUM(C232:T232)</f>
        <v>96</v>
      </c>
      <c r="V232" s="844"/>
      <c r="W232" s="207">
        <f>SUM(W233:W249)</f>
        <v>2294800</v>
      </c>
      <c r="X232" s="208">
        <v>2.91</v>
      </c>
      <c r="Y232" s="209">
        <f t="shared" si="640"/>
        <v>1.0290999999999999</v>
      </c>
      <c r="Z232" s="207">
        <v>19</v>
      </c>
      <c r="AA232" s="209">
        <f t="shared" si="641"/>
        <v>1.7246222540408234</v>
      </c>
      <c r="AB232" s="207">
        <f t="shared" si="642"/>
        <v>3957663.1485728812</v>
      </c>
      <c r="AC232" s="210">
        <v>18.7</v>
      </c>
      <c r="AD232" s="207">
        <f t="shared" si="643"/>
        <v>740083.00878312869</v>
      </c>
      <c r="AE232" s="207">
        <f t="shared" si="644"/>
        <v>703078.85834397224</v>
      </c>
      <c r="AF232" s="207">
        <f>SUM(AF233:AF249)</f>
        <v>399039.53243199765</v>
      </c>
      <c r="AG232" s="588">
        <f t="shared" si="577"/>
        <v>3.2507279835803121E-2</v>
      </c>
      <c r="AH232" s="207">
        <f>SUM(AH233:AH249)</f>
        <v>197883.15742864413</v>
      </c>
      <c r="AI232" s="633">
        <f t="shared" si="552"/>
        <v>1.5329708383728064E-2</v>
      </c>
      <c r="AJ232" s="207">
        <f>SUM(AJ233:AJ249)</f>
        <v>937966.16621177294</v>
      </c>
      <c r="AK232" s="207">
        <f t="shared" si="605"/>
        <v>158306.52594291526</v>
      </c>
      <c r="AL232" s="207">
        <f t="shared" si="606"/>
        <v>158306.52594291526</v>
      </c>
      <c r="AM232" s="207">
        <f t="shared" si="553"/>
        <v>316613.05188583053</v>
      </c>
      <c r="AN232" s="632">
        <f t="shared" si="554"/>
        <v>1.5329708383728061E-2</v>
      </c>
      <c r="AO232" s="207">
        <f t="shared" si="555"/>
        <v>150391.19964576949</v>
      </c>
      <c r="AP232" s="588">
        <f t="shared" si="579"/>
        <v>1.5329708383728061E-2</v>
      </c>
      <c r="AQ232" s="207">
        <v>1</v>
      </c>
      <c r="AR232" s="588">
        <f>AQ232/37</f>
        <v>2.7027027027027029E-2</v>
      </c>
      <c r="AS232" s="207">
        <f>SUM(AS233:AS249)</f>
        <v>16</v>
      </c>
      <c r="AT232" s="588">
        <f t="shared" si="580"/>
        <v>2.0671834625322998E-2</v>
      </c>
      <c r="AU232" s="207">
        <f>SUM(AU233:AU249)</f>
        <v>168</v>
      </c>
      <c r="AV232" s="892">
        <f t="shared" si="556"/>
        <v>1.9088739915918647E-2</v>
      </c>
      <c r="AW232" s="207">
        <v>55920</v>
      </c>
      <c r="AX232" s="208">
        <f>AW232*0.002</f>
        <v>111.84</v>
      </c>
      <c r="AY232" s="207">
        <f>AX232*100</f>
        <v>11184</v>
      </c>
      <c r="AZ232" s="207">
        <f>SUM(AZ233:AZ249)</f>
        <v>784</v>
      </c>
      <c r="BA232" s="588">
        <f t="shared" si="613"/>
        <v>2.8727419295738521E-2</v>
      </c>
      <c r="BB232" s="207">
        <v>18</v>
      </c>
      <c r="BC232" s="207">
        <v>1</v>
      </c>
      <c r="BD232" s="207">
        <f>BB232+BC232</f>
        <v>19</v>
      </c>
      <c r="BE232" s="633">
        <f>BD232/1306</f>
        <v>1.4548238897396631E-2</v>
      </c>
      <c r="BF232" s="207">
        <f>AZ232+BD232</f>
        <v>803</v>
      </c>
      <c r="BG232" s="588">
        <f>BF232/28597</f>
        <v>2.807986851767668E-2</v>
      </c>
      <c r="BH232" s="1084">
        <v>35.200000000000003</v>
      </c>
      <c r="BI232" s="207"/>
      <c r="BJ232" s="207">
        <v>2198702</v>
      </c>
      <c r="BK232" s="892">
        <f t="shared" si="614"/>
        <v>4.1927920579166562E-2</v>
      </c>
      <c r="BL232" s="207">
        <f>BJ232/50</f>
        <v>43974.04</v>
      </c>
      <c r="BM232" s="892">
        <f t="shared" si="615"/>
        <v>4.1927915781926221E-2</v>
      </c>
      <c r="BN232" s="207"/>
      <c r="BO232" s="207">
        <v>355490</v>
      </c>
      <c r="BP232" s="207">
        <f>SUM(BP233:BP249)</f>
        <v>0</v>
      </c>
      <c r="BQ232" s="633">
        <f t="shared" si="616"/>
        <v>0</v>
      </c>
      <c r="BR232" s="207">
        <f>AY232*0.5*24</f>
        <v>134208</v>
      </c>
      <c r="BS232" s="633">
        <f>BR232/2211211</f>
        <v>6.0694343506793334E-2</v>
      </c>
      <c r="BT232" s="634"/>
      <c r="BU232" s="207">
        <f>SUM(BU233:BU249)</f>
        <v>332672.95756436017</v>
      </c>
      <c r="BV232" s="264">
        <f t="shared" si="617"/>
        <v>2.3074826471409248E-2</v>
      </c>
      <c r="BW232" s="207">
        <f>SUM(BW233:BW249)</f>
        <v>1423100.98513643</v>
      </c>
      <c r="BX232" s="247">
        <f t="shared" si="618"/>
        <v>2.3074826679268173E-2</v>
      </c>
      <c r="BY232" s="207">
        <f>SUM(BY233:BY249)</f>
        <v>1755773.9427007898</v>
      </c>
      <c r="CA232" s="207">
        <f>SUM(CA233:CA249)</f>
        <v>1211044.9234633017</v>
      </c>
      <c r="CB232" s="207">
        <f>SUM(CB233:CB249)</f>
        <v>2422089.8469266035</v>
      </c>
      <c r="CC232" s="207">
        <f>SUM(CC233:CC249)</f>
        <v>3633134.7703899047</v>
      </c>
      <c r="CD232" s="633">
        <f t="shared" si="557"/>
        <v>1.5329708383728059E-2</v>
      </c>
      <c r="CE232" s="207">
        <f>SUM(CE233:CE249)</f>
        <v>541970.43117196648</v>
      </c>
      <c r="CF232" s="633">
        <f t="shared" si="558"/>
        <v>2.3403968716599118E-2</v>
      </c>
      <c r="CG232" s="207">
        <f t="shared" si="621"/>
        <v>601564.79858307797</v>
      </c>
      <c r="CH232" s="588">
        <f t="shared" si="587"/>
        <v>1.5329708383728061E-2</v>
      </c>
      <c r="CI232" s="207">
        <f t="shared" ref="CI232:CO232" si="671">SUM(CI233:CI249)</f>
        <v>766024.00909099041</v>
      </c>
      <c r="CJ232" s="633">
        <f t="shared" si="589"/>
        <v>1.2593432765029864E-2</v>
      </c>
      <c r="CK232" s="207">
        <f t="shared" si="671"/>
        <v>944989.01121490449</v>
      </c>
      <c r="CL232" s="588">
        <f t="shared" si="591"/>
        <v>1.3584411412161046E-2</v>
      </c>
      <c r="CM232" s="207">
        <f t="shared" si="671"/>
        <v>91546.001086446136</v>
      </c>
      <c r="CN232" s="588">
        <f t="shared" si="593"/>
        <v>1.319281914491322E-2</v>
      </c>
      <c r="CO232" s="207">
        <f t="shared" si="671"/>
        <v>7324.0000869194873</v>
      </c>
      <c r="CP232" s="588">
        <f t="shared" si="595"/>
        <v>1.3811936060240497E-2</v>
      </c>
      <c r="CQ232" s="207">
        <f>'Detailed Budget'!$AC$12</f>
        <v>292876014141.44696</v>
      </c>
      <c r="CR232" s="605">
        <f t="shared" si="669"/>
        <v>12279682260.46545</v>
      </c>
      <c r="CS232" s="605">
        <f>'Detailed Budget'!$AC$16</f>
        <v>10488008800.000002</v>
      </c>
      <c r="CT232" s="605">
        <f t="shared" si="622"/>
        <v>439740349.68650115</v>
      </c>
      <c r="CU232" s="605">
        <f>'Detailed Budget'!$AC$24</f>
        <v>30624985696</v>
      </c>
      <c r="CV232" s="605">
        <f t="shared" si="612"/>
        <v>1284041968</v>
      </c>
      <c r="CW232" s="605"/>
      <c r="CX232" s="605">
        <f t="shared" si="596"/>
        <v>14003464578.151951</v>
      </c>
      <c r="CY232" s="207">
        <f>'Detailed Budget'!$AC$97</f>
        <v>74629165494.837845</v>
      </c>
      <c r="CZ232" s="605">
        <f t="shared" si="623"/>
        <v>0</v>
      </c>
      <c r="DA232" s="605">
        <f>'Detailed Budget'!$AC$100</f>
        <v>14925833098.967569</v>
      </c>
      <c r="DB232" s="605">
        <f t="shared" si="624"/>
        <v>0</v>
      </c>
      <c r="DC232" s="605">
        <f t="shared" si="560"/>
        <v>0</v>
      </c>
      <c r="DD232" s="207">
        <f>SUM(DD233:DD249)</f>
        <v>0</v>
      </c>
      <c r="DE232" s="606">
        <v>0</v>
      </c>
      <c r="DF232" s="605">
        <f>'Detailed Budget'!$AC$147</f>
        <v>5913600671000</v>
      </c>
      <c r="DG232" s="605">
        <f t="shared" si="607"/>
        <v>0</v>
      </c>
      <c r="DH232" s="605">
        <f>'Detailed Budget'!$AC$153</f>
        <v>226428026880.00003</v>
      </c>
      <c r="DI232" s="605">
        <f>BS232*DH232</f>
        <v>13742900443.020157</v>
      </c>
      <c r="DJ232" s="605">
        <f>'Detailed Budget'!$AC$156</f>
        <v>27713070000</v>
      </c>
      <c r="DK232" s="605">
        <f>AT232*DJ232</f>
        <v>572880000</v>
      </c>
      <c r="DL232" s="605">
        <f>DI232+DK232</f>
        <v>14315780443.020157</v>
      </c>
      <c r="DM232" s="207">
        <f>'Detailed Budget'!$AC$178</f>
        <v>5622683761.6229038</v>
      </c>
      <c r="DN232" s="605">
        <f>SUM(DN233:DN249)</f>
        <v>129742452.10305911</v>
      </c>
      <c r="DO232" s="605">
        <f>'Detailed Budget'!$AC$179</f>
        <v>26827890683.128094</v>
      </c>
      <c r="DP232" s="605">
        <f>SUM(DP233:DP249)</f>
        <v>619048927.68353415</v>
      </c>
      <c r="DQ232" s="605">
        <f>SUM(DQ233:DQ249)</f>
        <v>748791379.78659332</v>
      </c>
      <c r="DR232" s="605">
        <f>'Detailed Budget'!$AC$181</f>
        <v>50888946855.375237</v>
      </c>
      <c r="DS232" s="605">
        <f>SUM(DS233:DS249)</f>
        <v>938892732.00373483</v>
      </c>
      <c r="DT232" s="605">
        <f>SUM(DT233:DT249)</f>
        <v>1687684111.790328</v>
      </c>
      <c r="DU232" s="634">
        <f>'Detailed Budget'!$AC$192</f>
        <v>77498869683.252869</v>
      </c>
      <c r="DV232" s="605">
        <f t="shared" si="626"/>
        <v>0</v>
      </c>
      <c r="DW232" s="930">
        <f>'Detailed Budget'!$AC$194</f>
        <v>2684962805.4134097</v>
      </c>
      <c r="DX232" s="605">
        <f t="shared" si="627"/>
        <v>0</v>
      </c>
      <c r="DY232" s="605">
        <f t="shared" si="561"/>
        <v>0</v>
      </c>
      <c r="DZ232" s="207">
        <f>'Detailed Budget'!$AC$198</f>
        <v>18732540018.380611</v>
      </c>
      <c r="EA232" s="605">
        <f t="shared" ref="EA232:EA249" si="672">CF232*DZ232</f>
        <v>438415780.57262087</v>
      </c>
      <c r="EB232" s="207">
        <f>'Detailed Budget'!$AC$200</f>
        <v>4683135004.5951529</v>
      </c>
      <c r="EC232" s="605">
        <f t="shared" si="628"/>
        <v>109603945.14315522</v>
      </c>
      <c r="ED232" s="605">
        <f t="shared" si="563"/>
        <v>548019725.71577609</v>
      </c>
      <c r="EE232" s="207">
        <f>'Detailed Budget'!$AC$161</f>
        <v>251147290106.36197</v>
      </c>
      <c r="EF232" s="605">
        <f t="shared" si="629"/>
        <v>3850014718.6940804</v>
      </c>
      <c r="EG232" s="207">
        <f>'Detailed Budget'!$AC$163</f>
        <v>15696705631.647623</v>
      </c>
      <c r="EH232" s="605">
        <f t="shared" si="630"/>
        <v>240625919.91838002</v>
      </c>
      <c r="EI232" s="605">
        <f t="shared" si="564"/>
        <v>4090640638.6124601</v>
      </c>
      <c r="EJ232" s="207">
        <f>'Detailed Budget'!$AC$204</f>
        <v>45012172507.531975</v>
      </c>
      <c r="EK232" s="605">
        <f t="shared" si="631"/>
        <v>566857768.08152962</v>
      </c>
      <c r="EL232" s="207">
        <f>'Detailed Budget'!$AC$206</f>
        <v>11253043126.882994</v>
      </c>
      <c r="EM232" s="605">
        <f t="shared" si="632"/>
        <v>141714442.0203824</v>
      </c>
      <c r="EN232" s="605">
        <f t="shared" si="565"/>
        <v>708572210.10191202</v>
      </c>
      <c r="EO232" s="930">
        <f>'Detailed Budget'!$AC$209</f>
        <v>135789361677.54817</v>
      </c>
      <c r="EP232" s="605">
        <f t="shared" si="633"/>
        <v>1844618554.4225492</v>
      </c>
      <c r="EQ232" s="207">
        <f>'Detailed Budget'!$AC$211</f>
        <v>33947340419.387043</v>
      </c>
      <c r="ER232" s="605">
        <f t="shared" si="634"/>
        <v>461154638.60563731</v>
      </c>
      <c r="ES232" s="605">
        <f t="shared" si="566"/>
        <v>2305773193.0281868</v>
      </c>
      <c r="ET232" s="207">
        <f>'Detailed Budget'!$AC$214</f>
        <v>22239745544.201103</v>
      </c>
      <c r="EU232" s="605">
        <f t="shared" si="635"/>
        <v>293404940.79353482</v>
      </c>
      <c r="EV232" s="930">
        <f>'Detailed Budget'!$AC$217</f>
        <v>5559936386.0502758</v>
      </c>
      <c r="EW232" s="605">
        <f t="shared" si="636"/>
        <v>73351235.198383704</v>
      </c>
      <c r="EX232" s="605">
        <f t="shared" si="567"/>
        <v>366756175.9919185</v>
      </c>
      <c r="EY232" s="207">
        <f>'Detailed Budget'!$AC$219</f>
        <v>372777004.58170313</v>
      </c>
      <c r="EZ232" s="605">
        <f t="shared" si="637"/>
        <v>5148772.1520104622</v>
      </c>
      <c r="FA232" s="207">
        <f>'Detailed Budget'!$AC$222</f>
        <v>93194251.145425782</v>
      </c>
      <c r="FB232" s="605">
        <f t="shared" si="638"/>
        <v>1287193.0380026156</v>
      </c>
      <c r="FC232" s="605">
        <f t="shared" si="568"/>
        <v>6435965.190013078</v>
      </c>
      <c r="FD232" s="605"/>
      <c r="FE232" s="605">
        <f t="shared" si="569"/>
        <v>3387537544.3120303</v>
      </c>
      <c r="FF232" s="930">
        <f>'Detailed Budget'!$AC$165</f>
        <v>14927760000</v>
      </c>
      <c r="FG232" s="1087">
        <f t="shared" si="608"/>
        <v>4620825444.605299</v>
      </c>
      <c r="FH232" s="605">
        <f t="shared" si="648"/>
        <v>284952128.16725373</v>
      </c>
      <c r="FI232" s="605"/>
      <c r="FJ232" s="930">
        <f>'Detailed Budget'!$AC$235</f>
        <v>3623696172</v>
      </c>
      <c r="FK232" s="605">
        <f t="shared" ref="FK232:FK248" si="673">AT232*FJ232</f>
        <v>74908448</v>
      </c>
      <c r="FL232" s="605">
        <f t="shared" si="609"/>
        <v>74908448</v>
      </c>
      <c r="FM232" s="605"/>
      <c r="FN232" s="605">
        <f>'Detailed Budget'!$AC$251</f>
        <v>1047595800</v>
      </c>
      <c r="FO232" s="605">
        <f>AR232*FN232</f>
        <v>28313400</v>
      </c>
      <c r="FP232" s="605">
        <f>'Detailed Budget'!$AB$254</f>
        <v>2773297530</v>
      </c>
      <c r="FQ232" s="605">
        <f>BE232*FP232</f>
        <v>40346595</v>
      </c>
      <c r="FR232" s="605">
        <f>'Detailed Budget'!$AC$257</f>
        <v>13636439388</v>
      </c>
      <c r="FS232" s="605">
        <f t="shared" ref="FS232:FS248" si="674">BA232*FR232</f>
        <v>391739712</v>
      </c>
      <c r="FT232" s="605">
        <f t="shared" si="610"/>
        <v>460399707</v>
      </c>
      <c r="FU232" s="605"/>
      <c r="FV232" s="605">
        <f>'Detailed Budget'!$AC$265</f>
        <v>6277805540</v>
      </c>
      <c r="FW232" s="605">
        <f>AR232*FV232</f>
        <v>169670420</v>
      </c>
      <c r="FX232" s="930">
        <f>'Detailed Budget'!$AC$278</f>
        <v>1114560000</v>
      </c>
      <c r="FY232" s="605">
        <f t="shared" ref="FY232:FY248" si="675">AT232*FX232</f>
        <v>23040000</v>
      </c>
      <c r="FZ232" s="605">
        <f t="shared" si="611"/>
        <v>192710420</v>
      </c>
      <c r="GB232" s="269">
        <f t="shared" si="619"/>
        <v>43666923189.375252</v>
      </c>
      <c r="GC232" s="889">
        <f t="shared" si="574"/>
        <v>27291826.993359532</v>
      </c>
      <c r="GD232" s="1078">
        <f t="shared" si="620"/>
        <v>2.4502885633798613E-2</v>
      </c>
    </row>
    <row r="233" spans="1:186" hidden="1" outlineLevel="1">
      <c r="A233" s="211" t="s">
        <v>624</v>
      </c>
      <c r="B233" s="212" t="s">
        <v>625</v>
      </c>
      <c r="C233" s="213" t="s">
        <v>215</v>
      </c>
      <c r="D233" s="214" t="s">
        <v>215</v>
      </c>
      <c r="E233" s="213"/>
      <c r="F233" s="213"/>
      <c r="G233" s="213"/>
      <c r="H233" s="213" t="s">
        <v>215</v>
      </c>
      <c r="I233" s="214" t="s">
        <v>215</v>
      </c>
      <c r="J233" s="214"/>
      <c r="K233" s="213" t="s">
        <v>215</v>
      </c>
      <c r="L233" s="213"/>
      <c r="M233" s="214"/>
      <c r="N233" s="213"/>
      <c r="O233" s="214"/>
      <c r="P233" s="213"/>
      <c r="Q233" s="214"/>
      <c r="R233" s="214" t="s">
        <v>215</v>
      </c>
      <c r="S233" s="214"/>
      <c r="T233" s="214"/>
      <c r="U233" s="215">
        <f t="shared" ref="U233:U248" si="676">COUNTA(C233:T233)</f>
        <v>6</v>
      </c>
      <c r="V233" s="845" t="s">
        <v>219</v>
      </c>
      <c r="W233" s="216">
        <v>87784</v>
      </c>
      <c r="X233" s="217">
        <v>2.91</v>
      </c>
      <c r="Y233" s="218">
        <f t="shared" si="640"/>
        <v>1.0290999999999999</v>
      </c>
      <c r="Z233" s="196">
        <v>19</v>
      </c>
      <c r="AA233" s="218">
        <f t="shared" si="641"/>
        <v>1.7246222540408234</v>
      </c>
      <c r="AB233" s="196">
        <f t="shared" si="642"/>
        <v>151394.23994871965</v>
      </c>
      <c r="AC233">
        <v>18.7</v>
      </c>
      <c r="AD233" s="196">
        <f t="shared" si="643"/>
        <v>28310.722870410573</v>
      </c>
      <c r="AE233" s="196">
        <f t="shared" si="644"/>
        <v>26895.186726890042</v>
      </c>
      <c r="AF233" s="196">
        <f t="shared" ref="AF233:AF249" si="677">AE233*BT233</f>
        <v>26895.186726890042</v>
      </c>
      <c r="AG233" s="606">
        <f t="shared" si="577"/>
        <v>1.2435153621693138E-3</v>
      </c>
      <c r="AH233" s="196">
        <f>AB233*0.05</f>
        <v>7569.711997435983</v>
      </c>
      <c r="AI233" s="248">
        <f t="shared" si="552"/>
        <v>5.8641411920741862E-4</v>
      </c>
      <c r="AJ233" s="196">
        <f t="shared" si="578"/>
        <v>35880.434867846554</v>
      </c>
      <c r="AK233" s="196">
        <f t="shared" si="605"/>
        <v>6055.7695979487862</v>
      </c>
      <c r="AL233" s="196">
        <f t="shared" si="606"/>
        <v>6055.7695979487862</v>
      </c>
      <c r="AM233" s="196">
        <f t="shared" si="553"/>
        <v>12111.539195897572</v>
      </c>
      <c r="AN233" s="627">
        <f t="shared" si="554"/>
        <v>5.8641411920741862E-4</v>
      </c>
      <c r="AO233" s="196">
        <f t="shared" si="555"/>
        <v>5752.981118051347</v>
      </c>
      <c r="AP233" s="589">
        <f t="shared" si="579"/>
        <v>5.8641411920741862E-4</v>
      </c>
      <c r="AQ233" s="196"/>
      <c r="AR233" s="589"/>
      <c r="AS233">
        <v>1</v>
      </c>
      <c r="AT233" s="589">
        <f t="shared" si="580"/>
        <v>1.2919896640826874E-3</v>
      </c>
      <c r="AU233" s="196">
        <v>10</v>
      </c>
      <c r="AV233" s="245">
        <f t="shared" si="556"/>
        <v>1.1362345188046814E-3</v>
      </c>
      <c r="AX233" s="245"/>
      <c r="AY233" s="245"/>
      <c r="AZ233" s="196">
        <v>55</v>
      </c>
      <c r="BA233" s="589">
        <f t="shared" si="613"/>
        <v>2.015316404675534E-3</v>
      </c>
      <c r="BI233" s="196">
        <v>1</v>
      </c>
      <c r="BJ233" s="196">
        <f t="shared" ref="BJ233:BJ249" si="678">AB233/3957663*2198702</f>
        <v>84107.923833770023</v>
      </c>
      <c r="BK233" s="246">
        <f t="shared" si="614"/>
        <v>1.6038873619894374E-3</v>
      </c>
      <c r="BL233" s="196">
        <f>BJ233/50</f>
        <v>1682.1584766754004</v>
      </c>
      <c r="BM233" s="246">
        <f t="shared" si="615"/>
        <v>1.6038871784784725E-3</v>
      </c>
      <c r="BN233" s="196">
        <v>0</v>
      </c>
      <c r="BO233" s="196">
        <f t="shared" ref="BO233:BO249" si="679">AJ233/937966*355490</f>
        <v>13598.718707469963</v>
      </c>
      <c r="BP233" s="196">
        <f t="shared" si="582"/>
        <v>0</v>
      </c>
      <c r="BQ233" s="248">
        <f t="shared" si="616"/>
        <v>0</v>
      </c>
      <c r="BR233" s="248"/>
      <c r="BS233" s="248"/>
      <c r="BT233" s="276">
        <v>1</v>
      </c>
      <c r="BU233" s="196">
        <f>AD233*BT233*0.18*4*1.1</f>
        <v>22422.092513365176</v>
      </c>
      <c r="BV233" s="264">
        <f t="shared" si="617"/>
        <v>1.5552388076860452E-3</v>
      </c>
      <c r="BW233" s="196">
        <f>AD233*BT233*0.77*4*1.1</f>
        <v>95916.729084951017</v>
      </c>
      <c r="BX233" s="247">
        <f t="shared" si="618"/>
        <v>1.5552388216956959E-3</v>
      </c>
      <c r="BY233" s="196">
        <f t="shared" si="639"/>
        <v>118338.82159831619</v>
      </c>
      <c r="BZ233" s="620">
        <v>0</v>
      </c>
      <c r="CA233" s="196">
        <f t="shared" ref="CA233:CA249" si="680">AK233*0.85*0.75*12</f>
        <v>46326.63742430821</v>
      </c>
      <c r="CB233" s="196">
        <f t="shared" ref="CB233:CB249" si="681">AL233*0.85*0.75*2*12</f>
        <v>92653.27484861642</v>
      </c>
      <c r="CC233" s="196">
        <f t="shared" si="585"/>
        <v>138979.91227292462</v>
      </c>
      <c r="CD233" s="247">
        <f t="shared" si="557"/>
        <v>5.8641411920741851E-4</v>
      </c>
      <c r="CE233" s="196">
        <f t="shared" ref="CE233:CE249" si="682">AH233/197883*541970</f>
        <v>20732.234761199194</v>
      </c>
      <c r="CF233" s="247">
        <f t="shared" si="558"/>
        <v>8.9528237311222629E-4</v>
      </c>
      <c r="CG233" s="196">
        <f t="shared" si="621"/>
        <v>23011.924472205388</v>
      </c>
      <c r="CH233" s="589">
        <f t="shared" si="587"/>
        <v>5.8641411920741862E-4</v>
      </c>
      <c r="CI233" s="196">
        <f t="shared" ref="CI233:CI249" si="683">AD233/740083*766024</f>
        <v>29303.055435786784</v>
      </c>
      <c r="CJ233" s="248">
        <f t="shared" si="589"/>
        <v>4.8174215698334571E-4</v>
      </c>
      <c r="CK233" s="196">
        <f t="shared" ref="CK233:CK249" si="684">AD233/740083*944989</f>
        <v>36149.082865822376</v>
      </c>
      <c r="CL233" s="589">
        <f t="shared" si="591"/>
        <v>5.1965050174531346E-4</v>
      </c>
      <c r="CM233" s="196">
        <f t="shared" ref="CM233:CM249" si="685">AD233/740083*91546</f>
        <v>3501.9496946891181</v>
      </c>
      <c r="CN233" s="589">
        <f t="shared" si="593"/>
        <v>5.0467074944093697E-4</v>
      </c>
      <c r="CO233" s="196">
        <f t="shared" ref="CO233:CO249" si="686">AD233/740083*7324</f>
        <v>280.16821667689578</v>
      </c>
      <c r="CP233" s="589">
        <f t="shared" si="595"/>
        <v>5.2835410280292489E-4</v>
      </c>
      <c r="CQ233" s="196">
        <f>'Detailed Budget'!$AC$12</f>
        <v>292876014141.44696</v>
      </c>
      <c r="CR233" s="269">
        <f t="shared" si="669"/>
        <v>469740137.71130651</v>
      </c>
      <c r="CS233" s="269">
        <f>'Detailed Budget'!$AC$16</f>
        <v>10488008800.000002</v>
      </c>
      <c r="CT233" s="607">
        <f t="shared" si="622"/>
        <v>16821582.842089392</v>
      </c>
      <c r="CU233" s="269">
        <f>'Detailed Budget'!$AC$24</f>
        <v>30624985696</v>
      </c>
      <c r="CV233" s="269">
        <f t="shared" si="612"/>
        <v>49119027.518921696</v>
      </c>
      <c r="CW233" s="269"/>
      <c r="CX233" s="269">
        <f t="shared" si="596"/>
        <v>535680748.0723176</v>
      </c>
      <c r="CY233" s="196">
        <f>'Detailed Budget'!$AC$97</f>
        <v>74629165494.837845</v>
      </c>
      <c r="CZ233" s="269">
        <f t="shared" si="623"/>
        <v>0</v>
      </c>
      <c r="DA233" s="269">
        <f>'Detailed Budget'!$AC$100</f>
        <v>14925833098.967569</v>
      </c>
      <c r="DB233" s="269">
        <f t="shared" si="624"/>
        <v>0</v>
      </c>
      <c r="DC233" s="269">
        <f t="shared" si="560"/>
        <v>0</v>
      </c>
      <c r="DD233" s="207">
        <v>0</v>
      </c>
      <c r="DE233" s="606">
        <v>0</v>
      </c>
      <c r="DF233" s="269">
        <f>'Detailed Budget'!$AC$147</f>
        <v>5913600671000</v>
      </c>
      <c r="DG233" s="269">
        <f t="shared" si="607"/>
        <v>0</v>
      </c>
      <c r="DH233" s="269">
        <f>'Detailed Budget'!$AC$153</f>
        <v>226428026880.00003</v>
      </c>
      <c r="DI233" s="269"/>
      <c r="DJ233" s="269">
        <f>'Detailed Budget'!$AC$156</f>
        <v>27713070000</v>
      </c>
      <c r="DK233" s="269"/>
      <c r="DL233" s="269"/>
      <c r="DM233" s="196">
        <f>'Detailed Budget'!$AC$178</f>
        <v>5622683761.6229038</v>
      </c>
      <c r="DN233" s="269">
        <f t="shared" ref="DN233:DN249" si="687">BT233*BV233*DM233</f>
        <v>8744615.9894220922</v>
      </c>
      <c r="DO233" s="196">
        <f>'Detailed Budget'!$AC$179</f>
        <v>26827890683.128094</v>
      </c>
      <c r="DP233" s="269">
        <f t="shared" ref="DP233:DP249" si="688">BT233*BX233*DO233</f>
        <v>41723777.094609074</v>
      </c>
      <c r="DQ233" s="269">
        <f t="shared" si="625"/>
        <v>50468393.084031165</v>
      </c>
      <c r="DR233" s="269">
        <f>'Detailed Budget'!$AC$181</f>
        <v>50888946855.375237</v>
      </c>
      <c r="DS233" s="269">
        <f t="shared" ref="DS233:DS249" si="689">BT233*AG233*DR233</f>
        <v>63281187.179276899</v>
      </c>
      <c r="DT233" s="269">
        <f t="shared" ref="DT233:DT249" si="690">DQ233+DS233</f>
        <v>113749580.26330806</v>
      </c>
      <c r="DU233" s="272">
        <f>'Detailed Budget'!$AC$192</f>
        <v>77498869683.252869</v>
      </c>
      <c r="DV233" s="269">
        <f t="shared" si="626"/>
        <v>0</v>
      </c>
      <c r="DW233" s="140">
        <f>'Detailed Budget'!$AC$194</f>
        <v>2684962805.4134097</v>
      </c>
      <c r="DX233" s="269">
        <f t="shared" si="627"/>
        <v>0</v>
      </c>
      <c r="DY233" s="607">
        <f t="shared" si="561"/>
        <v>0</v>
      </c>
      <c r="DZ233" s="196">
        <f>'Detailed Budget'!$AC$198</f>
        <v>18732540018.380611</v>
      </c>
      <c r="EA233" s="269">
        <f t="shared" si="672"/>
        <v>16770912.882075541</v>
      </c>
      <c r="EB233" s="196">
        <f>'Detailed Budget'!$AC$200</f>
        <v>4683135004.5951529</v>
      </c>
      <c r="EC233" s="269">
        <f t="shared" si="628"/>
        <v>4192728.2205188852</v>
      </c>
      <c r="ED233" s="269">
        <f t="shared" si="563"/>
        <v>20963641.102594428</v>
      </c>
      <c r="EE233" s="196">
        <f>'Detailed Budget'!$AC$161</f>
        <v>251147290106.36197</v>
      </c>
      <c r="EF233" s="269">
        <f t="shared" si="629"/>
        <v>147276316.9190523</v>
      </c>
      <c r="EG233" s="196">
        <f>'Detailed Budget'!$AC$163</f>
        <v>15696705631.647623</v>
      </c>
      <c r="EH233" s="269">
        <f t="shared" si="630"/>
        <v>9204769.8074407689</v>
      </c>
      <c r="EI233" s="269">
        <f t="shared" si="564"/>
        <v>156481086.72649306</v>
      </c>
      <c r="EJ233" s="196">
        <f>'Detailed Budget'!$AC$204</f>
        <v>45012172507.531975</v>
      </c>
      <c r="EK233" s="269">
        <f t="shared" si="631"/>
        <v>21684261.074284907</v>
      </c>
      <c r="EL233" s="201">
        <f>'Detailed Budget'!$AC$206</f>
        <v>11253043126.882994</v>
      </c>
      <c r="EM233" s="269">
        <f t="shared" si="632"/>
        <v>5421065.2685712269</v>
      </c>
      <c r="EN233" s="269">
        <f t="shared" si="565"/>
        <v>27105326.342856135</v>
      </c>
      <c r="EO233" s="140">
        <f>'Detailed Budget'!$AC$209</f>
        <v>135789361677.54817</v>
      </c>
      <c r="EP233" s="269">
        <f t="shared" si="633"/>
        <v>70563009.927413747</v>
      </c>
      <c r="EQ233" s="196">
        <f>'Detailed Budget'!$AC$211</f>
        <v>33947340419.387043</v>
      </c>
      <c r="ER233" s="269">
        <f t="shared" si="634"/>
        <v>17640752.481853437</v>
      </c>
      <c r="ES233" s="269">
        <f t="shared" si="566"/>
        <v>88203762.409267187</v>
      </c>
      <c r="ET233" s="196">
        <f>'Detailed Budget'!$AC$214</f>
        <v>22239745544.201103</v>
      </c>
      <c r="EU233" s="269">
        <f t="shared" si="635"/>
        <v>11223749.05116771</v>
      </c>
      <c r="EV233" s="140">
        <f>'Detailed Budget'!$AC$217</f>
        <v>5559936386.0502758</v>
      </c>
      <c r="EW233" s="269">
        <f t="shared" si="636"/>
        <v>2805937.2627919274</v>
      </c>
      <c r="EX233" s="269">
        <f t="shared" si="567"/>
        <v>14029686.313959638</v>
      </c>
      <c r="EY233" s="196">
        <f>'Detailed Budget'!$AC$219</f>
        <v>372777004.58170313</v>
      </c>
      <c r="EZ233" s="269">
        <f t="shared" si="637"/>
        <v>196958.25980132757</v>
      </c>
      <c r="FA233" s="196">
        <f>'Detailed Budget'!$AC$222</f>
        <v>93194251.145425782</v>
      </c>
      <c r="FB233" s="269">
        <f t="shared" si="638"/>
        <v>49239.564950331893</v>
      </c>
      <c r="FC233" s="269">
        <f t="shared" si="568"/>
        <v>246197.82475165947</v>
      </c>
      <c r="FD233" s="269"/>
      <c r="FE233" s="269">
        <f t="shared" si="569"/>
        <v>129584972.89083463</v>
      </c>
      <c r="FF233" s="140">
        <f>'Detailed Budget'!$AC$165</f>
        <v>14927760000</v>
      </c>
      <c r="FG233" s="1087">
        <f t="shared" si="608"/>
        <v>176762480.75180042</v>
      </c>
      <c r="FH233" s="269">
        <f t="shared" si="648"/>
        <v>16961436.200431772</v>
      </c>
      <c r="FJ233" s="140">
        <f>'Detailed Budget'!$AC$235</f>
        <v>3623696172</v>
      </c>
      <c r="FK233" s="269">
        <f t="shared" si="673"/>
        <v>4681778</v>
      </c>
      <c r="FL233" s="269">
        <f t="shared" si="609"/>
        <v>4681778</v>
      </c>
      <c r="FO233" s="607"/>
      <c r="FP233" s="607"/>
      <c r="FQ233" s="607"/>
      <c r="FR233" s="269">
        <f>'Detailed Budget'!$AC$257</f>
        <v>13636439388</v>
      </c>
      <c r="FS233" s="269">
        <f t="shared" si="674"/>
        <v>27481740</v>
      </c>
      <c r="FT233" s="269">
        <f t="shared" si="610"/>
        <v>27481740</v>
      </c>
      <c r="FU233" s="269"/>
      <c r="FV233" s="269"/>
      <c r="FW233" s="616"/>
      <c r="FX233" s="140">
        <f>'Detailed Budget'!$AC$278</f>
        <v>1114560000</v>
      </c>
      <c r="FY233" s="269">
        <f t="shared" si="675"/>
        <v>1440000</v>
      </c>
      <c r="FZ233" s="269">
        <f t="shared" si="611"/>
        <v>1440000</v>
      </c>
      <c r="GB233" s="269">
        <f t="shared" si="619"/>
        <v>1183787464.0077801</v>
      </c>
      <c r="GC233" s="887">
        <f t="shared" si="574"/>
        <v>739867.16500486259</v>
      </c>
      <c r="GD233" s="1078">
        <f t="shared" si="620"/>
        <v>6.6426042246009963E-4</v>
      </c>
    </row>
    <row r="234" spans="1:186" hidden="1" outlineLevel="1">
      <c r="A234" s="211" t="s">
        <v>626</v>
      </c>
      <c r="B234" s="212" t="s">
        <v>627</v>
      </c>
      <c r="C234" s="213" t="s">
        <v>215</v>
      </c>
      <c r="D234" s="214"/>
      <c r="E234" s="213"/>
      <c r="F234" s="213"/>
      <c r="G234" s="213" t="s">
        <v>215</v>
      </c>
      <c r="H234" s="213" t="s">
        <v>215</v>
      </c>
      <c r="I234" s="214" t="s">
        <v>215</v>
      </c>
      <c r="J234" s="214"/>
      <c r="K234" s="213" t="s">
        <v>215</v>
      </c>
      <c r="L234" s="213"/>
      <c r="M234" s="214"/>
      <c r="N234" s="213"/>
      <c r="O234" s="214"/>
      <c r="P234" s="213"/>
      <c r="Q234" s="214"/>
      <c r="R234" s="214" t="s">
        <v>215</v>
      </c>
      <c r="S234" s="214"/>
      <c r="T234" s="214"/>
      <c r="U234" s="215">
        <f t="shared" si="676"/>
        <v>6</v>
      </c>
      <c r="V234" s="845" t="s">
        <v>216</v>
      </c>
      <c r="W234" s="216">
        <v>211024</v>
      </c>
      <c r="X234" s="217">
        <v>2.91</v>
      </c>
      <c r="Y234" s="218">
        <f t="shared" si="640"/>
        <v>1.0290999999999999</v>
      </c>
      <c r="Z234" s="196">
        <v>19</v>
      </c>
      <c r="AA234" s="218">
        <f t="shared" si="641"/>
        <v>1.7246222540408234</v>
      </c>
      <c r="AB234" s="196">
        <f t="shared" si="642"/>
        <v>363936.68653671071</v>
      </c>
      <c r="AC234">
        <v>18.7</v>
      </c>
      <c r="AD234" s="196">
        <f t="shared" si="643"/>
        <v>68056.160382364906</v>
      </c>
      <c r="AE234" s="196">
        <f t="shared" si="644"/>
        <v>64653.35236324666</v>
      </c>
      <c r="AF234" s="196">
        <f t="shared" si="677"/>
        <v>0</v>
      </c>
      <c r="AG234" s="606">
        <f t="shared" si="577"/>
        <v>2.9892871797413804E-3</v>
      </c>
      <c r="AH234" s="196">
        <f t="shared" ref="AH234:AH248" si="691">AB234*0.05</f>
        <v>18196.834326835535</v>
      </c>
      <c r="AI234" s="248">
        <f t="shared" si="552"/>
        <v>1.409681184402924E-3</v>
      </c>
      <c r="AJ234" s="196">
        <f t="shared" si="578"/>
        <v>86252.994709200444</v>
      </c>
      <c r="AK234" s="196">
        <f t="shared" si="605"/>
        <v>14557.467461468428</v>
      </c>
      <c r="AL234" s="196">
        <f t="shared" si="606"/>
        <v>14557.467461468428</v>
      </c>
      <c r="AM234" s="196">
        <f t="shared" si="553"/>
        <v>29114.934922936856</v>
      </c>
      <c r="AN234" s="627">
        <f t="shared" si="554"/>
        <v>1.409681184402924E-3</v>
      </c>
      <c r="AO234" s="196">
        <f t="shared" si="555"/>
        <v>13829.594088395006</v>
      </c>
      <c r="AP234" s="589">
        <f t="shared" si="579"/>
        <v>1.409681184402924E-3</v>
      </c>
      <c r="AQ234" s="196"/>
      <c r="AR234" s="589"/>
      <c r="AS234">
        <v>1</v>
      </c>
      <c r="AT234" s="589">
        <f t="shared" si="580"/>
        <v>1.2919896640826874E-3</v>
      </c>
      <c r="AU234" s="196">
        <v>11</v>
      </c>
      <c r="AV234" s="245">
        <f t="shared" si="556"/>
        <v>1.2498579706851495E-3</v>
      </c>
      <c r="AX234" s="245"/>
      <c r="AY234" s="245"/>
      <c r="AZ234" s="196">
        <v>49</v>
      </c>
      <c r="BA234" s="589">
        <f t="shared" si="613"/>
        <v>1.7954637059836576E-3</v>
      </c>
      <c r="BI234" s="196">
        <v>1</v>
      </c>
      <c r="BJ234" s="196">
        <f t="shared" si="678"/>
        <v>202187.07872844121</v>
      </c>
      <c r="BK234" s="246">
        <f t="shared" si="614"/>
        <v>3.8555856041699965E-3</v>
      </c>
      <c r="BL234" s="196">
        <f t="shared" ref="BL234:BL249" si="692">BJ234/50</f>
        <v>4043.741574568824</v>
      </c>
      <c r="BM234" s="246">
        <f t="shared" si="615"/>
        <v>3.8555851630278997E-3</v>
      </c>
      <c r="BN234" s="196">
        <v>0</v>
      </c>
      <c r="BO234" s="196">
        <f t="shared" si="679"/>
        <v>32689.966469118994</v>
      </c>
      <c r="BP234" s="196">
        <f t="shared" si="582"/>
        <v>0</v>
      </c>
      <c r="BQ234" s="248">
        <f t="shared" si="616"/>
        <v>0</v>
      </c>
      <c r="BR234" s="248"/>
      <c r="BS234" s="248"/>
      <c r="BT234" s="276">
        <v>0</v>
      </c>
      <c r="BU234" s="196">
        <f t="shared" ref="BU234:BU248" si="693">AD234*BT234*0.18*4*1.1</f>
        <v>0</v>
      </c>
      <c r="BV234" s="264">
        <f t="shared" si="617"/>
        <v>0</v>
      </c>
      <c r="BW234" s="196">
        <f t="shared" ref="BW234:BW248" si="694">AD234*BT234*0.77*4*1.1</f>
        <v>0</v>
      </c>
      <c r="BX234" s="247">
        <f t="shared" si="618"/>
        <v>0</v>
      </c>
      <c r="BY234" s="196">
        <f t="shared" si="639"/>
        <v>0</v>
      </c>
      <c r="BZ234" s="620">
        <v>1</v>
      </c>
      <c r="CA234" s="196">
        <f t="shared" si="680"/>
        <v>111364.62608023349</v>
      </c>
      <c r="CB234" s="196">
        <f t="shared" si="681"/>
        <v>222729.25216046697</v>
      </c>
      <c r="CC234" s="196">
        <f t="shared" si="585"/>
        <v>334093.87824070046</v>
      </c>
      <c r="CD234" s="247">
        <f t="shared" si="557"/>
        <v>1.4096811844029242E-3</v>
      </c>
      <c r="CE234" s="196">
        <f t="shared" si="682"/>
        <v>49838.229156193585</v>
      </c>
      <c r="CF234" s="247">
        <f t="shared" si="558"/>
        <v>2.1521697291492117E-3</v>
      </c>
      <c r="CG234" s="196">
        <f t="shared" si="621"/>
        <v>55318.376353580024</v>
      </c>
      <c r="CH234" s="589">
        <f t="shared" si="587"/>
        <v>1.409681184402924E-3</v>
      </c>
      <c r="CI234" s="196">
        <f t="shared" si="683"/>
        <v>70441.629115573101</v>
      </c>
      <c r="CJ234" s="248">
        <f t="shared" si="589"/>
        <v>1.1580602038555262E-3</v>
      </c>
      <c r="CK234" s="196">
        <f t="shared" si="684"/>
        <v>86898.797761292488</v>
      </c>
      <c r="CL234" s="589">
        <f t="shared" si="591"/>
        <v>1.249188092138693E-3</v>
      </c>
      <c r="CM234" s="196">
        <f t="shared" si="685"/>
        <v>8418.3385625179581</v>
      </c>
      <c r="CN234" s="589">
        <f t="shared" si="593"/>
        <v>1.2131782583389261E-3</v>
      </c>
      <c r="CO234" s="196">
        <f t="shared" si="686"/>
        <v>673.49651139188518</v>
      </c>
      <c r="CP234" s="589">
        <f t="shared" si="595"/>
        <v>1.2701106829249569E-3</v>
      </c>
      <c r="CQ234" s="196">
        <f>'Detailed Budget'!$AC$12</f>
        <v>292876014141.44696</v>
      </c>
      <c r="CR234" s="269">
        <f t="shared" si="669"/>
        <v>1129208543.9304512</v>
      </c>
      <c r="CS234" s="269">
        <f>'Detailed Budget'!$AC$16</f>
        <v>10488008800.000002</v>
      </c>
      <c r="CT234" s="607">
        <f t="shared" si="622"/>
        <v>40437411.118986055</v>
      </c>
      <c r="CU234" s="269">
        <f>'Detailed Budget'!$AC$24</f>
        <v>30624985696</v>
      </c>
      <c r="CV234" s="269">
        <f t="shared" si="612"/>
        <v>118077253.97740966</v>
      </c>
      <c r="CW234" s="269"/>
      <c r="CX234" s="269">
        <f t="shared" si="596"/>
        <v>1287723209.0268469</v>
      </c>
      <c r="CY234" s="196">
        <f>'Detailed Budget'!$AC$97</f>
        <v>74629165494.837845</v>
      </c>
      <c r="CZ234" s="269">
        <f t="shared" si="623"/>
        <v>0</v>
      </c>
      <c r="DA234" s="269">
        <f>'Detailed Budget'!$AC$100</f>
        <v>14925833098.967569</v>
      </c>
      <c r="DB234" s="269">
        <f t="shared" si="624"/>
        <v>0</v>
      </c>
      <c r="DC234" s="269">
        <f t="shared" si="560"/>
        <v>0</v>
      </c>
      <c r="DD234" s="207">
        <v>0</v>
      </c>
      <c r="DE234" s="606">
        <v>0</v>
      </c>
      <c r="DF234" s="269">
        <f>'Detailed Budget'!$AC$147</f>
        <v>5913600671000</v>
      </c>
      <c r="DG234" s="269">
        <f t="shared" si="607"/>
        <v>0</v>
      </c>
      <c r="DH234" s="269">
        <f>'Detailed Budget'!$AC$153</f>
        <v>226428026880.00003</v>
      </c>
      <c r="DI234" s="269"/>
      <c r="DJ234" s="269">
        <f>'Detailed Budget'!$AC$156</f>
        <v>27713070000</v>
      </c>
      <c r="DK234" s="269"/>
      <c r="DL234" s="269"/>
      <c r="DM234" s="196">
        <f>'Detailed Budget'!$AC$178</f>
        <v>5622683761.6229038</v>
      </c>
      <c r="DN234" s="269">
        <f t="shared" si="687"/>
        <v>0</v>
      </c>
      <c r="DO234" s="196">
        <f>'Detailed Budget'!$AC$179</f>
        <v>26827890683.128094</v>
      </c>
      <c r="DP234" s="269">
        <f t="shared" si="688"/>
        <v>0</v>
      </c>
      <c r="DQ234" s="269">
        <f t="shared" si="625"/>
        <v>0</v>
      </c>
      <c r="DR234" s="269">
        <f>'Detailed Budget'!$AC$181</f>
        <v>50888946855.375237</v>
      </c>
      <c r="DS234" s="269">
        <f t="shared" si="689"/>
        <v>0</v>
      </c>
      <c r="DT234" s="269">
        <f t="shared" si="690"/>
        <v>0</v>
      </c>
      <c r="DU234" s="272">
        <f>'Detailed Budget'!$AC$192</f>
        <v>77498869683.252869</v>
      </c>
      <c r="DV234" s="269">
        <f t="shared" si="626"/>
        <v>109248698.40497579</v>
      </c>
      <c r="DW234" s="140">
        <f>'Detailed Budget'!$AC$194</f>
        <v>2684962805.4134097</v>
      </c>
      <c r="DX234" s="269">
        <f t="shared" si="627"/>
        <v>3784941.547612973</v>
      </c>
      <c r="DY234" s="607">
        <f t="shared" si="561"/>
        <v>113033639.95258877</v>
      </c>
      <c r="DZ234" s="196">
        <f>'Detailed Budget'!$AC$198</f>
        <v>18732540018.380611</v>
      </c>
      <c r="EA234" s="269">
        <f t="shared" si="672"/>
        <v>40315605.577634968</v>
      </c>
      <c r="EB234" s="196">
        <f>'Detailed Budget'!$AC$200</f>
        <v>4683135004.5951529</v>
      </c>
      <c r="EC234" s="269">
        <f t="shared" si="628"/>
        <v>10078901.394408742</v>
      </c>
      <c r="ED234" s="269">
        <f t="shared" si="563"/>
        <v>50394506.972043708</v>
      </c>
      <c r="EE234" s="196">
        <f>'Detailed Budget'!$AC$161</f>
        <v>251147290106.36197</v>
      </c>
      <c r="EF234" s="269">
        <f t="shared" si="629"/>
        <v>354037609.37672108</v>
      </c>
      <c r="EG234" s="196">
        <f>'Detailed Budget'!$AC$163</f>
        <v>15696705631.647623</v>
      </c>
      <c r="EH234" s="269">
        <f t="shared" si="630"/>
        <v>22127350.586045068</v>
      </c>
      <c r="EI234" s="269">
        <f t="shared" si="564"/>
        <v>376164959.96276617</v>
      </c>
      <c r="EJ234" s="196">
        <f>'Detailed Budget'!$AC$204</f>
        <v>45012172507.531975</v>
      </c>
      <c r="EK234" s="269">
        <f t="shared" si="631"/>
        <v>52126805.670052595</v>
      </c>
      <c r="EL234" s="201">
        <f>'Detailed Budget'!$AC$206</f>
        <v>11253043126.882994</v>
      </c>
      <c r="EM234" s="269">
        <f t="shared" si="632"/>
        <v>13031701.417513149</v>
      </c>
      <c r="EN234" s="269">
        <f t="shared" si="565"/>
        <v>65158507.087565742</v>
      </c>
      <c r="EO234" s="140">
        <f>'Detailed Budget'!$AC$209</f>
        <v>135789361677.54817</v>
      </c>
      <c r="EP234" s="269">
        <f t="shared" si="633"/>
        <v>169626453.64670736</v>
      </c>
      <c r="EQ234" s="196">
        <f>'Detailed Budget'!$AC$211</f>
        <v>33947340419.387043</v>
      </c>
      <c r="ER234" s="269">
        <f t="shared" si="634"/>
        <v>42406613.411676839</v>
      </c>
      <c r="ES234" s="269">
        <f t="shared" si="566"/>
        <v>212033067.05838418</v>
      </c>
      <c r="ET234" s="196">
        <f>'Detailed Budget'!$AC$214</f>
        <v>22239745544.201103</v>
      </c>
      <c r="EU234" s="269">
        <f t="shared" si="635"/>
        <v>26980775.765214786</v>
      </c>
      <c r="EV234" s="140">
        <f>'Detailed Budget'!$AC$217</f>
        <v>5559936386.0502758</v>
      </c>
      <c r="EW234" s="269">
        <f t="shared" si="636"/>
        <v>6745193.9413036965</v>
      </c>
      <c r="EX234" s="269">
        <f t="shared" si="567"/>
        <v>33725969.706518486</v>
      </c>
      <c r="EY234" s="196">
        <f>'Detailed Budget'!$AC$219</f>
        <v>372777004.58170313</v>
      </c>
      <c r="EZ234" s="269">
        <f t="shared" si="637"/>
        <v>473468.05586798675</v>
      </c>
      <c r="FA234" s="196">
        <f>'Detailed Budget'!$AC$222</f>
        <v>93194251.145425782</v>
      </c>
      <c r="FB234" s="269">
        <f t="shared" si="638"/>
        <v>118367.01396699669</v>
      </c>
      <c r="FC234" s="269">
        <f t="shared" si="568"/>
        <v>591835.06983498344</v>
      </c>
      <c r="FD234" s="269"/>
      <c r="FE234" s="269">
        <f t="shared" si="569"/>
        <v>311509378.92230338</v>
      </c>
      <c r="FF234" s="140">
        <f>'Detailed Budget'!$AC$165</f>
        <v>14927760000</v>
      </c>
      <c r="FG234" s="1087">
        <f t="shared" si="608"/>
        <v>424919412.85619158</v>
      </c>
      <c r="FH234" s="269">
        <f t="shared" si="648"/>
        <v>18657579.820474949</v>
      </c>
      <c r="FJ234" s="140">
        <f>'Detailed Budget'!$AC$235</f>
        <v>3623696172</v>
      </c>
      <c r="FK234" s="269">
        <f t="shared" si="673"/>
        <v>4681778</v>
      </c>
      <c r="FL234" s="269">
        <f t="shared" si="609"/>
        <v>4681778</v>
      </c>
      <c r="FO234" s="607"/>
      <c r="FP234" s="607"/>
      <c r="FQ234" s="607"/>
      <c r="FR234" s="269">
        <f>'Detailed Budget'!$AC$257</f>
        <v>13636439388</v>
      </c>
      <c r="FS234" s="269">
        <f t="shared" si="674"/>
        <v>24483732</v>
      </c>
      <c r="FT234" s="269">
        <f t="shared" si="610"/>
        <v>24483732</v>
      </c>
      <c r="FU234" s="269"/>
      <c r="FV234" s="269"/>
      <c r="FW234" s="616"/>
      <c r="FX234" s="140">
        <f>'Detailed Budget'!$AC$278</f>
        <v>1114560000</v>
      </c>
      <c r="FY234" s="269">
        <f t="shared" si="675"/>
        <v>1440000</v>
      </c>
      <c r="FZ234" s="269">
        <f t="shared" si="611"/>
        <v>1440000</v>
      </c>
      <c r="GB234" s="269">
        <f t="shared" si="619"/>
        <v>2613008197.5132155</v>
      </c>
      <c r="GC234" s="887">
        <f t="shared" si="574"/>
        <v>1633130.1234457598</v>
      </c>
      <c r="GD234" s="1078">
        <f t="shared" si="620"/>
        <v>1.4662411809088262E-3</v>
      </c>
    </row>
    <row r="235" spans="1:186" hidden="1" outlineLevel="1">
      <c r="A235" s="211" t="s">
        <v>628</v>
      </c>
      <c r="B235" s="212" t="s">
        <v>629</v>
      </c>
      <c r="C235" s="213" t="s">
        <v>215</v>
      </c>
      <c r="D235" s="214"/>
      <c r="E235" s="213"/>
      <c r="F235" s="213"/>
      <c r="G235" s="213" t="s">
        <v>215</v>
      </c>
      <c r="H235" s="213" t="s">
        <v>215</v>
      </c>
      <c r="I235" s="214" t="s">
        <v>215</v>
      </c>
      <c r="J235" s="214"/>
      <c r="K235" s="213" t="s">
        <v>215</v>
      </c>
      <c r="L235" s="213"/>
      <c r="M235" s="214"/>
      <c r="N235" s="213"/>
      <c r="O235" s="214"/>
      <c r="P235" s="213"/>
      <c r="Q235" s="214"/>
      <c r="R235" s="214" t="s">
        <v>215</v>
      </c>
      <c r="S235" s="214"/>
      <c r="T235" s="214"/>
      <c r="U235" s="215">
        <f t="shared" si="676"/>
        <v>6</v>
      </c>
      <c r="V235" s="845" t="s">
        <v>216</v>
      </c>
      <c r="W235" s="216">
        <v>133105</v>
      </c>
      <c r="X235" s="217">
        <v>2.91</v>
      </c>
      <c r="Y235" s="218">
        <f t="shared" si="640"/>
        <v>1.0290999999999999</v>
      </c>
      <c r="Z235" s="196">
        <v>19</v>
      </c>
      <c r="AA235" s="218">
        <f t="shared" si="641"/>
        <v>1.7246222540408234</v>
      </c>
      <c r="AB235" s="196">
        <f t="shared" si="642"/>
        <v>229555.8451241038</v>
      </c>
      <c r="AC235">
        <v>18.7</v>
      </c>
      <c r="AD235" s="196">
        <f t="shared" si="643"/>
        <v>42926.943038207406</v>
      </c>
      <c r="AE235" s="196">
        <f t="shared" si="644"/>
        <v>40780.595886297036</v>
      </c>
      <c r="AF235" s="196">
        <f t="shared" si="677"/>
        <v>0</v>
      </c>
      <c r="AG235" s="606">
        <f t="shared" si="577"/>
        <v>1.8855157236118943E-3</v>
      </c>
      <c r="AH235" s="196">
        <f t="shared" si="691"/>
        <v>11477.79225620519</v>
      </c>
      <c r="AI235" s="248">
        <f t="shared" si="552"/>
        <v>8.8916717553430514E-4</v>
      </c>
      <c r="AJ235" s="196">
        <f t="shared" si="578"/>
        <v>54404.735294412596</v>
      </c>
      <c r="AK235" s="196">
        <f t="shared" si="605"/>
        <v>9182.233804964153</v>
      </c>
      <c r="AL235" s="196">
        <f t="shared" si="606"/>
        <v>9182.233804964153</v>
      </c>
      <c r="AM235" s="196">
        <f t="shared" si="553"/>
        <v>18364.467609928306</v>
      </c>
      <c r="AN235" s="627">
        <f t="shared" si="554"/>
        <v>8.8916717553430525E-4</v>
      </c>
      <c r="AO235" s="196">
        <f t="shared" si="555"/>
        <v>8723.1221147159449</v>
      </c>
      <c r="AP235" s="589">
        <f t="shared" si="579"/>
        <v>8.8916717553430525E-4</v>
      </c>
      <c r="AQ235" s="196"/>
      <c r="AR235" s="589"/>
      <c r="AS235">
        <v>1</v>
      </c>
      <c r="AT235" s="589">
        <f t="shared" si="580"/>
        <v>1.2919896640826874E-3</v>
      </c>
      <c r="AU235" s="196">
        <v>10</v>
      </c>
      <c r="AV235" s="245">
        <f t="shared" si="556"/>
        <v>1.1362345188046814E-3</v>
      </c>
      <c r="AX235" s="245"/>
      <c r="AY235" s="245"/>
      <c r="AZ235" s="196">
        <v>48</v>
      </c>
      <c r="BA235" s="589">
        <f t="shared" si="613"/>
        <v>1.7588215895350116E-3</v>
      </c>
      <c r="BI235" s="196">
        <v>1</v>
      </c>
      <c r="BJ235" s="196">
        <f t="shared" si="678"/>
        <v>127531.0444032393</v>
      </c>
      <c r="BK235" s="246">
        <f t="shared" si="614"/>
        <v>2.4319400724232667E-3</v>
      </c>
      <c r="BL235" s="196">
        <f t="shared" si="692"/>
        <v>2550.620888064786</v>
      </c>
      <c r="BM235" s="246">
        <f t="shared" si="615"/>
        <v>2.4319397941695194E-3</v>
      </c>
      <c r="BN235" s="196">
        <v>0</v>
      </c>
      <c r="BO235" s="196">
        <f t="shared" si="679"/>
        <v>20619.446067139677</v>
      </c>
      <c r="BP235" s="196">
        <f t="shared" si="582"/>
        <v>0</v>
      </c>
      <c r="BQ235" s="248">
        <f t="shared" si="616"/>
        <v>0</v>
      </c>
      <c r="BR235" s="248"/>
      <c r="BS235" s="248"/>
      <c r="BT235" s="276">
        <v>0</v>
      </c>
      <c r="BU235" s="196">
        <f t="shared" si="693"/>
        <v>0</v>
      </c>
      <c r="BV235" s="264">
        <f t="shared" si="617"/>
        <v>0</v>
      </c>
      <c r="BW235" s="196">
        <f t="shared" si="694"/>
        <v>0</v>
      </c>
      <c r="BX235" s="247">
        <f t="shared" si="618"/>
        <v>0</v>
      </c>
      <c r="BY235" s="196">
        <f t="shared" si="639"/>
        <v>0</v>
      </c>
      <c r="BZ235" s="620">
        <v>1</v>
      </c>
      <c r="CA235" s="196">
        <f t="shared" si="680"/>
        <v>70244.088607975777</v>
      </c>
      <c r="CB235" s="196">
        <f t="shared" si="681"/>
        <v>140488.17721595155</v>
      </c>
      <c r="CC235" s="196">
        <f t="shared" si="585"/>
        <v>210732.26582392733</v>
      </c>
      <c r="CD235" s="247">
        <f t="shared" si="557"/>
        <v>8.8916717553430536E-4</v>
      </c>
      <c r="CE235" s="196">
        <f t="shared" si="682"/>
        <v>31435.843751588196</v>
      </c>
      <c r="CF235" s="247">
        <f t="shared" si="558"/>
        <v>1.3574974969596152E-3</v>
      </c>
      <c r="CG235" s="196">
        <f t="shared" si="621"/>
        <v>34892.48845886378</v>
      </c>
      <c r="CH235" s="589">
        <f t="shared" si="587"/>
        <v>8.8916717553430525E-4</v>
      </c>
      <c r="CI235" s="196">
        <f t="shared" si="683"/>
        <v>44431.595664134686</v>
      </c>
      <c r="CJ235" s="248">
        <f t="shared" si="589"/>
        <v>7.3045531993607283E-4</v>
      </c>
      <c r="CK235" s="196">
        <f t="shared" si="684"/>
        <v>54812.080502771416</v>
      </c>
      <c r="CL235" s="589">
        <f t="shared" si="591"/>
        <v>7.8793493159129153E-4</v>
      </c>
      <c r="CM235" s="196">
        <f t="shared" si="685"/>
        <v>5309.9313555043627</v>
      </c>
      <c r="CN235" s="589">
        <f t="shared" si="593"/>
        <v>7.6522145384507313E-4</v>
      </c>
      <c r="CO235" s="196">
        <f t="shared" si="686"/>
        <v>424.8130693609109</v>
      </c>
      <c r="CP235" s="589">
        <f t="shared" si="595"/>
        <v>8.0113201555617535E-4</v>
      </c>
      <c r="CQ235" s="196">
        <f>'Detailed Budget'!$AC$12</f>
        <v>292876014141.44696</v>
      </c>
      <c r="CR235" s="269">
        <f t="shared" si="669"/>
        <v>712256915.04218817</v>
      </c>
      <c r="CS235" s="269">
        <f>'Detailed Budget'!$AC$16</f>
        <v>10488008800.000002</v>
      </c>
      <c r="CT235" s="607">
        <f t="shared" si="622"/>
        <v>25506205.962320112</v>
      </c>
      <c r="CU235" s="269">
        <f>'Detailed Budget'!$AC$24</f>
        <v>30624985696</v>
      </c>
      <c r="CV235" s="269">
        <f t="shared" si="612"/>
        <v>74478129.931491747</v>
      </c>
      <c r="CW235" s="269"/>
      <c r="CX235" s="269">
        <f t="shared" si="596"/>
        <v>812241250.93599999</v>
      </c>
      <c r="CY235" s="196">
        <f>'Detailed Budget'!$AC$97</f>
        <v>74629165494.837845</v>
      </c>
      <c r="CZ235" s="269">
        <f t="shared" si="623"/>
        <v>0</v>
      </c>
      <c r="DA235" s="269">
        <f>'Detailed Budget'!$AC$100</f>
        <v>14925833098.967569</v>
      </c>
      <c r="DB235" s="269">
        <f t="shared" si="624"/>
        <v>0</v>
      </c>
      <c r="DC235" s="269">
        <f t="shared" si="560"/>
        <v>0</v>
      </c>
      <c r="DD235" s="207">
        <v>0</v>
      </c>
      <c r="DE235" s="606">
        <v>0</v>
      </c>
      <c r="DF235" s="269">
        <f>'Detailed Budget'!$AC$147</f>
        <v>5913600671000</v>
      </c>
      <c r="DG235" s="269">
        <f t="shared" si="607"/>
        <v>0</v>
      </c>
      <c r="DH235" s="269">
        <f>'Detailed Budget'!$AC$153</f>
        <v>226428026880.00003</v>
      </c>
      <c r="DI235" s="269"/>
      <c r="DJ235" s="269">
        <f>'Detailed Budget'!$AC$156</f>
        <v>27713070000</v>
      </c>
      <c r="DK235" s="269"/>
      <c r="DL235" s="269"/>
      <c r="DM235" s="196">
        <f>'Detailed Budget'!$AC$178</f>
        <v>5622683761.6229038</v>
      </c>
      <c r="DN235" s="269">
        <f t="shared" si="687"/>
        <v>0</v>
      </c>
      <c r="DO235" s="196">
        <f>'Detailed Budget'!$AC$179</f>
        <v>26827890683.128094</v>
      </c>
      <c r="DP235" s="269">
        <f t="shared" si="688"/>
        <v>0</v>
      </c>
      <c r="DQ235" s="269">
        <f t="shared" si="625"/>
        <v>0</v>
      </c>
      <c r="DR235" s="269">
        <f>'Detailed Budget'!$AC$181</f>
        <v>50888946855.375237</v>
      </c>
      <c r="DS235" s="269">
        <f t="shared" si="689"/>
        <v>0</v>
      </c>
      <c r="DT235" s="269">
        <f t="shared" si="690"/>
        <v>0</v>
      </c>
      <c r="DU235" s="272">
        <f>'Detailed Budget'!$AC$192</f>
        <v>77498869683.252869</v>
      </c>
      <c r="DV235" s="269">
        <f t="shared" si="626"/>
        <v>68909451.063359156</v>
      </c>
      <c r="DW235" s="140">
        <f>'Detailed Budget'!$AC$194</f>
        <v>2684962805.4134097</v>
      </c>
      <c r="DX235" s="269">
        <f t="shared" si="627"/>
        <v>2387380.7941041058</v>
      </c>
      <c r="DY235" s="607">
        <f t="shared" si="561"/>
        <v>71296831.857463256</v>
      </c>
      <c r="DZ235" s="196">
        <f>'Detailed Budget'!$AC$198</f>
        <v>18732540018.380611</v>
      </c>
      <c r="EA235" s="269">
        <f t="shared" si="672"/>
        <v>25429376.186647505</v>
      </c>
      <c r="EB235" s="196">
        <f>'Detailed Budget'!$AC$200</f>
        <v>4683135004.5951529</v>
      </c>
      <c r="EC235" s="269">
        <f t="shared" si="628"/>
        <v>6357344.0466618761</v>
      </c>
      <c r="ED235" s="269">
        <f t="shared" si="563"/>
        <v>31786720.233309381</v>
      </c>
      <c r="EE235" s="196">
        <f>'Detailed Budget'!$AC$161</f>
        <v>251147290106.36197</v>
      </c>
      <c r="EF235" s="269">
        <f t="shared" si="629"/>
        <v>223311926.58696863</v>
      </c>
      <c r="EG235" s="196">
        <f>'Detailed Budget'!$AC$163</f>
        <v>15696705631.647623</v>
      </c>
      <c r="EH235" s="269">
        <f t="shared" si="630"/>
        <v>13956995.411685539</v>
      </c>
      <c r="EI235" s="269">
        <f t="shared" si="564"/>
        <v>237268921.99865416</v>
      </c>
      <c r="EJ235" s="196">
        <f>'Detailed Budget'!$AC$204</f>
        <v>45012172507.531975</v>
      </c>
      <c r="EK235" s="269">
        <f t="shared" si="631"/>
        <v>32879380.870006971</v>
      </c>
      <c r="EL235" s="201">
        <f>'Detailed Budget'!$AC$206</f>
        <v>11253043126.882994</v>
      </c>
      <c r="EM235" s="269">
        <f t="shared" si="632"/>
        <v>8219845.2175017428</v>
      </c>
      <c r="EN235" s="269">
        <f t="shared" si="565"/>
        <v>41099226.087508716</v>
      </c>
      <c r="EO235" s="140">
        <f>'Detailed Budget'!$AC$209</f>
        <v>135789361677.54817</v>
      </c>
      <c r="EP235" s="269">
        <f t="shared" si="633"/>
        <v>106993181.40422407</v>
      </c>
      <c r="EQ235" s="196">
        <f>'Detailed Budget'!$AC$211</f>
        <v>33947340419.387043</v>
      </c>
      <c r="ER235" s="269">
        <f t="shared" si="634"/>
        <v>26748295.351056017</v>
      </c>
      <c r="ES235" s="269">
        <f t="shared" si="566"/>
        <v>133741476.75528008</v>
      </c>
      <c r="ET235" s="196">
        <f>'Detailed Budget'!$AC$214</f>
        <v>22239745544.201103</v>
      </c>
      <c r="EU235" s="269">
        <f t="shared" si="635"/>
        <v>17018330.418478057</v>
      </c>
      <c r="EV235" s="140">
        <f>'Detailed Budget'!$AC$217</f>
        <v>5559936386.0502758</v>
      </c>
      <c r="EW235" s="269">
        <f t="shared" si="636"/>
        <v>4254582.6046195142</v>
      </c>
      <c r="EX235" s="269">
        <f t="shared" si="567"/>
        <v>21272913.023097571</v>
      </c>
      <c r="EY235" s="196">
        <f>'Detailed Budget'!$AC$219</f>
        <v>372777004.58170313</v>
      </c>
      <c r="EZ235" s="269">
        <f t="shared" si="637"/>
        <v>298643.59303353343</v>
      </c>
      <c r="FA235" s="196">
        <f>'Detailed Budget'!$AC$222</f>
        <v>93194251.145425782</v>
      </c>
      <c r="FB235" s="269">
        <f t="shared" si="638"/>
        <v>74660.898258383357</v>
      </c>
      <c r="FC235" s="269">
        <f t="shared" si="568"/>
        <v>373304.49129191681</v>
      </c>
      <c r="FD235" s="269"/>
      <c r="FE235" s="269">
        <f t="shared" si="569"/>
        <v>196486920.35717827</v>
      </c>
      <c r="FF235" s="140">
        <f>'Detailed Budget'!$AC$165</f>
        <v>14927760000</v>
      </c>
      <c r="FG235" s="1087">
        <f t="shared" si="608"/>
        <v>268021165.59359777</v>
      </c>
      <c r="FH235" s="269">
        <f t="shared" si="648"/>
        <v>16961436.200431772</v>
      </c>
      <c r="FJ235" s="140">
        <f>'Detailed Budget'!$AC$235</f>
        <v>3623696172</v>
      </c>
      <c r="FK235" s="269">
        <f t="shared" si="673"/>
        <v>4681778</v>
      </c>
      <c r="FL235" s="269">
        <f t="shared" si="609"/>
        <v>4681778</v>
      </c>
      <c r="FO235" s="607"/>
      <c r="FP235" s="607"/>
      <c r="FQ235" s="607"/>
      <c r="FR235" s="269">
        <f>'Detailed Budget'!$AC$257</f>
        <v>13636439388</v>
      </c>
      <c r="FS235" s="269">
        <f t="shared" si="674"/>
        <v>23984064</v>
      </c>
      <c r="FT235" s="269">
        <f t="shared" si="610"/>
        <v>23984064</v>
      </c>
      <c r="FU235" s="269"/>
      <c r="FV235" s="269"/>
      <c r="FW235" s="616"/>
      <c r="FX235" s="140">
        <f>'Detailed Budget'!$AC$278</f>
        <v>1114560000</v>
      </c>
      <c r="FY235" s="269">
        <f t="shared" si="675"/>
        <v>1440000</v>
      </c>
      <c r="FZ235" s="269">
        <f t="shared" si="611"/>
        <v>1440000</v>
      </c>
      <c r="GB235" s="269">
        <f t="shared" si="619"/>
        <v>1664169089.1766348</v>
      </c>
      <c r="GC235" s="887">
        <f t="shared" si="574"/>
        <v>1040105.6807353967</v>
      </c>
      <c r="GD235" s="1078">
        <f t="shared" si="620"/>
        <v>9.3381767912879799E-4</v>
      </c>
    </row>
    <row r="236" spans="1:186" hidden="1" outlineLevel="1">
      <c r="A236" s="211" t="s">
        <v>630</v>
      </c>
      <c r="B236" s="212" t="s">
        <v>631</v>
      </c>
      <c r="C236" s="213" t="s">
        <v>215</v>
      </c>
      <c r="D236" s="214"/>
      <c r="E236" s="213"/>
      <c r="F236" s="213"/>
      <c r="G236" s="213" t="s">
        <v>215</v>
      </c>
      <c r="H236" s="213" t="s">
        <v>215</v>
      </c>
      <c r="I236" s="214" t="s">
        <v>215</v>
      </c>
      <c r="J236" s="214"/>
      <c r="K236" s="213" t="s">
        <v>215</v>
      </c>
      <c r="L236" s="213"/>
      <c r="M236" s="214"/>
      <c r="N236" s="213"/>
      <c r="O236" s="214"/>
      <c r="P236" s="213"/>
      <c r="Q236" s="214"/>
      <c r="R236" s="214" t="s">
        <v>215</v>
      </c>
      <c r="S236" s="214"/>
      <c r="T236" s="214"/>
      <c r="U236" s="215">
        <f t="shared" si="676"/>
        <v>6</v>
      </c>
      <c r="V236" s="845" t="s">
        <v>216</v>
      </c>
      <c r="W236" s="216">
        <v>87166</v>
      </c>
      <c r="X236" s="217">
        <v>2.91</v>
      </c>
      <c r="Y236" s="218">
        <f t="shared" si="640"/>
        <v>1.0290999999999999</v>
      </c>
      <c r="Z236" s="196">
        <v>19</v>
      </c>
      <c r="AA236" s="218">
        <f t="shared" si="641"/>
        <v>1.7246222540408234</v>
      </c>
      <c r="AB236" s="196">
        <f t="shared" si="642"/>
        <v>150328.42339572241</v>
      </c>
      <c r="AC236">
        <v>18.7</v>
      </c>
      <c r="AD236" s="196">
        <f t="shared" si="643"/>
        <v>28111.415175000089</v>
      </c>
      <c r="AE236" s="196">
        <f t="shared" si="644"/>
        <v>26705.844416250082</v>
      </c>
      <c r="AF236" s="196">
        <f t="shared" si="677"/>
        <v>0</v>
      </c>
      <c r="AG236" s="606">
        <f t="shared" si="577"/>
        <v>1.2347610049536408E-3</v>
      </c>
      <c r="AH236" s="196">
        <f t="shared" si="691"/>
        <v>7516.421169786121</v>
      </c>
      <c r="AI236" s="248">
        <f t="shared" si="552"/>
        <v>5.8228575953287441E-4</v>
      </c>
      <c r="AJ236" s="196">
        <f t="shared" si="578"/>
        <v>35627.836344786207</v>
      </c>
      <c r="AK236" s="196">
        <f t="shared" si="605"/>
        <v>6013.1369358288966</v>
      </c>
      <c r="AL236" s="196">
        <f t="shared" si="606"/>
        <v>6013.1369358288966</v>
      </c>
      <c r="AM236" s="196">
        <f t="shared" si="553"/>
        <v>12026.273871657793</v>
      </c>
      <c r="AN236" s="627">
        <f t="shared" si="554"/>
        <v>5.8228575953287441E-4</v>
      </c>
      <c r="AO236" s="196">
        <f t="shared" si="555"/>
        <v>5712.4800890374509</v>
      </c>
      <c r="AP236" s="589">
        <f t="shared" si="579"/>
        <v>5.822857595328743E-4</v>
      </c>
      <c r="AQ236" s="196"/>
      <c r="AR236" s="589"/>
      <c r="AS236">
        <v>1</v>
      </c>
      <c r="AT236" s="589">
        <f t="shared" si="580"/>
        <v>1.2919896640826874E-3</v>
      </c>
      <c r="AU236" s="196">
        <v>10</v>
      </c>
      <c r="AV236" s="245">
        <f t="shared" si="556"/>
        <v>1.1362345188046814E-3</v>
      </c>
      <c r="AX236" s="245"/>
      <c r="AY236" s="245"/>
      <c r="AZ236" s="196">
        <v>12</v>
      </c>
      <c r="BA236" s="589">
        <f t="shared" si="613"/>
        <v>4.3970539738375289E-4</v>
      </c>
      <c r="BI236" s="196">
        <v>1</v>
      </c>
      <c r="BJ236" s="196">
        <f t="shared" si="678"/>
        <v>83515.803436781163</v>
      </c>
      <c r="BK236" s="246">
        <f t="shared" si="614"/>
        <v>1.5925959832676945E-3</v>
      </c>
      <c r="BL236" s="196">
        <f t="shared" si="692"/>
        <v>1670.3160687356233</v>
      </c>
      <c r="BM236" s="246">
        <f t="shared" si="615"/>
        <v>1.5925958010486482E-3</v>
      </c>
      <c r="BN236" s="196">
        <v>0</v>
      </c>
      <c r="BO236" s="196">
        <f t="shared" si="679"/>
        <v>13502.983628626251</v>
      </c>
      <c r="BP236" s="196">
        <f t="shared" si="582"/>
        <v>0</v>
      </c>
      <c r="BQ236" s="248">
        <f t="shared" si="616"/>
        <v>0</v>
      </c>
      <c r="BR236" s="248"/>
      <c r="BS236" s="248"/>
      <c r="BT236" s="276">
        <v>0</v>
      </c>
      <c r="BU236" s="196">
        <f t="shared" si="693"/>
        <v>0</v>
      </c>
      <c r="BV236" s="264">
        <f t="shared" si="617"/>
        <v>0</v>
      </c>
      <c r="BW236" s="196">
        <f t="shared" si="694"/>
        <v>0</v>
      </c>
      <c r="BX236" s="247">
        <f t="shared" si="618"/>
        <v>0</v>
      </c>
      <c r="BY236" s="196">
        <f t="shared" si="639"/>
        <v>0</v>
      </c>
      <c r="BZ236" s="620">
        <v>1</v>
      </c>
      <c r="CA236" s="196">
        <f t="shared" si="680"/>
        <v>46000.497559091062</v>
      </c>
      <c r="CB236" s="196">
        <f t="shared" si="681"/>
        <v>92000.995118182123</v>
      </c>
      <c r="CC236" s="196">
        <f t="shared" si="585"/>
        <v>138001.49267727317</v>
      </c>
      <c r="CD236" s="247">
        <f t="shared" si="557"/>
        <v>5.8228575953287441E-4</v>
      </c>
      <c r="CE236" s="196">
        <f t="shared" si="682"/>
        <v>20586.27967732945</v>
      </c>
      <c r="CF236" s="247">
        <f t="shared" si="558"/>
        <v>8.8897957867835027E-4</v>
      </c>
      <c r="CG236" s="196">
        <f t="shared" si="621"/>
        <v>22849.920356149803</v>
      </c>
      <c r="CH236" s="589">
        <f t="shared" si="587"/>
        <v>5.822857595328743E-4</v>
      </c>
      <c r="CI236" s="196">
        <f t="shared" si="683"/>
        <v>29096.761711881325</v>
      </c>
      <c r="CJ236" s="248">
        <f t="shared" si="589"/>
        <v>4.7835068868598264E-4</v>
      </c>
      <c r="CK236" s="196">
        <f t="shared" si="684"/>
        <v>35894.593058897663</v>
      </c>
      <c r="CL236" s="589">
        <f t="shared" si="591"/>
        <v>5.1599215842445081E-4</v>
      </c>
      <c r="CM236" s="196">
        <f t="shared" si="685"/>
        <v>3477.2959433071128</v>
      </c>
      <c r="CN236" s="589">
        <f t="shared" si="593"/>
        <v>5.0111786368550878E-4</v>
      </c>
      <c r="CO236" s="196">
        <f t="shared" si="686"/>
        <v>278.1958303888897</v>
      </c>
      <c r="CP236" s="589">
        <f t="shared" si="595"/>
        <v>5.2463448606716195E-4</v>
      </c>
      <c r="CQ236" s="196">
        <f>'Detailed Budget'!$AC$12</f>
        <v>292876014141.44696</v>
      </c>
      <c r="CR236" s="269">
        <f t="shared" si="669"/>
        <v>466433163.71712095</v>
      </c>
      <c r="CS236" s="269">
        <f>'Detailed Budget'!$AC$16</f>
        <v>10488008800.000002</v>
      </c>
      <c r="CT236" s="607">
        <f t="shared" si="622"/>
        <v>16703158.776241275</v>
      </c>
      <c r="CU236" s="269">
        <f>'Detailed Budget'!$AC$24</f>
        <v>30624985696</v>
      </c>
      <c r="CV236" s="269">
        <f t="shared" si="612"/>
        <v>48773229.2070802</v>
      </c>
      <c r="CW236" s="269"/>
      <c r="CX236" s="269">
        <f t="shared" si="596"/>
        <v>531909551.70044243</v>
      </c>
      <c r="CY236" s="196">
        <f>'Detailed Budget'!$AC$97</f>
        <v>74629165494.837845</v>
      </c>
      <c r="CZ236" s="269">
        <f t="shared" si="623"/>
        <v>0</v>
      </c>
      <c r="DA236" s="269">
        <f>'Detailed Budget'!$AC$100</f>
        <v>14925833098.967569</v>
      </c>
      <c r="DB236" s="269">
        <f t="shared" si="624"/>
        <v>0</v>
      </c>
      <c r="DC236" s="269">
        <f t="shared" si="560"/>
        <v>0</v>
      </c>
      <c r="DD236" s="207">
        <v>0</v>
      </c>
      <c r="DE236" s="606">
        <v>0</v>
      </c>
      <c r="DF236" s="269">
        <f>'Detailed Budget'!$AC$147</f>
        <v>5913600671000</v>
      </c>
      <c r="DG236" s="269">
        <f t="shared" si="607"/>
        <v>0</v>
      </c>
      <c r="DH236" s="269">
        <f>'Detailed Budget'!$AC$153</f>
        <v>226428026880.00003</v>
      </c>
      <c r="DI236" s="269"/>
      <c r="DJ236" s="269">
        <f>'Detailed Budget'!$AC$156</f>
        <v>27713070000</v>
      </c>
      <c r="DK236" s="269"/>
      <c r="DL236" s="269"/>
      <c r="DM236" s="196">
        <f>'Detailed Budget'!$AC$178</f>
        <v>5622683761.6229038</v>
      </c>
      <c r="DN236" s="269">
        <f t="shared" si="687"/>
        <v>0</v>
      </c>
      <c r="DO236" s="196">
        <f>'Detailed Budget'!$AC$179</f>
        <v>26827890683.128094</v>
      </c>
      <c r="DP236" s="269">
        <f t="shared" si="688"/>
        <v>0</v>
      </c>
      <c r="DQ236" s="269">
        <f t="shared" si="625"/>
        <v>0</v>
      </c>
      <c r="DR236" s="269">
        <f>'Detailed Budget'!$AC$181</f>
        <v>50888946855.375237</v>
      </c>
      <c r="DS236" s="269">
        <f t="shared" si="689"/>
        <v>0</v>
      </c>
      <c r="DT236" s="269">
        <f t="shared" si="690"/>
        <v>0</v>
      </c>
      <c r="DU236" s="272">
        <f>'Detailed Budget'!$AC$192</f>
        <v>77498869683.252869</v>
      </c>
      <c r="DV236" s="269">
        <f t="shared" si="626"/>
        <v>45126488.196452148</v>
      </c>
      <c r="DW236" s="140">
        <f>'Detailed Budget'!$AC$194</f>
        <v>2684962805.4134097</v>
      </c>
      <c r="DX236" s="269">
        <f t="shared" si="627"/>
        <v>1563415.6064676645</v>
      </c>
      <c r="DY236" s="607">
        <f t="shared" si="561"/>
        <v>46689903.802919813</v>
      </c>
      <c r="DZ236" s="196">
        <f>'Detailed Budget'!$AC$198</f>
        <v>18732540018.380611</v>
      </c>
      <c r="EA236" s="269">
        <f t="shared" si="672"/>
        <v>16652845.533115331</v>
      </c>
      <c r="EB236" s="196">
        <f>'Detailed Budget'!$AC$200</f>
        <v>4683135004.5951529</v>
      </c>
      <c r="EC236" s="269">
        <f t="shared" si="628"/>
        <v>4163211.3832788328</v>
      </c>
      <c r="ED236" s="269">
        <f t="shared" si="563"/>
        <v>20816056.916394163</v>
      </c>
      <c r="EE236" s="196">
        <f>'Detailed Budget'!$AC$161</f>
        <v>251147290106.36197</v>
      </c>
      <c r="EF236" s="269">
        <f t="shared" si="629"/>
        <v>146239490.57420611</v>
      </c>
      <c r="EG236" s="196">
        <f>'Detailed Budget'!$AC$163</f>
        <v>15696705631.647623</v>
      </c>
      <c r="EH236" s="269">
        <f t="shared" si="630"/>
        <v>9139968.1608878821</v>
      </c>
      <c r="EI236" s="269">
        <f t="shared" si="564"/>
        <v>155379458.73509401</v>
      </c>
      <c r="EJ236" s="196">
        <f>'Detailed Budget'!$AC$204</f>
        <v>45012172507.531975</v>
      </c>
      <c r="EK236" s="269">
        <f t="shared" si="631"/>
        <v>21531603.718230173</v>
      </c>
      <c r="EL236" s="201">
        <f>'Detailed Budget'!$AC$206</f>
        <v>11253043126.882994</v>
      </c>
      <c r="EM236" s="269">
        <f t="shared" si="632"/>
        <v>5382900.9295575432</v>
      </c>
      <c r="EN236" s="269">
        <f t="shared" si="565"/>
        <v>26914504.647787716</v>
      </c>
      <c r="EO236" s="140">
        <f>'Detailed Budget'!$AC$209</f>
        <v>135789361677.54817</v>
      </c>
      <c r="EP236" s="269">
        <f t="shared" si="633"/>
        <v>70066245.823076487</v>
      </c>
      <c r="EQ236" s="196">
        <f>'Detailed Budget'!$AC$211</f>
        <v>33947340419.387043</v>
      </c>
      <c r="ER236" s="269">
        <f t="shared" si="634"/>
        <v>17516561.455769122</v>
      </c>
      <c r="ES236" s="269">
        <f t="shared" si="566"/>
        <v>87582807.278845608</v>
      </c>
      <c r="ET236" s="196">
        <f>'Detailed Budget'!$AC$214</f>
        <v>22239745544.201103</v>
      </c>
      <c r="EU236" s="269">
        <f t="shared" si="635"/>
        <v>11144733.77601937</v>
      </c>
      <c r="EV236" s="140">
        <f>'Detailed Budget'!$AC$217</f>
        <v>5559936386.0502758</v>
      </c>
      <c r="EW236" s="269">
        <f t="shared" si="636"/>
        <v>2786183.4440048425</v>
      </c>
      <c r="EX236" s="269">
        <f t="shared" si="567"/>
        <v>13930917.220024213</v>
      </c>
      <c r="EY236" s="196">
        <f>'Detailed Budget'!$AC$219</f>
        <v>372777004.58170313</v>
      </c>
      <c r="EZ236" s="269">
        <f t="shared" si="637"/>
        <v>195571.67221637789</v>
      </c>
      <c r="FA236" s="196">
        <f>'Detailed Budget'!$AC$222</f>
        <v>93194251.145425782</v>
      </c>
      <c r="FB236" s="269">
        <f t="shared" si="638"/>
        <v>48892.918054094473</v>
      </c>
      <c r="FC236" s="269">
        <f t="shared" si="568"/>
        <v>244464.59027047237</v>
      </c>
      <c r="FD236" s="269"/>
      <c r="FE236" s="269">
        <f t="shared" si="569"/>
        <v>128672693.73692802</v>
      </c>
      <c r="FF236" s="140">
        <f>'Detailed Budget'!$AC$165</f>
        <v>14927760000</v>
      </c>
      <c r="FG236" s="1087">
        <f t="shared" si="608"/>
        <v>175518071.5985992</v>
      </c>
      <c r="FH236" s="269">
        <f t="shared" si="648"/>
        <v>16961436.200431772</v>
      </c>
      <c r="FJ236" s="140">
        <f>'Detailed Budget'!$AC$235</f>
        <v>3623696172</v>
      </c>
      <c r="FK236" s="269">
        <f t="shared" si="673"/>
        <v>4681778</v>
      </c>
      <c r="FL236" s="269">
        <f t="shared" si="609"/>
        <v>4681778</v>
      </c>
      <c r="FO236" s="607"/>
      <c r="FP236" s="607"/>
      <c r="FQ236" s="607"/>
      <c r="FR236" s="269">
        <f>'Detailed Budget'!$AC$257</f>
        <v>13636439388</v>
      </c>
      <c r="FS236" s="269">
        <f t="shared" si="674"/>
        <v>5996016</v>
      </c>
      <c r="FT236" s="269">
        <f t="shared" si="610"/>
        <v>5996016</v>
      </c>
      <c r="FU236" s="269"/>
      <c r="FV236" s="269"/>
      <c r="FW236" s="616"/>
      <c r="FX236" s="140">
        <f>'Detailed Budget'!$AC$278</f>
        <v>1114560000</v>
      </c>
      <c r="FY236" s="269">
        <f t="shared" si="675"/>
        <v>1440000</v>
      </c>
      <c r="FZ236" s="269">
        <f t="shared" si="611"/>
        <v>1440000</v>
      </c>
      <c r="GB236" s="269">
        <f t="shared" si="619"/>
        <v>1088064966.6908095</v>
      </c>
      <c r="GC236" s="887">
        <f t="shared" si="574"/>
        <v>680040.60418175592</v>
      </c>
      <c r="GD236" s="1078">
        <f t="shared" si="620"/>
        <v>6.1054751499997411E-4</v>
      </c>
    </row>
    <row r="237" spans="1:186" hidden="1" outlineLevel="1">
      <c r="A237" s="211" t="s">
        <v>632</v>
      </c>
      <c r="B237" s="212" t="s">
        <v>633</v>
      </c>
      <c r="C237" s="213" t="s">
        <v>215</v>
      </c>
      <c r="D237" s="214" t="s">
        <v>215</v>
      </c>
      <c r="E237" s="213"/>
      <c r="F237" s="213"/>
      <c r="G237" s="213"/>
      <c r="H237" s="213" t="s">
        <v>215</v>
      </c>
      <c r="I237" s="214" t="s">
        <v>215</v>
      </c>
      <c r="J237" s="214"/>
      <c r="K237" s="213" t="s">
        <v>215</v>
      </c>
      <c r="L237" s="213"/>
      <c r="M237" s="214"/>
      <c r="N237" s="213"/>
      <c r="O237" s="214"/>
      <c r="P237" s="213"/>
      <c r="Q237" s="214"/>
      <c r="R237" s="214" t="s">
        <v>215</v>
      </c>
      <c r="S237" s="214"/>
      <c r="T237" s="214"/>
      <c r="U237" s="215">
        <f t="shared" si="676"/>
        <v>6</v>
      </c>
      <c r="V237" s="845" t="s">
        <v>219</v>
      </c>
      <c r="W237" s="216">
        <v>245086</v>
      </c>
      <c r="X237" s="217">
        <v>2.91</v>
      </c>
      <c r="Y237" s="218">
        <f t="shared" si="640"/>
        <v>1.0290999999999999</v>
      </c>
      <c r="Z237" s="196">
        <v>19</v>
      </c>
      <c r="AA237" s="218">
        <f t="shared" si="641"/>
        <v>1.7246222540408234</v>
      </c>
      <c r="AB237" s="196">
        <f t="shared" si="642"/>
        <v>422680.76975384925</v>
      </c>
      <c r="AC237">
        <v>18.7</v>
      </c>
      <c r="AD237" s="196">
        <f t="shared" si="643"/>
        <v>79041.303943969804</v>
      </c>
      <c r="AE237" s="196">
        <f t="shared" si="644"/>
        <v>75089.238746771312</v>
      </c>
      <c r="AF237" s="196">
        <f t="shared" si="677"/>
        <v>75089.238746771312</v>
      </c>
      <c r="AG237" s="606">
        <f t="shared" si="577"/>
        <v>3.4717967517158988E-3</v>
      </c>
      <c r="AH237" s="196">
        <f t="shared" si="691"/>
        <v>21134.038487692465</v>
      </c>
      <c r="AI237" s="248">
        <f t="shared" si="552"/>
        <v>1.6372219404455187E-3</v>
      </c>
      <c r="AJ237" s="196">
        <f t="shared" si="578"/>
        <v>100175.34243166227</v>
      </c>
      <c r="AK237" s="196">
        <f t="shared" si="605"/>
        <v>16907.230790153972</v>
      </c>
      <c r="AL237" s="196">
        <f t="shared" si="606"/>
        <v>16907.230790153972</v>
      </c>
      <c r="AM237" s="196">
        <f t="shared" si="553"/>
        <v>33814.461580307943</v>
      </c>
      <c r="AN237" s="627">
        <f t="shared" si="554"/>
        <v>1.6372219404455185E-3</v>
      </c>
      <c r="AO237" s="196">
        <f t="shared" si="555"/>
        <v>16061.86925064627</v>
      </c>
      <c r="AP237" s="589">
        <f t="shared" si="579"/>
        <v>1.6372219404455182E-3</v>
      </c>
      <c r="AQ237" s="196"/>
      <c r="AR237" s="589"/>
      <c r="AS237">
        <v>1</v>
      </c>
      <c r="AT237" s="589">
        <f t="shared" si="580"/>
        <v>1.2919896640826874E-3</v>
      </c>
      <c r="AU237" s="196">
        <v>12</v>
      </c>
      <c r="AV237" s="245">
        <f t="shared" si="556"/>
        <v>1.3634814225656176E-3</v>
      </c>
      <c r="AX237" s="245"/>
      <c r="AY237" s="245"/>
      <c r="AZ237" s="196">
        <v>54</v>
      </c>
      <c r="BA237" s="589">
        <f t="shared" si="613"/>
        <v>1.9786742882268878E-3</v>
      </c>
      <c r="BI237" s="196">
        <v>1</v>
      </c>
      <c r="BJ237" s="196">
        <f t="shared" si="678"/>
        <v>234822.68546344846</v>
      </c>
      <c r="BK237" s="246">
        <f t="shared" si="614"/>
        <v>4.4779269342994539E-3</v>
      </c>
      <c r="BL237" s="196">
        <f t="shared" si="692"/>
        <v>4696.4537092689689</v>
      </c>
      <c r="BM237" s="246">
        <f t="shared" si="615"/>
        <v>4.4779264219513221E-3</v>
      </c>
      <c r="BN237" s="196">
        <v>0</v>
      </c>
      <c r="BO237" s="196">
        <f t="shared" si="679"/>
        <v>37966.549406941849</v>
      </c>
      <c r="BP237" s="196">
        <f t="shared" si="582"/>
        <v>0</v>
      </c>
      <c r="BQ237" s="248">
        <f t="shared" si="616"/>
        <v>0</v>
      </c>
      <c r="BR237" s="248"/>
      <c r="BS237" s="248"/>
      <c r="BT237" s="276">
        <v>1</v>
      </c>
      <c r="BU237" s="196">
        <f t="shared" si="693"/>
        <v>62600.712723624085</v>
      </c>
      <c r="BV237" s="264">
        <f t="shared" si="617"/>
        <v>4.3421040100763472E-3</v>
      </c>
      <c r="BW237" s="196">
        <f t="shared" si="694"/>
        <v>267791.93776216975</v>
      </c>
      <c r="BX237" s="247">
        <f t="shared" si="618"/>
        <v>4.3421040491901869E-3</v>
      </c>
      <c r="BY237" s="196">
        <f t="shared" si="639"/>
        <v>330392.65048579383</v>
      </c>
      <c r="BZ237" s="620">
        <v>0</v>
      </c>
      <c r="CA237" s="196">
        <f t="shared" si="680"/>
        <v>129340.31554467787</v>
      </c>
      <c r="CB237" s="196">
        <f t="shared" si="681"/>
        <v>258680.63108935574</v>
      </c>
      <c r="CC237" s="196">
        <f t="shared" si="585"/>
        <v>388020.94663403358</v>
      </c>
      <c r="CD237" s="247">
        <f t="shared" si="557"/>
        <v>1.6372219404455182E-3</v>
      </c>
      <c r="CE237" s="196">
        <f t="shared" si="682"/>
        <v>57882.763244819842</v>
      </c>
      <c r="CF237" s="247">
        <f t="shared" si="558"/>
        <v>2.4995577291600187E-3</v>
      </c>
      <c r="CG237" s="196">
        <f t="shared" si="621"/>
        <v>64247.477002585081</v>
      </c>
      <c r="CH237" s="589">
        <f t="shared" si="587"/>
        <v>1.6372219404455182E-3</v>
      </c>
      <c r="CI237" s="196">
        <f t="shared" si="683"/>
        <v>81811.818150633815</v>
      </c>
      <c r="CJ237" s="248">
        <f t="shared" si="589"/>
        <v>1.3449860827305688E-3</v>
      </c>
      <c r="CK237" s="196">
        <f t="shared" si="684"/>
        <v>100925.38644004535</v>
      </c>
      <c r="CL237" s="589">
        <f t="shared" si="591"/>
        <v>1.4508231895419652E-3</v>
      </c>
      <c r="CM237" s="196">
        <f t="shared" si="685"/>
        <v>9777.1671702426083</v>
      </c>
      <c r="CN237" s="589">
        <f t="shared" si="593"/>
        <v>1.4090009033249963E-3</v>
      </c>
      <c r="CO237" s="196">
        <f t="shared" si="686"/>
        <v>782.20754980946037</v>
      </c>
      <c r="CP237" s="589">
        <f t="shared" si="595"/>
        <v>1.4751229567980229E-3</v>
      </c>
      <c r="CQ237" s="196">
        <f>'Detailed Budget'!$AC$12</f>
        <v>292876014141.44696</v>
      </c>
      <c r="CR237" s="269">
        <f t="shared" si="669"/>
        <v>1311477392.134253</v>
      </c>
      <c r="CS237" s="269">
        <f>'Detailed Budget'!$AC$16</f>
        <v>10488008800.000002</v>
      </c>
      <c r="CT237" s="607">
        <f t="shared" si="622"/>
        <v>46964531.719177991</v>
      </c>
      <c r="CU237" s="269">
        <f>'Detailed Budget'!$AC$24</f>
        <v>30624985696</v>
      </c>
      <c r="CV237" s="269">
        <f t="shared" si="612"/>
        <v>137136448.3106539</v>
      </c>
      <c r="CW237" s="269"/>
      <c r="CX237" s="269">
        <f t="shared" si="596"/>
        <v>1495578372.1640849</v>
      </c>
      <c r="CY237" s="196">
        <f>'Detailed Budget'!$AC$97</f>
        <v>74629165494.837845</v>
      </c>
      <c r="CZ237" s="269">
        <f t="shared" si="623"/>
        <v>0</v>
      </c>
      <c r="DA237" s="269">
        <f>'Detailed Budget'!$AC$100</f>
        <v>14925833098.967569</v>
      </c>
      <c r="DB237" s="269">
        <f t="shared" si="624"/>
        <v>0</v>
      </c>
      <c r="DC237" s="269">
        <f t="shared" si="560"/>
        <v>0</v>
      </c>
      <c r="DD237" s="207">
        <v>0</v>
      </c>
      <c r="DE237" s="606">
        <v>0</v>
      </c>
      <c r="DF237" s="269">
        <f>'Detailed Budget'!$AC$147</f>
        <v>5913600671000</v>
      </c>
      <c r="DG237" s="269">
        <f t="shared" si="607"/>
        <v>0</v>
      </c>
      <c r="DH237" s="269">
        <f>'Detailed Budget'!$AC$153</f>
        <v>226428026880.00003</v>
      </c>
      <c r="DI237" s="269"/>
      <c r="DJ237" s="269">
        <f>'Detailed Budget'!$AC$156</f>
        <v>27713070000</v>
      </c>
      <c r="DK237" s="269"/>
      <c r="DL237" s="269"/>
      <c r="DM237" s="196">
        <f>'Detailed Budget'!$AC$178</f>
        <v>5622683761.6229038</v>
      </c>
      <c r="DN237" s="269">
        <f t="shared" si="687"/>
        <v>24414277.708733972</v>
      </c>
      <c r="DO237" s="196">
        <f>'Detailed Budget'!$AC$179</f>
        <v>26827890683.128094</v>
      </c>
      <c r="DP237" s="269">
        <f t="shared" si="688"/>
        <v>116489492.76644218</v>
      </c>
      <c r="DQ237" s="269">
        <f t="shared" si="625"/>
        <v>140903770.47517616</v>
      </c>
      <c r="DR237" s="269">
        <f>'Detailed Budget'!$AC$181</f>
        <v>50888946855.375237</v>
      </c>
      <c r="DS237" s="269">
        <f t="shared" si="689"/>
        <v>176676080.39073476</v>
      </c>
      <c r="DT237" s="269">
        <f t="shared" si="690"/>
        <v>317579850.86591089</v>
      </c>
      <c r="DU237" s="272">
        <f>'Detailed Budget'!$AC$192</f>
        <v>77498869683.252869</v>
      </c>
      <c r="DV237" s="269">
        <f t="shared" si="626"/>
        <v>0</v>
      </c>
      <c r="DW237" s="140">
        <f>'Detailed Budget'!$AC$194</f>
        <v>2684962805.4134097</v>
      </c>
      <c r="DX237" s="269">
        <f t="shared" si="627"/>
        <v>0</v>
      </c>
      <c r="DY237" s="607">
        <f t="shared" si="561"/>
        <v>0</v>
      </c>
      <c r="DZ237" s="196">
        <f>'Detailed Budget'!$AC$198</f>
        <v>18732540018.380611</v>
      </c>
      <c r="EA237" s="269">
        <f t="shared" si="672"/>
        <v>46823065.189742617</v>
      </c>
      <c r="EB237" s="196">
        <f>'Detailed Budget'!$AC$200</f>
        <v>4683135004.5951529</v>
      </c>
      <c r="EC237" s="269">
        <f t="shared" si="628"/>
        <v>11705766.297435654</v>
      </c>
      <c r="ED237" s="269">
        <f t="shared" si="563"/>
        <v>58528831.487178273</v>
      </c>
      <c r="EE237" s="196">
        <f>'Detailed Budget'!$AC$161</f>
        <v>251147290106.36197</v>
      </c>
      <c r="EF237" s="269">
        <f t="shared" si="629"/>
        <v>411183853.64557147</v>
      </c>
      <c r="EG237" s="196">
        <f>'Detailed Budget'!$AC$163</f>
        <v>15696705631.647623</v>
      </c>
      <c r="EH237" s="269">
        <f t="shared" si="630"/>
        <v>25698990.852848217</v>
      </c>
      <c r="EI237" s="269">
        <f t="shared" si="564"/>
        <v>436882844.4984197</v>
      </c>
      <c r="EJ237" s="196">
        <f>'Detailed Budget'!$AC$204</f>
        <v>45012172507.531975</v>
      </c>
      <c r="EK237" s="269">
        <f t="shared" si="631"/>
        <v>60540745.576098032</v>
      </c>
      <c r="EL237" s="201">
        <f>'Detailed Budget'!$AC$206</f>
        <v>11253043126.882994</v>
      </c>
      <c r="EM237" s="269">
        <f t="shared" si="632"/>
        <v>15135186.394024508</v>
      </c>
      <c r="EN237" s="269">
        <f t="shared" si="565"/>
        <v>75675931.970122546</v>
      </c>
      <c r="EO237" s="140">
        <f>'Detailed Budget'!$AC$209</f>
        <v>135789361677.54817</v>
      </c>
      <c r="EP237" s="269">
        <f t="shared" si="633"/>
        <v>197006354.81488794</v>
      </c>
      <c r="EQ237" s="196">
        <f>'Detailed Budget'!$AC$211</f>
        <v>33947340419.387043</v>
      </c>
      <c r="ER237" s="269">
        <f t="shared" si="634"/>
        <v>49251588.703721985</v>
      </c>
      <c r="ES237" s="269">
        <f t="shared" si="566"/>
        <v>246257943.51860994</v>
      </c>
      <c r="ET237" s="196">
        <f>'Detailed Budget'!$AC$214</f>
        <v>22239745544.201103</v>
      </c>
      <c r="EU237" s="269">
        <f t="shared" si="635"/>
        <v>31335821.561497416</v>
      </c>
      <c r="EV237" s="140">
        <f>'Detailed Budget'!$AC$217</f>
        <v>5559936386.0502758</v>
      </c>
      <c r="EW237" s="269">
        <f t="shared" si="636"/>
        <v>7833955.3903743541</v>
      </c>
      <c r="EX237" s="269">
        <f t="shared" si="567"/>
        <v>39169776.951871768</v>
      </c>
      <c r="EY237" s="196">
        <f>'Detailed Budget'!$AC$219</f>
        <v>372777004.58170313</v>
      </c>
      <c r="EZ237" s="269">
        <f t="shared" si="637"/>
        <v>549891.91722487204</v>
      </c>
      <c r="FA237" s="196">
        <f>'Detailed Budget'!$AC$222</f>
        <v>93194251.145425782</v>
      </c>
      <c r="FB237" s="269">
        <f t="shared" si="638"/>
        <v>137472.97930621801</v>
      </c>
      <c r="FC237" s="269">
        <f t="shared" si="568"/>
        <v>687364.89653109002</v>
      </c>
      <c r="FD237" s="269"/>
      <c r="FE237" s="269">
        <f t="shared" si="569"/>
        <v>361791017.33713531</v>
      </c>
      <c r="FF237" s="140">
        <f>'Detailed Budget'!$AC$165</f>
        <v>14927760000</v>
      </c>
      <c r="FG237" s="1087">
        <f t="shared" si="608"/>
        <v>493506895.98942572</v>
      </c>
      <c r="FH237" s="269">
        <f t="shared" si="648"/>
        <v>20353723.440518126</v>
      </c>
      <c r="FJ237" s="140">
        <f>'Detailed Budget'!$AC$235</f>
        <v>3623696172</v>
      </c>
      <c r="FK237" s="269">
        <f t="shared" si="673"/>
        <v>4681778</v>
      </c>
      <c r="FL237" s="269">
        <f t="shared" si="609"/>
        <v>4681778</v>
      </c>
      <c r="FO237" s="607"/>
      <c r="FP237" s="607"/>
      <c r="FQ237" s="607"/>
      <c r="FR237" s="269">
        <f>'Detailed Budget'!$AC$257</f>
        <v>13636439388</v>
      </c>
      <c r="FS237" s="269">
        <f t="shared" si="674"/>
        <v>26982071.999999996</v>
      </c>
      <c r="FT237" s="269">
        <f t="shared" si="610"/>
        <v>26982071.999999996</v>
      </c>
      <c r="FU237" s="269"/>
      <c r="FV237" s="269"/>
      <c r="FW237" s="616"/>
      <c r="FX237" s="140">
        <f>'Detailed Budget'!$AC$278</f>
        <v>1114560000</v>
      </c>
      <c r="FY237" s="269">
        <f t="shared" si="675"/>
        <v>1440000</v>
      </c>
      <c r="FZ237" s="269">
        <f t="shared" si="611"/>
        <v>1440000</v>
      </c>
      <c r="GB237" s="269">
        <f t="shared" si="619"/>
        <v>3217325385.7826729</v>
      </c>
      <c r="GC237" s="887">
        <f t="shared" si="574"/>
        <v>2010828.3661141705</v>
      </c>
      <c r="GD237" s="1078">
        <f t="shared" si="620"/>
        <v>1.8053425846529794E-3</v>
      </c>
    </row>
    <row r="238" spans="1:186" hidden="1" outlineLevel="1">
      <c r="A238" s="211" t="s">
        <v>634</v>
      </c>
      <c r="B238" s="212" t="s">
        <v>635</v>
      </c>
      <c r="C238" s="213" t="s">
        <v>215</v>
      </c>
      <c r="D238" s="214" t="s">
        <v>215</v>
      </c>
      <c r="E238" s="213"/>
      <c r="F238" s="213"/>
      <c r="G238" s="213"/>
      <c r="H238" s="213" t="s">
        <v>215</v>
      </c>
      <c r="I238" s="214" t="s">
        <v>215</v>
      </c>
      <c r="J238" s="214"/>
      <c r="K238" s="213" t="s">
        <v>215</v>
      </c>
      <c r="L238" s="213"/>
      <c r="M238" s="214"/>
      <c r="N238" s="213"/>
      <c r="O238" s="214"/>
      <c r="P238" s="213"/>
      <c r="Q238" s="214"/>
      <c r="R238" s="214" t="s">
        <v>215</v>
      </c>
      <c r="S238" s="214"/>
      <c r="T238" s="214"/>
      <c r="U238" s="215">
        <f t="shared" si="676"/>
        <v>6</v>
      </c>
      <c r="V238" s="845" t="s">
        <v>219</v>
      </c>
      <c r="W238" s="216">
        <v>84302</v>
      </c>
      <c r="X238" s="217">
        <v>2.91</v>
      </c>
      <c r="Y238" s="218">
        <f t="shared" si="640"/>
        <v>1.0290999999999999</v>
      </c>
      <c r="Z238" s="196">
        <v>19</v>
      </c>
      <c r="AA238" s="218">
        <f t="shared" si="641"/>
        <v>1.7246222540408234</v>
      </c>
      <c r="AB238" s="196">
        <f t="shared" si="642"/>
        <v>145389.10526014949</v>
      </c>
      <c r="AC238">
        <v>18.7</v>
      </c>
      <c r="AD238" s="196">
        <f t="shared" si="643"/>
        <v>27187.762683647954</v>
      </c>
      <c r="AE238" s="196">
        <f t="shared" si="644"/>
        <v>25828.374549465556</v>
      </c>
      <c r="AF238" s="196">
        <f t="shared" si="677"/>
        <v>25828.374549465556</v>
      </c>
      <c r="AG238" s="606">
        <f t="shared" si="577"/>
        <v>1.1941906504784187E-3</v>
      </c>
      <c r="AH238" s="196">
        <f t="shared" si="691"/>
        <v>7269.455263007475</v>
      </c>
      <c r="AI238" s="248">
        <f t="shared" si="552"/>
        <v>5.6315368492463095E-4</v>
      </c>
      <c r="AJ238" s="196">
        <f t="shared" si="578"/>
        <v>34457.21794665543</v>
      </c>
      <c r="AK238" s="196">
        <f t="shared" si="605"/>
        <v>5815.5642104059798</v>
      </c>
      <c r="AL238" s="196">
        <f t="shared" si="606"/>
        <v>5815.5642104059798</v>
      </c>
      <c r="AM238" s="196">
        <f t="shared" si="553"/>
        <v>11631.12842081196</v>
      </c>
      <c r="AN238" s="627">
        <f t="shared" si="554"/>
        <v>5.6315368492463084E-4</v>
      </c>
      <c r="AO238" s="196">
        <f t="shared" si="555"/>
        <v>5524.7859998856802</v>
      </c>
      <c r="AP238" s="589">
        <f t="shared" si="579"/>
        <v>5.6315368492463084E-4</v>
      </c>
      <c r="AQ238" s="196"/>
      <c r="AR238" s="589"/>
      <c r="AS238">
        <v>1</v>
      </c>
      <c r="AT238" s="589">
        <f t="shared" si="580"/>
        <v>1.2919896640826874E-3</v>
      </c>
      <c r="AU238" s="196">
        <v>10</v>
      </c>
      <c r="AV238" s="245">
        <f t="shared" si="556"/>
        <v>1.1362345188046814E-3</v>
      </c>
      <c r="AX238" s="245"/>
      <c r="AY238" s="245"/>
      <c r="AZ238" s="196">
        <v>27</v>
      </c>
      <c r="BA238" s="589">
        <f t="shared" si="613"/>
        <v>9.8933714411344391E-4</v>
      </c>
      <c r="BI238" s="196">
        <v>1</v>
      </c>
      <c r="BJ238" s="196">
        <f t="shared" si="678"/>
        <v>80771.73738989429</v>
      </c>
      <c r="BK238" s="246">
        <f t="shared" si="614"/>
        <v>1.5402682993533394E-3</v>
      </c>
      <c r="BL238" s="196">
        <f t="shared" si="692"/>
        <v>1615.4347477978858</v>
      </c>
      <c r="BM238" s="246">
        <f t="shared" si="615"/>
        <v>1.5402681231214367E-3</v>
      </c>
      <c r="BN238" s="196">
        <v>0</v>
      </c>
      <c r="BO238" s="196">
        <f t="shared" si="679"/>
        <v>13059.318149971894</v>
      </c>
      <c r="BP238" s="196">
        <f t="shared" si="582"/>
        <v>0</v>
      </c>
      <c r="BQ238" s="248">
        <f t="shared" si="616"/>
        <v>0</v>
      </c>
      <c r="BR238" s="248"/>
      <c r="BS238" s="248"/>
      <c r="BT238" s="276">
        <v>1</v>
      </c>
      <c r="BU238" s="196">
        <f t="shared" si="693"/>
        <v>21532.708045449181</v>
      </c>
      <c r="BV238" s="264">
        <f t="shared" si="617"/>
        <v>1.4935494163577528E-3</v>
      </c>
      <c r="BW238" s="196">
        <f t="shared" si="694"/>
        <v>92112.139972199278</v>
      </c>
      <c r="BX238" s="247">
        <f t="shared" si="618"/>
        <v>1.4935494298117032E-3</v>
      </c>
      <c r="BY238" s="196">
        <f t="shared" si="639"/>
        <v>113644.84801764846</v>
      </c>
      <c r="BZ238" s="620">
        <v>0</v>
      </c>
      <c r="CA238" s="196">
        <f t="shared" si="680"/>
        <v>44489.066209605749</v>
      </c>
      <c r="CB238" s="196">
        <f t="shared" si="681"/>
        <v>88978.132419211499</v>
      </c>
      <c r="CC238" s="196">
        <f t="shared" si="585"/>
        <v>133467.19862881725</v>
      </c>
      <c r="CD238" s="247">
        <f t="shared" si="557"/>
        <v>5.6315368492463095E-4</v>
      </c>
      <c r="CE238" s="196">
        <f t="shared" si="682"/>
        <v>19909.879418101413</v>
      </c>
      <c r="CF238" s="247">
        <f t="shared" si="558"/>
        <v>8.5977051191682885E-4</v>
      </c>
      <c r="CG238" s="196">
        <f t="shared" si="621"/>
        <v>22099.143999542721</v>
      </c>
      <c r="CH238" s="589">
        <f t="shared" si="587"/>
        <v>5.6315368492463084E-4</v>
      </c>
      <c r="CI238" s="196">
        <f t="shared" si="683"/>
        <v>28140.733839283894</v>
      </c>
      <c r="CJ238" s="248">
        <f t="shared" si="589"/>
        <v>4.6263359288720049E-4</v>
      </c>
      <c r="CK238" s="196">
        <f t="shared" si="684"/>
        <v>34715.209875997418</v>
      </c>
      <c r="CL238" s="589">
        <f t="shared" si="591"/>
        <v>4.9903828258148874E-4</v>
      </c>
      <c r="CM238" s="196">
        <f t="shared" si="685"/>
        <v>3363.0429595562059</v>
      </c>
      <c r="CN238" s="589">
        <f t="shared" si="593"/>
        <v>4.8465271028171264E-4</v>
      </c>
      <c r="CO238" s="196">
        <f t="shared" si="686"/>
        <v>269.05519231631808</v>
      </c>
      <c r="CP238" s="589">
        <f t="shared" si="595"/>
        <v>5.073966505797432E-4</v>
      </c>
      <c r="CQ238" s="196">
        <f>'Detailed Budget'!$AC$12</f>
        <v>292876014141.44696</v>
      </c>
      <c r="CR238" s="269">
        <f t="shared" si="669"/>
        <v>451107640.2230311</v>
      </c>
      <c r="CS238" s="269">
        <f>'Detailed Budget'!$AC$16</f>
        <v>10488008800.000002</v>
      </c>
      <c r="CT238" s="607">
        <f t="shared" si="622"/>
        <v>16154345.629657114</v>
      </c>
      <c r="CU238" s="269">
        <f>'Detailed Budget'!$AC$24</f>
        <v>30624985696</v>
      </c>
      <c r="CV238" s="269">
        <f t="shared" si="612"/>
        <v>47170694.635698266</v>
      </c>
      <c r="CW238" s="269"/>
      <c r="CX238" s="269">
        <f t="shared" si="596"/>
        <v>514432680.48838645</v>
      </c>
      <c r="CY238" s="196">
        <f>'Detailed Budget'!$AC$97</f>
        <v>74629165494.837845</v>
      </c>
      <c r="CZ238" s="269">
        <f t="shared" si="623"/>
        <v>0</v>
      </c>
      <c r="DA238" s="269">
        <f>'Detailed Budget'!$AC$100</f>
        <v>14925833098.967569</v>
      </c>
      <c r="DB238" s="269">
        <f t="shared" si="624"/>
        <v>0</v>
      </c>
      <c r="DC238" s="269">
        <f t="shared" si="560"/>
        <v>0</v>
      </c>
      <c r="DD238" s="207">
        <v>0</v>
      </c>
      <c r="DE238" s="606">
        <v>0</v>
      </c>
      <c r="DF238" s="269">
        <f>'Detailed Budget'!$AC$147</f>
        <v>5913600671000</v>
      </c>
      <c r="DG238" s="269">
        <f t="shared" si="607"/>
        <v>0</v>
      </c>
      <c r="DH238" s="269">
        <f>'Detailed Budget'!$AC$153</f>
        <v>226428026880.00003</v>
      </c>
      <c r="DI238" s="269"/>
      <c r="DJ238" s="269">
        <f>'Detailed Budget'!$AC$156</f>
        <v>27713070000</v>
      </c>
      <c r="DK238" s="269"/>
      <c r="DL238" s="269"/>
      <c r="DM238" s="196">
        <f>'Detailed Budget'!$AC$178</f>
        <v>5622683761.6229038</v>
      </c>
      <c r="DN238" s="269">
        <f t="shared" si="687"/>
        <v>8397756.0505361017</v>
      </c>
      <c r="DO238" s="196">
        <f>'Detailed Budget'!$AC$179</f>
        <v>26827890683.128094</v>
      </c>
      <c r="DP238" s="269">
        <f t="shared" si="688"/>
        <v>40068780.832836673</v>
      </c>
      <c r="DQ238" s="269">
        <f t="shared" si="625"/>
        <v>48466536.883372776</v>
      </c>
      <c r="DR238" s="269">
        <f>'Detailed Budget'!$AC$181</f>
        <v>50888946855.375237</v>
      </c>
      <c r="DS238" s="269">
        <f t="shared" si="689"/>
        <v>60771104.547382228</v>
      </c>
      <c r="DT238" s="269">
        <f t="shared" si="690"/>
        <v>109237641.430755</v>
      </c>
      <c r="DU238" s="272">
        <f>'Detailed Budget'!$AC$192</f>
        <v>77498869683.252869</v>
      </c>
      <c r="DV238" s="269">
        <f t="shared" si="626"/>
        <v>0</v>
      </c>
      <c r="DW238" s="140">
        <f>'Detailed Budget'!$AC$194</f>
        <v>2684962805.4134097</v>
      </c>
      <c r="DX238" s="269">
        <f t="shared" si="627"/>
        <v>0</v>
      </c>
      <c r="DY238" s="607">
        <f t="shared" si="561"/>
        <v>0</v>
      </c>
      <c r="DZ238" s="196">
        <f>'Detailed Budget'!$AC$198</f>
        <v>18732540018.380611</v>
      </c>
      <c r="EA238" s="269">
        <f t="shared" si="672"/>
        <v>16105685.52110558</v>
      </c>
      <c r="EB238" s="196">
        <f>'Detailed Budget'!$AC$200</f>
        <v>4683135004.5951529</v>
      </c>
      <c r="EC238" s="269">
        <f t="shared" si="628"/>
        <v>4026421.380276395</v>
      </c>
      <c r="ED238" s="269">
        <f t="shared" si="563"/>
        <v>20132106.901381977</v>
      </c>
      <c r="EE238" s="196">
        <f>'Detailed Budget'!$AC$161</f>
        <v>251147290106.36197</v>
      </c>
      <c r="EF238" s="269">
        <f t="shared" si="629"/>
        <v>141434521.88223302</v>
      </c>
      <c r="EG238" s="196">
        <f>'Detailed Budget'!$AC$163</f>
        <v>15696705631.647623</v>
      </c>
      <c r="EH238" s="269">
        <f t="shared" si="630"/>
        <v>8839657.617639564</v>
      </c>
      <c r="EI238" s="269">
        <f t="shared" si="564"/>
        <v>150274179.4998726</v>
      </c>
      <c r="EJ238" s="196">
        <f>'Detailed Budget'!$AC$204</f>
        <v>45012172507.531975</v>
      </c>
      <c r="EK238" s="269">
        <f t="shared" si="631"/>
        <v>20824143.090817984</v>
      </c>
      <c r="EL238" s="201">
        <f>'Detailed Budget'!$AC$206</f>
        <v>11253043126.882994</v>
      </c>
      <c r="EM238" s="269">
        <f t="shared" si="632"/>
        <v>5206035.772704496</v>
      </c>
      <c r="EN238" s="269">
        <f t="shared" si="565"/>
        <v>26030178.863522481</v>
      </c>
      <c r="EO238" s="140">
        <f>'Detailed Budget'!$AC$209</f>
        <v>135789361677.54817</v>
      </c>
      <c r="EP238" s="269">
        <f t="shared" si="633"/>
        <v>67764089.844400257</v>
      </c>
      <c r="EQ238" s="196">
        <f>'Detailed Budget'!$AC$211</f>
        <v>33947340419.387043</v>
      </c>
      <c r="ER238" s="269">
        <f t="shared" si="634"/>
        <v>16941022.461100064</v>
      </c>
      <c r="ES238" s="269">
        <f t="shared" si="566"/>
        <v>84705112.305500329</v>
      </c>
      <c r="ET238" s="196">
        <f>'Detailed Budget'!$AC$214</f>
        <v>22239745544.201103</v>
      </c>
      <c r="EU238" s="269">
        <f t="shared" si="635"/>
        <v>10778552.953972707</v>
      </c>
      <c r="EV238" s="140">
        <f>'Detailed Budget'!$AC$217</f>
        <v>5559936386.0502758</v>
      </c>
      <c r="EW238" s="269">
        <f t="shared" si="636"/>
        <v>2694638.2384931766</v>
      </c>
      <c r="EX238" s="269">
        <f t="shared" si="567"/>
        <v>13473191.192465883</v>
      </c>
      <c r="EY238" s="196">
        <f>'Detailed Budget'!$AC$219</f>
        <v>372777004.58170313</v>
      </c>
      <c r="EZ238" s="269">
        <f t="shared" si="637"/>
        <v>189145.80353790574</v>
      </c>
      <c r="FA238" s="196">
        <f>'Detailed Budget'!$AC$222</f>
        <v>93194251.145425782</v>
      </c>
      <c r="FB238" s="269">
        <f t="shared" si="638"/>
        <v>47286.450884476435</v>
      </c>
      <c r="FC238" s="269">
        <f t="shared" si="568"/>
        <v>236432.25442238216</v>
      </c>
      <c r="FD238" s="269"/>
      <c r="FE238" s="269">
        <f t="shared" si="569"/>
        <v>124444914.61591108</v>
      </c>
      <c r="FF238" s="140">
        <f>'Detailed Budget'!$AC$165</f>
        <v>14927760000</v>
      </c>
      <c r="FG238" s="1087">
        <f t="shared" si="608"/>
        <v>169751101.02454063</v>
      </c>
      <c r="FH238" s="269">
        <f t="shared" si="648"/>
        <v>16961436.200431772</v>
      </c>
      <c r="FJ238" s="140">
        <f>'Detailed Budget'!$AC$235</f>
        <v>3623696172</v>
      </c>
      <c r="FK238" s="269">
        <f t="shared" si="673"/>
        <v>4681778</v>
      </c>
      <c r="FL238" s="269">
        <f t="shared" si="609"/>
        <v>4681778</v>
      </c>
      <c r="FO238" s="607"/>
      <c r="FP238" s="607"/>
      <c r="FQ238" s="607"/>
      <c r="FR238" s="269">
        <f>'Detailed Budget'!$AC$257</f>
        <v>13636439388</v>
      </c>
      <c r="FS238" s="269">
        <f t="shared" si="674"/>
        <v>13491035.999999998</v>
      </c>
      <c r="FT238" s="269">
        <f t="shared" si="610"/>
        <v>13491035.999999998</v>
      </c>
      <c r="FU238" s="269"/>
      <c r="FV238" s="269"/>
      <c r="FW238" s="616"/>
      <c r="FX238" s="140">
        <f>'Detailed Budget'!$AC$278</f>
        <v>1114560000</v>
      </c>
      <c r="FY238" s="269">
        <f t="shared" si="675"/>
        <v>1440000</v>
      </c>
      <c r="FZ238" s="269">
        <f t="shared" si="611"/>
        <v>1440000</v>
      </c>
      <c r="GB238" s="269">
        <f t="shared" si="619"/>
        <v>1124846874.1612794</v>
      </c>
      <c r="GC238" s="887">
        <f t="shared" si="574"/>
        <v>703029.29635079962</v>
      </c>
      <c r="GD238" s="1078">
        <f t="shared" si="620"/>
        <v>6.3118700151092611E-4</v>
      </c>
    </row>
    <row r="239" spans="1:186" hidden="1" outlineLevel="1">
      <c r="A239" s="211" t="s">
        <v>636</v>
      </c>
      <c r="B239" s="212" t="s">
        <v>637</v>
      </c>
      <c r="C239" s="213" t="s">
        <v>215</v>
      </c>
      <c r="D239" s="214" t="s">
        <v>215</v>
      </c>
      <c r="E239" s="213"/>
      <c r="F239" s="213"/>
      <c r="G239" s="213"/>
      <c r="H239" s="213" t="s">
        <v>215</v>
      </c>
      <c r="I239" s="214" t="s">
        <v>215</v>
      </c>
      <c r="J239" s="214"/>
      <c r="K239" s="213" t="s">
        <v>215</v>
      </c>
      <c r="L239" s="213"/>
      <c r="M239" s="214"/>
      <c r="N239" s="213"/>
      <c r="O239" s="214"/>
      <c r="P239" s="213"/>
      <c r="Q239" s="214"/>
      <c r="R239" s="214" t="s">
        <v>215</v>
      </c>
      <c r="S239" s="214"/>
      <c r="T239" s="214"/>
      <c r="U239" s="215">
        <f t="shared" si="676"/>
        <v>6</v>
      </c>
      <c r="V239" s="845" t="s">
        <v>219</v>
      </c>
      <c r="W239" s="216">
        <v>140318</v>
      </c>
      <c r="X239" s="217">
        <v>2.91</v>
      </c>
      <c r="Y239" s="218">
        <f t="shared" si="640"/>
        <v>1.0290999999999999</v>
      </c>
      <c r="Z239" s="196">
        <v>19</v>
      </c>
      <c r="AA239" s="218">
        <f t="shared" si="641"/>
        <v>1.7246222540408234</v>
      </c>
      <c r="AB239" s="196">
        <f t="shared" si="642"/>
        <v>241995.54544250024</v>
      </c>
      <c r="AC239">
        <v>18.7</v>
      </c>
      <c r="AD239" s="196">
        <f t="shared" si="643"/>
        <v>45253.166997747539</v>
      </c>
      <c r="AE239" s="196">
        <f t="shared" si="644"/>
        <v>42990.508647860159</v>
      </c>
      <c r="AF239" s="196">
        <f t="shared" si="677"/>
        <v>42990.508647860159</v>
      </c>
      <c r="AG239" s="606">
        <f t="shared" si="577"/>
        <v>1.9876923880077662E-3</v>
      </c>
      <c r="AH239" s="196">
        <f t="shared" si="691"/>
        <v>12099.777272125013</v>
      </c>
      <c r="AI239" s="248">
        <f t="shared" si="552"/>
        <v>9.3735141231826482E-4</v>
      </c>
      <c r="AJ239" s="196">
        <f t="shared" si="578"/>
        <v>57352.944269872554</v>
      </c>
      <c r="AK239" s="196">
        <f t="shared" si="605"/>
        <v>9679.821817700009</v>
      </c>
      <c r="AL239" s="196">
        <f t="shared" si="606"/>
        <v>9679.821817700009</v>
      </c>
      <c r="AM239" s="196">
        <f t="shared" si="553"/>
        <v>19359.643635400018</v>
      </c>
      <c r="AN239" s="627">
        <f t="shared" si="554"/>
        <v>9.373514123182646E-4</v>
      </c>
      <c r="AO239" s="196">
        <f t="shared" si="555"/>
        <v>9195.8307268150093</v>
      </c>
      <c r="AP239" s="589">
        <f t="shared" si="579"/>
        <v>9.3735141231826471E-4</v>
      </c>
      <c r="AQ239" s="196"/>
      <c r="AR239" s="589"/>
      <c r="AS239">
        <v>1</v>
      </c>
      <c r="AT239" s="589">
        <f t="shared" si="580"/>
        <v>1.2919896640826874E-3</v>
      </c>
      <c r="AU239" s="196">
        <v>10</v>
      </c>
      <c r="AV239" s="245">
        <f t="shared" si="556"/>
        <v>1.1362345188046814E-3</v>
      </c>
      <c r="AX239" s="245"/>
      <c r="AY239" s="245"/>
      <c r="AZ239" s="196">
        <v>28</v>
      </c>
      <c r="BA239" s="589">
        <f t="shared" si="613"/>
        <v>1.0259792605620901E-3</v>
      </c>
      <c r="BI239" s="196">
        <v>1</v>
      </c>
      <c r="BJ239" s="196">
        <f t="shared" si="678"/>
        <v>134441.99007230179</v>
      </c>
      <c r="BK239" s="246">
        <f t="shared" si="614"/>
        <v>2.5637276366949997E-3</v>
      </c>
      <c r="BL239" s="196">
        <f t="shared" si="692"/>
        <v>2688.8398014460358</v>
      </c>
      <c r="BM239" s="246">
        <f t="shared" si="615"/>
        <v>2.5637273433625975E-3</v>
      </c>
      <c r="BN239" s="196">
        <v>0</v>
      </c>
      <c r="BO239" s="196">
        <f t="shared" si="679"/>
        <v>21736.820053708765</v>
      </c>
      <c r="BP239" s="196">
        <f t="shared" si="582"/>
        <v>0</v>
      </c>
      <c r="BQ239" s="248">
        <f t="shared" si="616"/>
        <v>0</v>
      </c>
      <c r="BR239" s="248"/>
      <c r="BS239" s="248"/>
      <c r="BT239" s="276">
        <v>1</v>
      </c>
      <c r="BU239" s="196">
        <f t="shared" si="693"/>
        <v>35840.508262216048</v>
      </c>
      <c r="BV239" s="264">
        <f t="shared" si="617"/>
        <v>2.4859655406097971E-3</v>
      </c>
      <c r="BW239" s="196">
        <f t="shared" si="694"/>
        <v>153317.72978836868</v>
      </c>
      <c r="BX239" s="247">
        <f t="shared" si="618"/>
        <v>2.4859655630034704E-3</v>
      </c>
      <c r="BY239" s="196">
        <f t="shared" si="639"/>
        <v>189158.23805058474</v>
      </c>
      <c r="BZ239" s="620">
        <v>0</v>
      </c>
      <c r="CA239" s="196">
        <f t="shared" si="680"/>
        <v>74050.636905405059</v>
      </c>
      <c r="CB239" s="196">
        <f t="shared" si="681"/>
        <v>148101.27381081012</v>
      </c>
      <c r="CC239" s="196">
        <f t="shared" si="585"/>
        <v>222151.91071621518</v>
      </c>
      <c r="CD239" s="247">
        <f t="shared" si="557"/>
        <v>9.373514123182645E-4</v>
      </c>
      <c r="CE239" s="196">
        <f t="shared" si="682"/>
        <v>33139.361583226419</v>
      </c>
      <c r="CF239" s="247">
        <f t="shared" si="558"/>
        <v>1.4310606947776515E-3</v>
      </c>
      <c r="CG239" s="196">
        <f t="shared" si="621"/>
        <v>36783.322907260037</v>
      </c>
      <c r="CH239" s="589">
        <f t="shared" si="587"/>
        <v>9.3735141231826471E-4</v>
      </c>
      <c r="CI239" s="196">
        <f t="shared" si="683"/>
        <v>46839.357202209161</v>
      </c>
      <c r="CJ239" s="248">
        <f t="shared" si="589"/>
        <v>7.7003891351031038E-4</v>
      </c>
      <c r="CK239" s="196">
        <f t="shared" si="684"/>
        <v>57782.363637638548</v>
      </c>
      <c r="CL239" s="589">
        <f t="shared" si="591"/>
        <v>8.3063336261618144E-4</v>
      </c>
      <c r="CM239" s="196">
        <f t="shared" si="685"/>
        <v>5597.6781333658473</v>
      </c>
      <c r="CN239" s="589">
        <f t="shared" si="593"/>
        <v>8.0668903467663101E-4</v>
      </c>
      <c r="CO239" s="196">
        <f t="shared" si="686"/>
        <v>447.83381741169973</v>
      </c>
      <c r="CP239" s="589">
        <f t="shared" si="595"/>
        <v>8.4454560053199667E-4</v>
      </c>
      <c r="CQ239" s="196">
        <f>'Detailed Budget'!$AC$12</f>
        <v>292876014141.44696</v>
      </c>
      <c r="CR239" s="269">
        <f t="shared" si="669"/>
        <v>750854331.57950318</v>
      </c>
      <c r="CS239" s="269">
        <f>'Detailed Budget'!$AC$16</f>
        <v>10488008800.000002</v>
      </c>
      <c r="CT239" s="607">
        <f t="shared" si="622"/>
        <v>26888394.937987547</v>
      </c>
      <c r="CU239" s="269">
        <f>'Detailed Budget'!$AC$24</f>
        <v>30624985696</v>
      </c>
      <c r="CV239" s="269">
        <f t="shared" si="612"/>
        <v>78514122.202224255</v>
      </c>
      <c r="CW239" s="269"/>
      <c r="CX239" s="269">
        <f t="shared" si="596"/>
        <v>856256848.719715</v>
      </c>
      <c r="CY239" s="196">
        <f>'Detailed Budget'!$AC$97</f>
        <v>74629165494.837845</v>
      </c>
      <c r="CZ239" s="269">
        <f t="shared" si="623"/>
        <v>0</v>
      </c>
      <c r="DA239" s="269">
        <f>'Detailed Budget'!$AC$100</f>
        <v>14925833098.967569</v>
      </c>
      <c r="DB239" s="269">
        <f t="shared" si="624"/>
        <v>0</v>
      </c>
      <c r="DC239" s="269">
        <f t="shared" si="560"/>
        <v>0</v>
      </c>
      <c r="DD239" s="207">
        <v>0</v>
      </c>
      <c r="DE239" s="606">
        <v>0</v>
      </c>
      <c r="DF239" s="269">
        <f>'Detailed Budget'!$AC$147</f>
        <v>5913600671000</v>
      </c>
      <c r="DG239" s="269">
        <f t="shared" si="607"/>
        <v>0</v>
      </c>
      <c r="DH239" s="269">
        <f>'Detailed Budget'!$AC$153</f>
        <v>226428026880.00003</v>
      </c>
      <c r="DI239" s="269"/>
      <c r="DJ239" s="269">
        <f>'Detailed Budget'!$AC$156</f>
        <v>27713070000</v>
      </c>
      <c r="DK239" s="269"/>
      <c r="DL239" s="269"/>
      <c r="DM239" s="196">
        <f>'Detailed Budget'!$AC$178</f>
        <v>5622683761.6229038</v>
      </c>
      <c r="DN239" s="269">
        <f t="shared" si="687"/>
        <v>13977798.07714081</v>
      </c>
      <c r="DO239" s="196">
        <f>'Detailed Budget'!$AC$179</f>
        <v>26827890683.128094</v>
      </c>
      <c r="DP239" s="269">
        <f t="shared" si="688"/>
        <v>66693212.36627809</v>
      </c>
      <c r="DQ239" s="269">
        <f t="shared" si="625"/>
        <v>80671010.443418905</v>
      </c>
      <c r="DR239" s="269">
        <f>'Detailed Budget'!$AC$181</f>
        <v>50888946855.375237</v>
      </c>
      <c r="DS239" s="269">
        <f t="shared" si="689"/>
        <v>101151572.2981611</v>
      </c>
      <c r="DT239" s="269">
        <f t="shared" si="690"/>
        <v>181822582.74158001</v>
      </c>
      <c r="DU239" s="272">
        <f>'Detailed Budget'!$AC$192</f>
        <v>77498869683.252869</v>
      </c>
      <c r="DV239" s="269">
        <f t="shared" si="626"/>
        <v>0</v>
      </c>
      <c r="DW239" s="140">
        <f>'Detailed Budget'!$AC$194</f>
        <v>2684962805.4134097</v>
      </c>
      <c r="DX239" s="269">
        <f t="shared" si="627"/>
        <v>0</v>
      </c>
      <c r="DY239" s="607">
        <f t="shared" si="561"/>
        <v>0</v>
      </c>
      <c r="DZ239" s="196">
        <f>'Detailed Budget'!$AC$198</f>
        <v>18732540018.380611</v>
      </c>
      <c r="EA239" s="269">
        <f t="shared" si="672"/>
        <v>26807401.733653918</v>
      </c>
      <c r="EB239" s="196">
        <f>'Detailed Budget'!$AC$200</f>
        <v>4683135004.5951529</v>
      </c>
      <c r="EC239" s="269">
        <f t="shared" si="628"/>
        <v>6701850.4334134795</v>
      </c>
      <c r="ED239" s="269">
        <f t="shared" si="563"/>
        <v>33509252.167067397</v>
      </c>
      <c r="EE239" s="196">
        <f>'Detailed Budget'!$AC$161</f>
        <v>251147290106.36197</v>
      </c>
      <c r="EF239" s="269">
        <f t="shared" si="629"/>
        <v>235413267.08110335</v>
      </c>
      <c r="EG239" s="196">
        <f>'Detailed Budget'!$AC$163</f>
        <v>15696705631.647623</v>
      </c>
      <c r="EH239" s="269">
        <f t="shared" si="630"/>
        <v>14713329.19256896</v>
      </c>
      <c r="EI239" s="269">
        <f t="shared" si="564"/>
        <v>250126596.27367231</v>
      </c>
      <c r="EJ239" s="196">
        <f>'Detailed Budget'!$AC$204</f>
        <v>45012172507.531975</v>
      </c>
      <c r="EK239" s="269">
        <f t="shared" si="631"/>
        <v>34661124.412438586</v>
      </c>
      <c r="EL239" s="201">
        <f>'Detailed Budget'!$AC$206</f>
        <v>11253043126.882994</v>
      </c>
      <c r="EM239" s="269">
        <f t="shared" si="632"/>
        <v>8665281.1031096466</v>
      </c>
      <c r="EN239" s="269">
        <f t="shared" si="565"/>
        <v>43326405.515548229</v>
      </c>
      <c r="EO239" s="140">
        <f>'Detailed Budget'!$AC$209</f>
        <v>135789361677.54817</v>
      </c>
      <c r="EP239" s="269">
        <f t="shared" si="633"/>
        <v>112791174.09772669</v>
      </c>
      <c r="EQ239" s="196">
        <f>'Detailed Budget'!$AC$211</f>
        <v>33947340419.387043</v>
      </c>
      <c r="ER239" s="269">
        <f t="shared" si="634"/>
        <v>28197793.524431672</v>
      </c>
      <c r="ES239" s="269">
        <f t="shared" si="566"/>
        <v>140988967.62215835</v>
      </c>
      <c r="ET239" s="196">
        <f>'Detailed Budget'!$AC$214</f>
        <v>22239745544.201103</v>
      </c>
      <c r="EU239" s="269">
        <f t="shared" si="635"/>
        <v>17940558.864505492</v>
      </c>
      <c r="EV239" s="140">
        <f>'Detailed Budget'!$AC$217</f>
        <v>5559936386.0502758</v>
      </c>
      <c r="EW239" s="269">
        <f t="shared" si="636"/>
        <v>4485139.716126373</v>
      </c>
      <c r="EX239" s="269">
        <f t="shared" si="567"/>
        <v>22425698.580631867</v>
      </c>
      <c r="EY239" s="196">
        <f>'Detailed Budget'!$AC$219</f>
        <v>372777004.58170313</v>
      </c>
      <c r="EZ239" s="269">
        <f t="shared" si="637"/>
        <v>314827.17919897335</v>
      </c>
      <c r="FA239" s="196">
        <f>'Detailed Budget'!$AC$222</f>
        <v>93194251.145425782</v>
      </c>
      <c r="FB239" s="269">
        <f t="shared" si="638"/>
        <v>78706.794799743337</v>
      </c>
      <c r="FC239" s="269">
        <f t="shared" si="568"/>
        <v>393533.97399871668</v>
      </c>
      <c r="FD239" s="269"/>
      <c r="FE239" s="269">
        <f t="shared" si="569"/>
        <v>207134605.69233716</v>
      </c>
      <c r="FF239" s="140">
        <f>'Detailed Budget'!$AC$165</f>
        <v>14927760000</v>
      </c>
      <c r="FG239" s="1087">
        <f t="shared" si="608"/>
        <v>282545313.20207691</v>
      </c>
      <c r="FH239" s="269">
        <f t="shared" si="648"/>
        <v>16961436.200431772</v>
      </c>
      <c r="FJ239" s="140">
        <f>'Detailed Budget'!$AC$235</f>
        <v>3623696172</v>
      </c>
      <c r="FK239" s="269">
        <f t="shared" si="673"/>
        <v>4681778</v>
      </c>
      <c r="FL239" s="269">
        <f t="shared" si="609"/>
        <v>4681778</v>
      </c>
      <c r="FO239" s="607"/>
      <c r="FP239" s="607"/>
      <c r="FQ239" s="607"/>
      <c r="FR239" s="269">
        <f>'Detailed Budget'!$AC$257</f>
        <v>13636439388</v>
      </c>
      <c r="FS239" s="269">
        <f t="shared" si="674"/>
        <v>13990704</v>
      </c>
      <c r="FT239" s="269">
        <f t="shared" si="610"/>
        <v>13990704</v>
      </c>
      <c r="FU239" s="269"/>
      <c r="FV239" s="269"/>
      <c r="FW239" s="616"/>
      <c r="FX239" s="140">
        <f>'Detailed Budget'!$AC$278</f>
        <v>1114560000</v>
      </c>
      <c r="FY239" s="269">
        <f t="shared" si="675"/>
        <v>1440000</v>
      </c>
      <c r="FZ239" s="269">
        <f t="shared" si="611"/>
        <v>1440000</v>
      </c>
      <c r="GB239" s="269">
        <f t="shared" si="619"/>
        <v>1848469116.9968805</v>
      </c>
      <c r="GC239" s="887">
        <f t="shared" si="574"/>
        <v>1155293.1981230504</v>
      </c>
      <c r="GD239" s="1078">
        <f t="shared" si="620"/>
        <v>1.0372342281812891E-3</v>
      </c>
    </row>
    <row r="240" spans="1:186" hidden="1" outlineLevel="1">
      <c r="A240" s="211" t="s">
        <v>638</v>
      </c>
      <c r="B240" s="212" t="s">
        <v>639</v>
      </c>
      <c r="C240" s="213" t="s">
        <v>215</v>
      </c>
      <c r="D240" s="214" t="s">
        <v>215</v>
      </c>
      <c r="E240" s="213"/>
      <c r="F240" s="213"/>
      <c r="G240" s="213"/>
      <c r="H240" s="213" t="s">
        <v>215</v>
      </c>
      <c r="I240" s="214" t="s">
        <v>215</v>
      </c>
      <c r="J240" s="214"/>
      <c r="K240" s="213" t="s">
        <v>215</v>
      </c>
      <c r="L240" s="213"/>
      <c r="M240" s="214"/>
      <c r="N240" s="213"/>
      <c r="O240" s="214"/>
      <c r="P240" s="213"/>
      <c r="Q240" s="214"/>
      <c r="R240" s="214" t="s">
        <v>215</v>
      </c>
      <c r="S240" s="214"/>
      <c r="T240" s="214"/>
      <c r="U240" s="215">
        <f t="shared" si="676"/>
        <v>6</v>
      </c>
      <c r="V240" s="845" t="s">
        <v>219</v>
      </c>
      <c r="W240" s="216">
        <v>193924</v>
      </c>
      <c r="X240" s="217">
        <v>2.91</v>
      </c>
      <c r="Y240" s="218">
        <f t="shared" si="640"/>
        <v>1.0290999999999999</v>
      </c>
      <c r="Z240" s="196">
        <v>19</v>
      </c>
      <c r="AA240" s="218">
        <f t="shared" si="641"/>
        <v>1.7246222540408234</v>
      </c>
      <c r="AB240" s="196">
        <f t="shared" si="642"/>
        <v>334445.64599261264</v>
      </c>
      <c r="AC240">
        <v>18.7</v>
      </c>
      <c r="AD240" s="196">
        <f t="shared" si="643"/>
        <v>62541.335800618559</v>
      </c>
      <c r="AE240" s="196">
        <f t="shared" si="644"/>
        <v>59414.269010587632</v>
      </c>
      <c r="AF240" s="196">
        <f t="shared" si="677"/>
        <v>59414.269010587632</v>
      </c>
      <c r="AG240" s="606">
        <f t="shared" si="577"/>
        <v>2.7470549655213027E-3</v>
      </c>
      <c r="AH240" s="196">
        <f t="shared" si="691"/>
        <v>16722.282299630631</v>
      </c>
      <c r="AI240" s="248">
        <f t="shared" si="552"/>
        <v>1.2954498730199061E-3</v>
      </c>
      <c r="AJ240" s="196">
        <f t="shared" si="578"/>
        <v>79263.618100249194</v>
      </c>
      <c r="AK240" s="196">
        <f t="shared" si="605"/>
        <v>13377.825839704507</v>
      </c>
      <c r="AL240" s="196">
        <f t="shared" si="606"/>
        <v>13377.825839704507</v>
      </c>
      <c r="AM240" s="196">
        <f t="shared" si="553"/>
        <v>26755.651679409013</v>
      </c>
      <c r="AN240" s="627">
        <f t="shared" si="554"/>
        <v>1.2954498730199061E-3</v>
      </c>
      <c r="AO240" s="196">
        <f t="shared" si="555"/>
        <v>12708.93454771928</v>
      </c>
      <c r="AP240" s="589">
        <f t="shared" si="579"/>
        <v>1.2954498730199061E-3</v>
      </c>
      <c r="AQ240" s="196"/>
      <c r="AR240" s="589"/>
      <c r="AS240">
        <v>1</v>
      </c>
      <c r="AT240" s="589">
        <f t="shared" si="580"/>
        <v>1.2919896640826874E-3</v>
      </c>
      <c r="AU240" s="196">
        <v>11</v>
      </c>
      <c r="AV240" s="245">
        <f t="shared" si="556"/>
        <v>1.2498579706851495E-3</v>
      </c>
      <c r="AX240" s="245"/>
      <c r="AY240" s="245"/>
      <c r="AZ240" s="196">
        <v>75</v>
      </c>
      <c r="BA240" s="589">
        <f t="shared" si="613"/>
        <v>2.7481587336484555E-3</v>
      </c>
      <c r="BI240" s="196">
        <v>1</v>
      </c>
      <c r="BJ240" s="196">
        <f t="shared" si="678"/>
        <v>185803.16483117672</v>
      </c>
      <c r="BK240" s="246">
        <f t="shared" si="614"/>
        <v>3.5431542511897341E-3</v>
      </c>
      <c r="BL240" s="196">
        <f t="shared" si="692"/>
        <v>3716.0632966235344</v>
      </c>
      <c r="BM240" s="246">
        <f t="shared" si="615"/>
        <v>3.5431538457948975E-3</v>
      </c>
      <c r="BN240" s="196">
        <v>0</v>
      </c>
      <c r="BO240" s="196">
        <f t="shared" si="679"/>
        <v>30040.986132181322</v>
      </c>
      <c r="BP240" s="196">
        <f t="shared" si="582"/>
        <v>0</v>
      </c>
      <c r="BQ240" s="248">
        <f t="shared" si="616"/>
        <v>0</v>
      </c>
      <c r="BR240" s="248"/>
      <c r="BS240" s="248"/>
      <c r="BT240" s="276">
        <v>1</v>
      </c>
      <c r="BU240" s="196">
        <f t="shared" si="693"/>
        <v>49532.737954089898</v>
      </c>
      <c r="BV240" s="264">
        <f t="shared" si="617"/>
        <v>3.4356845272681649E-3</v>
      </c>
      <c r="BW240" s="196">
        <f t="shared" si="694"/>
        <v>211890.04569249568</v>
      </c>
      <c r="BX240" s="247">
        <f t="shared" si="618"/>
        <v>3.4356845582169428E-3</v>
      </c>
      <c r="BY240" s="196">
        <f t="shared" si="639"/>
        <v>261422.78364658559</v>
      </c>
      <c r="BZ240" s="620">
        <v>0</v>
      </c>
      <c r="CA240" s="196">
        <f t="shared" si="680"/>
        <v>102340.36767373947</v>
      </c>
      <c r="CB240" s="196">
        <f t="shared" si="681"/>
        <v>204680.73534747894</v>
      </c>
      <c r="CC240" s="196">
        <f t="shared" si="585"/>
        <v>307021.10302121844</v>
      </c>
      <c r="CD240" s="247">
        <f t="shared" si="557"/>
        <v>1.2954498730199063E-3</v>
      </c>
      <c r="CE240" s="196">
        <f t="shared" si="682"/>
        <v>45799.66615591442</v>
      </c>
      <c r="CF240" s="247">
        <f t="shared" si="558"/>
        <v>1.9777720190856571E-3</v>
      </c>
      <c r="CG240" s="196">
        <f t="shared" ref="CG240:CG249" si="695">AO240*4</f>
        <v>50835.73819087712</v>
      </c>
      <c r="CH240" s="589">
        <f t="shared" si="587"/>
        <v>1.2954498730199061E-3</v>
      </c>
      <c r="CI240" s="196">
        <f t="shared" si="683"/>
        <v>64733.501803626124</v>
      </c>
      <c r="CJ240" s="248">
        <f t="shared" si="589"/>
        <v>1.0642186053362607E-3</v>
      </c>
      <c r="CK240" s="196">
        <f t="shared" si="684"/>
        <v>79857.089511434169</v>
      </c>
      <c r="CL240" s="589">
        <f t="shared" si="591"/>
        <v>1.1479620876293875E-3</v>
      </c>
      <c r="CM240" s="196">
        <f t="shared" si="685"/>
        <v>7736.1716553459901</v>
      </c>
      <c r="CN240" s="589">
        <f t="shared" si="593"/>
        <v>1.1148702544265953E-3</v>
      </c>
      <c r="CO240" s="196">
        <f t="shared" si="686"/>
        <v>618.92077429657263</v>
      </c>
      <c r="CP240" s="589">
        <f t="shared" si="595"/>
        <v>1.1671892489742367E-3</v>
      </c>
      <c r="CQ240" s="196">
        <f>'Detailed Budget'!$AC$12</f>
        <v>292876014141.44696</v>
      </c>
      <c r="CR240" s="269">
        <f t="shared" si="669"/>
        <v>1037704894.5767725</v>
      </c>
      <c r="CS240" s="269">
        <f>'Detailed Budget'!$AC$16</f>
        <v>10488008800.000002</v>
      </c>
      <c r="CT240" s="607">
        <f t="shared" ref="CT240:CT249" si="696">BM240*CS240</f>
        <v>37160628.714450732</v>
      </c>
      <c r="CU240" s="269">
        <f>'Detailed Budget'!$AC$24</f>
        <v>30624985696</v>
      </c>
      <c r="CV240" s="269">
        <f t="shared" si="612"/>
        <v>108509048.2614072</v>
      </c>
      <c r="CW240" s="269"/>
      <c r="CX240" s="269">
        <f t="shared" si="596"/>
        <v>1183374571.5526304</v>
      </c>
      <c r="CY240" s="196">
        <f>'Detailed Budget'!$AC$97</f>
        <v>74629165494.837845</v>
      </c>
      <c r="CZ240" s="269">
        <f t="shared" ref="CZ240:CZ249" si="697">BQ240*CY240</f>
        <v>0</v>
      </c>
      <c r="DA240" s="269">
        <f>'Detailed Budget'!$AC$100</f>
        <v>14925833098.967569</v>
      </c>
      <c r="DB240" s="269">
        <f t="shared" ref="DB240:DB249" si="698">BQ240*DA240</f>
        <v>0</v>
      </c>
      <c r="DC240" s="269">
        <f t="shared" si="560"/>
        <v>0</v>
      </c>
      <c r="DD240" s="207">
        <v>0</v>
      </c>
      <c r="DE240" s="606">
        <v>0</v>
      </c>
      <c r="DF240" s="269">
        <f>'Detailed Budget'!$AC$147</f>
        <v>5913600671000</v>
      </c>
      <c r="DG240" s="269">
        <f t="shared" si="607"/>
        <v>0</v>
      </c>
      <c r="DH240" s="269">
        <f>'Detailed Budget'!$AC$153</f>
        <v>226428026880.00003</v>
      </c>
      <c r="DI240" s="269"/>
      <c r="DJ240" s="269">
        <f>'Detailed Budget'!$AC$156</f>
        <v>27713070000</v>
      </c>
      <c r="DK240" s="269"/>
      <c r="DL240" s="269"/>
      <c r="DM240" s="196">
        <f>'Detailed Budget'!$AC$178</f>
        <v>5622683761.6229038</v>
      </c>
      <c r="DN240" s="269">
        <f t="shared" si="687"/>
        <v>19317767.601529773</v>
      </c>
      <c r="DO240" s="196">
        <f>'Detailed Budget'!$AC$179</f>
        <v>26827890683.128094</v>
      </c>
      <c r="DP240" s="269">
        <f t="shared" si="688"/>
        <v>92172169.749555379</v>
      </c>
      <c r="DQ240" s="269">
        <f t="shared" si="625"/>
        <v>111489937.35108516</v>
      </c>
      <c r="DR240" s="269">
        <f>'Detailed Budget'!$AC$181</f>
        <v>50888946855.375237</v>
      </c>
      <c r="DS240" s="269">
        <f t="shared" si="689"/>
        <v>139794734.14920822</v>
      </c>
      <c r="DT240" s="269">
        <f t="shared" si="690"/>
        <v>251284671.50029337</v>
      </c>
      <c r="DU240" s="272">
        <f>'Detailed Budget'!$AC$192</f>
        <v>77498869683.252869</v>
      </c>
      <c r="DV240" s="269">
        <f t="shared" ref="DV240:DV249" si="699">BZ240*CD240*DU240</f>
        <v>0</v>
      </c>
      <c r="DW240" s="140">
        <f>'Detailed Budget'!$AC$194</f>
        <v>2684962805.4134097</v>
      </c>
      <c r="DX240" s="269">
        <f t="shared" ref="DX240:DX249" si="700">BZ240*AN240*DW240</f>
        <v>0</v>
      </c>
      <c r="DY240" s="607">
        <f t="shared" si="561"/>
        <v>0</v>
      </c>
      <c r="DZ240" s="196">
        <f>'Detailed Budget'!$AC$198</f>
        <v>18732540018.380611</v>
      </c>
      <c r="EA240" s="269">
        <f t="shared" si="672"/>
        <v>37048693.494755492</v>
      </c>
      <c r="EB240" s="196">
        <f>'Detailed Budget'!$AC$200</f>
        <v>4683135004.5951529</v>
      </c>
      <c r="EC240" s="269">
        <f t="shared" ref="EC240:EC249" si="701">CF240*EB240</f>
        <v>9262173.3736888729</v>
      </c>
      <c r="ED240" s="269">
        <f t="shared" si="563"/>
        <v>46310866.868444368</v>
      </c>
      <c r="EE240" s="196">
        <f>'Detailed Budget'!$AC$161</f>
        <v>251147290106.36197</v>
      </c>
      <c r="EF240" s="269">
        <f t="shared" ref="EF240:EF249" si="702">CH240*EE240</f>
        <v>325348725.07758015</v>
      </c>
      <c r="EG240" s="196">
        <f>'Detailed Budget'!$AC$163</f>
        <v>15696705631.647623</v>
      </c>
      <c r="EH240" s="269">
        <f t="shared" ref="EH240:EH249" si="703">AP240*EG240</f>
        <v>20334295.31734876</v>
      </c>
      <c r="EI240" s="269">
        <f t="shared" si="564"/>
        <v>345683020.39492893</v>
      </c>
      <c r="EJ240" s="196">
        <f>'Detailed Budget'!$AC$204</f>
        <v>45012172507.531975</v>
      </c>
      <c r="EK240" s="269">
        <f t="shared" ref="EK240:EK249" si="704">CJ240*EJ240</f>
        <v>47902791.449120857</v>
      </c>
      <c r="EL240" s="201">
        <f>'Detailed Budget'!$AC$206</f>
        <v>11253043126.882994</v>
      </c>
      <c r="EM240" s="269">
        <f t="shared" ref="EM240:EM249" si="705">CJ240*EL240</f>
        <v>11975697.862280214</v>
      </c>
      <c r="EN240" s="269">
        <f t="shared" si="565"/>
        <v>59878489.311401069</v>
      </c>
      <c r="EO240" s="140">
        <f>'Detailed Budget'!$AC$209</f>
        <v>135789361677.54817</v>
      </c>
      <c r="EP240" s="269">
        <f t="shared" ref="EP240:EP249" si="706">CL240*EO240</f>
        <v>155881039.10922015</v>
      </c>
      <c r="EQ240" s="196">
        <f>'Detailed Budget'!$AC$211</f>
        <v>33947340419.387043</v>
      </c>
      <c r="ER240" s="269">
        <f t="shared" ref="ER240:ER249" si="707">CL240*EQ240</f>
        <v>38970259.777305037</v>
      </c>
      <c r="ES240" s="269">
        <f t="shared" si="566"/>
        <v>194851298.88652518</v>
      </c>
      <c r="ET240" s="196">
        <f>'Detailed Budget'!$AC$214</f>
        <v>22239745544.201103</v>
      </c>
      <c r="EU240" s="269">
        <f t="shared" ref="EU240:EU249" si="708">CN240*ET240</f>
        <v>24794430.773246221</v>
      </c>
      <c r="EV240" s="140">
        <f>'Detailed Budget'!$AC$217</f>
        <v>5559936386.0502758</v>
      </c>
      <c r="EW240" s="269">
        <f t="shared" ref="EW240:EW249" si="709">CN240*EV240</f>
        <v>6198607.6933115553</v>
      </c>
      <c r="EX240" s="269">
        <f t="shared" si="567"/>
        <v>30993038.466557778</v>
      </c>
      <c r="EY240" s="196">
        <f>'Detailed Budget'!$AC$219</f>
        <v>372777004.58170313</v>
      </c>
      <c r="EZ240" s="269">
        <f t="shared" ref="EZ240:EZ249" si="710">CP240*EY240</f>
        <v>435101.31201258366</v>
      </c>
      <c r="FA240" s="196">
        <f>'Detailed Budget'!$AC$222</f>
        <v>93194251.145425782</v>
      </c>
      <c r="FB240" s="269">
        <f t="shared" ref="FB240:FB249" si="711">CP240*FA240</f>
        <v>108775.32800314591</v>
      </c>
      <c r="FC240" s="269">
        <f t="shared" si="568"/>
        <v>543876.64001572959</v>
      </c>
      <c r="FD240" s="269"/>
      <c r="FE240" s="269">
        <f t="shared" si="569"/>
        <v>286266703.30449975</v>
      </c>
      <c r="FF240" s="140">
        <f>'Detailed Budget'!$AC$165</f>
        <v>14927760000</v>
      </c>
      <c r="FG240" s="1087">
        <f t="shared" si="608"/>
        <v>390486732.40353745</v>
      </c>
      <c r="FH240" s="269">
        <f t="shared" si="648"/>
        <v>18657579.820474949</v>
      </c>
      <c r="FJ240" s="140">
        <f>'Detailed Budget'!$AC$235</f>
        <v>3623696172</v>
      </c>
      <c r="FK240" s="269">
        <f t="shared" si="673"/>
        <v>4681778</v>
      </c>
      <c r="FL240" s="269">
        <f t="shared" si="609"/>
        <v>4681778</v>
      </c>
      <c r="FO240" s="607"/>
      <c r="FP240" s="607"/>
      <c r="FQ240" s="607"/>
      <c r="FR240" s="269">
        <f>'Detailed Budget'!$AC$257</f>
        <v>13636439388</v>
      </c>
      <c r="FS240" s="269">
        <f t="shared" si="674"/>
        <v>37475100</v>
      </c>
      <c r="FT240" s="269">
        <f t="shared" si="610"/>
        <v>37475100</v>
      </c>
      <c r="FU240" s="269"/>
      <c r="FV240" s="269"/>
      <c r="FW240" s="616"/>
      <c r="FX240" s="140">
        <f>'Detailed Budget'!$AC$278</f>
        <v>1114560000</v>
      </c>
      <c r="FY240" s="269">
        <f t="shared" si="675"/>
        <v>1440000</v>
      </c>
      <c r="FZ240" s="269">
        <f t="shared" si="611"/>
        <v>1440000</v>
      </c>
      <c r="GB240" s="269">
        <f t="shared" si="619"/>
        <v>2565661023.8448091</v>
      </c>
      <c r="GC240" s="887">
        <f t="shared" si="574"/>
        <v>1603538.1399030057</v>
      </c>
      <c r="GD240" s="1078">
        <f t="shared" si="620"/>
        <v>1.439673190843457E-3</v>
      </c>
    </row>
    <row r="241" spans="1:186" hidden="1" outlineLevel="1">
      <c r="A241" s="211" t="s">
        <v>640</v>
      </c>
      <c r="B241" s="212" t="s">
        <v>641</v>
      </c>
      <c r="C241" s="213" t="s">
        <v>215</v>
      </c>
      <c r="D241" s="214"/>
      <c r="E241" s="213"/>
      <c r="F241" s="213"/>
      <c r="G241" s="213" t="s">
        <v>215</v>
      </c>
      <c r="H241" s="213" t="s">
        <v>215</v>
      </c>
      <c r="I241" s="214" t="s">
        <v>215</v>
      </c>
      <c r="J241" s="214"/>
      <c r="K241" s="213" t="s">
        <v>215</v>
      </c>
      <c r="L241" s="213"/>
      <c r="M241" s="214"/>
      <c r="N241" s="213"/>
      <c r="O241" s="214"/>
      <c r="P241" s="213"/>
      <c r="Q241" s="214"/>
      <c r="R241" s="214" t="s">
        <v>215</v>
      </c>
      <c r="S241" s="214"/>
      <c r="T241" s="214"/>
      <c r="U241" s="215">
        <f t="shared" si="676"/>
        <v>6</v>
      </c>
      <c r="V241" s="845" t="s">
        <v>216</v>
      </c>
      <c r="W241" s="216">
        <v>91282</v>
      </c>
      <c r="X241" s="217">
        <v>2.91</v>
      </c>
      <c r="Y241" s="218">
        <f t="shared" si="640"/>
        <v>1.0290999999999999</v>
      </c>
      <c r="Z241" s="196">
        <v>19</v>
      </c>
      <c r="AA241" s="218">
        <f t="shared" si="641"/>
        <v>1.7246222540408234</v>
      </c>
      <c r="AB241" s="196">
        <f t="shared" si="642"/>
        <v>157426.96859335442</v>
      </c>
      <c r="AC241">
        <v>18.7</v>
      </c>
      <c r="AD241" s="196">
        <f t="shared" si="643"/>
        <v>29438.843126957276</v>
      </c>
      <c r="AE241" s="196">
        <f t="shared" si="644"/>
        <v>27966.900970609411</v>
      </c>
      <c r="AF241" s="196">
        <f t="shared" si="677"/>
        <v>0</v>
      </c>
      <c r="AG241" s="606">
        <f t="shared" si="577"/>
        <v>1.2930667238852103E-3</v>
      </c>
      <c r="AH241" s="196">
        <f t="shared" si="691"/>
        <v>7871.3484296677216</v>
      </c>
      <c r="AI241" s="248">
        <f t="shared" si="552"/>
        <v>6.0978143658857627E-4</v>
      </c>
      <c r="AJ241" s="196">
        <f t="shared" si="578"/>
        <v>37310.191556624995</v>
      </c>
      <c r="AK241" s="196">
        <f t="shared" si="605"/>
        <v>6297.0787437341769</v>
      </c>
      <c r="AL241" s="196">
        <f t="shared" si="606"/>
        <v>6297.0787437341769</v>
      </c>
      <c r="AM241" s="196">
        <f t="shared" si="553"/>
        <v>12594.157487468354</v>
      </c>
      <c r="AN241" s="627">
        <f t="shared" si="554"/>
        <v>6.0978143658857616E-4</v>
      </c>
      <c r="AO241" s="196">
        <f t="shared" si="555"/>
        <v>5982.2248065474678</v>
      </c>
      <c r="AP241" s="589">
        <f t="shared" si="579"/>
        <v>6.0978143658857616E-4</v>
      </c>
      <c r="AQ241" s="196"/>
      <c r="AR241" s="589"/>
      <c r="AS241">
        <v>1</v>
      </c>
      <c r="AT241" s="589">
        <f t="shared" si="580"/>
        <v>1.2919896640826874E-3</v>
      </c>
      <c r="AU241" s="196">
        <v>10</v>
      </c>
      <c r="AV241" s="245">
        <f t="shared" si="556"/>
        <v>1.1362345188046814E-3</v>
      </c>
      <c r="AX241" s="245"/>
      <c r="AY241" s="245"/>
      <c r="AZ241" s="196">
        <v>43</v>
      </c>
      <c r="BA241" s="589">
        <f t="shared" si="613"/>
        <v>1.5756110072917811E-3</v>
      </c>
      <c r="BI241" s="196">
        <v>1</v>
      </c>
      <c r="BJ241" s="196">
        <f t="shared" si="678"/>
        <v>87459.44025556132</v>
      </c>
      <c r="BK241" s="246">
        <f t="shared" si="614"/>
        <v>1.6677987580552243E-3</v>
      </c>
      <c r="BL241" s="196">
        <f t="shared" si="692"/>
        <v>1749.1888051112264</v>
      </c>
      <c r="BM241" s="246">
        <f t="shared" si="615"/>
        <v>1.6677985672317497E-3</v>
      </c>
      <c r="BN241" s="196">
        <v>0</v>
      </c>
      <c r="BO241" s="196">
        <f t="shared" si="679"/>
        <v>14140.59784306107</v>
      </c>
      <c r="BP241" s="196">
        <f t="shared" si="582"/>
        <v>0</v>
      </c>
      <c r="BQ241" s="248">
        <f t="shared" si="616"/>
        <v>0</v>
      </c>
      <c r="BR241" s="248"/>
      <c r="BS241" s="248"/>
      <c r="BT241" s="276">
        <v>0</v>
      </c>
      <c r="BU241" s="196">
        <f t="shared" si="693"/>
        <v>0</v>
      </c>
      <c r="BV241" s="264">
        <f t="shared" si="617"/>
        <v>0</v>
      </c>
      <c r="BW241" s="196">
        <f t="shared" si="694"/>
        <v>0</v>
      </c>
      <c r="BX241" s="247">
        <f t="shared" si="618"/>
        <v>0</v>
      </c>
      <c r="BY241" s="196">
        <f t="shared" si="639"/>
        <v>0</v>
      </c>
      <c r="BZ241" s="620">
        <v>1</v>
      </c>
      <c r="CA241" s="196">
        <f t="shared" si="680"/>
        <v>48172.652389566458</v>
      </c>
      <c r="CB241" s="196">
        <f t="shared" si="681"/>
        <v>96345.304779132915</v>
      </c>
      <c r="CC241" s="196">
        <f t="shared" si="585"/>
        <v>144517.95716869936</v>
      </c>
      <c r="CD241" s="247">
        <f t="shared" si="557"/>
        <v>6.0978143658857616E-4</v>
      </c>
      <c r="CE241" s="196">
        <f t="shared" si="682"/>
        <v>21558.368876694891</v>
      </c>
      <c r="CF241" s="247">
        <f t="shared" si="558"/>
        <v>9.3095741345154269E-4</v>
      </c>
      <c r="CG241" s="196">
        <f t="shared" si="695"/>
        <v>23928.899226189871</v>
      </c>
      <c r="CH241" s="589">
        <f t="shared" si="587"/>
        <v>6.0978143658857616E-4</v>
      </c>
      <c r="CI241" s="196">
        <f t="shared" si="683"/>
        <v>30470.717970125403</v>
      </c>
      <c r="CJ241" s="248">
        <f t="shared" si="589"/>
        <v>5.0093852608395324E-4</v>
      </c>
      <c r="CK241" s="196">
        <f t="shared" si="684"/>
        <v>37589.544588512676</v>
      </c>
      <c r="CL241" s="589">
        <f t="shared" si="591"/>
        <v>5.4035743529932208E-4</v>
      </c>
      <c r="CM241" s="196">
        <f t="shared" si="685"/>
        <v>3641.4947146474524</v>
      </c>
      <c r="CN241" s="589">
        <f t="shared" si="593"/>
        <v>5.2478077269738901E-4</v>
      </c>
      <c r="CO241" s="196">
        <f t="shared" si="686"/>
        <v>291.33230605463859</v>
      </c>
      <c r="CP241" s="589">
        <f t="shared" si="595"/>
        <v>5.4940785578301945E-4</v>
      </c>
      <c r="CQ241" s="196">
        <f>'Detailed Budget'!$AC$12</f>
        <v>292876014141.44696</v>
      </c>
      <c r="CR241" s="269">
        <f t="shared" si="669"/>
        <v>488458252.64926958</v>
      </c>
      <c r="CS241" s="269">
        <f>'Detailed Budget'!$AC$16</f>
        <v>10488008800.000002</v>
      </c>
      <c r="CT241" s="607">
        <f t="shared" si="696"/>
        <v>17491886.049753986</v>
      </c>
      <c r="CU241" s="269">
        <f>'Detailed Budget'!$AC$24</f>
        <v>30624985696</v>
      </c>
      <c r="CV241" s="269">
        <f t="shared" si="612"/>
        <v>51076313.109247811</v>
      </c>
      <c r="CW241" s="269"/>
      <c r="CX241" s="269">
        <f t="shared" si="596"/>
        <v>557026451.80827141</v>
      </c>
      <c r="CY241" s="196">
        <f>'Detailed Budget'!$AC$97</f>
        <v>74629165494.837845</v>
      </c>
      <c r="CZ241" s="269">
        <f t="shared" si="697"/>
        <v>0</v>
      </c>
      <c r="DA241" s="269">
        <f>'Detailed Budget'!$AC$100</f>
        <v>14925833098.967569</v>
      </c>
      <c r="DB241" s="269">
        <f t="shared" si="698"/>
        <v>0</v>
      </c>
      <c r="DC241" s="269">
        <f t="shared" si="560"/>
        <v>0</v>
      </c>
      <c r="DD241" s="207">
        <v>0</v>
      </c>
      <c r="DE241" s="606">
        <v>0</v>
      </c>
      <c r="DF241" s="269">
        <f>'Detailed Budget'!$AC$147</f>
        <v>5913600671000</v>
      </c>
      <c r="DG241" s="269">
        <f t="shared" si="607"/>
        <v>0</v>
      </c>
      <c r="DH241" s="269">
        <f>'Detailed Budget'!$AC$153</f>
        <v>226428026880.00003</v>
      </c>
      <c r="DI241" s="269"/>
      <c r="DJ241" s="269">
        <f>'Detailed Budget'!$AC$156</f>
        <v>27713070000</v>
      </c>
      <c r="DK241" s="269"/>
      <c r="DL241" s="269"/>
      <c r="DM241" s="196">
        <f>'Detailed Budget'!$AC$178</f>
        <v>5622683761.6229038</v>
      </c>
      <c r="DN241" s="269">
        <f t="shared" si="687"/>
        <v>0</v>
      </c>
      <c r="DO241" s="196">
        <f>'Detailed Budget'!$AC$179</f>
        <v>26827890683.128094</v>
      </c>
      <c r="DP241" s="269">
        <f t="shared" si="688"/>
        <v>0</v>
      </c>
      <c r="DQ241" s="269">
        <f t="shared" si="625"/>
        <v>0</v>
      </c>
      <c r="DR241" s="269">
        <f>'Detailed Budget'!$AC$181</f>
        <v>50888946855.375237</v>
      </c>
      <c r="DS241" s="269">
        <f t="shared" si="689"/>
        <v>0</v>
      </c>
      <c r="DT241" s="269">
        <f t="shared" si="690"/>
        <v>0</v>
      </c>
      <c r="DU241" s="272">
        <f>'Detailed Budget'!$AC$192</f>
        <v>77498869683.252869</v>
      </c>
      <c r="DV241" s="269">
        <f t="shared" si="699"/>
        <v>47257372.089444786</v>
      </c>
      <c r="DW241" s="140">
        <f>'Detailed Budget'!$AC$194</f>
        <v>2684962805.4134097</v>
      </c>
      <c r="DX241" s="269">
        <f t="shared" si="700"/>
        <v>1637240.4766718827</v>
      </c>
      <c r="DY241" s="607">
        <f t="shared" si="561"/>
        <v>48894612.566116668</v>
      </c>
      <c r="DZ241" s="196">
        <f>'Detailed Budget'!$AC$198</f>
        <v>18732540018.380611</v>
      </c>
      <c r="EA241" s="269">
        <f t="shared" si="672"/>
        <v>17439197.002889127</v>
      </c>
      <c r="EB241" s="196">
        <f>'Detailed Budget'!$AC$200</f>
        <v>4683135004.5951529</v>
      </c>
      <c r="EC241" s="269">
        <f t="shared" si="701"/>
        <v>4359799.2507222816</v>
      </c>
      <c r="ED241" s="269">
        <f t="shared" si="563"/>
        <v>21798996.253611408</v>
      </c>
      <c r="EE241" s="196">
        <f>'Detailed Budget'!$AC$161</f>
        <v>251147290106.36197</v>
      </c>
      <c r="EF241" s="269">
        <f t="shared" si="702"/>
        <v>153144955.35638529</v>
      </c>
      <c r="EG241" s="196">
        <f>'Detailed Budget'!$AC$163</f>
        <v>15696705631.647623</v>
      </c>
      <c r="EH241" s="269">
        <f t="shared" si="703"/>
        <v>9571559.7097740807</v>
      </c>
      <c r="EI241" s="269">
        <f t="shared" si="564"/>
        <v>162716515.06615937</v>
      </c>
      <c r="EJ241" s="196">
        <f>'Detailed Budget'!$AC$204</f>
        <v>45012172507.531975</v>
      </c>
      <c r="EK241" s="269">
        <f t="shared" si="704"/>
        <v>22548331.351759709</v>
      </c>
      <c r="EL241" s="201">
        <f>'Detailed Budget'!$AC$206</f>
        <v>11253043126.882994</v>
      </c>
      <c r="EM241" s="269">
        <f t="shared" si="705"/>
        <v>5637082.8379399274</v>
      </c>
      <c r="EN241" s="269">
        <f t="shared" si="565"/>
        <v>28185414.189699635</v>
      </c>
      <c r="EO241" s="140">
        <f>'Detailed Budget'!$AC$209</f>
        <v>135789361677.54817</v>
      </c>
      <c r="EP241" s="269">
        <f t="shared" si="706"/>
        <v>73374791.217011988</v>
      </c>
      <c r="EQ241" s="196">
        <f>'Detailed Budget'!$AC$211</f>
        <v>33947340419.387043</v>
      </c>
      <c r="ER241" s="269">
        <f t="shared" si="707"/>
        <v>18343697.804252997</v>
      </c>
      <c r="ES241" s="269">
        <f t="shared" si="566"/>
        <v>91718489.021264985</v>
      </c>
      <c r="ET241" s="196">
        <f>'Detailed Budget'!$AC$214</f>
        <v>22239745544.201103</v>
      </c>
      <c r="EU241" s="269">
        <f t="shared" si="708"/>
        <v>11670990.851279169</v>
      </c>
      <c r="EV241" s="140">
        <f>'Detailed Budget'!$AC$217</f>
        <v>5559936386.0502758</v>
      </c>
      <c r="EW241" s="269">
        <f t="shared" si="709"/>
        <v>2917747.7128197923</v>
      </c>
      <c r="EX241" s="269">
        <f t="shared" si="567"/>
        <v>14588738.564098962</v>
      </c>
      <c r="EY241" s="196">
        <f>'Detailed Budget'!$AC$219</f>
        <v>372777004.58170313</v>
      </c>
      <c r="EZ241" s="269">
        <f t="shared" si="710"/>
        <v>204806.61477245032</v>
      </c>
      <c r="FA241" s="196">
        <f>'Detailed Budget'!$AC$222</f>
        <v>93194251.145425782</v>
      </c>
      <c r="FB241" s="269">
        <f t="shared" si="711"/>
        <v>51201.653693112581</v>
      </c>
      <c r="FC241" s="269">
        <f t="shared" si="568"/>
        <v>256008.2684655629</v>
      </c>
      <c r="FD241" s="269"/>
      <c r="FE241" s="269">
        <f t="shared" si="569"/>
        <v>134748650.04352912</v>
      </c>
      <c r="FF241" s="140">
        <f>'Detailed Budget'!$AC$165</f>
        <v>14927760000</v>
      </c>
      <c r="FG241" s="1087">
        <f t="shared" si="608"/>
        <v>183806078.1917643</v>
      </c>
      <c r="FH241" s="269">
        <f t="shared" si="648"/>
        <v>16961436.200431772</v>
      </c>
      <c r="FJ241" s="140">
        <f>'Detailed Budget'!$AC$235</f>
        <v>3623696172</v>
      </c>
      <c r="FK241" s="269">
        <f t="shared" si="673"/>
        <v>4681778</v>
      </c>
      <c r="FL241" s="269">
        <f t="shared" si="609"/>
        <v>4681778</v>
      </c>
      <c r="FO241" s="607"/>
      <c r="FP241" s="607"/>
      <c r="FQ241" s="607"/>
      <c r="FR241" s="269">
        <f>'Detailed Budget'!$AC$257</f>
        <v>13636439388</v>
      </c>
      <c r="FS241" s="269">
        <f t="shared" si="674"/>
        <v>21485724</v>
      </c>
      <c r="FT241" s="269">
        <f t="shared" si="610"/>
        <v>21485724</v>
      </c>
      <c r="FU241" s="269"/>
      <c r="FV241" s="269"/>
      <c r="FW241" s="616"/>
      <c r="FX241" s="140">
        <f>'Detailed Budget'!$AC$278</f>
        <v>1114560000</v>
      </c>
      <c r="FY241" s="269">
        <f t="shared" si="675"/>
        <v>1440000</v>
      </c>
      <c r="FZ241" s="269">
        <f t="shared" si="611"/>
        <v>1440000</v>
      </c>
      <c r="GB241" s="269">
        <f t="shared" si="619"/>
        <v>1153560242.1298842</v>
      </c>
      <c r="GC241" s="887">
        <f t="shared" si="574"/>
        <v>720975.15133117768</v>
      </c>
      <c r="GD241" s="1078">
        <f t="shared" si="620"/>
        <v>6.4729897643631042E-4</v>
      </c>
    </row>
    <row r="242" spans="1:186" hidden="1" outlineLevel="1">
      <c r="A242" s="211" t="s">
        <v>642</v>
      </c>
      <c r="B242" s="212" t="s">
        <v>643</v>
      </c>
      <c r="C242" s="213" t="s">
        <v>215</v>
      </c>
      <c r="D242" s="214" t="s">
        <v>215</v>
      </c>
      <c r="E242" s="213"/>
      <c r="F242" s="213"/>
      <c r="G242" s="213"/>
      <c r="H242" s="213" t="s">
        <v>215</v>
      </c>
      <c r="I242" s="214" t="s">
        <v>215</v>
      </c>
      <c r="J242" s="214"/>
      <c r="K242" s="213" t="s">
        <v>215</v>
      </c>
      <c r="L242" s="213"/>
      <c r="M242" s="214"/>
      <c r="N242" s="213"/>
      <c r="O242" s="214"/>
      <c r="P242" s="213"/>
      <c r="Q242" s="214"/>
      <c r="R242" s="214" t="s">
        <v>215</v>
      </c>
      <c r="S242" s="214"/>
      <c r="T242" s="214"/>
      <c r="U242" s="215">
        <f t="shared" si="676"/>
        <v>6</v>
      </c>
      <c r="V242" s="845" t="s">
        <v>219</v>
      </c>
      <c r="W242" s="216">
        <v>95190</v>
      </c>
      <c r="X242" s="217">
        <v>2.91</v>
      </c>
      <c r="Y242" s="218">
        <f t="shared" si="640"/>
        <v>1.0290999999999999</v>
      </c>
      <c r="Z242" s="196">
        <v>19</v>
      </c>
      <c r="AA242" s="218">
        <f t="shared" si="641"/>
        <v>1.7246222540408234</v>
      </c>
      <c r="AB242" s="196">
        <f t="shared" si="642"/>
        <v>164166.79236214596</v>
      </c>
      <c r="AC242">
        <v>18.7</v>
      </c>
      <c r="AD242" s="196">
        <f t="shared" si="643"/>
        <v>30699.190171721293</v>
      </c>
      <c r="AE242" s="196">
        <f t="shared" si="644"/>
        <v>29164.230663135226</v>
      </c>
      <c r="AF242" s="196">
        <f t="shared" si="677"/>
        <v>29164.230663135226</v>
      </c>
      <c r="AG242" s="606">
        <f t="shared" si="577"/>
        <v>1.3484259924917636E-3</v>
      </c>
      <c r="AH242" s="196">
        <f t="shared" si="691"/>
        <v>8208.3396181072985</v>
      </c>
      <c r="AI242" s="248">
        <f t="shared" si="552"/>
        <v>6.3588763336546719E-4</v>
      </c>
      <c r="AJ242" s="196">
        <f t="shared" si="578"/>
        <v>38907.529789828593</v>
      </c>
      <c r="AK242" s="196">
        <f t="shared" si="605"/>
        <v>6566.671694485839</v>
      </c>
      <c r="AL242" s="196">
        <f t="shared" si="606"/>
        <v>6566.671694485839</v>
      </c>
      <c r="AM242" s="196">
        <f t="shared" si="553"/>
        <v>13133.343388971678</v>
      </c>
      <c r="AN242" s="627">
        <f t="shared" si="554"/>
        <v>6.3588763336546719E-4</v>
      </c>
      <c r="AO242" s="196">
        <f t="shared" si="555"/>
        <v>6238.3381097615465</v>
      </c>
      <c r="AP242" s="589">
        <f t="shared" si="579"/>
        <v>6.3588763336546708E-4</v>
      </c>
      <c r="AQ242" s="196"/>
      <c r="AR242" s="589"/>
      <c r="AS242">
        <v>1</v>
      </c>
      <c r="AT242" s="589">
        <f t="shared" si="580"/>
        <v>1.2919896640826874E-3</v>
      </c>
      <c r="AU242" s="196">
        <v>10</v>
      </c>
      <c r="AV242" s="245">
        <f t="shared" si="556"/>
        <v>1.1362345188046814E-3</v>
      </c>
      <c r="AX242" s="245"/>
      <c r="AY242" s="245"/>
      <c r="AZ242" s="196">
        <v>39</v>
      </c>
      <c r="BA242" s="589">
        <f t="shared" si="613"/>
        <v>1.4290425414971969E-3</v>
      </c>
      <c r="BI242" s="196">
        <v>1</v>
      </c>
      <c r="BJ242" s="196">
        <f t="shared" si="678"/>
        <v>91203.78736143907</v>
      </c>
      <c r="BK242" s="246">
        <f t="shared" si="614"/>
        <v>1.7392011982567954E-3</v>
      </c>
      <c r="BL242" s="196">
        <f t="shared" si="692"/>
        <v>1824.0757472287814</v>
      </c>
      <c r="BM242" s="246">
        <f t="shared" si="615"/>
        <v>1.739200999263713E-3</v>
      </c>
      <c r="BN242" s="196">
        <v>0</v>
      </c>
      <c r="BO242" s="196">
        <f t="shared" si="679"/>
        <v>14745.990542286359</v>
      </c>
      <c r="BP242" s="196">
        <f t="shared" si="582"/>
        <v>0</v>
      </c>
      <c r="BQ242" s="248">
        <f t="shared" si="616"/>
        <v>0</v>
      </c>
      <c r="BR242" s="248"/>
      <c r="BS242" s="248"/>
      <c r="BT242" s="276">
        <v>1</v>
      </c>
      <c r="BU242" s="196">
        <f t="shared" si="693"/>
        <v>24313.758616003266</v>
      </c>
      <c r="BV242" s="264">
        <f t="shared" si="617"/>
        <v>1.6864483516772376E-3</v>
      </c>
      <c r="BW242" s="196">
        <f t="shared" si="694"/>
        <v>104008.85630179175</v>
      </c>
      <c r="BX242" s="247">
        <f t="shared" si="618"/>
        <v>1.6864483668688288E-3</v>
      </c>
      <c r="BY242" s="196">
        <f t="shared" si="639"/>
        <v>128322.61491779501</v>
      </c>
      <c r="BZ242" s="620">
        <v>0</v>
      </c>
      <c r="CA242" s="196">
        <f t="shared" si="680"/>
        <v>50235.038462816658</v>
      </c>
      <c r="CB242" s="196">
        <f t="shared" si="681"/>
        <v>100470.07692563332</v>
      </c>
      <c r="CC242" s="196">
        <f t="shared" si="585"/>
        <v>150705.11538844998</v>
      </c>
      <c r="CD242" s="247">
        <f t="shared" si="557"/>
        <v>6.3588763336546708E-4</v>
      </c>
      <c r="CE242" s="196">
        <f t="shared" si="682"/>
        <v>22481.334034887343</v>
      </c>
      <c r="CF242" s="247">
        <f t="shared" si="558"/>
        <v>9.7081391935378641E-4</v>
      </c>
      <c r="CG242" s="196">
        <f t="shared" si="695"/>
        <v>24953.352439046186</v>
      </c>
      <c r="CH242" s="589">
        <f t="shared" si="587"/>
        <v>6.3588763336546708E-4</v>
      </c>
      <c r="CI242" s="196">
        <f t="shared" si="683"/>
        <v>31775.242036504867</v>
      </c>
      <c r="CJ242" s="248">
        <f t="shared" si="589"/>
        <v>5.2238489842391174E-4</v>
      </c>
      <c r="CK242" s="196">
        <f t="shared" si="684"/>
        <v>39198.842590877961</v>
      </c>
      <c r="CL242" s="589">
        <f t="shared" si="591"/>
        <v>5.6349142510179963E-4</v>
      </c>
      <c r="CM242" s="196">
        <f t="shared" si="685"/>
        <v>3797.3957832572801</v>
      </c>
      <c r="CN242" s="589">
        <f t="shared" si="593"/>
        <v>5.4724788844530642E-4</v>
      </c>
      <c r="CO242" s="196">
        <f t="shared" si="686"/>
        <v>303.80493649723985</v>
      </c>
      <c r="CP242" s="589">
        <f t="shared" si="595"/>
        <v>5.7292931565900861E-4</v>
      </c>
      <c r="CQ242" s="196">
        <f>'Detailed Budget'!$AC$12</f>
        <v>292876014141.44696</v>
      </c>
      <c r="CR242" s="269">
        <f t="shared" si="669"/>
        <v>509370314.7354787</v>
      </c>
      <c r="CS242" s="269">
        <f>'Detailed Budget'!$AC$16</f>
        <v>10488008800.000002</v>
      </c>
      <c r="CT242" s="607">
        <f t="shared" si="696"/>
        <v>18240755.38524662</v>
      </c>
      <c r="CU242" s="269">
        <f>'Detailed Budget'!$AC$24</f>
        <v>30624985696</v>
      </c>
      <c r="CV242" s="269">
        <f t="shared" si="612"/>
        <v>53263011.81908042</v>
      </c>
      <c r="CW242" s="269"/>
      <c r="CX242" s="269">
        <f t="shared" si="596"/>
        <v>580874081.93980575</v>
      </c>
      <c r="CY242" s="196">
        <f>'Detailed Budget'!$AC$97</f>
        <v>74629165494.837845</v>
      </c>
      <c r="CZ242" s="269">
        <f t="shared" si="697"/>
        <v>0</v>
      </c>
      <c r="DA242" s="269">
        <f>'Detailed Budget'!$AC$100</f>
        <v>14925833098.967569</v>
      </c>
      <c r="DB242" s="269">
        <f t="shared" si="698"/>
        <v>0</v>
      </c>
      <c r="DC242" s="269">
        <f t="shared" si="560"/>
        <v>0</v>
      </c>
      <c r="DD242" s="207">
        <v>0</v>
      </c>
      <c r="DE242" s="606">
        <v>0</v>
      </c>
      <c r="DF242" s="269">
        <f>'Detailed Budget'!$AC$147</f>
        <v>5913600671000</v>
      </c>
      <c r="DG242" s="269">
        <f t="shared" si="607"/>
        <v>0</v>
      </c>
      <c r="DH242" s="269">
        <f>'Detailed Budget'!$AC$153</f>
        <v>226428026880.00003</v>
      </c>
      <c r="DI242" s="269"/>
      <c r="DJ242" s="269">
        <f>'Detailed Budget'!$AC$156</f>
        <v>27713070000</v>
      </c>
      <c r="DK242" s="269"/>
      <c r="DL242" s="269"/>
      <c r="DM242" s="196">
        <f>'Detailed Budget'!$AC$178</f>
        <v>5622683761.6229038</v>
      </c>
      <c r="DN242" s="269">
        <f t="shared" si="687"/>
        <v>9482365.7617913168</v>
      </c>
      <c r="DO242" s="196">
        <f>'Detailed Budget'!$AC$179</f>
        <v>26827890683.128094</v>
      </c>
      <c r="DP242" s="269">
        <f t="shared" si="688"/>
        <v>45243852.42909684</v>
      </c>
      <c r="DQ242" s="269">
        <f t="shared" si="625"/>
        <v>54726218.190888159</v>
      </c>
      <c r="DR242" s="269">
        <f>'Detailed Budget'!$AC$181</f>
        <v>50888946855.375237</v>
      </c>
      <c r="DS242" s="269">
        <f t="shared" si="689"/>
        <v>68619978.67031996</v>
      </c>
      <c r="DT242" s="269">
        <f t="shared" si="690"/>
        <v>123346196.86120811</v>
      </c>
      <c r="DU242" s="272">
        <f>'Detailed Budget'!$AC$192</f>
        <v>77498869683.252869</v>
      </c>
      <c r="DV242" s="269">
        <f t="shared" si="699"/>
        <v>0</v>
      </c>
      <c r="DW242" s="140">
        <f>'Detailed Budget'!$AC$194</f>
        <v>2684962805.4134097</v>
      </c>
      <c r="DX242" s="269">
        <f t="shared" si="700"/>
        <v>0</v>
      </c>
      <c r="DY242" s="607">
        <f t="shared" si="561"/>
        <v>0</v>
      </c>
      <c r="DZ242" s="196">
        <f>'Detailed Budget'!$AC$198</f>
        <v>18732540018.380611</v>
      </c>
      <c r="EA242" s="269">
        <f t="shared" si="672"/>
        <v>18185810.594695732</v>
      </c>
      <c r="EB242" s="196">
        <f>'Detailed Budget'!$AC$200</f>
        <v>4683135004.5951529</v>
      </c>
      <c r="EC242" s="269">
        <f t="shared" si="701"/>
        <v>4546452.648673933</v>
      </c>
      <c r="ED242" s="269">
        <f t="shared" si="563"/>
        <v>22732263.243369665</v>
      </c>
      <c r="EE242" s="196">
        <f>'Detailed Budget'!$AC$161</f>
        <v>251147290106.36197</v>
      </c>
      <c r="EF242" s="269">
        <f t="shared" si="702"/>
        <v>159701455.93188488</v>
      </c>
      <c r="EG242" s="196">
        <f>'Detailed Budget'!$AC$163</f>
        <v>15696705631.647623</v>
      </c>
      <c r="EH242" s="269">
        <f t="shared" si="703"/>
        <v>9981340.9957428053</v>
      </c>
      <c r="EI242" s="269">
        <f t="shared" si="564"/>
        <v>169682796.92762768</v>
      </c>
      <c r="EJ242" s="196">
        <f>'Detailed Budget'!$AC$204</f>
        <v>45012172507.531975</v>
      </c>
      <c r="EK242" s="269">
        <f t="shared" si="704"/>
        <v>23513679.163186684</v>
      </c>
      <c r="EL242" s="201">
        <f>'Detailed Budget'!$AC$206</f>
        <v>11253043126.882994</v>
      </c>
      <c r="EM242" s="269">
        <f t="shared" si="705"/>
        <v>5878419.7907966711</v>
      </c>
      <c r="EN242" s="269">
        <f t="shared" si="565"/>
        <v>29392098.953983355</v>
      </c>
      <c r="EO242" s="140">
        <f>'Detailed Budget'!$AC$209</f>
        <v>135789361677.54817</v>
      </c>
      <c r="EP242" s="269">
        <f t="shared" si="706"/>
        <v>76516140.925345317</v>
      </c>
      <c r="EQ242" s="196">
        <f>'Detailed Budget'!$AC$211</f>
        <v>33947340419.387043</v>
      </c>
      <c r="ER242" s="269">
        <f t="shared" si="707"/>
        <v>19129035.231336329</v>
      </c>
      <c r="ES242" s="269">
        <f t="shared" si="566"/>
        <v>95645176.156681642</v>
      </c>
      <c r="ET242" s="196">
        <f>'Detailed Budget'!$AC$214</f>
        <v>22239745544.201103</v>
      </c>
      <c r="EU242" s="269">
        <f t="shared" si="708"/>
        <v>12170653.788624967</v>
      </c>
      <c r="EV242" s="140">
        <f>'Detailed Budget'!$AC$217</f>
        <v>5559936386.0502758</v>
      </c>
      <c r="EW242" s="269">
        <f t="shared" si="709"/>
        <v>3042663.4471562416</v>
      </c>
      <c r="EX242" s="269">
        <f t="shared" si="567"/>
        <v>15213317.235781208</v>
      </c>
      <c r="EY242" s="196">
        <f>'Detailed Budget'!$AC$219</f>
        <v>372777004.58170313</v>
      </c>
      <c r="EZ242" s="269">
        <f t="shared" si="710"/>
        <v>213574.8741284103</v>
      </c>
      <c r="FA242" s="196">
        <f>'Detailed Budget'!$AC$222</f>
        <v>93194251.145425782</v>
      </c>
      <c r="FB242" s="269">
        <f t="shared" si="711"/>
        <v>53393.718532102575</v>
      </c>
      <c r="FC242" s="269">
        <f t="shared" si="568"/>
        <v>266968.59266051289</v>
      </c>
      <c r="FD242" s="269"/>
      <c r="FE242" s="269">
        <f t="shared" si="569"/>
        <v>140517560.93910673</v>
      </c>
      <c r="FF242" s="140">
        <f>'Detailed Budget'!$AC$165</f>
        <v>14927760000</v>
      </c>
      <c r="FG242" s="1087">
        <f t="shared" si="608"/>
        <v>191675254.51977444</v>
      </c>
      <c r="FH242" s="269">
        <f t="shared" si="648"/>
        <v>16961436.200431772</v>
      </c>
      <c r="FJ242" s="140">
        <f>'Detailed Budget'!$AC$235</f>
        <v>3623696172</v>
      </c>
      <c r="FK242" s="269">
        <f t="shared" si="673"/>
        <v>4681778</v>
      </c>
      <c r="FL242" s="269">
        <f t="shared" si="609"/>
        <v>4681778</v>
      </c>
      <c r="FO242" s="607"/>
      <c r="FP242" s="607"/>
      <c r="FQ242" s="607"/>
      <c r="FR242" s="269">
        <f>'Detailed Budget'!$AC$257</f>
        <v>13636439388</v>
      </c>
      <c r="FS242" s="269">
        <f t="shared" si="674"/>
        <v>19487052</v>
      </c>
      <c r="FT242" s="269">
        <f t="shared" si="610"/>
        <v>19487052</v>
      </c>
      <c r="FU242" s="269"/>
      <c r="FV242" s="269"/>
      <c r="FW242" s="616"/>
      <c r="FX242" s="140">
        <f>'Detailed Budget'!$AC$278</f>
        <v>1114560000</v>
      </c>
      <c r="FY242" s="269">
        <f t="shared" si="675"/>
        <v>1440000</v>
      </c>
      <c r="FZ242" s="269">
        <f t="shared" si="611"/>
        <v>1440000</v>
      </c>
      <c r="GB242" s="269">
        <f t="shared" si="619"/>
        <v>1271398420.6313243</v>
      </c>
      <c r="GC242" s="887">
        <f t="shared" si="574"/>
        <v>794624.0128945777</v>
      </c>
      <c r="GD242" s="1078">
        <f t="shared" si="620"/>
        <v>7.134216890120037E-4</v>
      </c>
    </row>
    <row r="243" spans="1:186" hidden="1" outlineLevel="1">
      <c r="A243" s="211" t="s">
        <v>644</v>
      </c>
      <c r="B243" s="212" t="s">
        <v>645</v>
      </c>
      <c r="C243" s="213" t="s">
        <v>215</v>
      </c>
      <c r="D243" s="214"/>
      <c r="E243" s="213"/>
      <c r="F243" s="213"/>
      <c r="G243" s="213" t="s">
        <v>215</v>
      </c>
      <c r="H243" s="213" t="s">
        <v>215</v>
      </c>
      <c r="I243" s="214" t="s">
        <v>215</v>
      </c>
      <c r="J243" s="214"/>
      <c r="K243" s="213" t="s">
        <v>215</v>
      </c>
      <c r="L243" s="213"/>
      <c r="M243" s="214"/>
      <c r="N243" s="213"/>
      <c r="O243" s="214"/>
      <c r="P243" s="213"/>
      <c r="Q243" s="214"/>
      <c r="R243" s="214" t="s">
        <v>215</v>
      </c>
      <c r="S243" s="214"/>
      <c r="T243" s="214"/>
      <c r="U243" s="215">
        <f t="shared" si="676"/>
        <v>6</v>
      </c>
      <c r="V243" s="845" t="s">
        <v>216</v>
      </c>
      <c r="W243" s="216">
        <v>224357</v>
      </c>
      <c r="X243" s="217">
        <v>2.91</v>
      </c>
      <c r="Y243" s="218">
        <f t="shared" si="640"/>
        <v>1.0290999999999999</v>
      </c>
      <c r="Z243" s="196">
        <v>19</v>
      </c>
      <c r="AA243" s="218">
        <f t="shared" si="641"/>
        <v>1.7246222540408234</v>
      </c>
      <c r="AB243" s="196">
        <f t="shared" si="642"/>
        <v>386931.075049837</v>
      </c>
      <c r="AC243">
        <v>18.7</v>
      </c>
      <c r="AD243" s="196">
        <f t="shared" si="643"/>
        <v>72356.111034319518</v>
      </c>
      <c r="AE243" s="196">
        <f t="shared" si="644"/>
        <v>68738.305482603537</v>
      </c>
      <c r="AF243" s="196">
        <f t="shared" si="677"/>
        <v>0</v>
      </c>
      <c r="AG243" s="606">
        <f t="shared" si="577"/>
        <v>3.1781574787002271E-3</v>
      </c>
      <c r="AH243" s="196">
        <f t="shared" si="691"/>
        <v>19346.553752491851</v>
      </c>
      <c r="AI243" s="248">
        <f t="shared" si="552"/>
        <v>1.4987482063134375E-3</v>
      </c>
      <c r="AJ243" s="196">
        <f t="shared" si="578"/>
        <v>91702.664786811365</v>
      </c>
      <c r="AK243" s="196">
        <f t="shared" si="605"/>
        <v>15477.24300199348</v>
      </c>
      <c r="AL243" s="196">
        <f t="shared" si="606"/>
        <v>15477.24300199348</v>
      </c>
      <c r="AM243" s="196">
        <f t="shared" si="553"/>
        <v>30954.48600398696</v>
      </c>
      <c r="AN243" s="627">
        <f t="shared" si="554"/>
        <v>1.4987482063134375E-3</v>
      </c>
      <c r="AO243" s="196">
        <f t="shared" si="555"/>
        <v>14703.380851893806</v>
      </c>
      <c r="AP243" s="589">
        <f t="shared" si="579"/>
        <v>1.4987482063134375E-3</v>
      </c>
      <c r="AQ243" s="196"/>
      <c r="AR243" s="589"/>
      <c r="AS243">
        <v>1</v>
      </c>
      <c r="AT243" s="589">
        <f t="shared" si="580"/>
        <v>1.2919896640826874E-3</v>
      </c>
      <c r="AU243" s="196">
        <v>11</v>
      </c>
      <c r="AV243" s="245">
        <f t="shared" si="556"/>
        <v>1.2498579706851495E-3</v>
      </c>
      <c r="AX243" s="245"/>
      <c r="AY243" s="245"/>
      <c r="AZ243" s="196">
        <v>74</v>
      </c>
      <c r="BA243" s="589">
        <f t="shared" si="613"/>
        <v>2.7115166171998097E-3</v>
      </c>
      <c r="BI243" s="196">
        <v>1</v>
      </c>
      <c r="BJ243" s="196">
        <f t="shared" si="678"/>
        <v>214961.74095020891</v>
      </c>
      <c r="BK243" s="246">
        <f t="shared" si="614"/>
        <v>4.0991907052978236E-3</v>
      </c>
      <c r="BL243" s="196">
        <f t="shared" si="692"/>
        <v>4299.2348190041785</v>
      </c>
      <c r="BM243" s="246">
        <f t="shared" si="615"/>
        <v>4.0991902362833166E-3</v>
      </c>
      <c r="BN243" s="196">
        <v>0</v>
      </c>
      <c r="BO243" s="196">
        <f t="shared" si="679"/>
        <v>34755.396576276296</v>
      </c>
      <c r="BP243" s="196">
        <f t="shared" si="582"/>
        <v>0</v>
      </c>
      <c r="BQ243" s="248">
        <f t="shared" si="616"/>
        <v>0</v>
      </c>
      <c r="BR243" s="248"/>
      <c r="BS243" s="248"/>
      <c r="BT243" s="276">
        <v>0</v>
      </c>
      <c r="BU243" s="196">
        <f t="shared" si="693"/>
        <v>0</v>
      </c>
      <c r="BV243" s="264">
        <f t="shared" si="617"/>
        <v>0</v>
      </c>
      <c r="BW243" s="196">
        <f t="shared" si="694"/>
        <v>0</v>
      </c>
      <c r="BX243" s="247">
        <f t="shared" si="618"/>
        <v>0</v>
      </c>
      <c r="BY243" s="196">
        <f t="shared" si="639"/>
        <v>0</v>
      </c>
      <c r="BZ243" s="620">
        <v>1</v>
      </c>
      <c r="CA243" s="196">
        <f t="shared" si="680"/>
        <v>118400.90896525013</v>
      </c>
      <c r="CB243" s="196">
        <f t="shared" si="681"/>
        <v>236801.81793050026</v>
      </c>
      <c r="CC243" s="196">
        <f t="shared" si="585"/>
        <v>355202.72689575038</v>
      </c>
      <c r="CD243" s="247">
        <f t="shared" si="557"/>
        <v>1.4987482063134375E-3</v>
      </c>
      <c r="CE243" s="196">
        <f t="shared" si="682"/>
        <v>52987.127430036984</v>
      </c>
      <c r="CF243" s="247">
        <f t="shared" si="558"/>
        <v>2.2881489495163096E-3</v>
      </c>
      <c r="CG243" s="196">
        <f t="shared" si="695"/>
        <v>58813.523407575223</v>
      </c>
      <c r="CH243" s="589">
        <f t="shared" si="587"/>
        <v>1.4987482063134375E-3</v>
      </c>
      <c r="CI243" s="196">
        <f t="shared" si="683"/>
        <v>74892.299375818082</v>
      </c>
      <c r="CJ243" s="248">
        <f t="shared" si="589"/>
        <v>1.2312292116366591E-3</v>
      </c>
      <c r="CK243" s="196">
        <f t="shared" si="684"/>
        <v>92389.271217161542</v>
      </c>
      <c r="CL243" s="589">
        <f t="shared" si="591"/>
        <v>1.3281147774090185E-3</v>
      </c>
      <c r="CM243" s="196">
        <f t="shared" si="685"/>
        <v>8950.229286104146</v>
      </c>
      <c r="CN243" s="589">
        <f t="shared" si="593"/>
        <v>1.28982975636016E-3</v>
      </c>
      <c r="CO243" s="196">
        <f t="shared" si="686"/>
        <v>716.04962850836478</v>
      </c>
      <c r="CP243" s="589">
        <f t="shared" si="595"/>
        <v>1.3503593074199831E-3</v>
      </c>
      <c r="CQ243" s="196">
        <f>'Detailed Budget'!$AC$12</f>
        <v>292876014141.44696</v>
      </c>
      <c r="CR243" s="269">
        <f t="shared" si="669"/>
        <v>1200554634.9732933</v>
      </c>
      <c r="CS243" s="269">
        <f>'Detailed Budget'!$AC$16</f>
        <v>10488008800.000002</v>
      </c>
      <c r="CT243" s="607">
        <f t="shared" si="696"/>
        <v>42992343.271013513</v>
      </c>
      <c r="CU243" s="269">
        <f>'Detailed Budget'!$AC$24</f>
        <v>30624985696</v>
      </c>
      <c r="CV243" s="269">
        <f t="shared" si="612"/>
        <v>125537656.714922</v>
      </c>
      <c r="CW243" s="269"/>
      <c r="CX243" s="269">
        <f t="shared" si="596"/>
        <v>1369084634.9592288</v>
      </c>
      <c r="CY243" s="196">
        <f>'Detailed Budget'!$AC$97</f>
        <v>74629165494.837845</v>
      </c>
      <c r="CZ243" s="269">
        <f t="shared" si="697"/>
        <v>0</v>
      </c>
      <c r="DA243" s="269">
        <f>'Detailed Budget'!$AC$100</f>
        <v>14925833098.967569</v>
      </c>
      <c r="DB243" s="269">
        <f t="shared" si="698"/>
        <v>0</v>
      </c>
      <c r="DC243" s="269">
        <f t="shared" si="560"/>
        <v>0</v>
      </c>
      <c r="DD243" s="207">
        <v>0</v>
      </c>
      <c r="DE243" s="606">
        <v>0</v>
      </c>
      <c r="DF243" s="269">
        <f>'Detailed Budget'!$AC$147</f>
        <v>5913600671000</v>
      </c>
      <c r="DG243" s="269">
        <f t="shared" si="607"/>
        <v>0</v>
      </c>
      <c r="DH243" s="269">
        <f>'Detailed Budget'!$AC$153</f>
        <v>226428026880.00003</v>
      </c>
      <c r="DI243" s="269"/>
      <c r="DJ243" s="269">
        <f>'Detailed Budget'!$AC$156</f>
        <v>27713070000</v>
      </c>
      <c r="DK243" s="269"/>
      <c r="DL243" s="269"/>
      <c r="DM243" s="196">
        <f>'Detailed Budget'!$AC$178</f>
        <v>5622683761.6229038</v>
      </c>
      <c r="DN243" s="269">
        <f t="shared" si="687"/>
        <v>0</v>
      </c>
      <c r="DO243" s="196">
        <f>'Detailed Budget'!$AC$179</f>
        <v>26827890683.128094</v>
      </c>
      <c r="DP243" s="269">
        <f t="shared" si="688"/>
        <v>0</v>
      </c>
      <c r="DQ243" s="269">
        <f t="shared" si="625"/>
        <v>0</v>
      </c>
      <c r="DR243" s="269">
        <f>'Detailed Budget'!$AC$181</f>
        <v>50888946855.375237</v>
      </c>
      <c r="DS243" s="269">
        <f t="shared" si="689"/>
        <v>0</v>
      </c>
      <c r="DT243" s="269">
        <f t="shared" si="690"/>
        <v>0</v>
      </c>
      <c r="DU243" s="272">
        <f>'Detailed Budget'!$AC$192</f>
        <v>77498869683.252869</v>
      </c>
      <c r="DV243" s="269">
        <f t="shared" si="699"/>
        <v>116151291.92909408</v>
      </c>
      <c r="DW243" s="140">
        <f>'Detailed Budget'!$AC$194</f>
        <v>2684962805.4134097</v>
      </c>
      <c r="DX243" s="269">
        <f t="shared" si="700"/>
        <v>4024083.1886316431</v>
      </c>
      <c r="DY243" s="607">
        <f t="shared" si="561"/>
        <v>120175375.11772572</v>
      </c>
      <c r="DZ243" s="196">
        <f>'Detailed Budget'!$AC$198</f>
        <v>18732540018.380611</v>
      </c>
      <c r="EA243" s="269">
        <f t="shared" si="672"/>
        <v>42862841.764829829</v>
      </c>
      <c r="EB243" s="196">
        <f>'Detailed Budget'!$AC$200</f>
        <v>4683135004.5951529</v>
      </c>
      <c r="EC243" s="269">
        <f t="shared" si="701"/>
        <v>10715710.441207457</v>
      </c>
      <c r="ED243" s="269">
        <f t="shared" si="563"/>
        <v>53578552.206037283</v>
      </c>
      <c r="EE243" s="196">
        <f>'Detailed Budget'!$AC$161</f>
        <v>251147290106.36197</v>
      </c>
      <c r="EF243" s="269">
        <f t="shared" si="702"/>
        <v>376406550.56739056</v>
      </c>
      <c r="EG243" s="196">
        <f>'Detailed Budget'!$AC$163</f>
        <v>15696705631.647623</v>
      </c>
      <c r="EH243" s="269">
        <f t="shared" si="703"/>
        <v>23525409.41046191</v>
      </c>
      <c r="EI243" s="269">
        <f t="shared" si="564"/>
        <v>399931959.97785246</v>
      </c>
      <c r="EJ243" s="196">
        <f>'Detailed Budget'!$AC$204</f>
        <v>45012172507.531975</v>
      </c>
      <c r="EK243" s="269">
        <f t="shared" si="704"/>
        <v>55420301.670501895</v>
      </c>
      <c r="EL243" s="201">
        <f>'Detailed Budget'!$AC$206</f>
        <v>11253043126.882994</v>
      </c>
      <c r="EM243" s="269">
        <f t="shared" si="705"/>
        <v>13855075.417625474</v>
      </c>
      <c r="EN243" s="269">
        <f t="shared" si="565"/>
        <v>69275377.088127375</v>
      </c>
      <c r="EO243" s="140">
        <f>'Detailed Budget'!$AC$209</f>
        <v>135789361677.54817</v>
      </c>
      <c r="EP243" s="269">
        <f t="shared" si="706"/>
        <v>180343857.85888961</v>
      </c>
      <c r="EQ243" s="196">
        <f>'Detailed Budget'!$AC$211</f>
        <v>33947340419.387043</v>
      </c>
      <c r="ER243" s="269">
        <f t="shared" si="707"/>
        <v>45085964.464722402</v>
      </c>
      <c r="ES243" s="269">
        <f t="shared" si="566"/>
        <v>225429822.323612</v>
      </c>
      <c r="ET243" s="196">
        <f>'Detailed Budget'!$AC$214</f>
        <v>22239745544.201103</v>
      </c>
      <c r="EU243" s="269">
        <f t="shared" si="708"/>
        <v>28685485.576788861</v>
      </c>
      <c r="EV243" s="140">
        <f>'Detailed Budget'!$AC$217</f>
        <v>5559936386.0502758</v>
      </c>
      <c r="EW243" s="269">
        <f t="shared" si="709"/>
        <v>7171371.3941972153</v>
      </c>
      <c r="EX243" s="269">
        <f t="shared" si="567"/>
        <v>35856856.970986076</v>
      </c>
      <c r="EY243" s="196">
        <f>'Detailed Budget'!$AC$219</f>
        <v>372777004.58170313</v>
      </c>
      <c r="EZ243" s="269">
        <f t="shared" si="710"/>
        <v>503382.89772904449</v>
      </c>
      <c r="FA243" s="196">
        <f>'Detailed Budget'!$AC$222</f>
        <v>93194251.145425782</v>
      </c>
      <c r="FB243" s="269">
        <f t="shared" si="711"/>
        <v>125845.72443226112</v>
      </c>
      <c r="FC243" s="269">
        <f t="shared" si="568"/>
        <v>629228.62216130563</v>
      </c>
      <c r="FD243" s="269"/>
      <c r="FE243" s="269">
        <f t="shared" si="569"/>
        <v>331191285.00488675</v>
      </c>
      <c r="FF243" s="140">
        <f>'Detailed Budget'!$AC$165</f>
        <v>14927760000</v>
      </c>
      <c r="FG243" s="1087">
        <f t="shared" si="608"/>
        <v>451766835.57404166</v>
      </c>
      <c r="FH243" s="269">
        <f t="shared" si="648"/>
        <v>18657579.820474949</v>
      </c>
      <c r="FJ243" s="140">
        <f>'Detailed Budget'!$AC$235</f>
        <v>3623696172</v>
      </c>
      <c r="FK243" s="269">
        <f t="shared" si="673"/>
        <v>4681778</v>
      </c>
      <c r="FL243" s="269">
        <f t="shared" si="609"/>
        <v>4681778</v>
      </c>
      <c r="FO243" s="607"/>
      <c r="FP243" s="607"/>
      <c r="FQ243" s="607"/>
      <c r="FR243" s="269">
        <f>'Detailed Budget'!$AC$257</f>
        <v>13636439388</v>
      </c>
      <c r="FS243" s="269">
        <f t="shared" si="674"/>
        <v>36975432</v>
      </c>
      <c r="FT243" s="269">
        <f t="shared" si="610"/>
        <v>36975432</v>
      </c>
      <c r="FU243" s="269"/>
      <c r="FV243" s="269"/>
      <c r="FW243" s="616"/>
      <c r="FX243" s="140">
        <f>'Detailed Budget'!$AC$278</f>
        <v>1114560000</v>
      </c>
      <c r="FY243" s="269">
        <f t="shared" si="675"/>
        <v>1440000</v>
      </c>
      <c r="FZ243" s="269">
        <f t="shared" si="611"/>
        <v>1440000</v>
      </c>
      <c r="GB243" s="269">
        <f t="shared" si="619"/>
        <v>2787483432.6602478</v>
      </c>
      <c r="GC243" s="887">
        <f t="shared" si="574"/>
        <v>1742177.1454126548</v>
      </c>
      <c r="GD243" s="1078">
        <f t="shared" si="620"/>
        <v>1.5641447294184692E-3</v>
      </c>
    </row>
    <row r="244" spans="1:186" hidden="1" outlineLevel="1">
      <c r="A244" s="211" t="s">
        <v>646</v>
      </c>
      <c r="B244" s="212" t="s">
        <v>647</v>
      </c>
      <c r="C244" s="213" t="s">
        <v>215</v>
      </c>
      <c r="D244" s="214"/>
      <c r="E244" s="213"/>
      <c r="F244" s="213"/>
      <c r="G244" s="213" t="s">
        <v>215</v>
      </c>
      <c r="H244" s="213" t="s">
        <v>215</v>
      </c>
      <c r="I244" s="214" t="s">
        <v>215</v>
      </c>
      <c r="J244" s="214"/>
      <c r="K244" s="213" t="s">
        <v>215</v>
      </c>
      <c r="L244" s="213"/>
      <c r="M244" s="214"/>
      <c r="N244" s="213"/>
      <c r="O244" s="214"/>
      <c r="P244" s="213"/>
      <c r="Q244" s="214"/>
      <c r="R244" s="214" t="s">
        <v>215</v>
      </c>
      <c r="S244" s="214"/>
      <c r="T244" s="214"/>
      <c r="U244" s="215">
        <f t="shared" si="676"/>
        <v>6</v>
      </c>
      <c r="V244" s="845" t="s">
        <v>216</v>
      </c>
      <c r="W244" s="216">
        <v>134576</v>
      </c>
      <c r="X244" s="217">
        <v>2.91</v>
      </c>
      <c r="Y244" s="218">
        <f t="shared" si="640"/>
        <v>1.0290999999999999</v>
      </c>
      <c r="Z244" s="196">
        <v>19</v>
      </c>
      <c r="AA244" s="218">
        <f t="shared" si="641"/>
        <v>1.7246222540408234</v>
      </c>
      <c r="AB244" s="196">
        <f t="shared" si="642"/>
        <v>232092.76445979785</v>
      </c>
      <c r="AC244">
        <v>18.7</v>
      </c>
      <c r="AD244" s="196">
        <f t="shared" si="643"/>
        <v>43401.346953982196</v>
      </c>
      <c r="AE244" s="196">
        <f t="shared" si="644"/>
        <v>41231.279606283082</v>
      </c>
      <c r="AF244" s="196">
        <f t="shared" si="677"/>
        <v>0</v>
      </c>
      <c r="AG244" s="606">
        <f t="shared" si="577"/>
        <v>1.9063533602854457E-3</v>
      </c>
      <c r="AH244" s="196">
        <f t="shared" si="691"/>
        <v>11604.638222989894</v>
      </c>
      <c r="AI244" s="248">
        <f t="shared" si="552"/>
        <v>8.989937403907041E-4</v>
      </c>
      <c r="AJ244" s="196">
        <f t="shared" si="578"/>
        <v>55005.985176972092</v>
      </c>
      <c r="AK244" s="196">
        <f t="shared" si="605"/>
        <v>9283.7105783919142</v>
      </c>
      <c r="AL244" s="196">
        <f t="shared" si="606"/>
        <v>9283.7105783919142</v>
      </c>
      <c r="AM244" s="196">
        <f t="shared" si="553"/>
        <v>18567.421156783828</v>
      </c>
      <c r="AN244" s="627">
        <f t="shared" si="554"/>
        <v>8.9899374039070399E-4</v>
      </c>
      <c r="AO244" s="196">
        <f t="shared" si="555"/>
        <v>8819.5250494723186</v>
      </c>
      <c r="AP244" s="589">
        <f t="shared" si="579"/>
        <v>8.9899374039070399E-4</v>
      </c>
      <c r="AQ244" s="196"/>
      <c r="AR244" s="589"/>
      <c r="AS244">
        <v>1</v>
      </c>
      <c r="AT244" s="589">
        <f t="shared" si="580"/>
        <v>1.2919896640826874E-3</v>
      </c>
      <c r="AU244" s="196">
        <v>11</v>
      </c>
      <c r="AV244" s="245">
        <f t="shared" si="556"/>
        <v>1.2498579706851495E-3</v>
      </c>
      <c r="AX244" s="245"/>
      <c r="AY244" s="245"/>
      <c r="AZ244" s="196">
        <v>58</v>
      </c>
      <c r="BA244" s="589">
        <f t="shared" si="613"/>
        <v>2.1252427540214723E-3</v>
      </c>
      <c r="BI244" s="196">
        <v>1</v>
      </c>
      <c r="BJ244" s="196">
        <f t="shared" si="678"/>
        <v>128940.44424785195</v>
      </c>
      <c r="BK244" s="246">
        <f t="shared" si="614"/>
        <v>2.4588164771153121E-3</v>
      </c>
      <c r="BL244" s="196">
        <f t="shared" si="692"/>
        <v>2578.808884957039</v>
      </c>
      <c r="BM244" s="246">
        <f t="shared" si="615"/>
        <v>2.4588161957864638E-3</v>
      </c>
      <c r="BN244" s="196">
        <v>0</v>
      </c>
      <c r="BO244" s="196">
        <f t="shared" si="679"/>
        <v>20847.320340568644</v>
      </c>
      <c r="BP244" s="196">
        <f t="shared" si="582"/>
        <v>0</v>
      </c>
      <c r="BQ244" s="248">
        <f t="shared" si="616"/>
        <v>0</v>
      </c>
      <c r="BR244" s="248"/>
      <c r="BS244" s="248"/>
      <c r="BT244" s="276">
        <v>0</v>
      </c>
      <c r="BU244" s="196">
        <f t="shared" si="693"/>
        <v>0</v>
      </c>
      <c r="BV244" s="264">
        <f t="shared" si="617"/>
        <v>0</v>
      </c>
      <c r="BW244" s="196">
        <f t="shared" si="694"/>
        <v>0</v>
      </c>
      <c r="BX244" s="247">
        <f t="shared" si="618"/>
        <v>0</v>
      </c>
      <c r="BY244" s="196">
        <f t="shared" si="639"/>
        <v>0</v>
      </c>
      <c r="BZ244" s="620">
        <v>1</v>
      </c>
      <c r="CA244" s="196">
        <f t="shared" si="680"/>
        <v>71020.385924698145</v>
      </c>
      <c r="CB244" s="196">
        <f t="shared" si="681"/>
        <v>142040.77184939629</v>
      </c>
      <c r="CC244" s="196">
        <f t="shared" si="585"/>
        <v>213061.15777409443</v>
      </c>
      <c r="CD244" s="247">
        <f t="shared" si="557"/>
        <v>8.9899374039070399E-4</v>
      </c>
      <c r="CE244" s="196">
        <f t="shared" si="682"/>
        <v>31783.254638922157</v>
      </c>
      <c r="CF244" s="247">
        <f t="shared" si="558"/>
        <v>1.3724997795036792E-3</v>
      </c>
      <c r="CG244" s="196">
        <f t="shared" si="695"/>
        <v>35278.100197889275</v>
      </c>
      <c r="CH244" s="589">
        <f t="shared" si="587"/>
        <v>8.9899374039070399E-4</v>
      </c>
      <c r="CI244" s="196">
        <f t="shared" si="683"/>
        <v>44922.628136408021</v>
      </c>
      <c r="CJ244" s="248">
        <f t="shared" si="589"/>
        <v>7.3852789253384121E-4</v>
      </c>
      <c r="CK244" s="196">
        <f t="shared" si="684"/>
        <v>55417.832130580864</v>
      </c>
      <c r="CL244" s="589">
        <f t="shared" si="591"/>
        <v>7.9664273583884631E-4</v>
      </c>
      <c r="CM244" s="196">
        <f t="shared" si="685"/>
        <v>5368.6136666417869</v>
      </c>
      <c r="CN244" s="589">
        <f t="shared" si="593"/>
        <v>7.7367824178396424E-4</v>
      </c>
      <c r="CO244" s="196">
        <f t="shared" si="686"/>
        <v>429.50785937653694</v>
      </c>
      <c r="CP244" s="589">
        <f t="shared" si="595"/>
        <v>8.0998566639486024E-4</v>
      </c>
      <c r="CQ244" s="196">
        <f>'Detailed Budget'!$AC$12</f>
        <v>292876014141.44696</v>
      </c>
      <c r="CR244" s="269">
        <f t="shared" si="669"/>
        <v>720128369.32284689</v>
      </c>
      <c r="CS244" s="269">
        <f>'Detailed Budget'!$AC$16</f>
        <v>10488008800.000002</v>
      </c>
      <c r="CT244" s="607">
        <f t="shared" si="696"/>
        <v>25788085.898990959</v>
      </c>
      <c r="CU244" s="269">
        <f>'Detailed Budget'!$AC$24</f>
        <v>30624985696</v>
      </c>
      <c r="CV244" s="269">
        <f t="shared" si="612"/>
        <v>75301219.440745547</v>
      </c>
      <c r="CW244" s="269"/>
      <c r="CX244" s="269">
        <f t="shared" si="596"/>
        <v>821217674.66258347</v>
      </c>
      <c r="CY244" s="196">
        <f>'Detailed Budget'!$AC$97</f>
        <v>74629165494.837845</v>
      </c>
      <c r="CZ244" s="269">
        <f t="shared" si="697"/>
        <v>0</v>
      </c>
      <c r="DA244" s="269">
        <f>'Detailed Budget'!$AC$100</f>
        <v>14925833098.967569</v>
      </c>
      <c r="DB244" s="269">
        <f t="shared" si="698"/>
        <v>0</v>
      </c>
      <c r="DC244" s="269">
        <f t="shared" si="560"/>
        <v>0</v>
      </c>
      <c r="DD244" s="207">
        <v>0</v>
      </c>
      <c r="DE244" s="606">
        <v>0</v>
      </c>
      <c r="DF244" s="269">
        <f>'Detailed Budget'!$AC$147</f>
        <v>5913600671000</v>
      </c>
      <c r="DG244" s="269">
        <f t="shared" si="607"/>
        <v>0</v>
      </c>
      <c r="DH244" s="269">
        <f>'Detailed Budget'!$AC$153</f>
        <v>226428026880.00003</v>
      </c>
      <c r="DI244" s="269"/>
      <c r="DJ244" s="269">
        <f>'Detailed Budget'!$AC$156</f>
        <v>27713070000</v>
      </c>
      <c r="DK244" s="269"/>
      <c r="DL244" s="269"/>
      <c r="DM244" s="196">
        <f>'Detailed Budget'!$AC$178</f>
        <v>5622683761.6229038</v>
      </c>
      <c r="DN244" s="269">
        <f t="shared" si="687"/>
        <v>0</v>
      </c>
      <c r="DO244" s="196">
        <f>'Detailed Budget'!$AC$179</f>
        <v>26827890683.128094</v>
      </c>
      <c r="DP244" s="269">
        <f t="shared" si="688"/>
        <v>0</v>
      </c>
      <c r="DQ244" s="269">
        <f t="shared" si="625"/>
        <v>0</v>
      </c>
      <c r="DR244" s="269">
        <f>'Detailed Budget'!$AC$181</f>
        <v>50888946855.375237</v>
      </c>
      <c r="DS244" s="269">
        <f t="shared" si="689"/>
        <v>0</v>
      </c>
      <c r="DT244" s="269">
        <f t="shared" si="690"/>
        <v>0</v>
      </c>
      <c r="DU244" s="272">
        <f>'Detailed Budget'!$AC$192</f>
        <v>77498869683.252869</v>
      </c>
      <c r="DV244" s="269">
        <f t="shared" si="699"/>
        <v>69670998.732599229</v>
      </c>
      <c r="DW244" s="140">
        <f>'Detailed Budget'!$AC$194</f>
        <v>2684962805.4134097</v>
      </c>
      <c r="DX244" s="269">
        <f t="shared" si="700"/>
        <v>2413764.7552485191</v>
      </c>
      <c r="DY244" s="607">
        <f t="shared" si="561"/>
        <v>72084763.487847745</v>
      </c>
      <c r="DZ244" s="196">
        <f>'Detailed Budget'!$AC$198</f>
        <v>18732540018.380611</v>
      </c>
      <c r="EA244" s="269">
        <f t="shared" si="672"/>
        <v>25710407.044771235</v>
      </c>
      <c r="EB244" s="196">
        <f>'Detailed Budget'!$AC$200</f>
        <v>4683135004.5951529</v>
      </c>
      <c r="EC244" s="269">
        <f t="shared" si="701"/>
        <v>6427601.7611928089</v>
      </c>
      <c r="ED244" s="269">
        <f t="shared" si="563"/>
        <v>32138008.805964045</v>
      </c>
      <c r="EE244" s="196">
        <f>'Detailed Budget'!$AC$161</f>
        <v>251147290106.36197</v>
      </c>
      <c r="EF244" s="269">
        <f t="shared" si="702"/>
        <v>225779841.72170758</v>
      </c>
      <c r="EG244" s="196">
        <f>'Detailed Budget'!$AC$163</f>
        <v>15696705631.647623</v>
      </c>
      <c r="EH244" s="269">
        <f t="shared" si="703"/>
        <v>14111240.107606724</v>
      </c>
      <c r="EI244" s="269">
        <f t="shared" si="564"/>
        <v>239891081.82931429</v>
      </c>
      <c r="EJ244" s="196">
        <f>'Detailed Budget'!$AC$204</f>
        <v>45012172507.531975</v>
      </c>
      <c r="EK244" s="269">
        <f t="shared" si="704"/>
        <v>33242744.900357295</v>
      </c>
      <c r="EL244" s="201">
        <f>'Detailed Budget'!$AC$206</f>
        <v>11253043126.882994</v>
      </c>
      <c r="EM244" s="269">
        <f t="shared" si="705"/>
        <v>8310686.2250893237</v>
      </c>
      <c r="EN244" s="269">
        <f t="shared" si="565"/>
        <v>41553431.125446618</v>
      </c>
      <c r="EO244" s="140">
        <f>'Detailed Budget'!$AC$209</f>
        <v>135789361677.54817</v>
      </c>
      <c r="EP244" s="269">
        <f t="shared" si="706"/>
        <v>108175608.58461256</v>
      </c>
      <c r="EQ244" s="196">
        <f>'Detailed Budget'!$AC$211</f>
        <v>33947340419.387043</v>
      </c>
      <c r="ER244" s="269">
        <f t="shared" si="707"/>
        <v>27043902.146153141</v>
      </c>
      <c r="ES244" s="269">
        <f t="shared" si="566"/>
        <v>135219510.7307657</v>
      </c>
      <c r="ET244" s="196">
        <f>'Detailed Budget'!$AC$214</f>
        <v>22239745544.201103</v>
      </c>
      <c r="EU244" s="269">
        <f t="shared" si="708"/>
        <v>17206407.230360262</v>
      </c>
      <c r="EV244" s="140">
        <f>'Detailed Budget'!$AC$217</f>
        <v>5559936386.0502758</v>
      </c>
      <c r="EW244" s="269">
        <f t="shared" si="709"/>
        <v>4301601.8075900655</v>
      </c>
      <c r="EX244" s="269">
        <f t="shared" si="567"/>
        <v>21508009.037950329</v>
      </c>
      <c r="EY244" s="196">
        <f>'Detailed Budget'!$AC$219</f>
        <v>372777004.58170313</v>
      </c>
      <c r="EZ244" s="269">
        <f t="shared" si="710"/>
        <v>301944.03047279065</v>
      </c>
      <c r="FA244" s="196">
        <f>'Detailed Budget'!$AC$222</f>
        <v>93194251.145425782</v>
      </c>
      <c r="FB244" s="269">
        <f t="shared" si="711"/>
        <v>75486.007618197662</v>
      </c>
      <c r="FC244" s="269">
        <f t="shared" si="568"/>
        <v>377430.0380909883</v>
      </c>
      <c r="FD244" s="269"/>
      <c r="FE244" s="269">
        <f t="shared" si="569"/>
        <v>198658380.93225363</v>
      </c>
      <c r="FF244" s="140">
        <f>'Detailed Budget'!$AC$165</f>
        <v>14927760000</v>
      </c>
      <c r="FG244" s="1087">
        <f t="shared" si="608"/>
        <v>270983181.55534357</v>
      </c>
      <c r="FH244" s="269">
        <f t="shared" si="648"/>
        <v>18657579.820474949</v>
      </c>
      <c r="FJ244" s="140">
        <f>'Detailed Budget'!$AC$235</f>
        <v>3623696172</v>
      </c>
      <c r="FK244" s="269">
        <f t="shared" si="673"/>
        <v>4681778</v>
      </c>
      <c r="FL244" s="269">
        <f t="shared" si="609"/>
        <v>4681778</v>
      </c>
      <c r="FO244" s="607"/>
      <c r="FP244" s="607"/>
      <c r="FQ244" s="607"/>
      <c r="FR244" s="269">
        <f>'Detailed Budget'!$AC$257</f>
        <v>13636439388</v>
      </c>
      <c r="FS244" s="269">
        <f t="shared" si="674"/>
        <v>28980744</v>
      </c>
      <c r="FT244" s="269">
        <f t="shared" si="610"/>
        <v>28980744</v>
      </c>
      <c r="FU244" s="269"/>
      <c r="FV244" s="269"/>
      <c r="FW244" s="616"/>
      <c r="FX244" s="140">
        <f>'Detailed Budget'!$AC$278</f>
        <v>1114560000</v>
      </c>
      <c r="FY244" s="269">
        <f t="shared" si="675"/>
        <v>1440000</v>
      </c>
      <c r="FZ244" s="269">
        <f t="shared" si="611"/>
        <v>1440000</v>
      </c>
      <c r="GB244" s="269">
        <f t="shared" si="619"/>
        <v>1688733193.0937815</v>
      </c>
      <c r="GC244" s="887">
        <f t="shared" si="574"/>
        <v>1055458.2456836135</v>
      </c>
      <c r="GD244" s="1078">
        <f t="shared" si="620"/>
        <v>9.4760137133830631E-4</v>
      </c>
    </row>
    <row r="245" spans="1:186" hidden="1" outlineLevel="1">
      <c r="A245" s="211" t="s">
        <v>648</v>
      </c>
      <c r="B245" s="212" t="s">
        <v>649</v>
      </c>
      <c r="C245" s="213" t="s">
        <v>215</v>
      </c>
      <c r="D245" s="214"/>
      <c r="E245" s="213"/>
      <c r="F245" s="213"/>
      <c r="G245" s="213" t="s">
        <v>215</v>
      </c>
      <c r="H245" s="213" t="s">
        <v>215</v>
      </c>
      <c r="I245" s="214" t="s">
        <v>215</v>
      </c>
      <c r="J245" s="214"/>
      <c r="K245" s="213" t="s">
        <v>215</v>
      </c>
      <c r="L245" s="213"/>
      <c r="M245" s="214"/>
      <c r="N245" s="213"/>
      <c r="O245" s="214"/>
      <c r="P245" s="213"/>
      <c r="Q245" s="214"/>
      <c r="R245" s="214" t="s">
        <v>215</v>
      </c>
      <c r="S245" s="214"/>
      <c r="T245" s="214"/>
      <c r="U245" s="215">
        <f t="shared" si="676"/>
        <v>6</v>
      </c>
      <c r="V245" s="845" t="s">
        <v>216</v>
      </c>
      <c r="W245" s="216">
        <v>90889</v>
      </c>
      <c r="X245" s="217">
        <v>2.91</v>
      </c>
      <c r="Y245" s="218">
        <f t="shared" si="640"/>
        <v>1.0290999999999999</v>
      </c>
      <c r="Z245" s="196">
        <v>19</v>
      </c>
      <c r="AA245" s="218">
        <f t="shared" si="641"/>
        <v>1.7246222540408234</v>
      </c>
      <c r="AB245" s="196">
        <f t="shared" ref="AB245:AB268" si="712">W245*AA245</f>
        <v>156749.19204751641</v>
      </c>
      <c r="AC245">
        <v>18.7</v>
      </c>
      <c r="AD245" s="196">
        <f t="shared" ref="AD245:AD268" si="713">AB245*AC245/100</f>
        <v>29312.098912885565</v>
      </c>
      <c r="AE245" s="196">
        <f t="shared" si="644"/>
        <v>27846.493967241287</v>
      </c>
      <c r="AF245" s="196">
        <f t="shared" si="677"/>
        <v>0</v>
      </c>
      <c r="AG245" s="606">
        <f t="shared" si="577"/>
        <v>1.2874996326461175E-3</v>
      </c>
      <c r="AH245" s="196">
        <f t="shared" si="691"/>
        <v>7837.4596023758204</v>
      </c>
      <c r="AI245" s="248">
        <f t="shared" si="552"/>
        <v>6.0715612048486132E-4</v>
      </c>
      <c r="AJ245" s="196">
        <f t="shared" si="578"/>
        <v>37149.558515261386</v>
      </c>
      <c r="AK245" s="196">
        <f t="shared" si="605"/>
        <v>6269.9676819006563</v>
      </c>
      <c r="AL245" s="196">
        <f t="shared" si="606"/>
        <v>6269.9676819006563</v>
      </c>
      <c r="AM245" s="196">
        <f t="shared" si="553"/>
        <v>12539.935363801313</v>
      </c>
      <c r="AN245" s="627">
        <f t="shared" si="554"/>
        <v>6.0715612048486132E-4</v>
      </c>
      <c r="AO245" s="196">
        <f t="shared" si="555"/>
        <v>5956.4692978056237</v>
      </c>
      <c r="AP245" s="589">
        <f t="shared" si="579"/>
        <v>6.0715612048486132E-4</v>
      </c>
      <c r="AQ245" s="196"/>
      <c r="AR245" s="589"/>
      <c r="AS245">
        <v>1</v>
      </c>
      <c r="AT245" s="589">
        <f t="shared" si="580"/>
        <v>1.2919896640826874E-3</v>
      </c>
      <c r="AU245" s="196">
        <v>11</v>
      </c>
      <c r="AV245" s="245">
        <f t="shared" si="556"/>
        <v>1.2498579706851495E-3</v>
      </c>
      <c r="AX245" s="245"/>
      <c r="AY245" s="245"/>
      <c r="AZ245" s="196">
        <v>45</v>
      </c>
      <c r="BA245" s="589">
        <f t="shared" si="613"/>
        <v>1.6488952401890733E-3</v>
      </c>
      <c r="BI245" s="196">
        <v>1</v>
      </c>
      <c r="BJ245" s="196">
        <f t="shared" si="678"/>
        <v>87082.897673010171</v>
      </c>
      <c r="BK245" s="246">
        <f t="shared" si="614"/>
        <v>1.6606183181884853E-3</v>
      </c>
      <c r="BL245" s="196">
        <f t="shared" si="692"/>
        <v>1741.6579534602033</v>
      </c>
      <c r="BM245" s="246">
        <f t="shared" si="615"/>
        <v>1.6606181281865705E-3</v>
      </c>
      <c r="BN245" s="196">
        <v>0</v>
      </c>
      <c r="BO245" s="196">
        <f t="shared" si="679"/>
        <v>14079.717768650751</v>
      </c>
      <c r="BP245" s="196">
        <f t="shared" si="582"/>
        <v>0</v>
      </c>
      <c r="BQ245" s="248">
        <f t="shared" si="616"/>
        <v>0</v>
      </c>
      <c r="BR245" s="248"/>
      <c r="BS245" s="248"/>
      <c r="BT245" s="276">
        <v>0</v>
      </c>
      <c r="BU245" s="196">
        <f t="shared" si="693"/>
        <v>0</v>
      </c>
      <c r="BV245" s="264">
        <f t="shared" si="617"/>
        <v>0</v>
      </c>
      <c r="BW245" s="196">
        <f t="shared" si="694"/>
        <v>0</v>
      </c>
      <c r="BX245" s="247">
        <f t="shared" si="618"/>
        <v>0</v>
      </c>
      <c r="BY245" s="196">
        <f t="shared" si="639"/>
        <v>0</v>
      </c>
      <c r="BZ245" s="620">
        <v>1</v>
      </c>
      <c r="CA245" s="196">
        <f t="shared" si="680"/>
        <v>47965.252766540019</v>
      </c>
      <c r="CB245" s="196">
        <f t="shared" si="681"/>
        <v>95930.505533080039</v>
      </c>
      <c r="CC245" s="196">
        <f t="shared" si="585"/>
        <v>143895.75829962007</v>
      </c>
      <c r="CD245" s="247">
        <f t="shared" si="557"/>
        <v>6.0715612048486132E-4</v>
      </c>
      <c r="CE245" s="196">
        <f t="shared" si="682"/>
        <v>21465.552779670936</v>
      </c>
      <c r="CF245" s="247">
        <f t="shared" si="558"/>
        <v>9.2694932572902962E-4</v>
      </c>
      <c r="CG245" s="196">
        <f t="shared" si="695"/>
        <v>23825.877191222495</v>
      </c>
      <c r="CH245" s="589">
        <f t="shared" si="587"/>
        <v>6.0715612048486132E-4</v>
      </c>
      <c r="CI245" s="196">
        <f t="shared" si="683"/>
        <v>30339.531184535048</v>
      </c>
      <c r="CJ245" s="248">
        <f t="shared" si="589"/>
        <v>4.9878181566184385E-4</v>
      </c>
      <c r="CK245" s="196">
        <f t="shared" si="684"/>
        <v>37427.708837507169</v>
      </c>
      <c r="CL245" s="589">
        <f t="shared" si="591"/>
        <v>5.3803101309042416E-4</v>
      </c>
      <c r="CM245" s="196">
        <f t="shared" si="685"/>
        <v>3625.8168436229748</v>
      </c>
      <c r="CN245" s="589">
        <f t="shared" si="593"/>
        <v>5.225214133092285E-4</v>
      </c>
      <c r="CO245" s="196">
        <f t="shared" si="686"/>
        <v>290.07802157051827</v>
      </c>
      <c r="CP245" s="589">
        <f t="shared" si="595"/>
        <v>5.4704246844134504E-4</v>
      </c>
      <c r="CQ245" s="196">
        <f>'Detailed Budget'!$AC$12</f>
        <v>292876014141.44696</v>
      </c>
      <c r="CR245" s="269">
        <f t="shared" si="669"/>
        <v>486355274.04131669</v>
      </c>
      <c r="CS245" s="269">
        <f>'Detailed Budget'!$AC$16</f>
        <v>10488008800.000002</v>
      </c>
      <c r="CT245" s="607">
        <f t="shared" si="696"/>
        <v>17416577.541860282</v>
      </c>
      <c r="CU245" s="269">
        <f>'Detailed Budget'!$AC$24</f>
        <v>30624985696</v>
      </c>
      <c r="CV245" s="269">
        <f t="shared" si="612"/>
        <v>50856412.241037942</v>
      </c>
      <c r="CW245" s="269"/>
      <c r="CX245" s="269">
        <f t="shared" si="596"/>
        <v>554628263.82421494</v>
      </c>
      <c r="CY245" s="196">
        <f>'Detailed Budget'!$AC$97</f>
        <v>74629165494.837845</v>
      </c>
      <c r="CZ245" s="269">
        <f t="shared" si="697"/>
        <v>0</v>
      </c>
      <c r="DA245" s="269">
        <f>'Detailed Budget'!$AC$100</f>
        <v>14925833098.967569</v>
      </c>
      <c r="DB245" s="269">
        <f t="shared" si="698"/>
        <v>0</v>
      </c>
      <c r="DC245" s="269">
        <f t="shared" si="560"/>
        <v>0</v>
      </c>
      <c r="DD245" s="207">
        <v>0</v>
      </c>
      <c r="DE245" s="606">
        <v>0</v>
      </c>
      <c r="DF245" s="269">
        <f>'Detailed Budget'!$AC$147</f>
        <v>5913600671000</v>
      </c>
      <c r="DG245" s="269">
        <f t="shared" si="607"/>
        <v>0</v>
      </c>
      <c r="DH245" s="269">
        <f>'Detailed Budget'!$AC$153</f>
        <v>226428026880.00003</v>
      </c>
      <c r="DI245" s="269"/>
      <c r="DJ245" s="269">
        <f>'Detailed Budget'!$AC$156</f>
        <v>27713070000</v>
      </c>
      <c r="DK245" s="269"/>
      <c r="DL245" s="269"/>
      <c r="DM245" s="196">
        <f>'Detailed Budget'!$AC$178</f>
        <v>5622683761.6229038</v>
      </c>
      <c r="DN245" s="269">
        <f t="shared" si="687"/>
        <v>0</v>
      </c>
      <c r="DO245" s="196">
        <f>'Detailed Budget'!$AC$179</f>
        <v>26827890683.128094</v>
      </c>
      <c r="DP245" s="269">
        <f t="shared" si="688"/>
        <v>0</v>
      </c>
      <c r="DQ245" s="269">
        <f t="shared" si="625"/>
        <v>0</v>
      </c>
      <c r="DR245" s="269">
        <f>'Detailed Budget'!$AC$181</f>
        <v>50888946855.375237</v>
      </c>
      <c r="DS245" s="269">
        <f t="shared" si="689"/>
        <v>0</v>
      </c>
      <c r="DT245" s="269">
        <f t="shared" si="690"/>
        <v>0</v>
      </c>
      <c r="DU245" s="272">
        <f>'Detailed Budget'!$AC$192</f>
        <v>77498869683.252869</v>
      </c>
      <c r="DV245" s="269">
        <f t="shared" si="699"/>
        <v>47053913.058845647</v>
      </c>
      <c r="DW245" s="140">
        <f>'Detailed Budget'!$AC$194</f>
        <v>2684962805.4134097</v>
      </c>
      <c r="DX245" s="269">
        <f t="shared" si="700"/>
        <v>1630191.6005809554</v>
      </c>
      <c r="DY245" s="607">
        <f t="shared" si="561"/>
        <v>48684104.6594266</v>
      </c>
      <c r="DZ245" s="196">
        <f>'Detailed Budget'!$AC$198</f>
        <v>18732540018.380611</v>
      </c>
      <c r="EA245" s="269">
        <f t="shared" si="672"/>
        <v>17364115.339229971</v>
      </c>
      <c r="EB245" s="196">
        <f>'Detailed Budget'!$AC$200</f>
        <v>4683135004.5951529</v>
      </c>
      <c r="EC245" s="269">
        <f t="shared" si="701"/>
        <v>4341028.8348074928</v>
      </c>
      <c r="ED245" s="269">
        <f t="shared" si="563"/>
        <v>21705144.174037464</v>
      </c>
      <c r="EE245" s="196">
        <f>'Detailed Budget'!$AC$161</f>
        <v>251147290106.36197</v>
      </c>
      <c r="EF245" s="269">
        <f t="shared" si="702"/>
        <v>152485614.33126473</v>
      </c>
      <c r="EG245" s="196">
        <f>'Detailed Budget'!$AC$163</f>
        <v>15696705631.647623</v>
      </c>
      <c r="EH245" s="269">
        <f t="shared" si="703"/>
        <v>9530350.8957040459</v>
      </c>
      <c r="EI245" s="269">
        <f t="shared" si="564"/>
        <v>162015965.22696877</v>
      </c>
      <c r="EJ245" s="196">
        <f>'Detailed Budget'!$AC$204</f>
        <v>45012172507.531975</v>
      </c>
      <c r="EK245" s="269">
        <f t="shared" si="704"/>
        <v>22451253.130190928</v>
      </c>
      <c r="EL245" s="201">
        <f>'Detailed Budget'!$AC$206</f>
        <v>11253043126.882994</v>
      </c>
      <c r="EM245" s="269">
        <f t="shared" si="705"/>
        <v>5612813.2825477319</v>
      </c>
      <c r="EN245" s="269">
        <f t="shared" si="565"/>
        <v>28064066.412738658</v>
      </c>
      <c r="EO245" s="140">
        <f>'Detailed Budget'!$AC$209</f>
        <v>135789361677.54817</v>
      </c>
      <c r="EP245" s="269">
        <f t="shared" si="706"/>
        <v>73058887.830273256</v>
      </c>
      <c r="EQ245" s="196">
        <f>'Detailed Budget'!$AC$211</f>
        <v>33947340419.387043</v>
      </c>
      <c r="ER245" s="269">
        <f t="shared" si="707"/>
        <v>18264721.957568314</v>
      </c>
      <c r="ES245" s="269">
        <f t="shared" si="566"/>
        <v>91323609.787841573</v>
      </c>
      <c r="ET245" s="196">
        <f>'Detailed Budget'!$AC$214</f>
        <v>22239745544.201103</v>
      </c>
      <c r="EU245" s="269">
        <f t="shared" si="708"/>
        <v>11620743.273393577</v>
      </c>
      <c r="EV245" s="140">
        <f>'Detailed Budget'!$AC$217</f>
        <v>5559936386.0502758</v>
      </c>
      <c r="EW245" s="269">
        <f t="shared" si="709"/>
        <v>2905185.8183483942</v>
      </c>
      <c r="EX245" s="269">
        <f t="shared" si="567"/>
        <v>14525929.091741972</v>
      </c>
      <c r="EY245" s="196">
        <f>'Detailed Budget'!$AC$219</f>
        <v>372777004.58170313</v>
      </c>
      <c r="EZ245" s="269">
        <f t="shared" si="710"/>
        <v>203924.85276454547</v>
      </c>
      <c r="FA245" s="196">
        <f>'Detailed Budget'!$AC$222</f>
        <v>93194251.145425782</v>
      </c>
      <c r="FB245" s="269">
        <f t="shared" si="711"/>
        <v>50981.213191136369</v>
      </c>
      <c r="FC245" s="269">
        <f t="shared" si="568"/>
        <v>254906.06595568184</v>
      </c>
      <c r="FD245" s="269"/>
      <c r="FE245" s="269">
        <f t="shared" si="569"/>
        <v>134168511.3582779</v>
      </c>
      <c r="FF245" s="140">
        <f>'Detailed Budget'!$AC$165</f>
        <v>14927760000</v>
      </c>
      <c r="FG245" s="1087">
        <f t="shared" si="608"/>
        <v>183014730.62346655</v>
      </c>
      <c r="FH245" s="269">
        <f t="shared" si="648"/>
        <v>18657579.820474949</v>
      </c>
      <c r="FJ245" s="140">
        <f>'Detailed Budget'!$AC$235</f>
        <v>3623696172</v>
      </c>
      <c r="FK245" s="269">
        <f t="shared" si="673"/>
        <v>4681778</v>
      </c>
      <c r="FL245" s="269">
        <f t="shared" si="609"/>
        <v>4681778</v>
      </c>
      <c r="FO245" s="607"/>
      <c r="FP245" s="607"/>
      <c r="FQ245" s="607"/>
      <c r="FR245" s="269">
        <f>'Detailed Budget'!$AC$257</f>
        <v>13636439388</v>
      </c>
      <c r="FS245" s="269">
        <f t="shared" si="674"/>
        <v>22485060</v>
      </c>
      <c r="FT245" s="269">
        <f t="shared" si="610"/>
        <v>22485060</v>
      </c>
      <c r="FU245" s="269"/>
      <c r="FV245" s="269"/>
      <c r="FW245" s="616"/>
      <c r="FX245" s="140">
        <f>'Detailed Budget'!$AC$278</f>
        <v>1114560000</v>
      </c>
      <c r="FY245" s="269">
        <f t="shared" si="675"/>
        <v>1440000</v>
      </c>
      <c r="FZ245" s="269">
        <f t="shared" si="611"/>
        <v>1440000</v>
      </c>
      <c r="GB245" s="269">
        <f t="shared" si="619"/>
        <v>1151481137.686867</v>
      </c>
      <c r="GC245" s="887">
        <f t="shared" si="574"/>
        <v>719675.71105429193</v>
      </c>
      <c r="GD245" s="1078">
        <f t="shared" si="620"/>
        <v>6.4613232546419964E-4</v>
      </c>
    </row>
    <row r="246" spans="1:186" hidden="1" outlineLevel="1">
      <c r="A246" s="211" t="s">
        <v>650</v>
      </c>
      <c r="B246" s="212" t="s">
        <v>651</v>
      </c>
      <c r="C246" s="213" t="s">
        <v>215</v>
      </c>
      <c r="D246" s="214" t="s">
        <v>215</v>
      </c>
      <c r="E246" s="213"/>
      <c r="F246" s="213"/>
      <c r="G246" s="213"/>
      <c r="H246" s="213" t="s">
        <v>215</v>
      </c>
      <c r="I246" s="214" t="s">
        <v>215</v>
      </c>
      <c r="J246" s="214"/>
      <c r="K246" s="213" t="s">
        <v>215</v>
      </c>
      <c r="L246" s="213"/>
      <c r="M246" s="214"/>
      <c r="N246" s="213"/>
      <c r="O246" s="214"/>
      <c r="P246" s="213"/>
      <c r="Q246" s="214"/>
      <c r="R246" s="214" t="s">
        <v>215</v>
      </c>
      <c r="S246" s="214"/>
      <c r="T246" s="214"/>
      <c r="U246" s="215">
        <f t="shared" si="676"/>
        <v>6</v>
      </c>
      <c r="V246" s="845" t="s">
        <v>219</v>
      </c>
      <c r="W246" s="216">
        <v>238283</v>
      </c>
      <c r="X246" s="217">
        <v>2.91</v>
      </c>
      <c r="Y246" s="218">
        <f t="shared" si="640"/>
        <v>1.0290999999999999</v>
      </c>
      <c r="Z246" s="196">
        <v>19</v>
      </c>
      <c r="AA246" s="218">
        <f t="shared" si="641"/>
        <v>1.7246222540408234</v>
      </c>
      <c r="AB246" s="196">
        <f t="shared" si="712"/>
        <v>410948.16455960949</v>
      </c>
      <c r="AC246">
        <v>18.7</v>
      </c>
      <c r="AD246" s="196">
        <f t="shared" si="713"/>
        <v>76847.306772646974</v>
      </c>
      <c r="AE246" s="196">
        <f t="shared" si="644"/>
        <v>73004.941434014618</v>
      </c>
      <c r="AF246" s="196">
        <f t="shared" si="677"/>
        <v>73004.941434014618</v>
      </c>
      <c r="AG246" s="606">
        <f t="shared" si="577"/>
        <v>3.3754279942106828E-3</v>
      </c>
      <c r="AH246" s="196">
        <f t="shared" si="691"/>
        <v>20547.408227980475</v>
      </c>
      <c r="AI246" s="248">
        <f t="shared" si="552"/>
        <v>1.5917765830572917E-3</v>
      </c>
      <c r="AJ246" s="196">
        <f t="shared" si="578"/>
        <v>97394.715000627446</v>
      </c>
      <c r="AK246" s="196">
        <f t="shared" si="605"/>
        <v>16437.926582384382</v>
      </c>
      <c r="AL246" s="196">
        <f t="shared" si="606"/>
        <v>16437.926582384382</v>
      </c>
      <c r="AM246" s="196">
        <f t="shared" si="553"/>
        <v>32875.853164768763</v>
      </c>
      <c r="AN246" s="627">
        <f t="shared" si="554"/>
        <v>1.5917765830572919E-3</v>
      </c>
      <c r="AO246" s="196">
        <f t="shared" si="555"/>
        <v>15616.03025326516</v>
      </c>
      <c r="AP246" s="589">
        <f t="shared" si="579"/>
        <v>1.5917765830572917E-3</v>
      </c>
      <c r="AQ246" s="196"/>
      <c r="AR246" s="589"/>
      <c r="AS246">
        <v>1</v>
      </c>
      <c r="AT246" s="589">
        <f t="shared" si="580"/>
        <v>1.2919896640826874E-3</v>
      </c>
      <c r="AU246" s="196">
        <v>10</v>
      </c>
      <c r="AV246" s="245">
        <f t="shared" si="556"/>
        <v>1.1362345188046814E-3</v>
      </c>
      <c r="AX246" s="245"/>
      <c r="AY246" s="245"/>
      <c r="AZ246" s="196">
        <v>74</v>
      </c>
      <c r="BA246" s="589">
        <f t="shared" si="613"/>
        <v>2.7115166171998097E-3</v>
      </c>
      <c r="BI246" s="196">
        <v>1</v>
      </c>
      <c r="BJ246" s="196">
        <f t="shared" si="678"/>
        <v>228304.57047847242</v>
      </c>
      <c r="BK246" s="246">
        <f t="shared" si="614"/>
        <v>4.3536304141635045E-3</v>
      </c>
      <c r="BL246" s="196">
        <f t="shared" si="692"/>
        <v>4566.0914095694488</v>
      </c>
      <c r="BM246" s="246">
        <f t="shared" si="615"/>
        <v>4.3536299160369307E-3</v>
      </c>
      <c r="BN246" s="196">
        <v>0</v>
      </c>
      <c r="BO246" s="196">
        <f t="shared" si="679"/>
        <v>36912.688984006942</v>
      </c>
      <c r="BP246" s="196">
        <f t="shared" si="582"/>
        <v>0</v>
      </c>
      <c r="BQ246" s="248">
        <f t="shared" si="616"/>
        <v>0</v>
      </c>
      <c r="BR246" s="248"/>
      <c r="BS246" s="248"/>
      <c r="BT246" s="276">
        <v>1</v>
      </c>
      <c r="BU246" s="196">
        <f t="shared" si="693"/>
        <v>60863.066963936406</v>
      </c>
      <c r="BV246" s="264">
        <f t="shared" si="617"/>
        <v>4.2215776088108756E-3</v>
      </c>
      <c r="BW246" s="196">
        <f t="shared" si="694"/>
        <v>260358.67534572797</v>
      </c>
      <c r="BX246" s="247">
        <f t="shared" si="618"/>
        <v>4.2215776468390084E-3</v>
      </c>
      <c r="BY246" s="196">
        <f t="shared" si="639"/>
        <v>321221.74230966438</v>
      </c>
      <c r="BZ246" s="620">
        <v>0</v>
      </c>
      <c r="CA246" s="196">
        <f t="shared" si="680"/>
        <v>125750.13835524052</v>
      </c>
      <c r="CB246" s="196">
        <f t="shared" si="681"/>
        <v>251500.27671048103</v>
      </c>
      <c r="CC246" s="196">
        <f t="shared" si="585"/>
        <v>377250.41506572155</v>
      </c>
      <c r="CD246" s="247">
        <f t="shared" si="557"/>
        <v>1.5917765830572919E-3</v>
      </c>
      <c r="CE246" s="196">
        <f t="shared" si="682"/>
        <v>56276.076455878363</v>
      </c>
      <c r="CF246" s="247">
        <f t="shared" si="558"/>
        <v>2.4301759969049094E-3</v>
      </c>
      <c r="CG246" s="196">
        <f t="shared" si="695"/>
        <v>62464.121013060641</v>
      </c>
      <c r="CH246" s="589">
        <f t="shared" si="587"/>
        <v>1.5917765830572917E-3</v>
      </c>
      <c r="CI246" s="196">
        <f t="shared" si="683"/>
        <v>79540.918144600175</v>
      </c>
      <c r="CJ246" s="248">
        <f t="shared" si="589"/>
        <v>1.307652492395682E-3</v>
      </c>
      <c r="CK246" s="196">
        <f t="shared" si="684"/>
        <v>98123.939584853186</v>
      </c>
      <c r="CL246" s="589">
        <f t="shared" si="591"/>
        <v>1.410551814765544E-3</v>
      </c>
      <c r="CM246" s="196">
        <f t="shared" si="685"/>
        <v>9505.7764410326145</v>
      </c>
      <c r="CN246" s="589">
        <f t="shared" si="593"/>
        <v>1.3698904149849036E-3</v>
      </c>
      <c r="CO246" s="196">
        <f t="shared" si="686"/>
        <v>760.49534282352988</v>
      </c>
      <c r="CP246" s="589">
        <f t="shared" si="595"/>
        <v>1.4341770787180961E-3</v>
      </c>
      <c r="CQ246" s="196">
        <f>'Detailed Budget'!$AC$12</f>
        <v>292876014141.44696</v>
      </c>
      <c r="CR246" s="269">
        <f t="shared" si="669"/>
        <v>1275073922.7451842</v>
      </c>
      <c r="CS246" s="269">
        <f>'Detailed Budget'!$AC$16</f>
        <v>10488008800.000002</v>
      </c>
      <c r="CT246" s="607">
        <f t="shared" si="696"/>
        <v>45660908.871338598</v>
      </c>
      <c r="CU246" s="269">
        <f>'Detailed Budget'!$AC$24</f>
        <v>30624985696</v>
      </c>
      <c r="CV246" s="269">
        <f t="shared" si="612"/>
        <v>133329869.15942788</v>
      </c>
      <c r="CW246" s="269"/>
      <c r="CX246" s="269">
        <f t="shared" si="596"/>
        <v>1454064700.7759507</v>
      </c>
      <c r="CY246" s="196">
        <f>'Detailed Budget'!$AC$97</f>
        <v>74629165494.837845</v>
      </c>
      <c r="CZ246" s="269">
        <f t="shared" si="697"/>
        <v>0</v>
      </c>
      <c r="DA246" s="269">
        <f>'Detailed Budget'!$AC$100</f>
        <v>14925833098.967569</v>
      </c>
      <c r="DB246" s="269">
        <f t="shared" si="698"/>
        <v>0</v>
      </c>
      <c r="DC246" s="269">
        <f t="shared" si="560"/>
        <v>0</v>
      </c>
      <c r="DD246" s="207">
        <v>0</v>
      </c>
      <c r="DE246" s="606">
        <v>0</v>
      </c>
      <c r="DF246" s="269">
        <f>'Detailed Budget'!$AC$147</f>
        <v>5913600671000</v>
      </c>
      <c r="DG246" s="269">
        <f t="shared" si="607"/>
        <v>0</v>
      </c>
      <c r="DH246" s="269">
        <f>'Detailed Budget'!$AC$153</f>
        <v>226428026880.00003</v>
      </c>
      <c r="DI246" s="269"/>
      <c r="DJ246" s="269">
        <f>'Detailed Budget'!$AC$156</f>
        <v>27713070000</v>
      </c>
      <c r="DK246" s="269"/>
      <c r="DL246" s="269"/>
      <c r="DM246" s="196">
        <f>'Detailed Budget'!$AC$178</f>
        <v>5622683761.6229038</v>
      </c>
      <c r="DN246" s="269">
        <f t="shared" si="687"/>
        <v>23736595.869491756</v>
      </c>
      <c r="DO246" s="196">
        <f>'Detailed Budget'!$AC$179</f>
        <v>26827890683.128094</v>
      </c>
      <c r="DP246" s="269">
        <f t="shared" si="688"/>
        <v>113256023.61973405</v>
      </c>
      <c r="DQ246" s="269">
        <f t="shared" si="625"/>
        <v>136992619.4892258</v>
      </c>
      <c r="DR246" s="269">
        <f>'Detailed Budget'!$AC$181</f>
        <v>50888946855.375237</v>
      </c>
      <c r="DS246" s="269">
        <f t="shared" si="689"/>
        <v>171771975.81153327</v>
      </c>
      <c r="DT246" s="269">
        <f t="shared" si="690"/>
        <v>308764595.30075908</v>
      </c>
      <c r="DU246" s="272">
        <f>'Detailed Budget'!$AC$192</f>
        <v>77498869683.252869</v>
      </c>
      <c r="DV246" s="269">
        <f t="shared" si="699"/>
        <v>0</v>
      </c>
      <c r="DW246" s="140">
        <f>'Detailed Budget'!$AC$194</f>
        <v>2684962805.4134097</v>
      </c>
      <c r="DX246" s="269">
        <f t="shared" si="700"/>
        <v>0</v>
      </c>
      <c r="DY246" s="607">
        <f t="shared" si="561"/>
        <v>0</v>
      </c>
      <c r="DZ246" s="196">
        <f>'Detailed Budget'!$AC$198</f>
        <v>18732540018.380611</v>
      </c>
      <c r="EA246" s="269">
        <f t="shared" si="672"/>
        <v>45523369.113729216</v>
      </c>
      <c r="EB246" s="196">
        <f>'Detailed Budget'!$AC$200</f>
        <v>4683135004.5951529</v>
      </c>
      <c r="EC246" s="269">
        <f t="shared" si="701"/>
        <v>11380842.278432304</v>
      </c>
      <c r="ED246" s="269">
        <f t="shared" si="563"/>
        <v>56904211.392161518</v>
      </c>
      <c r="EE246" s="196">
        <f>'Detailed Budget'!$AC$161</f>
        <v>251147290106.36197</v>
      </c>
      <c r="EF246" s="269">
        <f t="shared" si="702"/>
        <v>399770375.28960323</v>
      </c>
      <c r="EG246" s="196">
        <f>'Detailed Budget'!$AC$163</f>
        <v>15696705631.647623</v>
      </c>
      <c r="EH246" s="269">
        <f t="shared" si="703"/>
        <v>24985648.455600202</v>
      </c>
      <c r="EI246" s="269">
        <f t="shared" si="564"/>
        <v>424756023.74520344</v>
      </c>
      <c r="EJ246" s="196">
        <f>'Detailed Budget'!$AC$204</f>
        <v>45012172507.531975</v>
      </c>
      <c r="EK246" s="269">
        <f t="shared" si="704"/>
        <v>58860279.567618586</v>
      </c>
      <c r="EL246" s="201">
        <f>'Detailed Budget'!$AC$206</f>
        <v>11253043126.882994</v>
      </c>
      <c r="EM246" s="269">
        <f t="shared" si="705"/>
        <v>14715069.891904647</v>
      </c>
      <c r="EN246" s="269">
        <f t="shared" si="565"/>
        <v>73575349.459523231</v>
      </c>
      <c r="EO246" s="140">
        <f>'Detailed Budget'!$AC$209</f>
        <v>135789361677.54817</v>
      </c>
      <c r="EP246" s="269">
        <f t="shared" si="706"/>
        <v>191537930.54012039</v>
      </c>
      <c r="EQ246" s="196">
        <f>'Detailed Budget'!$AC$211</f>
        <v>33947340419.387043</v>
      </c>
      <c r="ER246" s="269">
        <f t="shared" si="707"/>
        <v>47884482.635030098</v>
      </c>
      <c r="ES246" s="269">
        <f t="shared" si="566"/>
        <v>239422413.17515048</v>
      </c>
      <c r="ET246" s="196">
        <f>'Detailed Budget'!$AC$214</f>
        <v>22239745544.201103</v>
      </c>
      <c r="EU246" s="269">
        <f t="shared" si="708"/>
        <v>30466014.252704307</v>
      </c>
      <c r="EV246" s="140">
        <f>'Detailed Budget'!$AC$217</f>
        <v>5559936386.0502758</v>
      </c>
      <c r="EW246" s="269">
        <f t="shared" si="709"/>
        <v>7616503.5631760769</v>
      </c>
      <c r="EX246" s="269">
        <f t="shared" si="567"/>
        <v>38082517.815880388</v>
      </c>
      <c r="EY246" s="196">
        <f>'Detailed Budget'!$AC$219</f>
        <v>372777004.58170313</v>
      </c>
      <c r="EZ246" s="269">
        <f t="shared" si="710"/>
        <v>534628.23544426926</v>
      </c>
      <c r="FA246" s="196">
        <f>'Detailed Budget'!$AC$222</f>
        <v>93194251.145425782</v>
      </c>
      <c r="FB246" s="269">
        <f t="shared" si="711"/>
        <v>133657.05886106731</v>
      </c>
      <c r="FC246" s="269">
        <f t="shared" si="568"/>
        <v>668285.29430533655</v>
      </c>
      <c r="FD246" s="269"/>
      <c r="FE246" s="269">
        <f t="shared" si="569"/>
        <v>351748565.74485946</v>
      </c>
      <c r="FF246" s="140">
        <f>'Detailed Budget'!$AC$165</f>
        <v>14927760000</v>
      </c>
      <c r="FG246" s="1087">
        <f t="shared" si="608"/>
        <v>479808327.26899266</v>
      </c>
      <c r="FH246" s="269">
        <f t="shared" si="648"/>
        <v>16961436.200431772</v>
      </c>
      <c r="FJ246" s="140">
        <f>'Detailed Budget'!$AC$235</f>
        <v>3623696172</v>
      </c>
      <c r="FK246" s="269">
        <f t="shared" si="673"/>
        <v>4681778</v>
      </c>
      <c r="FL246" s="269">
        <f t="shared" si="609"/>
        <v>4681778</v>
      </c>
      <c r="FO246" s="607"/>
      <c r="FP246" s="607"/>
      <c r="FQ246" s="607"/>
      <c r="FR246" s="269">
        <f>'Detailed Budget'!$AC$257</f>
        <v>13636439388</v>
      </c>
      <c r="FS246" s="269">
        <f t="shared" si="674"/>
        <v>36975432</v>
      </c>
      <c r="FT246" s="269">
        <f t="shared" si="610"/>
        <v>36975432</v>
      </c>
      <c r="FU246" s="269"/>
      <c r="FV246" s="269"/>
      <c r="FW246" s="616"/>
      <c r="FX246" s="140">
        <f>'Detailed Budget'!$AC$278</f>
        <v>1114560000</v>
      </c>
      <c r="FY246" s="269">
        <f t="shared" si="675"/>
        <v>1440000</v>
      </c>
      <c r="FZ246" s="269">
        <f t="shared" si="611"/>
        <v>1440000</v>
      </c>
      <c r="GB246" s="269">
        <f t="shared" si="619"/>
        <v>3136105070.4283581</v>
      </c>
      <c r="GC246" s="887">
        <f t="shared" si="574"/>
        <v>1960065.6690177238</v>
      </c>
      <c r="GD246" s="1078">
        <f t="shared" si="620"/>
        <v>1.7597673081528008E-3</v>
      </c>
    </row>
    <row r="247" spans="1:186" hidden="1" outlineLevel="1">
      <c r="A247" s="211" t="s">
        <v>652</v>
      </c>
      <c r="B247" s="212" t="s">
        <v>653</v>
      </c>
      <c r="C247" s="213" t="s">
        <v>215</v>
      </c>
      <c r="D247" s="214" t="s">
        <v>215</v>
      </c>
      <c r="E247" s="213"/>
      <c r="F247" s="213"/>
      <c r="G247" s="213"/>
      <c r="H247" s="213" t="s">
        <v>215</v>
      </c>
      <c r="I247" s="214" t="s">
        <v>215</v>
      </c>
      <c r="J247" s="214"/>
      <c r="K247" s="213" t="s">
        <v>215</v>
      </c>
      <c r="L247" s="213"/>
      <c r="M247" s="214"/>
      <c r="N247" s="213"/>
      <c r="O247" s="214"/>
      <c r="P247" s="213"/>
      <c r="Q247" s="214"/>
      <c r="R247" s="214" t="s">
        <v>215</v>
      </c>
      <c r="S247" s="214"/>
      <c r="T247" s="214"/>
      <c r="U247" s="215">
        <f t="shared" si="676"/>
        <v>6</v>
      </c>
      <c r="V247" s="845" t="s">
        <v>219</v>
      </c>
      <c r="W247" s="216">
        <v>89865</v>
      </c>
      <c r="X247" s="217">
        <v>2.91</v>
      </c>
      <c r="Y247" s="218">
        <f t="shared" si="640"/>
        <v>1.0290999999999999</v>
      </c>
      <c r="Z247" s="196">
        <v>19</v>
      </c>
      <c r="AA247" s="218">
        <f t="shared" si="641"/>
        <v>1.7246222540408234</v>
      </c>
      <c r="AB247" s="196">
        <f t="shared" si="712"/>
        <v>154983.17885937859</v>
      </c>
      <c r="AC247">
        <v>18.7</v>
      </c>
      <c r="AD247" s="196">
        <f t="shared" si="713"/>
        <v>28981.854446703797</v>
      </c>
      <c r="AE247" s="196">
        <f t="shared" si="644"/>
        <v>27532.761724368607</v>
      </c>
      <c r="AF247" s="196">
        <f t="shared" si="677"/>
        <v>27532.761724368607</v>
      </c>
      <c r="AG247" s="606">
        <f t="shared" si="577"/>
        <v>1.2729940310460381E-3</v>
      </c>
      <c r="AH247" s="196">
        <f t="shared" si="691"/>
        <v>7749.1589429689302</v>
      </c>
      <c r="AI247" s="248">
        <f t="shared" si="552"/>
        <v>6.0031560218917648E-4</v>
      </c>
      <c r="AJ247" s="196">
        <f t="shared" si="578"/>
        <v>36731.013389672727</v>
      </c>
      <c r="AK247" s="196">
        <f t="shared" si="605"/>
        <v>6199.3271543751434</v>
      </c>
      <c r="AL247" s="196">
        <f t="shared" si="606"/>
        <v>6199.3271543751434</v>
      </c>
      <c r="AM247" s="196">
        <f t="shared" si="553"/>
        <v>12398.654308750287</v>
      </c>
      <c r="AN247" s="627">
        <f t="shared" si="554"/>
        <v>6.0031560218917648E-4</v>
      </c>
      <c r="AO247" s="196">
        <f t="shared" si="555"/>
        <v>5889.3607966563859</v>
      </c>
      <c r="AP247" s="589">
        <f t="shared" si="579"/>
        <v>6.0031560218917637E-4</v>
      </c>
      <c r="AQ247" s="196"/>
      <c r="AR247" s="589"/>
      <c r="AS247">
        <v>1</v>
      </c>
      <c r="AT247" s="589">
        <f t="shared" si="580"/>
        <v>1.2919896640826874E-3</v>
      </c>
      <c r="AU247" s="196">
        <v>11</v>
      </c>
      <c r="AV247" s="245">
        <f t="shared" si="556"/>
        <v>1.2498579706851495E-3</v>
      </c>
      <c r="AX247" s="245"/>
      <c r="AY247" s="245"/>
      <c r="AZ247" s="196">
        <v>56</v>
      </c>
      <c r="BA247" s="589">
        <f t="shared" si="613"/>
        <v>2.0519585211241803E-3</v>
      </c>
      <c r="BI247" s="196">
        <v>1</v>
      </c>
      <c r="BJ247" s="196">
        <f t="shared" si="678"/>
        <v>86101.779086413735</v>
      </c>
      <c r="BK247" s="246">
        <f t="shared" si="614"/>
        <v>1.6419089786883804E-3</v>
      </c>
      <c r="BL247" s="196">
        <f t="shared" si="692"/>
        <v>1722.0355817282748</v>
      </c>
      <c r="BM247" s="246">
        <f t="shared" si="615"/>
        <v>1.6419087908271205E-3</v>
      </c>
      <c r="BN247" s="196">
        <v>0</v>
      </c>
      <c r="BO247" s="196">
        <f t="shared" si="679"/>
        <v>13921.08877069612</v>
      </c>
      <c r="BP247" s="196">
        <f t="shared" si="582"/>
        <v>0</v>
      </c>
      <c r="BQ247" s="248">
        <f t="shared" si="616"/>
        <v>0</v>
      </c>
      <c r="BR247" s="248"/>
      <c r="BS247" s="248"/>
      <c r="BT247" s="276">
        <v>1</v>
      </c>
      <c r="BU247" s="196">
        <f t="shared" si="693"/>
        <v>22953.62872178941</v>
      </c>
      <c r="BV247" s="264">
        <f t="shared" si="617"/>
        <v>1.5921071659152745E-3</v>
      </c>
      <c r="BW247" s="196">
        <f t="shared" si="694"/>
        <v>98190.522865432475</v>
      </c>
      <c r="BX247" s="247">
        <f t="shared" si="618"/>
        <v>1.5921071802570369E-3</v>
      </c>
      <c r="BY247" s="196">
        <f t="shared" si="639"/>
        <v>121144.15158722189</v>
      </c>
      <c r="BZ247" s="620">
        <v>0</v>
      </c>
      <c r="CA247" s="196">
        <f t="shared" si="680"/>
        <v>47424.852730969847</v>
      </c>
      <c r="CB247" s="196">
        <f t="shared" si="681"/>
        <v>94849.705461939695</v>
      </c>
      <c r="CC247" s="196">
        <f t="shared" si="585"/>
        <v>142274.55819290955</v>
      </c>
      <c r="CD247" s="247">
        <f t="shared" si="557"/>
        <v>6.0031560218917648E-4</v>
      </c>
      <c r="CE247" s="196">
        <f t="shared" si="682"/>
        <v>21223.711346203923</v>
      </c>
      <c r="CF247" s="247">
        <f t="shared" si="558"/>
        <v>9.1650586051820614E-4</v>
      </c>
      <c r="CG247" s="196">
        <f t="shared" si="695"/>
        <v>23557.443186625544</v>
      </c>
      <c r="CH247" s="589">
        <f t="shared" si="587"/>
        <v>6.0031560218917637E-4</v>
      </c>
      <c r="CI247" s="196">
        <f t="shared" si="683"/>
        <v>29997.711163047697</v>
      </c>
      <c r="CJ247" s="248">
        <f t="shared" si="589"/>
        <v>4.9316229537624571E-4</v>
      </c>
      <c r="CK247" s="196">
        <f t="shared" si="684"/>
        <v>37006.029934123842</v>
      </c>
      <c r="CL247" s="589">
        <f t="shared" si="591"/>
        <v>5.3196929211863882E-4</v>
      </c>
      <c r="CM247" s="196">
        <f t="shared" si="685"/>
        <v>3584.9666147958346</v>
      </c>
      <c r="CN247" s="589">
        <f t="shared" si="593"/>
        <v>5.1663443108664216E-4</v>
      </c>
      <c r="CO247" s="196">
        <f t="shared" si="686"/>
        <v>286.80986047194517</v>
      </c>
      <c r="CP247" s="589">
        <f t="shared" si="595"/>
        <v>5.4087921999891597E-4</v>
      </c>
      <c r="CQ247" s="196">
        <f>'Detailed Budget'!$AC$12</f>
        <v>292876014141.44696</v>
      </c>
      <c r="CR247" s="269">
        <f t="shared" si="669"/>
        <v>480875757.26130682</v>
      </c>
      <c r="CS247" s="269">
        <f>'Detailed Budget'!$AC$16</f>
        <v>10488008800.000002</v>
      </c>
      <c r="CT247" s="607">
        <f t="shared" si="696"/>
        <v>17220353.846992202</v>
      </c>
      <c r="CU247" s="269">
        <f>'Detailed Budget'!$AC$24</f>
        <v>30624985696</v>
      </c>
      <c r="CV247" s="269">
        <f t="shared" si="612"/>
        <v>50283438.986465618</v>
      </c>
      <c r="CW247" s="269"/>
      <c r="CX247" s="269">
        <f t="shared" si="596"/>
        <v>548379550.09476459</v>
      </c>
      <c r="CY247" s="196">
        <f>'Detailed Budget'!$AC$97</f>
        <v>74629165494.837845</v>
      </c>
      <c r="CZ247" s="269">
        <f t="shared" si="697"/>
        <v>0</v>
      </c>
      <c r="DA247" s="269">
        <f>'Detailed Budget'!$AC$100</f>
        <v>14925833098.967569</v>
      </c>
      <c r="DB247" s="269">
        <f t="shared" si="698"/>
        <v>0</v>
      </c>
      <c r="DC247" s="269">
        <f t="shared" si="560"/>
        <v>0</v>
      </c>
      <c r="DD247" s="207">
        <v>0</v>
      </c>
      <c r="DE247" s="606">
        <v>0</v>
      </c>
      <c r="DF247" s="269">
        <f>'Detailed Budget'!$AC$147</f>
        <v>5913600671000</v>
      </c>
      <c r="DG247" s="269">
        <f t="shared" si="607"/>
        <v>0</v>
      </c>
      <c r="DH247" s="269">
        <f>'Detailed Budget'!$AC$153</f>
        <v>226428026880.00003</v>
      </c>
      <c r="DI247" s="269"/>
      <c r="DJ247" s="269">
        <f>'Detailed Budget'!$AC$156</f>
        <v>27713070000</v>
      </c>
      <c r="DK247" s="269"/>
      <c r="DL247" s="269"/>
      <c r="DM247" s="196">
        <f>'Detailed Budget'!$AC$178</f>
        <v>5622683761.6229038</v>
      </c>
      <c r="DN247" s="269">
        <f t="shared" si="687"/>
        <v>8951915.1085552759</v>
      </c>
      <c r="DO247" s="196">
        <f>'Detailed Budget'!$AC$179</f>
        <v>26827890683.128094</v>
      </c>
      <c r="DP247" s="269">
        <f t="shared" si="688"/>
        <v>42712877.387759097</v>
      </c>
      <c r="DQ247" s="269">
        <f t="shared" si="625"/>
        <v>51664792.496314377</v>
      </c>
      <c r="DR247" s="269">
        <f>'Detailed Budget'!$AC$181</f>
        <v>50888946855.375237</v>
      </c>
      <c r="DS247" s="269">
        <f t="shared" si="689"/>
        <v>64781325.593111724</v>
      </c>
      <c r="DT247" s="269">
        <f t="shared" si="690"/>
        <v>116446118.0894261</v>
      </c>
      <c r="DU247" s="272">
        <f>'Detailed Budget'!$AC$192</f>
        <v>77498869683.252869</v>
      </c>
      <c r="DV247" s="269">
        <f t="shared" si="699"/>
        <v>0</v>
      </c>
      <c r="DW247" s="140">
        <f>'Detailed Budget'!$AC$194</f>
        <v>2684962805.4134097</v>
      </c>
      <c r="DX247" s="269">
        <f t="shared" si="700"/>
        <v>0</v>
      </c>
      <c r="DY247" s="607">
        <f t="shared" si="561"/>
        <v>0</v>
      </c>
      <c r="DZ247" s="196">
        <f>'Detailed Budget'!$AC$198</f>
        <v>18732540018.380611</v>
      </c>
      <c r="EA247" s="269">
        <f t="shared" si="672"/>
        <v>17168482.709237654</v>
      </c>
      <c r="EB247" s="196">
        <f>'Detailed Budget'!$AC$200</f>
        <v>4683135004.5951529</v>
      </c>
      <c r="EC247" s="269">
        <f t="shared" si="701"/>
        <v>4292120.6773094134</v>
      </c>
      <c r="ED247" s="269">
        <f t="shared" si="563"/>
        <v>21460603.386547066</v>
      </c>
      <c r="EE247" s="196">
        <f>'Detailed Budget'!$AC$161</f>
        <v>251147290106.36197</v>
      </c>
      <c r="EF247" s="269">
        <f t="shared" si="702"/>
        <v>150767636.69838047</v>
      </c>
      <c r="EG247" s="196">
        <f>'Detailed Budget'!$AC$163</f>
        <v>15696705631.647623</v>
      </c>
      <c r="EH247" s="269">
        <f t="shared" si="703"/>
        <v>9422977.2936487794</v>
      </c>
      <c r="EI247" s="269">
        <f t="shared" si="564"/>
        <v>160190613.99202925</v>
      </c>
      <c r="EJ247" s="196">
        <f>'Detailed Budget'!$AC$204</f>
        <v>45012172507.531975</v>
      </c>
      <c r="EK247" s="269">
        <f t="shared" si="704"/>
        <v>22198306.313686009</v>
      </c>
      <c r="EL247" s="201">
        <f>'Detailed Budget'!$AC$206</f>
        <v>11253043126.882994</v>
      </c>
      <c r="EM247" s="269">
        <f t="shared" si="705"/>
        <v>5549576.5784215024</v>
      </c>
      <c r="EN247" s="269">
        <f t="shared" si="565"/>
        <v>27747882.892107513</v>
      </c>
      <c r="EO247" s="140">
        <f>'Detailed Budget'!$AC$209</f>
        <v>135789361677.54817</v>
      </c>
      <c r="EP247" s="269">
        <f t="shared" si="706"/>
        <v>72235770.608847126</v>
      </c>
      <c r="EQ247" s="196">
        <f>'Detailed Budget'!$AC$211</f>
        <v>33947340419.387043</v>
      </c>
      <c r="ER247" s="269">
        <f t="shared" si="707"/>
        <v>18058942.652211782</v>
      </c>
      <c r="ES247" s="269">
        <f t="shared" si="566"/>
        <v>90294713.261058912</v>
      </c>
      <c r="ET247" s="196">
        <f>'Detailed Budget'!$AC$214</f>
        <v>22239745544.201103</v>
      </c>
      <c r="EU247" s="269">
        <f t="shared" si="708"/>
        <v>11489818.286740022</v>
      </c>
      <c r="EV247" s="140">
        <f>'Detailed Budget'!$AC$217</f>
        <v>5559936386.0502758</v>
      </c>
      <c r="EW247" s="269">
        <f t="shared" si="709"/>
        <v>2872454.5716850054</v>
      </c>
      <c r="EX247" s="269">
        <f t="shared" si="567"/>
        <v>14362272.858425027</v>
      </c>
      <c r="EY247" s="196">
        <f>'Detailed Budget'!$AC$219</f>
        <v>372777004.58170313</v>
      </c>
      <c r="EZ247" s="269">
        <f t="shared" si="710"/>
        <v>201627.33547168391</v>
      </c>
      <c r="FA247" s="196">
        <f>'Detailed Budget'!$AC$222</f>
        <v>93194251.145425782</v>
      </c>
      <c r="FB247" s="269">
        <f t="shared" si="711"/>
        <v>50406.833867920977</v>
      </c>
      <c r="FC247" s="269">
        <f t="shared" si="568"/>
        <v>252034.16933960488</v>
      </c>
      <c r="FD247" s="269"/>
      <c r="FE247" s="269">
        <f t="shared" si="569"/>
        <v>132656903.18093106</v>
      </c>
      <c r="FF247" s="140">
        <f>'Detailed Budget'!$AC$165</f>
        <v>14927760000</v>
      </c>
      <c r="FG247" s="1087">
        <f t="shared" si="608"/>
        <v>180952797.01039532</v>
      </c>
      <c r="FH247" s="269">
        <f t="shared" si="648"/>
        <v>18657579.820474949</v>
      </c>
      <c r="FJ247" s="140">
        <f>'Detailed Budget'!$AC$235</f>
        <v>3623696172</v>
      </c>
      <c r="FK247" s="269">
        <f t="shared" si="673"/>
        <v>4681778</v>
      </c>
      <c r="FL247" s="269">
        <f t="shared" si="609"/>
        <v>4681778</v>
      </c>
      <c r="FO247" s="607"/>
      <c r="FP247" s="607"/>
      <c r="FQ247" s="607"/>
      <c r="FR247" s="269">
        <f>'Detailed Budget'!$AC$257</f>
        <v>13636439388</v>
      </c>
      <c r="FS247" s="269">
        <f t="shared" si="674"/>
        <v>27981408</v>
      </c>
      <c r="FT247" s="269">
        <f t="shared" si="610"/>
        <v>27981408</v>
      </c>
      <c r="FU247" s="269"/>
      <c r="FV247" s="269"/>
      <c r="FW247" s="616"/>
      <c r="FX247" s="140">
        <f>'Detailed Budget'!$AC$278</f>
        <v>1114560000</v>
      </c>
      <c r="FY247" s="269">
        <f t="shared" si="675"/>
        <v>1440000</v>
      </c>
      <c r="FZ247" s="269">
        <f t="shared" si="611"/>
        <v>1440000</v>
      </c>
      <c r="GB247" s="269">
        <f t="shared" si="619"/>
        <v>1212847351.5745683</v>
      </c>
      <c r="GC247" s="887">
        <f t="shared" si="574"/>
        <v>758029.59473410517</v>
      </c>
      <c r="GD247" s="1078">
        <f t="shared" si="620"/>
        <v>6.8056684044361603E-4</v>
      </c>
    </row>
    <row r="248" spans="1:186" hidden="1" outlineLevel="1">
      <c r="A248" s="211" t="s">
        <v>654</v>
      </c>
      <c r="B248" s="212" t="s">
        <v>655</v>
      </c>
      <c r="C248" s="213" t="s">
        <v>215</v>
      </c>
      <c r="D248" s="214" t="s">
        <v>215</v>
      </c>
      <c r="E248" s="213"/>
      <c r="F248" s="213"/>
      <c r="G248" s="213"/>
      <c r="H248" s="213" t="s">
        <v>215</v>
      </c>
      <c r="I248" s="214" t="s">
        <v>215</v>
      </c>
      <c r="J248" s="214"/>
      <c r="K248" s="213" t="s">
        <v>215</v>
      </c>
      <c r="L248" s="213"/>
      <c r="M248" s="214"/>
      <c r="N248" s="213"/>
      <c r="O248" s="214"/>
      <c r="P248" s="213"/>
      <c r="Q248" s="214"/>
      <c r="R248" s="214" t="s">
        <v>215</v>
      </c>
      <c r="S248" s="214"/>
      <c r="T248" s="214"/>
      <c r="U248" s="215">
        <f t="shared" si="676"/>
        <v>6</v>
      </c>
      <c r="V248" s="845" t="s">
        <v>219</v>
      </c>
      <c r="W248" s="216">
        <v>127685</v>
      </c>
      <c r="X248" s="217">
        <v>2.91</v>
      </c>
      <c r="Y248" s="218">
        <f t="shared" si="640"/>
        <v>1.0290999999999999</v>
      </c>
      <c r="Z248" s="196">
        <v>19</v>
      </c>
      <c r="AA248" s="218">
        <f t="shared" si="641"/>
        <v>1.7246222540408234</v>
      </c>
      <c r="AB248" s="196">
        <f t="shared" si="712"/>
        <v>220208.39250720254</v>
      </c>
      <c r="AC248">
        <v>18.7</v>
      </c>
      <c r="AD248" s="196">
        <f t="shared" si="713"/>
        <v>41178.969398846872</v>
      </c>
      <c r="AE248" s="196">
        <f t="shared" si="644"/>
        <v>39120.020928904523</v>
      </c>
      <c r="AF248" s="196">
        <f t="shared" si="677"/>
        <v>39120.020928904523</v>
      </c>
      <c r="AG248" s="606">
        <f t="shared" si="577"/>
        <v>1.8087380276427235E-3</v>
      </c>
      <c r="AH248" s="196">
        <f t="shared" si="691"/>
        <v>11010.419625360128</v>
      </c>
      <c r="AI248" s="248">
        <f t="shared" si="552"/>
        <v>8.529605259614422E-4</v>
      </c>
      <c r="AJ248" s="196">
        <f t="shared" si="578"/>
        <v>52189.389024206997</v>
      </c>
      <c r="AK248" s="196">
        <f t="shared" si="605"/>
        <v>8808.3357002881021</v>
      </c>
      <c r="AL248" s="196">
        <f t="shared" si="606"/>
        <v>8808.3357002881021</v>
      </c>
      <c r="AM248" s="196">
        <f t="shared" si="553"/>
        <v>17616.671400576204</v>
      </c>
      <c r="AN248" s="627">
        <f t="shared" si="554"/>
        <v>8.529605259614422E-4</v>
      </c>
      <c r="AO248" s="196">
        <f t="shared" si="555"/>
        <v>8367.9189152736963</v>
      </c>
      <c r="AP248" s="589">
        <f t="shared" si="579"/>
        <v>8.5296052596144209E-4</v>
      </c>
      <c r="AQ248" s="196"/>
      <c r="AR248" s="589"/>
      <c r="AS248">
        <v>1</v>
      </c>
      <c r="AT248" s="589">
        <f t="shared" si="580"/>
        <v>1.2919896640826874E-3</v>
      </c>
      <c r="AU248" s="196">
        <v>10</v>
      </c>
      <c r="AV248" s="245">
        <f t="shared" si="556"/>
        <v>1.1362345188046814E-3</v>
      </c>
      <c r="AX248" s="245"/>
      <c r="AY248" s="245"/>
      <c r="AZ248" s="196">
        <v>47</v>
      </c>
      <c r="BA248" s="589">
        <f t="shared" si="613"/>
        <v>1.7221794730863656E-3</v>
      </c>
      <c r="BI248" s="196">
        <v>1</v>
      </c>
      <c r="BJ248" s="196">
        <f t="shared" si="678"/>
        <v>122338.01438434026</v>
      </c>
      <c r="BK248" s="246">
        <f t="shared" si="614"/>
        <v>2.3329121231160724E-3</v>
      </c>
      <c r="BL248" s="196">
        <f t="shared" si="692"/>
        <v>2446.7602876868054</v>
      </c>
      <c r="BM248" s="246">
        <f t="shared" si="615"/>
        <v>2.3329118561927435E-3</v>
      </c>
      <c r="BN248" s="196">
        <v>0</v>
      </c>
      <c r="BO248" s="196">
        <f t="shared" si="679"/>
        <v>19779.827738122007</v>
      </c>
      <c r="BP248" s="196">
        <f t="shared" si="582"/>
        <v>0</v>
      </c>
      <c r="BQ248" s="248">
        <f t="shared" si="616"/>
        <v>0</v>
      </c>
      <c r="BR248" s="248"/>
      <c r="BS248" s="248"/>
      <c r="BT248" s="276">
        <v>1</v>
      </c>
      <c r="BU248" s="196">
        <f t="shared" si="693"/>
        <v>32613.743763886727</v>
      </c>
      <c r="BV248" s="264">
        <f t="shared" si="617"/>
        <v>2.262151043007754E-3</v>
      </c>
      <c r="BW248" s="196">
        <f t="shared" si="694"/>
        <v>139514.3483232932</v>
      </c>
      <c r="BX248" s="247">
        <f t="shared" si="618"/>
        <v>2.262151063385297E-3</v>
      </c>
      <c r="BY248" s="196">
        <f t="shared" si="639"/>
        <v>172128.09208717995</v>
      </c>
      <c r="BZ248" s="620">
        <v>0</v>
      </c>
      <c r="CA248" s="196">
        <f t="shared" si="680"/>
        <v>67383.76810720397</v>
      </c>
      <c r="CB248" s="196">
        <f t="shared" si="681"/>
        <v>134767.53621440794</v>
      </c>
      <c r="CC248" s="196">
        <f t="shared" si="585"/>
        <v>202151.30432161191</v>
      </c>
      <c r="CD248" s="247">
        <f t="shared" si="557"/>
        <v>8.5296052596144209E-4</v>
      </c>
      <c r="CE248" s="196">
        <f t="shared" si="682"/>
        <v>30155.784601792111</v>
      </c>
      <c r="CF248" s="247">
        <f t="shared" si="558"/>
        <v>1.302220561957015E-3</v>
      </c>
      <c r="CG248" s="196">
        <f t="shared" si="695"/>
        <v>33471.675661094785</v>
      </c>
      <c r="CH248" s="589">
        <f t="shared" si="587"/>
        <v>8.5296052596144209E-4</v>
      </c>
      <c r="CI248" s="196">
        <f t="shared" si="683"/>
        <v>42622.352972277804</v>
      </c>
      <c r="CJ248" s="248">
        <f t="shared" si="589"/>
        <v>7.0071137467441087E-4</v>
      </c>
      <c r="CK248" s="196">
        <f t="shared" si="684"/>
        <v>52580.147244629188</v>
      </c>
      <c r="CL248" s="589">
        <f t="shared" si="591"/>
        <v>7.5585043191641222E-4</v>
      </c>
      <c r="CM248" s="196">
        <f t="shared" si="685"/>
        <v>5093.7123708919617</v>
      </c>
      <c r="CN248" s="589">
        <f t="shared" si="593"/>
        <v>7.340618409091181E-4</v>
      </c>
      <c r="CO248" s="196">
        <f t="shared" si="686"/>
        <v>407.51479479619786</v>
      </c>
      <c r="CP248" s="589">
        <f t="shared" si="595"/>
        <v>7.6851013415191215E-4</v>
      </c>
      <c r="CQ248" s="196">
        <f>'Detailed Budget'!$AC$12</f>
        <v>292876014141.44696</v>
      </c>
      <c r="CR248" s="269">
        <f t="shared" si="669"/>
        <v>683254003.96049583</v>
      </c>
      <c r="CS248" s="269">
        <f>'Detailed Budget'!$AC$16</f>
        <v>10488008800.000002</v>
      </c>
      <c r="CT248" s="607">
        <f t="shared" si="696"/>
        <v>24467600.077373832</v>
      </c>
      <c r="CU248" s="269">
        <f>'Detailed Budget'!$AC$24</f>
        <v>30624985696</v>
      </c>
      <c r="CV248" s="269">
        <f t="shared" si="612"/>
        <v>71445400.400454715</v>
      </c>
      <c r="CW248" s="269"/>
      <c r="CX248" s="269">
        <f t="shared" si="596"/>
        <v>779167004.43832445</v>
      </c>
      <c r="CY248" s="196">
        <f>'Detailed Budget'!$AC$97</f>
        <v>74629165494.837845</v>
      </c>
      <c r="CZ248" s="269">
        <f t="shared" si="697"/>
        <v>0</v>
      </c>
      <c r="DA248" s="269">
        <f>'Detailed Budget'!$AC$100</f>
        <v>14925833098.967569</v>
      </c>
      <c r="DB248" s="269">
        <f t="shared" si="698"/>
        <v>0</v>
      </c>
      <c r="DC248" s="269">
        <f t="shared" si="560"/>
        <v>0</v>
      </c>
      <c r="DD248" s="207">
        <v>0</v>
      </c>
      <c r="DE248" s="606">
        <v>0</v>
      </c>
      <c r="DF248" s="269">
        <f>'Detailed Budget'!$AC$147</f>
        <v>5913600671000</v>
      </c>
      <c r="DG248" s="269">
        <f t="shared" si="607"/>
        <v>0</v>
      </c>
      <c r="DH248" s="269">
        <f>'Detailed Budget'!$AC$153</f>
        <v>226428026880.00003</v>
      </c>
      <c r="DI248" s="269"/>
      <c r="DJ248" s="269">
        <f>'Detailed Budget'!$AC$156</f>
        <v>27713070000</v>
      </c>
      <c r="DK248" s="269"/>
      <c r="DL248" s="269"/>
      <c r="DM248" s="196">
        <f>'Detailed Budget'!$AC$178</f>
        <v>5622683761.6229038</v>
      </c>
      <c r="DN248" s="269">
        <f t="shared" si="687"/>
        <v>12719359.935858013</v>
      </c>
      <c r="DO248" s="196">
        <f>'Detailed Budget'!$AC$179</f>
        <v>26827890683.128094</v>
      </c>
      <c r="DP248" s="269">
        <f t="shared" si="688"/>
        <v>60688741.437222719</v>
      </c>
      <c r="DQ248" s="269">
        <f t="shared" si="625"/>
        <v>73408101.37308073</v>
      </c>
      <c r="DR248" s="269">
        <f>'Detailed Budget'!$AC$181</f>
        <v>50888946855.375237</v>
      </c>
      <c r="DS248" s="269">
        <f t="shared" si="689"/>
        <v>92044773.364006773</v>
      </c>
      <c r="DT248" s="269">
        <f t="shared" si="690"/>
        <v>165452874.73708749</v>
      </c>
      <c r="DU248" s="272">
        <f>'Detailed Budget'!$AC$192</f>
        <v>77498869683.252869</v>
      </c>
      <c r="DV248" s="269">
        <f t="shared" si="699"/>
        <v>0</v>
      </c>
      <c r="DW248" s="140">
        <f>'Detailed Budget'!$AC$194</f>
        <v>2684962805.4134097</v>
      </c>
      <c r="DX248" s="269">
        <f t="shared" si="700"/>
        <v>0</v>
      </c>
      <c r="DY248" s="607">
        <f t="shared" si="561"/>
        <v>0</v>
      </c>
      <c r="DZ248" s="196">
        <f>'Detailed Budget'!$AC$198</f>
        <v>18732540018.380611</v>
      </c>
      <c r="EA248" s="269">
        <f t="shared" si="672"/>
        <v>24393898.78961787</v>
      </c>
      <c r="EB248" s="196">
        <f>'Detailed Budget'!$AC$200</f>
        <v>4683135004.5951529</v>
      </c>
      <c r="EC248" s="269">
        <f t="shared" si="701"/>
        <v>6098474.6974044675</v>
      </c>
      <c r="ED248" s="269">
        <f t="shared" si="563"/>
        <v>30492373.487022337</v>
      </c>
      <c r="EE248" s="196">
        <f>'Detailed Budget'!$AC$161</f>
        <v>251147290106.36197</v>
      </c>
      <c r="EF248" s="269">
        <f t="shared" si="702"/>
        <v>214218724.66291338</v>
      </c>
      <c r="EG248" s="196">
        <f>'Detailed Budget'!$AC$163</f>
        <v>15696705631.647623</v>
      </c>
      <c r="EH248" s="269">
        <f t="shared" si="703"/>
        <v>13388670.291432086</v>
      </c>
      <c r="EI248" s="269">
        <f t="shared" si="564"/>
        <v>227607394.95434546</v>
      </c>
      <c r="EJ248" s="196">
        <f>'Detailed Budget'!$AC$204</f>
        <v>45012172507.531975</v>
      </c>
      <c r="EK248" s="269">
        <f t="shared" si="704"/>
        <v>31540541.274834454</v>
      </c>
      <c r="EL248" s="201">
        <f>'Detailed Budget'!$AC$206</f>
        <v>11253043126.882994</v>
      </c>
      <c r="EM248" s="269">
        <f t="shared" si="705"/>
        <v>7885135.3187086135</v>
      </c>
      <c r="EN248" s="269">
        <f t="shared" si="565"/>
        <v>39425676.593543068</v>
      </c>
      <c r="EO248" s="140">
        <f>'Detailed Budget'!$AC$209</f>
        <v>135789361677.54817</v>
      </c>
      <c r="EP248" s="269">
        <f t="shared" si="706"/>
        <v>102636447.6736287</v>
      </c>
      <c r="EQ248" s="196">
        <f>'Detailed Budget'!$AC$211</f>
        <v>33947340419.387043</v>
      </c>
      <c r="ER248" s="269">
        <f t="shared" si="707"/>
        <v>25659111.918407176</v>
      </c>
      <c r="ES248" s="269">
        <f t="shared" si="566"/>
        <v>128295559.59203587</v>
      </c>
      <c r="ET248" s="196">
        <f>'Detailed Budget'!$AC$214</f>
        <v>22239745544.201103</v>
      </c>
      <c r="EU248" s="269">
        <f t="shared" si="708"/>
        <v>16325348.555526618</v>
      </c>
      <c r="EV248" s="140">
        <f>'Detailed Budget'!$AC$217</f>
        <v>5559936386.0502758</v>
      </c>
      <c r="EW248" s="269">
        <f t="shared" si="709"/>
        <v>4081337.1388816545</v>
      </c>
      <c r="EX248" s="269">
        <f t="shared" si="567"/>
        <v>20406685.694408271</v>
      </c>
      <c r="EY248" s="196">
        <f>'Detailed Budget'!$AC$219</f>
        <v>372777004.58170313</v>
      </c>
      <c r="EZ248" s="269">
        <f t="shared" si="710"/>
        <v>286482.90579983266</v>
      </c>
      <c r="FA248" s="196">
        <f>'Detailed Budget'!$AC$222</f>
        <v>93194251.145425782</v>
      </c>
      <c r="FB248" s="269">
        <f t="shared" si="711"/>
        <v>71620.726449958165</v>
      </c>
      <c r="FC248" s="269">
        <f t="shared" si="568"/>
        <v>358103.63224979083</v>
      </c>
      <c r="FD248" s="269"/>
      <c r="FE248" s="269">
        <f t="shared" si="569"/>
        <v>188486025.51223701</v>
      </c>
      <c r="FF248" s="140">
        <f>'Detailed Budget'!$AC$165</f>
        <v>14927760000</v>
      </c>
      <c r="FG248" s="1087">
        <f t="shared" si="608"/>
        <v>257107415.41503724</v>
      </c>
      <c r="FH248" s="269">
        <f t="shared" si="648"/>
        <v>16961436.200431772</v>
      </c>
      <c r="FJ248" s="140">
        <f>'Detailed Budget'!$AC$235</f>
        <v>3623696172</v>
      </c>
      <c r="FK248" s="269">
        <f t="shared" si="673"/>
        <v>4681778</v>
      </c>
      <c r="FL248" s="269">
        <f t="shared" si="609"/>
        <v>4681778</v>
      </c>
      <c r="FO248" s="607"/>
      <c r="FP248" s="607"/>
      <c r="FQ248" s="607"/>
      <c r="FR248" s="269">
        <f>'Detailed Budget'!$AC$257</f>
        <v>13636439388</v>
      </c>
      <c r="FS248" s="269">
        <f t="shared" si="674"/>
        <v>23484396</v>
      </c>
      <c r="FT248" s="269">
        <f t="shared" si="610"/>
        <v>23484396</v>
      </c>
      <c r="FU248" s="269"/>
      <c r="FV248" s="269"/>
      <c r="FW248" s="616"/>
      <c r="FX248" s="140">
        <f>'Detailed Budget'!$AC$278</f>
        <v>1114560000</v>
      </c>
      <c r="FY248" s="269">
        <f t="shared" si="675"/>
        <v>1440000</v>
      </c>
      <c r="FZ248" s="269">
        <f t="shared" si="611"/>
        <v>1440000</v>
      </c>
      <c r="GB248" s="269">
        <f t="shared" si="619"/>
        <v>1694880698.7444859</v>
      </c>
      <c r="GC248" s="887">
        <f t="shared" si="574"/>
        <v>1059300.4367153037</v>
      </c>
      <c r="GD248" s="1078">
        <f t="shared" si="620"/>
        <v>9.5105093033835491E-4</v>
      </c>
    </row>
    <row r="249" spans="1:186" s="219" customFormat="1" hidden="1" outlineLevel="1">
      <c r="A249" s="228" t="s">
        <v>656</v>
      </c>
      <c r="B249" s="229" t="s">
        <v>2272</v>
      </c>
      <c r="C249" s="857"/>
      <c r="D249" s="858"/>
      <c r="E249" s="857"/>
      <c r="F249" s="857"/>
      <c r="G249" s="857"/>
      <c r="H249" s="857"/>
      <c r="I249" s="858"/>
      <c r="J249" s="858"/>
      <c r="K249" s="857"/>
      <c r="L249" s="857"/>
      <c r="M249" s="858"/>
      <c r="N249" s="857"/>
      <c r="O249" s="858"/>
      <c r="P249" s="857"/>
      <c r="Q249" s="858"/>
      <c r="R249" s="858"/>
      <c r="S249" s="858"/>
      <c r="T249" s="858"/>
      <c r="U249" s="232"/>
      <c r="V249" s="846"/>
      <c r="W249" s="233">
        <v>19964</v>
      </c>
      <c r="X249" s="234">
        <v>2.91</v>
      </c>
      <c r="Y249" s="235">
        <f t="shared" si="640"/>
        <v>1.0290999999999999</v>
      </c>
      <c r="Z249" s="236">
        <v>19</v>
      </c>
      <c r="AA249" s="235">
        <f t="shared" si="641"/>
        <v>1.7246222540408234</v>
      </c>
      <c r="AB249" s="237">
        <f t="shared" si="712"/>
        <v>34430.358679671001</v>
      </c>
      <c r="AC249" s="856">
        <v>18.7</v>
      </c>
      <c r="AD249" s="618">
        <f t="shared" si="713"/>
        <v>6438.4770730984774</v>
      </c>
      <c r="AE249" s="618">
        <f t="shared" si="644"/>
        <v>6116.5532194435536</v>
      </c>
      <c r="AF249" s="618">
        <f t="shared" si="677"/>
        <v>0</v>
      </c>
      <c r="AG249" s="860">
        <f t="shared" si="577"/>
        <v>2.8280256869529969E-4</v>
      </c>
      <c r="AH249" s="618">
        <f>AB249*0.05</f>
        <v>1721.5179339835502</v>
      </c>
      <c r="AI249" s="861">
        <f t="shared" si="552"/>
        <v>1.3336338599126158E-4</v>
      </c>
      <c r="AJ249" s="618">
        <f t="shared" si="578"/>
        <v>8159.9950070820278</v>
      </c>
      <c r="AK249" s="618">
        <f t="shared" si="605"/>
        <v>1377.2143471868401</v>
      </c>
      <c r="AL249" s="618">
        <f t="shared" si="606"/>
        <v>1377.2143471868401</v>
      </c>
      <c r="AM249" s="618">
        <f t="shared" si="553"/>
        <v>2754.4286943736802</v>
      </c>
      <c r="AN249" s="862">
        <f t="shared" si="554"/>
        <v>1.3336338599126155E-4</v>
      </c>
      <c r="AO249" s="196">
        <f t="shared" si="555"/>
        <v>1308.353629827498</v>
      </c>
      <c r="AP249" s="589">
        <f t="shared" si="579"/>
        <v>1.3336338599126155E-4</v>
      </c>
      <c r="AQ249" s="196"/>
      <c r="AR249" s="589"/>
      <c r="AS249"/>
      <c r="AT249" s="589">
        <f t="shared" si="580"/>
        <v>0</v>
      </c>
      <c r="AU249" s="618"/>
      <c r="AV249" s="927">
        <f t="shared" si="556"/>
        <v>0</v>
      </c>
      <c r="AW249" s="618"/>
      <c r="AX249" s="927"/>
      <c r="AY249" s="927"/>
      <c r="AZ249" s="618"/>
      <c r="BA249" s="589">
        <f t="shared" si="613"/>
        <v>0</v>
      </c>
      <c r="BB249" s="618"/>
      <c r="BC249" s="618"/>
      <c r="BD249" s="618"/>
      <c r="BE249" s="618"/>
      <c r="BF249" s="618"/>
      <c r="BG249" s="618"/>
      <c r="BH249" s="1081"/>
      <c r="BI249" s="618"/>
      <c r="BJ249" s="618">
        <f t="shared" si="678"/>
        <v>19127.979944151379</v>
      </c>
      <c r="BK249" s="246">
        <f t="shared" si="614"/>
        <v>3.6475903689461777E-4</v>
      </c>
      <c r="BL249" s="618">
        <f t="shared" si="692"/>
        <v>382.55959888302755</v>
      </c>
      <c r="BM249" s="246">
        <f t="shared" si="615"/>
        <v>3.6475899516021397E-4</v>
      </c>
      <c r="BN249" s="618">
        <v>0</v>
      </c>
      <c r="BO249" s="618">
        <f t="shared" si="679"/>
        <v>3092.6458155920254</v>
      </c>
      <c r="BP249" s="618">
        <f t="shared" si="582"/>
        <v>0</v>
      </c>
      <c r="BQ249" s="248">
        <f t="shared" si="616"/>
        <v>0</v>
      </c>
      <c r="BR249" s="248"/>
      <c r="BS249" s="248"/>
      <c r="BT249" s="863"/>
      <c r="BU249" s="618"/>
      <c r="BV249" s="264">
        <f t="shared" si="617"/>
        <v>0</v>
      </c>
      <c r="BW249" s="618"/>
      <c r="BX249" s="247">
        <f t="shared" si="618"/>
        <v>0</v>
      </c>
      <c r="BY249" s="618"/>
      <c r="BZ249" s="856"/>
      <c r="CA249" s="618">
        <f t="shared" si="680"/>
        <v>10535.689755979329</v>
      </c>
      <c r="CB249" s="618">
        <f t="shared" si="681"/>
        <v>21071.379511958658</v>
      </c>
      <c r="CC249" s="618">
        <f t="shared" si="585"/>
        <v>31607.069267937986</v>
      </c>
      <c r="CD249" s="855">
        <f t="shared" si="557"/>
        <v>1.3336338599126158E-4</v>
      </c>
      <c r="CE249" s="618">
        <f t="shared" si="682"/>
        <v>4714.9632595072071</v>
      </c>
      <c r="CF249" s="855">
        <f t="shared" si="558"/>
        <v>2.0360677682507616E-4</v>
      </c>
      <c r="CG249" s="196">
        <f t="shared" si="695"/>
        <v>5233.4145193099921</v>
      </c>
      <c r="CH249" s="589">
        <f t="shared" si="587"/>
        <v>1.3336338599126155E-4</v>
      </c>
      <c r="CI249" s="618">
        <f t="shared" si="683"/>
        <v>6664.1551845444201</v>
      </c>
      <c r="CJ249" s="248">
        <f t="shared" si="589"/>
        <v>1.0955869431804786E-4</v>
      </c>
      <c r="CK249" s="618">
        <f t="shared" si="684"/>
        <v>8221.0914327585651</v>
      </c>
      <c r="CL249" s="589">
        <f t="shared" si="591"/>
        <v>1.1817988035226737E-4</v>
      </c>
      <c r="CM249" s="618">
        <f t="shared" si="685"/>
        <v>796.41989092287372</v>
      </c>
      <c r="CN249" s="589">
        <f t="shared" si="593"/>
        <v>1.1477315731612669E-4</v>
      </c>
      <c r="CO249" s="618">
        <f t="shared" si="686"/>
        <v>63.716375167884202</v>
      </c>
      <c r="CP249" s="589">
        <f t="shared" si="595"/>
        <v>1.2015926943813898E-4</v>
      </c>
      <c r="CQ249" s="618">
        <f>'Detailed Budget'!$AC$12</f>
        <v>292876014141.44696</v>
      </c>
      <c r="CR249" s="269">
        <f t="shared" si="669"/>
        <v>106829172.84776865</v>
      </c>
      <c r="CS249" s="865">
        <f>'Detailed Budget'!$AC$16</f>
        <v>10488008800.000002</v>
      </c>
      <c r="CT249" s="607">
        <f t="shared" si="696"/>
        <v>3825595.5511194821</v>
      </c>
      <c r="CU249" s="269">
        <f>'Detailed Budget'!$AC$24</f>
        <v>30624985696</v>
      </c>
      <c r="CV249" s="269">
        <f t="shared" si="612"/>
        <v>11170740.287384406</v>
      </c>
      <c r="CW249" s="865"/>
      <c r="CX249" s="269">
        <f t="shared" si="596"/>
        <v>121825508.68627253</v>
      </c>
      <c r="CY249" s="618">
        <f>'Detailed Budget'!$AC$97</f>
        <v>74629165494.837845</v>
      </c>
      <c r="CZ249" s="865">
        <f t="shared" si="697"/>
        <v>0</v>
      </c>
      <c r="DA249" s="865">
        <f>'Detailed Budget'!$AC$100</f>
        <v>14925833098.967569</v>
      </c>
      <c r="DB249" s="269">
        <f t="shared" si="698"/>
        <v>0</v>
      </c>
      <c r="DC249" s="269">
        <f t="shared" si="560"/>
        <v>0</v>
      </c>
      <c r="DD249" s="207"/>
      <c r="DE249" s="606">
        <v>0</v>
      </c>
      <c r="DF249" s="269">
        <f>'Detailed Budget'!$AC$147</f>
        <v>5913600671000</v>
      </c>
      <c r="DG249" s="269">
        <f t="shared" si="607"/>
        <v>0</v>
      </c>
      <c r="DH249" s="269">
        <f>'Detailed Budget'!$AC$153</f>
        <v>226428026880.00003</v>
      </c>
      <c r="DI249" s="269"/>
      <c r="DJ249" s="269">
        <f>'Detailed Budget'!$AC$156</f>
        <v>27713070000</v>
      </c>
      <c r="DK249" s="269"/>
      <c r="DL249" s="269"/>
      <c r="DM249" s="618">
        <f>'Detailed Budget'!$AC$178</f>
        <v>5622683761.6229038</v>
      </c>
      <c r="DN249" s="865">
        <f t="shared" si="687"/>
        <v>0</v>
      </c>
      <c r="DO249" s="618">
        <f>'Detailed Budget'!$AC$179</f>
        <v>26827890683.128094</v>
      </c>
      <c r="DP249" s="865">
        <f t="shared" si="688"/>
        <v>0</v>
      </c>
      <c r="DQ249" s="865">
        <f t="shared" si="625"/>
        <v>0</v>
      </c>
      <c r="DR249" s="865">
        <f>'Detailed Budget'!$AC$181</f>
        <v>50888946855.375237</v>
      </c>
      <c r="DS249" s="865">
        <f t="shared" si="689"/>
        <v>0</v>
      </c>
      <c r="DT249" s="865">
        <f t="shared" si="690"/>
        <v>0</v>
      </c>
      <c r="DU249" s="864">
        <f>'Detailed Budget'!$AC$192</f>
        <v>77498869683.252869</v>
      </c>
      <c r="DV249" s="865">
        <f t="shared" si="699"/>
        <v>0</v>
      </c>
      <c r="DW249" s="866">
        <f>'Detailed Budget'!$AC$194</f>
        <v>2684962805.4134097</v>
      </c>
      <c r="DX249" s="865">
        <f t="shared" si="700"/>
        <v>0</v>
      </c>
      <c r="DY249" s="867">
        <f t="shared" si="561"/>
        <v>0</v>
      </c>
      <c r="DZ249" s="618">
        <f>'Detailed Budget'!$AC$198</f>
        <v>18732540018.380611</v>
      </c>
      <c r="EA249" s="865">
        <f t="shared" si="672"/>
        <v>3814072.0948892292</v>
      </c>
      <c r="EB249" s="618">
        <f>'Detailed Budget'!$AC$200</f>
        <v>4683135004.5951529</v>
      </c>
      <c r="EC249" s="269">
        <f t="shared" si="701"/>
        <v>953518.02372230729</v>
      </c>
      <c r="ED249" s="269">
        <f t="shared" si="563"/>
        <v>4767590.1186115369</v>
      </c>
      <c r="EE249" s="236">
        <f>'Detailed Budget'!$AC$161</f>
        <v>251147290106.36197</v>
      </c>
      <c r="EF249" s="269">
        <f t="shared" si="702"/>
        <v>33493852.991114095</v>
      </c>
      <c r="EG249" s="236">
        <f>'Detailed Budget'!$AC$163</f>
        <v>15696705631.647623</v>
      </c>
      <c r="EH249" s="269">
        <f t="shared" si="703"/>
        <v>2093365.8119446309</v>
      </c>
      <c r="EI249" s="269">
        <f t="shared" si="564"/>
        <v>35587218.803058729</v>
      </c>
      <c r="EJ249" s="236">
        <f>'Detailed Budget'!$AC$204</f>
        <v>45012172507.531975</v>
      </c>
      <c r="EK249" s="269">
        <f t="shared" si="704"/>
        <v>4931474.8483439339</v>
      </c>
      <c r="EL249" s="201">
        <f>'Detailed Budget'!$AC$206</f>
        <v>11253043126.882994</v>
      </c>
      <c r="EM249" s="269">
        <f t="shared" si="705"/>
        <v>1232868.7120859835</v>
      </c>
      <c r="EN249" s="269">
        <f t="shared" si="565"/>
        <v>6164343.5604299176</v>
      </c>
      <c r="EO249" s="140">
        <f>'Detailed Budget'!$AC$209</f>
        <v>135789361677.54817</v>
      </c>
      <c r="EP249" s="269">
        <f t="shared" si="706"/>
        <v>16047570.516163403</v>
      </c>
      <c r="EQ249" s="236">
        <f>'Detailed Budget'!$AC$211</f>
        <v>33947340419.387043</v>
      </c>
      <c r="ER249" s="269">
        <f t="shared" si="707"/>
        <v>4011892.6290408508</v>
      </c>
      <c r="ES249" s="269">
        <f t="shared" si="566"/>
        <v>20059463.145204253</v>
      </c>
      <c r="ET249" s="236">
        <f>'Detailed Budget'!$AC$214</f>
        <v>22239745544.201103</v>
      </c>
      <c r="EU249" s="269">
        <f t="shared" si="708"/>
        <v>2552525.8140152209</v>
      </c>
      <c r="EV249" s="140">
        <f>'Detailed Budget'!$AC$217</f>
        <v>5559936386.0502758</v>
      </c>
      <c r="EW249" s="269">
        <f t="shared" si="709"/>
        <v>638131.45350380521</v>
      </c>
      <c r="EX249" s="269">
        <f t="shared" si="567"/>
        <v>3190657.2675190261</v>
      </c>
      <c r="EY249" s="236">
        <f>'Detailed Budget'!$AC$219</f>
        <v>372777004.58170313</v>
      </c>
      <c r="EZ249" s="269">
        <f t="shared" si="710"/>
        <v>44792.612533875239</v>
      </c>
      <c r="FA249" s="236">
        <f>'Detailed Budget'!$AC$222</f>
        <v>93194251.145425782</v>
      </c>
      <c r="FB249" s="269">
        <f t="shared" si="711"/>
        <v>11198.15313346881</v>
      </c>
      <c r="FC249" s="269">
        <f t="shared" si="568"/>
        <v>55990.765667344051</v>
      </c>
      <c r="FD249" s="269"/>
      <c r="FE249" s="269">
        <f t="shared" si="569"/>
        <v>29470454.738820542</v>
      </c>
      <c r="FF249" s="859">
        <f>'Detailed Budget'!$AC$165</f>
        <v>14927760000</v>
      </c>
      <c r="FG249" s="1087">
        <f t="shared" si="608"/>
        <v>40199651.026712649</v>
      </c>
      <c r="FH249" s="616"/>
      <c r="FI249" s="616"/>
      <c r="FJ249" s="140">
        <f>'Detailed Budget'!$AC$235</f>
        <v>3623696172</v>
      </c>
      <c r="FK249" s="269"/>
      <c r="FL249" s="269"/>
      <c r="FM249" s="269"/>
      <c r="FN249" s="269"/>
      <c r="FO249" s="607"/>
      <c r="FP249" s="607"/>
      <c r="FQ249" s="607"/>
      <c r="FR249" s="269"/>
      <c r="FS249" s="269"/>
      <c r="FT249" s="269">
        <f t="shared" si="610"/>
        <v>0</v>
      </c>
      <c r="FU249" s="269"/>
      <c r="FV249" s="269"/>
      <c r="FW249" s="616"/>
      <c r="FX249" s="140">
        <f>'Detailed Budget'!$AC$278</f>
        <v>1114560000</v>
      </c>
      <c r="FY249" s="269"/>
      <c r="FZ249" s="269"/>
      <c r="GB249" s="269">
        <f t="shared" si="619"/>
        <v>231850423.37347603</v>
      </c>
      <c r="GC249" s="887">
        <f t="shared" si="574"/>
        <v>144906.51460842253</v>
      </c>
      <c r="GD249" s="1078">
        <f t="shared" si="620"/>
        <v>1.3009857331670982E-4</v>
      </c>
    </row>
    <row r="250" spans="1:186" hidden="1" outlineLevel="1">
      <c r="A250" s="228"/>
      <c r="B250" s="229"/>
      <c r="C250" s="230"/>
      <c r="D250" s="231"/>
      <c r="E250" s="230"/>
      <c r="F250" s="230"/>
      <c r="G250" s="230"/>
      <c r="H250" s="230"/>
      <c r="I250" s="231"/>
      <c r="J250" s="231"/>
      <c r="K250" s="230"/>
      <c r="L250" s="230"/>
      <c r="M250" s="231"/>
      <c r="N250" s="230"/>
      <c r="O250" s="231"/>
      <c r="P250" s="230"/>
      <c r="Q250" s="231"/>
      <c r="R250" s="231"/>
      <c r="S250" s="231"/>
      <c r="T250" s="231"/>
      <c r="U250" s="232"/>
      <c r="V250" s="845"/>
      <c r="W250" s="233"/>
      <c r="X250" s="234"/>
      <c r="Y250" s="235"/>
      <c r="Z250" s="236"/>
      <c r="AA250" s="235"/>
      <c r="AB250" s="237"/>
      <c r="AC250" s="238"/>
      <c r="AD250" s="237"/>
      <c r="AE250" s="618"/>
      <c r="AG250" s="606"/>
      <c r="AH250" s="237"/>
      <c r="AJ250" s="196"/>
      <c r="AK250" s="196"/>
      <c r="AL250" s="196"/>
      <c r="AM250" s="196"/>
      <c r="AO250" s="196"/>
      <c r="AP250" s="589"/>
      <c r="AQ250" s="196"/>
      <c r="AR250" s="589"/>
      <c r="AS250"/>
      <c r="AT250" s="589"/>
      <c r="AU250" s="237"/>
      <c r="AV250" s="245"/>
      <c r="AX250" s="245"/>
      <c r="AY250" s="245"/>
      <c r="AZ250" s="237"/>
      <c r="BA250" s="589">
        <f t="shared" si="613"/>
        <v>0</v>
      </c>
      <c r="BB250" s="237"/>
      <c r="BC250" s="237"/>
      <c r="BD250" s="237"/>
      <c r="BE250" s="237"/>
      <c r="BF250" s="237"/>
      <c r="BG250" s="237"/>
      <c r="BH250" s="1082"/>
      <c r="BK250" s="246"/>
      <c r="BL250" s="246"/>
      <c r="BM250" s="246"/>
      <c r="BN250" s="196"/>
      <c r="BQ250" s="248"/>
      <c r="BR250" s="248"/>
      <c r="BS250" s="248"/>
      <c r="BT250" s="276"/>
      <c r="BV250" s="264">
        <f t="shared" si="617"/>
        <v>0</v>
      </c>
      <c r="BX250" s="247">
        <f t="shared" si="618"/>
        <v>0</v>
      </c>
      <c r="BY250" s="196"/>
      <c r="CA250" s="196"/>
      <c r="CB250" s="196"/>
      <c r="CC250" s="196"/>
      <c r="CD250" s="247"/>
      <c r="CF250" s="247"/>
      <c r="CG250" s="196"/>
      <c r="CH250" s="589"/>
      <c r="CI250" s="196"/>
      <c r="CJ250" s="248"/>
      <c r="CK250" s="196"/>
      <c r="CL250" s="589"/>
      <c r="CM250" s="196"/>
      <c r="CN250" s="589"/>
      <c r="CO250" s="196"/>
      <c r="CP250" s="589"/>
      <c r="CQ250" s="196"/>
      <c r="CR250" s="269"/>
      <c r="CS250" s="269"/>
      <c r="CT250" s="607"/>
      <c r="CU250" s="269">
        <f>'Detailed Budget'!$AC$24</f>
        <v>30624985696</v>
      </c>
      <c r="CV250" s="269">
        <f t="shared" si="612"/>
        <v>0</v>
      </c>
      <c r="CW250" s="269"/>
      <c r="CX250" s="269"/>
      <c r="CY250" s="196"/>
      <c r="DC250" s="269"/>
      <c r="DD250" s="207"/>
      <c r="DE250" s="606">
        <v>0</v>
      </c>
      <c r="DF250" s="269"/>
      <c r="DG250" s="269"/>
      <c r="DH250" s="269">
        <f>'Detailed Budget'!$AC$153</f>
        <v>226428026880.00003</v>
      </c>
      <c r="DI250" s="269"/>
      <c r="DJ250" s="269">
        <f>'Detailed Budget'!$AC$156</f>
        <v>27713070000</v>
      </c>
      <c r="DK250" s="269"/>
      <c r="DL250" s="269"/>
      <c r="DM250" s="196"/>
      <c r="DN250" s="269"/>
      <c r="DO250" s="196"/>
      <c r="DP250" s="269"/>
      <c r="DQ250" s="269"/>
      <c r="DR250" s="269"/>
      <c r="DS250" s="269"/>
      <c r="DT250" s="269"/>
      <c r="DU250" s="272"/>
      <c r="DV250" s="269"/>
      <c r="DW250" s="140"/>
      <c r="DX250" s="269"/>
      <c r="DY250" s="607"/>
      <c r="DZ250" s="196"/>
      <c r="EA250" s="269"/>
      <c r="EB250" s="196"/>
      <c r="ED250" s="269"/>
      <c r="EE250" s="196"/>
      <c r="EG250" s="196"/>
      <c r="EI250" s="269"/>
      <c r="EJ250" s="196"/>
      <c r="EL250" s="201"/>
      <c r="EN250" s="269"/>
      <c r="EO250" s="140"/>
      <c r="EQ250" s="196"/>
      <c r="ES250" s="269"/>
      <c r="ET250" s="196"/>
      <c r="EV250" s="140"/>
      <c r="EX250" s="269"/>
      <c r="EY250" s="196"/>
      <c r="FA250" s="196"/>
      <c r="FC250" s="269"/>
      <c r="FD250" s="269"/>
      <c r="FE250" s="269"/>
      <c r="FF250" s="140"/>
      <c r="FG250" s="1087">
        <f t="shared" si="608"/>
        <v>0</v>
      </c>
      <c r="FJ250" s="140"/>
      <c r="FO250" s="607"/>
      <c r="FP250" s="607"/>
      <c r="FQ250" s="607"/>
      <c r="FT250" s="269">
        <f t="shared" si="610"/>
        <v>0</v>
      </c>
      <c r="FU250" s="269"/>
      <c r="FV250" s="269"/>
      <c r="FW250" s="616"/>
      <c r="FX250" s="140"/>
      <c r="FY250" s="269"/>
      <c r="FZ250" s="269"/>
      <c r="GB250" s="269">
        <f t="shared" si="619"/>
        <v>0</v>
      </c>
      <c r="GD250" s="1078">
        <f t="shared" si="620"/>
        <v>0</v>
      </c>
    </row>
    <row r="251" spans="1:186" s="210" customFormat="1" collapsed="1">
      <c r="A251" s="203">
        <v>2.6</v>
      </c>
      <c r="B251" s="204" t="s">
        <v>657</v>
      </c>
      <c r="C251" s="205">
        <f t="shared" ref="C251:T251" si="714">COUNTA(C252:C268)</f>
        <v>17</v>
      </c>
      <c r="D251" s="205">
        <f t="shared" si="714"/>
        <v>17</v>
      </c>
      <c r="E251" s="205">
        <f t="shared" si="714"/>
        <v>0</v>
      </c>
      <c r="F251" s="205">
        <f t="shared" si="714"/>
        <v>0</v>
      </c>
      <c r="G251" s="205">
        <f t="shared" si="714"/>
        <v>0</v>
      </c>
      <c r="H251" s="205">
        <f t="shared" si="714"/>
        <v>17</v>
      </c>
      <c r="I251" s="205">
        <f t="shared" si="714"/>
        <v>17</v>
      </c>
      <c r="J251" s="205">
        <f t="shared" si="714"/>
        <v>0</v>
      </c>
      <c r="K251" s="205">
        <f t="shared" si="714"/>
        <v>17</v>
      </c>
      <c r="L251" s="205">
        <f t="shared" si="714"/>
        <v>0</v>
      </c>
      <c r="M251" s="205">
        <f t="shared" si="714"/>
        <v>0</v>
      </c>
      <c r="N251" s="205">
        <f t="shared" si="714"/>
        <v>0</v>
      </c>
      <c r="O251" s="205">
        <f t="shared" si="714"/>
        <v>0</v>
      </c>
      <c r="P251" s="205">
        <f t="shared" si="714"/>
        <v>0</v>
      </c>
      <c r="Q251" s="205">
        <f t="shared" si="714"/>
        <v>0</v>
      </c>
      <c r="R251" s="205">
        <f t="shared" si="714"/>
        <v>17</v>
      </c>
      <c r="S251" s="205">
        <f t="shared" si="714"/>
        <v>2</v>
      </c>
      <c r="T251" s="205">
        <f t="shared" si="714"/>
        <v>0</v>
      </c>
      <c r="U251" s="206">
        <f>SUM(C251:T251)</f>
        <v>104</v>
      </c>
      <c r="V251" s="844"/>
      <c r="W251" s="207">
        <f>SUM(W252:W268)</f>
        <v>2321339</v>
      </c>
      <c r="X251" s="208">
        <v>3.53</v>
      </c>
      <c r="Y251" s="209">
        <f t="shared" si="640"/>
        <v>1.0352999999999999</v>
      </c>
      <c r="Z251" s="207">
        <v>19</v>
      </c>
      <c r="AA251" s="209">
        <f t="shared" si="641"/>
        <v>1.9331166712483931</v>
      </c>
      <c r="AB251" s="207">
        <f t="shared" si="712"/>
        <v>4487419.1205190737</v>
      </c>
      <c r="AC251" s="210">
        <v>18.899999999999999</v>
      </c>
      <c r="AD251" s="207">
        <f t="shared" si="713"/>
        <v>848122.21377810498</v>
      </c>
      <c r="AE251" s="207">
        <f t="shared" si="644"/>
        <v>805716.10308919975</v>
      </c>
      <c r="AF251" s="207">
        <f>SUM(AF252:AF268)</f>
        <v>805716.10308919963</v>
      </c>
      <c r="AG251" s="588">
        <f t="shared" si="577"/>
        <v>3.7252775446875247E-2</v>
      </c>
      <c r="AH251" s="207">
        <f>SUM(AH252:AH268)</f>
        <v>224370.9560259537</v>
      </c>
      <c r="AI251" s="633">
        <f t="shared" ref="AI251:AI310" si="715">AH251/12908475</f>
        <v>1.738167800812673E-2</v>
      </c>
      <c r="AJ251" s="207">
        <f>SUM(AJ252:AJ268)</f>
        <v>1072493.1698040587</v>
      </c>
      <c r="AK251" s="207">
        <f t="shared" si="605"/>
        <v>179496.76482076294</v>
      </c>
      <c r="AL251" s="207">
        <f t="shared" si="606"/>
        <v>179496.76482076294</v>
      </c>
      <c r="AM251" s="207">
        <f t="shared" ref="AM251:AM311" si="716">AK251+AL251</f>
        <v>358993.52964152588</v>
      </c>
      <c r="AN251" s="632">
        <f t="shared" ref="AN251:AN311" si="717">AM251/20653560</f>
        <v>1.738167800812673E-2</v>
      </c>
      <c r="AO251" s="207">
        <f t="shared" ref="AO251:AO311" si="718">AB251*0.038</f>
        <v>170521.92657972479</v>
      </c>
      <c r="AP251" s="588">
        <f t="shared" si="579"/>
        <v>1.738167800812673E-2</v>
      </c>
      <c r="AQ251" s="207">
        <v>1</v>
      </c>
      <c r="AR251" s="588">
        <f>AQ251/37</f>
        <v>2.7027027027027029E-2</v>
      </c>
      <c r="AS251" s="207">
        <f>SUM(AS252:AS268)</f>
        <v>17</v>
      </c>
      <c r="AT251" s="588">
        <f t="shared" si="580"/>
        <v>2.1963824289405683E-2</v>
      </c>
      <c r="AU251" s="207">
        <f>SUM(AU252:AU268)</f>
        <v>178</v>
      </c>
      <c r="AV251" s="892">
        <f t="shared" ref="AV251:AV311" si="719">AU251/8801</f>
        <v>2.0224974434723327E-2</v>
      </c>
      <c r="AW251" s="207">
        <v>45270</v>
      </c>
      <c r="AX251" s="208">
        <f>AW251*0.002</f>
        <v>90.54</v>
      </c>
      <c r="AY251" s="207">
        <f>AX251*100</f>
        <v>9054</v>
      </c>
      <c r="AZ251" s="207">
        <f>SUM(AZ252:AZ268)</f>
        <v>480</v>
      </c>
      <c r="BA251" s="588">
        <f t="shared" si="613"/>
        <v>1.7588215895350114E-2</v>
      </c>
      <c r="BB251" s="207">
        <v>21</v>
      </c>
      <c r="BC251" s="207">
        <v>2</v>
      </c>
      <c r="BD251" s="207">
        <f>BB251+BC251</f>
        <v>23</v>
      </c>
      <c r="BE251" s="633">
        <f>BD251/1306</f>
        <v>1.761102603369066E-2</v>
      </c>
      <c r="BF251" s="207">
        <f>AZ251+BD251</f>
        <v>503</v>
      </c>
      <c r="BG251" s="588">
        <f>BF251/28597</f>
        <v>1.758925761443508E-2</v>
      </c>
      <c r="BH251" s="1084">
        <v>30.3</v>
      </c>
      <c r="BI251" s="207"/>
      <c r="BJ251" s="207">
        <v>2493011</v>
      </c>
      <c r="BK251" s="892">
        <f t="shared" si="614"/>
        <v>4.754021564131411E-2</v>
      </c>
      <c r="BL251" s="207">
        <f>BJ251/50</f>
        <v>49860.22</v>
      </c>
      <c r="BM251" s="892">
        <f t="shared" si="615"/>
        <v>4.7540210201935357E-2</v>
      </c>
      <c r="BN251" s="207"/>
      <c r="BO251" s="207">
        <v>258686</v>
      </c>
      <c r="BP251" s="207">
        <f>SUM(BP252:BP268)</f>
        <v>0</v>
      </c>
      <c r="BQ251" s="633">
        <f t="shared" si="616"/>
        <v>0</v>
      </c>
      <c r="BR251" s="207">
        <f>AY251*0.5*24</f>
        <v>108648</v>
      </c>
      <c r="BS251" s="633">
        <f>BR251/2211211</f>
        <v>4.9135066712312846E-2</v>
      </c>
      <c r="BT251" s="634"/>
      <c r="BU251" s="207">
        <f>SUM(BU252:BU268)</f>
        <v>628967.43373784248</v>
      </c>
      <c r="BV251" s="264">
        <f t="shared" si="617"/>
        <v>4.3626372566999257E-2</v>
      </c>
      <c r="BW251" s="207">
        <f>SUM(BW252:BW268)</f>
        <v>2690582.9109896603</v>
      </c>
      <c r="BX251" s="247">
        <f t="shared" si="618"/>
        <v>4.3626372959987302E-2</v>
      </c>
      <c r="BY251" s="207">
        <f>SUM(BY252:BY268)</f>
        <v>3319550.3447275031</v>
      </c>
      <c r="CA251" s="207">
        <f>SUM(CA252:CA268)</f>
        <v>1373150.2508788365</v>
      </c>
      <c r="CB251" s="207">
        <f>SUM(CB252:CB268)</f>
        <v>2746300.501757673</v>
      </c>
      <c r="CC251" s="207">
        <f>SUM(CC252:CC268)</f>
        <v>4119450.7526365099</v>
      </c>
      <c r="CD251" s="633">
        <f t="shared" ref="CD251:CD311" si="720">CC251/236999601</f>
        <v>1.738167800812673E-2</v>
      </c>
      <c r="CE251" s="207">
        <f>SUM(CE252:CE268)</f>
        <v>555083.89121014078</v>
      </c>
      <c r="CF251" s="633">
        <f t="shared" ref="CF251:CF311" si="721">CE251/23157202</f>
        <v>2.3970248703195696E-2</v>
      </c>
      <c r="CG251" s="207">
        <f t="shared" ref="CG251:CG268" si="722">AO251*4</f>
        <v>682087.70631889917</v>
      </c>
      <c r="CH251" s="588">
        <f t="shared" si="587"/>
        <v>1.738167800812673E-2</v>
      </c>
      <c r="CI251" s="207">
        <f t="shared" ref="CI251:CO251" si="723">SUM(CI252:CI268)</f>
        <v>1594912.4020144094</v>
      </c>
      <c r="CJ251" s="633">
        <f t="shared" si="589"/>
        <v>2.6220355840693949E-2</v>
      </c>
      <c r="CK251" s="207">
        <f t="shared" si="723"/>
        <v>1699271.4283191967</v>
      </c>
      <c r="CL251" s="588">
        <f t="shared" si="591"/>
        <v>2.4427376307309189E-2</v>
      </c>
      <c r="CM251" s="207">
        <f t="shared" si="723"/>
        <v>164617.04149345294</v>
      </c>
      <c r="CN251" s="588">
        <f t="shared" si="593"/>
        <v>2.3723186494438157E-2</v>
      </c>
      <c r="CO251" s="207">
        <f t="shared" si="723"/>
        <v>13169.003319385496</v>
      </c>
      <c r="CP251" s="588">
        <f t="shared" si="595"/>
        <v>2.4834711860435132E-2</v>
      </c>
      <c r="CQ251" s="207">
        <f>'Detailed Budget'!$AC$12</f>
        <v>292876014141.44696</v>
      </c>
      <c r="CR251" s="605">
        <f t="shared" ref="CR251:CR314" si="724">BK251*CQ251</f>
        <v>13923388868.45295</v>
      </c>
      <c r="CS251" s="605">
        <f>'Detailed Budget'!$AC$16</f>
        <v>10488008800.000002</v>
      </c>
      <c r="CT251" s="605">
        <f t="shared" ref="CT251:CT268" si="725">BM251*CS251</f>
        <v>498602142.95174789</v>
      </c>
      <c r="CU251" s="605">
        <f>'Detailed Budget'!$AC$24</f>
        <v>30624985696</v>
      </c>
      <c r="CV251" s="605">
        <f t="shared" si="612"/>
        <v>1455918424</v>
      </c>
      <c r="CW251" s="605"/>
      <c r="CX251" s="605">
        <f t="shared" si="596"/>
        <v>15877909435.404697</v>
      </c>
      <c r="CY251" s="207">
        <f>'Detailed Budget'!$AC$97</f>
        <v>74629165494.837845</v>
      </c>
      <c r="CZ251" s="605">
        <f t="shared" ref="CZ251:CZ268" si="726">BQ251*CY251</f>
        <v>0</v>
      </c>
      <c r="DA251" s="605">
        <f>'Detailed Budget'!$AC$100</f>
        <v>14925833098.967569</v>
      </c>
      <c r="DB251" s="605">
        <f t="shared" ref="DB251:DB268" si="727">BQ251*DA251</f>
        <v>0</v>
      </c>
      <c r="DC251" s="605">
        <f t="shared" ref="DC251:DC311" si="728">CZ251+DB251</f>
        <v>0</v>
      </c>
      <c r="DD251" s="207">
        <f>SUM(DD252:DD268)</f>
        <v>2</v>
      </c>
      <c r="DE251" s="606">
        <v>0</v>
      </c>
      <c r="DF251" s="605">
        <f>'Detailed Budget'!$AC$147</f>
        <v>5913600671000</v>
      </c>
      <c r="DG251" s="605">
        <f t="shared" si="607"/>
        <v>0</v>
      </c>
      <c r="DH251" s="605">
        <f>'Detailed Budget'!$AC$153</f>
        <v>226428026880.00003</v>
      </c>
      <c r="DI251" s="605">
        <f>BS251*DH251</f>
        <v>11125556206.286167</v>
      </c>
      <c r="DJ251" s="605">
        <f>'Detailed Budget'!$AC$156</f>
        <v>27713070000</v>
      </c>
      <c r="DK251" s="605">
        <f>AT251*DJ251</f>
        <v>608685000</v>
      </c>
      <c r="DL251" s="605">
        <f>DI251+DK251</f>
        <v>11734241206.286167</v>
      </c>
      <c r="DM251" s="207">
        <f>'Detailed Budget'!$AC$178</f>
        <v>5622683761.6229038</v>
      </c>
      <c r="DN251" s="207">
        <f>SUM(DN252:DN268)</f>
        <v>245297296.61097765</v>
      </c>
      <c r="DO251" s="207">
        <f>'Detailed Budget'!$AC$179</f>
        <v>26827890683.128094</v>
      </c>
      <c r="DP251" s="207">
        <f>SUM(DP252:DP268)</f>
        <v>1170403564.6719143</v>
      </c>
      <c r="DQ251" s="207">
        <f>SUM(DQ252:DQ268)</f>
        <v>1415700861.282892</v>
      </c>
      <c r="DR251" s="605">
        <f>'Detailed Budget'!$AC$181</f>
        <v>50888946855.375237</v>
      </c>
      <c r="DS251" s="207">
        <f>SUM(DS252:DS268)</f>
        <v>1895754509.9312618</v>
      </c>
      <c r="DT251" s="207">
        <f>SUM(DT252:DT268)</f>
        <v>3311455371.2141542</v>
      </c>
      <c r="DU251" s="634">
        <f>'Detailed Budget'!$AC$192</f>
        <v>77498869683.252869</v>
      </c>
      <c r="DV251" s="605">
        <f t="shared" ref="DV251:DV268" si="729">BZ251*CD251*DU251</f>
        <v>0</v>
      </c>
      <c r="DW251" s="930">
        <f>'Detailed Budget'!$AC$194</f>
        <v>2684962805.4134097</v>
      </c>
      <c r="DX251" s="605">
        <f t="shared" ref="DX251:DX268" si="730">BZ251*AN251*DW251</f>
        <v>0</v>
      </c>
      <c r="DY251" s="605">
        <f t="shared" ref="DY251:DY311" si="731">DV251+DX251</f>
        <v>0</v>
      </c>
      <c r="DZ251" s="207">
        <f>'Detailed Budget'!$AC$198</f>
        <v>18732540018.380611</v>
      </c>
      <c r="EA251" s="605">
        <f t="shared" ref="EA251:EA268" si="732">CF251*DZ251</f>
        <v>449023643.08314931</v>
      </c>
      <c r="EB251" s="207">
        <f>'Detailed Budget'!$AC$200</f>
        <v>4683135004.5951529</v>
      </c>
      <c r="EC251" s="605">
        <f t="shared" ref="EC251:EC268" si="733">CF251*EB251</f>
        <v>112255910.77078733</v>
      </c>
      <c r="ED251" s="605">
        <f t="shared" ref="ED251:ED311" si="734">EA251+EC251</f>
        <v>561279553.85393667</v>
      </c>
      <c r="EE251" s="207">
        <f>'Detailed Budget'!$AC$161</f>
        <v>251147290106.36197</v>
      </c>
      <c r="EF251" s="605">
        <f t="shared" ref="EF251:EF268" si="735">CH251*EE251</f>
        <v>4365361329.2423754</v>
      </c>
      <c r="EG251" s="207">
        <f>'Detailed Budget'!$AC$163</f>
        <v>15696705631.647623</v>
      </c>
      <c r="EH251" s="605">
        <f t="shared" ref="EH251:EH268" si="736">AP251*EG251</f>
        <v>272835083.07764846</v>
      </c>
      <c r="EI251" s="605">
        <f t="shared" ref="EI251:EI311" si="737">EF251+EH251</f>
        <v>4638196412.3200235</v>
      </c>
      <c r="EJ251" s="207">
        <f>'Detailed Budget'!$AC$204</f>
        <v>45012172507.531975</v>
      </c>
      <c r="EK251" s="605">
        <f t="shared" ref="EK251:EK268" si="738">CJ251*EJ251</f>
        <v>1180235180.3101897</v>
      </c>
      <c r="EL251" s="207">
        <f>'Detailed Budget'!$AC$206</f>
        <v>11253043126.882994</v>
      </c>
      <c r="EM251" s="605">
        <f t="shared" ref="EM251:EM268" si="739">CJ251*EL251</f>
        <v>295058795.07754743</v>
      </c>
      <c r="EN251" s="605">
        <f t="shared" ref="EN251:EN311" si="740">EK251+EM251</f>
        <v>1475293975.3877373</v>
      </c>
      <c r="EO251" s="930">
        <f>'Detailed Budget'!$AC$209</f>
        <v>135789361677.54817</v>
      </c>
      <c r="EP251" s="605">
        <f t="shared" ref="EP251:EP268" si="741">CL251*EO251</f>
        <v>3316977836.2267785</v>
      </c>
      <c r="EQ251" s="207">
        <f>'Detailed Budget'!$AC$211</f>
        <v>33947340419.387043</v>
      </c>
      <c r="ER251" s="605">
        <f t="shared" ref="ER251:ER268" si="742">CL251*EQ251</f>
        <v>829244459.05669463</v>
      </c>
      <c r="ES251" s="605">
        <f t="shared" ref="ES251:ES311" si="743">EP251+ER251</f>
        <v>4146222295.283473</v>
      </c>
      <c r="ET251" s="207">
        <f>'Detailed Budget'!$AC$214</f>
        <v>22239745544.201103</v>
      </c>
      <c r="EU251" s="605">
        <f t="shared" ref="EU251:EU268" si="744">CN251*ET251</f>
        <v>527597631.13393283</v>
      </c>
      <c r="EV251" s="930">
        <f>'Detailed Budget'!$AC$217</f>
        <v>5559936386.0502758</v>
      </c>
      <c r="EW251" s="605">
        <f t="shared" ref="EW251:EW268" si="745">CN251*EV251</f>
        <v>131899407.78348321</v>
      </c>
      <c r="EX251" s="605">
        <f t="shared" ref="EX251:EX311" si="746">EU251+EW251</f>
        <v>659497038.9174161</v>
      </c>
      <c r="EY251" s="207">
        <f>'Detailed Budget'!$AC$219</f>
        <v>372777004.58170313</v>
      </c>
      <c r="EZ251" s="605">
        <f t="shared" ref="EZ251:EZ268" si="747">CP251*EY251</f>
        <v>9257809.4969827048</v>
      </c>
      <c r="FA251" s="207">
        <f>'Detailed Budget'!$AC$222</f>
        <v>93194251.145425782</v>
      </c>
      <c r="FB251" s="605">
        <f t="shared" ref="FB251:FB268" si="748">CP251*FA251</f>
        <v>2314452.3742456762</v>
      </c>
      <c r="FC251" s="605">
        <f t="shared" ref="FC251:FC311" si="749">EZ251+FB251</f>
        <v>11572261.871228382</v>
      </c>
      <c r="FD251" s="605"/>
      <c r="FE251" s="605">
        <f t="shared" ref="FE251:FE311" si="750">EN251+ES251+EX251+FC251</f>
        <v>6292585571.4598551</v>
      </c>
      <c r="FF251" s="930">
        <f>'Detailed Budget'!$AC$165</f>
        <v>14927760000</v>
      </c>
      <c r="FG251" s="1087">
        <f t="shared" si="608"/>
        <v>8583503249.9582424</v>
      </c>
      <c r="FH251" s="605">
        <f>AV251*FF251</f>
        <v>301913564.3676855</v>
      </c>
      <c r="FI251" s="605"/>
      <c r="FJ251" s="930">
        <f>'Detailed Budget'!$AC$235</f>
        <v>3623696172</v>
      </c>
      <c r="FK251" s="605">
        <f>AT251*FJ251</f>
        <v>79590226</v>
      </c>
      <c r="FL251" s="605">
        <f t="shared" si="609"/>
        <v>79590226</v>
      </c>
      <c r="FM251" s="605"/>
      <c r="FN251" s="605">
        <f>'Detailed Budget'!$AC$251</f>
        <v>1047595800</v>
      </c>
      <c r="FO251" s="605">
        <f>AR251*FN251</f>
        <v>28313400</v>
      </c>
      <c r="FP251" s="605">
        <f>'Detailed Budget'!$AB$254</f>
        <v>2773297530</v>
      </c>
      <c r="FQ251" s="605">
        <f>BE251*FP251</f>
        <v>48840615</v>
      </c>
      <c r="FR251" s="605">
        <f>'Detailed Budget'!$AC$257</f>
        <v>13636439388</v>
      </c>
      <c r="FS251" s="605">
        <f t="shared" ref="FS251:FS268" si="751">BA251*FR251</f>
        <v>239840639.99999997</v>
      </c>
      <c r="FT251" s="605">
        <f t="shared" si="610"/>
        <v>316994655</v>
      </c>
      <c r="FU251" s="605"/>
      <c r="FV251" s="605">
        <f>'Detailed Budget'!$AC$265</f>
        <v>6277805540</v>
      </c>
      <c r="FW251" s="605">
        <f>AR251*FV251</f>
        <v>169670420</v>
      </c>
      <c r="FX251" s="930">
        <f>'Detailed Budget'!$AC$278</f>
        <v>1114560000</v>
      </c>
      <c r="FY251" s="605">
        <f t="shared" ref="FY251:FY268" si="752">AT251*FX251</f>
        <v>24480000</v>
      </c>
      <c r="FZ251" s="605">
        <f t="shared" si="611"/>
        <v>194150420</v>
      </c>
      <c r="GB251" s="269">
        <f t="shared" si="619"/>
        <v>51891819665.864761</v>
      </c>
      <c r="GC251" s="889">
        <f t="shared" ref="GC251:GC311" si="753">GB251/1600</f>
        <v>32432387.291165475</v>
      </c>
      <c r="GD251" s="1078">
        <f t="shared" si="620"/>
        <v>2.9118134041368843E-2</v>
      </c>
    </row>
    <row r="252" spans="1:186" hidden="1" outlineLevel="1">
      <c r="A252" s="211" t="s">
        <v>658</v>
      </c>
      <c r="B252" s="212" t="s">
        <v>659</v>
      </c>
      <c r="C252" s="213" t="s">
        <v>215</v>
      </c>
      <c r="D252" s="214" t="s">
        <v>215</v>
      </c>
      <c r="E252" s="213"/>
      <c r="F252" s="213"/>
      <c r="G252" s="213"/>
      <c r="H252" s="213" t="s">
        <v>215</v>
      </c>
      <c r="I252" s="214" t="s">
        <v>215</v>
      </c>
      <c r="J252" s="214"/>
      <c r="K252" s="213" t="s">
        <v>215</v>
      </c>
      <c r="L252" s="213"/>
      <c r="M252" s="214"/>
      <c r="N252" s="213"/>
      <c r="O252" s="214"/>
      <c r="P252" s="213"/>
      <c r="Q252" s="214"/>
      <c r="R252" s="214" t="s">
        <v>215</v>
      </c>
      <c r="S252" s="214"/>
      <c r="T252" s="214"/>
      <c r="U252" s="215">
        <f t="shared" ref="U252:U268" si="754">COUNTA(C252:T252)</f>
        <v>6</v>
      </c>
      <c r="V252" s="845" t="s">
        <v>219</v>
      </c>
      <c r="W252" s="216">
        <v>139804</v>
      </c>
      <c r="X252" s="217">
        <v>3.53</v>
      </c>
      <c r="Y252" s="218">
        <f t="shared" si="640"/>
        <v>1.0352999999999999</v>
      </c>
      <c r="Z252" s="196">
        <v>19</v>
      </c>
      <c r="AA252" s="218">
        <f t="shared" si="641"/>
        <v>1.9331166712483931</v>
      </c>
      <c r="AB252" s="196">
        <f t="shared" si="712"/>
        <v>270257.44310721033</v>
      </c>
      <c r="AC252">
        <v>18.899999999999999</v>
      </c>
      <c r="AD252" s="196">
        <f t="shared" si="713"/>
        <v>51078.65674726275</v>
      </c>
      <c r="AE252" s="196">
        <f t="shared" si="644"/>
        <v>48524.723909899607</v>
      </c>
      <c r="AF252" s="196">
        <f t="shared" ref="AF252:AF268" si="755">AE252*BT252</f>
        <v>48524.723909899607</v>
      </c>
      <c r="AG252" s="606">
        <f t="shared" ref="AG252:AG313" si="756">AE252/21628351</f>
        <v>2.243570206064235E-3</v>
      </c>
      <c r="AH252" s="196">
        <f>AB252*0.05</f>
        <v>13512.872155360517</v>
      </c>
      <c r="AI252" s="248">
        <f t="shared" si="715"/>
        <v>1.0468217318746419E-3</v>
      </c>
      <c r="AJ252" s="196">
        <f t="shared" ref="AJ252:AJ311" si="757">AD252+AH252</f>
        <v>64591.528902623264</v>
      </c>
      <c r="AK252" s="196">
        <f t="shared" si="605"/>
        <v>10810.297724288414</v>
      </c>
      <c r="AL252" s="196">
        <f t="shared" si="606"/>
        <v>10810.297724288414</v>
      </c>
      <c r="AM252" s="196">
        <f t="shared" si="716"/>
        <v>21620.595448576827</v>
      </c>
      <c r="AN252" s="627">
        <f t="shared" si="717"/>
        <v>1.0468217318746417E-3</v>
      </c>
      <c r="AO252" s="196">
        <f t="shared" si="718"/>
        <v>10269.782838073992</v>
      </c>
      <c r="AP252" s="589">
        <f t="shared" ref="AP252:AP313" si="758">AO252/9810441</f>
        <v>1.0468217318746417E-3</v>
      </c>
      <c r="AQ252" s="196"/>
      <c r="AR252" s="589"/>
      <c r="AS252">
        <v>1</v>
      </c>
      <c r="AT252" s="589">
        <f t="shared" ref="AT252:AT313" si="759">AS252/774</f>
        <v>1.2919896640826874E-3</v>
      </c>
      <c r="AU252" s="196">
        <v>10</v>
      </c>
      <c r="AV252" s="245">
        <f t="shared" si="719"/>
        <v>1.1362345188046814E-3</v>
      </c>
      <c r="AX252" s="245"/>
      <c r="AY252" s="245"/>
      <c r="AZ252" s="196">
        <v>22</v>
      </c>
      <c r="BA252" s="589">
        <f t="shared" si="613"/>
        <v>8.0612656187021366E-4</v>
      </c>
      <c r="BI252" s="196">
        <v>1</v>
      </c>
      <c r="BJ252" s="196">
        <f t="shared" ref="BJ252:BJ268" si="760">AB252/4487419*2493011</f>
        <v>150143.05071537773</v>
      </c>
      <c r="BK252" s="246">
        <f t="shared" si="614"/>
        <v>2.8631373901093168E-3</v>
      </c>
      <c r="BL252" s="196">
        <f>BJ252/50</f>
        <v>3002.8610143075548</v>
      </c>
      <c r="BM252" s="246">
        <f t="shared" si="615"/>
        <v>2.863137062519539E-3</v>
      </c>
      <c r="BN252" s="196">
        <v>0</v>
      </c>
      <c r="BO252" s="196">
        <f t="shared" ref="BO252:BO268" si="761">AJ252/1072493*258686</f>
        <v>15579.51823061223</v>
      </c>
      <c r="BP252" s="196">
        <f t="shared" ref="BP252:BP311" si="762">BN252*BO252</f>
        <v>0</v>
      </c>
      <c r="BQ252" s="248">
        <f t="shared" si="616"/>
        <v>0</v>
      </c>
      <c r="BR252" s="248"/>
      <c r="BS252" s="248"/>
      <c r="BT252" s="276">
        <v>1</v>
      </c>
      <c r="BU252" s="196">
        <f>AD252*BT252*0.18*4*1.03</f>
        <v>37879.931843770057</v>
      </c>
      <c r="BV252" s="264">
        <f t="shared" si="617"/>
        <v>2.6274238232144309E-3</v>
      </c>
      <c r="BW252" s="196">
        <f>AD252*BT252*0.77*4*1.03</f>
        <v>162041.93066501635</v>
      </c>
      <c r="BX252" s="247">
        <f t="shared" si="618"/>
        <v>2.6274238468823653E-3</v>
      </c>
      <c r="BY252" s="196">
        <f t="shared" si="639"/>
        <v>199921.86250878641</v>
      </c>
      <c r="BZ252" s="620">
        <v>0</v>
      </c>
      <c r="CA252" s="196">
        <f t="shared" ref="CA252:CA268" si="763">AK252*0.85*0.75*12</f>
        <v>82698.777590806363</v>
      </c>
      <c r="CB252" s="196">
        <f t="shared" ref="CB252:CB268" si="764">AL252*0.85*0.75*2*12</f>
        <v>165397.55518161273</v>
      </c>
      <c r="CC252" s="196">
        <f t="shared" ref="CC252:CC312" si="765">CA252+CB252</f>
        <v>248096.33277241909</v>
      </c>
      <c r="CD252" s="247">
        <f t="shared" si="720"/>
        <v>1.0468217318746417E-3</v>
      </c>
      <c r="CE252" s="196">
        <f t="shared" ref="CE252:CE268" si="766">AH252/224371*555084</f>
        <v>33430.252249560494</v>
      </c>
      <c r="CF252" s="247">
        <f t="shared" si="721"/>
        <v>1.4436222584041239E-3</v>
      </c>
      <c r="CG252" s="196">
        <f t="shared" si="722"/>
        <v>41079.131352295968</v>
      </c>
      <c r="CH252" s="589">
        <f t="shared" ref="CH252:CH313" si="767">CG252/39241764</f>
        <v>1.0468217318746417E-3</v>
      </c>
      <c r="CI252" s="196">
        <f t="shared" ref="CI252:CI268" si="768">AD252/848122*1594912</f>
        <v>96054.532944659295</v>
      </c>
      <c r="CJ252" s="248">
        <f t="shared" ref="CJ252:CJ313" si="769">CI252/60827260</f>
        <v>1.5791362777915574E-3</v>
      </c>
      <c r="CK252" s="196">
        <f t="shared" ref="CK252:CK268" si="770">AD252/848122*1699271</f>
        <v>102339.616387239</v>
      </c>
      <c r="CL252" s="589">
        <f t="shared" ref="CL252:CL313" si="771">CK252/69564222</f>
        <v>1.4711530359275634E-3</v>
      </c>
      <c r="CM252" s="196">
        <f t="shared" ref="CM252:CM268" si="772">AD252/848122*164617</f>
        <v>9914.1576775088397</v>
      </c>
      <c r="CN252" s="589">
        <f t="shared" ref="CN252:CN313" si="773">CM252/6939078</f>
        <v>1.4287427922713709E-3</v>
      </c>
      <c r="CO252" s="196">
        <f t="shared" ref="CO252:CO268" si="774">AD252/848122*13169</f>
        <v>793.11093298452715</v>
      </c>
      <c r="CP252" s="589">
        <f t="shared" ref="CP252:CP313" si="775">CO252/530266</f>
        <v>1.4956850580360181E-3</v>
      </c>
      <c r="CQ252" s="196">
        <f>'Detailed Budget'!$AC$12</f>
        <v>292876014141.44696</v>
      </c>
      <c r="CR252" s="269">
        <f t="shared" si="724"/>
        <v>838544266.75456178</v>
      </c>
      <c r="CS252" s="269">
        <f>'Detailed Budget'!$AC$16</f>
        <v>10488008800.000002</v>
      </c>
      <c r="CT252" s="607">
        <f t="shared" si="725"/>
        <v>30028606.707311079</v>
      </c>
      <c r="CU252" s="269">
        <f>'Detailed Budget'!$AC$24</f>
        <v>30624985696</v>
      </c>
      <c r="CV252" s="269">
        <f t="shared" si="612"/>
        <v>87683541.617780596</v>
      </c>
      <c r="CW252" s="269"/>
      <c r="CX252" s="269">
        <f t="shared" ref="CX252:CX312" si="776">CR252+CT252+CV252+CW252</f>
        <v>956256415.07965338</v>
      </c>
      <c r="CY252" s="196">
        <f>'Detailed Budget'!$AC$97</f>
        <v>74629165494.837845</v>
      </c>
      <c r="CZ252" s="269">
        <f t="shared" si="726"/>
        <v>0</v>
      </c>
      <c r="DA252" s="269">
        <f>'Detailed Budget'!$AC$100</f>
        <v>14925833098.967569</v>
      </c>
      <c r="DB252" s="269">
        <f t="shared" si="727"/>
        <v>0</v>
      </c>
      <c r="DC252" s="269">
        <f t="shared" si="728"/>
        <v>0</v>
      </c>
      <c r="DD252" s="207">
        <v>0</v>
      </c>
      <c r="DE252" s="606">
        <v>0</v>
      </c>
      <c r="DF252" s="269">
        <f>'Detailed Budget'!$AC$147</f>
        <v>5913600671000</v>
      </c>
      <c r="DG252" s="269">
        <f t="shared" si="607"/>
        <v>0</v>
      </c>
      <c r="DH252" s="269">
        <f>'Detailed Budget'!$AC$153</f>
        <v>226428026880.00003</v>
      </c>
      <c r="DI252" s="269"/>
      <c r="DJ252" s="269">
        <f>'Detailed Budget'!$AC$156</f>
        <v>27713070000</v>
      </c>
      <c r="DK252" s="269"/>
      <c r="DL252" s="269"/>
      <c r="DM252" s="196">
        <f>'Detailed Budget'!$AC$178</f>
        <v>5622683761.6229038</v>
      </c>
      <c r="DN252" s="269">
        <f t="shared" ref="DN252:DN268" si="777">BT252*BV252*DM252</f>
        <v>14773173.265688948</v>
      </c>
      <c r="DO252" s="196">
        <f>'Detailed Budget'!$AC$179</f>
        <v>26827890683.128094</v>
      </c>
      <c r="DP252" s="269">
        <f t="shared" ref="DP252:DP268" si="778">BT252*BX252*DO252</f>
        <v>70488239.742403984</v>
      </c>
      <c r="DQ252" s="269">
        <f t="shared" si="625"/>
        <v>85261413.00809294</v>
      </c>
      <c r="DR252" s="269">
        <f>'Detailed Budget'!$AC$181</f>
        <v>50888946855.375237</v>
      </c>
      <c r="DS252" s="269">
        <f t="shared" ref="DS252:DS268" si="779">BT252*AG252*DR252</f>
        <v>114172924.98270611</v>
      </c>
      <c r="DT252" s="269">
        <f t="shared" ref="DT252:DT268" si="780">DQ252+DS252</f>
        <v>199434337.99079907</v>
      </c>
      <c r="DU252" s="272">
        <f>'Detailed Budget'!$AC$192</f>
        <v>77498869683.252869</v>
      </c>
      <c r="DV252" s="269">
        <f t="shared" si="729"/>
        <v>0</v>
      </c>
      <c r="DW252" s="140">
        <f>'Detailed Budget'!$AC$194</f>
        <v>2684962805.4134097</v>
      </c>
      <c r="DX252" s="269">
        <f t="shared" si="730"/>
        <v>0</v>
      </c>
      <c r="DY252" s="607">
        <f t="shared" si="731"/>
        <v>0</v>
      </c>
      <c r="DZ252" s="196">
        <f>'Detailed Budget'!$AC$198</f>
        <v>18732540018.380611</v>
      </c>
      <c r="EA252" s="269">
        <f t="shared" si="732"/>
        <v>27042711.726980247</v>
      </c>
      <c r="EB252" s="196">
        <f>'Detailed Budget'!$AC$200</f>
        <v>4683135004.5951529</v>
      </c>
      <c r="EC252" s="269">
        <f t="shared" si="733"/>
        <v>6760677.9317450617</v>
      </c>
      <c r="ED252" s="269">
        <f t="shared" si="734"/>
        <v>33803389.658725306</v>
      </c>
      <c r="EE252" s="196">
        <f>'Detailed Budget'!$AC$161</f>
        <v>251147290106.36197</v>
      </c>
      <c r="EF252" s="269">
        <f t="shared" si="735"/>
        <v>262906441.18476489</v>
      </c>
      <c r="EG252" s="196">
        <f>'Detailed Budget'!$AC$163</f>
        <v>15696705631.647623</v>
      </c>
      <c r="EH252" s="269">
        <f t="shared" si="736"/>
        <v>16431652.574047806</v>
      </c>
      <c r="EI252" s="269">
        <f t="shared" si="737"/>
        <v>279338093.75881273</v>
      </c>
      <c r="EJ252" s="196">
        <f>'Detailed Budget'!$AC$204</f>
        <v>45012172507.531975</v>
      </c>
      <c r="EK252" s="269">
        <f t="shared" si="738"/>
        <v>71080354.548855513</v>
      </c>
      <c r="EL252" s="201">
        <f>'Detailed Budget'!$AC$206</f>
        <v>11253043126.882994</v>
      </c>
      <c r="EM252" s="269">
        <f t="shared" si="739"/>
        <v>17770088.637213878</v>
      </c>
      <c r="EN252" s="269">
        <f t="shared" si="740"/>
        <v>88850443.186069399</v>
      </c>
      <c r="EO252" s="140">
        <f>'Detailed Budget'!$AC$209</f>
        <v>135789361677.54817</v>
      </c>
      <c r="EP252" s="269">
        <f t="shared" si="741"/>
        <v>199766931.67859092</v>
      </c>
      <c r="EQ252" s="196">
        <f>'Detailed Budget'!$AC$211</f>
        <v>33947340419.387043</v>
      </c>
      <c r="ER252" s="269">
        <f t="shared" si="742"/>
        <v>49941732.919647731</v>
      </c>
      <c r="ES252" s="269">
        <f t="shared" si="743"/>
        <v>249708664.59823865</v>
      </c>
      <c r="ET252" s="196">
        <f>'Detailed Budget'!$AC$214</f>
        <v>22239745544.201103</v>
      </c>
      <c r="EU252" s="269">
        <f t="shared" si="744"/>
        <v>31774876.148226663</v>
      </c>
      <c r="EV252" s="140">
        <f>'Detailed Budget'!$AC$217</f>
        <v>5559936386.0502758</v>
      </c>
      <c r="EW252" s="269">
        <f t="shared" si="745"/>
        <v>7943719.0370566659</v>
      </c>
      <c r="EX252" s="269">
        <f t="shared" si="746"/>
        <v>39718595.185283333</v>
      </c>
      <c r="EY252" s="196">
        <f>'Detailed Budget'!$AC$219</f>
        <v>372777004.58170313</v>
      </c>
      <c r="EZ252" s="269">
        <f t="shared" si="747"/>
        <v>557556.99573227763</v>
      </c>
      <c r="FA252" s="196">
        <f>'Detailed Budget'!$AC$222</f>
        <v>93194251.145425782</v>
      </c>
      <c r="FB252" s="269">
        <f t="shared" si="748"/>
        <v>139389.24893306941</v>
      </c>
      <c r="FC252" s="269">
        <f t="shared" si="749"/>
        <v>696946.24466534704</v>
      </c>
      <c r="FD252" s="269"/>
      <c r="FE252" s="269"/>
      <c r="FF252" s="140"/>
      <c r="FG252" s="1087">
        <f t="shared" si="608"/>
        <v>0</v>
      </c>
      <c r="FJ252" s="140"/>
      <c r="FL252" s="269">
        <f t="shared" si="609"/>
        <v>0</v>
      </c>
      <c r="FO252" s="607"/>
      <c r="FP252" s="607"/>
      <c r="FQ252" s="607"/>
      <c r="FR252" s="269">
        <f>'Detailed Budget'!$AC$257</f>
        <v>13636439388</v>
      </c>
      <c r="FS252" s="269">
        <f t="shared" si="751"/>
        <v>10992696</v>
      </c>
      <c r="FT252" s="269">
        <f t="shared" si="610"/>
        <v>10992696</v>
      </c>
      <c r="FU252" s="269"/>
      <c r="FV252" s="269"/>
      <c r="FW252" s="269"/>
      <c r="FX252" s="140">
        <f>'Detailed Budget'!$AC$278</f>
        <v>1114560000</v>
      </c>
      <c r="FY252" s="269">
        <f t="shared" si="752"/>
        <v>1440000</v>
      </c>
      <c r="FZ252" s="269">
        <f t="shared" si="611"/>
        <v>1440000</v>
      </c>
      <c r="GB252" s="269">
        <f t="shared" si="619"/>
        <v>1481264932.4879904</v>
      </c>
      <c r="GC252" s="887">
        <f t="shared" si="753"/>
        <v>925790.58280499396</v>
      </c>
      <c r="GD252" s="1078">
        <f t="shared" si="620"/>
        <v>8.3118439732297823E-4</v>
      </c>
    </row>
    <row r="253" spans="1:186" hidden="1" outlineLevel="1">
      <c r="A253" s="211" t="s">
        <v>660</v>
      </c>
      <c r="B253" s="212" t="s">
        <v>661</v>
      </c>
      <c r="C253" s="213" t="s">
        <v>215</v>
      </c>
      <c r="D253" s="214" t="s">
        <v>215</v>
      </c>
      <c r="E253" s="213"/>
      <c r="F253" s="213"/>
      <c r="G253" s="213"/>
      <c r="H253" s="213" t="s">
        <v>215</v>
      </c>
      <c r="I253" s="214" t="s">
        <v>215</v>
      </c>
      <c r="J253" s="214"/>
      <c r="K253" s="213" t="s">
        <v>215</v>
      </c>
      <c r="L253" s="213"/>
      <c r="M253" s="214"/>
      <c r="N253" s="213"/>
      <c r="O253" s="214"/>
      <c r="P253" s="213"/>
      <c r="Q253" s="214"/>
      <c r="R253" s="214" t="s">
        <v>215</v>
      </c>
      <c r="S253" s="214"/>
      <c r="T253" s="214"/>
      <c r="U253" s="215">
        <f t="shared" si="754"/>
        <v>6</v>
      </c>
      <c r="V253" s="845" t="s">
        <v>219</v>
      </c>
      <c r="W253" s="216">
        <v>109692</v>
      </c>
      <c r="X253" s="217">
        <v>3.53</v>
      </c>
      <c r="Y253" s="218">
        <f t="shared" si="640"/>
        <v>1.0352999999999999</v>
      </c>
      <c r="Z253" s="196">
        <v>19</v>
      </c>
      <c r="AA253" s="218">
        <f t="shared" si="641"/>
        <v>1.9331166712483931</v>
      </c>
      <c r="AB253" s="196">
        <f t="shared" si="712"/>
        <v>212047.43390257875</v>
      </c>
      <c r="AC253">
        <v>18.899999999999999</v>
      </c>
      <c r="AD253" s="196">
        <f t="shared" si="713"/>
        <v>40076.96500758738</v>
      </c>
      <c r="AE253" s="196">
        <f t="shared" si="644"/>
        <v>38073.116757208008</v>
      </c>
      <c r="AF253" s="196">
        <f t="shared" si="755"/>
        <v>38073.116757208008</v>
      </c>
      <c r="AG253" s="606">
        <f t="shared" si="756"/>
        <v>1.7603337747389067E-3</v>
      </c>
      <c r="AH253" s="196">
        <f t="shared" ref="AH253:AH268" si="781">AB253*0.05</f>
        <v>10602.371695128939</v>
      </c>
      <c r="AI253" s="248">
        <f t="shared" si="715"/>
        <v>8.2134967105943488E-4</v>
      </c>
      <c r="AJ253" s="196">
        <f t="shared" si="757"/>
        <v>50679.336702716319</v>
      </c>
      <c r="AK253" s="196">
        <f t="shared" si="605"/>
        <v>8481.8973561031507</v>
      </c>
      <c r="AL253" s="196">
        <f t="shared" si="606"/>
        <v>8481.8973561031507</v>
      </c>
      <c r="AM253" s="196">
        <f t="shared" si="716"/>
        <v>16963.794712206301</v>
      </c>
      <c r="AN253" s="627">
        <f t="shared" si="717"/>
        <v>8.2134967105943488E-4</v>
      </c>
      <c r="AO253" s="196">
        <f t="shared" si="718"/>
        <v>8057.8024882979926</v>
      </c>
      <c r="AP253" s="589">
        <f t="shared" si="758"/>
        <v>8.2134967105943477E-4</v>
      </c>
      <c r="AQ253" s="196"/>
      <c r="AR253" s="589"/>
      <c r="AS253">
        <v>1</v>
      </c>
      <c r="AT253" s="589">
        <f t="shared" si="759"/>
        <v>1.2919896640826874E-3</v>
      </c>
      <c r="AU253" s="196">
        <v>10</v>
      </c>
      <c r="AV253" s="245">
        <f t="shared" si="719"/>
        <v>1.1362345188046814E-3</v>
      </c>
      <c r="AX253" s="245"/>
      <c r="AY253" s="245"/>
      <c r="AZ253" s="196">
        <v>29</v>
      </c>
      <c r="BA253" s="589">
        <f t="shared" si="613"/>
        <v>1.0626213770107361E-3</v>
      </c>
      <c r="BI253" s="196">
        <v>1</v>
      </c>
      <c r="BJ253" s="196">
        <f t="shared" si="760"/>
        <v>117804.15094754953</v>
      </c>
      <c r="BK253" s="246">
        <f t="shared" si="614"/>
        <v>2.2464540828293265E-3</v>
      </c>
      <c r="BL253" s="196">
        <f t="shared" ref="BL253:BL268" si="782">BJ253/50</f>
        <v>2356.0830189509907</v>
      </c>
      <c r="BM253" s="246">
        <f t="shared" si="615"/>
        <v>2.2464538257982122E-3</v>
      </c>
      <c r="BN253" s="196">
        <v>0</v>
      </c>
      <c r="BO253" s="196">
        <f t="shared" si="761"/>
        <v>12223.888542189901</v>
      </c>
      <c r="BP253" s="196">
        <f t="shared" si="762"/>
        <v>0</v>
      </c>
      <c r="BQ253" s="248">
        <f t="shared" si="616"/>
        <v>0</v>
      </c>
      <c r="BR253" s="248"/>
      <c r="BS253" s="248"/>
      <c r="BT253" s="276">
        <v>1</v>
      </c>
      <c r="BU253" s="196">
        <f t="shared" ref="BU253:BU268" si="783">AD253*BT253*0.18*4*1.03</f>
        <v>29721.0772496268</v>
      </c>
      <c r="BV253" s="264">
        <f t="shared" si="617"/>
        <v>2.0615102144147333E-3</v>
      </c>
      <c r="BW253" s="196">
        <f t="shared" ref="BW253:BW268" si="784">AD253*BT253*0.77*4*1.03</f>
        <v>127140.1637900702</v>
      </c>
      <c r="BX253" s="247">
        <f t="shared" si="618"/>
        <v>2.0615102329848965E-3</v>
      </c>
      <c r="BY253" s="196">
        <f t="shared" si="639"/>
        <v>156861.24103969699</v>
      </c>
      <c r="BZ253" s="620">
        <v>0</v>
      </c>
      <c r="CA253" s="196">
        <f t="shared" si="763"/>
        <v>64886.514774189105</v>
      </c>
      <c r="CB253" s="196">
        <f t="shared" si="764"/>
        <v>129773.02954837821</v>
      </c>
      <c r="CC253" s="196">
        <f t="shared" si="765"/>
        <v>194659.54432256732</v>
      </c>
      <c r="CD253" s="247">
        <f t="shared" si="720"/>
        <v>8.2134967105943488E-4</v>
      </c>
      <c r="CE253" s="196">
        <f t="shared" si="766"/>
        <v>26229.801935272171</v>
      </c>
      <c r="CF253" s="247">
        <f t="shared" si="721"/>
        <v>1.1326844208239049E-3</v>
      </c>
      <c r="CG253" s="196">
        <f t="shared" si="722"/>
        <v>32231.20995319197</v>
      </c>
      <c r="CH253" s="589">
        <f t="shared" si="767"/>
        <v>8.2134967105943477E-4</v>
      </c>
      <c r="CI253" s="196">
        <f t="shared" si="768"/>
        <v>75365.610624628534</v>
      </c>
      <c r="CJ253" s="248">
        <f t="shared" si="769"/>
        <v>1.2390104473656801E-3</v>
      </c>
      <c r="CK253" s="196">
        <f t="shared" si="770"/>
        <v>80296.967187984759</v>
      </c>
      <c r="CL253" s="589">
        <f t="shared" si="771"/>
        <v>1.1542854197087802E-3</v>
      </c>
      <c r="CM253" s="196">
        <f t="shared" si="772"/>
        <v>7778.7744553896864</v>
      </c>
      <c r="CN253" s="589">
        <f t="shared" si="773"/>
        <v>1.1210098020788476E-3</v>
      </c>
      <c r="CO253" s="196">
        <f t="shared" si="774"/>
        <v>622.2849450726643</v>
      </c>
      <c r="CP253" s="589">
        <f t="shared" si="775"/>
        <v>1.1735335568802531E-3</v>
      </c>
      <c r="CQ253" s="196">
        <f>'Detailed Budget'!$AC$12</f>
        <v>292876014141.44696</v>
      </c>
      <c r="CR253" s="269">
        <f t="shared" si="724"/>
        <v>657932517.73083305</v>
      </c>
      <c r="CS253" s="269">
        <f>'Detailed Budget'!$AC$16</f>
        <v>10488008800.000002</v>
      </c>
      <c r="CT253" s="607">
        <f t="shared" si="725"/>
        <v>23560827.493765321</v>
      </c>
      <c r="CU253" s="269">
        <f>'Detailed Budget'!$AC$24</f>
        <v>30624985696</v>
      </c>
      <c r="CV253" s="269">
        <f t="shared" si="612"/>
        <v>68797624.15336892</v>
      </c>
      <c r="CW253" s="269"/>
      <c r="CX253" s="269">
        <f t="shared" si="776"/>
        <v>750290969.37796736</v>
      </c>
      <c r="CY253" s="196">
        <f>'Detailed Budget'!$AC$97</f>
        <v>74629165494.837845</v>
      </c>
      <c r="CZ253" s="269">
        <f t="shared" si="726"/>
        <v>0</v>
      </c>
      <c r="DA253" s="269">
        <f>'Detailed Budget'!$AC$100</f>
        <v>14925833098.967569</v>
      </c>
      <c r="DB253" s="269">
        <f t="shared" si="727"/>
        <v>0</v>
      </c>
      <c r="DC253" s="269">
        <f t="shared" si="728"/>
        <v>0</v>
      </c>
      <c r="DD253" s="207">
        <v>0</v>
      </c>
      <c r="DE253" s="606">
        <v>0</v>
      </c>
      <c r="DF253" s="269">
        <f>'Detailed Budget'!$AC$147</f>
        <v>5913600671000</v>
      </c>
      <c r="DG253" s="269">
        <f t="shared" si="607"/>
        <v>0</v>
      </c>
      <c r="DH253" s="269">
        <f>'Detailed Budget'!$AC$153</f>
        <v>226428026880.00003</v>
      </c>
      <c r="DI253" s="269"/>
      <c r="DJ253" s="269">
        <f>'Detailed Budget'!$AC$156</f>
        <v>27713070000</v>
      </c>
      <c r="DK253" s="269"/>
      <c r="DL253" s="269"/>
      <c r="DM253" s="196">
        <f>'Detailed Budget'!$AC$178</f>
        <v>5622683761.6229038</v>
      </c>
      <c r="DN253" s="269">
        <f t="shared" si="777"/>
        <v>11591220.007009471</v>
      </c>
      <c r="DO253" s="196">
        <f>'Detailed Budget'!$AC$179</f>
        <v>26827890683.128094</v>
      </c>
      <c r="DP253" s="269">
        <f t="shared" si="778"/>
        <v>55305971.172668733</v>
      </c>
      <c r="DQ253" s="269">
        <f t="shared" si="625"/>
        <v>66897191.179678202</v>
      </c>
      <c r="DR253" s="269">
        <f>'Detailed Budget'!$AC$181</f>
        <v>50888946855.375237</v>
      </c>
      <c r="DS253" s="269">
        <f t="shared" si="779"/>
        <v>89581531.9104103</v>
      </c>
      <c r="DT253" s="269">
        <f t="shared" si="780"/>
        <v>156478723.09008849</v>
      </c>
      <c r="DU253" s="272">
        <f>'Detailed Budget'!$AC$192</f>
        <v>77498869683.252869</v>
      </c>
      <c r="DV253" s="269">
        <f t="shared" si="729"/>
        <v>0</v>
      </c>
      <c r="DW253" s="140">
        <f>'Detailed Budget'!$AC$194</f>
        <v>2684962805.4134097</v>
      </c>
      <c r="DX253" s="269">
        <f t="shared" si="730"/>
        <v>0</v>
      </c>
      <c r="DY253" s="607">
        <f t="shared" si="731"/>
        <v>0</v>
      </c>
      <c r="DZ253" s="196">
        <f>'Detailed Budget'!$AC$198</f>
        <v>18732540018.380611</v>
      </c>
      <c r="EA253" s="269">
        <f t="shared" si="732"/>
        <v>21218056.241280064</v>
      </c>
      <c r="EB253" s="196">
        <f>'Detailed Budget'!$AC$200</f>
        <v>4683135004.5951529</v>
      </c>
      <c r="EC253" s="269">
        <f t="shared" si="733"/>
        <v>5304514.060320016</v>
      </c>
      <c r="ED253" s="269">
        <f t="shared" si="734"/>
        <v>26522570.30160008</v>
      </c>
      <c r="EE253" s="196">
        <f>'Detailed Budget'!$AC$161</f>
        <v>251147290106.36197</v>
      </c>
      <c r="EF253" s="269">
        <f t="shared" si="735"/>
        <v>206279744.11632884</v>
      </c>
      <c r="EG253" s="196">
        <f>'Detailed Budget'!$AC$163</f>
        <v>15696705631.647623</v>
      </c>
      <c r="EH253" s="269">
        <f t="shared" si="736"/>
        <v>12892484.007270552</v>
      </c>
      <c r="EI253" s="269">
        <f t="shared" si="737"/>
        <v>219172228.12359938</v>
      </c>
      <c r="EJ253" s="196">
        <f>'Detailed Budget'!$AC$204</f>
        <v>45012172507.531975</v>
      </c>
      <c r="EK253" s="269">
        <f t="shared" si="738"/>
        <v>55770551.995458357</v>
      </c>
      <c r="EL253" s="201">
        <f>'Detailed Budget'!$AC$206</f>
        <v>11253043126.882994</v>
      </c>
      <c r="EM253" s="269">
        <f t="shared" si="739"/>
        <v>13942637.998864589</v>
      </c>
      <c r="EN253" s="269">
        <f t="shared" si="740"/>
        <v>69713189.994322941</v>
      </c>
      <c r="EO253" s="140">
        <f>'Detailed Budget'!$AC$209</f>
        <v>135789361677.54817</v>
      </c>
      <c r="EP253" s="269">
        <f t="shared" si="741"/>
        <v>156739680.33595604</v>
      </c>
      <c r="EQ253" s="196">
        <f>'Detailed Budget'!$AC$211</f>
        <v>33947340419.387043</v>
      </c>
      <c r="ER253" s="269">
        <f t="shared" si="742"/>
        <v>39184920.083989009</v>
      </c>
      <c r="ES253" s="269">
        <f t="shared" si="743"/>
        <v>195924600.41994506</v>
      </c>
      <c r="ET253" s="196">
        <f>'Detailed Budget'!$AC$214</f>
        <v>22239745544.201103</v>
      </c>
      <c r="EU253" s="269">
        <f t="shared" si="744"/>
        <v>24930972.750788812</v>
      </c>
      <c r="EV253" s="140">
        <f>'Detailed Budget'!$AC$217</f>
        <v>5559936386.0502758</v>
      </c>
      <c r="EW253" s="269">
        <f t="shared" si="745"/>
        <v>6232743.1876972029</v>
      </c>
      <c r="EX253" s="269">
        <f t="shared" si="746"/>
        <v>31163715.938486014</v>
      </c>
      <c r="EY253" s="196">
        <f>'Detailed Budget'!$AC$219</f>
        <v>372777004.58170313</v>
      </c>
      <c r="EZ253" s="269">
        <f t="shared" si="747"/>
        <v>437466.32410993247</v>
      </c>
      <c r="FA253" s="196">
        <f>'Detailed Budget'!$AC$222</f>
        <v>93194251.145425782</v>
      </c>
      <c r="FB253" s="269">
        <f t="shared" si="748"/>
        <v>109366.58102748312</v>
      </c>
      <c r="FC253" s="269">
        <f t="shared" si="749"/>
        <v>546832.90513741563</v>
      </c>
      <c r="FD253" s="269"/>
      <c r="FE253" s="269"/>
      <c r="FF253" s="140"/>
      <c r="FG253" s="1087">
        <f t="shared" si="608"/>
        <v>0</v>
      </c>
      <c r="FJ253" s="140"/>
      <c r="FL253" s="269">
        <f t="shared" si="609"/>
        <v>0</v>
      </c>
      <c r="FO253" s="607"/>
      <c r="FP253" s="607"/>
      <c r="FQ253" s="607"/>
      <c r="FR253" s="269">
        <f>'Detailed Budget'!$AC$257</f>
        <v>13636439388</v>
      </c>
      <c r="FS253" s="269">
        <f t="shared" si="751"/>
        <v>14490372</v>
      </c>
      <c r="FT253" s="269">
        <f t="shared" si="610"/>
        <v>14490372</v>
      </c>
      <c r="FU253" s="269"/>
      <c r="FV253" s="269"/>
      <c r="FW253" s="269"/>
      <c r="FX253" s="140">
        <f>'Detailed Budget'!$AC$278</f>
        <v>1114560000</v>
      </c>
      <c r="FY253" s="269">
        <f t="shared" si="752"/>
        <v>1440000</v>
      </c>
      <c r="FZ253" s="269">
        <f t="shared" si="611"/>
        <v>1440000</v>
      </c>
      <c r="GB253" s="269">
        <f t="shared" si="619"/>
        <v>1168394862.8932552</v>
      </c>
      <c r="GC253" s="887">
        <f t="shared" si="753"/>
        <v>730246.78930828453</v>
      </c>
      <c r="GD253" s="1078">
        <f t="shared" si="620"/>
        <v>6.5562314927553847E-4</v>
      </c>
    </row>
    <row r="254" spans="1:186" hidden="1" outlineLevel="1">
      <c r="A254" s="211" t="s">
        <v>662</v>
      </c>
      <c r="B254" s="212" t="s">
        <v>663</v>
      </c>
      <c r="C254" s="213" t="s">
        <v>215</v>
      </c>
      <c r="D254" s="214" t="s">
        <v>215</v>
      </c>
      <c r="E254" s="213"/>
      <c r="F254" s="213"/>
      <c r="G254" s="213"/>
      <c r="H254" s="213" t="s">
        <v>215</v>
      </c>
      <c r="I254" s="214" t="s">
        <v>215</v>
      </c>
      <c r="J254" s="214"/>
      <c r="K254" s="213" t="s">
        <v>215</v>
      </c>
      <c r="L254" s="213"/>
      <c r="M254" s="214"/>
      <c r="N254" s="213"/>
      <c r="O254" s="214"/>
      <c r="P254" s="213"/>
      <c r="Q254" s="214"/>
      <c r="R254" s="214" t="s">
        <v>215</v>
      </c>
      <c r="S254" s="214"/>
      <c r="T254" s="214"/>
      <c r="U254" s="215">
        <f t="shared" si="754"/>
        <v>6</v>
      </c>
      <c r="V254" s="845" t="s">
        <v>219</v>
      </c>
      <c r="W254" s="216">
        <v>87706</v>
      </c>
      <c r="X254" s="217">
        <v>3.53</v>
      </c>
      <c r="Y254" s="218">
        <f t="shared" si="640"/>
        <v>1.0352999999999999</v>
      </c>
      <c r="Z254" s="196">
        <v>19</v>
      </c>
      <c r="AA254" s="218">
        <f t="shared" si="641"/>
        <v>1.9331166712483931</v>
      </c>
      <c r="AB254" s="196">
        <f t="shared" si="712"/>
        <v>169545.93076851158</v>
      </c>
      <c r="AC254">
        <v>18.899999999999999</v>
      </c>
      <c r="AD254" s="196">
        <f t="shared" si="713"/>
        <v>32044.180915248686</v>
      </c>
      <c r="AE254" s="196">
        <f t="shared" si="644"/>
        <v>30441.971869486249</v>
      </c>
      <c r="AF254" s="196">
        <f t="shared" si="755"/>
        <v>30441.971869486249</v>
      </c>
      <c r="AG254" s="606">
        <f t="shared" si="756"/>
        <v>1.4075031364844343E-3</v>
      </c>
      <c r="AH254" s="196">
        <f t="shared" si="781"/>
        <v>8477.2965384255785</v>
      </c>
      <c r="AI254" s="248">
        <f t="shared" si="715"/>
        <v>6.5672331847298605E-4</v>
      </c>
      <c r="AJ254" s="196">
        <f t="shared" si="757"/>
        <v>40521.477453674263</v>
      </c>
      <c r="AK254" s="196">
        <f t="shared" si="605"/>
        <v>6781.8372307404634</v>
      </c>
      <c r="AL254" s="196">
        <f t="shared" si="606"/>
        <v>6781.8372307404634</v>
      </c>
      <c r="AM254" s="196">
        <f t="shared" si="716"/>
        <v>13563.674461480927</v>
      </c>
      <c r="AN254" s="627">
        <f t="shared" si="717"/>
        <v>6.5672331847298605E-4</v>
      </c>
      <c r="AO254" s="196">
        <f t="shared" si="718"/>
        <v>6442.7453692034396</v>
      </c>
      <c r="AP254" s="589">
        <f t="shared" si="758"/>
        <v>6.5672331847298605E-4</v>
      </c>
      <c r="AQ254" s="196"/>
      <c r="AR254" s="589"/>
      <c r="AS254">
        <v>1</v>
      </c>
      <c r="AT254" s="589">
        <f t="shared" si="759"/>
        <v>1.2919896640826874E-3</v>
      </c>
      <c r="AU254" s="196">
        <v>11</v>
      </c>
      <c r="AV254" s="245">
        <f t="shared" si="719"/>
        <v>1.2498579706851495E-3</v>
      </c>
      <c r="AX254" s="245"/>
      <c r="AY254" s="245"/>
      <c r="AZ254" s="196">
        <v>23</v>
      </c>
      <c r="BA254" s="589">
        <f t="shared" si="613"/>
        <v>8.4276867831885966E-4</v>
      </c>
      <c r="BI254" s="196">
        <v>1</v>
      </c>
      <c r="BJ254" s="196">
        <f t="shared" si="760"/>
        <v>94192.200552508657</v>
      </c>
      <c r="BK254" s="246">
        <f t="shared" si="614"/>
        <v>1.7961884347867567E-3</v>
      </c>
      <c r="BL254" s="196">
        <f t="shared" si="782"/>
        <v>1883.8440110501731</v>
      </c>
      <c r="BM254" s="246">
        <f t="shared" si="615"/>
        <v>1.7961882292734019E-3</v>
      </c>
      <c r="BN254" s="196">
        <v>0</v>
      </c>
      <c r="BO254" s="196">
        <f t="shared" si="761"/>
        <v>9773.8063713060874</v>
      </c>
      <c r="BP254" s="196">
        <f t="shared" si="762"/>
        <v>0</v>
      </c>
      <c r="BQ254" s="248">
        <f t="shared" si="616"/>
        <v>0</v>
      </c>
      <c r="BR254" s="248"/>
      <c r="BS254" s="248"/>
      <c r="BT254" s="276">
        <v>1</v>
      </c>
      <c r="BU254" s="196">
        <f t="shared" si="783"/>
        <v>23763.964566748426</v>
      </c>
      <c r="BV254" s="264">
        <f t="shared" si="617"/>
        <v>1.648313595024784E-3</v>
      </c>
      <c r="BW254" s="196">
        <f t="shared" si="784"/>
        <v>101656.95953553493</v>
      </c>
      <c r="BX254" s="247">
        <f t="shared" si="618"/>
        <v>1.648313609872856E-3</v>
      </c>
      <c r="BY254" s="196">
        <f t="shared" si="639"/>
        <v>125420.92410228336</v>
      </c>
      <c r="BZ254" s="620">
        <v>0</v>
      </c>
      <c r="CA254" s="196">
        <f t="shared" si="763"/>
        <v>51881.054815164549</v>
      </c>
      <c r="CB254" s="196">
        <f t="shared" si="764"/>
        <v>103762.1096303291</v>
      </c>
      <c r="CC254" s="196">
        <f t="shared" si="765"/>
        <v>155643.16444549366</v>
      </c>
      <c r="CD254" s="247">
        <f t="shared" si="720"/>
        <v>6.5672331847298616E-4</v>
      </c>
      <c r="CE254" s="196">
        <f t="shared" si="766"/>
        <v>20972.459327343655</v>
      </c>
      <c r="CF254" s="247">
        <f t="shared" si="721"/>
        <v>9.0565601696369251E-4</v>
      </c>
      <c r="CG254" s="196">
        <f t="shared" si="722"/>
        <v>25770.981476813758</v>
      </c>
      <c r="CH254" s="589">
        <f t="shared" si="767"/>
        <v>6.5672331847298605E-4</v>
      </c>
      <c r="CI254" s="196">
        <f t="shared" si="768"/>
        <v>60259.784172443491</v>
      </c>
      <c r="CJ254" s="248">
        <f t="shared" si="769"/>
        <v>9.9067069883541502E-4</v>
      </c>
      <c r="CK254" s="196">
        <f t="shared" si="770"/>
        <v>64202.729498864021</v>
      </c>
      <c r="CL254" s="589">
        <f t="shared" si="771"/>
        <v>9.2292744248421293E-4</v>
      </c>
      <c r="CM254" s="196">
        <f t="shared" si="772"/>
        <v>6219.6440249462848</v>
      </c>
      <c r="CN254" s="589">
        <f t="shared" si="773"/>
        <v>8.9632138807868784E-4</v>
      </c>
      <c r="CO254" s="196">
        <f t="shared" si="774"/>
        <v>497.55792029084256</v>
      </c>
      <c r="CP254" s="589">
        <f t="shared" si="775"/>
        <v>9.3831759964026088E-4</v>
      </c>
      <c r="CQ254" s="196">
        <f>'Detailed Budget'!$AC$12</f>
        <v>292876014141.44696</v>
      </c>
      <c r="CR254" s="269">
        <f t="shared" si="724"/>
        <v>526060509.42730963</v>
      </c>
      <c r="CS254" s="269">
        <f>'Detailed Budget'!$AC$16</f>
        <v>10488008800.000002</v>
      </c>
      <c r="CT254" s="607">
        <f t="shared" si="725"/>
        <v>18838437.95507586</v>
      </c>
      <c r="CU254" s="269">
        <f>'Detailed Budget'!$AC$24</f>
        <v>30624985696</v>
      </c>
      <c r="CV254" s="269">
        <f t="shared" si="612"/>
        <v>55008245.122665055</v>
      </c>
      <c r="CW254" s="269"/>
      <c r="CX254" s="269">
        <f t="shared" si="776"/>
        <v>599907192.50505054</v>
      </c>
      <c r="CY254" s="196">
        <f>'Detailed Budget'!$AC$97</f>
        <v>74629165494.837845</v>
      </c>
      <c r="CZ254" s="269">
        <f t="shared" si="726"/>
        <v>0</v>
      </c>
      <c r="DA254" s="269">
        <f>'Detailed Budget'!$AC$100</f>
        <v>14925833098.967569</v>
      </c>
      <c r="DB254" s="269">
        <f t="shared" si="727"/>
        <v>0</v>
      </c>
      <c r="DC254" s="269">
        <f t="shared" si="728"/>
        <v>0</v>
      </c>
      <c r="DD254" s="207">
        <v>0</v>
      </c>
      <c r="DE254" s="606">
        <v>0</v>
      </c>
      <c r="DF254" s="269">
        <f>'Detailed Budget'!$AC$147</f>
        <v>5913600671000</v>
      </c>
      <c r="DG254" s="269">
        <f t="shared" si="607"/>
        <v>0</v>
      </c>
      <c r="DH254" s="269">
        <f>'Detailed Budget'!$AC$153</f>
        <v>226428026880.00003</v>
      </c>
      <c r="DI254" s="269"/>
      <c r="DJ254" s="269">
        <f>'Detailed Budget'!$AC$156</f>
        <v>27713070000</v>
      </c>
      <c r="DK254" s="269"/>
      <c r="DL254" s="269"/>
      <c r="DM254" s="196">
        <f>'Detailed Budget'!$AC$178</f>
        <v>5622683761.6229038</v>
      </c>
      <c r="DN254" s="269">
        <f t="shared" si="777"/>
        <v>9267946.0848081242</v>
      </c>
      <c r="DO254" s="196">
        <f>'Detailed Budget'!$AC$179</f>
        <v>26827890683.128094</v>
      </c>
      <c r="DP254" s="269">
        <f t="shared" si="778"/>
        <v>44220777.337181225</v>
      </c>
      <c r="DQ254" s="269">
        <f t="shared" si="625"/>
        <v>53488723.421989352</v>
      </c>
      <c r="DR254" s="269">
        <f>'Detailed Budget'!$AC$181</f>
        <v>50888946855.375237</v>
      </c>
      <c r="DS254" s="269">
        <f t="shared" si="779"/>
        <v>71626352.311330333</v>
      </c>
      <c r="DT254" s="269">
        <f t="shared" si="780"/>
        <v>125115075.73331968</v>
      </c>
      <c r="DU254" s="272">
        <f>'Detailed Budget'!$AC$192</f>
        <v>77498869683.252869</v>
      </c>
      <c r="DV254" s="269">
        <f t="shared" si="729"/>
        <v>0</v>
      </c>
      <c r="DW254" s="140">
        <f>'Detailed Budget'!$AC$194</f>
        <v>2684962805.4134097</v>
      </c>
      <c r="DX254" s="269">
        <f t="shared" si="730"/>
        <v>0</v>
      </c>
      <c r="DY254" s="607">
        <f t="shared" si="731"/>
        <v>0</v>
      </c>
      <c r="DZ254" s="196">
        <f>'Detailed Budget'!$AC$198</f>
        <v>18732540018.380611</v>
      </c>
      <c r="EA254" s="269">
        <f t="shared" si="732"/>
        <v>16965237.580659561</v>
      </c>
      <c r="EB254" s="196">
        <f>'Detailed Budget'!$AC$200</f>
        <v>4683135004.5951529</v>
      </c>
      <c r="EC254" s="269">
        <f t="shared" si="733"/>
        <v>4241309.3951648902</v>
      </c>
      <c r="ED254" s="269">
        <f t="shared" si="734"/>
        <v>21206546.975824453</v>
      </c>
      <c r="EE254" s="196">
        <f>'Detailed Budget'!$AC$161</f>
        <v>251147290106.36197</v>
      </c>
      <c r="EF254" s="269">
        <f t="shared" si="735"/>
        <v>164934281.78414777</v>
      </c>
      <c r="EG254" s="196">
        <f>'Detailed Budget'!$AC$163</f>
        <v>15696705631.647623</v>
      </c>
      <c r="EH254" s="269">
        <f t="shared" si="736"/>
        <v>10308392.611509236</v>
      </c>
      <c r="EI254" s="269">
        <f t="shared" si="737"/>
        <v>175242674.395657</v>
      </c>
      <c r="EJ254" s="196">
        <f>'Detailed Budget'!$AC$204</f>
        <v>45012172507.531975</v>
      </c>
      <c r="EK254" s="269">
        <f t="shared" si="738"/>
        <v>44592240.394136958</v>
      </c>
      <c r="EL254" s="201">
        <f>'Detailed Budget'!$AC$206</f>
        <v>11253043126.882994</v>
      </c>
      <c r="EM254" s="269">
        <f t="shared" si="739"/>
        <v>11148060.098534239</v>
      </c>
      <c r="EN254" s="269">
        <f t="shared" si="740"/>
        <v>55740300.492671199</v>
      </c>
      <c r="EO254" s="140">
        <f>'Detailed Budget'!$AC$209</f>
        <v>135789361677.54817</v>
      </c>
      <c r="EP254" s="269">
        <f t="shared" si="741"/>
        <v>125323728.28962334</v>
      </c>
      <c r="EQ254" s="196">
        <f>'Detailed Budget'!$AC$211</f>
        <v>33947340419.387043</v>
      </c>
      <c r="ER254" s="269">
        <f t="shared" si="742"/>
        <v>31330932.072405834</v>
      </c>
      <c r="ES254" s="269">
        <f t="shared" si="743"/>
        <v>156654660.36202917</v>
      </c>
      <c r="ET254" s="196">
        <f>'Detailed Budget'!$AC$214</f>
        <v>22239745544.201103</v>
      </c>
      <c r="EU254" s="269">
        <f t="shared" si="744"/>
        <v>19933959.596695147</v>
      </c>
      <c r="EV254" s="140">
        <f>'Detailed Budget'!$AC$217</f>
        <v>5559936386.0502758</v>
      </c>
      <c r="EW254" s="269">
        <f t="shared" si="745"/>
        <v>4983489.8991737869</v>
      </c>
      <c r="EX254" s="269">
        <f t="shared" si="746"/>
        <v>24917449.495868936</v>
      </c>
      <c r="EY254" s="196">
        <f>'Detailed Budget'!$AC$219</f>
        <v>372777004.58170313</v>
      </c>
      <c r="EZ254" s="269">
        <f t="shared" si="747"/>
        <v>349783.22414019023</v>
      </c>
      <c r="FA254" s="196">
        <f>'Detailed Budget'!$AC$222</f>
        <v>93194251.145425782</v>
      </c>
      <c r="FB254" s="269">
        <f t="shared" si="748"/>
        <v>87445.806035047557</v>
      </c>
      <c r="FC254" s="269">
        <f t="shared" si="749"/>
        <v>437229.0301752378</v>
      </c>
      <c r="FD254" s="269"/>
      <c r="FE254" s="269"/>
      <c r="FF254" s="140"/>
      <c r="FG254" s="1087">
        <f t="shared" si="608"/>
        <v>0</v>
      </c>
      <c r="FJ254" s="140"/>
      <c r="FL254" s="269">
        <f t="shared" si="609"/>
        <v>0</v>
      </c>
      <c r="FO254" s="607"/>
      <c r="FP254" s="607"/>
      <c r="FQ254" s="607"/>
      <c r="FR254" s="269">
        <f>'Detailed Budget'!$AC$257</f>
        <v>13636439388</v>
      </c>
      <c r="FS254" s="269">
        <f t="shared" si="751"/>
        <v>11492364</v>
      </c>
      <c r="FT254" s="269">
        <f t="shared" si="610"/>
        <v>11492364</v>
      </c>
      <c r="FU254" s="269"/>
      <c r="FV254" s="269"/>
      <c r="FW254" s="269"/>
      <c r="FX254" s="140">
        <f>'Detailed Budget'!$AC$278</f>
        <v>1114560000</v>
      </c>
      <c r="FY254" s="269">
        <f t="shared" si="752"/>
        <v>1440000</v>
      </c>
      <c r="FZ254" s="269">
        <f t="shared" si="611"/>
        <v>1440000</v>
      </c>
      <c r="GB254" s="269">
        <f t="shared" si="619"/>
        <v>934403853.6098516</v>
      </c>
      <c r="GC254" s="887">
        <f t="shared" si="753"/>
        <v>584002.40850615723</v>
      </c>
      <c r="GD254" s="1078">
        <f t="shared" si="620"/>
        <v>5.2432342579963821E-4</v>
      </c>
    </row>
    <row r="255" spans="1:186" hidden="1" outlineLevel="1">
      <c r="A255" s="211" t="s">
        <v>664</v>
      </c>
      <c r="B255" s="212" t="s">
        <v>665</v>
      </c>
      <c r="C255" s="213" t="s">
        <v>215</v>
      </c>
      <c r="D255" s="214" t="s">
        <v>215</v>
      </c>
      <c r="E255" s="213"/>
      <c r="F255" s="213"/>
      <c r="G255" s="213"/>
      <c r="H255" s="213" t="s">
        <v>215</v>
      </c>
      <c r="I255" s="214" t="s">
        <v>215</v>
      </c>
      <c r="J255" s="214"/>
      <c r="K255" s="213" t="s">
        <v>215</v>
      </c>
      <c r="L255" s="213"/>
      <c r="M255" s="214"/>
      <c r="N255" s="213"/>
      <c r="O255" s="214"/>
      <c r="P255" s="213"/>
      <c r="Q255" s="214"/>
      <c r="R255" s="214" t="s">
        <v>215</v>
      </c>
      <c r="S255" s="214" t="s">
        <v>215</v>
      </c>
      <c r="T255" s="214"/>
      <c r="U255" s="215">
        <f t="shared" si="754"/>
        <v>7</v>
      </c>
      <c r="V255" s="845" t="s">
        <v>399</v>
      </c>
      <c r="W255" s="216">
        <v>136736</v>
      </c>
      <c r="X255" s="217">
        <v>3.53</v>
      </c>
      <c r="Y255" s="218">
        <f t="shared" si="640"/>
        <v>1.0352999999999999</v>
      </c>
      <c r="Z255" s="196">
        <v>19</v>
      </c>
      <c r="AA255" s="218">
        <f t="shared" si="641"/>
        <v>1.9331166712483931</v>
      </c>
      <c r="AB255" s="196">
        <f t="shared" si="712"/>
        <v>264326.64115982031</v>
      </c>
      <c r="AC255">
        <v>18.899999999999999</v>
      </c>
      <c r="AD255" s="196">
        <f t="shared" si="713"/>
        <v>49957.735179206036</v>
      </c>
      <c r="AE255" s="196">
        <f t="shared" si="644"/>
        <v>47459.848420245733</v>
      </c>
      <c r="AF255" s="196">
        <f t="shared" si="755"/>
        <v>47459.848420245733</v>
      </c>
      <c r="AG255" s="606">
        <f t="shared" si="756"/>
        <v>2.1943350383136343E-3</v>
      </c>
      <c r="AH255" s="196">
        <f t="shared" si="781"/>
        <v>13216.332057991016</v>
      </c>
      <c r="AI255" s="248">
        <f t="shared" si="715"/>
        <v>1.0238492198335603E-3</v>
      </c>
      <c r="AJ255" s="196">
        <f t="shared" si="757"/>
        <v>63174.06723719705</v>
      </c>
      <c r="AK255" s="196">
        <f t="shared" si="605"/>
        <v>10573.065646392814</v>
      </c>
      <c r="AL255" s="196">
        <f t="shared" si="606"/>
        <v>10573.065646392814</v>
      </c>
      <c r="AM255" s="196">
        <f t="shared" si="716"/>
        <v>21146.131292785627</v>
      </c>
      <c r="AN255" s="627">
        <f t="shared" si="717"/>
        <v>1.0238492198335603E-3</v>
      </c>
      <c r="AO255" s="196">
        <f t="shared" si="718"/>
        <v>10044.412364073172</v>
      </c>
      <c r="AP255" s="589">
        <f t="shared" si="758"/>
        <v>1.0238492198335603E-3</v>
      </c>
      <c r="AQ255" s="196"/>
      <c r="AR255" s="589"/>
      <c r="AS255">
        <v>1</v>
      </c>
      <c r="AT255" s="589">
        <f t="shared" si="759"/>
        <v>1.2919896640826874E-3</v>
      </c>
      <c r="AU255" s="196">
        <v>10</v>
      </c>
      <c r="AV255" s="245">
        <f t="shared" si="719"/>
        <v>1.1362345188046814E-3</v>
      </c>
      <c r="AX255" s="245"/>
      <c r="AY255" s="245"/>
      <c r="AZ255" s="196">
        <v>52</v>
      </c>
      <c r="BA255" s="589">
        <f t="shared" si="613"/>
        <v>1.9053900553295958E-3</v>
      </c>
      <c r="BI255" s="196">
        <v>1</v>
      </c>
      <c r="BJ255" s="196">
        <f t="shared" si="760"/>
        <v>146848.16015720501</v>
      </c>
      <c r="BK255" s="246">
        <f t="shared" si="614"/>
        <v>2.8003058150981911E-3</v>
      </c>
      <c r="BL255" s="196">
        <f t="shared" si="782"/>
        <v>2936.9632031441001</v>
      </c>
      <c r="BM255" s="246">
        <f t="shared" si="615"/>
        <v>2.8003054946973737E-3</v>
      </c>
      <c r="BN255" s="196">
        <v>0</v>
      </c>
      <c r="BO255" s="196">
        <f t="shared" si="761"/>
        <v>15237.625567086738</v>
      </c>
      <c r="BP255" s="196">
        <f t="shared" si="762"/>
        <v>0</v>
      </c>
      <c r="BQ255" s="248">
        <f t="shared" si="616"/>
        <v>0</v>
      </c>
      <c r="BR255" s="248"/>
      <c r="BS255" s="248"/>
      <c r="BT255" s="276">
        <v>1</v>
      </c>
      <c r="BU255" s="196">
        <f t="shared" si="783"/>
        <v>37048.656408899195</v>
      </c>
      <c r="BV255" s="264">
        <f t="shared" si="617"/>
        <v>2.5697649844857694E-3</v>
      </c>
      <c r="BW255" s="196">
        <f t="shared" si="784"/>
        <v>158485.91908251322</v>
      </c>
      <c r="BX255" s="247">
        <f t="shared" si="618"/>
        <v>2.5697650076343106E-3</v>
      </c>
      <c r="BY255" s="196">
        <f t="shared" si="639"/>
        <v>195534.57549141243</v>
      </c>
      <c r="BZ255" s="620">
        <v>0</v>
      </c>
      <c r="CA255" s="196">
        <f t="shared" si="763"/>
        <v>80883.952194905025</v>
      </c>
      <c r="CB255" s="196">
        <f t="shared" si="764"/>
        <v>161767.90438981005</v>
      </c>
      <c r="CC255" s="196">
        <f t="shared" si="765"/>
        <v>242651.85658471507</v>
      </c>
      <c r="CD255" s="247">
        <f t="shared" si="720"/>
        <v>1.0238492198335603E-3</v>
      </c>
      <c r="CE255" s="196">
        <f t="shared" si="766"/>
        <v>32696.625072214705</v>
      </c>
      <c r="CF255" s="247">
        <f t="shared" si="721"/>
        <v>1.411941955345672E-3</v>
      </c>
      <c r="CG255" s="196">
        <f t="shared" si="722"/>
        <v>40177.649456292689</v>
      </c>
      <c r="CH255" s="589">
        <f t="shared" si="767"/>
        <v>1.0238492198335603E-3</v>
      </c>
      <c r="CI255" s="196">
        <f t="shared" si="768"/>
        <v>93946.615380968607</v>
      </c>
      <c r="CJ255" s="248">
        <f t="shared" si="769"/>
        <v>1.5444821183950848E-3</v>
      </c>
      <c r="CK255" s="196">
        <f t="shared" si="770"/>
        <v>100093.77261255411</v>
      </c>
      <c r="CL255" s="589">
        <f t="shared" si="771"/>
        <v>1.4388685697161122E-3</v>
      </c>
      <c r="CM255" s="196">
        <f t="shared" si="772"/>
        <v>9696.591400759984</v>
      </c>
      <c r="CN255" s="589">
        <f t="shared" si="773"/>
        <v>1.3973890192270477E-3</v>
      </c>
      <c r="CO255" s="196">
        <f t="shared" si="774"/>
        <v>775.70610663909702</v>
      </c>
      <c r="CP255" s="589">
        <f t="shared" si="775"/>
        <v>1.4628622363853179E-3</v>
      </c>
      <c r="CQ255" s="196">
        <f>'Detailed Budget'!$AC$12</f>
        <v>292876014141.44696</v>
      </c>
      <c r="CR255" s="269">
        <f t="shared" si="724"/>
        <v>820142405.50307393</v>
      </c>
      <c r="CS255" s="269">
        <f>'Detailed Budget'!$AC$16</f>
        <v>10488008800.000002</v>
      </c>
      <c r="CT255" s="607">
        <f t="shared" si="725"/>
        <v>29369628.671074413</v>
      </c>
      <c r="CU255" s="269">
        <f>'Detailed Budget'!$AC$24</f>
        <v>30624985696</v>
      </c>
      <c r="CV255" s="269">
        <f t="shared" si="612"/>
        <v>85759325.531807721</v>
      </c>
      <c r="CW255" s="269"/>
      <c r="CX255" s="269">
        <f t="shared" si="776"/>
        <v>935271359.70595598</v>
      </c>
      <c r="CY255" s="196">
        <f>'Detailed Budget'!$AC$97</f>
        <v>74629165494.837845</v>
      </c>
      <c r="CZ255" s="269">
        <f t="shared" si="726"/>
        <v>0</v>
      </c>
      <c r="DA255" s="269">
        <f>'Detailed Budget'!$AC$100</f>
        <v>14925833098.967569</v>
      </c>
      <c r="DB255" s="269">
        <f t="shared" si="727"/>
        <v>0</v>
      </c>
      <c r="DC255" s="269">
        <f t="shared" si="728"/>
        <v>0</v>
      </c>
      <c r="DD255" s="207">
        <v>1</v>
      </c>
      <c r="DE255" s="606">
        <v>0</v>
      </c>
      <c r="DF255" s="269">
        <f>'Detailed Budget'!$AC$147</f>
        <v>5913600671000</v>
      </c>
      <c r="DG255" s="269">
        <f t="shared" si="607"/>
        <v>0</v>
      </c>
      <c r="DH255" s="269">
        <f>'Detailed Budget'!$AC$153</f>
        <v>226428026880.00003</v>
      </c>
      <c r="DI255" s="269"/>
      <c r="DJ255" s="269">
        <f>'Detailed Budget'!$AC$156</f>
        <v>27713070000</v>
      </c>
      <c r="DK255" s="269"/>
      <c r="DL255" s="269"/>
      <c r="DM255" s="196">
        <f>'Detailed Budget'!$AC$178</f>
        <v>5622683761.6229038</v>
      </c>
      <c r="DN255" s="269">
        <f t="shared" si="777"/>
        <v>14448975.849455269</v>
      </c>
      <c r="DO255" s="196">
        <f>'Detailed Budget'!$AC$179</f>
        <v>26827890683.128094</v>
      </c>
      <c r="DP255" s="269">
        <f t="shared" si="778"/>
        <v>68941374.706141114</v>
      </c>
      <c r="DQ255" s="269">
        <f t="shared" si="625"/>
        <v>83390350.555596381</v>
      </c>
      <c r="DR255" s="269">
        <f>'Detailed Budget'!$AC$181</f>
        <v>50888946855.375237</v>
      </c>
      <c r="DS255" s="269">
        <f t="shared" si="779"/>
        <v>111667399.14763032</v>
      </c>
      <c r="DT255" s="269">
        <f t="shared" si="780"/>
        <v>195057749.70322669</v>
      </c>
      <c r="DU255" s="272">
        <f>'Detailed Budget'!$AC$192</f>
        <v>77498869683.252869</v>
      </c>
      <c r="DV255" s="269">
        <f t="shared" si="729"/>
        <v>0</v>
      </c>
      <c r="DW255" s="140">
        <f>'Detailed Budget'!$AC$194</f>
        <v>2684962805.4134097</v>
      </c>
      <c r="DX255" s="269">
        <f t="shared" si="730"/>
        <v>0</v>
      </c>
      <c r="DY255" s="607">
        <f t="shared" si="731"/>
        <v>0</v>
      </c>
      <c r="DZ255" s="196">
        <f>'Detailed Budget'!$AC$198</f>
        <v>18732540018.380611</v>
      </c>
      <c r="EA255" s="269">
        <f t="shared" si="732"/>
        <v>26449259.182143372</v>
      </c>
      <c r="EB255" s="196">
        <f>'Detailed Budget'!$AC$200</f>
        <v>4683135004.5951529</v>
      </c>
      <c r="EC255" s="269">
        <f t="shared" si="733"/>
        <v>6612314.7955358429</v>
      </c>
      <c r="ED255" s="269">
        <f t="shared" si="734"/>
        <v>33061573.977679215</v>
      </c>
      <c r="EE255" s="196">
        <f>'Detailed Budget'!$AC$161</f>
        <v>251147290106.36197</v>
      </c>
      <c r="EF255" s="269">
        <f t="shared" si="735"/>
        <v>257136957.03871155</v>
      </c>
      <c r="EG255" s="196">
        <f>'Detailed Budget'!$AC$163</f>
        <v>15696705631.647623</v>
      </c>
      <c r="EH255" s="269">
        <f t="shared" si="736"/>
        <v>16071059.814919472</v>
      </c>
      <c r="EI255" s="269">
        <f t="shared" si="737"/>
        <v>273208016.85363102</v>
      </c>
      <c r="EJ255" s="196">
        <f>'Detailed Budget'!$AC$204</f>
        <v>45012172507.531975</v>
      </c>
      <c r="EK255" s="269">
        <f t="shared" si="738"/>
        <v>69520495.547997981</v>
      </c>
      <c r="EL255" s="201">
        <f>'Detailed Budget'!$AC$206</f>
        <v>11253043126.882994</v>
      </c>
      <c r="EM255" s="269">
        <f t="shared" si="739"/>
        <v>17380123.886999495</v>
      </c>
      <c r="EN255" s="269">
        <f t="shared" si="740"/>
        <v>86900619.434997469</v>
      </c>
      <c r="EO255" s="140">
        <f>'Detailed Budget'!$AC$209</f>
        <v>135789361677.54817</v>
      </c>
      <c r="EP255" s="269">
        <f t="shared" si="741"/>
        <v>195383044.61963761</v>
      </c>
      <c r="EQ255" s="196">
        <f>'Detailed Budget'!$AC$211</f>
        <v>33947340419.387043</v>
      </c>
      <c r="ER255" s="269">
        <f t="shared" si="742"/>
        <v>48845761.154909402</v>
      </c>
      <c r="ES255" s="269">
        <f t="shared" si="743"/>
        <v>244228805.77454701</v>
      </c>
      <c r="ET255" s="196">
        <f>'Detailed Budget'!$AC$214</f>
        <v>22239745544.201103</v>
      </c>
      <c r="EU255" s="269">
        <f t="shared" si="744"/>
        <v>31077576.213870283</v>
      </c>
      <c r="EV255" s="140">
        <f>'Detailed Budget'!$AC$217</f>
        <v>5559936386.0502758</v>
      </c>
      <c r="EW255" s="269">
        <f t="shared" si="745"/>
        <v>7769394.0534675708</v>
      </c>
      <c r="EX255" s="269">
        <f t="shared" si="746"/>
        <v>38846970.267337851</v>
      </c>
      <c r="EY255" s="196">
        <f>'Detailed Budget'!$AC$219</f>
        <v>372777004.58170313</v>
      </c>
      <c r="EZ255" s="269">
        <f t="shared" si="747"/>
        <v>545321.40259541012</v>
      </c>
      <c r="FA255" s="196">
        <f>'Detailed Budget'!$AC$222</f>
        <v>93194251.145425782</v>
      </c>
      <c r="FB255" s="269">
        <f t="shared" si="748"/>
        <v>136330.35064885253</v>
      </c>
      <c r="FC255" s="269">
        <f t="shared" si="749"/>
        <v>681651.75324426265</v>
      </c>
      <c r="FD255" s="269"/>
      <c r="FE255" s="269"/>
      <c r="FF255" s="140"/>
      <c r="FG255" s="1087">
        <f t="shared" si="608"/>
        <v>0</v>
      </c>
      <c r="FJ255" s="140"/>
      <c r="FL255" s="269">
        <f t="shared" si="609"/>
        <v>0</v>
      </c>
      <c r="FO255" s="607"/>
      <c r="FP255" s="607"/>
      <c r="FQ255" s="607"/>
      <c r="FR255" s="269">
        <f>'Detailed Budget'!$AC$257</f>
        <v>13636439388</v>
      </c>
      <c r="FS255" s="269">
        <f t="shared" si="751"/>
        <v>25982736</v>
      </c>
      <c r="FT255" s="269">
        <f t="shared" si="610"/>
        <v>25982736</v>
      </c>
      <c r="FU255" s="269"/>
      <c r="FV255" s="269"/>
      <c r="FW255" s="269"/>
      <c r="FX255" s="140">
        <f>'Detailed Budget'!$AC$278</f>
        <v>1114560000</v>
      </c>
      <c r="FY255" s="269">
        <f t="shared" si="752"/>
        <v>1440000</v>
      </c>
      <c r="FZ255" s="269">
        <f t="shared" si="611"/>
        <v>1440000</v>
      </c>
      <c r="GB255" s="269">
        <f t="shared" si="619"/>
        <v>1464021436.2404928</v>
      </c>
      <c r="GC255" s="887">
        <f t="shared" si="753"/>
        <v>915013.39765030798</v>
      </c>
      <c r="GD255" s="1078">
        <f t="shared" si="620"/>
        <v>8.2150852859627871E-4</v>
      </c>
    </row>
    <row r="256" spans="1:186" hidden="1" outlineLevel="1">
      <c r="A256" s="211" t="s">
        <v>666</v>
      </c>
      <c r="B256" s="212" t="s">
        <v>667</v>
      </c>
      <c r="C256" s="213" t="s">
        <v>215</v>
      </c>
      <c r="D256" s="214" t="s">
        <v>215</v>
      </c>
      <c r="E256" s="213"/>
      <c r="F256" s="213"/>
      <c r="G256" s="213"/>
      <c r="H256" s="213" t="s">
        <v>215</v>
      </c>
      <c r="I256" s="214" t="s">
        <v>215</v>
      </c>
      <c r="J256" s="214"/>
      <c r="K256" s="213" t="s">
        <v>215</v>
      </c>
      <c r="L256" s="213"/>
      <c r="M256" s="214"/>
      <c r="N256" s="213"/>
      <c r="O256" s="214"/>
      <c r="P256" s="213"/>
      <c r="Q256" s="214"/>
      <c r="R256" s="214" t="s">
        <v>215</v>
      </c>
      <c r="S256" s="214"/>
      <c r="T256" s="214"/>
      <c r="U256" s="215">
        <f t="shared" si="754"/>
        <v>6</v>
      </c>
      <c r="V256" s="845" t="s">
        <v>219</v>
      </c>
      <c r="W256" s="216">
        <v>301954</v>
      </c>
      <c r="X256" s="217">
        <v>3.53</v>
      </c>
      <c r="Y256" s="218">
        <f t="shared" si="640"/>
        <v>1.0352999999999999</v>
      </c>
      <c r="Z256" s="196">
        <v>19</v>
      </c>
      <c r="AA256" s="218">
        <f t="shared" si="641"/>
        <v>1.9331166712483931</v>
      </c>
      <c r="AB256" s="196">
        <f t="shared" si="712"/>
        <v>583712.31135013734</v>
      </c>
      <c r="AC256">
        <v>18.899999999999999</v>
      </c>
      <c r="AD256" s="196">
        <f t="shared" si="713"/>
        <v>110321.62684517594</v>
      </c>
      <c r="AE256" s="196">
        <f t="shared" si="644"/>
        <v>104805.54550291714</v>
      </c>
      <c r="AF256" s="196">
        <f t="shared" si="755"/>
        <v>104805.54550291714</v>
      </c>
      <c r="AG256" s="606">
        <f t="shared" si="756"/>
        <v>4.8457483190890117E-3</v>
      </c>
      <c r="AH256" s="196">
        <f t="shared" si="781"/>
        <v>29185.615567506869</v>
      </c>
      <c r="AI256" s="248">
        <f t="shared" si="715"/>
        <v>2.2609654174878804E-3</v>
      </c>
      <c r="AJ256" s="196">
        <f t="shared" si="757"/>
        <v>139507.2424126828</v>
      </c>
      <c r="AK256" s="196">
        <f t="shared" si="605"/>
        <v>23348.492454005493</v>
      </c>
      <c r="AL256" s="196">
        <f t="shared" si="606"/>
        <v>23348.492454005493</v>
      </c>
      <c r="AM256" s="196">
        <f t="shared" si="716"/>
        <v>46696.984908010985</v>
      </c>
      <c r="AN256" s="627">
        <f t="shared" si="717"/>
        <v>2.2609654174878804E-3</v>
      </c>
      <c r="AO256" s="196">
        <f t="shared" si="718"/>
        <v>22181.067831305219</v>
      </c>
      <c r="AP256" s="589">
        <f t="shared" si="758"/>
        <v>2.2609654174878804E-3</v>
      </c>
      <c r="AQ256" s="196"/>
      <c r="AR256" s="589"/>
      <c r="AS256">
        <v>1</v>
      </c>
      <c r="AT256" s="589">
        <f t="shared" si="759"/>
        <v>1.2919896640826874E-3</v>
      </c>
      <c r="AU256" s="196">
        <v>13</v>
      </c>
      <c r="AV256" s="245">
        <f t="shared" si="719"/>
        <v>1.4771048744460858E-3</v>
      </c>
      <c r="AX256" s="245"/>
      <c r="AY256" s="245"/>
      <c r="AZ256" s="196">
        <v>41</v>
      </c>
      <c r="BA256" s="589">
        <f t="shared" si="613"/>
        <v>1.5023267743944891E-3</v>
      </c>
      <c r="BI256" s="196">
        <v>1</v>
      </c>
      <c r="BJ256" s="196">
        <f t="shared" si="760"/>
        <v>324284.67522897176</v>
      </c>
      <c r="BK256" s="246">
        <f t="shared" si="614"/>
        <v>6.1839131032951035E-3</v>
      </c>
      <c r="BL256" s="196">
        <f t="shared" si="782"/>
        <v>6485.6935045794353</v>
      </c>
      <c r="BM256" s="246">
        <f t="shared" si="615"/>
        <v>6.1839123957542329E-3</v>
      </c>
      <c r="BN256" s="196">
        <v>0</v>
      </c>
      <c r="BO256" s="196">
        <f t="shared" si="761"/>
        <v>33649.236415312043</v>
      </c>
      <c r="BP256" s="196">
        <f t="shared" si="762"/>
        <v>0</v>
      </c>
      <c r="BQ256" s="248">
        <f t="shared" si="616"/>
        <v>0</v>
      </c>
      <c r="BR256" s="248"/>
      <c r="BS256" s="248"/>
      <c r="BT256" s="276">
        <v>1</v>
      </c>
      <c r="BU256" s="196">
        <f t="shared" si="783"/>
        <v>81814.518468382477</v>
      </c>
      <c r="BV256" s="264">
        <f t="shared" si="617"/>
        <v>5.6748099704936224E-3</v>
      </c>
      <c r="BW256" s="196">
        <f t="shared" si="784"/>
        <v>349984.3290036362</v>
      </c>
      <c r="BX256" s="247">
        <f t="shared" si="618"/>
        <v>5.6748100216125284E-3</v>
      </c>
      <c r="BY256" s="196">
        <f t="shared" si="639"/>
        <v>431798.84747201868</v>
      </c>
      <c r="BZ256" s="620">
        <v>0</v>
      </c>
      <c r="CA256" s="196">
        <f t="shared" si="763"/>
        <v>178615.96727314201</v>
      </c>
      <c r="CB256" s="196">
        <f t="shared" si="764"/>
        <v>357231.93454628403</v>
      </c>
      <c r="CC256" s="196">
        <f t="shared" si="765"/>
        <v>535847.9018194261</v>
      </c>
      <c r="CD256" s="247">
        <f t="shared" si="720"/>
        <v>2.2609654174878804E-3</v>
      </c>
      <c r="CE256" s="196">
        <f t="shared" si="766"/>
        <v>72203.931130466866</v>
      </c>
      <c r="CF256" s="247">
        <f t="shared" si="721"/>
        <v>3.1179902965162575E-3</v>
      </c>
      <c r="CG256" s="196">
        <f t="shared" si="722"/>
        <v>88724.271325220878</v>
      </c>
      <c r="CH256" s="589">
        <f t="shared" si="767"/>
        <v>2.2609654174878804E-3</v>
      </c>
      <c r="CI256" s="196">
        <f t="shared" si="768"/>
        <v>207462.23599304492</v>
      </c>
      <c r="CJ256" s="248">
        <f t="shared" si="769"/>
        <v>3.4106786331168774E-3</v>
      </c>
      <c r="CK256" s="196">
        <f t="shared" si="770"/>
        <v>221036.99841629973</v>
      </c>
      <c r="CL256" s="589">
        <f t="shared" si="771"/>
        <v>3.1774523176051582E-3</v>
      </c>
      <c r="CM256" s="196">
        <f t="shared" si="772"/>
        <v>21412.975074779722</v>
      </c>
      <c r="CN256" s="589">
        <f t="shared" si="773"/>
        <v>3.0858530592651821E-3</v>
      </c>
      <c r="CO256" s="196">
        <f t="shared" si="774"/>
        <v>1712.9911780665068</v>
      </c>
      <c r="CP256" s="589">
        <f t="shared" si="775"/>
        <v>3.2304375126191512E-3</v>
      </c>
      <c r="CQ256" s="196">
        <f>'Detailed Budget'!$AC$12</f>
        <v>292876014141.44696</v>
      </c>
      <c r="CR256" s="269">
        <f t="shared" si="724"/>
        <v>1811119821.4901359</v>
      </c>
      <c r="CS256" s="269">
        <f>'Detailed Budget'!$AC$16</f>
        <v>10488008800.000002</v>
      </c>
      <c r="CT256" s="607">
        <f t="shared" si="725"/>
        <v>64856927.625099488</v>
      </c>
      <c r="CU256" s="269">
        <f>'Detailed Budget'!$AC$24</f>
        <v>30624985696</v>
      </c>
      <c r="CV256" s="269">
        <f t="shared" si="612"/>
        <v>189382250.33371952</v>
      </c>
      <c r="CW256" s="269"/>
      <c r="CX256" s="269">
        <f t="shared" si="776"/>
        <v>2065358999.4489548</v>
      </c>
      <c r="CY256" s="196">
        <f>'Detailed Budget'!$AC$97</f>
        <v>74629165494.837845</v>
      </c>
      <c r="CZ256" s="269">
        <f t="shared" si="726"/>
        <v>0</v>
      </c>
      <c r="DA256" s="269">
        <f>'Detailed Budget'!$AC$100</f>
        <v>14925833098.967569</v>
      </c>
      <c r="DB256" s="269">
        <f t="shared" si="727"/>
        <v>0</v>
      </c>
      <c r="DC256" s="269">
        <f t="shared" si="728"/>
        <v>0</v>
      </c>
      <c r="DD256" s="207">
        <v>0</v>
      </c>
      <c r="DE256" s="606">
        <v>0</v>
      </c>
      <c r="DF256" s="269">
        <f>'Detailed Budget'!$AC$147</f>
        <v>5913600671000</v>
      </c>
      <c r="DG256" s="269">
        <f t="shared" si="607"/>
        <v>0</v>
      </c>
      <c r="DH256" s="269">
        <f>'Detailed Budget'!$AC$153</f>
        <v>226428026880.00003</v>
      </c>
      <c r="DI256" s="269"/>
      <c r="DJ256" s="269">
        <f>'Detailed Budget'!$AC$156</f>
        <v>27713070000</v>
      </c>
      <c r="DK256" s="269"/>
      <c r="DL256" s="269"/>
      <c r="DM256" s="196">
        <f>'Detailed Budget'!$AC$178</f>
        <v>5622683761.6229038</v>
      </c>
      <c r="DN256" s="269">
        <f t="shared" si="777"/>
        <v>31907661.871390242</v>
      </c>
      <c r="DO256" s="196">
        <f>'Detailed Budget'!$AC$179</f>
        <v>26827890683.128094</v>
      </c>
      <c r="DP256" s="269">
        <f t="shared" si="778"/>
        <v>152243182.90734068</v>
      </c>
      <c r="DQ256" s="269">
        <f t="shared" si="625"/>
        <v>184150844.77873093</v>
      </c>
      <c r="DR256" s="269">
        <f>'Detailed Budget'!$AC$181</f>
        <v>50888946855.375237</v>
      </c>
      <c r="DS256" s="269">
        <f t="shared" si="779"/>
        <v>246595028.68464461</v>
      </c>
      <c r="DT256" s="269">
        <f t="shared" si="780"/>
        <v>430745873.46337557</v>
      </c>
      <c r="DU256" s="272">
        <f>'Detailed Budget'!$AC$192</f>
        <v>77498869683.252869</v>
      </c>
      <c r="DV256" s="269">
        <f t="shared" si="729"/>
        <v>0</v>
      </c>
      <c r="DW256" s="140">
        <f>'Detailed Budget'!$AC$194</f>
        <v>2684962805.4134097</v>
      </c>
      <c r="DX256" s="269">
        <f t="shared" si="730"/>
        <v>0</v>
      </c>
      <c r="DY256" s="607">
        <f t="shared" si="731"/>
        <v>0</v>
      </c>
      <c r="DZ256" s="196">
        <f>'Detailed Budget'!$AC$198</f>
        <v>18732540018.380611</v>
      </c>
      <c r="EA256" s="269">
        <f t="shared" si="732"/>
        <v>58407878.006413221</v>
      </c>
      <c r="EB256" s="196">
        <f>'Detailed Budget'!$AC$200</f>
        <v>4683135004.5951529</v>
      </c>
      <c r="EC256" s="269">
        <f t="shared" si="733"/>
        <v>14601969.501603305</v>
      </c>
      <c r="ED256" s="269">
        <f t="shared" si="734"/>
        <v>73009847.508016527</v>
      </c>
      <c r="EE256" s="196">
        <f>'Detailed Budget'!$AC$161</f>
        <v>251147290106.36197</v>
      </c>
      <c r="EF256" s="269">
        <f t="shared" si="735"/>
        <v>567835337.62628055</v>
      </c>
      <c r="EG256" s="196">
        <f>'Detailed Budget'!$AC$163</f>
        <v>15696705631.647623</v>
      </c>
      <c r="EH256" s="269">
        <f t="shared" si="736"/>
        <v>35489708.601642534</v>
      </c>
      <c r="EI256" s="269">
        <f t="shared" si="737"/>
        <v>603325046.22792304</v>
      </c>
      <c r="EJ256" s="196">
        <f>'Detailed Budget'!$AC$204</f>
        <v>45012172507.531975</v>
      </c>
      <c r="EK256" s="269">
        <f t="shared" si="738"/>
        <v>153522055.00161025</v>
      </c>
      <c r="EL256" s="201">
        <f>'Detailed Budget'!$AC$206</f>
        <v>11253043126.882994</v>
      </c>
      <c r="EM256" s="269">
        <f t="shared" si="739"/>
        <v>38380513.750402562</v>
      </c>
      <c r="EN256" s="269">
        <f t="shared" si="740"/>
        <v>191902568.75201282</v>
      </c>
      <c r="EO256" s="140">
        <f>'Detailed Budget'!$AC$209</f>
        <v>135789361677.54817</v>
      </c>
      <c r="EP256" s="269">
        <f t="shared" si="741"/>
        <v>431464221.96845049</v>
      </c>
      <c r="EQ256" s="196">
        <f>'Detailed Budget'!$AC$211</f>
        <v>33947340419.387043</v>
      </c>
      <c r="ER256" s="269">
        <f t="shared" si="742"/>
        <v>107866055.49211262</v>
      </c>
      <c r="ES256" s="269">
        <f t="shared" si="743"/>
        <v>539330277.46056306</v>
      </c>
      <c r="ET256" s="196">
        <f>'Detailed Budget'!$AC$214</f>
        <v>22239745544.201103</v>
      </c>
      <c r="EU256" s="269">
        <f t="shared" si="744"/>
        <v>68628586.824852183</v>
      </c>
      <c r="EV256" s="140">
        <f>'Detailed Budget'!$AC$217</f>
        <v>5559936386.0502758</v>
      </c>
      <c r="EW256" s="269">
        <f t="shared" si="745"/>
        <v>17157146.706213046</v>
      </c>
      <c r="EX256" s="269">
        <f t="shared" si="746"/>
        <v>85785733.531065226</v>
      </c>
      <c r="EY256" s="196">
        <f>'Detailed Budget'!$AC$219</f>
        <v>372777004.58170313</v>
      </c>
      <c r="EZ256" s="269">
        <f t="shared" si="747"/>
        <v>1204232.8194425351</v>
      </c>
      <c r="FA256" s="196">
        <f>'Detailed Budget'!$AC$222</f>
        <v>93194251.145425782</v>
      </c>
      <c r="FB256" s="269">
        <f t="shared" si="748"/>
        <v>301058.20486063376</v>
      </c>
      <c r="FC256" s="269">
        <f t="shared" si="749"/>
        <v>1505291.0243031688</v>
      </c>
      <c r="FD256" s="269"/>
      <c r="FE256" s="269"/>
      <c r="FF256" s="140"/>
      <c r="FG256" s="1087">
        <f t="shared" si="608"/>
        <v>0</v>
      </c>
      <c r="FJ256" s="140"/>
      <c r="FL256" s="269">
        <f t="shared" si="609"/>
        <v>0</v>
      </c>
      <c r="FO256" s="607"/>
      <c r="FP256" s="607"/>
      <c r="FQ256" s="607"/>
      <c r="FR256" s="269">
        <f>'Detailed Budget'!$AC$257</f>
        <v>13636439388</v>
      </c>
      <c r="FS256" s="269">
        <f t="shared" si="751"/>
        <v>20486388</v>
      </c>
      <c r="FT256" s="269">
        <f t="shared" si="610"/>
        <v>20486388</v>
      </c>
      <c r="FU256" s="269"/>
      <c r="FV256" s="269"/>
      <c r="FW256" s="269"/>
      <c r="FX256" s="140">
        <f>'Detailed Budget'!$AC$278</f>
        <v>1114560000</v>
      </c>
      <c r="FY256" s="269">
        <f t="shared" si="752"/>
        <v>1440000</v>
      </c>
      <c r="FZ256" s="269">
        <f t="shared" si="611"/>
        <v>1440000</v>
      </c>
      <c r="GB256" s="269">
        <f t="shared" si="619"/>
        <v>3194366154.6482701</v>
      </c>
      <c r="GC256" s="887">
        <f t="shared" si="753"/>
        <v>1996478.8466551688</v>
      </c>
      <c r="GD256" s="1078">
        <f t="shared" si="620"/>
        <v>1.792459437097873E-3</v>
      </c>
    </row>
    <row r="257" spans="1:186" hidden="1" outlineLevel="1">
      <c r="A257" s="211" t="s">
        <v>668</v>
      </c>
      <c r="B257" s="212" t="s">
        <v>669</v>
      </c>
      <c r="C257" s="213" t="s">
        <v>215</v>
      </c>
      <c r="D257" s="214" t="s">
        <v>215</v>
      </c>
      <c r="E257" s="213"/>
      <c r="F257" s="213"/>
      <c r="G257" s="213"/>
      <c r="H257" s="213" t="s">
        <v>215</v>
      </c>
      <c r="I257" s="214" t="s">
        <v>215</v>
      </c>
      <c r="J257" s="214"/>
      <c r="K257" s="213" t="s">
        <v>215</v>
      </c>
      <c r="L257" s="213"/>
      <c r="M257" s="214"/>
      <c r="N257" s="213"/>
      <c r="O257" s="214"/>
      <c r="P257" s="213"/>
      <c r="Q257" s="214"/>
      <c r="R257" s="214" t="s">
        <v>215</v>
      </c>
      <c r="S257" s="214"/>
      <c r="T257" s="214"/>
      <c r="U257" s="215">
        <f t="shared" si="754"/>
        <v>6</v>
      </c>
      <c r="V257" s="845" t="s">
        <v>219</v>
      </c>
      <c r="W257" s="216">
        <v>155740</v>
      </c>
      <c r="X257" s="217">
        <v>3.53</v>
      </c>
      <c r="Y257" s="218">
        <f t="shared" si="640"/>
        <v>1.0352999999999999</v>
      </c>
      <c r="Z257" s="196">
        <v>19</v>
      </c>
      <c r="AA257" s="218">
        <f t="shared" si="641"/>
        <v>1.9331166712483931</v>
      </c>
      <c r="AB257" s="196">
        <f t="shared" si="712"/>
        <v>301063.59038022475</v>
      </c>
      <c r="AC257">
        <v>18.899999999999999</v>
      </c>
      <c r="AD257" s="196">
        <f t="shared" si="713"/>
        <v>56901.018581862474</v>
      </c>
      <c r="AE257" s="196">
        <f t="shared" si="644"/>
        <v>54055.967652769345</v>
      </c>
      <c r="AF257" s="196">
        <f t="shared" si="755"/>
        <v>54055.967652769345</v>
      </c>
      <c r="AG257" s="606">
        <f t="shared" si="756"/>
        <v>2.4993106341195102E-3</v>
      </c>
      <c r="AH257" s="196">
        <f t="shared" si="781"/>
        <v>15053.179519011239</v>
      </c>
      <c r="AI257" s="248">
        <f t="shared" si="715"/>
        <v>1.1661470095430512E-3</v>
      </c>
      <c r="AJ257" s="196">
        <f t="shared" si="757"/>
        <v>71954.198100873706</v>
      </c>
      <c r="AK257" s="196">
        <f t="shared" si="605"/>
        <v>12042.54361520899</v>
      </c>
      <c r="AL257" s="196">
        <f t="shared" si="606"/>
        <v>12042.54361520899</v>
      </c>
      <c r="AM257" s="196">
        <f t="shared" si="716"/>
        <v>24085.087230417979</v>
      </c>
      <c r="AN257" s="627">
        <f t="shared" si="717"/>
        <v>1.1661470095430512E-3</v>
      </c>
      <c r="AO257" s="196">
        <f t="shared" si="718"/>
        <v>11440.41643444854</v>
      </c>
      <c r="AP257" s="589">
        <f t="shared" si="758"/>
        <v>1.166147009543051E-3</v>
      </c>
      <c r="AQ257" s="196"/>
      <c r="AR257" s="589"/>
      <c r="AS257">
        <v>1</v>
      </c>
      <c r="AT257" s="589">
        <f t="shared" si="759"/>
        <v>1.2919896640826874E-3</v>
      </c>
      <c r="AU257" s="196">
        <v>11</v>
      </c>
      <c r="AV257" s="245">
        <f t="shared" si="719"/>
        <v>1.2498579706851495E-3</v>
      </c>
      <c r="AX257" s="245"/>
      <c r="AY257" s="245"/>
      <c r="AZ257" s="196">
        <v>23</v>
      </c>
      <c r="BA257" s="589">
        <f t="shared" si="613"/>
        <v>8.4276867831885966E-4</v>
      </c>
      <c r="BI257" s="196">
        <v>1</v>
      </c>
      <c r="BJ257" s="196">
        <f t="shared" si="760"/>
        <v>167257.5800292762</v>
      </c>
      <c r="BK257" s="246">
        <f t="shared" si="614"/>
        <v>3.1895011382766232E-3</v>
      </c>
      <c r="BL257" s="196">
        <f t="shared" si="782"/>
        <v>3345.1516005855242</v>
      </c>
      <c r="BM257" s="246">
        <f t="shared" si="615"/>
        <v>3.189500773345491E-3</v>
      </c>
      <c r="BN257" s="196">
        <v>0</v>
      </c>
      <c r="BO257" s="196">
        <f t="shared" si="761"/>
        <v>17355.398767099286</v>
      </c>
      <c r="BP257" s="196">
        <f t="shared" si="762"/>
        <v>0</v>
      </c>
      <c r="BQ257" s="248">
        <f t="shared" si="616"/>
        <v>0</v>
      </c>
      <c r="BR257" s="248"/>
      <c r="BS257" s="248"/>
      <c r="BT257" s="276">
        <v>1</v>
      </c>
      <c r="BU257" s="196">
        <f t="shared" si="783"/>
        <v>42197.79538030921</v>
      </c>
      <c r="BV257" s="264">
        <f t="shared" si="617"/>
        <v>2.9269190168193723E-3</v>
      </c>
      <c r="BW257" s="196">
        <f t="shared" si="784"/>
        <v>180512.7913491005</v>
      </c>
      <c r="BX257" s="247">
        <f t="shared" si="618"/>
        <v>2.9269190431851708E-3</v>
      </c>
      <c r="BY257" s="196">
        <f t="shared" si="639"/>
        <v>222710.5867294097</v>
      </c>
      <c r="BZ257" s="620">
        <v>0</v>
      </c>
      <c r="CA257" s="196">
        <f t="shared" si="763"/>
        <v>92125.458656348754</v>
      </c>
      <c r="CB257" s="196">
        <f t="shared" si="764"/>
        <v>184250.91731269751</v>
      </c>
      <c r="CC257" s="196">
        <f t="shared" si="765"/>
        <v>276376.37596904626</v>
      </c>
      <c r="CD257" s="247">
        <f t="shared" si="720"/>
        <v>1.166147009543051E-3</v>
      </c>
      <c r="CE257" s="196">
        <f t="shared" si="766"/>
        <v>37240.905019502679</v>
      </c>
      <c r="CF257" s="247">
        <f t="shared" si="721"/>
        <v>1.6081780959332945E-3</v>
      </c>
      <c r="CG257" s="196">
        <f t="shared" si="722"/>
        <v>45761.665737794159</v>
      </c>
      <c r="CH257" s="589">
        <f t="shared" si="767"/>
        <v>1.166147009543051E-3</v>
      </c>
      <c r="CI257" s="196">
        <f t="shared" si="768"/>
        <v>107003.61191955338</v>
      </c>
      <c r="CJ257" s="248">
        <f t="shared" si="769"/>
        <v>1.7591391083463792E-3</v>
      </c>
      <c r="CK257" s="196">
        <f t="shared" si="770"/>
        <v>114005.12042680185</v>
      </c>
      <c r="CL257" s="589">
        <f t="shared" si="771"/>
        <v>1.6388470559880889E-3</v>
      </c>
      <c r="CM257" s="196">
        <f t="shared" si="772"/>
        <v>11044.254218013984</v>
      </c>
      <c r="CN257" s="589">
        <f t="shared" si="773"/>
        <v>1.5916025469109852E-3</v>
      </c>
      <c r="CO257" s="196">
        <f t="shared" si="774"/>
        <v>883.51618482311153</v>
      </c>
      <c r="CP257" s="589">
        <f t="shared" si="775"/>
        <v>1.6661754380313117E-3</v>
      </c>
      <c r="CQ257" s="196">
        <f>'Detailed Budget'!$AC$12</f>
        <v>292876014141.44696</v>
      </c>
      <c r="CR257" s="269">
        <f t="shared" si="724"/>
        <v>934128380.47806549</v>
      </c>
      <c r="CS257" s="269">
        <f>'Detailed Budget'!$AC$16</f>
        <v>10488008800.000002</v>
      </c>
      <c r="CT257" s="607">
        <f t="shared" si="725"/>
        <v>33451512.178454321</v>
      </c>
      <c r="CU257" s="269">
        <f>'Detailed Budget'!$AC$24</f>
        <v>30624985696</v>
      </c>
      <c r="CV257" s="269">
        <f t="shared" si="612"/>
        <v>97678426.737097308</v>
      </c>
      <c r="CW257" s="269"/>
      <c r="CX257" s="269">
        <f t="shared" si="776"/>
        <v>1065258319.393617</v>
      </c>
      <c r="CY257" s="196">
        <f>'Detailed Budget'!$AC$97</f>
        <v>74629165494.837845</v>
      </c>
      <c r="CZ257" s="269">
        <f t="shared" si="726"/>
        <v>0</v>
      </c>
      <c r="DA257" s="269">
        <f>'Detailed Budget'!$AC$100</f>
        <v>14925833098.967569</v>
      </c>
      <c r="DB257" s="269">
        <f t="shared" si="727"/>
        <v>0</v>
      </c>
      <c r="DC257" s="269">
        <f t="shared" si="728"/>
        <v>0</v>
      </c>
      <c r="DD257" s="207">
        <v>0</v>
      </c>
      <c r="DE257" s="606">
        <v>0</v>
      </c>
      <c r="DF257" s="269">
        <f>'Detailed Budget'!$AC$147</f>
        <v>5913600671000</v>
      </c>
      <c r="DG257" s="269">
        <f t="shared" si="607"/>
        <v>0</v>
      </c>
      <c r="DH257" s="269">
        <f>'Detailed Budget'!$AC$153</f>
        <v>226428026880.00003</v>
      </c>
      <c r="DI257" s="269"/>
      <c r="DJ257" s="269">
        <f>'Detailed Budget'!$AC$156</f>
        <v>27713070000</v>
      </c>
      <c r="DK257" s="269"/>
      <c r="DL257" s="269"/>
      <c r="DM257" s="196">
        <f>'Detailed Budget'!$AC$178</f>
        <v>5622683761.6229038</v>
      </c>
      <c r="DN257" s="269">
        <f t="shared" si="777"/>
        <v>16457140.027455559</v>
      </c>
      <c r="DO257" s="196">
        <f>'Detailed Budget'!$AC$179</f>
        <v>26827890683.128094</v>
      </c>
      <c r="DP257" s="269">
        <f t="shared" si="778"/>
        <v>78523064.128937632</v>
      </c>
      <c r="DQ257" s="269">
        <f t="shared" si="625"/>
        <v>94980204.156393185</v>
      </c>
      <c r="DR257" s="269">
        <f>'Detailed Budget'!$AC$181</f>
        <v>50888946855.375237</v>
      </c>
      <c r="DS257" s="269">
        <f t="shared" si="779"/>
        <v>127187286.03478193</v>
      </c>
      <c r="DT257" s="269">
        <f t="shared" si="780"/>
        <v>222167490.1911751</v>
      </c>
      <c r="DU257" s="272">
        <f>'Detailed Budget'!$AC$192</f>
        <v>77498869683.252869</v>
      </c>
      <c r="DV257" s="269">
        <f t="shared" si="729"/>
        <v>0</v>
      </c>
      <c r="DW257" s="140">
        <f>'Detailed Budget'!$AC$194</f>
        <v>2684962805.4134097</v>
      </c>
      <c r="DX257" s="269">
        <f t="shared" si="730"/>
        <v>0</v>
      </c>
      <c r="DY257" s="607">
        <f t="shared" si="731"/>
        <v>0</v>
      </c>
      <c r="DZ257" s="196">
        <f>'Detailed Budget'!$AC$198</f>
        <v>18732540018.380611</v>
      </c>
      <c r="EA257" s="269">
        <f t="shared" si="732"/>
        <v>30125260.538753573</v>
      </c>
      <c r="EB257" s="196">
        <f>'Detailed Budget'!$AC$200</f>
        <v>4683135004.5951529</v>
      </c>
      <c r="EC257" s="269">
        <f t="shared" si="733"/>
        <v>7531315.1346883932</v>
      </c>
      <c r="ED257" s="269">
        <f t="shared" si="734"/>
        <v>37656575.673441969</v>
      </c>
      <c r="EE257" s="196">
        <f>'Detailed Budget'!$AC$161</f>
        <v>251147290106.36197</v>
      </c>
      <c r="EF257" s="269">
        <f t="shared" si="735"/>
        <v>292874661.31237507</v>
      </c>
      <c r="EG257" s="196">
        <f>'Detailed Budget'!$AC$163</f>
        <v>15696705631.647623</v>
      </c>
      <c r="EH257" s="269">
        <f t="shared" si="736"/>
        <v>18304666.332023442</v>
      </c>
      <c r="EI257" s="269">
        <f t="shared" si="737"/>
        <v>311179327.64439851</v>
      </c>
      <c r="EJ257" s="196">
        <f>'Detailed Budget'!$AC$204</f>
        <v>45012172507.531975</v>
      </c>
      <c r="EK257" s="269">
        <f t="shared" si="738"/>
        <v>79182673.009633198</v>
      </c>
      <c r="EL257" s="201">
        <f>'Detailed Budget'!$AC$206</f>
        <v>11253043126.882994</v>
      </c>
      <c r="EM257" s="269">
        <f t="shared" si="739"/>
        <v>19795668.2524083</v>
      </c>
      <c r="EN257" s="269">
        <f t="shared" si="740"/>
        <v>98978341.262041494</v>
      </c>
      <c r="EO257" s="140">
        <f>'Detailed Budget'!$AC$209</f>
        <v>135789361677.54817</v>
      </c>
      <c r="EP257" s="269">
        <f t="shared" si="741"/>
        <v>222537995.61975163</v>
      </c>
      <c r="EQ257" s="196">
        <f>'Detailed Budget'!$AC$211</f>
        <v>33947340419.387043</v>
      </c>
      <c r="ER257" s="269">
        <f t="shared" si="742"/>
        <v>55634498.904937908</v>
      </c>
      <c r="ES257" s="269">
        <f t="shared" si="743"/>
        <v>278172494.52468956</v>
      </c>
      <c r="ET257" s="196">
        <f>'Detailed Budget'!$AC$214</f>
        <v>22239745544.201103</v>
      </c>
      <c r="EU257" s="269">
        <f t="shared" si="744"/>
        <v>35396835.650802709</v>
      </c>
      <c r="EV257" s="140">
        <f>'Detailed Budget'!$AC$217</f>
        <v>5559936386.0502758</v>
      </c>
      <c r="EW257" s="269">
        <f t="shared" si="745"/>
        <v>8849208.9127006773</v>
      </c>
      <c r="EX257" s="269">
        <f t="shared" si="746"/>
        <v>44246044.563503385</v>
      </c>
      <c r="EY257" s="196">
        <f>'Detailed Budget'!$AC$219</f>
        <v>372777004.58170313</v>
      </c>
      <c r="EZ257" s="269">
        <f t="shared" si="747"/>
        <v>621111.88889691955</v>
      </c>
      <c r="FA257" s="196">
        <f>'Detailed Budget'!$AC$222</f>
        <v>93194251.145425782</v>
      </c>
      <c r="FB257" s="269">
        <f t="shared" si="748"/>
        <v>155277.97222422989</v>
      </c>
      <c r="FC257" s="269">
        <f t="shared" si="749"/>
        <v>776389.8611211495</v>
      </c>
      <c r="FD257" s="269"/>
      <c r="FE257" s="269"/>
      <c r="FF257" s="140"/>
      <c r="FG257" s="1087">
        <f t="shared" si="608"/>
        <v>0</v>
      </c>
      <c r="FJ257" s="140"/>
      <c r="FL257" s="269">
        <f t="shared" si="609"/>
        <v>0</v>
      </c>
      <c r="FO257" s="607"/>
      <c r="FP257" s="607"/>
      <c r="FQ257" s="607"/>
      <c r="FR257" s="269">
        <f>'Detailed Budget'!$AC$257</f>
        <v>13636439388</v>
      </c>
      <c r="FS257" s="269">
        <f t="shared" si="751"/>
        <v>11492364</v>
      </c>
      <c r="FT257" s="269">
        <f t="shared" si="610"/>
        <v>11492364</v>
      </c>
      <c r="FU257" s="269"/>
      <c r="FV257" s="269"/>
      <c r="FW257" s="269"/>
      <c r="FX257" s="140">
        <f>'Detailed Budget'!$AC$278</f>
        <v>1114560000</v>
      </c>
      <c r="FY257" s="269">
        <f t="shared" si="752"/>
        <v>1440000</v>
      </c>
      <c r="FZ257" s="269">
        <f t="shared" si="611"/>
        <v>1440000</v>
      </c>
      <c r="GB257" s="269">
        <f t="shared" si="619"/>
        <v>1649194076.9026325</v>
      </c>
      <c r="GC257" s="887">
        <f t="shared" si="753"/>
        <v>1030746.2980641453</v>
      </c>
      <c r="GD257" s="1078">
        <f t="shared" si="620"/>
        <v>9.2541472819215203E-4</v>
      </c>
    </row>
    <row r="258" spans="1:186" hidden="1" outlineLevel="1">
      <c r="A258" s="211" t="s">
        <v>670</v>
      </c>
      <c r="B258" s="212" t="s">
        <v>671</v>
      </c>
      <c r="C258" s="213" t="s">
        <v>215</v>
      </c>
      <c r="D258" s="214" t="s">
        <v>215</v>
      </c>
      <c r="E258" s="213"/>
      <c r="F258" s="213"/>
      <c r="G258" s="213"/>
      <c r="H258" s="213" t="s">
        <v>215</v>
      </c>
      <c r="I258" s="214" t="s">
        <v>215</v>
      </c>
      <c r="J258" s="214"/>
      <c r="K258" s="213" t="s">
        <v>215</v>
      </c>
      <c r="L258" s="213"/>
      <c r="M258" s="214"/>
      <c r="N258" s="213"/>
      <c r="O258" s="214"/>
      <c r="P258" s="213"/>
      <c r="Q258" s="214"/>
      <c r="R258" s="214" t="s">
        <v>215</v>
      </c>
      <c r="S258" s="214"/>
      <c r="T258" s="214"/>
      <c r="U258" s="215">
        <f t="shared" si="754"/>
        <v>6</v>
      </c>
      <c r="V258" s="845" t="s">
        <v>219</v>
      </c>
      <c r="W258" s="216">
        <v>129797</v>
      </c>
      <c r="X258" s="217">
        <v>3.53</v>
      </c>
      <c r="Y258" s="218">
        <f t="shared" si="640"/>
        <v>1.0352999999999999</v>
      </c>
      <c r="Z258" s="196">
        <v>19</v>
      </c>
      <c r="AA258" s="218">
        <f t="shared" si="641"/>
        <v>1.9331166712483931</v>
      </c>
      <c r="AB258" s="196">
        <f t="shared" si="712"/>
        <v>250912.74457802769</v>
      </c>
      <c r="AC258">
        <v>18.899999999999999</v>
      </c>
      <c r="AD258" s="196">
        <f t="shared" si="713"/>
        <v>47422.508725247237</v>
      </c>
      <c r="AE258" s="196">
        <f t="shared" si="644"/>
        <v>45051.383288984871</v>
      </c>
      <c r="AF258" s="196">
        <f t="shared" si="755"/>
        <v>45051.383288984871</v>
      </c>
      <c r="AG258" s="606">
        <f t="shared" si="756"/>
        <v>2.0829781840041744E-3</v>
      </c>
      <c r="AH258" s="196">
        <f t="shared" si="781"/>
        <v>12545.637228901385</v>
      </c>
      <c r="AI258" s="248">
        <f t="shared" si="715"/>
        <v>9.7189150762591126E-4</v>
      </c>
      <c r="AJ258" s="196">
        <f t="shared" si="757"/>
        <v>59968.145954148626</v>
      </c>
      <c r="AK258" s="196">
        <f t="shared" si="605"/>
        <v>10036.509783121108</v>
      </c>
      <c r="AL258" s="196">
        <f t="shared" si="606"/>
        <v>10036.509783121108</v>
      </c>
      <c r="AM258" s="196">
        <f t="shared" si="716"/>
        <v>20073.019566242216</v>
      </c>
      <c r="AN258" s="627">
        <f t="shared" si="717"/>
        <v>9.7189150762591126E-4</v>
      </c>
      <c r="AO258" s="196">
        <f t="shared" si="718"/>
        <v>9534.6842939650523</v>
      </c>
      <c r="AP258" s="589">
        <f t="shared" si="758"/>
        <v>9.7189150762591126E-4</v>
      </c>
      <c r="AQ258" s="196"/>
      <c r="AR258" s="589"/>
      <c r="AS258">
        <v>1</v>
      </c>
      <c r="AT258" s="589">
        <f t="shared" si="759"/>
        <v>1.2919896640826874E-3</v>
      </c>
      <c r="AU258" s="196">
        <v>10</v>
      </c>
      <c r="AV258" s="245">
        <f t="shared" si="719"/>
        <v>1.1362345188046814E-3</v>
      </c>
      <c r="AX258" s="245"/>
      <c r="AY258" s="245"/>
      <c r="AZ258" s="196">
        <v>17</v>
      </c>
      <c r="BA258" s="589">
        <f t="shared" si="613"/>
        <v>6.229159796269833E-4</v>
      </c>
      <c r="BI258" s="196">
        <v>1</v>
      </c>
      <c r="BJ258" s="196">
        <f t="shared" si="760"/>
        <v>139395.99406099887</v>
      </c>
      <c r="BK258" s="246">
        <f t="shared" si="614"/>
        <v>2.6581975038197695E-3</v>
      </c>
      <c r="BL258" s="196">
        <f t="shared" si="782"/>
        <v>2787.9198812199775</v>
      </c>
      <c r="BM258" s="246">
        <f t="shared" si="615"/>
        <v>2.6581971996784684E-3</v>
      </c>
      <c r="BN258" s="196">
        <v>0</v>
      </c>
      <c r="BO258" s="196">
        <f t="shared" si="761"/>
        <v>14464.355295833997</v>
      </c>
      <c r="BP258" s="196">
        <f t="shared" si="762"/>
        <v>0</v>
      </c>
      <c r="BQ258" s="248">
        <f t="shared" si="616"/>
        <v>0</v>
      </c>
      <c r="BR258" s="248"/>
      <c r="BS258" s="248"/>
      <c r="BT258" s="276">
        <v>1</v>
      </c>
      <c r="BU258" s="196">
        <f t="shared" si="783"/>
        <v>35168.532470643353</v>
      </c>
      <c r="BV258" s="264">
        <f t="shared" si="617"/>
        <v>2.4393560268787988E-3</v>
      </c>
      <c r="BW258" s="196">
        <f t="shared" si="784"/>
        <v>150443.16667997433</v>
      </c>
      <c r="BX258" s="247">
        <f t="shared" si="618"/>
        <v>2.4393560488526109E-3</v>
      </c>
      <c r="BY258" s="196">
        <f t="shared" si="639"/>
        <v>185611.69915061767</v>
      </c>
      <c r="BZ258" s="620">
        <v>0</v>
      </c>
      <c r="CA258" s="196">
        <f t="shared" si="763"/>
        <v>76779.299840876469</v>
      </c>
      <c r="CB258" s="196">
        <f t="shared" si="764"/>
        <v>153558.59968175294</v>
      </c>
      <c r="CC258" s="196">
        <f t="shared" si="765"/>
        <v>230337.89952262939</v>
      </c>
      <c r="CD258" s="247">
        <f t="shared" si="720"/>
        <v>9.7189150762591115E-4</v>
      </c>
      <c r="CE258" s="196">
        <f t="shared" si="766"/>
        <v>31037.355520844925</v>
      </c>
      <c r="CF258" s="247">
        <f t="shared" si="721"/>
        <v>1.3402895358793747E-3</v>
      </c>
      <c r="CG258" s="196">
        <f t="shared" si="722"/>
        <v>38138.737175860209</v>
      </c>
      <c r="CH258" s="589">
        <f t="shared" si="767"/>
        <v>9.7189150762591126E-4</v>
      </c>
      <c r="CI258" s="196">
        <f t="shared" si="768"/>
        <v>89179.066497510416</v>
      </c>
      <c r="CJ258" s="248">
        <f t="shared" si="769"/>
        <v>1.4661036268526712E-3</v>
      </c>
      <c r="CK258" s="196">
        <f t="shared" si="770"/>
        <v>95014.271324242975</v>
      </c>
      <c r="CL258" s="589">
        <f t="shared" si="771"/>
        <v>1.3658496938878002E-3</v>
      </c>
      <c r="CM258" s="196">
        <f t="shared" si="772"/>
        <v>9204.5143491431954</v>
      </c>
      <c r="CN258" s="589">
        <f t="shared" si="773"/>
        <v>1.3264751238050928E-3</v>
      </c>
      <c r="CO258" s="196">
        <f t="shared" si="774"/>
        <v>736.34101863031606</v>
      </c>
      <c r="CP258" s="589">
        <f t="shared" si="775"/>
        <v>1.3886257437405304E-3</v>
      </c>
      <c r="CQ258" s="196">
        <f>'Detailed Budget'!$AC$12</f>
        <v>292876014141.44696</v>
      </c>
      <c r="CR258" s="269">
        <f t="shared" si="724"/>
        <v>778522289.71947777</v>
      </c>
      <c r="CS258" s="269">
        <f>'Detailed Budget'!$AC$16</f>
        <v>10488008800.000002</v>
      </c>
      <c r="CT258" s="607">
        <f t="shared" si="725"/>
        <v>27879195.622363139</v>
      </c>
      <c r="CU258" s="269">
        <f>'Detailed Budget'!$AC$24</f>
        <v>30624985696</v>
      </c>
      <c r="CV258" s="269">
        <f t="shared" si="612"/>
        <v>81407260.531623349</v>
      </c>
      <c r="CW258" s="269"/>
      <c r="CX258" s="269">
        <f t="shared" si="776"/>
        <v>887808745.87346423</v>
      </c>
      <c r="CY258" s="196">
        <f>'Detailed Budget'!$AC$97</f>
        <v>74629165494.837845</v>
      </c>
      <c r="CZ258" s="269">
        <f t="shared" si="726"/>
        <v>0</v>
      </c>
      <c r="DA258" s="269">
        <f>'Detailed Budget'!$AC$100</f>
        <v>14925833098.967569</v>
      </c>
      <c r="DB258" s="269">
        <f t="shared" si="727"/>
        <v>0</v>
      </c>
      <c r="DC258" s="269">
        <f t="shared" si="728"/>
        <v>0</v>
      </c>
      <c r="DD258" s="207">
        <v>0</v>
      </c>
      <c r="DE258" s="606">
        <v>0</v>
      </c>
      <c r="DF258" s="269">
        <f>'Detailed Budget'!$AC$147</f>
        <v>5913600671000</v>
      </c>
      <c r="DG258" s="269">
        <f t="shared" si="607"/>
        <v>0</v>
      </c>
      <c r="DH258" s="269">
        <f>'Detailed Budget'!$AC$153</f>
        <v>226428026880.00003</v>
      </c>
      <c r="DI258" s="269"/>
      <c r="DJ258" s="269">
        <f>'Detailed Budget'!$AC$156</f>
        <v>27713070000</v>
      </c>
      <c r="DK258" s="269"/>
      <c r="DL258" s="269"/>
      <c r="DM258" s="196">
        <f>'Detailed Budget'!$AC$178</f>
        <v>5622683761.6229038</v>
      </c>
      <c r="DN258" s="269">
        <f t="shared" si="777"/>
        <v>13715727.521148385</v>
      </c>
      <c r="DO258" s="196">
        <f>'Detailed Budget'!$AC$179</f>
        <v>26827890683.128094</v>
      </c>
      <c r="DP258" s="269">
        <f t="shared" si="778"/>
        <v>65442777.415845118</v>
      </c>
      <c r="DQ258" s="269">
        <f t="shared" si="625"/>
        <v>79158504.93699351</v>
      </c>
      <c r="DR258" s="269">
        <f>'Detailed Budget'!$AC$181</f>
        <v>50888946855.375237</v>
      </c>
      <c r="DS258" s="269">
        <f t="shared" si="779"/>
        <v>106000566.10669445</v>
      </c>
      <c r="DT258" s="269">
        <f t="shared" si="780"/>
        <v>185159071.04368794</v>
      </c>
      <c r="DU258" s="272">
        <f>'Detailed Budget'!$AC$192</f>
        <v>77498869683.252869</v>
      </c>
      <c r="DV258" s="269">
        <f t="shared" si="729"/>
        <v>0</v>
      </c>
      <c r="DW258" s="140">
        <f>'Detailed Budget'!$AC$194</f>
        <v>2684962805.4134097</v>
      </c>
      <c r="DX258" s="269">
        <f t="shared" si="730"/>
        <v>0</v>
      </c>
      <c r="DY258" s="607">
        <f t="shared" si="731"/>
        <v>0</v>
      </c>
      <c r="DZ258" s="196">
        <f>'Detailed Budget'!$AC$198</f>
        <v>18732540018.380611</v>
      </c>
      <c r="EA258" s="269">
        <f t="shared" si="732"/>
        <v>25107027.367077161</v>
      </c>
      <c r="EB258" s="196">
        <f>'Detailed Budget'!$AC$200</f>
        <v>4683135004.5951529</v>
      </c>
      <c r="EC258" s="269">
        <f t="shared" si="733"/>
        <v>6276756.8417692902</v>
      </c>
      <c r="ED258" s="269">
        <f t="shared" si="734"/>
        <v>31383784.20884645</v>
      </c>
      <c r="EE258" s="196">
        <f>'Detailed Budget'!$AC$161</f>
        <v>251147290106.36197</v>
      </c>
      <c r="EF258" s="269">
        <f t="shared" si="735"/>
        <v>244087918.41763425</v>
      </c>
      <c r="EG258" s="196">
        <f>'Detailed Budget'!$AC$163</f>
        <v>15696705631.647623</v>
      </c>
      <c r="EH258" s="269">
        <f t="shared" si="736"/>
        <v>15255494.901102141</v>
      </c>
      <c r="EI258" s="269">
        <f t="shared" si="737"/>
        <v>259343413.31873637</v>
      </c>
      <c r="EJ258" s="196">
        <f>'Detailed Budget'!$AC$204</f>
        <v>45012172507.531975</v>
      </c>
      <c r="EK258" s="269">
        <f t="shared" si="738"/>
        <v>65992509.365810722</v>
      </c>
      <c r="EL258" s="201">
        <f>'Detailed Budget'!$AC$206</f>
        <v>11253043126.882994</v>
      </c>
      <c r="EM258" s="269">
        <f t="shared" si="739"/>
        <v>16498127.341452681</v>
      </c>
      <c r="EN258" s="269">
        <f t="shared" si="740"/>
        <v>82490636.70726341</v>
      </c>
      <c r="EO258" s="140">
        <f>'Detailed Budget'!$AC$209</f>
        <v>135789361677.54817</v>
      </c>
      <c r="EP258" s="269">
        <f t="shared" si="741"/>
        <v>185467858.08049896</v>
      </c>
      <c r="EQ258" s="196">
        <f>'Detailed Budget'!$AC$211</f>
        <v>33947340419.387043</v>
      </c>
      <c r="ER258" s="269">
        <f t="shared" si="742"/>
        <v>46366964.520124741</v>
      </c>
      <c r="ES258" s="269">
        <f t="shared" si="743"/>
        <v>231834822.6006237</v>
      </c>
      <c r="ET258" s="196">
        <f>'Detailed Budget'!$AC$214</f>
        <v>22239745544.201103</v>
      </c>
      <c r="EU258" s="269">
        <f t="shared" si="744"/>
        <v>29500469.224137921</v>
      </c>
      <c r="EV258" s="140">
        <f>'Detailed Budget'!$AC$217</f>
        <v>5559936386.0502758</v>
      </c>
      <c r="EW258" s="269">
        <f t="shared" si="745"/>
        <v>7375117.3060344802</v>
      </c>
      <c r="EX258" s="269">
        <f t="shared" si="746"/>
        <v>36875586.5301724</v>
      </c>
      <c r="EY258" s="196">
        <f>'Detailed Budget'!$AC$219</f>
        <v>372777004.58170313</v>
      </c>
      <c r="EZ258" s="269">
        <f t="shared" si="747"/>
        <v>517647.74523663463</v>
      </c>
      <c r="FA258" s="196">
        <f>'Detailed Budget'!$AC$222</f>
        <v>93194251.145425782</v>
      </c>
      <c r="FB258" s="269">
        <f t="shared" si="748"/>
        <v>129411.93630915866</v>
      </c>
      <c r="FC258" s="269">
        <f t="shared" si="749"/>
        <v>647059.68154579331</v>
      </c>
      <c r="FD258" s="269"/>
      <c r="FE258" s="269"/>
      <c r="FF258" s="140"/>
      <c r="FG258" s="1087">
        <f t="shared" si="608"/>
        <v>0</v>
      </c>
      <c r="FJ258" s="140"/>
      <c r="FL258" s="269">
        <f t="shared" si="609"/>
        <v>0</v>
      </c>
      <c r="FO258" s="607"/>
      <c r="FP258" s="607"/>
      <c r="FQ258" s="607"/>
      <c r="FR258" s="269">
        <f>'Detailed Budget'!$AC$257</f>
        <v>13636439388</v>
      </c>
      <c r="FS258" s="269">
        <f t="shared" si="751"/>
        <v>8494356</v>
      </c>
      <c r="FT258" s="269">
        <f t="shared" si="610"/>
        <v>8494356</v>
      </c>
      <c r="FU258" s="269"/>
      <c r="FV258" s="269"/>
      <c r="FW258" s="269"/>
      <c r="FX258" s="140">
        <f>'Detailed Budget'!$AC$278</f>
        <v>1114560000</v>
      </c>
      <c r="FY258" s="269">
        <f t="shared" si="752"/>
        <v>1440000</v>
      </c>
      <c r="FZ258" s="269">
        <f t="shared" si="611"/>
        <v>1440000</v>
      </c>
      <c r="GB258" s="269">
        <f t="shared" si="619"/>
        <v>1373629370.4447348</v>
      </c>
      <c r="GC258" s="887">
        <f t="shared" si="753"/>
        <v>858518.35652795923</v>
      </c>
      <c r="GD258" s="1078">
        <f t="shared" si="620"/>
        <v>7.7078669411321241E-4</v>
      </c>
    </row>
    <row r="259" spans="1:186" hidden="1" outlineLevel="1">
      <c r="A259" s="211" t="s">
        <v>672</v>
      </c>
      <c r="B259" s="212" t="s">
        <v>673</v>
      </c>
      <c r="C259" s="213" t="s">
        <v>215</v>
      </c>
      <c r="D259" s="214" t="s">
        <v>215</v>
      </c>
      <c r="E259" s="213"/>
      <c r="F259" s="213"/>
      <c r="G259" s="213"/>
      <c r="H259" s="213" t="s">
        <v>215</v>
      </c>
      <c r="I259" s="214" t="s">
        <v>215</v>
      </c>
      <c r="J259" s="214"/>
      <c r="K259" s="213" t="s">
        <v>215</v>
      </c>
      <c r="L259" s="213"/>
      <c r="M259" s="214"/>
      <c r="N259" s="213"/>
      <c r="O259" s="214"/>
      <c r="P259" s="213"/>
      <c r="Q259" s="214"/>
      <c r="R259" s="214" t="s">
        <v>215</v>
      </c>
      <c r="S259" s="214"/>
      <c r="T259" s="214"/>
      <c r="U259" s="215">
        <f t="shared" si="754"/>
        <v>6</v>
      </c>
      <c r="V259" s="845" t="s">
        <v>219</v>
      </c>
      <c r="W259" s="216">
        <v>103516</v>
      </c>
      <c r="X259" s="217">
        <v>3.53</v>
      </c>
      <c r="Y259" s="218">
        <f t="shared" si="640"/>
        <v>1.0352999999999999</v>
      </c>
      <c r="Z259" s="196">
        <v>19</v>
      </c>
      <c r="AA259" s="218">
        <f t="shared" si="641"/>
        <v>1.9331166712483931</v>
      </c>
      <c r="AB259" s="196">
        <f t="shared" si="712"/>
        <v>200108.50534094867</v>
      </c>
      <c r="AC259">
        <v>18.899999999999999</v>
      </c>
      <c r="AD259" s="196">
        <f t="shared" si="713"/>
        <v>37820.507509439296</v>
      </c>
      <c r="AE259" s="196">
        <f t="shared" si="644"/>
        <v>35929.482133967329</v>
      </c>
      <c r="AF259" s="196">
        <f t="shared" si="755"/>
        <v>35929.482133967329</v>
      </c>
      <c r="AG259" s="606">
        <f t="shared" si="756"/>
        <v>1.6612215204925853E-3</v>
      </c>
      <c r="AH259" s="196">
        <f t="shared" si="781"/>
        <v>10005.425267047434</v>
      </c>
      <c r="AI259" s="248">
        <f t="shared" si="715"/>
        <v>7.7510513573814371E-4</v>
      </c>
      <c r="AJ259" s="196">
        <f t="shared" si="757"/>
        <v>47825.932776486734</v>
      </c>
      <c r="AK259" s="196">
        <f t="shared" si="605"/>
        <v>8004.3402136379473</v>
      </c>
      <c r="AL259" s="196">
        <f t="shared" si="606"/>
        <v>8004.3402136379473</v>
      </c>
      <c r="AM259" s="196">
        <f t="shared" si="716"/>
        <v>16008.680427275895</v>
      </c>
      <c r="AN259" s="627">
        <f t="shared" si="717"/>
        <v>7.7510513573814371E-4</v>
      </c>
      <c r="AO259" s="196">
        <f t="shared" si="718"/>
        <v>7604.1232029560497</v>
      </c>
      <c r="AP259" s="589">
        <f t="shared" si="758"/>
        <v>7.751051357381436E-4</v>
      </c>
      <c r="AQ259" s="196"/>
      <c r="AR259" s="589"/>
      <c r="AS259">
        <v>1</v>
      </c>
      <c r="AT259" s="589">
        <f t="shared" si="759"/>
        <v>1.2919896640826874E-3</v>
      </c>
      <c r="AU259" s="196">
        <v>12</v>
      </c>
      <c r="AV259" s="245">
        <f t="shared" si="719"/>
        <v>1.3634814225656176E-3</v>
      </c>
      <c r="AX259" s="245"/>
      <c r="AY259" s="245"/>
      <c r="AZ259" s="196">
        <v>22</v>
      </c>
      <c r="BA259" s="589">
        <f t="shared" si="613"/>
        <v>8.0612656187021366E-4</v>
      </c>
      <c r="BI259" s="196">
        <v>1</v>
      </c>
      <c r="BJ259" s="196">
        <f t="shared" si="760"/>
        <v>111171.41167529571</v>
      </c>
      <c r="BK259" s="246">
        <f t="shared" si="614"/>
        <v>2.1199717466921977E-3</v>
      </c>
      <c r="BL259" s="196">
        <f t="shared" si="782"/>
        <v>2223.4282335059142</v>
      </c>
      <c r="BM259" s="246">
        <f t="shared" si="615"/>
        <v>2.119971504132733E-3</v>
      </c>
      <c r="BN259" s="196">
        <v>0</v>
      </c>
      <c r="BO259" s="196">
        <f t="shared" si="761"/>
        <v>11535.645683671824</v>
      </c>
      <c r="BP259" s="196">
        <f t="shared" si="762"/>
        <v>0</v>
      </c>
      <c r="BQ259" s="248">
        <f t="shared" si="616"/>
        <v>0</v>
      </c>
      <c r="BR259" s="248"/>
      <c r="BS259" s="248"/>
      <c r="BT259" s="276">
        <v>1</v>
      </c>
      <c r="BU259" s="196">
        <f t="shared" si="783"/>
        <v>28047.688369000181</v>
      </c>
      <c r="BV259" s="264">
        <f t="shared" si="617"/>
        <v>1.9454407919935414E-3</v>
      </c>
      <c r="BW259" s="196">
        <f t="shared" si="784"/>
        <v>119981.77802294522</v>
      </c>
      <c r="BX259" s="247">
        <f t="shared" si="618"/>
        <v>1.9454408095181464E-3</v>
      </c>
      <c r="BY259" s="196">
        <f t="shared" si="639"/>
        <v>148029.4663919454</v>
      </c>
      <c r="BZ259" s="620">
        <v>0</v>
      </c>
      <c r="CA259" s="196">
        <f t="shared" si="763"/>
        <v>61233.202634330293</v>
      </c>
      <c r="CB259" s="196">
        <f t="shared" si="764"/>
        <v>122466.40526866059</v>
      </c>
      <c r="CC259" s="196">
        <f t="shared" si="765"/>
        <v>183699.60790299089</v>
      </c>
      <c r="CD259" s="247">
        <f t="shared" si="720"/>
        <v>7.7510513573814371E-4</v>
      </c>
      <c r="CE259" s="196">
        <f t="shared" si="766"/>
        <v>24752.98268908976</v>
      </c>
      <c r="CF259" s="247">
        <f t="shared" si="721"/>
        <v>1.0689107729461339E-3</v>
      </c>
      <c r="CG259" s="196">
        <f t="shared" si="722"/>
        <v>30416.492811824199</v>
      </c>
      <c r="CH259" s="589">
        <f t="shared" si="767"/>
        <v>7.751051357381436E-4</v>
      </c>
      <c r="CI259" s="196">
        <f t="shared" si="768"/>
        <v>71122.292869298093</v>
      </c>
      <c r="CJ259" s="248">
        <f t="shared" si="769"/>
        <v>1.1692503142390121E-3</v>
      </c>
      <c r="CK259" s="196">
        <f t="shared" si="770"/>
        <v>75775.998754981498</v>
      </c>
      <c r="CL259" s="589">
        <f t="shared" si="771"/>
        <v>1.0892955685608257E-3</v>
      </c>
      <c r="CM259" s="196">
        <f t="shared" si="772"/>
        <v>7340.8053141899027</v>
      </c>
      <c r="CN259" s="589">
        <f t="shared" si="773"/>
        <v>1.0578934714655034E-3</v>
      </c>
      <c r="CO259" s="196">
        <f t="shared" si="774"/>
        <v>587.24837156895592</v>
      </c>
      <c r="CP259" s="589">
        <f t="shared" si="775"/>
        <v>1.107459975878061E-3</v>
      </c>
      <c r="CQ259" s="196">
        <f>'Detailed Budget'!$AC$12</f>
        <v>292876014141.44696</v>
      </c>
      <c r="CR259" s="269">
        <f t="shared" si="724"/>
        <v>620888875.26369214</v>
      </c>
      <c r="CS259" s="269">
        <f>'Detailed Budget'!$AC$16</f>
        <v>10488008800.000002</v>
      </c>
      <c r="CT259" s="607">
        <f t="shared" si="725"/>
        <v>22234279.791093342</v>
      </c>
      <c r="CU259" s="269">
        <f>'Detailed Budget'!$AC$24</f>
        <v>30624985696</v>
      </c>
      <c r="CV259" s="269">
        <f t="shared" si="612"/>
        <v>64924104.418372691</v>
      </c>
      <c r="CW259" s="269"/>
      <c r="CX259" s="269">
        <f t="shared" si="776"/>
        <v>708047259.47315812</v>
      </c>
      <c r="CY259" s="196">
        <f>'Detailed Budget'!$AC$97</f>
        <v>74629165494.837845</v>
      </c>
      <c r="CZ259" s="269">
        <f t="shared" si="726"/>
        <v>0</v>
      </c>
      <c r="DA259" s="269">
        <f>'Detailed Budget'!$AC$100</f>
        <v>14925833098.967569</v>
      </c>
      <c r="DB259" s="269">
        <f t="shared" si="727"/>
        <v>0</v>
      </c>
      <c r="DC259" s="269">
        <f t="shared" si="728"/>
        <v>0</v>
      </c>
      <c r="DD259" s="207">
        <v>0</v>
      </c>
      <c r="DE259" s="606">
        <v>0</v>
      </c>
      <c r="DF259" s="269">
        <f>'Detailed Budget'!$AC$147</f>
        <v>5913600671000</v>
      </c>
      <c r="DG259" s="269">
        <f t="shared" si="607"/>
        <v>0</v>
      </c>
      <c r="DH259" s="269">
        <f>'Detailed Budget'!$AC$153</f>
        <v>226428026880.00003</v>
      </c>
      <c r="DI259" s="269"/>
      <c r="DJ259" s="269">
        <f>'Detailed Budget'!$AC$156</f>
        <v>27713070000</v>
      </c>
      <c r="DK259" s="269"/>
      <c r="DL259" s="269"/>
      <c r="DM259" s="196">
        <f>'Detailed Budget'!$AC$178</f>
        <v>5622683761.6229038</v>
      </c>
      <c r="DN259" s="269">
        <f t="shared" si="777"/>
        <v>10938598.350340886</v>
      </c>
      <c r="DO259" s="196">
        <f>'Detailed Budget'!$AC$179</f>
        <v>26827890683.128094</v>
      </c>
      <c r="DP259" s="269">
        <f t="shared" si="778"/>
        <v>52192073.368249059</v>
      </c>
      <c r="DQ259" s="269">
        <f t="shared" si="625"/>
        <v>63130671.718589947</v>
      </c>
      <c r="DR259" s="269">
        <f>'Detailed Budget'!$AC$181</f>
        <v>50888946855.375237</v>
      </c>
      <c r="DS259" s="269">
        <f t="shared" si="779"/>
        <v>84537813.671352819</v>
      </c>
      <c r="DT259" s="269">
        <f t="shared" si="780"/>
        <v>147668485.38994277</v>
      </c>
      <c r="DU259" s="272">
        <f>'Detailed Budget'!$AC$192</f>
        <v>77498869683.252869</v>
      </c>
      <c r="DV259" s="269">
        <f t="shared" si="729"/>
        <v>0</v>
      </c>
      <c r="DW259" s="140">
        <f>'Detailed Budget'!$AC$194</f>
        <v>2684962805.4134097</v>
      </c>
      <c r="DX259" s="269">
        <f t="shared" si="730"/>
        <v>0</v>
      </c>
      <c r="DY259" s="607">
        <f t="shared" si="731"/>
        <v>0</v>
      </c>
      <c r="DZ259" s="196">
        <f>'Detailed Budget'!$AC$198</f>
        <v>18732540018.380611</v>
      </c>
      <c r="EA259" s="269">
        <f t="shared" si="732"/>
        <v>20023413.830291606</v>
      </c>
      <c r="EB259" s="196">
        <f>'Detailed Budget'!$AC$200</f>
        <v>4683135004.5951529</v>
      </c>
      <c r="EC259" s="269">
        <f t="shared" si="733"/>
        <v>5005853.4575729016</v>
      </c>
      <c r="ED259" s="269">
        <f t="shared" si="734"/>
        <v>25029267.287864506</v>
      </c>
      <c r="EE259" s="196">
        <f>'Detailed Budget'!$AC$161</f>
        <v>251147290106.36197</v>
      </c>
      <c r="EF259" s="269">
        <f t="shared" si="735"/>
        <v>194665554.38815862</v>
      </c>
      <c r="EG259" s="196">
        <f>'Detailed Budget'!$AC$163</f>
        <v>15696705631.647623</v>
      </c>
      <c r="EH259" s="269">
        <f t="shared" si="736"/>
        <v>12166597.149259914</v>
      </c>
      <c r="EI259" s="269">
        <f t="shared" si="737"/>
        <v>206832151.53741854</v>
      </c>
      <c r="EJ259" s="196">
        <f>'Detailed Budget'!$AC$204</f>
        <v>45012172507.531975</v>
      </c>
      <c r="EK259" s="269">
        <f t="shared" si="738"/>
        <v>52630496.849012382</v>
      </c>
      <c r="EL259" s="201">
        <f>'Detailed Budget'!$AC$206</f>
        <v>11253043126.882994</v>
      </c>
      <c r="EM259" s="269">
        <f t="shared" si="739"/>
        <v>13157624.212253096</v>
      </c>
      <c r="EN259" s="269">
        <f t="shared" si="740"/>
        <v>65788121.061265476</v>
      </c>
      <c r="EO259" s="140">
        <f>'Detailed Budget'!$AC$209</f>
        <v>135789361677.54817</v>
      </c>
      <c r="EP259" s="269">
        <f t="shared" si="741"/>
        <v>147914749.93305644</v>
      </c>
      <c r="EQ259" s="196">
        <f>'Detailed Budget'!$AC$211</f>
        <v>33947340419.387043</v>
      </c>
      <c r="ER259" s="269">
        <f t="shared" si="742"/>
        <v>36978687.483264111</v>
      </c>
      <c r="ES259" s="269">
        <f t="shared" si="743"/>
        <v>184893437.41632056</v>
      </c>
      <c r="ET259" s="196">
        <f>'Detailed Budget'!$AC$214</f>
        <v>22239745544.201103</v>
      </c>
      <c r="EU259" s="269">
        <f t="shared" si="744"/>
        <v>23527281.618264366</v>
      </c>
      <c r="EV259" s="140">
        <f>'Detailed Budget'!$AC$217</f>
        <v>5559936386.0502758</v>
      </c>
      <c r="EW259" s="269">
        <f t="shared" si="745"/>
        <v>5881820.4045660915</v>
      </c>
      <c r="EX259" s="269">
        <f t="shared" si="746"/>
        <v>29409102.022830456</v>
      </c>
      <c r="EY259" s="196">
        <f>'Detailed Budget'!$AC$219</f>
        <v>372777004.58170313</v>
      </c>
      <c r="EZ259" s="269">
        <f t="shared" si="747"/>
        <v>412835.61250194878</v>
      </c>
      <c r="FA259" s="196">
        <f>'Detailed Budget'!$AC$222</f>
        <v>93194251.145425782</v>
      </c>
      <c r="FB259" s="269">
        <f t="shared" si="748"/>
        <v>103208.9031254872</v>
      </c>
      <c r="FC259" s="269">
        <f t="shared" si="749"/>
        <v>516044.51562743599</v>
      </c>
      <c r="FD259" s="269"/>
      <c r="FE259" s="269"/>
      <c r="FF259" s="140"/>
      <c r="FG259" s="1087">
        <f t="shared" si="608"/>
        <v>0</v>
      </c>
      <c r="FJ259" s="140"/>
      <c r="FL259" s="269">
        <f t="shared" si="609"/>
        <v>0</v>
      </c>
      <c r="FO259" s="607"/>
      <c r="FP259" s="607"/>
      <c r="FQ259" s="607"/>
      <c r="FR259" s="269">
        <f>'Detailed Budget'!$AC$257</f>
        <v>13636439388</v>
      </c>
      <c r="FS259" s="269">
        <f t="shared" si="751"/>
        <v>10992696</v>
      </c>
      <c r="FT259" s="269">
        <f t="shared" si="610"/>
        <v>10992696</v>
      </c>
      <c r="FU259" s="269"/>
      <c r="FV259" s="269"/>
      <c r="FW259" s="269"/>
      <c r="FX259" s="140">
        <f>'Detailed Budget'!$AC$278</f>
        <v>1114560000</v>
      </c>
      <c r="FY259" s="269">
        <f t="shared" si="752"/>
        <v>1440000</v>
      </c>
      <c r="FZ259" s="269">
        <f t="shared" si="611"/>
        <v>1440000</v>
      </c>
      <c r="GB259" s="269">
        <f t="shared" si="619"/>
        <v>1100009859.6883841</v>
      </c>
      <c r="GC259" s="887">
        <f t="shared" si="753"/>
        <v>687506.16230524005</v>
      </c>
      <c r="GD259" s="1078">
        <f t="shared" si="620"/>
        <v>6.1725017059487857E-4</v>
      </c>
    </row>
    <row r="260" spans="1:186" hidden="1" outlineLevel="1">
      <c r="A260" s="211" t="s">
        <v>674</v>
      </c>
      <c r="B260" s="212" t="s">
        <v>675</v>
      </c>
      <c r="C260" s="213" t="s">
        <v>215</v>
      </c>
      <c r="D260" s="214" t="s">
        <v>215</v>
      </c>
      <c r="E260" s="213"/>
      <c r="F260" s="213"/>
      <c r="G260" s="213"/>
      <c r="H260" s="213" t="s">
        <v>215</v>
      </c>
      <c r="I260" s="214" t="s">
        <v>215</v>
      </c>
      <c r="J260" s="214"/>
      <c r="K260" s="213" t="s">
        <v>215</v>
      </c>
      <c r="L260" s="213"/>
      <c r="M260" s="214"/>
      <c r="N260" s="213"/>
      <c r="O260" s="214"/>
      <c r="P260" s="213"/>
      <c r="Q260" s="214"/>
      <c r="R260" s="214" t="s">
        <v>215</v>
      </c>
      <c r="S260" s="214" t="s">
        <v>215</v>
      </c>
      <c r="T260" s="214"/>
      <c r="U260" s="215">
        <f t="shared" si="754"/>
        <v>7</v>
      </c>
      <c r="V260" s="845" t="s">
        <v>399</v>
      </c>
      <c r="W260" s="216">
        <v>232458</v>
      </c>
      <c r="X260" s="217">
        <v>3.53</v>
      </c>
      <c r="Y260" s="218">
        <f t="shared" si="640"/>
        <v>1.0352999999999999</v>
      </c>
      <c r="Z260" s="196">
        <v>19</v>
      </c>
      <c r="AA260" s="218">
        <f t="shared" si="641"/>
        <v>1.9331166712483931</v>
      </c>
      <c r="AB260" s="196">
        <f t="shared" si="712"/>
        <v>449368.435165059</v>
      </c>
      <c r="AC260">
        <v>18.899999999999999</v>
      </c>
      <c r="AD260" s="196">
        <f t="shared" si="713"/>
        <v>84930.634246196147</v>
      </c>
      <c r="AE260" s="196">
        <f t="shared" si="644"/>
        <v>80684.10253388634</v>
      </c>
      <c r="AF260" s="196">
        <f t="shared" si="755"/>
        <v>80684.10253388634</v>
      </c>
      <c r="AG260" s="606">
        <f t="shared" si="756"/>
        <v>3.7304786913198488E-3</v>
      </c>
      <c r="AH260" s="196">
        <f t="shared" si="781"/>
        <v>22468.421758252953</v>
      </c>
      <c r="AI260" s="248">
        <f t="shared" si="715"/>
        <v>1.7405945906277041E-3</v>
      </c>
      <c r="AJ260" s="196">
        <f t="shared" si="757"/>
        <v>107399.0560044491</v>
      </c>
      <c r="AK260" s="196">
        <f t="shared" ref="AK260:AK321" si="785">AB260*0.04</f>
        <v>17974.737406602359</v>
      </c>
      <c r="AL260" s="196">
        <f t="shared" ref="AL260:AL321" si="786">AB260*0.04</f>
        <v>17974.737406602359</v>
      </c>
      <c r="AM260" s="196">
        <f t="shared" si="716"/>
        <v>35949.474813204717</v>
      </c>
      <c r="AN260" s="627">
        <f t="shared" si="717"/>
        <v>1.7405945906277037E-3</v>
      </c>
      <c r="AO260" s="196">
        <f t="shared" si="718"/>
        <v>17076.00053627224</v>
      </c>
      <c r="AP260" s="589">
        <f t="shared" si="758"/>
        <v>1.7405945906277037E-3</v>
      </c>
      <c r="AQ260" s="196"/>
      <c r="AR260" s="589"/>
      <c r="AS260">
        <v>1</v>
      </c>
      <c r="AT260" s="589">
        <f t="shared" si="759"/>
        <v>1.2919896640826874E-3</v>
      </c>
      <c r="AU260" s="196">
        <v>10</v>
      </c>
      <c r="AV260" s="245">
        <f t="shared" si="719"/>
        <v>1.1362345188046814E-3</v>
      </c>
      <c r="AX260" s="245"/>
      <c r="AY260" s="245"/>
      <c r="AZ260" s="196">
        <v>37</v>
      </c>
      <c r="BA260" s="589">
        <f t="shared" si="613"/>
        <v>1.3557583085999048E-3</v>
      </c>
      <c r="BI260" s="196">
        <v>1</v>
      </c>
      <c r="BJ260" s="196">
        <f t="shared" si="760"/>
        <v>249649.17515375296</v>
      </c>
      <c r="BK260" s="246">
        <f t="shared" si="614"/>
        <v>4.7606591473064548E-3</v>
      </c>
      <c r="BL260" s="196">
        <f t="shared" si="782"/>
        <v>4992.9835030750592</v>
      </c>
      <c r="BM260" s="246">
        <f t="shared" si="615"/>
        <v>4.7606586026091311E-3</v>
      </c>
      <c r="BN260" s="196">
        <v>0</v>
      </c>
      <c r="BO260" s="196">
        <f t="shared" si="761"/>
        <v>25904.721244396856</v>
      </c>
      <c r="BP260" s="196">
        <f t="shared" si="762"/>
        <v>0</v>
      </c>
      <c r="BQ260" s="248">
        <f t="shared" si="616"/>
        <v>0</v>
      </c>
      <c r="BR260" s="248"/>
      <c r="BS260" s="248"/>
      <c r="BT260" s="276">
        <v>1</v>
      </c>
      <c r="BU260" s="196">
        <f t="shared" si="783"/>
        <v>62984.558356979062</v>
      </c>
      <c r="BV260" s="264">
        <f t="shared" si="617"/>
        <v>4.3687282702696657E-3</v>
      </c>
      <c r="BW260" s="196">
        <f t="shared" si="784"/>
        <v>269433.94408263266</v>
      </c>
      <c r="BX260" s="247">
        <f t="shared" si="618"/>
        <v>4.3687283096233371E-3</v>
      </c>
      <c r="BY260" s="196">
        <f t="shared" si="639"/>
        <v>332418.50243961171</v>
      </c>
      <c r="BZ260" s="620">
        <v>0</v>
      </c>
      <c r="CA260" s="196">
        <f t="shared" si="763"/>
        <v>137506.74116050801</v>
      </c>
      <c r="CB260" s="196">
        <f t="shared" si="764"/>
        <v>275013.48232101602</v>
      </c>
      <c r="CC260" s="196">
        <f t="shared" si="765"/>
        <v>412520.22348152404</v>
      </c>
      <c r="CD260" s="247">
        <f t="shared" si="720"/>
        <v>1.7405945906277035E-3</v>
      </c>
      <c r="CE260" s="196">
        <f t="shared" si="766"/>
        <v>55585.888654318434</v>
      </c>
      <c r="CF260" s="247">
        <f t="shared" si="721"/>
        <v>2.4003715411869894E-3</v>
      </c>
      <c r="CG260" s="196">
        <f t="shared" si="722"/>
        <v>68304.002145088962</v>
      </c>
      <c r="CH260" s="589">
        <f t="shared" si="767"/>
        <v>1.7405945906277037E-3</v>
      </c>
      <c r="CI260" s="196">
        <f t="shared" si="768"/>
        <v>159713.91819439796</v>
      </c>
      <c r="CJ260" s="248">
        <f t="shared" si="769"/>
        <v>2.6256964097083769E-3</v>
      </c>
      <c r="CK260" s="196">
        <f t="shared" si="770"/>
        <v>170164.39119155967</v>
      </c>
      <c r="CL260" s="589">
        <f t="shared" si="771"/>
        <v>2.4461481247006495E-3</v>
      </c>
      <c r="CM260" s="196">
        <f t="shared" si="772"/>
        <v>16484.687601201327</v>
      </c>
      <c r="CN260" s="589">
        <f t="shared" si="773"/>
        <v>2.3756308260551801E-3</v>
      </c>
      <c r="CO260" s="196">
        <f t="shared" si="774"/>
        <v>1318.7389578246491</v>
      </c>
      <c r="CP260" s="589">
        <f t="shared" si="775"/>
        <v>2.4869385512641751E-3</v>
      </c>
      <c r="CQ260" s="196">
        <f>'Detailed Budget'!$AC$12</f>
        <v>292876014141.44696</v>
      </c>
      <c r="CR260" s="269">
        <f t="shared" si="724"/>
        <v>1394282875.7491341</v>
      </c>
      <c r="CS260" s="269">
        <f>'Detailed Budget'!$AC$16</f>
        <v>10488008800.000002</v>
      </c>
      <c r="CT260" s="607">
        <f t="shared" si="725"/>
        <v>49929829.317960277</v>
      </c>
      <c r="CU260" s="269">
        <f>'Detailed Budget'!$AC$24</f>
        <v>30624985696</v>
      </c>
      <c r="CV260" s="269">
        <f t="shared" si="612"/>
        <v>145795118.28979173</v>
      </c>
      <c r="CW260" s="269"/>
      <c r="CX260" s="269">
        <f t="shared" si="776"/>
        <v>1590007823.3568861</v>
      </c>
      <c r="CY260" s="196">
        <f>'Detailed Budget'!$AC$97</f>
        <v>74629165494.837845</v>
      </c>
      <c r="CZ260" s="269">
        <f t="shared" si="726"/>
        <v>0</v>
      </c>
      <c r="DA260" s="269">
        <f>'Detailed Budget'!$AC$100</f>
        <v>14925833098.967569</v>
      </c>
      <c r="DB260" s="269">
        <f t="shared" si="727"/>
        <v>0</v>
      </c>
      <c r="DC260" s="269">
        <f t="shared" si="728"/>
        <v>0</v>
      </c>
      <c r="DD260" s="207">
        <v>1</v>
      </c>
      <c r="DE260" s="606">
        <v>0</v>
      </c>
      <c r="DF260" s="269">
        <f>'Detailed Budget'!$AC$147</f>
        <v>5913600671000</v>
      </c>
      <c r="DG260" s="269">
        <f t="shared" si="607"/>
        <v>0</v>
      </c>
      <c r="DH260" s="269">
        <f>'Detailed Budget'!$AC$153</f>
        <v>226428026880.00003</v>
      </c>
      <c r="DI260" s="269"/>
      <c r="DJ260" s="269">
        <f>'Detailed Budget'!$AC$156</f>
        <v>27713070000</v>
      </c>
      <c r="DK260" s="269"/>
      <c r="DL260" s="269"/>
      <c r="DM260" s="196">
        <f>'Detailed Budget'!$AC$178</f>
        <v>5622683761.6229038</v>
      </c>
      <c r="DN260" s="269">
        <f t="shared" si="777"/>
        <v>24563977.504188165</v>
      </c>
      <c r="DO260" s="196">
        <f>'Detailed Budget'!$AC$179</f>
        <v>26827890683.128094</v>
      </c>
      <c r="DP260" s="269">
        <f t="shared" si="778"/>
        <v>117203765.51486187</v>
      </c>
      <c r="DQ260" s="269">
        <f t="shared" si="625"/>
        <v>141767743.01905003</v>
      </c>
      <c r="DR260" s="269">
        <f>'Detailed Budget'!$AC$181</f>
        <v>50888946855.375237</v>
      </c>
      <c r="DS260" s="269">
        <f t="shared" si="779"/>
        <v>189840131.86768556</v>
      </c>
      <c r="DT260" s="269">
        <f t="shared" si="780"/>
        <v>331607874.88673556</v>
      </c>
      <c r="DU260" s="272">
        <f>'Detailed Budget'!$AC$192</f>
        <v>77498869683.252869</v>
      </c>
      <c r="DV260" s="269">
        <f t="shared" si="729"/>
        <v>0</v>
      </c>
      <c r="DW260" s="140">
        <f>'Detailed Budget'!$AC$194</f>
        <v>2684962805.4134097</v>
      </c>
      <c r="DX260" s="269">
        <f t="shared" si="730"/>
        <v>0</v>
      </c>
      <c r="DY260" s="607">
        <f t="shared" si="731"/>
        <v>0</v>
      </c>
      <c r="DZ260" s="196">
        <f>'Detailed Budget'!$AC$198</f>
        <v>18732540018.380611</v>
      </c>
      <c r="EA260" s="269">
        <f t="shared" si="732"/>
        <v>44965055.954267226</v>
      </c>
      <c r="EB260" s="196">
        <f>'Detailed Budget'!$AC$200</f>
        <v>4683135004.5951529</v>
      </c>
      <c r="EC260" s="269">
        <f t="shared" si="733"/>
        <v>11241263.988566807</v>
      </c>
      <c r="ED260" s="269">
        <f t="shared" si="734"/>
        <v>56206319.942834035</v>
      </c>
      <c r="EE260" s="196">
        <f>'Detailed Budget'!$AC$161</f>
        <v>251147290106.36197</v>
      </c>
      <c r="EF260" s="269">
        <f t="shared" si="735"/>
        <v>437145614.60994023</v>
      </c>
      <c r="EG260" s="196">
        <f>'Detailed Budget'!$AC$163</f>
        <v>15696705631.647623</v>
      </c>
      <c r="EH260" s="269">
        <f t="shared" si="736"/>
        <v>27321600.913121264</v>
      </c>
      <c r="EI260" s="269">
        <f t="shared" si="737"/>
        <v>464467215.52306151</v>
      </c>
      <c r="EJ260" s="196">
        <f>'Detailed Budget'!$AC$204</f>
        <v>45012172507.531975</v>
      </c>
      <c r="EK260" s="269">
        <f t="shared" si="738"/>
        <v>118188299.74620081</v>
      </c>
      <c r="EL260" s="201">
        <f>'Detailed Budget'!$AC$206</f>
        <v>11253043126.882994</v>
      </c>
      <c r="EM260" s="269">
        <f t="shared" si="739"/>
        <v>29547074.936550204</v>
      </c>
      <c r="EN260" s="269">
        <f t="shared" si="740"/>
        <v>147735374.68275103</v>
      </c>
      <c r="EO260" s="140">
        <f>'Detailed Budget'!$AC$209</f>
        <v>135789361677.54817</v>
      </c>
      <c r="EP260" s="269">
        <f t="shared" si="741"/>
        <v>332160892.42183268</v>
      </c>
      <c r="EQ260" s="196">
        <f>'Detailed Budget'!$AC$211</f>
        <v>33947340419.387043</v>
      </c>
      <c r="ER260" s="269">
        <f t="shared" si="742"/>
        <v>83040223.10545817</v>
      </c>
      <c r="ES260" s="269">
        <f t="shared" si="743"/>
        <v>415201115.52729082</v>
      </c>
      <c r="ET260" s="196">
        <f>'Detailed Budget'!$AC$214</f>
        <v>22239745544.201103</v>
      </c>
      <c r="EU260" s="269">
        <f t="shared" si="744"/>
        <v>52833425.078427479</v>
      </c>
      <c r="EV260" s="140">
        <f>'Detailed Budget'!$AC$217</f>
        <v>5559936386.0502758</v>
      </c>
      <c r="EW260" s="269">
        <f t="shared" si="745"/>
        <v>13208356.26960687</v>
      </c>
      <c r="EX260" s="269">
        <f t="shared" si="746"/>
        <v>66041781.348034352</v>
      </c>
      <c r="EY260" s="196">
        <f>'Detailed Budget'!$AC$219</f>
        <v>372777004.58170313</v>
      </c>
      <c r="EZ260" s="269">
        <f t="shared" si="747"/>
        <v>927073.50371901959</v>
      </c>
      <c r="FA260" s="196">
        <f>'Detailed Budget'!$AC$222</f>
        <v>93194251.145425782</v>
      </c>
      <c r="FB260" s="269">
        <f t="shared" si="748"/>
        <v>231768.3759297549</v>
      </c>
      <c r="FC260" s="269">
        <f t="shared" si="749"/>
        <v>1158841.8796487744</v>
      </c>
      <c r="FD260" s="269"/>
      <c r="FE260" s="269"/>
      <c r="FF260" s="140"/>
      <c r="FG260" s="1087">
        <f t="shared" si="608"/>
        <v>0</v>
      </c>
      <c r="FJ260" s="140"/>
      <c r="FL260" s="269">
        <f t="shared" si="609"/>
        <v>0</v>
      </c>
      <c r="FO260" s="607"/>
      <c r="FP260" s="607"/>
      <c r="FQ260" s="607"/>
      <c r="FR260" s="269">
        <f>'Detailed Budget'!$AC$257</f>
        <v>13636439388</v>
      </c>
      <c r="FS260" s="269">
        <f t="shared" si="751"/>
        <v>18487716</v>
      </c>
      <c r="FT260" s="269">
        <f t="shared" si="610"/>
        <v>18487716</v>
      </c>
      <c r="FU260" s="269"/>
      <c r="FV260" s="269"/>
      <c r="FW260" s="269"/>
      <c r="FX260" s="140">
        <f>'Detailed Budget'!$AC$278</f>
        <v>1114560000</v>
      </c>
      <c r="FY260" s="269">
        <f t="shared" si="752"/>
        <v>1440000</v>
      </c>
      <c r="FZ260" s="269">
        <f t="shared" si="611"/>
        <v>1440000</v>
      </c>
      <c r="GB260" s="269">
        <f t="shared" si="619"/>
        <v>2462216949.7095175</v>
      </c>
      <c r="GC260" s="887">
        <f t="shared" si="753"/>
        <v>1538885.5935684484</v>
      </c>
      <c r="GD260" s="1078">
        <f t="shared" si="620"/>
        <v>1.381627463485044E-3</v>
      </c>
    </row>
    <row r="261" spans="1:186" hidden="1" outlineLevel="1">
      <c r="A261" s="211" t="s">
        <v>676</v>
      </c>
      <c r="B261" s="212" t="s">
        <v>677</v>
      </c>
      <c r="C261" s="213" t="s">
        <v>215</v>
      </c>
      <c r="D261" s="214" t="s">
        <v>215</v>
      </c>
      <c r="E261" s="213"/>
      <c r="F261" s="213"/>
      <c r="G261" s="213"/>
      <c r="H261" s="213" t="s">
        <v>215</v>
      </c>
      <c r="I261" s="214" t="s">
        <v>215</v>
      </c>
      <c r="J261" s="214"/>
      <c r="K261" s="213" t="s">
        <v>215</v>
      </c>
      <c r="L261" s="213"/>
      <c r="M261" s="214"/>
      <c r="N261" s="213"/>
      <c r="O261" s="214"/>
      <c r="P261" s="213"/>
      <c r="Q261" s="214"/>
      <c r="R261" s="214" t="s">
        <v>215</v>
      </c>
      <c r="S261" s="214"/>
      <c r="T261" s="214"/>
      <c r="U261" s="215">
        <f t="shared" si="754"/>
        <v>6</v>
      </c>
      <c r="V261" s="845" t="s">
        <v>219</v>
      </c>
      <c r="W261" s="216">
        <v>105514</v>
      </c>
      <c r="X261" s="217">
        <v>3.53</v>
      </c>
      <c r="Y261" s="218">
        <f t="shared" si="640"/>
        <v>1.0352999999999999</v>
      </c>
      <c r="Z261" s="196">
        <v>19</v>
      </c>
      <c r="AA261" s="218">
        <f t="shared" si="641"/>
        <v>1.9331166712483931</v>
      </c>
      <c r="AB261" s="196">
        <f t="shared" si="712"/>
        <v>203970.87245010296</v>
      </c>
      <c r="AC261">
        <v>18.899999999999999</v>
      </c>
      <c r="AD261" s="196">
        <f t="shared" si="713"/>
        <v>38550.494893069459</v>
      </c>
      <c r="AE261" s="196">
        <f t="shared" si="644"/>
        <v>36622.970148415981</v>
      </c>
      <c r="AF261" s="196">
        <f t="shared" si="755"/>
        <v>36622.970148415981</v>
      </c>
      <c r="AG261" s="606">
        <f t="shared" si="756"/>
        <v>1.6932853618112625E-3</v>
      </c>
      <c r="AH261" s="196">
        <f t="shared" si="781"/>
        <v>10198.543622505149</v>
      </c>
      <c r="AI261" s="248">
        <f t="shared" si="715"/>
        <v>7.9006572213256398E-4</v>
      </c>
      <c r="AJ261" s="196">
        <f t="shared" si="757"/>
        <v>48749.038515574604</v>
      </c>
      <c r="AK261" s="196">
        <f t="shared" si="785"/>
        <v>8158.8348980041192</v>
      </c>
      <c r="AL261" s="196">
        <f t="shared" si="786"/>
        <v>8158.8348980041192</v>
      </c>
      <c r="AM261" s="196">
        <f t="shared" si="716"/>
        <v>16317.669796008238</v>
      </c>
      <c r="AN261" s="627">
        <f t="shared" si="717"/>
        <v>7.9006572213256398E-4</v>
      </c>
      <c r="AO261" s="196">
        <f t="shared" si="718"/>
        <v>7750.8931531039125</v>
      </c>
      <c r="AP261" s="589">
        <f t="shared" si="758"/>
        <v>7.9006572213256388E-4</v>
      </c>
      <c r="AQ261" s="196"/>
      <c r="AR261" s="589"/>
      <c r="AS261">
        <v>1</v>
      </c>
      <c r="AT261" s="589">
        <f t="shared" si="759"/>
        <v>1.2919896640826874E-3</v>
      </c>
      <c r="AU261" s="196">
        <v>10</v>
      </c>
      <c r="AV261" s="245">
        <f t="shared" si="719"/>
        <v>1.1362345188046814E-3</v>
      </c>
      <c r="AX261" s="245"/>
      <c r="AY261" s="245"/>
      <c r="AZ261" s="196">
        <v>23</v>
      </c>
      <c r="BA261" s="589">
        <f t="shared" si="613"/>
        <v>8.4276867831885966E-4</v>
      </c>
      <c r="BI261" s="196">
        <v>1</v>
      </c>
      <c r="BJ261" s="196">
        <f t="shared" si="760"/>
        <v>113317.17156291928</v>
      </c>
      <c r="BK261" s="246">
        <f t="shared" si="614"/>
        <v>2.1608900931303428E-3</v>
      </c>
      <c r="BL261" s="196">
        <f t="shared" si="782"/>
        <v>2266.3434312583854</v>
      </c>
      <c r="BM261" s="246">
        <f t="shared" si="615"/>
        <v>2.1608898458891491E-3</v>
      </c>
      <c r="BN261" s="196">
        <v>0</v>
      </c>
      <c r="BO261" s="196">
        <f t="shared" si="761"/>
        <v>11758.299380452769</v>
      </c>
      <c r="BP261" s="196">
        <f t="shared" si="762"/>
        <v>0</v>
      </c>
      <c r="BQ261" s="248">
        <f t="shared" si="616"/>
        <v>0</v>
      </c>
      <c r="BR261" s="248"/>
      <c r="BS261" s="248"/>
      <c r="BT261" s="276">
        <v>1</v>
      </c>
      <c r="BU261" s="196">
        <f t="shared" si="783"/>
        <v>28589.04701270031</v>
      </c>
      <c r="BV261" s="264">
        <f t="shared" si="617"/>
        <v>1.9829904529387395E-3</v>
      </c>
      <c r="BW261" s="196">
        <f t="shared" si="784"/>
        <v>122297.58999877356</v>
      </c>
      <c r="BX261" s="247">
        <f t="shared" si="618"/>
        <v>1.9829904708015935E-3</v>
      </c>
      <c r="BY261" s="196">
        <f t="shared" si="639"/>
        <v>150886.63701147388</v>
      </c>
      <c r="BZ261" s="620">
        <v>0</v>
      </c>
      <c r="CA261" s="196">
        <f t="shared" si="763"/>
        <v>62415.086969731514</v>
      </c>
      <c r="CB261" s="196">
        <f t="shared" si="764"/>
        <v>124830.17393946303</v>
      </c>
      <c r="CC261" s="196">
        <f t="shared" si="765"/>
        <v>187245.26090919453</v>
      </c>
      <c r="CD261" s="247">
        <f t="shared" si="720"/>
        <v>7.9006572213256398E-4</v>
      </c>
      <c r="CE261" s="196">
        <f t="shared" si="766"/>
        <v>25230.749019056155</v>
      </c>
      <c r="CF261" s="247">
        <f t="shared" si="721"/>
        <v>1.0895422089014103E-3</v>
      </c>
      <c r="CG261" s="196">
        <f t="shared" si="722"/>
        <v>31003.57261241565</v>
      </c>
      <c r="CH261" s="589">
        <f t="shared" si="767"/>
        <v>7.9006572213256388E-4</v>
      </c>
      <c r="CI261" s="196">
        <f t="shared" si="768"/>
        <v>72495.050135352227</v>
      </c>
      <c r="CJ261" s="248">
        <f t="shared" si="769"/>
        <v>1.1918184402084234E-3</v>
      </c>
      <c r="CK261" s="196">
        <f t="shared" si="770"/>
        <v>77238.57889247188</v>
      </c>
      <c r="CL261" s="589">
        <f t="shared" si="771"/>
        <v>1.1103204588771493E-3</v>
      </c>
      <c r="CM261" s="196">
        <f t="shared" si="772"/>
        <v>7482.4928699083566</v>
      </c>
      <c r="CN261" s="589">
        <f t="shared" si="773"/>
        <v>1.0783122584741599E-3</v>
      </c>
      <c r="CO261" s="196">
        <f t="shared" si="774"/>
        <v>598.58306617070627</v>
      </c>
      <c r="CP261" s="589">
        <f t="shared" si="775"/>
        <v>1.1288354640325918E-3</v>
      </c>
      <c r="CQ261" s="196">
        <f>'Detailed Budget'!$AC$12</f>
        <v>292876014141.44696</v>
      </c>
      <c r="CR261" s="269">
        <f t="shared" si="724"/>
        <v>632872877.47375488</v>
      </c>
      <c r="CS261" s="269">
        <f>'Detailed Budget'!$AC$16</f>
        <v>10488008800.000002</v>
      </c>
      <c r="CT261" s="607">
        <f t="shared" si="725"/>
        <v>22663431.719516043</v>
      </c>
      <c r="CU261" s="269">
        <f>'Detailed Budget'!$AC$24</f>
        <v>30624985696</v>
      </c>
      <c r="CV261" s="269">
        <f t="shared" si="612"/>
        <v>66177228.192744859</v>
      </c>
      <c r="CW261" s="269"/>
      <c r="CX261" s="269">
        <f t="shared" si="776"/>
        <v>721713537.38601577</v>
      </c>
      <c r="CY261" s="196">
        <f>'Detailed Budget'!$AC$97</f>
        <v>74629165494.837845</v>
      </c>
      <c r="CZ261" s="269">
        <f t="shared" si="726"/>
        <v>0</v>
      </c>
      <c r="DA261" s="269">
        <f>'Detailed Budget'!$AC$100</f>
        <v>14925833098.967569</v>
      </c>
      <c r="DB261" s="269">
        <f t="shared" si="727"/>
        <v>0</v>
      </c>
      <c r="DC261" s="269">
        <f t="shared" si="728"/>
        <v>0</v>
      </c>
      <c r="DD261" s="207">
        <v>0</v>
      </c>
      <c r="DE261" s="606">
        <v>0</v>
      </c>
      <c r="DF261" s="269">
        <f>'Detailed Budget'!$AC$147</f>
        <v>5913600671000</v>
      </c>
      <c r="DG261" s="269">
        <f t="shared" si="607"/>
        <v>0</v>
      </c>
      <c r="DH261" s="269">
        <f>'Detailed Budget'!$AC$153</f>
        <v>226428026880.00003</v>
      </c>
      <c r="DI261" s="269"/>
      <c r="DJ261" s="269">
        <f>'Detailed Budget'!$AC$156</f>
        <v>27713070000</v>
      </c>
      <c r="DK261" s="269"/>
      <c r="DL261" s="269"/>
      <c r="DM261" s="196">
        <f>'Detailed Budget'!$AC$178</f>
        <v>5622683761.6229038</v>
      </c>
      <c r="DN261" s="269">
        <f t="shared" si="777"/>
        <v>11149728.219191898</v>
      </c>
      <c r="DO261" s="196">
        <f>'Detailed Budget'!$AC$179</f>
        <v>26827890683.128094</v>
      </c>
      <c r="DP261" s="269">
        <f t="shared" si="778"/>
        <v>53199451.576349862</v>
      </c>
      <c r="DQ261" s="269">
        <f t="shared" si="625"/>
        <v>64349179.795541763</v>
      </c>
      <c r="DR261" s="269">
        <f>'Detailed Budget'!$AC$181</f>
        <v>50888946855.375237</v>
      </c>
      <c r="DS261" s="269">
        <f t="shared" si="779"/>
        <v>86169508.788198158</v>
      </c>
      <c r="DT261" s="269">
        <f t="shared" si="780"/>
        <v>150518688.58373994</v>
      </c>
      <c r="DU261" s="272">
        <f>'Detailed Budget'!$AC$192</f>
        <v>77498869683.252869</v>
      </c>
      <c r="DV261" s="269">
        <f t="shared" si="729"/>
        <v>0</v>
      </c>
      <c r="DW261" s="140">
        <f>'Detailed Budget'!$AC$194</f>
        <v>2684962805.4134097</v>
      </c>
      <c r="DX261" s="269">
        <f t="shared" si="730"/>
        <v>0</v>
      </c>
      <c r="DY261" s="607">
        <f t="shared" si="731"/>
        <v>0</v>
      </c>
      <c r="DZ261" s="196">
        <f>'Detailed Budget'!$AC$198</f>
        <v>18732540018.380611</v>
      </c>
      <c r="EA261" s="269">
        <f t="shared" si="732"/>
        <v>20409893.029960476</v>
      </c>
      <c r="EB261" s="196">
        <f>'Detailed Budget'!$AC$200</f>
        <v>4683135004.5951529</v>
      </c>
      <c r="EC261" s="269">
        <f t="shared" si="733"/>
        <v>5102473.257490119</v>
      </c>
      <c r="ED261" s="269">
        <f t="shared" si="734"/>
        <v>25512366.287450597</v>
      </c>
      <c r="EE261" s="196">
        <f>'Detailed Budget'!$AC$161</f>
        <v>251147290106.36197</v>
      </c>
      <c r="EF261" s="269">
        <f t="shared" si="735"/>
        <v>198422865.11951938</v>
      </c>
      <c r="EG261" s="196">
        <f>'Detailed Budget'!$AC$163</f>
        <v>15696705631.647623</v>
      </c>
      <c r="EH261" s="269">
        <f t="shared" si="736"/>
        <v>12401429.069969961</v>
      </c>
      <c r="EI261" s="269">
        <f t="shared" si="737"/>
        <v>210824294.18948933</v>
      </c>
      <c r="EJ261" s="196">
        <f>'Detailed Budget'!$AC$204</f>
        <v>45012172507.531975</v>
      </c>
      <c r="EK261" s="269">
        <f t="shared" si="738"/>
        <v>53646337.228319235</v>
      </c>
      <c r="EL261" s="201">
        <f>'Detailed Budget'!$AC$206</f>
        <v>11253043126.882994</v>
      </c>
      <c r="EM261" s="269">
        <f t="shared" si="739"/>
        <v>13411584.307079809</v>
      </c>
      <c r="EN261" s="269">
        <f t="shared" si="740"/>
        <v>67057921.535399042</v>
      </c>
      <c r="EO261" s="140">
        <f>'Detailed Budget'!$AC$209</f>
        <v>135789361677.54817</v>
      </c>
      <c r="EP261" s="269">
        <f t="shared" si="741"/>
        <v>150769706.36845049</v>
      </c>
      <c r="EQ261" s="196">
        <f>'Detailed Budget'!$AC$211</f>
        <v>33947340419.387043</v>
      </c>
      <c r="ER261" s="269">
        <f t="shared" si="742"/>
        <v>37692426.592112623</v>
      </c>
      <c r="ES261" s="269">
        <f t="shared" si="743"/>
        <v>188462132.96056312</v>
      </c>
      <c r="ET261" s="196">
        <f>'Detailed Budget'!$AC$214</f>
        <v>22239745544.201103</v>
      </c>
      <c r="EU261" s="269">
        <f t="shared" si="744"/>
        <v>23981390.245658126</v>
      </c>
      <c r="EV261" s="140">
        <f>'Detailed Budget'!$AC$217</f>
        <v>5559936386.0502758</v>
      </c>
      <c r="EW261" s="269">
        <f t="shared" si="745"/>
        <v>5995347.5614145314</v>
      </c>
      <c r="EX261" s="269">
        <f t="shared" si="746"/>
        <v>29976737.807072658</v>
      </c>
      <c r="EY261" s="196">
        <f>'Detailed Budget'!$AC$219</f>
        <v>372777004.58170313</v>
      </c>
      <c r="EZ261" s="269">
        <f t="shared" si="747"/>
        <v>420803.90294766641</v>
      </c>
      <c r="FA261" s="196">
        <f>'Detailed Budget'!$AC$222</f>
        <v>93194251.145425782</v>
      </c>
      <c r="FB261" s="269">
        <f t="shared" si="748"/>
        <v>105200.9757369166</v>
      </c>
      <c r="FC261" s="269">
        <f t="shared" si="749"/>
        <v>526004.878684583</v>
      </c>
      <c r="FD261" s="269"/>
      <c r="FE261" s="269"/>
      <c r="FF261" s="140"/>
      <c r="FG261" s="1087">
        <f t="shared" si="608"/>
        <v>0</v>
      </c>
      <c r="FJ261" s="140"/>
      <c r="FL261" s="269">
        <f t="shared" si="609"/>
        <v>0</v>
      </c>
      <c r="FO261" s="607"/>
      <c r="FP261" s="607"/>
      <c r="FQ261" s="607"/>
      <c r="FR261" s="269">
        <f>'Detailed Budget'!$AC$257</f>
        <v>13636439388</v>
      </c>
      <c r="FS261" s="269">
        <f t="shared" si="751"/>
        <v>11492364</v>
      </c>
      <c r="FT261" s="269">
        <f t="shared" si="610"/>
        <v>11492364</v>
      </c>
      <c r="FU261" s="269"/>
      <c r="FV261" s="269"/>
      <c r="FW261" s="269"/>
      <c r="FX261" s="140">
        <f>'Detailed Budget'!$AC$278</f>
        <v>1114560000</v>
      </c>
      <c r="FY261" s="269">
        <f t="shared" si="752"/>
        <v>1440000</v>
      </c>
      <c r="FZ261" s="269">
        <f t="shared" si="611"/>
        <v>1440000</v>
      </c>
      <c r="GB261" s="269">
        <f t="shared" si="619"/>
        <v>1121501250.4466956</v>
      </c>
      <c r="GC261" s="887">
        <f t="shared" si="753"/>
        <v>700938.28152918478</v>
      </c>
      <c r="GD261" s="1078">
        <f t="shared" si="620"/>
        <v>6.2930966669398343E-4</v>
      </c>
    </row>
    <row r="262" spans="1:186" hidden="1" outlineLevel="1">
      <c r="A262" s="211" t="s">
        <v>678</v>
      </c>
      <c r="B262" s="212" t="s">
        <v>679</v>
      </c>
      <c r="C262" s="213" t="s">
        <v>215</v>
      </c>
      <c r="D262" s="214" t="s">
        <v>215</v>
      </c>
      <c r="E262" s="213"/>
      <c r="F262" s="213"/>
      <c r="G262" s="213"/>
      <c r="H262" s="213" t="s">
        <v>215</v>
      </c>
      <c r="I262" s="214" t="s">
        <v>215</v>
      </c>
      <c r="J262" s="214"/>
      <c r="K262" s="213" t="s">
        <v>215</v>
      </c>
      <c r="L262" s="213"/>
      <c r="M262" s="214"/>
      <c r="N262" s="213"/>
      <c r="O262" s="214"/>
      <c r="P262" s="213"/>
      <c r="Q262" s="214"/>
      <c r="R262" s="214" t="s">
        <v>215</v>
      </c>
      <c r="S262" s="214"/>
      <c r="T262" s="214"/>
      <c r="U262" s="215">
        <f t="shared" si="754"/>
        <v>6</v>
      </c>
      <c r="V262" s="845" t="s">
        <v>219</v>
      </c>
      <c r="W262" s="216">
        <v>60994</v>
      </c>
      <c r="X262" s="217">
        <v>3.53</v>
      </c>
      <c r="Y262" s="218">
        <f t="shared" si="640"/>
        <v>1.0352999999999999</v>
      </c>
      <c r="Z262" s="196">
        <v>19</v>
      </c>
      <c r="AA262" s="218">
        <f t="shared" si="641"/>
        <v>1.9331166712483931</v>
      </c>
      <c r="AB262" s="196">
        <f t="shared" si="712"/>
        <v>117908.5182461245</v>
      </c>
      <c r="AC262">
        <v>18.899999999999999</v>
      </c>
      <c r="AD262" s="196">
        <f t="shared" si="713"/>
        <v>22284.709948517528</v>
      </c>
      <c r="AE262" s="196">
        <f t="shared" si="644"/>
        <v>21170.47445109165</v>
      </c>
      <c r="AF262" s="196">
        <f t="shared" si="755"/>
        <v>21170.47445109165</v>
      </c>
      <c r="AG262" s="606">
        <f t="shared" si="756"/>
        <v>9.7882979849419163E-4</v>
      </c>
      <c r="AH262" s="196">
        <f t="shared" si="781"/>
        <v>5895.4259123062257</v>
      </c>
      <c r="AI262" s="248">
        <f t="shared" si="715"/>
        <v>4.5670971298361932E-4</v>
      </c>
      <c r="AJ262" s="196">
        <f t="shared" si="757"/>
        <v>28180.135860823753</v>
      </c>
      <c r="AK262" s="196">
        <f t="shared" si="785"/>
        <v>4716.3407298449802</v>
      </c>
      <c r="AL262" s="196">
        <f t="shared" si="786"/>
        <v>4716.3407298449802</v>
      </c>
      <c r="AM262" s="196">
        <f t="shared" si="716"/>
        <v>9432.6814596899603</v>
      </c>
      <c r="AN262" s="627">
        <f t="shared" si="717"/>
        <v>4.5670971298361932E-4</v>
      </c>
      <c r="AO262" s="196">
        <f t="shared" si="718"/>
        <v>4480.5236933527312</v>
      </c>
      <c r="AP262" s="589">
        <f t="shared" si="758"/>
        <v>4.5670971298361932E-4</v>
      </c>
      <c r="AQ262" s="196"/>
      <c r="AR262" s="589"/>
      <c r="AS262">
        <v>1</v>
      </c>
      <c r="AT262" s="589">
        <f t="shared" si="759"/>
        <v>1.2919896640826874E-3</v>
      </c>
      <c r="AU262" s="196">
        <v>10</v>
      </c>
      <c r="AV262" s="245">
        <f t="shared" si="719"/>
        <v>1.1362345188046814E-3</v>
      </c>
      <c r="AX262" s="245"/>
      <c r="AY262" s="245"/>
      <c r="AZ262" s="196">
        <v>22</v>
      </c>
      <c r="BA262" s="589">
        <f t="shared" si="613"/>
        <v>8.0612656187021366E-4</v>
      </c>
      <c r="BI262" s="196">
        <v>1</v>
      </c>
      <c r="BJ262" s="196">
        <f t="shared" si="760"/>
        <v>65504.744036892713</v>
      </c>
      <c r="BK262" s="246">
        <f t="shared" si="614"/>
        <v>1.2491359472713774E-3</v>
      </c>
      <c r="BL262" s="196">
        <f t="shared" si="782"/>
        <v>1310.0948807378543</v>
      </c>
      <c r="BM262" s="246">
        <f t="shared" si="615"/>
        <v>1.2491358043497805E-3</v>
      </c>
      <c r="BN262" s="196">
        <v>0</v>
      </c>
      <c r="BO262" s="196">
        <f t="shared" si="761"/>
        <v>6797.0668575860664</v>
      </c>
      <c r="BP262" s="196">
        <f t="shared" si="762"/>
        <v>0</v>
      </c>
      <c r="BQ262" s="248">
        <f t="shared" si="616"/>
        <v>0</v>
      </c>
      <c r="BR262" s="248"/>
      <c r="BS262" s="248"/>
      <c r="BT262" s="276">
        <v>1</v>
      </c>
      <c r="BU262" s="196">
        <f t="shared" si="783"/>
        <v>16526.340897820599</v>
      </c>
      <c r="BV262" s="264">
        <f t="shared" si="617"/>
        <v>1.1462983081538512E-3</v>
      </c>
      <c r="BW262" s="196">
        <f t="shared" si="784"/>
        <v>70696.013840677013</v>
      </c>
      <c r="BX262" s="247">
        <f t="shared" si="618"/>
        <v>1.1462983184797504E-3</v>
      </c>
      <c r="BY262" s="196">
        <f t="shared" si="639"/>
        <v>87222.354738497612</v>
      </c>
      <c r="BZ262" s="620">
        <v>0</v>
      </c>
      <c r="CA262" s="196">
        <f t="shared" si="763"/>
        <v>36080.006583314098</v>
      </c>
      <c r="CB262" s="196">
        <f t="shared" si="764"/>
        <v>72160.013166628196</v>
      </c>
      <c r="CC262" s="196">
        <f t="shared" si="765"/>
        <v>108240.01974994229</v>
      </c>
      <c r="CD262" s="247">
        <f t="shared" si="720"/>
        <v>4.5670971298361932E-4</v>
      </c>
      <c r="CE262" s="196">
        <f t="shared" si="766"/>
        <v>14585.024789774921</v>
      </c>
      <c r="CF262" s="247">
        <f t="shared" si="721"/>
        <v>6.2982672905711676E-4</v>
      </c>
      <c r="CG262" s="196">
        <f t="shared" si="722"/>
        <v>17922.094773410925</v>
      </c>
      <c r="CH262" s="589">
        <f t="shared" si="767"/>
        <v>4.5670971298361932E-4</v>
      </c>
      <c r="CI262" s="196">
        <f t="shared" si="768"/>
        <v>41906.885228080377</v>
      </c>
      <c r="CJ262" s="248">
        <f t="shared" si="769"/>
        <v>6.8894908677590244E-4</v>
      </c>
      <c r="CK262" s="196">
        <f t="shared" si="770"/>
        <v>44648.955408452239</v>
      </c>
      <c r="CL262" s="589">
        <f t="shared" si="771"/>
        <v>6.4183791789480858E-4</v>
      </c>
      <c r="CM262" s="196">
        <f t="shared" si="772"/>
        <v>4325.3707575031776</v>
      </c>
      <c r="CN262" s="589">
        <f t="shared" si="773"/>
        <v>6.2333508248547974E-4</v>
      </c>
      <c r="CO262" s="196">
        <f t="shared" si="774"/>
        <v>346.02020147104702</v>
      </c>
      <c r="CP262" s="589">
        <f t="shared" si="775"/>
        <v>6.5254080305176458E-4</v>
      </c>
      <c r="CQ262" s="196">
        <f>'Detailed Budget'!$AC$12</f>
        <v>292876014141.44696</v>
      </c>
      <c r="CR262" s="269">
        <f t="shared" si="724"/>
        <v>365841957.3576417</v>
      </c>
      <c r="CS262" s="269">
        <f>'Detailed Budget'!$AC$16</f>
        <v>10488008800.000002</v>
      </c>
      <c r="CT262" s="607">
        <f t="shared" si="725"/>
        <v>13100947.308415579</v>
      </c>
      <c r="CU262" s="269">
        <f>'Detailed Budget'!$AC$24</f>
        <v>30624985696</v>
      </c>
      <c r="CV262" s="269">
        <f t="shared" si="612"/>
        <v>38254770.517545342</v>
      </c>
      <c r="CW262" s="269"/>
      <c r="CX262" s="269">
        <f t="shared" si="776"/>
        <v>417197675.18360263</v>
      </c>
      <c r="CY262" s="196">
        <f>'Detailed Budget'!$AC$97</f>
        <v>74629165494.837845</v>
      </c>
      <c r="CZ262" s="269">
        <f t="shared" si="726"/>
        <v>0</v>
      </c>
      <c r="DA262" s="269">
        <f>'Detailed Budget'!$AC$100</f>
        <v>14925833098.967569</v>
      </c>
      <c r="DB262" s="269">
        <f t="shared" si="727"/>
        <v>0</v>
      </c>
      <c r="DC262" s="269">
        <f t="shared" si="728"/>
        <v>0</v>
      </c>
      <c r="DD262" s="207">
        <v>0</v>
      </c>
      <c r="DE262" s="606">
        <v>0</v>
      </c>
      <c r="DF262" s="269">
        <f>'Detailed Budget'!$AC$147</f>
        <v>5913600671000</v>
      </c>
      <c r="DG262" s="269">
        <f t="shared" si="607"/>
        <v>0</v>
      </c>
      <c r="DH262" s="269">
        <f>'Detailed Budget'!$AC$153</f>
        <v>226428026880.00003</v>
      </c>
      <c r="DI262" s="269"/>
      <c r="DJ262" s="269">
        <f>'Detailed Budget'!$AC$156</f>
        <v>27713070000</v>
      </c>
      <c r="DK262" s="269"/>
      <c r="DL262" s="269"/>
      <c r="DM262" s="196">
        <f>'Detailed Budget'!$AC$178</f>
        <v>5622683761.6229038</v>
      </c>
      <c r="DN262" s="269">
        <f t="shared" si="777"/>
        <v>6445272.8832324669</v>
      </c>
      <c r="DO262" s="196">
        <f>'Detailed Budget'!$AC$179</f>
        <v>26827890683.128094</v>
      </c>
      <c r="DP262" s="269">
        <f t="shared" si="778"/>
        <v>30752765.978428297</v>
      </c>
      <c r="DQ262" s="269">
        <f t="shared" si="625"/>
        <v>37198038.861660764</v>
      </c>
      <c r="DR262" s="269">
        <f>'Detailed Budget'!$AC$181</f>
        <v>50888946855.375237</v>
      </c>
      <c r="DS262" s="269">
        <f t="shared" si="779"/>
        <v>49811617.596028566</v>
      </c>
      <c r="DT262" s="269">
        <f t="shared" si="780"/>
        <v>87009656.45768933</v>
      </c>
      <c r="DU262" s="272">
        <f>'Detailed Budget'!$AC$192</f>
        <v>77498869683.252869</v>
      </c>
      <c r="DV262" s="269">
        <f t="shared" si="729"/>
        <v>0</v>
      </c>
      <c r="DW262" s="140">
        <f>'Detailed Budget'!$AC$194</f>
        <v>2684962805.4134097</v>
      </c>
      <c r="DX262" s="269">
        <f t="shared" si="730"/>
        <v>0</v>
      </c>
      <c r="DY262" s="607">
        <f t="shared" si="731"/>
        <v>0</v>
      </c>
      <c r="DZ262" s="196">
        <f>'Detailed Budget'!$AC$198</f>
        <v>18732540018.380611</v>
      </c>
      <c r="EA262" s="269">
        <f t="shared" si="732"/>
        <v>11798254.406708201</v>
      </c>
      <c r="EB262" s="196">
        <f>'Detailed Budget'!$AC$200</f>
        <v>4683135004.5951529</v>
      </c>
      <c r="EC262" s="269">
        <f t="shared" si="733"/>
        <v>2949563.6016770503</v>
      </c>
      <c r="ED262" s="269">
        <f t="shared" si="734"/>
        <v>14747818.008385252</v>
      </c>
      <c r="EE262" s="196">
        <f>'Detailed Budget'!$AC$161</f>
        <v>251147290106.36197</v>
      </c>
      <c r="EF262" s="269">
        <f t="shared" si="735"/>
        <v>114701406.78109035</v>
      </c>
      <c r="EG262" s="196">
        <f>'Detailed Budget'!$AC$163</f>
        <v>15696705631.647623</v>
      </c>
      <c r="EH262" s="269">
        <f t="shared" si="736"/>
        <v>7168837.9238181468</v>
      </c>
      <c r="EI262" s="269">
        <f t="shared" si="737"/>
        <v>121870244.70490849</v>
      </c>
      <c r="EJ262" s="196">
        <f>'Detailed Budget'!$AC$204</f>
        <v>45012172507.531975</v>
      </c>
      <c r="EK262" s="269">
        <f t="shared" si="738"/>
        <v>31011095.142863538</v>
      </c>
      <c r="EL262" s="201">
        <f>'Detailed Budget'!$AC$206</f>
        <v>11253043126.882994</v>
      </c>
      <c r="EM262" s="269">
        <f t="shared" si="739"/>
        <v>7752773.7857158845</v>
      </c>
      <c r="EN262" s="269">
        <f t="shared" si="740"/>
        <v>38763868.92857942</v>
      </c>
      <c r="EO262" s="140">
        <f>'Detailed Budget'!$AC$209</f>
        <v>135789361677.54817</v>
      </c>
      <c r="EP262" s="269">
        <f t="shared" si="741"/>
        <v>87154761.171382636</v>
      </c>
      <c r="EQ262" s="196">
        <f>'Detailed Budget'!$AC$211</f>
        <v>33947340419.387043</v>
      </c>
      <c r="ER262" s="269">
        <f t="shared" si="742"/>
        <v>21788690.292845659</v>
      </c>
      <c r="ES262" s="269">
        <f t="shared" si="743"/>
        <v>108943451.4642283</v>
      </c>
      <c r="ET262" s="196">
        <f>'Detailed Budget'!$AC$214</f>
        <v>22239745544.201103</v>
      </c>
      <c r="EU262" s="269">
        <f t="shared" si="744"/>
        <v>13862813.623250674</v>
      </c>
      <c r="EV262" s="140">
        <f>'Detailed Budget'!$AC$217</f>
        <v>5559936386.0502758</v>
      </c>
      <c r="EW262" s="269">
        <f t="shared" si="745"/>
        <v>3465703.4058126686</v>
      </c>
      <c r="EX262" s="269">
        <f t="shared" si="746"/>
        <v>17328517.029063344</v>
      </c>
      <c r="EY262" s="196">
        <f>'Detailed Budget'!$AC$219</f>
        <v>372777004.58170313</v>
      </c>
      <c r="EZ262" s="269">
        <f t="shared" si="747"/>
        <v>243252.20592897589</v>
      </c>
      <c r="FA262" s="196">
        <f>'Detailed Budget'!$AC$222</f>
        <v>93194251.145425782</v>
      </c>
      <c r="FB262" s="269">
        <f t="shared" si="748"/>
        <v>60813.051482243973</v>
      </c>
      <c r="FC262" s="269">
        <f t="shared" si="749"/>
        <v>304065.25741121988</v>
      </c>
      <c r="FD262" s="269"/>
      <c r="FE262" s="269"/>
      <c r="FF262" s="140"/>
      <c r="FG262" s="1087">
        <f t="shared" si="608"/>
        <v>0</v>
      </c>
      <c r="FJ262" s="140"/>
      <c r="FL262" s="269">
        <f t="shared" si="609"/>
        <v>0</v>
      </c>
      <c r="FO262" s="607"/>
      <c r="FP262" s="607"/>
      <c r="FQ262" s="607"/>
      <c r="FR262" s="269">
        <f>'Detailed Budget'!$AC$257</f>
        <v>13636439388</v>
      </c>
      <c r="FS262" s="269">
        <f t="shared" si="751"/>
        <v>10992696</v>
      </c>
      <c r="FT262" s="269">
        <f t="shared" si="610"/>
        <v>10992696</v>
      </c>
      <c r="FU262" s="269"/>
      <c r="FV262" s="269"/>
      <c r="FW262" s="269"/>
      <c r="FX262" s="140">
        <f>'Detailed Budget'!$AC$278</f>
        <v>1114560000</v>
      </c>
      <c r="FY262" s="269">
        <f t="shared" si="752"/>
        <v>1440000</v>
      </c>
      <c r="FZ262" s="269">
        <f t="shared" si="611"/>
        <v>1440000</v>
      </c>
      <c r="GB262" s="269">
        <f t="shared" si="619"/>
        <v>653258090.35458565</v>
      </c>
      <c r="GC262" s="887">
        <f t="shared" si="753"/>
        <v>408286.30647161603</v>
      </c>
      <c r="GD262" s="1078">
        <f t="shared" si="620"/>
        <v>3.6656368500922321E-4</v>
      </c>
    </row>
    <row r="263" spans="1:186" hidden="1" outlineLevel="1">
      <c r="A263" s="211" t="s">
        <v>680</v>
      </c>
      <c r="B263" s="212" t="s">
        <v>681</v>
      </c>
      <c r="C263" s="213" t="s">
        <v>215</v>
      </c>
      <c r="D263" s="214" t="s">
        <v>215</v>
      </c>
      <c r="E263" s="213"/>
      <c r="F263" s="213"/>
      <c r="G263" s="213"/>
      <c r="H263" s="213" t="s">
        <v>215</v>
      </c>
      <c r="I263" s="214" t="s">
        <v>215</v>
      </c>
      <c r="J263" s="214"/>
      <c r="K263" s="213" t="s">
        <v>215</v>
      </c>
      <c r="L263" s="213"/>
      <c r="M263" s="214"/>
      <c r="N263" s="213"/>
      <c r="O263" s="214"/>
      <c r="P263" s="213"/>
      <c r="Q263" s="214"/>
      <c r="R263" s="214" t="s">
        <v>215</v>
      </c>
      <c r="S263" s="214"/>
      <c r="T263" s="214"/>
      <c r="U263" s="215">
        <f t="shared" si="754"/>
        <v>6</v>
      </c>
      <c r="V263" s="845" t="s">
        <v>219</v>
      </c>
      <c r="W263" s="216">
        <v>87517</v>
      </c>
      <c r="X263" s="217">
        <v>3.53</v>
      </c>
      <c r="Y263" s="218">
        <f t="shared" si="640"/>
        <v>1.0352999999999999</v>
      </c>
      <c r="Z263" s="196">
        <v>19</v>
      </c>
      <c r="AA263" s="218">
        <f t="shared" si="641"/>
        <v>1.9331166712483931</v>
      </c>
      <c r="AB263" s="196">
        <f t="shared" si="712"/>
        <v>169180.57171764562</v>
      </c>
      <c r="AC263">
        <v>18.899999999999999</v>
      </c>
      <c r="AD263" s="196">
        <f t="shared" si="713"/>
        <v>31975.128054635021</v>
      </c>
      <c r="AE263" s="196">
        <f t="shared" si="644"/>
        <v>30376.371651903268</v>
      </c>
      <c r="AF263" s="196">
        <f t="shared" si="755"/>
        <v>30376.371651903268</v>
      </c>
      <c r="AG263" s="606">
        <f t="shared" si="756"/>
        <v>1.4044700704137485E-3</v>
      </c>
      <c r="AH263" s="196">
        <f t="shared" si="781"/>
        <v>8459.0285858822808</v>
      </c>
      <c r="AI263" s="248">
        <f t="shared" si="715"/>
        <v>6.5530812786810842E-4</v>
      </c>
      <c r="AJ263" s="196">
        <f t="shared" si="757"/>
        <v>40434.1566405173</v>
      </c>
      <c r="AK263" s="196">
        <f t="shared" si="785"/>
        <v>6767.222868705825</v>
      </c>
      <c r="AL263" s="196">
        <f t="shared" si="786"/>
        <v>6767.222868705825</v>
      </c>
      <c r="AM263" s="196">
        <f t="shared" si="716"/>
        <v>13534.44573741165</v>
      </c>
      <c r="AN263" s="627">
        <f t="shared" si="717"/>
        <v>6.5530812786810842E-4</v>
      </c>
      <c r="AO263" s="196">
        <f t="shared" si="718"/>
        <v>6428.8617252705335</v>
      </c>
      <c r="AP263" s="589">
        <f t="shared" si="758"/>
        <v>6.5530812786810842E-4</v>
      </c>
      <c r="AQ263" s="196"/>
      <c r="AR263" s="589"/>
      <c r="AS263">
        <v>1</v>
      </c>
      <c r="AT263" s="589">
        <f t="shared" si="759"/>
        <v>1.2919896640826874E-3</v>
      </c>
      <c r="AU263" s="196">
        <v>11</v>
      </c>
      <c r="AV263" s="245">
        <f t="shared" si="719"/>
        <v>1.2498579706851495E-3</v>
      </c>
      <c r="AX263" s="245"/>
      <c r="AY263" s="245"/>
      <c r="AZ263" s="196">
        <v>46</v>
      </c>
      <c r="BA263" s="589">
        <f t="shared" si="613"/>
        <v>1.6855373566377193E-3</v>
      </c>
      <c r="BI263" s="196">
        <v>1</v>
      </c>
      <c r="BJ263" s="196">
        <f t="shared" si="760"/>
        <v>93989.22326584156</v>
      </c>
      <c r="BK263" s="246">
        <f t="shared" si="614"/>
        <v>1.7923177803939592E-3</v>
      </c>
      <c r="BL263" s="196">
        <f t="shared" si="782"/>
        <v>1879.7844653168313</v>
      </c>
      <c r="BM263" s="246">
        <f t="shared" si="615"/>
        <v>1.7923175753234706E-3</v>
      </c>
      <c r="BN263" s="196">
        <v>0</v>
      </c>
      <c r="BO263" s="196">
        <f t="shared" si="761"/>
        <v>9752.7445351241076</v>
      </c>
      <c r="BP263" s="196">
        <f t="shared" si="762"/>
        <v>0</v>
      </c>
      <c r="BQ263" s="248">
        <f t="shared" si="616"/>
        <v>0</v>
      </c>
      <c r="BR263" s="248"/>
      <c r="BS263" s="248"/>
      <c r="BT263" s="276">
        <v>1</v>
      </c>
      <c r="BU263" s="196">
        <f t="shared" si="783"/>
        <v>23712.75496531733</v>
      </c>
      <c r="BV263" s="264">
        <f t="shared" si="617"/>
        <v>1.6447616000705085E-3</v>
      </c>
      <c r="BW263" s="196">
        <f t="shared" si="784"/>
        <v>101437.89624052415</v>
      </c>
      <c r="BX263" s="247">
        <f t="shared" si="618"/>
        <v>1.6447616148865842E-3</v>
      </c>
      <c r="BY263" s="196">
        <f t="shared" si="639"/>
        <v>125150.65120584148</v>
      </c>
      <c r="BZ263" s="620">
        <v>0</v>
      </c>
      <c r="CA263" s="196">
        <f t="shared" si="763"/>
        <v>51769.254945599561</v>
      </c>
      <c r="CB263" s="196">
        <f t="shared" si="764"/>
        <v>103538.50989119912</v>
      </c>
      <c r="CC263" s="196">
        <f t="shared" si="765"/>
        <v>155307.76483679868</v>
      </c>
      <c r="CD263" s="247">
        <f t="shared" si="720"/>
        <v>6.5530812786810842E-4</v>
      </c>
      <c r="CE263" s="196">
        <f t="shared" si="766"/>
        <v>20927.265215049538</v>
      </c>
      <c r="CF263" s="247">
        <f t="shared" si="721"/>
        <v>9.0370439464359891E-4</v>
      </c>
      <c r="CG263" s="196">
        <f t="shared" si="722"/>
        <v>25715.446901082134</v>
      </c>
      <c r="CH263" s="589">
        <f t="shared" si="767"/>
        <v>6.5530812786810842E-4</v>
      </c>
      <c r="CI263" s="196">
        <f t="shared" si="768"/>
        <v>60129.92875538431</v>
      </c>
      <c r="CJ263" s="248">
        <f t="shared" si="769"/>
        <v>9.8853587610857872E-4</v>
      </c>
      <c r="CK263" s="196">
        <f t="shared" si="770"/>
        <v>64064.377323696011</v>
      </c>
      <c r="CL263" s="589">
        <f t="shared" si="771"/>
        <v>9.2093860150834449E-4</v>
      </c>
      <c r="CM263" s="196">
        <f t="shared" si="772"/>
        <v>6206.2411480539986</v>
      </c>
      <c r="CN263" s="589">
        <f t="shared" si="773"/>
        <v>8.9438988119949054E-4</v>
      </c>
      <c r="CO263" s="196">
        <f t="shared" si="774"/>
        <v>496.4857194501364</v>
      </c>
      <c r="CP263" s="589">
        <f t="shared" si="775"/>
        <v>9.3629559400402139E-4</v>
      </c>
      <c r="CQ263" s="196">
        <f>'Detailed Budget'!$AC$12</f>
        <v>292876014141.44696</v>
      </c>
      <c r="CR263" s="269">
        <f t="shared" si="724"/>
        <v>524926887.59662801</v>
      </c>
      <c r="CS263" s="269">
        <f>'Detailed Budget'!$AC$16</f>
        <v>10488008800.000002</v>
      </c>
      <c r="CT263" s="607">
        <f t="shared" si="725"/>
        <v>18797842.502387226</v>
      </c>
      <c r="CU263" s="269">
        <f>'Detailed Budget'!$AC$24</f>
        <v>30624985696</v>
      </c>
      <c r="CV263" s="269">
        <f t="shared" si="612"/>
        <v>54889706.387251467</v>
      </c>
      <c r="CW263" s="269"/>
      <c r="CX263" s="269">
        <f t="shared" si="776"/>
        <v>598614436.48626673</v>
      </c>
      <c r="CY263" s="196">
        <f>'Detailed Budget'!$AC$97</f>
        <v>74629165494.837845</v>
      </c>
      <c r="CZ263" s="269">
        <f t="shared" si="726"/>
        <v>0</v>
      </c>
      <c r="DA263" s="269">
        <f>'Detailed Budget'!$AC$100</f>
        <v>14925833098.967569</v>
      </c>
      <c r="DB263" s="269">
        <f t="shared" si="727"/>
        <v>0</v>
      </c>
      <c r="DC263" s="269">
        <f t="shared" si="728"/>
        <v>0</v>
      </c>
      <c r="DD263" s="207">
        <v>0</v>
      </c>
      <c r="DE263" s="606">
        <v>0</v>
      </c>
      <c r="DF263" s="269">
        <f>'Detailed Budget'!$AC$147</f>
        <v>5913600671000</v>
      </c>
      <c r="DG263" s="269">
        <f t="shared" ref="DG263:DG326" si="787">DE263*DF263</f>
        <v>0</v>
      </c>
      <c r="DH263" s="269">
        <f>'Detailed Budget'!$AC$153</f>
        <v>226428026880.00003</v>
      </c>
      <c r="DI263" s="269"/>
      <c r="DJ263" s="269">
        <f>'Detailed Budget'!$AC$156</f>
        <v>27713070000</v>
      </c>
      <c r="DK263" s="269"/>
      <c r="DL263" s="269"/>
      <c r="DM263" s="196">
        <f>'Detailed Budget'!$AC$178</f>
        <v>5622683761.6229038</v>
      </c>
      <c r="DN263" s="269">
        <f t="shared" si="777"/>
        <v>9247974.3404573519</v>
      </c>
      <c r="DO263" s="196">
        <f>'Detailed Budget'!$AC$179</f>
        <v>26827890683.128094</v>
      </c>
      <c r="DP263" s="269">
        <f t="shared" si="778"/>
        <v>44125484.803982511</v>
      </c>
      <c r="DQ263" s="269">
        <f t="shared" si="625"/>
        <v>53373459.144439861</v>
      </c>
      <c r="DR263" s="269">
        <f>'Detailed Budget'!$AC$181</f>
        <v>50888946855.375237</v>
      </c>
      <c r="DS263" s="269">
        <f t="shared" si="779"/>
        <v>71472002.773250371</v>
      </c>
      <c r="DT263" s="269">
        <f t="shared" si="780"/>
        <v>124845461.91769023</v>
      </c>
      <c r="DU263" s="272">
        <f>'Detailed Budget'!$AC$192</f>
        <v>77498869683.252869</v>
      </c>
      <c r="DV263" s="269">
        <f t="shared" si="729"/>
        <v>0</v>
      </c>
      <c r="DW263" s="140">
        <f>'Detailed Budget'!$AC$194</f>
        <v>2684962805.4134097</v>
      </c>
      <c r="DX263" s="269">
        <f t="shared" si="730"/>
        <v>0</v>
      </c>
      <c r="DY263" s="607">
        <f t="shared" si="731"/>
        <v>0</v>
      </c>
      <c r="DZ263" s="196">
        <f>'Detailed Budget'!$AC$198</f>
        <v>18732540018.380611</v>
      </c>
      <c r="EA263" s="269">
        <f t="shared" si="732"/>
        <v>16928678.737447642</v>
      </c>
      <c r="EB263" s="196">
        <f>'Detailed Budget'!$AC$200</f>
        <v>4683135004.5951529</v>
      </c>
      <c r="EC263" s="269">
        <f t="shared" si="733"/>
        <v>4232169.6843619104</v>
      </c>
      <c r="ED263" s="269">
        <f t="shared" si="734"/>
        <v>21160848.421809554</v>
      </c>
      <c r="EE263" s="196">
        <f>'Detailed Budget'!$AC$161</f>
        <v>251147290106.36197</v>
      </c>
      <c r="EF263" s="269">
        <f t="shared" si="735"/>
        <v>164578860.49874878</v>
      </c>
      <c r="EG263" s="196">
        <f>'Detailed Budget'!$AC$163</f>
        <v>15696705631.647623</v>
      </c>
      <c r="EH263" s="269">
        <f t="shared" si="736"/>
        <v>10286178.781171799</v>
      </c>
      <c r="EI263" s="269">
        <f t="shared" si="737"/>
        <v>174865039.27992058</v>
      </c>
      <c r="EJ263" s="196">
        <f>'Detailed Budget'!$AC$204</f>
        <v>45012172507.531975</v>
      </c>
      <c r="EK263" s="269">
        <f t="shared" si="738"/>
        <v>44496147.385283604</v>
      </c>
      <c r="EL263" s="201">
        <f>'Detailed Budget'!$AC$206</f>
        <v>11253043126.882994</v>
      </c>
      <c r="EM263" s="269">
        <f t="shared" si="739"/>
        <v>11124036.846320901</v>
      </c>
      <c r="EN263" s="269">
        <f t="shared" si="740"/>
        <v>55620184.231604502</v>
      </c>
      <c r="EO263" s="140">
        <f>'Detailed Budget'!$AC$209</f>
        <v>135789361677.54817</v>
      </c>
      <c r="EP263" s="269">
        <f t="shared" si="741"/>
        <v>125053664.843032</v>
      </c>
      <c r="EQ263" s="196">
        <f>'Detailed Budget'!$AC$211</f>
        <v>33947340419.387043</v>
      </c>
      <c r="ER263" s="269">
        <f t="shared" si="742"/>
        <v>31263416.210758001</v>
      </c>
      <c r="ES263" s="269">
        <f t="shared" si="743"/>
        <v>156317081.05379</v>
      </c>
      <c r="ET263" s="196">
        <f>'Detailed Budget'!$AC$214</f>
        <v>22239745544.201103</v>
      </c>
      <c r="EU263" s="269">
        <f t="shared" si="744"/>
        <v>19891003.375184923</v>
      </c>
      <c r="EV263" s="140">
        <f>'Detailed Budget'!$AC$217</f>
        <v>5559936386.0502758</v>
      </c>
      <c r="EW263" s="269">
        <f t="shared" si="745"/>
        <v>4972750.8437962309</v>
      </c>
      <c r="EX263" s="269">
        <f t="shared" si="746"/>
        <v>24863754.218981154</v>
      </c>
      <c r="EY263" s="196">
        <f>'Detailed Budget'!$AC$219</f>
        <v>372777004.58170313</v>
      </c>
      <c r="EZ263" s="269">
        <f t="shared" si="747"/>
        <v>349029.46693586552</v>
      </c>
      <c r="FA263" s="196">
        <f>'Detailed Budget'!$AC$222</f>
        <v>93194251.145425782</v>
      </c>
      <c r="FB263" s="269">
        <f t="shared" si="748"/>
        <v>87257.366733966381</v>
      </c>
      <c r="FC263" s="269">
        <f t="shared" si="749"/>
        <v>436286.83366983192</v>
      </c>
      <c r="FD263" s="269"/>
      <c r="FE263" s="269"/>
      <c r="FF263" s="140"/>
      <c r="FG263" s="1087">
        <f t="shared" ref="FG263:FG326" si="788">FE263/0.423*0.577</f>
        <v>0</v>
      </c>
      <c r="FJ263" s="140"/>
      <c r="FL263" s="269">
        <f t="shared" ref="FL263:FL326" si="789">FI263+FK263</f>
        <v>0</v>
      </c>
      <c r="FO263" s="607"/>
      <c r="FP263" s="607"/>
      <c r="FQ263" s="607"/>
      <c r="FR263" s="269">
        <f>'Detailed Budget'!$AC$257</f>
        <v>13636439388</v>
      </c>
      <c r="FS263" s="269">
        <f t="shared" si="751"/>
        <v>22984728</v>
      </c>
      <c r="FT263" s="269">
        <f t="shared" ref="FT263:FT326" si="790">FM263+FO263+FQ263+FS263</f>
        <v>22984728</v>
      </c>
      <c r="FU263" s="269"/>
      <c r="FV263" s="269"/>
      <c r="FW263" s="269"/>
      <c r="FX263" s="140">
        <f>'Detailed Budget'!$AC$278</f>
        <v>1114560000</v>
      </c>
      <c r="FY263" s="269">
        <f t="shared" si="752"/>
        <v>1440000</v>
      </c>
      <c r="FZ263" s="269">
        <f t="shared" ref="FZ263:FZ326" si="791">FU263+FW263+FY263</f>
        <v>1440000</v>
      </c>
      <c r="GB263" s="269">
        <f t="shared" si="619"/>
        <v>943910514.10568714</v>
      </c>
      <c r="GC263" s="887">
        <f t="shared" si="753"/>
        <v>589944.07131605444</v>
      </c>
      <c r="GD263" s="1078">
        <f t="shared" si="620"/>
        <v>5.2965791236006261E-4</v>
      </c>
    </row>
    <row r="264" spans="1:186" hidden="1" outlineLevel="1">
      <c r="A264" s="211" t="s">
        <v>682</v>
      </c>
      <c r="B264" s="212" t="s">
        <v>683</v>
      </c>
      <c r="C264" s="213" t="s">
        <v>215</v>
      </c>
      <c r="D264" s="214" t="s">
        <v>215</v>
      </c>
      <c r="E264" s="213"/>
      <c r="F264" s="213"/>
      <c r="G264" s="213"/>
      <c r="H264" s="213" t="s">
        <v>215</v>
      </c>
      <c r="I264" s="214" t="s">
        <v>215</v>
      </c>
      <c r="J264" s="214"/>
      <c r="K264" s="213" t="s">
        <v>215</v>
      </c>
      <c r="L264" s="213"/>
      <c r="M264" s="214"/>
      <c r="N264" s="213"/>
      <c r="O264" s="214"/>
      <c r="P264" s="213"/>
      <c r="Q264" s="214"/>
      <c r="R264" s="214" t="s">
        <v>215</v>
      </c>
      <c r="S264" s="214"/>
      <c r="T264" s="214"/>
      <c r="U264" s="215">
        <f t="shared" si="754"/>
        <v>6</v>
      </c>
      <c r="V264" s="845" t="s">
        <v>219</v>
      </c>
      <c r="W264" s="216">
        <v>150699</v>
      </c>
      <c r="X264" s="217">
        <v>3.53</v>
      </c>
      <c r="Y264" s="218">
        <f t="shared" si="640"/>
        <v>1.0352999999999999</v>
      </c>
      <c r="Z264" s="196">
        <v>19</v>
      </c>
      <c r="AA264" s="218">
        <f t="shared" si="641"/>
        <v>1.9331166712483931</v>
      </c>
      <c r="AB264" s="196">
        <f t="shared" si="712"/>
        <v>291318.74924046162</v>
      </c>
      <c r="AC264">
        <v>18.899999999999999</v>
      </c>
      <c r="AD264" s="196">
        <f t="shared" si="713"/>
        <v>55059.243606447242</v>
      </c>
      <c r="AE264" s="196">
        <f t="shared" si="644"/>
        <v>52306.281426124879</v>
      </c>
      <c r="AF264" s="196">
        <f t="shared" si="755"/>
        <v>52306.281426124879</v>
      </c>
      <c r="AG264" s="606">
        <f t="shared" si="756"/>
        <v>2.4184128242659311E-3</v>
      </c>
      <c r="AH264" s="196">
        <f t="shared" si="781"/>
        <v>14565.937462023081</v>
      </c>
      <c r="AI264" s="248">
        <f t="shared" si="715"/>
        <v>1.1284011056320038E-3</v>
      </c>
      <c r="AJ264" s="196">
        <f t="shared" si="757"/>
        <v>69625.181068470323</v>
      </c>
      <c r="AK264" s="196">
        <f t="shared" si="785"/>
        <v>11652.749969618466</v>
      </c>
      <c r="AL264" s="196">
        <f t="shared" si="786"/>
        <v>11652.749969618466</v>
      </c>
      <c r="AM264" s="196">
        <f t="shared" si="716"/>
        <v>23305.499939236932</v>
      </c>
      <c r="AN264" s="627">
        <f t="shared" si="717"/>
        <v>1.128401105632004E-3</v>
      </c>
      <c r="AO264" s="196">
        <f t="shared" si="718"/>
        <v>11070.112471137541</v>
      </c>
      <c r="AP264" s="589">
        <f t="shared" si="758"/>
        <v>1.1284011056320038E-3</v>
      </c>
      <c r="AQ264" s="196"/>
      <c r="AR264" s="589"/>
      <c r="AS264">
        <v>1</v>
      </c>
      <c r="AT264" s="589">
        <f t="shared" si="759"/>
        <v>1.2919896640826874E-3</v>
      </c>
      <c r="AU264" s="196">
        <v>10</v>
      </c>
      <c r="AV264" s="245">
        <f t="shared" si="719"/>
        <v>1.1362345188046814E-3</v>
      </c>
      <c r="AX264" s="245"/>
      <c r="AY264" s="245"/>
      <c r="AZ264" s="196">
        <v>26</v>
      </c>
      <c r="BA264" s="589">
        <f t="shared" si="613"/>
        <v>9.526950276647979E-4</v>
      </c>
      <c r="BI264" s="196">
        <v>1</v>
      </c>
      <c r="BJ264" s="196">
        <f t="shared" si="760"/>
        <v>161843.77843092266</v>
      </c>
      <c r="BK264" s="246">
        <f t="shared" si="614"/>
        <v>3.0862632081491512E-3</v>
      </c>
      <c r="BL264" s="196">
        <f t="shared" si="782"/>
        <v>3236.8755686184531</v>
      </c>
      <c r="BM264" s="246">
        <f t="shared" si="615"/>
        <v>3.0862628550301281E-3</v>
      </c>
      <c r="BN264" s="196">
        <v>0</v>
      </c>
      <c r="BO264" s="196">
        <f t="shared" si="761"/>
        <v>16793.638363959777</v>
      </c>
      <c r="BP264" s="196">
        <f t="shared" si="762"/>
        <v>0</v>
      </c>
      <c r="BQ264" s="248">
        <f t="shared" si="616"/>
        <v>0</v>
      </c>
      <c r="BR264" s="248"/>
      <c r="BS264" s="248"/>
      <c r="BT264" s="276">
        <v>1</v>
      </c>
      <c r="BU264" s="196">
        <f t="shared" si="783"/>
        <v>40831.935058541269</v>
      </c>
      <c r="BV264" s="264">
        <f t="shared" si="617"/>
        <v>2.8321803577479295E-3</v>
      </c>
      <c r="BW264" s="196">
        <f t="shared" si="784"/>
        <v>174669.94441709324</v>
      </c>
      <c r="BX264" s="247">
        <f t="shared" si="618"/>
        <v>2.832180383260319E-3</v>
      </c>
      <c r="BY264" s="196">
        <f t="shared" si="639"/>
        <v>215501.87947563452</v>
      </c>
      <c r="BZ264" s="620">
        <v>0</v>
      </c>
      <c r="CA264" s="196">
        <f t="shared" si="763"/>
        <v>89143.537267581269</v>
      </c>
      <c r="CB264" s="196">
        <f t="shared" si="764"/>
        <v>178287.07453516254</v>
      </c>
      <c r="CC264" s="196">
        <f t="shared" si="765"/>
        <v>267430.61180274381</v>
      </c>
      <c r="CD264" s="247">
        <f t="shared" si="720"/>
        <v>1.128401105632004E-3</v>
      </c>
      <c r="CE264" s="196">
        <f t="shared" si="766"/>
        <v>36035.489569372243</v>
      </c>
      <c r="CF264" s="247">
        <f t="shared" si="721"/>
        <v>1.5561245080201072E-3</v>
      </c>
      <c r="CG264" s="196">
        <f t="shared" si="722"/>
        <v>44280.449884550166</v>
      </c>
      <c r="CH264" s="589">
        <f t="shared" si="767"/>
        <v>1.1284011056320038E-3</v>
      </c>
      <c r="CI264" s="196">
        <f t="shared" si="768"/>
        <v>103540.1137322767</v>
      </c>
      <c r="CJ264" s="248">
        <f t="shared" si="769"/>
        <v>1.7021992069390715E-3</v>
      </c>
      <c r="CK264" s="196">
        <f t="shared" si="770"/>
        <v>110314.99706689746</v>
      </c>
      <c r="CL264" s="589">
        <f t="shared" si="771"/>
        <v>1.585800773663471E-3</v>
      </c>
      <c r="CM264" s="196">
        <f t="shared" si="772"/>
        <v>10686.773252860467</v>
      </c>
      <c r="CN264" s="589">
        <f t="shared" si="773"/>
        <v>1.5400854771859412E-3</v>
      </c>
      <c r="CO264" s="196">
        <f t="shared" si="774"/>
        <v>854.91848938396095</v>
      </c>
      <c r="CP264" s="589">
        <f t="shared" si="775"/>
        <v>1.6122445892890755E-3</v>
      </c>
      <c r="CQ264" s="196">
        <f>'Detailed Budget'!$AC$12</f>
        <v>292876014141.44696</v>
      </c>
      <c r="CR264" s="269">
        <f t="shared" si="724"/>
        <v>903892466.99411833</v>
      </c>
      <c r="CS264" s="269">
        <f>'Detailed Budget'!$AC$16</f>
        <v>10488008800.000002</v>
      </c>
      <c r="CT264" s="607">
        <f t="shared" si="725"/>
        <v>32368751.982669115</v>
      </c>
      <c r="CU264" s="269">
        <f>'Detailed Budget'!$AC$24</f>
        <v>30624985696</v>
      </c>
      <c r="CV264" s="269">
        <f t="shared" ref="CV264:CV327" si="792">BK264*CU264</f>
        <v>94516766.603658825</v>
      </c>
      <c r="CW264" s="269"/>
      <c r="CX264" s="269">
        <f t="shared" si="776"/>
        <v>1030777985.5804462</v>
      </c>
      <c r="CY264" s="196">
        <f>'Detailed Budget'!$AC$97</f>
        <v>74629165494.837845</v>
      </c>
      <c r="CZ264" s="269">
        <f t="shared" si="726"/>
        <v>0</v>
      </c>
      <c r="DA264" s="269">
        <f>'Detailed Budget'!$AC$100</f>
        <v>14925833098.967569</v>
      </c>
      <c r="DB264" s="269">
        <f t="shared" si="727"/>
        <v>0</v>
      </c>
      <c r="DC264" s="269">
        <f t="shared" si="728"/>
        <v>0</v>
      </c>
      <c r="DD264" s="207">
        <v>0</v>
      </c>
      <c r="DE264" s="606">
        <v>0</v>
      </c>
      <c r="DF264" s="269">
        <f>'Detailed Budget'!$AC$147</f>
        <v>5913600671000</v>
      </c>
      <c r="DG264" s="269">
        <f t="shared" si="787"/>
        <v>0</v>
      </c>
      <c r="DH264" s="269">
        <f>'Detailed Budget'!$AC$153</f>
        <v>226428026880.00003</v>
      </c>
      <c r="DI264" s="269"/>
      <c r="DJ264" s="269">
        <f>'Detailed Budget'!$AC$156</f>
        <v>27713070000</v>
      </c>
      <c r="DK264" s="269"/>
      <c r="DL264" s="269"/>
      <c r="DM264" s="196">
        <f>'Detailed Budget'!$AC$178</f>
        <v>5622683761.6229038</v>
      </c>
      <c r="DN264" s="269">
        <f t="shared" si="777"/>
        <v>15924454.507496629</v>
      </c>
      <c r="DO264" s="196">
        <f>'Detailed Budget'!$AC$179</f>
        <v>26827890683.128094</v>
      </c>
      <c r="DP264" s="269">
        <f t="shared" si="778"/>
        <v>75981425.717007667</v>
      </c>
      <c r="DQ264" s="269">
        <f t="shared" si="625"/>
        <v>91905880.224504292</v>
      </c>
      <c r="DR264" s="269">
        <f>'Detailed Budget'!$AC$181</f>
        <v>50888946855.375237</v>
      </c>
      <c r="DS264" s="269">
        <f t="shared" si="779"/>
        <v>123070481.6884269</v>
      </c>
      <c r="DT264" s="269">
        <f t="shared" si="780"/>
        <v>214976361.9129312</v>
      </c>
      <c r="DU264" s="272">
        <f>'Detailed Budget'!$AC$192</f>
        <v>77498869683.252869</v>
      </c>
      <c r="DV264" s="269">
        <f t="shared" si="729"/>
        <v>0</v>
      </c>
      <c r="DW264" s="140">
        <f>'Detailed Budget'!$AC$194</f>
        <v>2684962805.4134097</v>
      </c>
      <c r="DX264" s="269">
        <f t="shared" si="730"/>
        <v>0</v>
      </c>
      <c r="DY264" s="607">
        <f t="shared" si="731"/>
        <v>0</v>
      </c>
      <c r="DZ264" s="196">
        <f>'Detailed Budget'!$AC$198</f>
        <v>18732540018.380611</v>
      </c>
      <c r="EA264" s="269">
        <f t="shared" si="732"/>
        <v>29150164.6200695</v>
      </c>
      <c r="EB264" s="196">
        <f>'Detailed Budget'!$AC$200</f>
        <v>4683135004.5951529</v>
      </c>
      <c r="EC264" s="269">
        <f t="shared" si="733"/>
        <v>7287541.155017375</v>
      </c>
      <c r="ED264" s="269">
        <f t="shared" si="734"/>
        <v>36437705.775086872</v>
      </c>
      <c r="EE264" s="196">
        <f>'Detailed Budget'!$AC$161</f>
        <v>251147290106.36197</v>
      </c>
      <c r="EF264" s="269">
        <f t="shared" si="735"/>
        <v>283394879.83250046</v>
      </c>
      <c r="EG264" s="196">
        <f>'Detailed Budget'!$AC$163</f>
        <v>15696705631.647623</v>
      </c>
      <c r="EH264" s="269">
        <f t="shared" si="736"/>
        <v>17712179.989531279</v>
      </c>
      <c r="EI264" s="269">
        <f t="shared" si="737"/>
        <v>301107059.82203174</v>
      </c>
      <c r="EJ264" s="196">
        <f>'Detailed Budget'!$AC$204</f>
        <v>45012172507.531975</v>
      </c>
      <c r="EK264" s="269">
        <f t="shared" si="738"/>
        <v>76619684.344925612</v>
      </c>
      <c r="EL264" s="201">
        <f>'Detailed Budget'!$AC$206</f>
        <v>11253043126.882994</v>
      </c>
      <c r="EM264" s="269">
        <f t="shared" si="739"/>
        <v>19154921.086231403</v>
      </c>
      <c r="EN264" s="269">
        <f t="shared" si="740"/>
        <v>95774605.431157023</v>
      </c>
      <c r="EO264" s="140">
        <f>'Detailed Budget'!$AC$209</f>
        <v>135789361677.54817</v>
      </c>
      <c r="EP264" s="269">
        <f t="shared" si="741"/>
        <v>215334874.80352476</v>
      </c>
      <c r="EQ264" s="196">
        <f>'Detailed Budget'!$AC$211</f>
        <v>33947340419.387043</v>
      </c>
      <c r="ER264" s="269">
        <f t="shared" si="742"/>
        <v>53833718.700881191</v>
      </c>
      <c r="ES264" s="269">
        <f t="shared" si="743"/>
        <v>269168593.50440598</v>
      </c>
      <c r="ET264" s="196">
        <f>'Detailed Budget'!$AC$214</f>
        <v>22239745544.201103</v>
      </c>
      <c r="EU264" s="269">
        <f t="shared" si="744"/>
        <v>34251109.128934868</v>
      </c>
      <c r="EV264" s="140">
        <f>'Detailed Budget'!$AC$217</f>
        <v>5559936386.0502758</v>
      </c>
      <c r="EW264" s="269">
        <f t="shared" si="745"/>
        <v>8562777.2822337169</v>
      </c>
      <c r="EX264" s="269">
        <f t="shared" si="746"/>
        <v>42813886.411168583</v>
      </c>
      <c r="EY264" s="196">
        <f>'Detailed Budget'!$AC$219</f>
        <v>372777004.58170313</v>
      </c>
      <c r="EZ264" s="269">
        <f t="shared" si="747"/>
        <v>601007.70864823973</v>
      </c>
      <c r="FA264" s="196">
        <f>'Detailed Budget'!$AC$222</f>
        <v>93194251.145425782</v>
      </c>
      <c r="FB264" s="269">
        <f t="shared" si="748"/>
        <v>150251.92716205993</v>
      </c>
      <c r="FC264" s="269">
        <f t="shared" si="749"/>
        <v>751259.63581029966</v>
      </c>
      <c r="FD264" s="269"/>
      <c r="FE264" s="269"/>
      <c r="FF264" s="140"/>
      <c r="FG264" s="1087">
        <f t="shared" si="788"/>
        <v>0</v>
      </c>
      <c r="FJ264" s="140"/>
      <c r="FL264" s="269">
        <f t="shared" si="789"/>
        <v>0</v>
      </c>
      <c r="FO264" s="607"/>
      <c r="FP264" s="607"/>
      <c r="FQ264" s="607"/>
      <c r="FR264" s="269">
        <f>'Detailed Budget'!$AC$257</f>
        <v>13636439388</v>
      </c>
      <c r="FS264" s="269">
        <f t="shared" si="751"/>
        <v>12991368</v>
      </c>
      <c r="FT264" s="269">
        <f t="shared" si="790"/>
        <v>12991368</v>
      </c>
      <c r="FU264" s="269"/>
      <c r="FV264" s="269"/>
      <c r="FW264" s="269"/>
      <c r="FX264" s="140">
        <f>'Detailed Budget'!$AC$278</f>
        <v>1114560000</v>
      </c>
      <c r="FY264" s="269">
        <f t="shared" si="752"/>
        <v>1440000</v>
      </c>
      <c r="FZ264" s="269">
        <f t="shared" si="791"/>
        <v>1440000</v>
      </c>
      <c r="GB264" s="269">
        <f t="shared" si="619"/>
        <v>1597730481.0904961</v>
      </c>
      <c r="GC264" s="887">
        <f t="shared" si="753"/>
        <v>998581.55068156007</v>
      </c>
      <c r="GD264" s="1078">
        <f t="shared" si="620"/>
        <v>8.9653688403949522E-4</v>
      </c>
    </row>
    <row r="265" spans="1:186" hidden="1" outlineLevel="1">
      <c r="A265" s="211" t="s">
        <v>684</v>
      </c>
      <c r="B265" s="212" t="s">
        <v>685</v>
      </c>
      <c r="C265" s="213" t="s">
        <v>215</v>
      </c>
      <c r="D265" s="214" t="s">
        <v>215</v>
      </c>
      <c r="E265" s="213"/>
      <c r="F265" s="213"/>
      <c r="G265" s="213"/>
      <c r="H265" s="213" t="s">
        <v>215</v>
      </c>
      <c r="I265" s="214" t="s">
        <v>215</v>
      </c>
      <c r="J265" s="214"/>
      <c r="K265" s="213" t="s">
        <v>215</v>
      </c>
      <c r="L265" s="213"/>
      <c r="M265" s="214"/>
      <c r="N265" s="213"/>
      <c r="O265" s="214"/>
      <c r="P265" s="213"/>
      <c r="Q265" s="214"/>
      <c r="R265" s="214" t="s">
        <v>215</v>
      </c>
      <c r="S265" s="214"/>
      <c r="T265" s="214"/>
      <c r="U265" s="215">
        <f t="shared" si="754"/>
        <v>6</v>
      </c>
      <c r="V265" s="845" t="s">
        <v>219</v>
      </c>
      <c r="W265" s="216">
        <v>204866</v>
      </c>
      <c r="X265" s="217">
        <v>3.53</v>
      </c>
      <c r="Y265" s="218">
        <f t="shared" si="640"/>
        <v>1.0352999999999999</v>
      </c>
      <c r="Z265" s="196">
        <v>19</v>
      </c>
      <c r="AA265" s="218">
        <f t="shared" si="641"/>
        <v>1.9331166712483931</v>
      </c>
      <c r="AB265" s="196">
        <f t="shared" si="712"/>
        <v>396029.87997197331</v>
      </c>
      <c r="AC265">
        <v>18.899999999999999</v>
      </c>
      <c r="AD265" s="196">
        <f t="shared" si="713"/>
        <v>74849.647314702946</v>
      </c>
      <c r="AE265" s="196">
        <f t="shared" si="644"/>
        <v>71107.164948967795</v>
      </c>
      <c r="AF265" s="196">
        <f t="shared" si="755"/>
        <v>71107.164948967795</v>
      </c>
      <c r="AG265" s="606">
        <f t="shared" si="756"/>
        <v>3.2876831409369947E-3</v>
      </c>
      <c r="AH265" s="196">
        <f t="shared" si="781"/>
        <v>19801.493998598668</v>
      </c>
      <c r="AI265" s="248">
        <f t="shared" si="715"/>
        <v>1.5339917378775314E-3</v>
      </c>
      <c r="AJ265" s="196">
        <f t="shared" si="757"/>
        <v>94651.141313301618</v>
      </c>
      <c r="AK265" s="196">
        <f t="shared" si="785"/>
        <v>15841.195198878933</v>
      </c>
      <c r="AL265" s="196">
        <f t="shared" si="786"/>
        <v>15841.195198878933</v>
      </c>
      <c r="AM265" s="196">
        <f t="shared" si="716"/>
        <v>31682.390397757867</v>
      </c>
      <c r="AN265" s="627">
        <f t="shared" si="717"/>
        <v>1.5339917378775314E-3</v>
      </c>
      <c r="AO265" s="196">
        <f t="shared" si="718"/>
        <v>15049.135438934985</v>
      </c>
      <c r="AP265" s="589">
        <f t="shared" si="758"/>
        <v>1.5339917378775312E-3</v>
      </c>
      <c r="AQ265" s="196"/>
      <c r="AR265" s="589"/>
      <c r="AS265">
        <v>1</v>
      </c>
      <c r="AT265" s="589">
        <f t="shared" si="759"/>
        <v>1.2919896640826874E-3</v>
      </c>
      <c r="AU265" s="196">
        <v>10</v>
      </c>
      <c r="AV265" s="245">
        <f t="shared" si="719"/>
        <v>1.1362345188046814E-3</v>
      </c>
      <c r="AX265" s="245"/>
      <c r="AY265" s="245"/>
      <c r="AZ265" s="196">
        <v>36</v>
      </c>
      <c r="BA265" s="589">
        <f t="shared" ref="BA265:BA328" si="793">AZ265/27291</f>
        <v>1.3191161921512586E-3</v>
      </c>
      <c r="BI265" s="196">
        <v>1</v>
      </c>
      <c r="BJ265" s="196">
        <f t="shared" si="760"/>
        <v>220016.63920815266</v>
      </c>
      <c r="BK265" s="246">
        <f t="shared" ref="BK265:BK328" si="794">BJ265/52440044</f>
        <v>4.1955845652637642E-3</v>
      </c>
      <c r="BL265" s="196">
        <f t="shared" si="782"/>
        <v>4400.3327841630535</v>
      </c>
      <c r="BM265" s="246">
        <f t="shared" ref="BM265:BM328" si="795">BL265/1048801</f>
        <v>4.1955840852202211E-3</v>
      </c>
      <c r="BN265" s="196">
        <v>0</v>
      </c>
      <c r="BO265" s="196">
        <f t="shared" si="761"/>
        <v>22829.916038400941</v>
      </c>
      <c r="BP265" s="196">
        <f t="shared" si="762"/>
        <v>0</v>
      </c>
      <c r="BQ265" s="248">
        <f t="shared" ref="BQ265:BQ328" si="796">BP265/10690003</f>
        <v>0</v>
      </c>
      <c r="BR265" s="248"/>
      <c r="BS265" s="248"/>
      <c r="BT265" s="276">
        <v>1</v>
      </c>
      <c r="BU265" s="196">
        <f t="shared" si="783"/>
        <v>55508.498448583705</v>
      </c>
      <c r="BV265" s="264">
        <f t="shared" ref="BV265:BV328" si="797">BU265/14417138</f>
        <v>3.8501745941936401E-3</v>
      </c>
      <c r="BW265" s="196">
        <f t="shared" si="784"/>
        <v>237453.02114116366</v>
      </c>
      <c r="BX265" s="247">
        <f t="shared" ref="BX265:BX328" si="798">BW265/61673312</f>
        <v>3.8501746288761604E-3</v>
      </c>
      <c r="BY265" s="196">
        <f t="shared" si="639"/>
        <v>292961.51958974736</v>
      </c>
      <c r="BZ265" s="620">
        <v>0</v>
      </c>
      <c r="CA265" s="196">
        <f t="shared" si="763"/>
        <v>121185.14327142383</v>
      </c>
      <c r="CB265" s="196">
        <f t="shared" si="764"/>
        <v>242370.28654284767</v>
      </c>
      <c r="CC265" s="196">
        <f t="shared" si="765"/>
        <v>363555.42981427151</v>
      </c>
      <c r="CD265" s="247">
        <f t="shared" si="720"/>
        <v>1.5339917378775314E-3</v>
      </c>
      <c r="CE265" s="196">
        <f t="shared" si="766"/>
        <v>48988.026503951682</v>
      </c>
      <c r="CF265" s="247">
        <f t="shared" si="721"/>
        <v>2.1154553345413525E-3</v>
      </c>
      <c r="CG265" s="196">
        <f t="shared" si="722"/>
        <v>60196.541755739941</v>
      </c>
      <c r="CH265" s="589">
        <f t="shared" si="767"/>
        <v>1.5339917378775312E-3</v>
      </c>
      <c r="CI265" s="196">
        <f t="shared" si="768"/>
        <v>140756.40143515615</v>
      </c>
      <c r="CJ265" s="248">
        <f t="shared" si="769"/>
        <v>2.3140348823069814E-3</v>
      </c>
      <c r="CK265" s="196">
        <f t="shared" si="770"/>
        <v>149966.43766121217</v>
      </c>
      <c r="CL265" s="589">
        <f t="shared" si="771"/>
        <v>2.1557983881601117E-3</v>
      </c>
      <c r="CM265" s="196">
        <f t="shared" si="772"/>
        <v>14528.00940431265</v>
      </c>
      <c r="CN265" s="589">
        <f t="shared" si="773"/>
        <v>2.0936512609186194E-3</v>
      </c>
      <c r="CO265" s="196">
        <f t="shared" si="774"/>
        <v>1162.2089811222006</v>
      </c>
      <c r="CP265" s="589">
        <f t="shared" si="775"/>
        <v>2.1917471252582677E-3</v>
      </c>
      <c r="CQ265" s="196">
        <f>'Detailed Budget'!$AC$12</f>
        <v>292876014141.44696</v>
      </c>
      <c r="CR265" s="269">
        <f t="shared" si="724"/>
        <v>1228786084.4678268</v>
      </c>
      <c r="CS265" s="269">
        <f>'Detailed Budget'!$AC$16</f>
        <v>10488008800.000002</v>
      </c>
      <c r="CT265" s="607">
        <f t="shared" si="725"/>
        <v>44003322.80692964</v>
      </c>
      <c r="CU265" s="269">
        <f>'Detailed Budget'!$AC$24</f>
        <v>30624985696</v>
      </c>
      <c r="CV265" s="269">
        <f t="shared" si="792"/>
        <v>128489717.29756115</v>
      </c>
      <c r="CW265" s="269"/>
      <c r="CX265" s="269">
        <f t="shared" si="776"/>
        <v>1401279124.5723176</v>
      </c>
      <c r="CY265" s="196">
        <f>'Detailed Budget'!$AC$97</f>
        <v>74629165494.837845</v>
      </c>
      <c r="CZ265" s="269">
        <f t="shared" si="726"/>
        <v>0</v>
      </c>
      <c r="DA265" s="269">
        <f>'Detailed Budget'!$AC$100</f>
        <v>14925833098.967569</v>
      </c>
      <c r="DB265" s="269">
        <f t="shared" si="727"/>
        <v>0</v>
      </c>
      <c r="DC265" s="269">
        <f t="shared" si="728"/>
        <v>0</v>
      </c>
      <c r="DD265" s="207">
        <v>0</v>
      </c>
      <c r="DE265" s="606">
        <v>0</v>
      </c>
      <c r="DF265" s="269">
        <f>'Detailed Budget'!$AC$147</f>
        <v>5913600671000</v>
      </c>
      <c r="DG265" s="269">
        <f t="shared" si="787"/>
        <v>0</v>
      </c>
      <c r="DH265" s="269">
        <f>'Detailed Budget'!$AC$153</f>
        <v>226428026880.00003</v>
      </c>
      <c r="DI265" s="269"/>
      <c r="DJ265" s="269">
        <f>'Detailed Budget'!$AC$156</f>
        <v>27713070000</v>
      </c>
      <c r="DK265" s="269"/>
      <c r="DL265" s="269"/>
      <c r="DM265" s="196">
        <f>'Detailed Budget'!$AC$178</f>
        <v>5622683761.6229038</v>
      </c>
      <c r="DN265" s="269">
        <f t="shared" si="777"/>
        <v>21648314.170185633</v>
      </c>
      <c r="DO265" s="196">
        <f>'Detailed Budget'!$AC$179</f>
        <v>26827890683.128094</v>
      </c>
      <c r="DP265" s="269">
        <f t="shared" si="778"/>
        <v>103292064.05444291</v>
      </c>
      <c r="DQ265" s="269">
        <f t="shared" si="625"/>
        <v>124940378.22462854</v>
      </c>
      <c r="DR265" s="269">
        <f>'Detailed Budget'!$AC$181</f>
        <v>50888946855.375237</v>
      </c>
      <c r="DS265" s="269">
        <f t="shared" si="779"/>
        <v>167306732.63645586</v>
      </c>
      <c r="DT265" s="269">
        <f t="shared" si="780"/>
        <v>292247110.8610844</v>
      </c>
      <c r="DU265" s="272">
        <f>'Detailed Budget'!$AC$192</f>
        <v>77498869683.252869</v>
      </c>
      <c r="DV265" s="269">
        <f t="shared" si="729"/>
        <v>0</v>
      </c>
      <c r="DW265" s="140">
        <f>'Detailed Budget'!$AC$194</f>
        <v>2684962805.4134097</v>
      </c>
      <c r="DX265" s="269">
        <f t="shared" si="730"/>
        <v>0</v>
      </c>
      <c r="DY265" s="607">
        <f t="shared" si="731"/>
        <v>0</v>
      </c>
      <c r="DZ265" s="196">
        <f>'Detailed Budget'!$AC$198</f>
        <v>18732540018.380611</v>
      </c>
      <c r="EA265" s="269">
        <f t="shared" si="732"/>
        <v>39627851.711392634</v>
      </c>
      <c r="EB265" s="196">
        <f>'Detailed Budget'!$AC$200</f>
        <v>4683135004.5951529</v>
      </c>
      <c r="EC265" s="269">
        <f t="shared" si="733"/>
        <v>9906962.9278481584</v>
      </c>
      <c r="ED265" s="269">
        <f t="shared" si="734"/>
        <v>49534814.639240794</v>
      </c>
      <c r="EE265" s="196">
        <f>'Detailed Budget'!$AC$161</f>
        <v>251147290106.36197</v>
      </c>
      <c r="EF265" s="269">
        <f t="shared" si="735"/>
        <v>385257868.01349068</v>
      </c>
      <c r="EG265" s="196">
        <f>'Detailed Budget'!$AC$163</f>
        <v>15696705631.647623</v>
      </c>
      <c r="EH265" s="269">
        <f t="shared" si="736"/>
        <v>24078616.750843167</v>
      </c>
      <c r="EI265" s="269">
        <f t="shared" si="737"/>
        <v>409336484.76433384</v>
      </c>
      <c r="EJ265" s="196">
        <f>'Detailed Budget'!$AC$204</f>
        <v>45012172507.531975</v>
      </c>
      <c r="EK265" s="269">
        <f t="shared" si="738"/>
        <v>104159737.3108483</v>
      </c>
      <c r="EL265" s="201">
        <f>'Detailed Budget'!$AC$206</f>
        <v>11253043126.882994</v>
      </c>
      <c r="EM265" s="269">
        <f t="shared" si="739"/>
        <v>26039934.327712074</v>
      </c>
      <c r="EN265" s="269">
        <f t="shared" si="740"/>
        <v>130199671.63856037</v>
      </c>
      <c r="EO265" s="140">
        <f>'Detailed Budget'!$AC$209</f>
        <v>135789361677.54817</v>
      </c>
      <c r="EP265" s="269">
        <f t="shared" si="741"/>
        <v>292734487.03374881</v>
      </c>
      <c r="EQ265" s="196">
        <f>'Detailed Budget'!$AC$211</f>
        <v>33947340419.387043</v>
      </c>
      <c r="ER265" s="269">
        <f t="shared" si="742"/>
        <v>73183621.758437201</v>
      </c>
      <c r="ES265" s="269">
        <f t="shared" si="743"/>
        <v>365918108.79218602</v>
      </c>
      <c r="ET265" s="196">
        <f>'Detailed Budget'!$AC$214</f>
        <v>22239745544.201103</v>
      </c>
      <c r="EU265" s="269">
        <f t="shared" si="744"/>
        <v>46562271.301125884</v>
      </c>
      <c r="EV265" s="140">
        <f>'Detailed Budget'!$AC$217</f>
        <v>5559936386.0502758</v>
      </c>
      <c r="EW265" s="269">
        <f t="shared" si="745"/>
        <v>11640567.825281471</v>
      </c>
      <c r="EX265" s="269">
        <f t="shared" si="746"/>
        <v>58202839.126407355</v>
      </c>
      <c r="EY265" s="196">
        <f>'Detailed Budget'!$AC$219</f>
        <v>372777004.58170313</v>
      </c>
      <c r="EZ265" s="269">
        <f t="shared" si="747"/>
        <v>817032.92815433594</v>
      </c>
      <c r="FA265" s="196">
        <f>'Detailed Budget'!$AC$222</f>
        <v>93194251.145425782</v>
      </c>
      <c r="FB265" s="269">
        <f t="shared" si="748"/>
        <v>204258.23203858398</v>
      </c>
      <c r="FC265" s="269">
        <f t="shared" si="749"/>
        <v>1021291.1601929199</v>
      </c>
      <c r="FD265" s="269"/>
      <c r="FE265" s="269"/>
      <c r="FF265" s="140"/>
      <c r="FG265" s="1087">
        <f t="shared" si="788"/>
        <v>0</v>
      </c>
      <c r="FJ265" s="140"/>
      <c r="FL265" s="269">
        <f t="shared" si="789"/>
        <v>0</v>
      </c>
      <c r="FO265" s="607"/>
      <c r="FP265" s="607"/>
      <c r="FQ265" s="607"/>
      <c r="FR265" s="269">
        <f>'Detailed Budget'!$AC$257</f>
        <v>13636439388</v>
      </c>
      <c r="FS265" s="269">
        <f t="shared" si="751"/>
        <v>17988048</v>
      </c>
      <c r="FT265" s="269">
        <f t="shared" si="790"/>
        <v>17988048</v>
      </c>
      <c r="FU265" s="269"/>
      <c r="FV265" s="269"/>
      <c r="FW265" s="269"/>
      <c r="FX265" s="140">
        <f>'Detailed Budget'!$AC$278</f>
        <v>1114560000</v>
      </c>
      <c r="FY265" s="269">
        <f t="shared" si="752"/>
        <v>1440000</v>
      </c>
      <c r="FZ265" s="269">
        <f t="shared" si="791"/>
        <v>1440000</v>
      </c>
      <c r="GB265" s="269">
        <f t="shared" ref="GB265:GB328" si="799">SUM(CX265,DC265,DG265,DL265,DT265,DY265,ED265,EI265,FE265,FG265,FH265,FL265,FT265,FZ265,GA265)</f>
        <v>2171825582.8369765</v>
      </c>
      <c r="GC265" s="887">
        <f t="shared" si="753"/>
        <v>1357390.9892731104</v>
      </c>
      <c r="GD265" s="1078">
        <f t="shared" ref="GD265:GD328" si="800">GB265/1782113496426</f>
        <v>1.2186797233692118E-3</v>
      </c>
    </row>
    <row r="266" spans="1:186" hidden="1" outlineLevel="1">
      <c r="A266" s="211" t="s">
        <v>686</v>
      </c>
      <c r="B266" s="212" t="s">
        <v>687</v>
      </c>
      <c r="C266" s="213" t="s">
        <v>215</v>
      </c>
      <c r="D266" s="214" t="s">
        <v>215</v>
      </c>
      <c r="E266" s="213"/>
      <c r="F266" s="213"/>
      <c r="G266" s="213"/>
      <c r="H266" s="213" t="s">
        <v>215</v>
      </c>
      <c r="I266" s="214" t="s">
        <v>215</v>
      </c>
      <c r="J266" s="214"/>
      <c r="K266" s="213" t="s">
        <v>215</v>
      </c>
      <c r="L266" s="213"/>
      <c r="M266" s="214"/>
      <c r="N266" s="213"/>
      <c r="O266" s="214"/>
      <c r="P266" s="213"/>
      <c r="Q266" s="214"/>
      <c r="R266" s="214" t="s">
        <v>215</v>
      </c>
      <c r="S266" s="214"/>
      <c r="T266" s="214"/>
      <c r="U266" s="215">
        <f t="shared" si="754"/>
        <v>6</v>
      </c>
      <c r="V266" s="845" t="s">
        <v>219</v>
      </c>
      <c r="W266" s="216">
        <v>77667</v>
      </c>
      <c r="X266" s="217">
        <v>3.53</v>
      </c>
      <c r="Y266" s="218">
        <f t="shared" si="640"/>
        <v>1.0352999999999999</v>
      </c>
      <c r="Z266" s="196">
        <v>19</v>
      </c>
      <c r="AA266" s="218">
        <f t="shared" si="641"/>
        <v>1.9331166712483931</v>
      </c>
      <c r="AB266" s="196">
        <f t="shared" si="712"/>
        <v>150139.37250584894</v>
      </c>
      <c r="AC266">
        <v>18.899999999999999</v>
      </c>
      <c r="AD266" s="196">
        <f t="shared" si="713"/>
        <v>28376.341403605449</v>
      </c>
      <c r="AE266" s="196">
        <f t="shared" si="644"/>
        <v>26957.524333425175</v>
      </c>
      <c r="AF266" s="196">
        <f t="shared" si="755"/>
        <v>26957.524333425175</v>
      </c>
      <c r="AG266" s="606">
        <f t="shared" si="756"/>
        <v>1.2463975794282779E-3</v>
      </c>
      <c r="AH266" s="196">
        <f t="shared" si="781"/>
        <v>7506.9686252924475</v>
      </c>
      <c r="AI266" s="248">
        <f t="shared" si="715"/>
        <v>5.8155348523295338E-4</v>
      </c>
      <c r="AJ266" s="196">
        <f t="shared" si="757"/>
        <v>35883.310028897897</v>
      </c>
      <c r="AK266" s="196">
        <f t="shared" si="785"/>
        <v>6005.5749002339571</v>
      </c>
      <c r="AL266" s="196">
        <f t="shared" si="786"/>
        <v>6005.5749002339571</v>
      </c>
      <c r="AM266" s="196">
        <f t="shared" si="716"/>
        <v>12011.149800467914</v>
      </c>
      <c r="AN266" s="627">
        <f t="shared" si="717"/>
        <v>5.8155348523295327E-4</v>
      </c>
      <c r="AO266" s="196">
        <f t="shared" si="718"/>
        <v>5705.2961552222596</v>
      </c>
      <c r="AP266" s="589">
        <f t="shared" si="758"/>
        <v>5.8155348523295327E-4</v>
      </c>
      <c r="AQ266" s="196"/>
      <c r="AR266" s="589"/>
      <c r="AS266">
        <v>1</v>
      </c>
      <c r="AT266" s="589">
        <f t="shared" si="759"/>
        <v>1.2919896640826874E-3</v>
      </c>
      <c r="AU266" s="196">
        <v>10</v>
      </c>
      <c r="AV266" s="245">
        <f t="shared" si="719"/>
        <v>1.1362345188046814E-3</v>
      </c>
      <c r="AX266" s="245"/>
      <c r="AY266" s="245"/>
      <c r="AZ266" s="196">
        <v>16</v>
      </c>
      <c r="BA266" s="589">
        <f t="shared" si="793"/>
        <v>5.8627386317833719E-4</v>
      </c>
      <c r="BI266" s="196">
        <v>1</v>
      </c>
      <c r="BJ266" s="196">
        <f t="shared" si="760"/>
        <v>83410.777373403049</v>
      </c>
      <c r="BK266" s="246">
        <f t="shared" si="794"/>
        <v>1.5905931996053064E-3</v>
      </c>
      <c r="BL266" s="196">
        <f t="shared" si="782"/>
        <v>1668.215547468061</v>
      </c>
      <c r="BM266" s="246">
        <f t="shared" si="795"/>
        <v>1.5905930176154113E-3</v>
      </c>
      <c r="BN266" s="196">
        <v>0</v>
      </c>
      <c r="BO266" s="196">
        <f t="shared" si="761"/>
        <v>8655.0774113541829</v>
      </c>
      <c r="BP266" s="196">
        <f t="shared" si="762"/>
        <v>0</v>
      </c>
      <c r="BQ266" s="248">
        <f t="shared" si="796"/>
        <v>0</v>
      </c>
      <c r="BR266" s="248"/>
      <c r="BS266" s="248"/>
      <c r="BT266" s="276">
        <v>1</v>
      </c>
      <c r="BU266" s="196">
        <f t="shared" si="783"/>
        <v>21043.894784913802</v>
      </c>
      <c r="BV266" s="264">
        <f t="shared" si="797"/>
        <v>1.459644402718057E-3</v>
      </c>
      <c r="BW266" s="196">
        <f t="shared" si="784"/>
        <v>90021.105468797934</v>
      </c>
      <c r="BX266" s="247">
        <f t="shared" si="798"/>
        <v>1.4596444158665896E-3</v>
      </c>
      <c r="BY266" s="196">
        <f t="shared" si="639"/>
        <v>111065.00025371174</v>
      </c>
      <c r="BZ266" s="620">
        <v>0</v>
      </c>
      <c r="CA266" s="196">
        <f t="shared" si="763"/>
        <v>45942.647986789772</v>
      </c>
      <c r="CB266" s="196">
        <f t="shared" si="764"/>
        <v>91885.295973579545</v>
      </c>
      <c r="CC266" s="196">
        <f t="shared" si="765"/>
        <v>137827.94396036933</v>
      </c>
      <c r="CD266" s="247">
        <f t="shared" si="720"/>
        <v>5.8155348523295338E-4</v>
      </c>
      <c r="CE266" s="196">
        <f t="shared" si="766"/>
        <v>18571.910685435432</v>
      </c>
      <c r="CF266" s="247">
        <f t="shared" si="721"/>
        <v>8.0199286103025021E-4</v>
      </c>
      <c r="CG266" s="196">
        <f t="shared" si="722"/>
        <v>22821.184620889038</v>
      </c>
      <c r="CH266" s="589">
        <f t="shared" si="767"/>
        <v>5.8155348523295327E-4</v>
      </c>
      <c r="CI266" s="196">
        <f t="shared" si="768"/>
        <v>53362.331622935351</v>
      </c>
      <c r="CJ266" s="248">
        <f t="shared" si="769"/>
        <v>8.7727659642955068E-4</v>
      </c>
      <c r="CK266" s="196">
        <f t="shared" si="770"/>
        <v>56853.959728961207</v>
      </c>
      <c r="CL266" s="589">
        <f t="shared" si="771"/>
        <v>8.1728736546440796E-4</v>
      </c>
      <c r="CM266" s="196">
        <f t="shared" si="772"/>
        <v>5507.7314264189799</v>
      </c>
      <c r="CN266" s="589">
        <f t="shared" si="773"/>
        <v>7.9372669199265092E-4</v>
      </c>
      <c r="CO266" s="196">
        <f t="shared" si="774"/>
        <v>440.60646928635288</v>
      </c>
      <c r="CP266" s="589">
        <f t="shared" si="775"/>
        <v>8.3091593518413943E-4</v>
      </c>
      <c r="CQ266" s="196">
        <f>'Detailed Budget'!$AC$12</f>
        <v>292876014141.44696</v>
      </c>
      <c r="CR266" s="269">
        <f t="shared" si="724"/>
        <v>465846596.42089307</v>
      </c>
      <c r="CS266" s="269">
        <f>'Detailed Budget'!$AC$16</f>
        <v>10488008800.000002</v>
      </c>
      <c r="CT266" s="607">
        <f t="shared" si="725"/>
        <v>16682153.565968992</v>
      </c>
      <c r="CU266" s="269">
        <f>'Detailed Budget'!$AC$24</f>
        <v>30624985696</v>
      </c>
      <c r="CV266" s="269">
        <f t="shared" si="792"/>
        <v>48711893.986067384</v>
      </c>
      <c r="CW266" s="269"/>
      <c r="CX266" s="269">
        <f t="shared" si="776"/>
        <v>531240643.97292948</v>
      </c>
      <c r="CY266" s="196">
        <f>'Detailed Budget'!$AC$97</f>
        <v>74629165494.837845</v>
      </c>
      <c r="CZ266" s="269">
        <f t="shared" si="726"/>
        <v>0</v>
      </c>
      <c r="DA266" s="269">
        <f>'Detailed Budget'!$AC$100</f>
        <v>14925833098.967569</v>
      </c>
      <c r="DB266" s="269">
        <f t="shared" si="727"/>
        <v>0</v>
      </c>
      <c r="DC266" s="269">
        <f t="shared" si="728"/>
        <v>0</v>
      </c>
      <c r="DD266" s="207">
        <v>0</v>
      </c>
      <c r="DE266" s="606">
        <v>0</v>
      </c>
      <c r="DF266" s="269">
        <f>'Detailed Budget'!$AC$147</f>
        <v>5913600671000</v>
      </c>
      <c r="DG266" s="269">
        <f t="shared" si="787"/>
        <v>0</v>
      </c>
      <c r="DH266" s="269">
        <f>'Detailed Budget'!$AC$153</f>
        <v>226428026880.00003</v>
      </c>
      <c r="DI266" s="269"/>
      <c r="DJ266" s="269">
        <f>'Detailed Budget'!$AC$156</f>
        <v>27713070000</v>
      </c>
      <c r="DK266" s="269"/>
      <c r="DL266" s="269"/>
      <c r="DM266" s="196">
        <f>'Detailed Budget'!$AC$178</f>
        <v>5622683761.6229038</v>
      </c>
      <c r="DN266" s="269">
        <f t="shared" si="777"/>
        <v>8207118.8809065809</v>
      </c>
      <c r="DO266" s="196">
        <f>'Detailed Budget'!$AC$179</f>
        <v>26827890683.128094</v>
      </c>
      <c r="DP266" s="269">
        <f t="shared" si="778"/>
        <v>39159180.825107224</v>
      </c>
      <c r="DQ266" s="269">
        <f t="shared" si="625"/>
        <v>47366299.706013806</v>
      </c>
      <c r="DR266" s="269">
        <f>'Detailed Budget'!$AC$181</f>
        <v>50888946855.375237</v>
      </c>
      <c r="DS266" s="269">
        <f t="shared" si="779"/>
        <v>63427860.180193968</v>
      </c>
      <c r="DT266" s="269">
        <f t="shared" si="780"/>
        <v>110794159.88620777</v>
      </c>
      <c r="DU266" s="272">
        <f>'Detailed Budget'!$AC$192</f>
        <v>77498869683.252869</v>
      </c>
      <c r="DV266" s="269">
        <f t="shared" si="729"/>
        <v>0</v>
      </c>
      <c r="DW266" s="140">
        <f>'Detailed Budget'!$AC$194</f>
        <v>2684962805.4134097</v>
      </c>
      <c r="DX266" s="269">
        <f t="shared" si="730"/>
        <v>0</v>
      </c>
      <c r="DY266" s="607">
        <f t="shared" si="731"/>
        <v>0</v>
      </c>
      <c r="DZ266" s="196">
        <f>'Detailed Budget'!$AC$198</f>
        <v>18732540018.380611</v>
      </c>
      <c r="EA266" s="269">
        <f t="shared" si="732"/>
        <v>15023363.363704722</v>
      </c>
      <c r="EB266" s="196">
        <f>'Detailed Budget'!$AC$200</f>
        <v>4683135004.5951529</v>
      </c>
      <c r="EC266" s="269">
        <f t="shared" si="733"/>
        <v>3755840.8409261806</v>
      </c>
      <c r="ED266" s="269">
        <f t="shared" si="734"/>
        <v>18779204.204630904</v>
      </c>
      <c r="EE266" s="196">
        <f>'Detailed Budget'!$AC$161</f>
        <v>251147290106.36197</v>
      </c>
      <c r="EF266" s="269">
        <f t="shared" si="735"/>
        <v>146055581.86816642</v>
      </c>
      <c r="EG266" s="196">
        <f>'Detailed Budget'!$AC$163</f>
        <v>15696705631.647623</v>
      </c>
      <c r="EH266" s="269">
        <f t="shared" si="736"/>
        <v>9128473.8667604011</v>
      </c>
      <c r="EI266" s="269">
        <f t="shared" si="737"/>
        <v>155184055.73492682</v>
      </c>
      <c r="EJ266" s="196">
        <f>'Detailed Budget'!$AC$204</f>
        <v>45012172507.531975</v>
      </c>
      <c r="EK266" s="269">
        <f t="shared" si="738"/>
        <v>39488125.495307446</v>
      </c>
      <c r="EL266" s="201">
        <f>'Detailed Budget'!$AC$206</f>
        <v>11253043126.882994</v>
      </c>
      <c r="EM266" s="269">
        <f t="shared" si="739"/>
        <v>9872031.3738268614</v>
      </c>
      <c r="EN266" s="269">
        <f t="shared" si="740"/>
        <v>49360156.869134307</v>
      </c>
      <c r="EO266" s="140">
        <f>'Detailed Budget'!$AC$209</f>
        <v>135789361677.54817</v>
      </c>
      <c r="EP266" s="269">
        <f t="shared" si="741"/>
        <v>110978929.66353698</v>
      </c>
      <c r="EQ266" s="196">
        <f>'Detailed Budget'!$AC$211</f>
        <v>33947340419.387043</v>
      </c>
      <c r="ER266" s="269">
        <f t="shared" si="742"/>
        <v>27744732.415884245</v>
      </c>
      <c r="ES266" s="269">
        <f t="shared" si="743"/>
        <v>138723662.07942122</v>
      </c>
      <c r="ET266" s="196">
        <f>'Detailed Budget'!$AC$214</f>
        <v>22239745544.201103</v>
      </c>
      <c r="EU266" s="269">
        <f t="shared" si="744"/>
        <v>17652279.661557041</v>
      </c>
      <c r="EV266" s="140">
        <f>'Detailed Budget'!$AC$217</f>
        <v>5559936386.0502758</v>
      </c>
      <c r="EW266" s="269">
        <f t="shared" si="745"/>
        <v>4413069.9153892603</v>
      </c>
      <c r="EX266" s="269">
        <f t="shared" si="746"/>
        <v>22065349.576946303</v>
      </c>
      <c r="EY266" s="196">
        <f>'Detailed Budget'!$AC$219</f>
        <v>372777004.58170313</v>
      </c>
      <c r="EZ266" s="269">
        <f t="shared" si="747"/>
        <v>309746.3533771481</v>
      </c>
      <c r="FA266" s="196">
        <f>'Detailed Budget'!$AC$222</f>
        <v>93194251.145425782</v>
      </c>
      <c r="FB266" s="269">
        <f t="shared" si="748"/>
        <v>77436.588344287025</v>
      </c>
      <c r="FC266" s="269">
        <f t="shared" si="749"/>
        <v>387182.94172143511</v>
      </c>
      <c r="FD266" s="269"/>
      <c r="FE266" s="269"/>
      <c r="FF266" s="140"/>
      <c r="FG266" s="1087">
        <f t="shared" si="788"/>
        <v>0</v>
      </c>
      <c r="FJ266" s="140"/>
      <c r="FL266" s="269">
        <f t="shared" si="789"/>
        <v>0</v>
      </c>
      <c r="FO266" s="607"/>
      <c r="FP266" s="607"/>
      <c r="FQ266" s="607"/>
      <c r="FR266" s="269">
        <f>'Detailed Budget'!$AC$257</f>
        <v>13636439388</v>
      </c>
      <c r="FS266" s="269">
        <f t="shared" si="751"/>
        <v>7994688</v>
      </c>
      <c r="FT266" s="269">
        <f t="shared" si="790"/>
        <v>7994688</v>
      </c>
      <c r="FU266" s="269"/>
      <c r="FV266" s="269"/>
      <c r="FW266" s="269"/>
      <c r="FX266" s="140">
        <f>'Detailed Budget'!$AC$278</f>
        <v>1114560000</v>
      </c>
      <c r="FY266" s="269">
        <f t="shared" si="752"/>
        <v>1440000</v>
      </c>
      <c r="FZ266" s="269">
        <f t="shared" si="791"/>
        <v>1440000</v>
      </c>
      <c r="GB266" s="269">
        <f t="shared" si="799"/>
        <v>825432751.79869497</v>
      </c>
      <c r="GC266" s="887">
        <f t="shared" si="753"/>
        <v>515895.46987418435</v>
      </c>
      <c r="GD266" s="1078">
        <f t="shared" si="800"/>
        <v>4.6317630917115383E-4</v>
      </c>
    </row>
    <row r="267" spans="1:186" hidden="1" outlineLevel="1">
      <c r="A267" s="211" t="s">
        <v>688</v>
      </c>
      <c r="B267" s="212" t="s">
        <v>689</v>
      </c>
      <c r="C267" s="213" t="s">
        <v>215</v>
      </c>
      <c r="D267" s="214" t="s">
        <v>215</v>
      </c>
      <c r="E267" s="213"/>
      <c r="F267" s="213"/>
      <c r="G267" s="213"/>
      <c r="H267" s="213" t="s">
        <v>215</v>
      </c>
      <c r="I267" s="214" t="s">
        <v>215</v>
      </c>
      <c r="J267" s="214"/>
      <c r="K267" s="213" t="s">
        <v>215</v>
      </c>
      <c r="L267" s="213"/>
      <c r="M267" s="214"/>
      <c r="N267" s="213"/>
      <c r="O267" s="214"/>
      <c r="P267" s="213"/>
      <c r="Q267" s="214"/>
      <c r="R267" s="214" t="s">
        <v>215</v>
      </c>
      <c r="S267" s="214"/>
      <c r="T267" s="214"/>
      <c r="U267" s="215">
        <f t="shared" si="754"/>
        <v>6</v>
      </c>
      <c r="V267" s="845" t="s">
        <v>219</v>
      </c>
      <c r="W267" s="216">
        <v>125940</v>
      </c>
      <c r="X267" s="217">
        <v>3.53</v>
      </c>
      <c r="Y267" s="218">
        <f t="shared" si="640"/>
        <v>1.0352999999999999</v>
      </c>
      <c r="Z267" s="196">
        <v>19</v>
      </c>
      <c r="AA267" s="218">
        <f t="shared" si="641"/>
        <v>1.9331166712483931</v>
      </c>
      <c r="AB267" s="196">
        <f t="shared" si="712"/>
        <v>243456.71357702263</v>
      </c>
      <c r="AC267">
        <v>18.899999999999999</v>
      </c>
      <c r="AD267" s="196">
        <f t="shared" si="713"/>
        <v>46013.318866057278</v>
      </c>
      <c r="AE267" s="196">
        <f t="shared" si="644"/>
        <v>43712.652922754409</v>
      </c>
      <c r="AF267" s="196">
        <f t="shared" si="755"/>
        <v>43712.652922754409</v>
      </c>
      <c r="AG267" s="606">
        <f t="shared" si="756"/>
        <v>2.0210811690061074E-3</v>
      </c>
      <c r="AH267" s="196">
        <f t="shared" si="781"/>
        <v>12172.835678851132</v>
      </c>
      <c r="AI267" s="248">
        <f t="shared" si="715"/>
        <v>9.4301113639303879E-4</v>
      </c>
      <c r="AJ267" s="196">
        <f t="shared" si="757"/>
        <v>58186.154544908408</v>
      </c>
      <c r="AK267" s="196">
        <f t="shared" si="785"/>
        <v>9738.2685430809051</v>
      </c>
      <c r="AL267" s="196">
        <f t="shared" si="786"/>
        <v>9738.2685430809051</v>
      </c>
      <c r="AM267" s="196">
        <f t="shared" si="716"/>
        <v>19476.53708616181</v>
      </c>
      <c r="AN267" s="627">
        <f t="shared" si="717"/>
        <v>9.4301113639303879E-4</v>
      </c>
      <c r="AO267" s="196">
        <f t="shared" si="718"/>
        <v>9251.3551159268591</v>
      </c>
      <c r="AP267" s="589">
        <f t="shared" si="758"/>
        <v>9.4301113639303868E-4</v>
      </c>
      <c r="AQ267" s="196"/>
      <c r="AR267" s="589"/>
      <c r="AS267">
        <v>1</v>
      </c>
      <c r="AT267" s="589">
        <f t="shared" si="759"/>
        <v>1.2919896640826874E-3</v>
      </c>
      <c r="AU267" s="196">
        <v>10</v>
      </c>
      <c r="AV267" s="245">
        <f t="shared" si="719"/>
        <v>1.1362345188046814E-3</v>
      </c>
      <c r="AX267" s="245"/>
      <c r="AY267" s="245"/>
      <c r="AZ267" s="196">
        <v>18</v>
      </c>
      <c r="BA267" s="589">
        <f t="shared" si="793"/>
        <v>6.5955809607562931E-4</v>
      </c>
      <c r="BI267" s="196">
        <v>1</v>
      </c>
      <c r="BJ267" s="196">
        <f t="shared" si="760"/>
        <v>135253.75387753334</v>
      </c>
      <c r="BK267" s="246">
        <f t="shared" si="794"/>
        <v>2.5792074826926793E-3</v>
      </c>
      <c r="BL267" s="196">
        <f t="shared" si="782"/>
        <v>2705.0750775506667</v>
      </c>
      <c r="BM267" s="246">
        <f t="shared" si="795"/>
        <v>2.5792071875891296E-3</v>
      </c>
      <c r="BN267" s="196">
        <v>0</v>
      </c>
      <c r="BO267" s="196">
        <f t="shared" si="761"/>
        <v>14034.537824120229</v>
      </c>
      <c r="BP267" s="196">
        <f t="shared" si="762"/>
        <v>0</v>
      </c>
      <c r="BQ267" s="248">
        <f t="shared" si="796"/>
        <v>0</v>
      </c>
      <c r="BR267" s="248"/>
      <c r="BS267" s="248"/>
      <c r="BT267" s="276">
        <v>1</v>
      </c>
      <c r="BU267" s="196">
        <f t="shared" si="783"/>
        <v>34123.477271068077</v>
      </c>
      <c r="BV267" s="264">
        <f t="shared" si="797"/>
        <v>2.3668690187378435E-3</v>
      </c>
      <c r="BW267" s="196">
        <f t="shared" si="784"/>
        <v>145972.65277068014</v>
      </c>
      <c r="BX267" s="247">
        <f t="shared" si="798"/>
        <v>2.3668690400586909E-3</v>
      </c>
      <c r="BY267" s="196">
        <f t="shared" si="639"/>
        <v>180096.13004174823</v>
      </c>
      <c r="BZ267" s="620">
        <v>0</v>
      </c>
      <c r="CA267" s="196">
        <f t="shared" si="763"/>
        <v>74497.754354568926</v>
      </c>
      <c r="CB267" s="196">
        <f t="shared" si="764"/>
        <v>148995.50870913785</v>
      </c>
      <c r="CC267" s="196">
        <f t="shared" si="765"/>
        <v>223493.26306370678</v>
      </c>
      <c r="CD267" s="247">
        <f t="shared" si="720"/>
        <v>9.4301113639303879E-4</v>
      </c>
      <c r="CE267" s="196">
        <f t="shared" si="766"/>
        <v>30115.060858842728</v>
      </c>
      <c r="CF267" s="247">
        <f t="shared" si="721"/>
        <v>1.3004619840878326E-3</v>
      </c>
      <c r="CG267" s="196">
        <f t="shared" si="722"/>
        <v>37005.420463707436</v>
      </c>
      <c r="CH267" s="589">
        <f t="shared" si="767"/>
        <v>9.4301113639303868E-4</v>
      </c>
      <c r="CI267" s="196">
        <f t="shared" si="768"/>
        <v>86529.054097525062</v>
      </c>
      <c r="CJ267" s="248">
        <f t="shared" si="769"/>
        <v>1.4225374297235328E-3</v>
      </c>
      <c r="CK267" s="196">
        <f t="shared" si="770"/>
        <v>92190.862119888436</v>
      </c>
      <c r="CL267" s="589">
        <f t="shared" si="771"/>
        <v>1.3252626058247073E-3</v>
      </c>
      <c r="CM267" s="196">
        <f t="shared" si="772"/>
        <v>8930.996379970984</v>
      </c>
      <c r="CN267" s="589">
        <f t="shared" si="773"/>
        <v>1.2870580760111047E-3</v>
      </c>
      <c r="CO267" s="196">
        <f t="shared" si="774"/>
        <v>714.4601792514618</v>
      </c>
      <c r="CP267" s="589">
        <f t="shared" si="775"/>
        <v>1.3473618509417195E-3</v>
      </c>
      <c r="CQ267" s="196">
        <f>'Detailed Budget'!$AC$12</f>
        <v>292876014141.44696</v>
      </c>
      <c r="CR267" s="269">
        <f t="shared" si="724"/>
        <v>755388007.17482698</v>
      </c>
      <c r="CS267" s="269">
        <f>'Detailed Budget'!$AC$16</f>
        <v>10488008800.000002</v>
      </c>
      <c r="CT267" s="607">
        <f t="shared" si="725"/>
        <v>27050747.680458046</v>
      </c>
      <c r="CU267" s="269">
        <f>'Detailed Budget'!$AC$24</f>
        <v>30624985696</v>
      </c>
      <c r="CV267" s="269">
        <f t="shared" si="792"/>
        <v>78988192.264479473</v>
      </c>
      <c r="CW267" s="269"/>
      <c r="CX267" s="269">
        <f t="shared" si="776"/>
        <v>861426947.11976457</v>
      </c>
      <c r="CY267" s="196">
        <f>'Detailed Budget'!$AC$97</f>
        <v>74629165494.837845</v>
      </c>
      <c r="CZ267" s="269">
        <f t="shared" si="726"/>
        <v>0</v>
      </c>
      <c r="DA267" s="269">
        <f>'Detailed Budget'!$AC$100</f>
        <v>14925833098.967569</v>
      </c>
      <c r="DB267" s="269">
        <f t="shared" si="727"/>
        <v>0</v>
      </c>
      <c r="DC267" s="269">
        <f t="shared" si="728"/>
        <v>0</v>
      </c>
      <c r="DD267" s="207">
        <v>0</v>
      </c>
      <c r="DE267" s="606">
        <v>0</v>
      </c>
      <c r="DF267" s="269">
        <f>'Detailed Budget'!$AC$147</f>
        <v>5913600671000</v>
      </c>
      <c r="DG267" s="269">
        <f t="shared" si="787"/>
        <v>0</v>
      </c>
      <c r="DH267" s="269">
        <f>'Detailed Budget'!$AC$153</f>
        <v>226428026880.00003</v>
      </c>
      <c r="DI267" s="269"/>
      <c r="DJ267" s="269">
        <f>'Detailed Budget'!$AC$156</f>
        <v>27713070000</v>
      </c>
      <c r="DK267" s="269"/>
      <c r="DL267" s="269"/>
      <c r="DM267" s="196">
        <f>'Detailed Budget'!$AC$178</f>
        <v>5622683761.6229038</v>
      </c>
      <c r="DN267" s="269">
        <f t="shared" si="777"/>
        <v>13308155.997545609</v>
      </c>
      <c r="DO267" s="196">
        <f>'Detailed Budget'!$AC$179</f>
        <v>26827890683.128094</v>
      </c>
      <c r="DP267" s="269">
        <f t="shared" si="778"/>
        <v>63498103.867974892</v>
      </c>
      <c r="DQ267" s="269">
        <f t="shared" si="625"/>
        <v>76806259.865520507</v>
      </c>
      <c r="DR267" s="269">
        <f>'Detailed Budget'!$AC$181</f>
        <v>50888946855.375237</v>
      </c>
      <c r="DS267" s="269">
        <f t="shared" si="779"/>
        <v>102850692.19995145</v>
      </c>
      <c r="DT267" s="269">
        <f t="shared" si="780"/>
        <v>179656952.06547195</v>
      </c>
      <c r="DU267" s="272">
        <f>'Detailed Budget'!$AC$192</f>
        <v>77498869683.252869</v>
      </c>
      <c r="DV267" s="269">
        <f t="shared" si="729"/>
        <v>0</v>
      </c>
      <c r="DW267" s="140">
        <f>'Detailed Budget'!$AC$194</f>
        <v>2684962805.4134097</v>
      </c>
      <c r="DX267" s="269">
        <f t="shared" si="730"/>
        <v>0</v>
      </c>
      <c r="DY267" s="607">
        <f t="shared" si="731"/>
        <v>0</v>
      </c>
      <c r="DZ267" s="196">
        <f>'Detailed Budget'!$AC$198</f>
        <v>18732540018.380611</v>
      </c>
      <c r="EA267" s="269">
        <f t="shared" si="732"/>
        <v>24360956.159307975</v>
      </c>
      <c r="EB267" s="196">
        <f>'Detailed Budget'!$AC$200</f>
        <v>4683135004.5951529</v>
      </c>
      <c r="EC267" s="269">
        <f t="shared" si="733"/>
        <v>6090239.0398269938</v>
      </c>
      <c r="ED267" s="269">
        <f t="shared" si="734"/>
        <v>30451195.199134968</v>
      </c>
      <c r="EE267" s="196">
        <f>'Detailed Budget'!$AC$161</f>
        <v>251147290106.36197</v>
      </c>
      <c r="EF267" s="269">
        <f t="shared" si="735"/>
        <v>236834691.44523257</v>
      </c>
      <c r="EG267" s="196">
        <f>'Detailed Budget'!$AC$163</f>
        <v>15696705631.647623</v>
      </c>
      <c r="EH267" s="269">
        <f t="shared" si="736"/>
        <v>14802168.215327036</v>
      </c>
      <c r="EI267" s="269">
        <f t="shared" si="737"/>
        <v>251636859.66055959</v>
      </c>
      <c r="EJ267" s="196">
        <f>'Detailed Budget'!$AC$204</f>
        <v>45012172507.531975</v>
      </c>
      <c r="EK267" s="269">
        <f t="shared" si="738"/>
        <v>64031500.185136802</v>
      </c>
      <c r="EL267" s="201">
        <f>'Detailed Budget'!$AC$206</f>
        <v>11253043126.882994</v>
      </c>
      <c r="EM267" s="269">
        <f t="shared" si="739"/>
        <v>16007875.046284201</v>
      </c>
      <c r="EN267" s="269">
        <f t="shared" si="740"/>
        <v>80039375.231421009</v>
      </c>
      <c r="EO267" s="140">
        <f>'Detailed Budget'!$AC$209</f>
        <v>135789361677.54817</v>
      </c>
      <c r="EP267" s="269">
        <f t="shared" si="741"/>
        <v>179956563.30006114</v>
      </c>
      <c r="EQ267" s="196">
        <f>'Detailed Budget'!$AC$211</f>
        <v>33947340419.387043</v>
      </c>
      <c r="ER267" s="269">
        <f t="shared" si="742"/>
        <v>44989140.825015284</v>
      </c>
      <c r="ES267" s="269">
        <f t="shared" si="743"/>
        <v>224945704.12507641</v>
      </c>
      <c r="ET267" s="196">
        <f>'Detailed Budget'!$AC$214</f>
        <v>22239745544.201103</v>
      </c>
      <c r="EU267" s="269">
        <f t="shared" si="744"/>
        <v>28623844.11109601</v>
      </c>
      <c r="EV267" s="140">
        <f>'Detailed Budget'!$AC$217</f>
        <v>5559936386.0502758</v>
      </c>
      <c r="EW267" s="269">
        <f t="shared" si="745"/>
        <v>7155961.0277740024</v>
      </c>
      <c r="EX267" s="269">
        <f t="shared" si="746"/>
        <v>35779805.138870016</v>
      </c>
      <c r="EY267" s="196">
        <f>'Detailed Budget'!$AC$219</f>
        <v>372777004.58170313</v>
      </c>
      <c r="EZ267" s="269">
        <f t="shared" si="747"/>
        <v>502265.51488171337</v>
      </c>
      <c r="FA267" s="196">
        <f>'Detailed Budget'!$AC$222</f>
        <v>93194251.145425782</v>
      </c>
      <c r="FB267" s="269">
        <f t="shared" si="748"/>
        <v>125566.37872042834</v>
      </c>
      <c r="FC267" s="269">
        <f t="shared" si="749"/>
        <v>627831.89360214176</v>
      </c>
      <c r="FD267" s="269"/>
      <c r="FE267" s="269"/>
      <c r="FF267" s="140"/>
      <c r="FG267" s="1087">
        <f t="shared" si="788"/>
        <v>0</v>
      </c>
      <c r="FJ267" s="140"/>
      <c r="FL267" s="269">
        <f t="shared" si="789"/>
        <v>0</v>
      </c>
      <c r="FO267" s="607"/>
      <c r="FP267" s="607"/>
      <c r="FQ267" s="607"/>
      <c r="FR267" s="269">
        <f>'Detailed Budget'!$AC$257</f>
        <v>13636439388</v>
      </c>
      <c r="FS267" s="269">
        <f t="shared" si="751"/>
        <v>8994024</v>
      </c>
      <c r="FT267" s="269">
        <f t="shared" si="790"/>
        <v>8994024</v>
      </c>
      <c r="FU267" s="269"/>
      <c r="FV267" s="269"/>
      <c r="FW267" s="269"/>
      <c r="FX267" s="140">
        <f>'Detailed Budget'!$AC$278</f>
        <v>1114560000</v>
      </c>
      <c r="FY267" s="269">
        <f t="shared" si="752"/>
        <v>1440000</v>
      </c>
      <c r="FZ267" s="269">
        <f t="shared" si="791"/>
        <v>1440000</v>
      </c>
      <c r="GB267" s="269">
        <f t="shared" si="799"/>
        <v>1333605978.0449309</v>
      </c>
      <c r="GC267" s="887">
        <f t="shared" si="753"/>
        <v>833503.73627808178</v>
      </c>
      <c r="GD267" s="1078">
        <f t="shared" si="800"/>
        <v>7.4832830833695854E-4</v>
      </c>
    </row>
    <row r="268" spans="1:186" hidden="1" outlineLevel="1">
      <c r="A268" s="211" t="s">
        <v>690</v>
      </c>
      <c r="B268" s="212" t="s">
        <v>691</v>
      </c>
      <c r="C268" s="213" t="s">
        <v>215</v>
      </c>
      <c r="D268" s="214" t="s">
        <v>215</v>
      </c>
      <c r="E268" s="213"/>
      <c r="F268" s="213"/>
      <c r="G268" s="213"/>
      <c r="H268" s="213" t="s">
        <v>215</v>
      </c>
      <c r="I268" s="214" t="s">
        <v>215</v>
      </c>
      <c r="J268" s="214"/>
      <c r="K268" s="213" t="s">
        <v>215</v>
      </c>
      <c r="L268" s="213"/>
      <c r="M268" s="214"/>
      <c r="N268" s="213"/>
      <c r="O268" s="214"/>
      <c r="P268" s="213"/>
      <c r="Q268" s="214"/>
      <c r="R268" s="214" t="s">
        <v>215</v>
      </c>
      <c r="S268" s="214"/>
      <c r="T268" s="214"/>
      <c r="U268" s="215">
        <f t="shared" si="754"/>
        <v>6</v>
      </c>
      <c r="V268" s="845" t="s">
        <v>219</v>
      </c>
      <c r="W268" s="216">
        <v>110739</v>
      </c>
      <c r="X268" s="217">
        <v>3.53</v>
      </c>
      <c r="Y268" s="218">
        <f t="shared" si="640"/>
        <v>1.0352999999999999</v>
      </c>
      <c r="Z268" s="196">
        <v>19</v>
      </c>
      <c r="AA268" s="218">
        <f t="shared" si="641"/>
        <v>1.9331166712483931</v>
      </c>
      <c r="AB268" s="196">
        <f t="shared" si="712"/>
        <v>214071.40705737582</v>
      </c>
      <c r="AC268">
        <v>18.899999999999999</v>
      </c>
      <c r="AD268" s="196">
        <f t="shared" si="713"/>
        <v>40459.495933844031</v>
      </c>
      <c r="AE268" s="196">
        <f t="shared" si="644"/>
        <v>38436.521137151831</v>
      </c>
      <c r="AF268" s="196">
        <f t="shared" si="755"/>
        <v>38436.521137151831</v>
      </c>
      <c r="AG268" s="606">
        <f t="shared" si="756"/>
        <v>1.7771359978923881E-3</v>
      </c>
      <c r="AH268" s="196">
        <f t="shared" si="781"/>
        <v>10703.570352868792</v>
      </c>
      <c r="AI268" s="248">
        <f t="shared" si="715"/>
        <v>8.2918937774359804E-4</v>
      </c>
      <c r="AJ268" s="196">
        <f t="shared" si="757"/>
        <v>51163.066286712827</v>
      </c>
      <c r="AK268" s="196">
        <f t="shared" si="785"/>
        <v>8562.8562822950335</v>
      </c>
      <c r="AL268" s="196">
        <f t="shared" si="786"/>
        <v>8562.8562822950335</v>
      </c>
      <c r="AM268" s="196">
        <f t="shared" si="716"/>
        <v>17125.712564590067</v>
      </c>
      <c r="AN268" s="627">
        <f t="shared" si="717"/>
        <v>8.2918937774359804E-4</v>
      </c>
      <c r="AO268" s="196">
        <f t="shared" si="718"/>
        <v>8134.7134681802809</v>
      </c>
      <c r="AP268" s="589">
        <f t="shared" si="758"/>
        <v>8.2918937774359794E-4</v>
      </c>
      <c r="AQ268" s="196"/>
      <c r="AR268" s="589"/>
      <c r="AS268">
        <v>1</v>
      </c>
      <c r="AT268" s="589">
        <f t="shared" si="759"/>
        <v>1.2919896640826874E-3</v>
      </c>
      <c r="AU268" s="196">
        <v>10</v>
      </c>
      <c r="AV268" s="245">
        <f t="shared" si="719"/>
        <v>1.1362345188046814E-3</v>
      </c>
      <c r="AX268" s="245"/>
      <c r="AY268" s="245"/>
      <c r="AZ268" s="196">
        <v>27</v>
      </c>
      <c r="BA268" s="589">
        <f t="shared" si="793"/>
        <v>9.8933714411344391E-4</v>
      </c>
      <c r="BI268" s="196">
        <v>1</v>
      </c>
      <c r="BJ268" s="196">
        <f t="shared" si="760"/>
        <v>118928.58067845137</v>
      </c>
      <c r="BK268" s="246">
        <f t="shared" si="794"/>
        <v>2.2678962793862526E-3</v>
      </c>
      <c r="BL268" s="196">
        <f t="shared" si="782"/>
        <v>2378.5716135690272</v>
      </c>
      <c r="BM268" s="246">
        <f t="shared" si="795"/>
        <v>2.2678960199017995E-3</v>
      </c>
      <c r="BN268" s="196">
        <v>0</v>
      </c>
      <c r="BO268" s="196">
        <f t="shared" si="761"/>
        <v>12340.564428340878</v>
      </c>
      <c r="BP268" s="196">
        <f t="shared" si="762"/>
        <v>0</v>
      </c>
      <c r="BQ268" s="248">
        <f t="shared" si="796"/>
        <v>0</v>
      </c>
      <c r="BR268" s="248"/>
      <c r="BS268" s="248"/>
      <c r="BT268" s="276">
        <v>1</v>
      </c>
      <c r="BU268" s="196">
        <f t="shared" si="783"/>
        <v>30004.762184538733</v>
      </c>
      <c r="BV268" s="264">
        <f t="shared" si="797"/>
        <v>2.081187138843974E-3</v>
      </c>
      <c r="BW268" s="196">
        <f t="shared" si="784"/>
        <v>128353.70490052681</v>
      </c>
      <c r="BX268" s="247">
        <f t="shared" si="798"/>
        <v>2.0811871575913874E-3</v>
      </c>
      <c r="BY268" s="196">
        <f t="shared" si="639"/>
        <v>158358.46708506555</v>
      </c>
      <c r="BZ268" s="620">
        <v>0</v>
      </c>
      <c r="CA268" s="196">
        <f t="shared" si="763"/>
        <v>65505.850559557002</v>
      </c>
      <c r="CB268" s="196">
        <f t="shared" si="764"/>
        <v>131011.701119114</v>
      </c>
      <c r="CC268" s="196">
        <f t="shared" si="765"/>
        <v>196517.55167867101</v>
      </c>
      <c r="CD268" s="247">
        <f t="shared" si="720"/>
        <v>8.2918937774359804E-4</v>
      </c>
      <c r="CE268" s="196">
        <f t="shared" si="766"/>
        <v>26480.162970044348</v>
      </c>
      <c r="CF268" s="247">
        <f t="shared" si="721"/>
        <v>1.1434957889145825E-3</v>
      </c>
      <c r="CG268" s="196">
        <f t="shared" si="722"/>
        <v>32538.853872721123</v>
      </c>
      <c r="CH268" s="589">
        <f t="shared" si="767"/>
        <v>8.2918937774359794E-4</v>
      </c>
      <c r="CI268" s="196">
        <f t="shared" si="768"/>
        <v>76084.968411194437</v>
      </c>
      <c r="CJ268" s="248">
        <f t="shared" si="769"/>
        <v>1.2508366875508519E-3</v>
      </c>
      <c r="CK268" s="196">
        <f t="shared" si="770"/>
        <v>81063.394317090089</v>
      </c>
      <c r="CL268" s="589">
        <f t="shared" si="771"/>
        <v>1.1653029673370039E-3</v>
      </c>
      <c r="CM268" s="196">
        <f t="shared" si="772"/>
        <v>7853.0221384913993</v>
      </c>
      <c r="CN268" s="589">
        <f t="shared" si="773"/>
        <v>1.1317097370128135E-3</v>
      </c>
      <c r="CO268" s="196">
        <f t="shared" si="774"/>
        <v>628.22459734895688</v>
      </c>
      <c r="CP268" s="589">
        <f t="shared" si="775"/>
        <v>1.1847348261984682E-3</v>
      </c>
      <c r="CQ268" s="196">
        <f>'Detailed Budget'!$AC$12</f>
        <v>292876014141.44696</v>
      </c>
      <c r="CR268" s="269">
        <f t="shared" si="724"/>
        <v>664212422.79286301</v>
      </c>
      <c r="CS268" s="269">
        <f>'Detailed Budget'!$AC$16</f>
        <v>10488008800.000002</v>
      </c>
      <c r="CT268" s="607">
        <f t="shared" si="725"/>
        <v>23785713.414215054</v>
      </c>
      <c r="CU268" s="269">
        <f>'Detailed Budget'!$AC$24</f>
        <v>30624985696</v>
      </c>
      <c r="CV268" s="269">
        <f t="shared" si="792"/>
        <v>69454291.116215602</v>
      </c>
      <c r="CW268" s="269"/>
      <c r="CX268" s="269">
        <f t="shared" si="776"/>
        <v>757452427.32329369</v>
      </c>
      <c r="CY268" s="196">
        <f>'Detailed Budget'!$AC$97</f>
        <v>74629165494.837845</v>
      </c>
      <c r="CZ268" s="269">
        <f t="shared" si="726"/>
        <v>0</v>
      </c>
      <c r="DA268" s="269">
        <f>'Detailed Budget'!$AC$100</f>
        <v>14925833098.967569</v>
      </c>
      <c r="DB268" s="269">
        <f t="shared" si="727"/>
        <v>0</v>
      </c>
      <c r="DC268" s="269">
        <f t="shared" si="728"/>
        <v>0</v>
      </c>
      <c r="DD268" s="207">
        <v>0</v>
      </c>
      <c r="DE268" s="606">
        <v>0</v>
      </c>
      <c r="DF268" s="269">
        <f>'Detailed Budget'!$AC$147</f>
        <v>5913600671000</v>
      </c>
      <c r="DG268" s="269">
        <f t="shared" si="787"/>
        <v>0</v>
      </c>
      <c r="DH268" s="269">
        <f>'Detailed Budget'!$AC$153</f>
        <v>226428026880.00003</v>
      </c>
      <c r="DI268" s="269"/>
      <c r="DJ268" s="269">
        <f>'Detailed Budget'!$AC$156</f>
        <v>27713070000</v>
      </c>
      <c r="DK268" s="269"/>
      <c r="DL268" s="269"/>
      <c r="DM268" s="196">
        <f>'Detailed Budget'!$AC$178</f>
        <v>5622683761.6229038</v>
      </c>
      <c r="DN268" s="269">
        <f t="shared" si="777"/>
        <v>11701857.130476445</v>
      </c>
      <c r="DO268" s="196">
        <f>'Detailed Budget'!$AC$179</f>
        <v>26827890683.128094</v>
      </c>
      <c r="DP268" s="269">
        <f t="shared" si="778"/>
        <v>55833861.554991819</v>
      </c>
      <c r="DQ268" s="269">
        <f t="shared" si="625"/>
        <v>67535718.685468256</v>
      </c>
      <c r="DR268" s="269">
        <f>'Detailed Budget'!$AC$181</f>
        <v>50888946855.375237</v>
      </c>
      <c r="DS268" s="269">
        <f t="shared" si="779"/>
        <v>90436579.351519972</v>
      </c>
      <c r="DT268" s="269">
        <f t="shared" si="780"/>
        <v>157972298.03698823</v>
      </c>
      <c r="DU268" s="272">
        <f>'Detailed Budget'!$AC$192</f>
        <v>77498869683.252869</v>
      </c>
      <c r="DV268" s="269">
        <f t="shared" si="729"/>
        <v>0</v>
      </c>
      <c r="DW268" s="140">
        <f>'Detailed Budget'!$AC$194</f>
        <v>2684962805.4134097</v>
      </c>
      <c r="DX268" s="269">
        <f t="shared" si="730"/>
        <v>0</v>
      </c>
      <c r="DY268" s="607">
        <f t="shared" si="731"/>
        <v>0</v>
      </c>
      <c r="DZ268" s="196">
        <f>'Detailed Budget'!$AC$198</f>
        <v>18732540018.380611</v>
      </c>
      <c r="EA268" s="269">
        <f t="shared" si="732"/>
        <v>21420580.626692127</v>
      </c>
      <c r="EB268" s="196">
        <f>'Detailed Budget'!$AC$200</f>
        <v>4683135004.5951529</v>
      </c>
      <c r="EC268" s="269">
        <f t="shared" si="733"/>
        <v>5355145.1566730319</v>
      </c>
      <c r="ED268" s="269">
        <f t="shared" si="734"/>
        <v>26775725.78336516</v>
      </c>
      <c r="EE268" s="196">
        <f>'Detailed Budget'!$AC$161</f>
        <v>251147290106.36197</v>
      </c>
      <c r="EF268" s="269">
        <f t="shared" si="735"/>
        <v>208248665.20528516</v>
      </c>
      <c r="EG268" s="196">
        <f>'Detailed Budget'!$AC$163</f>
        <v>15696705631.647623</v>
      </c>
      <c r="EH268" s="269">
        <f t="shared" si="736"/>
        <v>13015541.575330323</v>
      </c>
      <c r="EI268" s="269">
        <f t="shared" si="737"/>
        <v>221264206.78061548</v>
      </c>
      <c r="EJ268" s="196">
        <f>'Detailed Budget'!$AC$204</f>
        <v>45012172507.531975</v>
      </c>
      <c r="EK268" s="269">
        <f t="shared" si="738"/>
        <v>56302876.758788817</v>
      </c>
      <c r="EL268" s="201">
        <f>'Detailed Budget'!$AC$206</f>
        <v>11253043126.882994</v>
      </c>
      <c r="EM268" s="269">
        <f t="shared" si="739"/>
        <v>14075719.189697204</v>
      </c>
      <c r="EN268" s="269">
        <f t="shared" si="740"/>
        <v>70378595.948486015</v>
      </c>
      <c r="EO268" s="140">
        <f>'Detailed Budget'!$AC$209</f>
        <v>135789361677.54817</v>
      </c>
      <c r="EP268" s="269">
        <f t="shared" si="741"/>
        <v>158235746.09564453</v>
      </c>
      <c r="EQ268" s="196">
        <f>'Detailed Budget'!$AC$211</f>
        <v>33947340419.387043</v>
      </c>
      <c r="ER268" s="269">
        <f t="shared" si="742"/>
        <v>39558936.523911133</v>
      </c>
      <c r="ES268" s="269">
        <f t="shared" si="743"/>
        <v>197794682.61955565</v>
      </c>
      <c r="ET268" s="196">
        <f>'Detailed Budget'!$AC$214</f>
        <v>22239745544.201103</v>
      </c>
      <c r="EU268" s="269">
        <f t="shared" si="744"/>
        <v>25168936.58105972</v>
      </c>
      <c r="EV268" s="140">
        <f>'Detailed Budget'!$AC$217</f>
        <v>5559936386.0502758</v>
      </c>
      <c r="EW268" s="269">
        <f t="shared" si="745"/>
        <v>6292234.1452649301</v>
      </c>
      <c r="EX268" s="269">
        <f t="shared" si="746"/>
        <v>31461170.726324651</v>
      </c>
      <c r="EY268" s="196">
        <f>'Detailed Budget'!$AC$219</f>
        <v>372777004.58170313</v>
      </c>
      <c r="EZ268" s="269">
        <f t="shared" si="747"/>
        <v>441641.89973388962</v>
      </c>
      <c r="FA268" s="196">
        <f>'Detailed Budget'!$AC$222</f>
        <v>93194251.145425782</v>
      </c>
      <c r="FB268" s="269">
        <f t="shared" si="748"/>
        <v>110410.4749334724</v>
      </c>
      <c r="FC268" s="269">
        <f t="shared" si="749"/>
        <v>552052.37466736208</v>
      </c>
      <c r="FD268" s="269"/>
      <c r="FE268" s="269"/>
      <c r="FF268" s="140"/>
      <c r="FG268" s="1087">
        <f t="shared" si="788"/>
        <v>0</v>
      </c>
      <c r="FJ268" s="140"/>
      <c r="FL268" s="269">
        <f t="shared" si="789"/>
        <v>0</v>
      </c>
      <c r="FO268" s="607"/>
      <c r="FP268" s="607"/>
      <c r="FQ268" s="607"/>
      <c r="FR268" s="269">
        <f>'Detailed Budget'!$AC$257</f>
        <v>13636439388</v>
      </c>
      <c r="FS268" s="269">
        <f t="shared" si="751"/>
        <v>13491035.999999998</v>
      </c>
      <c r="FT268" s="269">
        <f t="shared" si="790"/>
        <v>13491035.999999998</v>
      </c>
      <c r="FU268" s="269"/>
      <c r="FV268" s="269"/>
      <c r="FW268" s="269"/>
      <c r="FX268" s="140">
        <f>'Detailed Budget'!$AC$278</f>
        <v>1114560000</v>
      </c>
      <c r="FY268" s="269">
        <f t="shared" si="752"/>
        <v>1440000</v>
      </c>
      <c r="FZ268" s="269">
        <f t="shared" si="791"/>
        <v>1440000</v>
      </c>
      <c r="GB268" s="269">
        <f t="shared" si="799"/>
        <v>1178395693.9242625</v>
      </c>
      <c r="GC268" s="887">
        <f t="shared" si="753"/>
        <v>736497.3087026641</v>
      </c>
      <c r="GD268" s="1078">
        <f t="shared" si="800"/>
        <v>6.6123493048423471E-4</v>
      </c>
    </row>
    <row r="269" spans="1:186" collapsed="1">
      <c r="A269" s="220"/>
      <c r="B269" s="221"/>
      <c r="C269" s="222"/>
      <c r="D269" s="222"/>
      <c r="E269" s="222"/>
      <c r="F269" s="222"/>
      <c r="G269" s="222"/>
      <c r="H269" s="222"/>
      <c r="I269" s="222"/>
      <c r="J269" s="222"/>
      <c r="K269" s="222"/>
      <c r="L269" s="222"/>
      <c r="M269" s="222"/>
      <c r="N269" s="222"/>
      <c r="O269" s="222"/>
      <c r="P269" s="222"/>
      <c r="Q269" s="222"/>
      <c r="R269" s="222"/>
      <c r="S269" s="222"/>
      <c r="T269" s="222"/>
      <c r="U269" s="223"/>
      <c r="V269" s="845"/>
      <c r="X269" s="217"/>
      <c r="Y269" s="218"/>
      <c r="Z269" s="196"/>
      <c r="AA269" s="218"/>
      <c r="AG269" s="606"/>
      <c r="AJ269" s="196"/>
      <c r="AK269" s="196"/>
      <c r="AL269" s="196"/>
      <c r="AM269" s="196"/>
      <c r="AO269" s="196"/>
      <c r="AP269" s="589"/>
      <c r="AQ269" s="196"/>
      <c r="AR269" s="589"/>
      <c r="AS269"/>
      <c r="AT269" s="589"/>
      <c r="AV269" s="245"/>
      <c r="AX269" s="245"/>
      <c r="AY269" s="245"/>
      <c r="BA269" s="589">
        <f t="shared" si="793"/>
        <v>0</v>
      </c>
      <c r="BK269" s="246">
        <f t="shared" si="794"/>
        <v>0</v>
      </c>
      <c r="BL269" s="246"/>
      <c r="BM269" s="246">
        <f t="shared" si="795"/>
        <v>0</v>
      </c>
      <c r="BN269" s="196"/>
      <c r="BQ269" s="248"/>
      <c r="BR269" s="248"/>
      <c r="BS269" s="248"/>
      <c r="BT269" s="276"/>
      <c r="BV269" s="264">
        <f t="shared" si="797"/>
        <v>0</v>
      </c>
      <c r="BX269" s="247">
        <f t="shared" si="798"/>
        <v>0</v>
      </c>
      <c r="CA269" s="196"/>
      <c r="CB269" s="196"/>
      <c r="CC269" s="196"/>
      <c r="CD269" s="247"/>
      <c r="CF269" s="247"/>
      <c r="CG269" s="196"/>
      <c r="CH269" s="589"/>
      <c r="CI269" s="196"/>
      <c r="CJ269" s="248"/>
      <c r="CK269" s="196"/>
      <c r="CL269" s="589"/>
      <c r="CM269" s="196"/>
      <c r="CN269" s="589"/>
      <c r="CO269" s="196"/>
      <c r="CP269" s="589"/>
      <c r="CQ269" s="196"/>
      <c r="CR269" s="269">
        <f t="shared" si="724"/>
        <v>0</v>
      </c>
      <c r="CS269" s="269"/>
      <c r="CT269" s="607"/>
      <c r="CU269" s="269">
        <f>'Detailed Budget'!$AC$24</f>
        <v>30624985696</v>
      </c>
      <c r="CV269" s="269">
        <f t="shared" si="792"/>
        <v>0</v>
      </c>
      <c r="CW269" s="269"/>
      <c r="CX269" s="269"/>
      <c r="CY269" s="196"/>
      <c r="DC269" s="269"/>
      <c r="DD269" s="207"/>
      <c r="DE269" s="606">
        <v>0</v>
      </c>
      <c r="DF269" s="269">
        <f>'Detailed Budget'!$AC$147</f>
        <v>5913600671000</v>
      </c>
      <c r="DG269" s="269"/>
      <c r="DH269" s="269"/>
      <c r="DI269" s="269"/>
      <c r="DJ269" s="269"/>
      <c r="DK269" s="269"/>
      <c r="DL269" s="269"/>
      <c r="DM269" s="196"/>
      <c r="DN269" s="269"/>
      <c r="DO269" s="196"/>
      <c r="DP269" s="269"/>
      <c r="DQ269" s="269"/>
      <c r="DR269" s="269"/>
      <c r="DS269" s="269"/>
      <c r="DT269" s="269"/>
      <c r="DU269" s="272"/>
      <c r="DV269" s="269"/>
      <c r="DW269" s="140"/>
      <c r="DX269" s="269"/>
      <c r="DY269" s="607"/>
      <c r="DZ269" s="196"/>
      <c r="EA269" s="269"/>
      <c r="EB269" s="196"/>
      <c r="ED269" s="269"/>
      <c r="EE269" s="196"/>
      <c r="EG269" s="196"/>
      <c r="EI269" s="269"/>
      <c r="EJ269" s="196"/>
      <c r="EL269" s="201"/>
      <c r="EN269" s="269"/>
      <c r="EO269" s="140"/>
      <c r="EQ269" s="196"/>
      <c r="ES269" s="269"/>
      <c r="ET269" s="196"/>
      <c r="EV269" s="140"/>
      <c r="EX269" s="269"/>
      <c r="EY269" s="196"/>
      <c r="FA269" s="196"/>
      <c r="FC269" s="269"/>
      <c r="FD269" s="269"/>
      <c r="FE269" s="269"/>
      <c r="FF269" s="140"/>
      <c r="FG269" s="1087">
        <f t="shared" si="788"/>
        <v>0</v>
      </c>
      <c r="FJ269" s="140"/>
      <c r="FO269" s="607"/>
      <c r="FP269" s="607"/>
      <c r="FQ269" s="607"/>
      <c r="FT269" s="269"/>
      <c r="FU269" s="269"/>
      <c r="FV269" s="269"/>
      <c r="FW269" s="269"/>
      <c r="FX269" s="140">
        <f>'Detailed Budget'!$AC$278</f>
        <v>1114560000</v>
      </c>
      <c r="FY269" s="269"/>
      <c r="FZ269" s="269"/>
      <c r="GB269" s="269">
        <f t="shared" si="799"/>
        <v>0</v>
      </c>
      <c r="GD269" s="1078">
        <f t="shared" si="800"/>
        <v>0</v>
      </c>
    </row>
    <row r="270" spans="1:186" s="4" customFormat="1">
      <c r="A270" s="198">
        <v>3</v>
      </c>
      <c r="B270" s="199" t="s">
        <v>2274</v>
      </c>
      <c r="C270" s="197">
        <f t="shared" ref="C270:T270" si="801">C455+C430+C407+C371+C325+C300+C271</f>
        <v>186</v>
      </c>
      <c r="D270" s="197">
        <f t="shared" si="801"/>
        <v>159</v>
      </c>
      <c r="E270" s="197">
        <f t="shared" si="801"/>
        <v>0</v>
      </c>
      <c r="F270" s="197">
        <f t="shared" si="801"/>
        <v>0</v>
      </c>
      <c r="G270" s="197">
        <f t="shared" si="801"/>
        <v>0</v>
      </c>
      <c r="H270" s="197">
        <f t="shared" si="801"/>
        <v>186</v>
      </c>
      <c r="I270" s="197">
        <f t="shared" si="801"/>
        <v>171</v>
      </c>
      <c r="J270" s="197">
        <f t="shared" si="801"/>
        <v>15</v>
      </c>
      <c r="K270" s="197">
        <f t="shared" si="801"/>
        <v>168</v>
      </c>
      <c r="L270" s="197">
        <f t="shared" si="801"/>
        <v>15</v>
      </c>
      <c r="M270" s="197">
        <f t="shared" si="801"/>
        <v>3</v>
      </c>
      <c r="N270" s="197">
        <f t="shared" si="801"/>
        <v>0</v>
      </c>
      <c r="O270" s="197">
        <f t="shared" si="801"/>
        <v>0</v>
      </c>
      <c r="P270" s="197">
        <f t="shared" si="801"/>
        <v>0</v>
      </c>
      <c r="Q270" s="197">
        <f t="shared" si="801"/>
        <v>17</v>
      </c>
      <c r="R270" s="197">
        <f t="shared" si="801"/>
        <v>169</v>
      </c>
      <c r="S270" s="197">
        <f t="shared" si="801"/>
        <v>11</v>
      </c>
      <c r="T270" s="197">
        <f t="shared" si="801"/>
        <v>0</v>
      </c>
      <c r="U270" s="200">
        <f>SUM(C270:T270)</f>
        <v>1100</v>
      </c>
      <c r="V270" s="843"/>
      <c r="W270" s="201">
        <f>W271+W300+W325+W371+W407+W430+W455</f>
        <v>35915467</v>
      </c>
      <c r="X270" s="202">
        <f>AVERAGE(X271,X300,X325,X371,X407,X430,X455)</f>
        <v>3.1114285714285712</v>
      </c>
      <c r="Y270" s="239"/>
      <c r="Z270" s="201"/>
      <c r="AA270" s="239"/>
      <c r="AB270" s="201">
        <f>AB271+AB300+AB325+AB371+AB407+AB430+AB455</f>
        <v>64630150.587962806</v>
      </c>
      <c r="AC270" s="4">
        <v>19.899999999999999</v>
      </c>
      <c r="AD270" s="201">
        <f>AD271+AD300+AD325+AD371+AD407+AD430+AD455</f>
        <v>12842130.776701795</v>
      </c>
      <c r="AE270" s="201">
        <f t="shared" si="644"/>
        <v>12200024.237866705</v>
      </c>
      <c r="AF270" s="201">
        <f>AF271+AF300+AF325+AF371+AF407+AF430+AF455</f>
        <v>12200024.237866703</v>
      </c>
      <c r="AG270" s="606">
        <f t="shared" si="756"/>
        <v>0.56407556164899975</v>
      </c>
      <c r="AH270" s="201">
        <f>AH271+AH300+AH325+AH371+AH407+AH430+AH455</f>
        <v>3231507.529398141</v>
      </c>
      <c r="AI270" s="247">
        <f t="shared" si="715"/>
        <v>0.2503399920903237</v>
      </c>
      <c r="AJ270" s="201">
        <f>AJ271+AJ300+AJ325+AJ371+AJ407+AJ430+AJ455</f>
        <v>16073638.306099936</v>
      </c>
      <c r="AK270" s="201">
        <f t="shared" si="785"/>
        <v>2585206.0235185125</v>
      </c>
      <c r="AL270" s="201">
        <f t="shared" si="786"/>
        <v>2585206.0235185125</v>
      </c>
      <c r="AM270" s="201">
        <f t="shared" si="716"/>
        <v>5170412.047037025</v>
      </c>
      <c r="AN270" s="264">
        <f t="shared" si="717"/>
        <v>0.25033999209032365</v>
      </c>
      <c r="AO270" s="201">
        <f t="shared" si="718"/>
        <v>2455945.7223425866</v>
      </c>
      <c r="AP270" s="606">
        <f t="shared" si="758"/>
        <v>0.25033999209032365</v>
      </c>
      <c r="AQ270" s="201">
        <f>AQ271+AQ300+AQ325+AQ371+AQ407+AQ430+AQ455</f>
        <v>7</v>
      </c>
      <c r="AR270" s="606">
        <f>AQ270/37</f>
        <v>0.1891891891891892</v>
      </c>
      <c r="AS270" s="201">
        <f>AS271+AS300+AS325+AS371+AS407+AS430+AS455</f>
        <v>186</v>
      </c>
      <c r="AT270" s="606">
        <f t="shared" si="759"/>
        <v>0.24031007751937986</v>
      </c>
      <c r="AU270" s="201">
        <f>AU271+AU300+AU325+AU371+AU407+AU430+AU455</f>
        <v>2003</v>
      </c>
      <c r="AV270" s="246">
        <f t="shared" si="719"/>
        <v>0.22758777411657766</v>
      </c>
      <c r="AW270" s="201">
        <f>AW271+AW300+AW325+AW371+AW407+AW430+AW455</f>
        <v>221115</v>
      </c>
      <c r="AX270" s="201">
        <f t="shared" ref="AX270:AY270" si="802">AX271+AX300+AX325+AX371+AX407+AX430+AX455</f>
        <v>442.23</v>
      </c>
      <c r="AY270" s="201">
        <f t="shared" si="802"/>
        <v>44223</v>
      </c>
      <c r="AZ270" s="201">
        <f>AZ271+AZ300+AZ325+AZ371+AZ407+AZ430+AZ455</f>
        <v>7234</v>
      </c>
      <c r="BA270" s="606">
        <f t="shared" si="793"/>
        <v>0.26506907038950572</v>
      </c>
      <c r="BB270" s="201">
        <f>BB271+BB300+BB325+BB371+BB407+BB430+BB455</f>
        <v>216</v>
      </c>
      <c r="BC270" s="201">
        <f>BC271+BC300+BC325+BC371+BC407+BC430+BC455</f>
        <v>17</v>
      </c>
      <c r="BD270" s="201">
        <f>BD271+BD300+BD325+BD371+BD407+BD430+BD455</f>
        <v>233</v>
      </c>
      <c r="BE270" s="247">
        <f>BD270/1306</f>
        <v>0.17840735068912711</v>
      </c>
      <c r="BF270" s="201">
        <f>BF271+BF300+BF325+BF371+BF407+BF430+BF455</f>
        <v>7467</v>
      </c>
      <c r="BG270" s="606">
        <f>BF270/28597</f>
        <v>0.26111130538168337</v>
      </c>
      <c r="BH270" s="1083">
        <v>49.5</v>
      </c>
      <c r="BI270" s="201"/>
      <c r="BJ270" s="201">
        <f>BJ271+BJ300+BJ325+BJ371+BJ407+BJ430+BJ455</f>
        <v>29026716</v>
      </c>
      <c r="BK270" s="246">
        <f t="shared" si="794"/>
        <v>0.55352196119438801</v>
      </c>
      <c r="BL270" s="201">
        <f>BL271+BL300+BL325+BL371+BL407+BL430+BL455</f>
        <v>580534.32000000007</v>
      </c>
      <c r="BM270" s="246">
        <f t="shared" si="795"/>
        <v>0.55352189786241623</v>
      </c>
      <c r="BN270" s="201"/>
      <c r="BO270" s="201">
        <f>BO271+BO300+BO325+BO371+BO407+BO430+BO455</f>
        <v>4799463</v>
      </c>
      <c r="BP270" s="201">
        <f>BP271+BP300+BP325+BP371+BP407+BP430+BP455</f>
        <v>1141104.2165532631</v>
      </c>
      <c r="BQ270" s="247">
        <f t="shared" si="796"/>
        <v>0.10674498562378917</v>
      </c>
      <c r="BR270" s="201">
        <f>BR271+BR300+BR325+BR371+BR407+BR430+BR455</f>
        <v>530676</v>
      </c>
      <c r="BS270" s="247">
        <f>BR270/2211211</f>
        <v>0.23999337919357311</v>
      </c>
      <c r="BT270" s="272"/>
      <c r="BU270" s="201">
        <f>BU271+BU300+BU325+BU371+BU407+BU430+BU455</f>
        <v>8415521.4238332398</v>
      </c>
      <c r="BV270" s="264">
        <f t="shared" si="797"/>
        <v>0.58371650627421612</v>
      </c>
      <c r="BW270" s="201">
        <f>BW271+BW300+BW325+BW371+BW407+BW430+BW455</f>
        <v>35999730.535286643</v>
      </c>
      <c r="BX270" s="247">
        <f t="shared" si="798"/>
        <v>0.58371651153235682</v>
      </c>
      <c r="BY270" s="201">
        <f>BY271+BY300+BY325+BY371+BY407+BY430+BY455</f>
        <v>44415251.959119879</v>
      </c>
      <c r="CA270" s="201">
        <f>AK270*0.85*0.75*12</f>
        <v>19776826.079916619</v>
      </c>
      <c r="CB270" s="201">
        <f>AL270*0.85*0.75*2*12</f>
        <v>39553652.159833238</v>
      </c>
      <c r="CC270" s="201">
        <f t="shared" si="765"/>
        <v>59330478.239749856</v>
      </c>
      <c r="CD270" s="247">
        <f t="shared" si="720"/>
        <v>0.25033999209032365</v>
      </c>
      <c r="CE270" s="201">
        <f>CE271+CE300+CE325+CE371+CE407+CE430+CE455</f>
        <v>6190984.847670164</v>
      </c>
      <c r="CF270" s="247">
        <f t="shared" si="721"/>
        <v>0.26734597934889387</v>
      </c>
      <c r="CG270" s="201">
        <f t="shared" ref="CG270:CG301" si="803">AO270*4</f>
        <v>9823782.8893703464</v>
      </c>
      <c r="CH270" s="606">
        <f t="shared" si="767"/>
        <v>0.25033999209032365</v>
      </c>
      <c r="CI270" s="201">
        <f>CI271+CI300+CI325+CI371+CI407+CI430+CI455</f>
        <v>18845962.429065816</v>
      </c>
      <c r="CJ270" s="247">
        <f t="shared" si="769"/>
        <v>0.30982757449646453</v>
      </c>
      <c r="CK270" s="201">
        <f>CK271+CK300+CK325+CK371+CK407+CK430+CK455</f>
        <v>17192498.503018845</v>
      </c>
      <c r="CL270" s="606">
        <f t="shared" si="771"/>
        <v>0.24714570232696406</v>
      </c>
      <c r="CM270" s="201">
        <f>CM271+CM300+CM325+CM371+CM407+CM430+CM455</f>
        <v>1976259.2014643364</v>
      </c>
      <c r="CN270" s="606">
        <f t="shared" si="773"/>
        <v>0.28480141042719742</v>
      </c>
      <c r="CO270" s="201">
        <f>CO271+CO300+CO325+CO371+CO407+CO430+CO455</f>
        <v>133242.01164839751</v>
      </c>
      <c r="CP270" s="606">
        <f t="shared" si="775"/>
        <v>0.25127391092092932</v>
      </c>
      <c r="CQ270" s="201">
        <f>'Detailed Budget'!$AC$12</f>
        <v>292876014141.44696</v>
      </c>
      <c r="CR270" s="607">
        <f t="shared" si="724"/>
        <v>162113305734.36905</v>
      </c>
      <c r="CS270" s="607">
        <f>'Detailed Budget'!$AC$16</f>
        <v>10488008800.000002</v>
      </c>
      <c r="CT270" s="607">
        <f t="shared" ref="CT270:CT301" si="804">BM270*CS270</f>
        <v>5805342535.7737236</v>
      </c>
      <c r="CU270" s="607">
        <f>'Detailed Budget'!$AC$24</f>
        <v>30624985696</v>
      </c>
      <c r="CV270" s="607">
        <f t="shared" si="792"/>
        <v>16951602144</v>
      </c>
      <c r="CW270" s="607"/>
      <c r="CX270" s="607">
        <f t="shared" si="776"/>
        <v>184870250414.14276</v>
      </c>
      <c r="CY270" s="201">
        <f>'Detailed Budget'!$AC$97</f>
        <v>74629165494.837845</v>
      </c>
      <c r="CZ270" s="607">
        <f t="shared" ref="CZ270:CZ301" si="805">BQ270*CY270</f>
        <v>7966289197.8618488</v>
      </c>
      <c r="DA270" s="607">
        <f>'Detailed Budget'!$AC$100</f>
        <v>14925833098.967569</v>
      </c>
      <c r="DB270" s="607">
        <f t="shared" ref="DB270:DB301" si="806">BQ270*DA270</f>
        <v>1593257839.5723698</v>
      </c>
      <c r="DC270" s="607">
        <f t="shared" si="728"/>
        <v>9559547037.4342194</v>
      </c>
      <c r="DD270" s="201">
        <f>DD271+DD300+DD325+DD371+DD407+DD430+DD455</f>
        <v>11</v>
      </c>
      <c r="DE270" s="606">
        <v>0</v>
      </c>
      <c r="DF270" s="607">
        <f>'Detailed Budget'!$AC$147</f>
        <v>5913600671000</v>
      </c>
      <c r="DG270" s="607">
        <f t="shared" si="787"/>
        <v>0</v>
      </c>
      <c r="DH270" s="607">
        <f>'Detailed Budget'!$AC$153</f>
        <v>226428026880.00003</v>
      </c>
      <c r="DI270" s="607">
        <f>BS270*DH270</f>
        <v>54341227315.064415</v>
      </c>
      <c r="DJ270" s="607">
        <f>'Detailed Budget'!$AC$156</f>
        <v>27713070000</v>
      </c>
      <c r="DK270" s="607">
        <f>AT270*DJ270</f>
        <v>6659730000</v>
      </c>
      <c r="DL270" s="607">
        <f>DI270+DK270</f>
        <v>61000957315.064415</v>
      </c>
      <c r="DM270" s="201"/>
      <c r="DN270" s="201">
        <f>DN271+DN300+DN325+DN371+DN407+DN430+DN455</f>
        <v>3926065955.3259988</v>
      </c>
      <c r="DO270" s="201"/>
      <c r="DP270" s="201">
        <f>DP271+DP300+DP325+DP371+DP407+DP430+DP455</f>
        <v>18732703754.734138</v>
      </c>
      <c r="DQ270" s="201">
        <f>DQ271+DQ300+DQ325+DQ371+DQ407+DQ430+DQ455</f>
        <v>22658769710.060139</v>
      </c>
      <c r="DR270" s="607">
        <f>'Detailed Budget'!$AC$181</f>
        <v>50888946855.375237</v>
      </c>
      <c r="DS270" s="201">
        <f>DS271+DS300+DS325+DS371+DS407+DS430+DS455</f>
        <v>28705211279.171886</v>
      </c>
      <c r="DT270" s="201">
        <f>DT271+DT300+DT325+DT371+DT407+DT430+DT455</f>
        <v>51363980989.232018</v>
      </c>
      <c r="DU270" s="272">
        <f>'Detailed Budget'!$AC$192</f>
        <v>77498869683.252869</v>
      </c>
      <c r="DV270" s="607">
        <f t="shared" ref="DV270:DV301" si="807">BZ270*CD270*DU270</f>
        <v>0</v>
      </c>
      <c r="DW270" s="929">
        <f>'Detailed Budget'!$AC$194</f>
        <v>2684962805.4134097</v>
      </c>
      <c r="DX270" s="607">
        <f t="shared" ref="DX270:DX301" si="808">BZ270*AN270*DW270</f>
        <v>0</v>
      </c>
      <c r="DY270" s="607">
        <f t="shared" si="731"/>
        <v>0</v>
      </c>
      <c r="DZ270" s="201">
        <f>'Detailed Budget'!$AC$198</f>
        <v>18732540018.380611</v>
      </c>
      <c r="EA270" s="607">
        <f t="shared" ref="EA270:EA298" si="809">CF270*DZ270</f>
        <v>5008069256.906311</v>
      </c>
      <c r="EB270" s="201">
        <f>'Detailed Budget'!$AC$200</f>
        <v>4683135004.5951529</v>
      </c>
      <c r="EC270" s="607">
        <f t="shared" ref="EC270:EC301" si="810">CF270*EB270</f>
        <v>1252017314.2265778</v>
      </c>
      <c r="ED270" s="607">
        <f t="shared" si="734"/>
        <v>6260086571.1328888</v>
      </c>
      <c r="EE270" s="201">
        <f>'Detailed Budget'!$AC$161</f>
        <v>251147290106.36197</v>
      </c>
      <c r="EF270" s="607">
        <f t="shared" ref="EF270:EF301" si="811">CH270*EE270</f>
        <v>62872210618.732872</v>
      </c>
      <c r="EG270" s="201">
        <f>'Detailed Budget'!$AC$163</f>
        <v>15696705631.647623</v>
      </c>
      <c r="EH270" s="607">
        <f t="shared" ref="EH270:EH301" si="812">AP270*EG270</f>
        <v>3929513163.6708045</v>
      </c>
      <c r="EI270" s="607">
        <f t="shared" si="737"/>
        <v>66801723782.403679</v>
      </c>
      <c r="EJ270" s="201">
        <f>'Detailed Budget'!$AC$204</f>
        <v>45012172507.531975</v>
      </c>
      <c r="EK270" s="607">
        <f t="shared" ref="EK270:EK301" si="813">CJ270*EJ270</f>
        <v>13946012230.825075</v>
      </c>
      <c r="EL270" s="201">
        <f>'Detailed Budget'!$AC$206</f>
        <v>11253043126.882994</v>
      </c>
      <c r="EM270" s="607">
        <f t="shared" ref="EM270:EM301" si="814">CJ270*EL270</f>
        <v>3486503057.7062688</v>
      </c>
      <c r="EN270" s="607">
        <f t="shared" si="740"/>
        <v>17432515288.531345</v>
      </c>
      <c r="EO270" s="929">
        <f>'Detailed Budget'!$AC$209</f>
        <v>135789361677.54817</v>
      </c>
      <c r="EP270" s="607">
        <f t="shared" ref="EP270:EP301" si="815">CL270*EO270</f>
        <v>33559757160.327782</v>
      </c>
      <c r="EQ270" s="201">
        <f>'Detailed Budget'!$AC$211</f>
        <v>33947340419.387043</v>
      </c>
      <c r="ER270" s="607">
        <f t="shared" ref="ER270:ER301" si="816">CL270*EQ270</f>
        <v>8389939290.0819454</v>
      </c>
      <c r="ES270" s="607">
        <f t="shared" si="743"/>
        <v>41949696450.409729</v>
      </c>
      <c r="ET270" s="201">
        <f>'Detailed Budget'!$AC$214</f>
        <v>22239745544.201103</v>
      </c>
      <c r="EU270" s="607">
        <f t="shared" ref="EU270:EU301" si="817">CN270*ET270</f>
        <v>6333910898.5304537</v>
      </c>
      <c r="EV270" s="929">
        <f>'Detailed Budget'!$AC$217</f>
        <v>5559936386.0502758</v>
      </c>
      <c r="EW270" s="607">
        <f t="shared" ref="EW270:EW301" si="818">CN270*EV270</f>
        <v>1583477724.6326134</v>
      </c>
      <c r="EX270" s="607">
        <f t="shared" si="746"/>
        <v>7917388623.1630669</v>
      </c>
      <c r="EY270" s="201">
        <f>'Detailed Budget'!$AC$219</f>
        <v>372777004.58170313</v>
      </c>
      <c r="EZ270" s="607">
        <f t="shared" ref="EZ270:EZ301" si="819">CP270*EY270</f>
        <v>93669135.842633739</v>
      </c>
      <c r="FA270" s="201">
        <f>'Detailed Budget'!$AC$222</f>
        <v>93194251.145425782</v>
      </c>
      <c r="FB270" s="607">
        <f t="shared" ref="FB270:FB301" si="820">CP270*FA270</f>
        <v>23417283.960658435</v>
      </c>
      <c r="FC270" s="607">
        <f t="shared" si="749"/>
        <v>117086419.80329217</v>
      </c>
      <c r="FD270" s="607"/>
      <c r="FE270" s="607">
        <f t="shared" si="750"/>
        <v>67416686781.907433</v>
      </c>
      <c r="FF270" s="929">
        <f>'Detailed Budget'!$AC$165</f>
        <v>14927760000</v>
      </c>
      <c r="FG270" s="1087">
        <f t="shared" si="788"/>
        <v>91960823340.805176</v>
      </c>
      <c r="FH270" s="607">
        <f t="shared" ref="FH270:FH298" si="821">AV270*FF270</f>
        <v>3397375670.9464831</v>
      </c>
      <c r="FI270" s="607"/>
      <c r="FJ270" s="929">
        <f>'Detailed Budget'!$AC$235</f>
        <v>3623696172</v>
      </c>
      <c r="FK270" s="607">
        <f t="shared" ref="FK270:FK298" si="822">AT270*FJ270</f>
        <v>870810708</v>
      </c>
      <c r="FL270" s="607">
        <f t="shared" si="789"/>
        <v>870810708</v>
      </c>
      <c r="FM270" s="607"/>
      <c r="FN270" s="607">
        <f>'Detailed Budget'!$AC$251</f>
        <v>1047595800</v>
      </c>
      <c r="FO270" s="607">
        <f>AR270*FN270</f>
        <v>198193800</v>
      </c>
      <c r="FP270" s="607">
        <f>'Detailed Budget'!$AB$254</f>
        <v>2773297530</v>
      </c>
      <c r="FQ270" s="607">
        <f>BE270*FP270</f>
        <v>494776665</v>
      </c>
      <c r="FR270" s="607">
        <f>'Detailed Budget'!$AC$257</f>
        <v>13636439388</v>
      </c>
      <c r="FS270" s="607">
        <f t="shared" ref="FS270:FS298" si="823">BA270*FR270</f>
        <v>3614598312.0000005</v>
      </c>
      <c r="FT270" s="607">
        <f t="shared" si="790"/>
        <v>4307568777</v>
      </c>
      <c r="FU270" s="607"/>
      <c r="FV270" s="607">
        <f>'Detailed Budget'!$AC$265</f>
        <v>6277805540</v>
      </c>
      <c r="FW270" s="607">
        <f>AR270*FV270</f>
        <v>1187692940</v>
      </c>
      <c r="FX270" s="929">
        <f>'Detailed Budget'!$AC$278</f>
        <v>1114560000</v>
      </c>
      <c r="FY270" s="607">
        <f t="shared" ref="FY270:FY298" si="824">AT270*FX270</f>
        <v>267840000</v>
      </c>
      <c r="FZ270" s="607">
        <f t="shared" si="791"/>
        <v>1455532940</v>
      </c>
      <c r="GB270" s="269">
        <f t="shared" si="799"/>
        <v>549265344328.06903</v>
      </c>
      <c r="GC270" s="888">
        <f t="shared" si="753"/>
        <v>343290840.20504314</v>
      </c>
      <c r="GD270" s="1078">
        <f t="shared" si="800"/>
        <v>0.30821008057545823</v>
      </c>
    </row>
    <row r="271" spans="1:186" s="210" customFormat="1" collapsed="1">
      <c r="A271" s="203">
        <v>3.1</v>
      </c>
      <c r="B271" s="204" t="s">
        <v>692</v>
      </c>
      <c r="C271" s="205">
        <f t="shared" ref="C271:T271" si="825">COUNTA(C272:C298)</f>
        <v>27</v>
      </c>
      <c r="D271" s="205">
        <f t="shared" si="825"/>
        <v>0</v>
      </c>
      <c r="E271" s="205">
        <f t="shared" si="825"/>
        <v>0</v>
      </c>
      <c r="F271" s="205">
        <f t="shared" si="825"/>
        <v>0</v>
      </c>
      <c r="G271" s="205">
        <f t="shared" si="825"/>
        <v>0</v>
      </c>
      <c r="H271" s="205">
        <f t="shared" si="825"/>
        <v>27</v>
      </c>
      <c r="I271" s="205">
        <f t="shared" si="825"/>
        <v>27</v>
      </c>
      <c r="J271" s="205">
        <f t="shared" si="825"/>
        <v>0</v>
      </c>
      <c r="K271" s="205">
        <f t="shared" si="825"/>
        <v>27</v>
      </c>
      <c r="L271" s="205">
        <f t="shared" si="825"/>
        <v>0</v>
      </c>
      <c r="M271" s="205">
        <f t="shared" si="825"/>
        <v>0</v>
      </c>
      <c r="N271" s="205">
        <f t="shared" si="825"/>
        <v>0</v>
      </c>
      <c r="O271" s="205">
        <f t="shared" si="825"/>
        <v>0</v>
      </c>
      <c r="P271" s="205">
        <f t="shared" si="825"/>
        <v>0</v>
      </c>
      <c r="Q271" s="205">
        <f t="shared" si="825"/>
        <v>0</v>
      </c>
      <c r="R271" s="205">
        <f t="shared" si="825"/>
        <v>27</v>
      </c>
      <c r="S271" s="205">
        <f t="shared" si="825"/>
        <v>3</v>
      </c>
      <c r="T271" s="205">
        <f t="shared" si="825"/>
        <v>0</v>
      </c>
      <c r="U271" s="206">
        <f>SUM(C271:T271)</f>
        <v>138</v>
      </c>
      <c r="V271" s="844"/>
      <c r="W271" s="207">
        <f>SUM(W272:W298)</f>
        <v>4361002</v>
      </c>
      <c r="X271" s="208">
        <v>2.91</v>
      </c>
      <c r="Y271" s="209">
        <f t="shared" ref="Y271:Y336" si="826">1+X271/100</f>
        <v>1.0290999999999999</v>
      </c>
      <c r="Z271" s="207">
        <v>19</v>
      </c>
      <c r="AA271" s="209">
        <f t="shared" ref="AA271:AA336" si="827">POWER(Y271,Z271)</f>
        <v>1.7246222540408234</v>
      </c>
      <c r="AB271" s="207">
        <f t="shared" ref="AB271:AB303" si="828">W271*AA271</f>
        <v>7521081.0991165387</v>
      </c>
      <c r="AC271" s="210">
        <v>20.100000000000001</v>
      </c>
      <c r="AD271" s="207">
        <f t="shared" ref="AD271:AD303" si="829">AB271*AC271/100</f>
        <v>1511737.3009224245</v>
      </c>
      <c r="AE271" s="207">
        <f t="shared" si="644"/>
        <v>1436150.4358763034</v>
      </c>
      <c r="AF271" s="207">
        <f>SUM(AF272:AF298)</f>
        <v>1436150.4358763029</v>
      </c>
      <c r="AG271" s="588">
        <f t="shared" si="756"/>
        <v>6.6401291336371571E-2</v>
      </c>
      <c r="AH271" s="207">
        <f>SUM(AH272:AH298)</f>
        <v>376054.0549558269</v>
      </c>
      <c r="AI271" s="633">
        <f t="shared" si="715"/>
        <v>2.9132337859880963E-2</v>
      </c>
      <c r="AJ271" s="207">
        <f>SUM(AJ272:AJ298)</f>
        <v>1887791.3558782511</v>
      </c>
      <c r="AK271" s="207">
        <f t="shared" si="785"/>
        <v>300843.24396466155</v>
      </c>
      <c r="AL271" s="207">
        <f t="shared" si="786"/>
        <v>300843.24396466155</v>
      </c>
      <c r="AM271" s="207">
        <f t="shared" si="716"/>
        <v>601686.48792932311</v>
      </c>
      <c r="AN271" s="632">
        <f t="shared" si="717"/>
        <v>2.9132337859880966E-2</v>
      </c>
      <c r="AO271" s="207">
        <f t="shared" si="718"/>
        <v>285801.08176642848</v>
      </c>
      <c r="AP271" s="588">
        <f t="shared" si="758"/>
        <v>2.9132337859880966E-2</v>
      </c>
      <c r="AQ271" s="207">
        <v>1</v>
      </c>
      <c r="AR271" s="588">
        <f>AQ271/37</f>
        <v>2.7027027027027029E-2</v>
      </c>
      <c r="AS271" s="207">
        <f>SUM(AS272:AS298)</f>
        <v>27</v>
      </c>
      <c r="AT271" s="588">
        <f t="shared" si="759"/>
        <v>3.4883720930232558E-2</v>
      </c>
      <c r="AU271" s="207">
        <f>SUM(AU272:AU298)</f>
        <v>287</v>
      </c>
      <c r="AV271" s="892">
        <f t="shared" si="719"/>
        <v>3.2609930689694352E-2</v>
      </c>
      <c r="AW271" s="207">
        <v>22600</v>
      </c>
      <c r="AX271" s="208">
        <f>AW271*0.002</f>
        <v>45.2</v>
      </c>
      <c r="AY271" s="207">
        <f>AX271*100</f>
        <v>4520</v>
      </c>
      <c r="AZ271" s="207">
        <f>SUM(AZ272:AZ298)</f>
        <v>773</v>
      </c>
      <c r="BA271" s="588">
        <f t="shared" si="793"/>
        <v>2.8324356014803414E-2</v>
      </c>
      <c r="BB271" s="207">
        <v>22</v>
      </c>
      <c r="BC271" s="207">
        <v>1</v>
      </c>
      <c r="BD271" s="207">
        <f>BB271+BC271</f>
        <v>23</v>
      </c>
      <c r="BE271" s="633">
        <f>BD271/1306</f>
        <v>1.761102603369066E-2</v>
      </c>
      <c r="BF271" s="207">
        <f>AZ271+BD271</f>
        <v>796</v>
      </c>
      <c r="BG271" s="588">
        <f>BF271/28597</f>
        <v>2.7835087596601041E-2</v>
      </c>
      <c r="BH271" s="1084">
        <v>49.4</v>
      </c>
      <c r="BI271" s="207"/>
      <c r="BJ271" s="207"/>
      <c r="BK271" s="892">
        <f t="shared" si="794"/>
        <v>0</v>
      </c>
      <c r="BL271" s="892"/>
      <c r="BM271" s="892">
        <f t="shared" si="795"/>
        <v>0</v>
      </c>
      <c r="BN271" s="207"/>
      <c r="BO271" s="207">
        <v>638542</v>
      </c>
      <c r="BP271" s="207">
        <f>SUM(BP272:BP298)</f>
        <v>638542.1203751954</v>
      </c>
      <c r="BQ271" s="633">
        <f t="shared" si="796"/>
        <v>5.9732641831362947E-2</v>
      </c>
      <c r="BR271" s="207">
        <f>AY271*0.5*24</f>
        <v>54240</v>
      </c>
      <c r="BS271" s="633">
        <f>BR271/2211211</f>
        <v>2.4529545122559539E-2</v>
      </c>
      <c r="BT271" s="634"/>
      <c r="BU271" s="207">
        <f>SUM(BU272:BU298)</f>
        <v>1262602.9937304088</v>
      </c>
      <c r="BV271" s="264">
        <f t="shared" si="797"/>
        <v>8.7576535213189255E-2</v>
      </c>
      <c r="BW271" s="207">
        <f>SUM(BW272:BW298)</f>
        <v>5401135.0287356386</v>
      </c>
      <c r="BX271" s="247">
        <f t="shared" si="798"/>
        <v>8.7576536002082039E-2</v>
      </c>
      <c r="BY271" s="207">
        <f>SUM(BY272:BY298)</f>
        <v>6663738.0224660467</v>
      </c>
      <c r="CA271" s="207">
        <f>SUM(CA272:CA298)</f>
        <v>2301450.8163296604</v>
      </c>
      <c r="CB271" s="207">
        <f>SUM(CB272:CB298)</f>
        <v>4602901.6326593207</v>
      </c>
      <c r="CC271" s="207">
        <f>SUM(CC272:CC298)</f>
        <v>6904352.4489889825</v>
      </c>
      <c r="CD271" s="633">
        <f t="shared" si="720"/>
        <v>2.9132337859880963E-2</v>
      </c>
      <c r="CE271" s="207">
        <f>SUM(CE272:CE298)</f>
        <v>904530.13218631921</v>
      </c>
      <c r="CF271" s="633">
        <f t="shared" si="721"/>
        <v>3.9060424147369759E-2</v>
      </c>
      <c r="CG271" s="207">
        <f t="shared" si="803"/>
        <v>1143204.3270657139</v>
      </c>
      <c r="CH271" s="588">
        <f t="shared" si="767"/>
        <v>2.9132337859880966E-2</v>
      </c>
      <c r="CI271" s="207">
        <f>SUM(CI272:CI298)</f>
        <v>1874521.373137262</v>
      </c>
      <c r="CJ271" s="633">
        <f t="shared" si="769"/>
        <v>3.0817126616212238E-2</v>
      </c>
      <c r="CK271" s="207">
        <f>SUM(CK272:CK298)</f>
        <v>2282087.454266286</v>
      </c>
      <c r="CL271" s="588">
        <f t="shared" si="771"/>
        <v>3.2805476560440597E-2</v>
      </c>
      <c r="CM271" s="207">
        <f>SUM(CM272:CM298)</f>
        <v>221077.04400701105</v>
      </c>
      <c r="CN271" s="588">
        <f t="shared" si="773"/>
        <v>3.1859714504868089E-2</v>
      </c>
      <c r="CO271" s="207">
        <f>SUM(CO272:CO298)</f>
        <v>17686.003520529033</v>
      </c>
      <c r="CP271" s="588">
        <f t="shared" si="775"/>
        <v>3.335307849367871E-2</v>
      </c>
      <c r="CQ271" s="207">
        <f>'Detailed Budget'!$AC$12</f>
        <v>292876014141.44696</v>
      </c>
      <c r="CR271" s="605">
        <f t="shared" si="724"/>
        <v>0</v>
      </c>
      <c r="CS271" s="605">
        <f>'Detailed Budget'!$AC$16</f>
        <v>10488008800.000002</v>
      </c>
      <c r="CT271" s="605">
        <f t="shared" si="804"/>
        <v>0</v>
      </c>
      <c r="CU271" s="605">
        <f>'Detailed Budget'!$AC$24</f>
        <v>30624985696</v>
      </c>
      <c r="CV271" s="605">
        <f t="shared" si="792"/>
        <v>0</v>
      </c>
      <c r="CW271" s="605"/>
      <c r="CX271" s="605">
        <f t="shared" si="776"/>
        <v>0</v>
      </c>
      <c r="CY271" s="207">
        <f>'Detailed Budget'!$AC$97</f>
        <v>74629165494.837845</v>
      </c>
      <c r="CZ271" s="605">
        <f t="shared" si="805"/>
        <v>4457797212.6766596</v>
      </c>
      <c r="DA271" s="605">
        <f>'Detailed Budget'!$AC$100</f>
        <v>14925833098.967569</v>
      </c>
      <c r="DB271" s="605">
        <f t="shared" si="806"/>
        <v>891559442.53533185</v>
      </c>
      <c r="DC271" s="605">
        <f t="shared" si="728"/>
        <v>5349356655.2119913</v>
      </c>
      <c r="DD271" s="207">
        <f>SUM(DD272:DD298)</f>
        <v>3</v>
      </c>
      <c r="DE271" s="606">
        <v>0</v>
      </c>
      <c r="DF271" s="605">
        <f>'Detailed Budget'!$AC$147</f>
        <v>5913600671000</v>
      </c>
      <c r="DG271" s="605">
        <f t="shared" si="787"/>
        <v>0</v>
      </c>
      <c r="DH271" s="605">
        <f>'Detailed Budget'!$AC$153</f>
        <v>226428026880.00003</v>
      </c>
      <c r="DI271" s="605">
        <f>BS271*DH271</f>
        <v>5554176502.3650846</v>
      </c>
      <c r="DJ271" s="605">
        <f>'Detailed Budget'!$AC$156</f>
        <v>27713070000</v>
      </c>
      <c r="DK271" s="605">
        <f>AT271*DJ271</f>
        <v>966735000</v>
      </c>
      <c r="DL271" s="605">
        <f>DI271+DK271</f>
        <v>6520911502.3650846</v>
      </c>
      <c r="DM271" s="207"/>
      <c r="DN271" s="605">
        <f>SUM(DN272:DN298)</f>
        <v>492415162.44239563</v>
      </c>
      <c r="DO271" s="605"/>
      <c r="DP271" s="605">
        <f>SUM(DP272:DP298)</f>
        <v>2349493734.2708888</v>
      </c>
      <c r="DQ271" s="605">
        <f>SUM(DQ272:DQ298)</f>
        <v>2841908896.7132845</v>
      </c>
      <c r="DR271" s="605">
        <f>'Detailed Budget'!$AC$181</f>
        <v>50888946855.375237</v>
      </c>
      <c r="DS271" s="605">
        <f>SUM(DS272:DS298)</f>
        <v>3379091785.9449005</v>
      </c>
      <c r="DT271" s="605">
        <f>SUM(DT272:DT298)</f>
        <v>6221000682.6581841</v>
      </c>
      <c r="DU271" s="634">
        <f>'Detailed Budget'!$AC$192</f>
        <v>77498869683.252869</v>
      </c>
      <c r="DV271" s="605">
        <f t="shared" si="807"/>
        <v>0</v>
      </c>
      <c r="DW271" s="930">
        <f>'Detailed Budget'!$AC$194</f>
        <v>2684962805.4134097</v>
      </c>
      <c r="DX271" s="605">
        <f t="shared" si="808"/>
        <v>0</v>
      </c>
      <c r="DY271" s="605">
        <f t="shared" si="731"/>
        <v>0</v>
      </c>
      <c r="DZ271" s="207">
        <f>'Detailed Budget'!$AC$198</f>
        <v>18732540018.380611</v>
      </c>
      <c r="EA271" s="605">
        <f t="shared" si="809"/>
        <v>731700958.47552443</v>
      </c>
      <c r="EB271" s="207">
        <f>'Detailed Budget'!$AC$200</f>
        <v>4683135004.5951529</v>
      </c>
      <c r="EC271" s="605">
        <f t="shared" si="810"/>
        <v>182925239.61888111</v>
      </c>
      <c r="ED271" s="605">
        <f t="shared" si="734"/>
        <v>914626198.09440553</v>
      </c>
      <c r="EE271" s="207">
        <f>'Detailed Budget'!$AC$161</f>
        <v>251147290106.36197</v>
      </c>
      <c r="EF271" s="605">
        <f t="shared" si="811"/>
        <v>7316507707.9720774</v>
      </c>
      <c r="EG271" s="207">
        <f>'Detailed Budget'!$AC$163</f>
        <v>15696705631.647623</v>
      </c>
      <c r="EH271" s="605">
        <f t="shared" si="812"/>
        <v>457281731.74825484</v>
      </c>
      <c r="EI271" s="605">
        <f t="shared" si="737"/>
        <v>7773789439.7203321</v>
      </c>
      <c r="EJ271" s="207">
        <f>'Detailed Budget'!$AC$204</f>
        <v>45012172507.531975</v>
      </c>
      <c r="EK271" s="605">
        <f t="shared" si="813"/>
        <v>1387145819.4354002</v>
      </c>
      <c r="EL271" s="207">
        <f>'Detailed Budget'!$AC$206</f>
        <v>11253043126.882994</v>
      </c>
      <c r="EM271" s="605">
        <f t="shared" si="814"/>
        <v>346786454.85885006</v>
      </c>
      <c r="EN271" s="605">
        <f t="shared" si="740"/>
        <v>1733932274.2942502</v>
      </c>
      <c r="EO271" s="930">
        <f>'Detailed Budget'!$AC$209</f>
        <v>135789361677.54817</v>
      </c>
      <c r="EP271" s="605">
        <f t="shared" si="815"/>
        <v>4454634721.6699972</v>
      </c>
      <c r="EQ271" s="207">
        <f>'Detailed Budget'!$AC$211</f>
        <v>33947340419.387043</v>
      </c>
      <c r="ER271" s="605">
        <f t="shared" si="816"/>
        <v>1113658680.4174993</v>
      </c>
      <c r="ES271" s="605">
        <f t="shared" si="743"/>
        <v>5568293402.0874968</v>
      </c>
      <c r="ET271" s="207">
        <f>'Detailed Budget'!$AC$214</f>
        <v>22239745544.201103</v>
      </c>
      <c r="EU271" s="605">
        <f t="shared" si="817"/>
        <v>708551943.69915938</v>
      </c>
      <c r="EV271" s="930">
        <f>'Detailed Budget'!$AC$217</f>
        <v>5559936386.0502758</v>
      </c>
      <c r="EW271" s="605">
        <f t="shared" si="818"/>
        <v>177137985.92478985</v>
      </c>
      <c r="EX271" s="605">
        <f t="shared" si="746"/>
        <v>885689929.62394929</v>
      </c>
      <c r="EY271" s="207">
        <f>'Detailed Budget'!$AC$219</f>
        <v>372777004.58170313</v>
      </c>
      <c r="EZ271" s="605">
        <f t="shared" si="819"/>
        <v>12433260.694451973</v>
      </c>
      <c r="FA271" s="207">
        <f>'Detailed Budget'!$AC$222</f>
        <v>93194251.145425782</v>
      </c>
      <c r="FB271" s="605">
        <f t="shared" si="820"/>
        <v>3108315.1736129932</v>
      </c>
      <c r="FC271" s="605">
        <f t="shared" si="749"/>
        <v>15541575.868064966</v>
      </c>
      <c r="FD271" s="605"/>
      <c r="FE271" s="605">
        <f t="shared" si="750"/>
        <v>8203457181.8737612</v>
      </c>
      <c r="FF271" s="930">
        <f>'Detailed Budget'!$AC$165</f>
        <v>14927760000</v>
      </c>
      <c r="FG271" s="1087">
        <f t="shared" si="788"/>
        <v>11190058614.51811</v>
      </c>
      <c r="FH271" s="605">
        <f t="shared" si="821"/>
        <v>486793218.95239174</v>
      </c>
      <c r="FI271" s="605"/>
      <c r="FJ271" s="930">
        <f>'Detailed Budget'!$AC$235</f>
        <v>3623696172</v>
      </c>
      <c r="FK271" s="605">
        <f t="shared" si="822"/>
        <v>126408006</v>
      </c>
      <c r="FL271" s="605">
        <f t="shared" si="789"/>
        <v>126408006</v>
      </c>
      <c r="FM271" s="605"/>
      <c r="FN271" s="605">
        <f>'Detailed Budget'!$AC$251</f>
        <v>1047595800</v>
      </c>
      <c r="FO271" s="605">
        <f>AR271*FN271</f>
        <v>28313400</v>
      </c>
      <c r="FP271" s="605">
        <f>'Detailed Budget'!$AB$254</f>
        <v>2773297530</v>
      </c>
      <c r="FQ271" s="605">
        <f>BE271*FP271</f>
        <v>48840615</v>
      </c>
      <c r="FR271" s="605">
        <f>'Detailed Budget'!$AC$257</f>
        <v>13636439388</v>
      </c>
      <c r="FS271" s="605">
        <f t="shared" si="823"/>
        <v>386243364</v>
      </c>
      <c r="FT271" s="605">
        <f t="shared" si="790"/>
        <v>463397379</v>
      </c>
      <c r="FU271" s="605"/>
      <c r="FV271" s="605">
        <f>'Detailed Budget'!$AC$265</f>
        <v>6277805540</v>
      </c>
      <c r="FW271" s="605">
        <f>AR271*FV271</f>
        <v>169670420</v>
      </c>
      <c r="FX271" s="930">
        <f>'Detailed Budget'!$AC$278</f>
        <v>1114560000</v>
      </c>
      <c r="FY271" s="605">
        <f t="shared" si="824"/>
        <v>38880000</v>
      </c>
      <c r="FZ271" s="605">
        <f t="shared" si="791"/>
        <v>208550420</v>
      </c>
      <c r="GB271" s="269">
        <f t="shared" si="799"/>
        <v>47458349298.394264</v>
      </c>
      <c r="GC271" s="889">
        <f t="shared" si="753"/>
        <v>29661468.311496414</v>
      </c>
      <c r="GD271" s="1078">
        <f t="shared" si="800"/>
        <v>2.6630374212176285E-2</v>
      </c>
    </row>
    <row r="272" spans="1:186" outlineLevel="1">
      <c r="A272" s="211" t="s">
        <v>693</v>
      </c>
      <c r="B272" s="212" t="s">
        <v>694</v>
      </c>
      <c r="C272" s="213" t="s">
        <v>215</v>
      </c>
      <c r="D272" s="214"/>
      <c r="E272" s="213"/>
      <c r="F272" s="213"/>
      <c r="G272" s="213"/>
      <c r="H272" s="213" t="s">
        <v>215</v>
      </c>
      <c r="I272" s="214" t="s">
        <v>215</v>
      </c>
      <c r="J272" s="214"/>
      <c r="K272" s="213" t="s">
        <v>215</v>
      </c>
      <c r="L272" s="213"/>
      <c r="M272" s="214"/>
      <c r="N272" s="213"/>
      <c r="O272" s="214"/>
      <c r="P272" s="213"/>
      <c r="Q272" s="214"/>
      <c r="R272" s="214" t="s">
        <v>215</v>
      </c>
      <c r="S272" s="214"/>
      <c r="T272" s="214"/>
      <c r="U272" s="215">
        <f t="shared" ref="U272:U298" si="830">COUNTA(C272:T272)</f>
        <v>5</v>
      </c>
      <c r="V272" s="845" t="s">
        <v>467</v>
      </c>
      <c r="W272" s="216">
        <v>132268</v>
      </c>
      <c r="X272" s="217">
        <v>2.91</v>
      </c>
      <c r="Y272" s="218">
        <f t="shared" si="826"/>
        <v>1.0290999999999999</v>
      </c>
      <c r="Z272" s="196">
        <v>19</v>
      </c>
      <c r="AA272" s="218">
        <f t="shared" si="827"/>
        <v>1.7246222540408234</v>
      </c>
      <c r="AB272" s="196">
        <f t="shared" si="828"/>
        <v>228112.33629747163</v>
      </c>
      <c r="AC272">
        <v>20.100000000000001</v>
      </c>
      <c r="AD272" s="196">
        <f t="shared" si="829"/>
        <v>45850.579595791802</v>
      </c>
      <c r="AE272" s="196">
        <f t="shared" si="644"/>
        <v>43558.050616002212</v>
      </c>
      <c r="AF272" s="196">
        <f t="shared" ref="AF272:AF299" si="831">AE272*BT272</f>
        <v>43558.050616002212</v>
      </c>
      <c r="AG272" s="606">
        <f t="shared" si="756"/>
        <v>2.0139330370587297E-3</v>
      </c>
      <c r="AH272" s="196">
        <f>AB272*0.05</f>
        <v>11405.616814873581</v>
      </c>
      <c r="AI272" s="248">
        <f t="shared" si="715"/>
        <v>8.8357585345082059E-4</v>
      </c>
      <c r="AJ272" s="196">
        <f t="shared" si="757"/>
        <v>57256.196410665383</v>
      </c>
      <c r="AK272" s="196">
        <f t="shared" si="785"/>
        <v>9124.4934518988648</v>
      </c>
      <c r="AL272" s="196">
        <f t="shared" si="786"/>
        <v>9124.4934518988648</v>
      </c>
      <c r="AM272" s="196">
        <f t="shared" si="716"/>
        <v>18248.98690379773</v>
      </c>
      <c r="AN272" s="627">
        <f t="shared" si="717"/>
        <v>8.8357585345082059E-4</v>
      </c>
      <c r="AO272" s="196">
        <f t="shared" si="718"/>
        <v>8668.2687793039222</v>
      </c>
      <c r="AP272" s="589">
        <f t="shared" si="758"/>
        <v>8.8357585345082059E-4</v>
      </c>
      <c r="AQ272" s="196"/>
      <c r="AR272" s="589"/>
      <c r="AS272">
        <v>1</v>
      </c>
      <c r="AT272" s="589">
        <f t="shared" si="759"/>
        <v>1.2919896640826874E-3</v>
      </c>
      <c r="AU272" s="196">
        <v>10</v>
      </c>
      <c r="AV272" s="245">
        <f t="shared" si="719"/>
        <v>1.1362345188046814E-3</v>
      </c>
      <c r="AX272" s="245"/>
      <c r="AY272" s="245"/>
      <c r="AZ272" s="196">
        <v>27</v>
      </c>
      <c r="BA272" s="589">
        <f t="shared" si="793"/>
        <v>9.8933714411344391E-4</v>
      </c>
      <c r="BI272" s="196">
        <v>0</v>
      </c>
      <c r="BK272" s="246">
        <f t="shared" si="794"/>
        <v>0</v>
      </c>
      <c r="BL272" s="246"/>
      <c r="BM272" s="246">
        <f t="shared" si="795"/>
        <v>0</v>
      </c>
      <c r="BN272" s="196">
        <v>1</v>
      </c>
      <c r="BO272" s="196">
        <f t="shared" ref="BO272:BO298" si="832">AJ272/1887791*638542</f>
        <v>19366.808173393714</v>
      </c>
      <c r="BP272" s="196">
        <f t="shared" si="762"/>
        <v>19366.808173393714</v>
      </c>
      <c r="BQ272" s="248">
        <f t="shared" si="796"/>
        <v>1.8116747182759176E-3</v>
      </c>
      <c r="BR272" s="248"/>
      <c r="BS272" s="248"/>
      <c r="BT272" s="276">
        <v>1</v>
      </c>
      <c r="BU272" s="196">
        <f>AD272*BT272*0.18*4*1.16</f>
        <v>38294.404078405307</v>
      </c>
      <c r="BV272" s="264">
        <f t="shared" si="797"/>
        <v>2.6561724024841342E-3</v>
      </c>
      <c r="BW272" s="196">
        <f>AD272*BT272*0.77*4*1.16</f>
        <v>163814.95077984495</v>
      </c>
      <c r="BX272" s="247">
        <f t="shared" si="798"/>
        <v>2.6561724264110372E-3</v>
      </c>
      <c r="BY272" s="196">
        <f t="shared" ref="BY272:BY335" si="833">BU272+BW272</f>
        <v>202109.35485825024</v>
      </c>
      <c r="BZ272" s="620">
        <v>0</v>
      </c>
      <c r="CA272" s="196">
        <f t="shared" ref="CA272:CA299" si="834">AK272*0.85*0.75*12</f>
        <v>69802.374907026329</v>
      </c>
      <c r="CB272" s="196">
        <f t="shared" ref="CB272:CB299" si="835">AL272*0.85*0.75*2*12</f>
        <v>139604.74981405266</v>
      </c>
      <c r="CC272" s="196">
        <f t="shared" si="765"/>
        <v>209407.12472107899</v>
      </c>
      <c r="CD272" s="247">
        <f t="shared" si="720"/>
        <v>8.835758534508207E-4</v>
      </c>
      <c r="CE272" s="196">
        <f t="shared" ref="CE272:CE298" si="836">AH272/376054*904530</f>
        <v>27434.151950404997</v>
      </c>
      <c r="CF272" s="247">
        <f t="shared" si="721"/>
        <v>1.1846919999404504E-3</v>
      </c>
      <c r="CG272" s="196">
        <f t="shared" si="803"/>
        <v>34673.075117215689</v>
      </c>
      <c r="CH272" s="589">
        <f t="shared" si="767"/>
        <v>8.8357585345082059E-4</v>
      </c>
      <c r="CI272" s="196">
        <f t="shared" ref="CI272:CI298" si="837">AD272/1511737*1874521</f>
        <v>56853.721457160369</v>
      </c>
      <c r="CJ272" s="248">
        <f t="shared" si="769"/>
        <v>9.3467503644189089E-4</v>
      </c>
      <c r="CK272" s="196">
        <f t="shared" ref="CK272:CK298" si="838">AD272/1511737*2282087</f>
        <v>69215.089422314675</v>
      </c>
      <c r="CL272" s="589">
        <f t="shared" si="771"/>
        <v>9.9498114738226615E-4</v>
      </c>
      <c r="CM272" s="196">
        <f t="shared" ref="CM272:CM298" si="839">AD272/1511737*221077</f>
        <v>6705.2063853030413</v>
      </c>
      <c r="CN272" s="589">
        <f t="shared" si="773"/>
        <v>9.6629644245287941E-4</v>
      </c>
      <c r="CO272" s="196">
        <f t="shared" ref="CO272:CO298" si="840">AD272/1511737*17686</f>
        <v>536.41165806696119</v>
      </c>
      <c r="CP272" s="589">
        <f t="shared" si="775"/>
        <v>1.0115897645086827E-3</v>
      </c>
      <c r="CQ272" s="196">
        <f>'Detailed Budget'!$AC$12</f>
        <v>292876014141.44696</v>
      </c>
      <c r="CR272" s="269">
        <f t="shared" si="724"/>
        <v>0</v>
      </c>
      <c r="CS272" s="269">
        <f>'Detailed Budget'!$AC$16</f>
        <v>10488008800.000002</v>
      </c>
      <c r="CT272" s="607">
        <f t="shared" si="804"/>
        <v>0</v>
      </c>
      <c r="CU272" s="269">
        <f>'Detailed Budget'!$AC$24</f>
        <v>30624985696</v>
      </c>
      <c r="CV272" s="269">
        <f t="shared" si="792"/>
        <v>0</v>
      </c>
      <c r="CW272" s="269"/>
      <c r="CX272" s="269">
        <f t="shared" si="776"/>
        <v>0</v>
      </c>
      <c r="CY272" s="196">
        <f>'Detailed Budget'!$AC$97</f>
        <v>74629165494.837845</v>
      </c>
      <c r="CZ272" s="269">
        <f t="shared" si="805"/>
        <v>135203772.37302718</v>
      </c>
      <c r="DA272" s="269">
        <f>'Detailed Budget'!$AC$100</f>
        <v>14925833098.967569</v>
      </c>
      <c r="DB272" s="269">
        <f t="shared" si="806"/>
        <v>27040754.474605437</v>
      </c>
      <c r="DC272" s="269">
        <f t="shared" si="728"/>
        <v>162244526.84763262</v>
      </c>
      <c r="DD272" s="207">
        <v>0</v>
      </c>
      <c r="DE272" s="606">
        <v>0</v>
      </c>
      <c r="DF272" s="269">
        <f>'Detailed Budget'!$AC$147</f>
        <v>5913600671000</v>
      </c>
      <c r="DG272" s="269">
        <f t="shared" si="787"/>
        <v>0</v>
      </c>
      <c r="DH272" s="269">
        <f>'Detailed Budget'!$AC$153</f>
        <v>226428026880.00003</v>
      </c>
      <c r="DI272" s="269"/>
      <c r="DJ272" s="269">
        <f>'Detailed Budget'!$AC$156</f>
        <v>27713070000</v>
      </c>
      <c r="DK272" s="269"/>
      <c r="DL272" s="269"/>
      <c r="DM272" s="196">
        <f>'Detailed Budget'!$AC$178</f>
        <v>5622683761.6229038</v>
      </c>
      <c r="DN272" s="269">
        <f t="shared" ref="DN272:DN298" si="841">BT272*BV272*DM272</f>
        <v>14934817.435518438</v>
      </c>
      <c r="DO272" s="196">
        <f>'Detailed Budget'!$AC$179</f>
        <v>26827890683.128094</v>
      </c>
      <c r="DP272" s="269">
        <f t="shared" ref="DP272:DP298" si="842">BT272*BX272*DO272</f>
        <v>71259503.491294399</v>
      </c>
      <c r="DQ272" s="269">
        <f t="shared" ref="DQ272:DQ298" si="843">DN272+DP272</f>
        <v>86194320.926812842</v>
      </c>
      <c r="DR272" s="269">
        <f>'Detailed Budget'!$AC$181</f>
        <v>50888946855.375237</v>
      </c>
      <c r="DS272" s="269">
        <f t="shared" ref="DS272:DS298" si="844">BT272*AG272*DR272</f>
        <v>102486931.29316615</v>
      </c>
      <c r="DT272" s="269">
        <f t="shared" ref="DT272:DT299" si="845">DQ272+DS272</f>
        <v>188681252.21997899</v>
      </c>
      <c r="DU272" s="272">
        <f>'Detailed Budget'!$AC$192</f>
        <v>77498869683.252869</v>
      </c>
      <c r="DV272" s="269">
        <f t="shared" si="807"/>
        <v>0</v>
      </c>
      <c r="DW272" s="140">
        <f>'Detailed Budget'!$AC$194</f>
        <v>2684962805.4134097</v>
      </c>
      <c r="DX272" s="269">
        <f t="shared" si="808"/>
        <v>0</v>
      </c>
      <c r="DY272" s="607">
        <f t="shared" si="731"/>
        <v>0</v>
      </c>
      <c r="DZ272" s="196">
        <f>'Detailed Budget'!$AC$198</f>
        <v>18732540018.380611</v>
      </c>
      <c r="EA272" s="269">
        <f t="shared" si="809"/>
        <v>22192290.298339847</v>
      </c>
      <c r="EB272" s="196">
        <f>'Detailed Budget'!$AC$200</f>
        <v>4683135004.5951529</v>
      </c>
      <c r="EC272" s="269">
        <f t="shared" si="810"/>
        <v>5548072.5745849619</v>
      </c>
      <c r="ED272" s="269">
        <f t="shared" si="734"/>
        <v>27740362.872924808</v>
      </c>
      <c r="EE272" s="196">
        <f>'Detailed Budget'!$AC$161</f>
        <v>251147290106.36197</v>
      </c>
      <c r="EF272" s="269">
        <f t="shared" si="811"/>
        <v>221907681.19758961</v>
      </c>
      <c r="EG272" s="196">
        <f>'Detailed Budget'!$AC$163</f>
        <v>15696705631.647623</v>
      </c>
      <c r="EH272" s="269">
        <f t="shared" si="812"/>
        <v>13869230.07484935</v>
      </c>
      <c r="EI272" s="269">
        <f t="shared" si="737"/>
        <v>235776911.27243894</v>
      </c>
      <c r="EJ272" s="196">
        <f>'Detailed Budget'!$AC$204</f>
        <v>45012172507.531975</v>
      </c>
      <c r="EK272" s="269">
        <f t="shared" si="813"/>
        <v>42071753.978806131</v>
      </c>
      <c r="EL272" s="201">
        <f>'Detailed Budget'!$AC$206</f>
        <v>11253043126.882994</v>
      </c>
      <c r="EM272" s="269">
        <f t="shared" si="814"/>
        <v>10517938.494701533</v>
      </c>
      <c r="EN272" s="269">
        <f t="shared" si="740"/>
        <v>52589692.473507665</v>
      </c>
      <c r="EO272" s="140">
        <f>'Detailed Budget'!$AC$209</f>
        <v>135789361677.54817</v>
      </c>
      <c r="EP272" s="269">
        <f t="shared" si="815"/>
        <v>135107854.8842324</v>
      </c>
      <c r="EQ272" s="196">
        <f>'Detailed Budget'!$AC$211</f>
        <v>33947340419.387043</v>
      </c>
      <c r="ER272" s="269">
        <f t="shared" si="816"/>
        <v>33776963.7210581</v>
      </c>
      <c r="ES272" s="269">
        <f t="shared" si="743"/>
        <v>168884818.6052905</v>
      </c>
      <c r="ET272" s="196">
        <f>'Detailed Budget'!$AC$214</f>
        <v>22239745544.201103</v>
      </c>
      <c r="EU272" s="269">
        <f t="shared" si="817"/>
        <v>21490187.000418801</v>
      </c>
      <c r="EV272" s="140">
        <f>'Detailed Budget'!$AC$217</f>
        <v>5559936386.0502758</v>
      </c>
      <c r="EW272" s="269">
        <f t="shared" si="818"/>
        <v>5372546.7501047002</v>
      </c>
      <c r="EX272" s="269">
        <f t="shared" si="746"/>
        <v>26862733.7505235</v>
      </c>
      <c r="EY272" s="196">
        <f>'Detailed Budget'!$AC$219</f>
        <v>372777004.58170313</v>
      </c>
      <c r="EZ272" s="269">
        <f t="shared" si="819"/>
        <v>377097.40227905719</v>
      </c>
      <c r="FA272" s="196">
        <f>'Detailed Budget'!$AC$222</f>
        <v>93194251.145425782</v>
      </c>
      <c r="FB272" s="269">
        <f t="shared" si="820"/>
        <v>94274.350569764298</v>
      </c>
      <c r="FC272" s="269">
        <f t="shared" si="749"/>
        <v>471371.75284882146</v>
      </c>
      <c r="FD272" s="269"/>
      <c r="FE272" s="269">
        <f t="shared" si="750"/>
        <v>248808616.58217052</v>
      </c>
      <c r="FF272" s="140">
        <f>'Detailed Budget'!$AC$165</f>
        <v>14927760000</v>
      </c>
      <c r="FG272" s="1087">
        <f t="shared" si="788"/>
        <v>339391422.61917824</v>
      </c>
      <c r="FH272" s="269">
        <f t="shared" si="821"/>
        <v>16961436.200431772</v>
      </c>
      <c r="FJ272" s="140">
        <f>'Detailed Budget'!$AC$235</f>
        <v>3623696172</v>
      </c>
      <c r="FK272" s="269">
        <f t="shared" si="822"/>
        <v>4681778</v>
      </c>
      <c r="FL272" s="269">
        <f t="shared" si="789"/>
        <v>4681778</v>
      </c>
      <c r="FO272" s="607"/>
      <c r="FP272" s="607"/>
      <c r="FQ272" s="607"/>
      <c r="FR272" s="269">
        <f>'Detailed Budget'!$AC$257</f>
        <v>13636439388</v>
      </c>
      <c r="FS272" s="269">
        <f t="shared" si="823"/>
        <v>13491035.999999998</v>
      </c>
      <c r="FT272" s="269">
        <f t="shared" si="790"/>
        <v>13491035.999999998</v>
      </c>
      <c r="FU272" s="269"/>
      <c r="FV272" s="269"/>
      <c r="FW272" s="269"/>
      <c r="FX272" s="140">
        <f>'Detailed Budget'!$AC$278</f>
        <v>1114560000</v>
      </c>
      <c r="FY272" s="269">
        <f t="shared" si="824"/>
        <v>1440000</v>
      </c>
      <c r="FZ272" s="269">
        <f t="shared" si="791"/>
        <v>1440000</v>
      </c>
      <c r="GB272" s="269">
        <f t="shared" si="799"/>
        <v>1239217342.6147559</v>
      </c>
      <c r="GC272" s="887">
        <f t="shared" si="753"/>
        <v>774510.83913422236</v>
      </c>
      <c r="GD272" s="1078">
        <f t="shared" si="800"/>
        <v>6.953638727836282E-4</v>
      </c>
    </row>
    <row r="273" spans="1:186" outlineLevel="1">
      <c r="A273" s="211" t="s">
        <v>695</v>
      </c>
      <c r="B273" s="212" t="s">
        <v>696</v>
      </c>
      <c r="C273" s="213" t="s">
        <v>215</v>
      </c>
      <c r="D273" s="214"/>
      <c r="E273" s="213"/>
      <c r="F273" s="213"/>
      <c r="G273" s="213"/>
      <c r="H273" s="213" t="s">
        <v>215</v>
      </c>
      <c r="I273" s="214" t="s">
        <v>215</v>
      </c>
      <c r="J273" s="214"/>
      <c r="K273" s="213" t="s">
        <v>215</v>
      </c>
      <c r="L273" s="213"/>
      <c r="M273" s="214"/>
      <c r="N273" s="213"/>
      <c r="O273" s="214"/>
      <c r="P273" s="213"/>
      <c r="Q273" s="214"/>
      <c r="R273" s="214" t="s">
        <v>215</v>
      </c>
      <c r="S273" s="214"/>
      <c r="T273" s="214"/>
      <c r="U273" s="215">
        <f t="shared" si="830"/>
        <v>5</v>
      </c>
      <c r="V273" s="845" t="s">
        <v>467</v>
      </c>
      <c r="W273" s="216">
        <v>212955</v>
      </c>
      <c r="X273" s="217">
        <v>2.91</v>
      </c>
      <c r="Y273" s="218">
        <f t="shared" si="826"/>
        <v>1.0290999999999999</v>
      </c>
      <c r="Z273" s="196">
        <v>19</v>
      </c>
      <c r="AA273" s="218">
        <f t="shared" si="827"/>
        <v>1.7246222540408234</v>
      </c>
      <c r="AB273" s="196">
        <f t="shared" si="828"/>
        <v>367266.93210926355</v>
      </c>
      <c r="AC273">
        <v>20.100000000000001</v>
      </c>
      <c r="AD273" s="196">
        <f t="shared" si="829"/>
        <v>73820.65335396197</v>
      </c>
      <c r="AE273" s="196">
        <f t="shared" si="644"/>
        <v>70129.620686263865</v>
      </c>
      <c r="AF273" s="196">
        <f t="shared" si="831"/>
        <v>70129.620686263865</v>
      </c>
      <c r="AG273" s="606">
        <f t="shared" si="756"/>
        <v>3.2424857857292896E-3</v>
      </c>
      <c r="AH273" s="196">
        <f t="shared" ref="AH273:AH298" si="846">AB273*0.05</f>
        <v>18363.346605463179</v>
      </c>
      <c r="AI273" s="248">
        <f t="shared" si="715"/>
        <v>1.4225806383374626E-3</v>
      </c>
      <c r="AJ273" s="196">
        <f t="shared" si="757"/>
        <v>92183.999959425157</v>
      </c>
      <c r="AK273" s="196">
        <f t="shared" si="785"/>
        <v>14690.677284370542</v>
      </c>
      <c r="AL273" s="196">
        <f t="shared" si="786"/>
        <v>14690.677284370542</v>
      </c>
      <c r="AM273" s="196">
        <f t="shared" si="716"/>
        <v>29381.354568741084</v>
      </c>
      <c r="AN273" s="627">
        <f t="shared" si="717"/>
        <v>1.4225806383374626E-3</v>
      </c>
      <c r="AO273" s="196">
        <f t="shared" si="718"/>
        <v>13956.143420152015</v>
      </c>
      <c r="AP273" s="589">
        <f t="shared" si="758"/>
        <v>1.4225806383374626E-3</v>
      </c>
      <c r="AQ273" s="196"/>
      <c r="AR273" s="589"/>
      <c r="AS273">
        <v>1</v>
      </c>
      <c r="AT273" s="589">
        <f t="shared" si="759"/>
        <v>1.2919896640826874E-3</v>
      </c>
      <c r="AU273" s="196">
        <v>11</v>
      </c>
      <c r="AV273" s="245">
        <f t="shared" si="719"/>
        <v>1.2498579706851495E-3</v>
      </c>
      <c r="AX273" s="245"/>
      <c r="AY273" s="245"/>
      <c r="AZ273" s="196">
        <v>29</v>
      </c>
      <c r="BA273" s="589">
        <f t="shared" si="793"/>
        <v>1.0626213770107361E-3</v>
      </c>
      <c r="BI273" s="196">
        <v>0</v>
      </c>
      <c r="BK273" s="246">
        <f t="shared" si="794"/>
        <v>0</v>
      </c>
      <c r="BL273" s="246"/>
      <c r="BM273" s="246">
        <f t="shared" si="795"/>
        <v>0</v>
      </c>
      <c r="BN273" s="196">
        <v>1</v>
      </c>
      <c r="BO273" s="196">
        <f t="shared" si="832"/>
        <v>31181.076560960009</v>
      </c>
      <c r="BP273" s="196">
        <f t="shared" si="762"/>
        <v>31181.076560960009</v>
      </c>
      <c r="BQ273" s="248">
        <f t="shared" si="796"/>
        <v>2.916844509862159E-3</v>
      </c>
      <c r="BR273" s="248"/>
      <c r="BS273" s="248"/>
      <c r="BT273" s="276">
        <v>1</v>
      </c>
      <c r="BU273" s="196">
        <f t="shared" ref="BU273:BU298" si="847">AD273*BT273*0.18*4*1.16</f>
        <v>61655.009681229029</v>
      </c>
      <c r="BV273" s="264">
        <f t="shared" si="797"/>
        <v>4.2765082557459757E-3</v>
      </c>
      <c r="BW273" s="196">
        <f t="shared" ref="BW273:BW298" si="848">AD273*BT273*0.77*4*1.16</f>
        <v>263746.4303030353</v>
      </c>
      <c r="BX273" s="247">
        <f t="shared" si="798"/>
        <v>4.2765082942689261E-3</v>
      </c>
      <c r="BY273" s="196">
        <f t="shared" si="833"/>
        <v>325401.43998426432</v>
      </c>
      <c r="BZ273" s="620">
        <v>0</v>
      </c>
      <c r="CA273" s="196">
        <f t="shared" si="834"/>
        <v>112383.68122543464</v>
      </c>
      <c r="CB273" s="196">
        <f t="shared" si="835"/>
        <v>224767.36245086929</v>
      </c>
      <c r="CC273" s="196">
        <f t="shared" si="765"/>
        <v>337151.04367630393</v>
      </c>
      <c r="CD273" s="247">
        <f t="shared" si="720"/>
        <v>1.4225806383374626E-3</v>
      </c>
      <c r="CE273" s="196">
        <f t="shared" si="836"/>
        <v>44169.714735223155</v>
      </c>
      <c r="CF273" s="247">
        <f t="shared" si="721"/>
        <v>1.9073856476798515E-3</v>
      </c>
      <c r="CG273" s="196">
        <f t="shared" si="803"/>
        <v>55824.57368060806</v>
      </c>
      <c r="CH273" s="589">
        <f t="shared" si="767"/>
        <v>1.4225806383374626E-3</v>
      </c>
      <c r="CI273" s="196">
        <f t="shared" si="837"/>
        <v>91536.004573363054</v>
      </c>
      <c r="CJ273" s="248">
        <f t="shared" si="769"/>
        <v>1.5048516828369888E-3</v>
      </c>
      <c r="CK273" s="196">
        <f t="shared" si="838"/>
        <v>111438.13596583466</v>
      </c>
      <c r="CL273" s="589">
        <f t="shared" si="771"/>
        <v>1.6019461263555087E-3</v>
      </c>
      <c r="CM273" s="196">
        <f t="shared" si="839"/>
        <v>10795.560723547713</v>
      </c>
      <c r="CN273" s="589">
        <f t="shared" si="773"/>
        <v>1.5557629880436151E-3</v>
      </c>
      <c r="CO273" s="196">
        <f t="shared" si="840"/>
        <v>863.63704481544823</v>
      </c>
      <c r="CP273" s="589">
        <f t="shared" si="775"/>
        <v>1.6286864419281044E-3</v>
      </c>
      <c r="CQ273" s="196">
        <f>'Detailed Budget'!$AC$12</f>
        <v>292876014141.44696</v>
      </c>
      <c r="CR273" s="269">
        <f t="shared" si="724"/>
        <v>0</v>
      </c>
      <c r="CS273" s="269">
        <f>'Detailed Budget'!$AC$16</f>
        <v>10488008800.000002</v>
      </c>
      <c r="CT273" s="607">
        <f t="shared" si="804"/>
        <v>0</v>
      </c>
      <c r="CU273" s="269">
        <f>'Detailed Budget'!$AC$24</f>
        <v>30624985696</v>
      </c>
      <c r="CV273" s="269">
        <f t="shared" si="792"/>
        <v>0</v>
      </c>
      <c r="CW273" s="269"/>
      <c r="CX273" s="269">
        <f t="shared" si="776"/>
        <v>0</v>
      </c>
      <c r="CY273" s="196">
        <f>'Detailed Budget'!$AC$97</f>
        <v>74629165494.837845</v>
      </c>
      <c r="CZ273" s="269">
        <f t="shared" si="805"/>
        <v>217681671.64921224</v>
      </c>
      <c r="DA273" s="269">
        <f>'Detailed Budget'!$AC$100</f>
        <v>14925833098.967569</v>
      </c>
      <c r="DB273" s="269">
        <f t="shared" si="806"/>
        <v>43536334.329842448</v>
      </c>
      <c r="DC273" s="269">
        <f t="shared" si="728"/>
        <v>261218005.97905469</v>
      </c>
      <c r="DD273" s="207">
        <v>0</v>
      </c>
      <c r="DE273" s="606">
        <v>0</v>
      </c>
      <c r="DF273" s="269">
        <f>'Detailed Budget'!$AC$147</f>
        <v>5913600671000</v>
      </c>
      <c r="DG273" s="269">
        <f t="shared" si="787"/>
        <v>0</v>
      </c>
      <c r="DH273" s="269">
        <f>'Detailed Budget'!$AC$153</f>
        <v>226428026880.00003</v>
      </c>
      <c r="DI273" s="269"/>
      <c r="DJ273" s="269">
        <f>'Detailed Budget'!$AC$156</f>
        <v>27713070000</v>
      </c>
      <c r="DK273" s="269"/>
      <c r="DL273" s="269"/>
      <c r="DM273" s="196">
        <f>'Detailed Budget'!$AC$178</f>
        <v>5622683761.6229038</v>
      </c>
      <c r="DN273" s="269">
        <f t="shared" si="841"/>
        <v>24045453.526029184</v>
      </c>
      <c r="DO273" s="196">
        <f>'Detailed Budget'!$AC$179</f>
        <v>26827890683.128094</v>
      </c>
      <c r="DP273" s="269">
        <f t="shared" si="842"/>
        <v>114729697.02413733</v>
      </c>
      <c r="DQ273" s="269">
        <f t="shared" si="843"/>
        <v>138775150.55016652</v>
      </c>
      <c r="DR273" s="269">
        <f>'Detailed Budget'!$AC$181</f>
        <v>50888946855.375237</v>
      </c>
      <c r="DS273" s="269">
        <f t="shared" si="844"/>
        <v>165006686.82928744</v>
      </c>
      <c r="DT273" s="269">
        <f t="shared" si="845"/>
        <v>303781837.37945396</v>
      </c>
      <c r="DU273" s="272">
        <f>'Detailed Budget'!$AC$192</f>
        <v>77498869683.252869</v>
      </c>
      <c r="DV273" s="269">
        <f t="shared" si="807"/>
        <v>0</v>
      </c>
      <c r="DW273" s="140">
        <f>'Detailed Budget'!$AC$194</f>
        <v>2684962805.4134097</v>
      </c>
      <c r="DX273" s="269">
        <f t="shared" si="808"/>
        <v>0</v>
      </c>
      <c r="DY273" s="607">
        <f t="shared" si="731"/>
        <v>0</v>
      </c>
      <c r="DZ273" s="196">
        <f>'Detailed Budget'!$AC$198</f>
        <v>18732540018.380611</v>
      </c>
      <c r="EA273" s="269">
        <f t="shared" si="809"/>
        <v>35730177.975647643</v>
      </c>
      <c r="EB273" s="196">
        <f>'Detailed Budget'!$AC$200</f>
        <v>4683135004.5951529</v>
      </c>
      <c r="EC273" s="269">
        <f t="shared" si="810"/>
        <v>8932544.4939119108</v>
      </c>
      <c r="ED273" s="269">
        <f t="shared" si="734"/>
        <v>44662722.46955955</v>
      </c>
      <c r="EE273" s="196">
        <f>'Detailed Budget'!$AC$161</f>
        <v>251147290106.36197</v>
      </c>
      <c r="EF273" s="269">
        <f t="shared" si="811"/>
        <v>357277272.2762323</v>
      </c>
      <c r="EG273" s="196">
        <f>'Detailed Budget'!$AC$163</f>
        <v>15696705631.647623</v>
      </c>
      <c r="EH273" s="269">
        <f t="shared" si="812"/>
        <v>22329829.517264519</v>
      </c>
      <c r="EI273" s="269">
        <f t="shared" si="737"/>
        <v>379607101.79349685</v>
      </c>
      <c r="EJ273" s="196">
        <f>'Detailed Budget'!$AC$204</f>
        <v>45012172507.531975</v>
      </c>
      <c r="EK273" s="269">
        <f t="shared" si="813"/>
        <v>67736643.546108335</v>
      </c>
      <c r="EL273" s="201">
        <f>'Detailed Budget'!$AC$206</f>
        <v>11253043126.882994</v>
      </c>
      <c r="EM273" s="269">
        <f t="shared" si="814"/>
        <v>16934160.886527084</v>
      </c>
      <c r="EN273" s="269">
        <f t="shared" si="740"/>
        <v>84670804.432635427</v>
      </c>
      <c r="EO273" s="140">
        <f>'Detailed Budget'!$AC$209</f>
        <v>135789361677.54817</v>
      </c>
      <c r="EP273" s="269">
        <f t="shared" si="815"/>
        <v>217527241.93963546</v>
      </c>
      <c r="EQ273" s="196">
        <f>'Detailed Budget'!$AC$211</f>
        <v>33947340419.387043</v>
      </c>
      <c r="ER273" s="269">
        <f t="shared" si="816"/>
        <v>54381810.484908864</v>
      </c>
      <c r="ES273" s="269">
        <f t="shared" si="743"/>
        <v>271909052.42454433</v>
      </c>
      <c r="ET273" s="196">
        <f>'Detailed Budget'!$AC$214</f>
        <v>22239745544.201103</v>
      </c>
      <c r="EU273" s="269">
        <f t="shared" si="817"/>
        <v>34599772.981175981</v>
      </c>
      <c r="EV273" s="140">
        <f>'Detailed Budget'!$AC$217</f>
        <v>5559936386.0502758</v>
      </c>
      <c r="EW273" s="269">
        <f t="shared" si="818"/>
        <v>8649943.2452939954</v>
      </c>
      <c r="EX273" s="269">
        <f t="shared" si="746"/>
        <v>43249716.226469979</v>
      </c>
      <c r="EY273" s="196">
        <f>'Detailed Budget'!$AC$219</f>
        <v>372777004.58170313</v>
      </c>
      <c r="EZ273" s="269">
        <f t="shared" si="819"/>
        <v>607136.85322479077</v>
      </c>
      <c r="FA273" s="196">
        <f>'Detailed Budget'!$AC$222</f>
        <v>93194251.145425782</v>
      </c>
      <c r="FB273" s="269">
        <f t="shared" si="820"/>
        <v>151784.21330619769</v>
      </c>
      <c r="FC273" s="269">
        <f t="shared" si="749"/>
        <v>758921.06653098844</v>
      </c>
      <c r="FD273" s="269"/>
      <c r="FE273" s="269">
        <f t="shared" si="750"/>
        <v>400588494.15018076</v>
      </c>
      <c r="FF273" s="140">
        <f>'Detailed Budget'!$AC$165</f>
        <v>14927760000</v>
      </c>
      <c r="FG273" s="1087">
        <f t="shared" si="788"/>
        <v>546429222.51691318</v>
      </c>
      <c r="FH273" s="269">
        <f t="shared" si="821"/>
        <v>18657579.820474949</v>
      </c>
      <c r="FJ273" s="140">
        <f>'Detailed Budget'!$AC$235</f>
        <v>3623696172</v>
      </c>
      <c r="FK273" s="269">
        <f t="shared" si="822"/>
        <v>4681778</v>
      </c>
      <c r="FL273" s="269">
        <f t="shared" si="789"/>
        <v>4681778</v>
      </c>
      <c r="FO273" s="607"/>
      <c r="FP273" s="607"/>
      <c r="FQ273" s="607"/>
      <c r="FR273" s="269">
        <f>'Detailed Budget'!$AC$257</f>
        <v>13636439388</v>
      </c>
      <c r="FS273" s="269">
        <f t="shared" si="823"/>
        <v>14490372</v>
      </c>
      <c r="FT273" s="269">
        <f t="shared" si="790"/>
        <v>14490372</v>
      </c>
      <c r="FU273" s="269"/>
      <c r="FV273" s="269"/>
      <c r="FW273" s="269"/>
      <c r="FX273" s="140">
        <f>'Detailed Budget'!$AC$278</f>
        <v>1114560000</v>
      </c>
      <c r="FY273" s="269">
        <f t="shared" si="824"/>
        <v>1440000</v>
      </c>
      <c r="FZ273" s="269">
        <f t="shared" si="791"/>
        <v>1440000</v>
      </c>
      <c r="GB273" s="269">
        <f t="shared" si="799"/>
        <v>1975557114.1091337</v>
      </c>
      <c r="GC273" s="887">
        <f t="shared" si="753"/>
        <v>1234723.1963182085</v>
      </c>
      <c r="GD273" s="1078">
        <f t="shared" si="800"/>
        <v>1.1085473052480001E-3</v>
      </c>
    </row>
    <row r="274" spans="1:186" outlineLevel="1">
      <c r="A274" s="211" t="s">
        <v>699</v>
      </c>
      <c r="B274" s="212" t="s">
        <v>2822</v>
      </c>
      <c r="C274" s="213" t="s">
        <v>215</v>
      </c>
      <c r="D274" s="214"/>
      <c r="E274" s="213"/>
      <c r="F274" s="213"/>
      <c r="G274" s="213"/>
      <c r="H274" s="213" t="s">
        <v>215</v>
      </c>
      <c r="I274" s="214" t="s">
        <v>215</v>
      </c>
      <c r="J274" s="214"/>
      <c r="K274" s="213" t="s">
        <v>215</v>
      </c>
      <c r="L274" s="213"/>
      <c r="M274" s="214"/>
      <c r="N274" s="213"/>
      <c r="O274" s="214"/>
      <c r="P274" s="213"/>
      <c r="Q274" s="214"/>
      <c r="R274" s="214" t="s">
        <v>215</v>
      </c>
      <c r="S274" s="214" t="s">
        <v>215</v>
      </c>
      <c r="T274" s="214"/>
      <c r="U274" s="215">
        <f>COUNTA(C274:T274)</f>
        <v>6</v>
      </c>
      <c r="V274" s="845" t="s">
        <v>700</v>
      </c>
      <c r="W274" s="216">
        <v>314108</v>
      </c>
      <c r="X274" s="217">
        <v>2.91</v>
      </c>
      <c r="Y274" s="218">
        <f>1+X274/100</f>
        <v>1.0290999999999999</v>
      </c>
      <c r="Z274" s="196">
        <v>19</v>
      </c>
      <c r="AA274" s="218">
        <f>POWER(Y274,Z274)</f>
        <v>1.7246222540408234</v>
      </c>
      <c r="AB274" s="196">
        <f>W274*AA274</f>
        <v>541717.64697225497</v>
      </c>
      <c r="AC274">
        <v>20.100000000000001</v>
      </c>
      <c r="AD274" s="196">
        <f>AB274*AC274/100</f>
        <v>108885.24704142327</v>
      </c>
      <c r="AE274" s="196">
        <f>AD274*0.95</f>
        <v>103440.9846893521</v>
      </c>
      <c r="AF274" s="196">
        <f t="shared" si="831"/>
        <v>103440.9846893521</v>
      </c>
      <c r="AG274" s="606">
        <f>AE274/21628351</f>
        <v>4.7826570176039817E-3</v>
      </c>
      <c r="AH274" s="196">
        <f>AB274*0.05</f>
        <v>27085.882348612751</v>
      </c>
      <c r="AI274" s="248">
        <f>AH274/12908475</f>
        <v>2.0983022664267277E-3</v>
      </c>
      <c r="AJ274" s="196">
        <f>AD274+AH274</f>
        <v>135971.12939003602</v>
      </c>
      <c r="AK274" s="196">
        <f>AB274*0.04</f>
        <v>21668.7058788902</v>
      </c>
      <c r="AL274" s="196">
        <f>AB274*0.04</f>
        <v>21668.7058788902</v>
      </c>
      <c r="AM274" s="196">
        <f>AK274+AL274</f>
        <v>43337.411757780399</v>
      </c>
      <c r="AN274" s="627">
        <f>AM274/20653560</f>
        <v>2.0983022664267273E-3</v>
      </c>
      <c r="AO274" s="196">
        <f>AB274*0.038</f>
        <v>20585.270584945687</v>
      </c>
      <c r="AP274" s="589">
        <f>AO274/9810441</f>
        <v>2.0983022664267273E-3</v>
      </c>
      <c r="AQ274" s="196"/>
      <c r="AR274" s="589"/>
      <c r="AS274">
        <v>1</v>
      </c>
      <c r="AT274" s="589">
        <f>AS274/774</f>
        <v>1.2919896640826874E-3</v>
      </c>
      <c r="AU274" s="196">
        <v>11</v>
      </c>
      <c r="AV274" s="245">
        <f>AU274/8801</f>
        <v>1.2498579706851495E-3</v>
      </c>
      <c r="AX274" s="245"/>
      <c r="AY274" s="245"/>
      <c r="AZ274" s="196">
        <v>39</v>
      </c>
      <c r="BA274" s="589">
        <f t="shared" si="793"/>
        <v>1.4290425414971969E-3</v>
      </c>
      <c r="BI274" s="196">
        <v>0</v>
      </c>
      <c r="BK274" s="246">
        <f>BJ274/52440044</f>
        <v>0</v>
      </c>
      <c r="BL274" s="246"/>
      <c r="BM274" s="246">
        <f>BL274/1048801</f>
        <v>0</v>
      </c>
      <c r="BN274" s="196">
        <v>1</v>
      </c>
      <c r="BO274" s="196">
        <f t="shared" si="832"/>
        <v>45991.996414313013</v>
      </c>
      <c r="BP274" s="196">
        <f>BN274*BO274</f>
        <v>45991.996414313013</v>
      </c>
      <c r="BQ274" s="248">
        <f>BP274/10690003</f>
        <v>4.302337091422052E-3</v>
      </c>
      <c r="BR274" s="248"/>
      <c r="BS274" s="248"/>
      <c r="BT274" s="276">
        <v>1</v>
      </c>
      <c r="BU274" s="196">
        <f t="shared" si="847"/>
        <v>90940.958328996698</v>
      </c>
      <c r="BV274" s="264">
        <f t="shared" si="797"/>
        <v>6.3078371261339593E-3</v>
      </c>
      <c r="BW274" s="196">
        <f t="shared" si="848"/>
        <v>389025.21062959702</v>
      </c>
      <c r="BX274" s="247">
        <f t="shared" si="798"/>
        <v>6.307837182955198E-3</v>
      </c>
      <c r="BY274" s="196">
        <f>BU274+BW274</f>
        <v>479966.16895859374</v>
      </c>
      <c r="BZ274" s="620">
        <v>0</v>
      </c>
      <c r="CA274" s="196">
        <f t="shared" si="834"/>
        <v>165765.59997351002</v>
      </c>
      <c r="CB274" s="196">
        <f t="shared" si="835"/>
        <v>331531.19994702004</v>
      </c>
      <c r="CC274" s="196">
        <f>CA274+CB274</f>
        <v>497296.79992053006</v>
      </c>
      <c r="CD274" s="247">
        <f>CC274/236999601</f>
        <v>2.0983022664267273E-3</v>
      </c>
      <c r="CE274" s="196">
        <f t="shared" si="836"/>
        <v>65150.199601096363</v>
      </c>
      <c r="CF274" s="247">
        <f>CE274/23157202</f>
        <v>2.8133882323562389E-3</v>
      </c>
      <c r="CG274" s="196">
        <f t="shared" si="803"/>
        <v>82341.082339782748</v>
      </c>
      <c r="CH274" s="589">
        <f>CG274/39241764</f>
        <v>2.0983022664267273E-3</v>
      </c>
      <c r="CI274" s="196">
        <f t="shared" si="837"/>
        <v>135015.33809739113</v>
      </c>
      <c r="CJ274" s="248">
        <f>CI274/60827260</f>
        <v>2.2196518156068698E-3</v>
      </c>
      <c r="CK274" s="196">
        <f t="shared" si="838"/>
        <v>164370.92349067362</v>
      </c>
      <c r="CL274" s="589">
        <f>CK274/69564222</f>
        <v>2.3628658348349477E-3</v>
      </c>
      <c r="CM274" s="196">
        <f t="shared" si="839"/>
        <v>15923.420383424318</v>
      </c>
      <c r="CN274" s="589">
        <f>CM274/6939078</f>
        <v>2.2947458413674435E-3</v>
      </c>
      <c r="CO274" s="196">
        <f t="shared" si="840"/>
        <v>1273.862106421032</v>
      </c>
      <c r="CP274" s="589">
        <f>CO274/530266</f>
        <v>2.4023077218245786E-3</v>
      </c>
      <c r="CQ274" s="196">
        <f>'Detailed Budget'!$AC$12</f>
        <v>292876014141.44696</v>
      </c>
      <c r="CR274" s="269">
        <f t="shared" si="724"/>
        <v>0</v>
      </c>
      <c r="CS274" s="269">
        <f>'Detailed Budget'!$AC$16</f>
        <v>10488008800.000002</v>
      </c>
      <c r="CT274" s="607">
        <f t="shared" si="804"/>
        <v>0</v>
      </c>
      <c r="CU274" s="269">
        <f>'Detailed Budget'!$AC$24</f>
        <v>30624985696</v>
      </c>
      <c r="CV274" s="269">
        <f t="shared" si="792"/>
        <v>0</v>
      </c>
      <c r="CW274" s="269"/>
      <c r="CX274" s="269">
        <f>CR274+CT274+CV274+CW274</f>
        <v>0</v>
      </c>
      <c r="CY274" s="196">
        <f>'Detailed Budget'!$AC$97</f>
        <v>74629165494.837845</v>
      </c>
      <c r="CZ274" s="269">
        <f t="shared" si="805"/>
        <v>321079826.81031561</v>
      </c>
      <c r="DA274" s="269">
        <f>'Detailed Budget'!$AC$100</f>
        <v>14925833098.967569</v>
      </c>
      <c r="DB274" s="269">
        <f t="shared" si="806"/>
        <v>64215965.362063125</v>
      </c>
      <c r="DC274" s="269">
        <f>CZ274+DB274</f>
        <v>385295792.17237872</v>
      </c>
      <c r="DD274" s="207">
        <v>1</v>
      </c>
      <c r="DE274" s="606">
        <v>0</v>
      </c>
      <c r="DF274" s="269">
        <f>'Detailed Budget'!$AC$147</f>
        <v>5913600671000</v>
      </c>
      <c r="DG274" s="269">
        <f>DE274*DF274</f>
        <v>0</v>
      </c>
      <c r="DH274" s="269">
        <f>'Detailed Budget'!$AC$153</f>
        <v>226428026880.00003</v>
      </c>
      <c r="DI274" s="269"/>
      <c r="DJ274" s="269">
        <f>'Detailed Budget'!$AC$156</f>
        <v>27713070000</v>
      </c>
      <c r="DK274" s="269"/>
      <c r="DL274" s="269"/>
      <c r="DM274" s="196">
        <f>'Detailed Budget'!$AC$178</f>
        <v>5622683761.6229038</v>
      </c>
      <c r="DN274" s="269">
        <f t="shared" si="841"/>
        <v>35466973.380075499</v>
      </c>
      <c r="DO274" s="196">
        <f>'Detailed Budget'!$AC$179</f>
        <v>26827890683.128094</v>
      </c>
      <c r="DP274" s="269">
        <f t="shared" si="842"/>
        <v>169225966.39129272</v>
      </c>
      <c r="DQ274" s="269">
        <f>DN274+DP274</f>
        <v>204692939.77136821</v>
      </c>
      <c r="DR274" s="269">
        <f>'Detailed Budget'!$AC$181</f>
        <v>50888946855.375237</v>
      </c>
      <c r="DS274" s="269">
        <f t="shared" si="844"/>
        <v>243384378.79633644</v>
      </c>
      <c r="DT274" s="269">
        <f>DQ274+DS274</f>
        <v>448077318.56770468</v>
      </c>
      <c r="DU274" s="272">
        <f>'Detailed Budget'!$AC$192</f>
        <v>77498869683.252869</v>
      </c>
      <c r="DV274" s="269">
        <f t="shared" si="807"/>
        <v>0</v>
      </c>
      <c r="DW274" s="140">
        <f>'Detailed Budget'!$AC$194</f>
        <v>2684962805.4134097</v>
      </c>
      <c r="DX274" s="269">
        <f t="shared" si="808"/>
        <v>0</v>
      </c>
      <c r="DY274" s="607">
        <f>DV274+DX274</f>
        <v>0</v>
      </c>
      <c r="DZ274" s="196">
        <f>'Detailed Budget'!$AC$198</f>
        <v>18732540018.380611</v>
      </c>
      <c r="EA274" s="269">
        <f t="shared" si="809"/>
        <v>52701907.649854332</v>
      </c>
      <c r="EB274" s="196">
        <f>'Detailed Budget'!$AC$200</f>
        <v>4683135004.5951529</v>
      </c>
      <c r="EC274" s="269">
        <f t="shared" si="810"/>
        <v>13175476.912463583</v>
      </c>
      <c r="ED274" s="269">
        <f>EA274+EC274</f>
        <v>65877384.562317915</v>
      </c>
      <c r="EE274" s="196">
        <f>'Detailed Budget'!$AC$161</f>
        <v>251147290106.36197</v>
      </c>
      <c r="EF274" s="269">
        <f t="shared" si="811"/>
        <v>526982928.03711009</v>
      </c>
      <c r="EG274" s="196">
        <f>'Detailed Budget'!$AC$163</f>
        <v>15696705631.647623</v>
      </c>
      <c r="EH274" s="269">
        <f t="shared" si="812"/>
        <v>32936433.002319381</v>
      </c>
      <c r="EI274" s="269">
        <f>EF274+EH274</f>
        <v>559919361.03942943</v>
      </c>
      <c r="EJ274" s="196">
        <f>'Detailed Budget'!$AC$204</f>
        <v>45012172507.531975</v>
      </c>
      <c r="EK274" s="269">
        <f t="shared" si="813"/>
        <v>99911350.430752978</v>
      </c>
      <c r="EL274" s="201">
        <f>'Detailed Budget'!$AC$206</f>
        <v>11253043126.882994</v>
      </c>
      <c r="EM274" s="269">
        <f t="shared" si="814"/>
        <v>24977837.607688244</v>
      </c>
      <c r="EN274" s="269">
        <f>EK274+EM274</f>
        <v>124889188.03844123</v>
      </c>
      <c r="EO274" s="140">
        <f>'Detailed Budget'!$AC$209</f>
        <v>135789361677.54817</v>
      </c>
      <c r="EP274" s="269">
        <f t="shared" si="815"/>
        <v>320852043.44192451</v>
      </c>
      <c r="EQ274" s="196">
        <f>'Detailed Budget'!$AC$211</f>
        <v>33947340419.387043</v>
      </c>
      <c r="ER274" s="269">
        <f t="shared" si="816"/>
        <v>80213010.860481128</v>
      </c>
      <c r="ES274" s="269">
        <f>EP274+ER274</f>
        <v>401065054.30240566</v>
      </c>
      <c r="ET274" s="196">
        <f>'Detailed Budget'!$AC$214</f>
        <v>22239745544.201103</v>
      </c>
      <c r="EU274" s="269">
        <f t="shared" si="817"/>
        <v>51034563.600625612</v>
      </c>
      <c r="EV274" s="140">
        <f>'Detailed Budget'!$AC$217</f>
        <v>5559936386.0502758</v>
      </c>
      <c r="EW274" s="269">
        <f t="shared" si="818"/>
        <v>12758640.900156403</v>
      </c>
      <c r="EX274" s="269">
        <f>EU274+EW274</f>
        <v>63793204.500782013</v>
      </c>
      <c r="EY274" s="196">
        <f>'Detailed Budget'!$AC$219</f>
        <v>372777004.58170313</v>
      </c>
      <c r="EZ274" s="269">
        <f t="shared" si="819"/>
        <v>895525.07662526181</v>
      </c>
      <c r="FA274" s="196">
        <f>'Detailed Budget'!$AC$222</f>
        <v>93194251.145425782</v>
      </c>
      <c r="FB274" s="269">
        <f t="shared" si="820"/>
        <v>223881.26915631545</v>
      </c>
      <c r="FC274" s="269">
        <f>EZ274+FB274</f>
        <v>1119406.3457815773</v>
      </c>
      <c r="FD274" s="269"/>
      <c r="FE274" s="269">
        <f>EN274+ES274+EX274+FC274</f>
        <v>590866853.18741047</v>
      </c>
      <c r="FF274" s="140">
        <f>'Detailed Budget'!$AC$165</f>
        <v>14927760000</v>
      </c>
      <c r="FG274" s="1087">
        <f t="shared" si="788"/>
        <v>805981499.50150311</v>
      </c>
      <c r="FH274" s="269">
        <f t="shared" si="821"/>
        <v>18657579.820474949</v>
      </c>
      <c r="FJ274" s="140">
        <f>'Detailed Budget'!$AC$235</f>
        <v>3623696172</v>
      </c>
      <c r="FK274" s="269">
        <f t="shared" si="822"/>
        <v>4681778</v>
      </c>
      <c r="FL274" s="269">
        <f>FI274+FK274</f>
        <v>4681778</v>
      </c>
      <c r="FO274" s="607"/>
      <c r="FP274" s="607"/>
      <c r="FQ274" s="607"/>
      <c r="FR274" s="269">
        <f>'Detailed Budget'!$AC$257</f>
        <v>13636439388</v>
      </c>
      <c r="FS274" s="269">
        <f t="shared" si="823"/>
        <v>19487052</v>
      </c>
      <c r="FT274" s="269">
        <f t="shared" si="790"/>
        <v>19487052</v>
      </c>
      <c r="FU274" s="269"/>
      <c r="FV274" s="269"/>
      <c r="FW274" s="269"/>
      <c r="FX274" s="140">
        <f>'Detailed Budget'!$AC$278</f>
        <v>1114560000</v>
      </c>
      <c r="FY274" s="269">
        <f t="shared" si="824"/>
        <v>1440000</v>
      </c>
      <c r="FZ274" s="269">
        <f>FU274+FW274+FY274</f>
        <v>1440000</v>
      </c>
      <c r="GB274" s="269">
        <f t="shared" si="799"/>
        <v>2900284618.8512192</v>
      </c>
      <c r="GC274" s="887">
        <f>GB274/1600</f>
        <v>1812677.8867820119</v>
      </c>
      <c r="GD274" s="1078">
        <f t="shared" si="800"/>
        <v>1.6274410269983889E-3</v>
      </c>
    </row>
    <row r="275" spans="1:186" outlineLevel="1">
      <c r="A275" s="211" t="s">
        <v>697</v>
      </c>
      <c r="B275" s="212" t="s">
        <v>698</v>
      </c>
      <c r="C275" s="213" t="s">
        <v>215</v>
      </c>
      <c r="D275" s="214"/>
      <c r="E275" s="213"/>
      <c r="F275" s="213"/>
      <c r="G275" s="213"/>
      <c r="H275" s="213" t="s">
        <v>215</v>
      </c>
      <c r="I275" s="214" t="s">
        <v>215</v>
      </c>
      <c r="J275" s="214"/>
      <c r="K275" s="213" t="s">
        <v>215</v>
      </c>
      <c r="L275" s="213"/>
      <c r="M275" s="214"/>
      <c r="N275" s="213"/>
      <c r="O275" s="214"/>
      <c r="P275" s="213"/>
      <c r="Q275" s="214"/>
      <c r="R275" s="214" t="s">
        <v>215</v>
      </c>
      <c r="S275" s="214"/>
      <c r="T275" s="214"/>
      <c r="U275" s="215">
        <f t="shared" si="830"/>
        <v>5</v>
      </c>
      <c r="V275" s="845" t="s">
        <v>467</v>
      </c>
      <c r="W275" s="216">
        <v>142015</v>
      </c>
      <c r="X275" s="217">
        <v>2.91</v>
      </c>
      <c r="Y275" s="218">
        <f t="shared" si="826"/>
        <v>1.0290999999999999</v>
      </c>
      <c r="Z275" s="196">
        <v>19</v>
      </c>
      <c r="AA275" s="218">
        <f t="shared" si="827"/>
        <v>1.7246222540408234</v>
      </c>
      <c r="AB275" s="196">
        <f t="shared" si="828"/>
        <v>244922.22940760752</v>
      </c>
      <c r="AC275">
        <v>20.100000000000001</v>
      </c>
      <c r="AD275" s="196">
        <f t="shared" si="829"/>
        <v>49229.368110929114</v>
      </c>
      <c r="AE275" s="196">
        <f t="shared" si="644"/>
        <v>46767.899705382653</v>
      </c>
      <c r="AF275" s="196">
        <f t="shared" si="831"/>
        <v>46767.899705382653</v>
      </c>
      <c r="AG275" s="606">
        <f t="shared" si="756"/>
        <v>2.1623423674501422E-3</v>
      </c>
      <c r="AH275" s="196">
        <f t="shared" si="846"/>
        <v>12246.111470380376</v>
      </c>
      <c r="AI275" s="248">
        <f t="shared" si="715"/>
        <v>9.4868770093914086E-4</v>
      </c>
      <c r="AJ275" s="196">
        <f t="shared" si="757"/>
        <v>61475.47958130949</v>
      </c>
      <c r="AK275" s="196">
        <f t="shared" si="785"/>
        <v>9796.8891763043011</v>
      </c>
      <c r="AL275" s="196">
        <f t="shared" si="786"/>
        <v>9796.8891763043011</v>
      </c>
      <c r="AM275" s="196">
        <f t="shared" si="716"/>
        <v>19593.778352608602</v>
      </c>
      <c r="AN275" s="627">
        <f t="shared" si="717"/>
        <v>9.4868770093914086E-4</v>
      </c>
      <c r="AO275" s="196">
        <f t="shared" si="718"/>
        <v>9307.0447174890851</v>
      </c>
      <c r="AP275" s="589">
        <f t="shared" si="758"/>
        <v>9.4868770093914075E-4</v>
      </c>
      <c r="AQ275" s="196"/>
      <c r="AR275" s="589"/>
      <c r="AS275">
        <v>1</v>
      </c>
      <c r="AT275" s="589">
        <f t="shared" si="759"/>
        <v>1.2919896640826874E-3</v>
      </c>
      <c r="AU275" s="196">
        <v>11</v>
      </c>
      <c r="AV275" s="245">
        <f t="shared" si="719"/>
        <v>1.2498579706851495E-3</v>
      </c>
      <c r="AX275" s="245"/>
      <c r="AY275" s="245"/>
      <c r="AZ275" s="196">
        <v>27</v>
      </c>
      <c r="BA275" s="589">
        <f t="shared" si="793"/>
        <v>9.8933714411344391E-4</v>
      </c>
      <c r="BI275" s="196">
        <v>0</v>
      </c>
      <c r="BK275" s="246">
        <f t="shared" si="794"/>
        <v>0</v>
      </c>
      <c r="BL275" s="246"/>
      <c r="BM275" s="246">
        <f t="shared" si="795"/>
        <v>0</v>
      </c>
      <c r="BN275" s="196">
        <v>1</v>
      </c>
      <c r="BO275" s="196">
        <f t="shared" si="832"/>
        <v>20793.973317389755</v>
      </c>
      <c r="BP275" s="196">
        <f t="shared" si="762"/>
        <v>20793.973317389755</v>
      </c>
      <c r="BQ275" s="248">
        <f t="shared" si="796"/>
        <v>1.9451793715483292E-3</v>
      </c>
      <c r="BR275" s="248"/>
      <c r="BS275" s="248"/>
      <c r="BT275" s="276">
        <v>1</v>
      </c>
      <c r="BU275" s="196">
        <f t="shared" si="847"/>
        <v>41116.368246247992</v>
      </c>
      <c r="BV275" s="264">
        <f t="shared" si="797"/>
        <v>2.8519091824083247E-3</v>
      </c>
      <c r="BW275" s="196">
        <f t="shared" si="848"/>
        <v>175886.68638672752</v>
      </c>
      <c r="BX275" s="247">
        <f t="shared" si="798"/>
        <v>2.8519092080984318E-3</v>
      </c>
      <c r="BY275" s="196">
        <f t="shared" si="833"/>
        <v>217003.05463297552</v>
      </c>
      <c r="BZ275" s="620">
        <v>0</v>
      </c>
      <c r="CA275" s="196">
        <f t="shared" si="834"/>
        <v>74946.202198727915</v>
      </c>
      <c r="CB275" s="196">
        <f t="shared" si="835"/>
        <v>149892.40439745583</v>
      </c>
      <c r="CC275" s="196">
        <f t="shared" si="765"/>
        <v>224838.60659618373</v>
      </c>
      <c r="CD275" s="247">
        <f t="shared" si="720"/>
        <v>9.4868770093914096E-4</v>
      </c>
      <c r="CE275" s="196">
        <f t="shared" si="836"/>
        <v>29455.810091910102</v>
      </c>
      <c r="CF275" s="247">
        <f t="shared" si="721"/>
        <v>1.2719934857376165E-3</v>
      </c>
      <c r="CG275" s="196">
        <f t="shared" si="803"/>
        <v>37228.17886995634</v>
      </c>
      <c r="CH275" s="589">
        <f t="shared" si="767"/>
        <v>9.4868770093914075E-4</v>
      </c>
      <c r="CI275" s="196">
        <f t="shared" si="837"/>
        <v>61043.345727905675</v>
      </c>
      <c r="CJ275" s="248">
        <f t="shared" si="769"/>
        <v>1.0035524488182712E-3</v>
      </c>
      <c r="CK275" s="196">
        <f t="shared" si="838"/>
        <v>74315.638887032517</v>
      </c>
      <c r="CL275" s="589">
        <f t="shared" si="771"/>
        <v>1.0683025950758496E-3</v>
      </c>
      <c r="CM275" s="196">
        <f t="shared" si="839"/>
        <v>7199.3217165815713</v>
      </c>
      <c r="CN275" s="589">
        <f t="shared" si="773"/>
        <v>1.0375040771384283E-3</v>
      </c>
      <c r="CO275" s="196">
        <f t="shared" si="840"/>
        <v>575.94052696328276</v>
      </c>
      <c r="CP275" s="589">
        <f t="shared" si="775"/>
        <v>1.0861351226804713E-3</v>
      </c>
      <c r="CQ275" s="196">
        <f>'Detailed Budget'!$AC$12</f>
        <v>292876014141.44696</v>
      </c>
      <c r="CR275" s="269">
        <f t="shared" si="724"/>
        <v>0</v>
      </c>
      <c r="CS275" s="269">
        <f>'Detailed Budget'!$AC$16</f>
        <v>10488008800.000002</v>
      </c>
      <c r="CT275" s="607">
        <f t="shared" si="804"/>
        <v>0</v>
      </c>
      <c r="CU275" s="269">
        <f>'Detailed Budget'!$AC$24</f>
        <v>30624985696</v>
      </c>
      <c r="CV275" s="269">
        <f t="shared" si="792"/>
        <v>0</v>
      </c>
      <c r="CW275" s="269"/>
      <c r="CX275" s="269">
        <f t="shared" si="776"/>
        <v>0</v>
      </c>
      <c r="CY275" s="196">
        <f>'Detailed Budget'!$AC$97</f>
        <v>74629165494.837845</v>
      </c>
      <c r="CZ275" s="269">
        <f t="shared" si="805"/>
        <v>145167113.23642492</v>
      </c>
      <c r="DA275" s="269">
        <f>'Detailed Budget'!$AC$100</f>
        <v>14925833098.967569</v>
      </c>
      <c r="DB275" s="269">
        <f t="shared" si="806"/>
        <v>29033422.647284988</v>
      </c>
      <c r="DC275" s="269">
        <f t="shared" si="728"/>
        <v>174200535.88370991</v>
      </c>
      <c r="DD275" s="207">
        <v>0</v>
      </c>
      <c r="DE275" s="606">
        <v>0</v>
      </c>
      <c r="DF275" s="269">
        <f>'Detailed Budget'!$AC$147</f>
        <v>5913600671000</v>
      </c>
      <c r="DG275" s="269">
        <f t="shared" si="787"/>
        <v>0</v>
      </c>
      <c r="DH275" s="269">
        <f>'Detailed Budget'!$AC$153</f>
        <v>226428026880.00003</v>
      </c>
      <c r="DI275" s="269"/>
      <c r="DJ275" s="269">
        <f>'Detailed Budget'!$AC$156</f>
        <v>27713070000</v>
      </c>
      <c r="DK275" s="269"/>
      <c r="DL275" s="269"/>
      <c r="DM275" s="196">
        <f>'Detailed Budget'!$AC$178</f>
        <v>5622683761.6229038</v>
      </c>
      <c r="DN275" s="269">
        <f t="shared" si="841"/>
        <v>16035383.449550539</v>
      </c>
      <c r="DO275" s="196">
        <f>'Detailed Budget'!$AC$179</f>
        <v>26827890683.128094</v>
      </c>
      <c r="DP275" s="269">
        <f t="shared" si="842"/>
        <v>76510708.473071143</v>
      </c>
      <c r="DQ275" s="269">
        <f t="shared" si="843"/>
        <v>92546091.922621682</v>
      </c>
      <c r="DR275" s="269">
        <f>'Detailed Budget'!$AC$181</f>
        <v>50888946855.375237</v>
      </c>
      <c r="DS275" s="269">
        <f t="shared" si="844"/>
        <v>110039325.82029656</v>
      </c>
      <c r="DT275" s="269">
        <f t="shared" si="845"/>
        <v>202585417.74291825</v>
      </c>
      <c r="DU275" s="272">
        <f>'Detailed Budget'!$AC$192</f>
        <v>77498869683.252869</v>
      </c>
      <c r="DV275" s="269">
        <f t="shared" si="807"/>
        <v>0</v>
      </c>
      <c r="DW275" s="140">
        <f>'Detailed Budget'!$AC$194</f>
        <v>2684962805.4134097</v>
      </c>
      <c r="DX275" s="269">
        <f t="shared" si="808"/>
        <v>0</v>
      </c>
      <c r="DY275" s="607">
        <f t="shared" si="731"/>
        <v>0</v>
      </c>
      <c r="DZ275" s="196">
        <f>'Detailed Budget'!$AC$198</f>
        <v>18732540018.380611</v>
      </c>
      <c r="EA275" s="269">
        <f t="shared" si="809"/>
        <v>23827668.874699347</v>
      </c>
      <c r="EB275" s="196">
        <f>'Detailed Budget'!$AC$200</f>
        <v>4683135004.5951529</v>
      </c>
      <c r="EC275" s="269">
        <f t="shared" si="810"/>
        <v>5956917.2186748367</v>
      </c>
      <c r="ED275" s="269">
        <f t="shared" si="734"/>
        <v>29784586.093374185</v>
      </c>
      <c r="EE275" s="196">
        <f>'Detailed Budget'!$AC$161</f>
        <v>251147290106.36197</v>
      </c>
      <c r="EF275" s="269">
        <f t="shared" si="811"/>
        <v>238260345.24809995</v>
      </c>
      <c r="EG275" s="196">
        <f>'Detailed Budget'!$AC$163</f>
        <v>15696705631.647623</v>
      </c>
      <c r="EH275" s="269">
        <f t="shared" si="812"/>
        <v>14891271.578006247</v>
      </c>
      <c r="EI275" s="269">
        <f t="shared" si="737"/>
        <v>253151616.82610619</v>
      </c>
      <c r="EJ275" s="196">
        <f>'Detailed Budget'!$AC$204</f>
        <v>45012172507.531975</v>
      </c>
      <c r="EK275" s="269">
        <f t="shared" si="813"/>
        <v>45172075.946564175</v>
      </c>
      <c r="EL275" s="201">
        <f>'Detailed Budget'!$AC$206</f>
        <v>11253043126.882994</v>
      </c>
      <c r="EM275" s="269">
        <f t="shared" si="814"/>
        <v>11293018.986641044</v>
      </c>
      <c r="EN275" s="269">
        <f t="shared" si="740"/>
        <v>56465094.933205217</v>
      </c>
      <c r="EO275" s="140">
        <f>'Detailed Budget'!$AC$209</f>
        <v>135789361677.54817</v>
      </c>
      <c r="EP275" s="269">
        <f t="shared" si="815"/>
        <v>145064127.46381783</v>
      </c>
      <c r="EQ275" s="196">
        <f>'Detailed Budget'!$AC$211</f>
        <v>33947340419.387043</v>
      </c>
      <c r="ER275" s="269">
        <f t="shared" si="816"/>
        <v>36266031.865954459</v>
      </c>
      <c r="ES275" s="269">
        <f t="shared" si="743"/>
        <v>181330159.32977229</v>
      </c>
      <c r="ET275" s="196">
        <f>'Detailed Budget'!$AC$214</f>
        <v>22239745544.201103</v>
      </c>
      <c r="EU275" s="269">
        <f t="shared" si="817"/>
        <v>23073826.676629838</v>
      </c>
      <c r="EV275" s="140">
        <f>'Detailed Budget'!$AC$217</f>
        <v>5559936386.0502758</v>
      </c>
      <c r="EW275" s="269">
        <f t="shared" si="818"/>
        <v>5768456.6691574594</v>
      </c>
      <c r="EX275" s="269">
        <f t="shared" si="746"/>
        <v>28842283.345787298</v>
      </c>
      <c r="EY275" s="196">
        <f>'Detailed Budget'!$AC$219</f>
        <v>372777004.58170313</v>
      </c>
      <c r="EZ275" s="269">
        <f t="shared" si="819"/>
        <v>404886.19760380674</v>
      </c>
      <c r="FA275" s="196">
        <f>'Detailed Budget'!$AC$222</f>
        <v>93194251.145425782</v>
      </c>
      <c r="FB275" s="269">
        <f t="shared" si="820"/>
        <v>101221.54940095168</v>
      </c>
      <c r="FC275" s="269">
        <f t="shared" si="749"/>
        <v>506107.74700475845</v>
      </c>
      <c r="FD275" s="269"/>
      <c r="FE275" s="269">
        <f t="shared" si="750"/>
        <v>267143645.35576954</v>
      </c>
      <c r="FF275" s="140">
        <f>'Detailed Budget'!$AC$165</f>
        <v>14927760000</v>
      </c>
      <c r="FG275" s="1087">
        <f t="shared" si="788"/>
        <v>364401615.53257447</v>
      </c>
      <c r="FH275" s="269">
        <f t="shared" si="821"/>
        <v>18657579.820474949</v>
      </c>
      <c r="FJ275" s="140">
        <f>'Detailed Budget'!$AC$235</f>
        <v>3623696172</v>
      </c>
      <c r="FK275" s="269">
        <f t="shared" si="822"/>
        <v>4681778</v>
      </c>
      <c r="FL275" s="269">
        <f t="shared" si="789"/>
        <v>4681778</v>
      </c>
      <c r="FO275" s="607"/>
      <c r="FP275" s="607"/>
      <c r="FQ275" s="607"/>
      <c r="FR275" s="269">
        <f>'Detailed Budget'!$AC$257</f>
        <v>13636439388</v>
      </c>
      <c r="FS275" s="269">
        <f t="shared" si="823"/>
        <v>13491035.999999998</v>
      </c>
      <c r="FT275" s="269">
        <f t="shared" si="790"/>
        <v>13491035.999999998</v>
      </c>
      <c r="FU275" s="269"/>
      <c r="FV275" s="269"/>
      <c r="FW275" s="269"/>
      <c r="FX275" s="140">
        <f>'Detailed Budget'!$AC$278</f>
        <v>1114560000</v>
      </c>
      <c r="FY275" s="269">
        <f t="shared" si="824"/>
        <v>1440000</v>
      </c>
      <c r="FZ275" s="269">
        <f t="shared" si="791"/>
        <v>1440000</v>
      </c>
      <c r="GB275" s="269">
        <f t="shared" si="799"/>
        <v>1329537811.2549274</v>
      </c>
      <c r="GC275" s="887">
        <f t="shared" si="753"/>
        <v>830961.13203432958</v>
      </c>
      <c r="GD275" s="1078">
        <f t="shared" si="800"/>
        <v>7.4604553184816466E-4</v>
      </c>
    </row>
    <row r="276" spans="1:186" outlineLevel="1">
      <c r="A276" s="211" t="s">
        <v>701</v>
      </c>
      <c r="B276" s="212" t="s">
        <v>702</v>
      </c>
      <c r="C276" s="213" t="s">
        <v>215</v>
      </c>
      <c r="D276" s="214"/>
      <c r="E276" s="213"/>
      <c r="F276" s="213"/>
      <c r="G276" s="213"/>
      <c r="H276" s="213" t="s">
        <v>215</v>
      </c>
      <c r="I276" s="214" t="s">
        <v>215</v>
      </c>
      <c r="J276" s="214"/>
      <c r="K276" s="213" t="s">
        <v>215</v>
      </c>
      <c r="L276" s="213"/>
      <c r="M276" s="214"/>
      <c r="N276" s="213"/>
      <c r="O276" s="214"/>
      <c r="P276" s="213"/>
      <c r="Q276" s="214"/>
      <c r="R276" s="214" t="s">
        <v>215</v>
      </c>
      <c r="S276" s="214"/>
      <c r="T276" s="214"/>
      <c r="U276" s="215">
        <f t="shared" si="830"/>
        <v>5</v>
      </c>
      <c r="V276" s="845" t="s">
        <v>467</v>
      </c>
      <c r="W276" s="216">
        <v>97284</v>
      </c>
      <c r="X276" s="217">
        <v>2.91</v>
      </c>
      <c r="Y276" s="218">
        <f t="shared" si="826"/>
        <v>1.0290999999999999</v>
      </c>
      <c r="Z276" s="196">
        <v>19</v>
      </c>
      <c r="AA276" s="218">
        <f t="shared" si="827"/>
        <v>1.7246222540408234</v>
      </c>
      <c r="AB276" s="196">
        <f t="shared" si="828"/>
        <v>167778.15136210746</v>
      </c>
      <c r="AC276">
        <v>20.100000000000001</v>
      </c>
      <c r="AD276" s="196">
        <f t="shared" si="829"/>
        <v>33723.4084237836</v>
      </c>
      <c r="AE276" s="196">
        <f t="shared" si="644"/>
        <v>32037.238002594419</v>
      </c>
      <c r="AF276" s="196">
        <f t="shared" si="831"/>
        <v>32037.238002594419</v>
      </c>
      <c r="AG276" s="606">
        <f t="shared" si="756"/>
        <v>1.4812612391298077E-3</v>
      </c>
      <c r="AH276" s="196">
        <f t="shared" si="846"/>
        <v>8388.9075681053728</v>
      </c>
      <c r="AI276" s="248">
        <f t="shared" si="715"/>
        <v>6.4987595886465072E-4</v>
      </c>
      <c r="AJ276" s="196">
        <f t="shared" si="757"/>
        <v>42112.315991888972</v>
      </c>
      <c r="AK276" s="196">
        <f t="shared" si="785"/>
        <v>6711.126054484298</v>
      </c>
      <c r="AL276" s="196">
        <f t="shared" si="786"/>
        <v>6711.126054484298</v>
      </c>
      <c r="AM276" s="196">
        <f t="shared" si="716"/>
        <v>13422.252108968596</v>
      </c>
      <c r="AN276" s="627">
        <f t="shared" si="717"/>
        <v>6.4987595886465072E-4</v>
      </c>
      <c r="AO276" s="196">
        <f t="shared" si="718"/>
        <v>6375.5697517600829</v>
      </c>
      <c r="AP276" s="589">
        <f t="shared" si="758"/>
        <v>6.4987595886465072E-4</v>
      </c>
      <c r="AQ276" s="196"/>
      <c r="AR276" s="589"/>
      <c r="AS276">
        <v>1</v>
      </c>
      <c r="AT276" s="589">
        <f t="shared" si="759"/>
        <v>1.2919896640826874E-3</v>
      </c>
      <c r="AU276" s="196">
        <v>10</v>
      </c>
      <c r="AV276" s="245">
        <f t="shared" si="719"/>
        <v>1.1362345188046814E-3</v>
      </c>
      <c r="AX276" s="245"/>
      <c r="AY276" s="245"/>
      <c r="AZ276" s="196">
        <v>29</v>
      </c>
      <c r="BA276" s="589">
        <f t="shared" si="793"/>
        <v>1.0626213770107361E-3</v>
      </c>
      <c r="BI276" s="196">
        <v>0</v>
      </c>
      <c r="BK276" s="246">
        <f t="shared" si="794"/>
        <v>0</v>
      </c>
      <c r="BL276" s="246"/>
      <c r="BM276" s="246">
        <f t="shared" si="795"/>
        <v>0</v>
      </c>
      <c r="BN276" s="196">
        <v>1</v>
      </c>
      <c r="BO276" s="196">
        <f t="shared" si="832"/>
        <v>14244.417140505899</v>
      </c>
      <c r="BP276" s="196">
        <f t="shared" si="762"/>
        <v>14244.417140505899</v>
      </c>
      <c r="BQ276" s="248">
        <f t="shared" si="796"/>
        <v>1.3324988908334169E-3</v>
      </c>
      <c r="BR276" s="248"/>
      <c r="BS276" s="248"/>
      <c r="BT276" s="276">
        <v>1</v>
      </c>
      <c r="BU276" s="196">
        <f t="shared" si="847"/>
        <v>28165.790715544059</v>
      </c>
      <c r="BV276" s="264">
        <f t="shared" si="797"/>
        <v>1.9536325944541875E-3</v>
      </c>
      <c r="BW276" s="196">
        <f t="shared" si="848"/>
        <v>120486.99361649404</v>
      </c>
      <c r="BX276" s="247">
        <f t="shared" si="798"/>
        <v>1.9536326120525851E-3</v>
      </c>
      <c r="BY276" s="196">
        <f t="shared" si="833"/>
        <v>148652.78433203811</v>
      </c>
      <c r="BZ276" s="620">
        <v>0</v>
      </c>
      <c r="CA276" s="196">
        <f t="shared" si="834"/>
        <v>51340.114316804887</v>
      </c>
      <c r="CB276" s="196">
        <f t="shared" si="835"/>
        <v>102680.22863360977</v>
      </c>
      <c r="CC276" s="196">
        <f t="shared" si="765"/>
        <v>154020.34295041466</v>
      </c>
      <c r="CD276" s="247">
        <f t="shared" si="720"/>
        <v>6.4987595886465083E-4</v>
      </c>
      <c r="CE276" s="196">
        <f t="shared" si="836"/>
        <v>20178.002527770885</v>
      </c>
      <c r="CF276" s="247">
        <f t="shared" si="721"/>
        <v>8.7134890164065957E-4</v>
      </c>
      <c r="CG276" s="196">
        <f t="shared" si="803"/>
        <v>25502.279007040332</v>
      </c>
      <c r="CH276" s="589">
        <f t="shared" si="767"/>
        <v>6.4987595886465072E-4</v>
      </c>
      <c r="CI276" s="196">
        <f t="shared" si="837"/>
        <v>41816.292967599031</v>
      </c>
      <c r="CJ276" s="248">
        <f t="shared" si="769"/>
        <v>6.874597502435426E-4</v>
      </c>
      <c r="CK276" s="196">
        <f t="shared" si="838"/>
        <v>50908.161908855203</v>
      </c>
      <c r="CL276" s="589">
        <f t="shared" si="771"/>
        <v>7.3181529880195033E-4</v>
      </c>
      <c r="CM276" s="196">
        <f t="shared" si="839"/>
        <v>4931.724211357403</v>
      </c>
      <c r="CN276" s="589">
        <f t="shared" si="773"/>
        <v>7.1071750618128269E-4</v>
      </c>
      <c r="CO276" s="196">
        <f t="shared" si="840"/>
        <v>394.53436767310501</v>
      </c>
      <c r="CP276" s="589">
        <f t="shared" si="775"/>
        <v>7.4403104795160355E-4</v>
      </c>
      <c r="CQ276" s="196">
        <f>'Detailed Budget'!$AC$12</f>
        <v>292876014141.44696</v>
      </c>
      <c r="CR276" s="269">
        <f t="shared" si="724"/>
        <v>0</v>
      </c>
      <c r="CS276" s="269">
        <f>'Detailed Budget'!$AC$16</f>
        <v>10488008800.000002</v>
      </c>
      <c r="CT276" s="607">
        <f t="shared" si="804"/>
        <v>0</v>
      </c>
      <c r="CU276" s="269">
        <f>'Detailed Budget'!$AC$24</f>
        <v>30624985696</v>
      </c>
      <c r="CV276" s="269">
        <f t="shared" si="792"/>
        <v>0</v>
      </c>
      <c r="CW276" s="269"/>
      <c r="CX276" s="269">
        <f t="shared" si="776"/>
        <v>0</v>
      </c>
      <c r="CY276" s="196">
        <f>'Detailed Budget'!$AC$97</f>
        <v>74629165494.837845</v>
      </c>
      <c r="CZ276" s="269">
        <f t="shared" si="805"/>
        <v>99443280.245694935</v>
      </c>
      <c r="DA276" s="269">
        <f>'Detailed Budget'!$AC$100</f>
        <v>14925833098.967569</v>
      </c>
      <c r="DB276" s="269">
        <f t="shared" si="806"/>
        <v>19888656.049138989</v>
      </c>
      <c r="DC276" s="269">
        <f t="shared" si="728"/>
        <v>119331936.29483393</v>
      </c>
      <c r="DD276" s="207">
        <v>0</v>
      </c>
      <c r="DE276" s="606">
        <v>0</v>
      </c>
      <c r="DF276" s="269">
        <f>'Detailed Budget'!$AC$147</f>
        <v>5913600671000</v>
      </c>
      <c r="DG276" s="269">
        <f t="shared" si="787"/>
        <v>0</v>
      </c>
      <c r="DH276" s="269">
        <f>'Detailed Budget'!$AC$153</f>
        <v>226428026880.00003</v>
      </c>
      <c r="DI276" s="269"/>
      <c r="DJ276" s="269">
        <f>'Detailed Budget'!$AC$156</f>
        <v>27713070000</v>
      </c>
      <c r="DK276" s="269"/>
      <c r="DL276" s="269"/>
      <c r="DM276" s="196">
        <f>'Detailed Budget'!$AC$178</f>
        <v>5622683761.6229038</v>
      </c>
      <c r="DN276" s="269">
        <f t="shared" si="841"/>
        <v>10984658.265014784</v>
      </c>
      <c r="DO276" s="196">
        <f>'Detailed Budget'!$AC$179</f>
        <v>26827890683.128094</v>
      </c>
      <c r="DP276" s="269">
        <f t="shared" si="842"/>
        <v>52411842.151140749</v>
      </c>
      <c r="DQ276" s="269">
        <f t="shared" si="843"/>
        <v>63396500.416155532</v>
      </c>
      <c r="DR276" s="269">
        <f>'Detailed Budget'!$AC$181</f>
        <v>50888946855.375237</v>
      </c>
      <c r="DS276" s="269">
        <f t="shared" si="844"/>
        <v>75379824.477004051</v>
      </c>
      <c r="DT276" s="269">
        <f t="shared" si="845"/>
        <v>138776324.89315957</v>
      </c>
      <c r="DU276" s="272">
        <f>'Detailed Budget'!$AC$192</f>
        <v>77498869683.252869</v>
      </c>
      <c r="DV276" s="269">
        <f t="shared" si="807"/>
        <v>0</v>
      </c>
      <c r="DW276" s="140">
        <f>'Detailed Budget'!$AC$194</f>
        <v>2684962805.4134097</v>
      </c>
      <c r="DX276" s="269">
        <f t="shared" si="808"/>
        <v>0</v>
      </c>
      <c r="DY276" s="607">
        <f t="shared" si="731"/>
        <v>0</v>
      </c>
      <c r="DZ276" s="196">
        <f>'Detailed Budget'!$AC$198</f>
        <v>18732540018.380611</v>
      </c>
      <c r="EA276" s="269">
        <f t="shared" si="809"/>
        <v>16322578.169955647</v>
      </c>
      <c r="EB276" s="196">
        <f>'Detailed Budget'!$AC$200</f>
        <v>4683135004.5951529</v>
      </c>
      <c r="EC276" s="269">
        <f t="shared" si="810"/>
        <v>4080644.5424889117</v>
      </c>
      <c r="ED276" s="269">
        <f t="shared" si="734"/>
        <v>20403222.712444559</v>
      </c>
      <c r="EE276" s="196">
        <f>'Detailed Budget'!$AC$161</f>
        <v>251147290106.36197</v>
      </c>
      <c r="EF276" s="269">
        <f t="shared" si="811"/>
        <v>163214585.9741306</v>
      </c>
      <c r="EG276" s="196">
        <f>'Detailed Budget'!$AC$163</f>
        <v>15696705631.647623</v>
      </c>
      <c r="EH276" s="269">
        <f t="shared" si="812"/>
        <v>10200911.623383163</v>
      </c>
      <c r="EI276" s="269">
        <f t="shared" si="737"/>
        <v>173415497.59751377</v>
      </c>
      <c r="EJ276" s="196">
        <f>'Detailed Budget'!$AC$204</f>
        <v>45012172507.531975</v>
      </c>
      <c r="EK276" s="269">
        <f t="shared" si="813"/>
        <v>30944056.869947188</v>
      </c>
      <c r="EL276" s="201">
        <f>'Detailed Budget'!$AC$206</f>
        <v>11253043126.882994</v>
      </c>
      <c r="EM276" s="269">
        <f t="shared" si="814"/>
        <v>7736014.2174867969</v>
      </c>
      <c r="EN276" s="269">
        <f t="shared" si="740"/>
        <v>38680071.087433986</v>
      </c>
      <c r="EO276" s="140">
        <f>'Detailed Budget'!$AC$209</f>
        <v>135789361677.54817</v>
      </c>
      <c r="EP276" s="269">
        <f t="shared" si="815"/>
        <v>99372732.290181026</v>
      </c>
      <c r="EQ276" s="196">
        <f>'Detailed Budget'!$AC$211</f>
        <v>33947340419.387043</v>
      </c>
      <c r="ER276" s="269">
        <f t="shared" si="816"/>
        <v>24843183.072545256</v>
      </c>
      <c r="ES276" s="269">
        <f t="shared" si="743"/>
        <v>124215915.36272629</v>
      </c>
      <c r="ET276" s="196">
        <f>'Detailed Budget'!$AC$214</f>
        <v>22239745544.201103</v>
      </c>
      <c r="EU276" s="269">
        <f t="shared" si="817"/>
        <v>15806176.491280902</v>
      </c>
      <c r="EV276" s="140">
        <f>'Detailed Budget'!$AC$217</f>
        <v>5559936386.0502758</v>
      </c>
      <c r="EW276" s="269">
        <f t="shared" si="818"/>
        <v>3951544.1228202255</v>
      </c>
      <c r="EX276" s="269">
        <f t="shared" si="746"/>
        <v>19757720.614101127</v>
      </c>
      <c r="EY276" s="196">
        <f>'Detailed Budget'!$AC$219</f>
        <v>372777004.58170313</v>
      </c>
      <c r="EZ276" s="269">
        <f t="shared" si="819"/>
        <v>277357.6653711843</v>
      </c>
      <c r="FA276" s="196">
        <f>'Detailed Budget'!$AC$222</f>
        <v>93194251.145425782</v>
      </c>
      <c r="FB276" s="269">
        <f t="shared" si="820"/>
        <v>69339.416342796074</v>
      </c>
      <c r="FC276" s="269">
        <f t="shared" si="749"/>
        <v>346697.08171398035</v>
      </c>
      <c r="FD276" s="269"/>
      <c r="FE276" s="269">
        <f t="shared" si="750"/>
        <v>183000404.14597535</v>
      </c>
      <c r="FF276" s="140">
        <f>'Detailed Budget'!$AC$165</f>
        <v>14927760000</v>
      </c>
      <c r="FG276" s="1087">
        <f t="shared" si="788"/>
        <v>249624664.75703964</v>
      </c>
      <c r="FH276" s="269">
        <f t="shared" si="821"/>
        <v>16961436.200431772</v>
      </c>
      <c r="FJ276" s="140">
        <f>'Detailed Budget'!$AC$235</f>
        <v>3623696172</v>
      </c>
      <c r="FK276" s="269">
        <f t="shared" si="822"/>
        <v>4681778</v>
      </c>
      <c r="FL276" s="269">
        <f t="shared" si="789"/>
        <v>4681778</v>
      </c>
      <c r="FO276" s="607"/>
      <c r="FP276" s="607"/>
      <c r="FQ276" s="607"/>
      <c r="FR276" s="269">
        <f>'Detailed Budget'!$AC$257</f>
        <v>13636439388</v>
      </c>
      <c r="FS276" s="269">
        <f t="shared" si="823"/>
        <v>14490372</v>
      </c>
      <c r="FT276" s="269">
        <f t="shared" si="790"/>
        <v>14490372</v>
      </c>
      <c r="FU276" s="269"/>
      <c r="FV276" s="269"/>
      <c r="FW276" s="269"/>
      <c r="FX276" s="140">
        <f>'Detailed Budget'!$AC$278</f>
        <v>1114560000</v>
      </c>
      <c r="FY276" s="269">
        <f t="shared" si="824"/>
        <v>1440000</v>
      </c>
      <c r="FZ276" s="269">
        <f t="shared" si="791"/>
        <v>1440000</v>
      </c>
      <c r="GB276" s="269">
        <f t="shared" si="799"/>
        <v>922125636.60139871</v>
      </c>
      <c r="GC276" s="887">
        <f t="shared" si="753"/>
        <v>576328.52287587419</v>
      </c>
      <c r="GD276" s="1078">
        <f t="shared" si="800"/>
        <v>5.1743373160615573E-4</v>
      </c>
    </row>
    <row r="277" spans="1:186" outlineLevel="1">
      <c r="A277" s="211" t="s">
        <v>703</v>
      </c>
      <c r="B277" s="212" t="s">
        <v>704</v>
      </c>
      <c r="C277" s="213" t="s">
        <v>215</v>
      </c>
      <c r="D277" s="214"/>
      <c r="E277" s="213"/>
      <c r="F277" s="213"/>
      <c r="G277" s="213"/>
      <c r="H277" s="213" t="s">
        <v>215</v>
      </c>
      <c r="I277" s="214" t="s">
        <v>215</v>
      </c>
      <c r="J277" s="214"/>
      <c r="K277" s="213" t="s">
        <v>215</v>
      </c>
      <c r="L277" s="213"/>
      <c r="M277" s="214"/>
      <c r="N277" s="213"/>
      <c r="O277" s="214"/>
      <c r="P277" s="213"/>
      <c r="Q277" s="214"/>
      <c r="R277" s="214" t="s">
        <v>215</v>
      </c>
      <c r="S277" s="214"/>
      <c r="T277" s="214"/>
      <c r="U277" s="215">
        <f t="shared" si="830"/>
        <v>5</v>
      </c>
      <c r="V277" s="845" t="s">
        <v>467</v>
      </c>
      <c r="W277" s="216">
        <v>251135</v>
      </c>
      <c r="X277" s="217">
        <v>2.91</v>
      </c>
      <c r="Y277" s="218">
        <f t="shared" si="826"/>
        <v>1.0290999999999999</v>
      </c>
      <c r="Z277" s="196">
        <v>19</v>
      </c>
      <c r="AA277" s="218">
        <f t="shared" si="827"/>
        <v>1.7246222540408234</v>
      </c>
      <c r="AB277" s="196">
        <f t="shared" si="828"/>
        <v>433113.00976854219</v>
      </c>
      <c r="AC277">
        <v>20.100000000000001</v>
      </c>
      <c r="AD277" s="196">
        <f t="shared" si="829"/>
        <v>87055.714963476988</v>
      </c>
      <c r="AE277" s="196">
        <f t="shared" si="644"/>
        <v>82702.929215303142</v>
      </c>
      <c r="AF277" s="196">
        <f t="shared" si="831"/>
        <v>82702.929215303142</v>
      </c>
      <c r="AG277" s="606">
        <f t="shared" si="756"/>
        <v>3.8238203742533652E-3</v>
      </c>
      <c r="AH277" s="196">
        <f t="shared" si="846"/>
        <v>21655.650488427113</v>
      </c>
      <c r="AI277" s="248">
        <f t="shared" si="715"/>
        <v>1.6776304318230552E-3</v>
      </c>
      <c r="AJ277" s="196">
        <f t="shared" si="757"/>
        <v>108711.3654519041</v>
      </c>
      <c r="AK277" s="196">
        <f t="shared" si="785"/>
        <v>17324.520390741687</v>
      </c>
      <c r="AL277" s="196">
        <f t="shared" si="786"/>
        <v>17324.520390741687</v>
      </c>
      <c r="AM277" s="196">
        <f t="shared" si="716"/>
        <v>34649.040781483374</v>
      </c>
      <c r="AN277" s="627">
        <f t="shared" si="717"/>
        <v>1.677630431823055E-3</v>
      </c>
      <c r="AO277" s="196">
        <f t="shared" si="718"/>
        <v>16458.294371204604</v>
      </c>
      <c r="AP277" s="589">
        <f t="shared" si="758"/>
        <v>1.677630431823055E-3</v>
      </c>
      <c r="AQ277" s="196"/>
      <c r="AR277" s="589"/>
      <c r="AS277">
        <v>1</v>
      </c>
      <c r="AT277" s="589">
        <f t="shared" si="759"/>
        <v>1.2919896640826874E-3</v>
      </c>
      <c r="AU277" s="196">
        <v>11</v>
      </c>
      <c r="AV277" s="245">
        <f t="shared" si="719"/>
        <v>1.2498579706851495E-3</v>
      </c>
      <c r="AX277" s="245"/>
      <c r="AY277" s="245"/>
      <c r="AZ277" s="196">
        <v>41</v>
      </c>
      <c r="BA277" s="589">
        <f t="shared" si="793"/>
        <v>1.5023267743944891E-3</v>
      </c>
      <c r="BI277" s="196">
        <v>0</v>
      </c>
      <c r="BK277" s="246">
        <f t="shared" si="794"/>
        <v>0</v>
      </c>
      <c r="BL277" s="246"/>
      <c r="BM277" s="246">
        <f t="shared" si="795"/>
        <v>0</v>
      </c>
      <c r="BN277" s="196">
        <v>1</v>
      </c>
      <c r="BO277" s="196">
        <f t="shared" si="832"/>
        <v>36771.428997378287</v>
      </c>
      <c r="BP277" s="196">
        <f t="shared" si="762"/>
        <v>36771.428997378287</v>
      </c>
      <c r="BQ277" s="248">
        <f t="shared" si="796"/>
        <v>3.4397959474266084E-3</v>
      </c>
      <c r="BR277" s="248"/>
      <c r="BS277" s="248"/>
      <c r="BT277" s="276">
        <v>1</v>
      </c>
      <c r="BU277" s="196">
        <f t="shared" si="847"/>
        <v>72708.933137495973</v>
      </c>
      <c r="BV277" s="264">
        <f t="shared" si="797"/>
        <v>5.0432293245369483E-3</v>
      </c>
      <c r="BW277" s="196">
        <f t="shared" si="848"/>
        <v>311032.65842151054</v>
      </c>
      <c r="BX277" s="247">
        <f t="shared" si="798"/>
        <v>5.0432293699665511E-3</v>
      </c>
      <c r="BY277" s="196">
        <f t="shared" si="833"/>
        <v>383741.59155900648</v>
      </c>
      <c r="BZ277" s="620">
        <v>0</v>
      </c>
      <c r="CA277" s="196">
        <f t="shared" si="834"/>
        <v>132532.5809891739</v>
      </c>
      <c r="CB277" s="196">
        <f t="shared" si="835"/>
        <v>265065.16197834781</v>
      </c>
      <c r="CC277" s="196">
        <f t="shared" si="765"/>
        <v>397597.74296752171</v>
      </c>
      <c r="CD277" s="247">
        <f t="shared" si="720"/>
        <v>1.6776304318230548E-3</v>
      </c>
      <c r="CE277" s="196">
        <f t="shared" si="836"/>
        <v>52088.757296284508</v>
      </c>
      <c r="CF277" s="247">
        <f t="shared" si="721"/>
        <v>2.2493545332585734E-3</v>
      </c>
      <c r="CG277" s="196">
        <f t="shared" si="803"/>
        <v>65833.177484818414</v>
      </c>
      <c r="CH277" s="589">
        <f t="shared" si="767"/>
        <v>1.677630431823055E-3</v>
      </c>
      <c r="CI277" s="196">
        <f t="shared" si="837"/>
        <v>107947.19310902085</v>
      </c>
      <c r="CJ277" s="248">
        <f t="shared" si="769"/>
        <v>1.7746515807060988E-3</v>
      </c>
      <c r="CK277" s="196">
        <f t="shared" si="838"/>
        <v>131417.51203672087</v>
      </c>
      <c r="CL277" s="589">
        <f t="shared" si="771"/>
        <v>1.8891537669568255E-3</v>
      </c>
      <c r="CM277" s="196">
        <f t="shared" si="839"/>
        <v>12731.061220953514</v>
      </c>
      <c r="CN277" s="589">
        <f t="shared" si="773"/>
        <v>1.8346906060075292E-3</v>
      </c>
      <c r="CO277" s="196">
        <f t="shared" si="840"/>
        <v>1018.4756838286382</v>
      </c>
      <c r="CP277" s="589">
        <f t="shared" si="775"/>
        <v>1.9206882655660334E-3</v>
      </c>
      <c r="CQ277" s="196">
        <f>'Detailed Budget'!$AC$12</f>
        <v>292876014141.44696</v>
      </c>
      <c r="CR277" s="269">
        <f t="shared" si="724"/>
        <v>0</v>
      </c>
      <c r="CS277" s="269">
        <f>'Detailed Budget'!$AC$16</f>
        <v>10488008800.000002</v>
      </c>
      <c r="CT277" s="607">
        <f t="shared" si="804"/>
        <v>0</v>
      </c>
      <c r="CU277" s="269">
        <f>'Detailed Budget'!$AC$24</f>
        <v>30624985696</v>
      </c>
      <c r="CV277" s="269">
        <f t="shared" si="792"/>
        <v>0</v>
      </c>
      <c r="CW277" s="269"/>
      <c r="CX277" s="269">
        <f t="shared" si="776"/>
        <v>0</v>
      </c>
      <c r="CY277" s="196">
        <f>'Detailed Budget'!$AC$97</f>
        <v>74629165494.837845</v>
      </c>
      <c r="CZ277" s="269">
        <f t="shared" si="805"/>
        <v>256709101.02897289</v>
      </c>
      <c r="DA277" s="269">
        <f>'Detailed Budget'!$AC$100</f>
        <v>14925833098.967569</v>
      </c>
      <c r="DB277" s="269">
        <f t="shared" si="806"/>
        <v>51341820.20579458</v>
      </c>
      <c r="DC277" s="269">
        <f t="shared" si="728"/>
        <v>308050921.2347675</v>
      </c>
      <c r="DD277" s="207">
        <v>0</v>
      </c>
      <c r="DE277" s="606">
        <v>0</v>
      </c>
      <c r="DF277" s="269">
        <f>'Detailed Budget'!$AC$147</f>
        <v>5913600671000</v>
      </c>
      <c r="DG277" s="269">
        <f t="shared" si="787"/>
        <v>0</v>
      </c>
      <c r="DH277" s="269">
        <f>'Detailed Budget'!$AC$153</f>
        <v>226428026880.00003</v>
      </c>
      <c r="DI277" s="269"/>
      <c r="DJ277" s="269">
        <f>'Detailed Budget'!$AC$156</f>
        <v>27713070000</v>
      </c>
      <c r="DK277" s="269"/>
      <c r="DL277" s="269"/>
      <c r="DM277" s="196">
        <f>'Detailed Budget'!$AC$178</f>
        <v>5622683761.6229038</v>
      </c>
      <c r="DN277" s="269">
        <f t="shared" si="841"/>
        <v>28356483.629214346</v>
      </c>
      <c r="DO277" s="196">
        <f>'Detailed Budget'!$AC$179</f>
        <v>26827890683.128094</v>
      </c>
      <c r="DP277" s="269">
        <f t="shared" si="842"/>
        <v>135299206.22740361</v>
      </c>
      <c r="DQ277" s="269">
        <f t="shared" si="843"/>
        <v>163655689.85661796</v>
      </c>
      <c r="DR277" s="269">
        <f>'Detailed Budget'!$AC$181</f>
        <v>50888946855.375237</v>
      </c>
      <c r="DS277" s="269">
        <f t="shared" si="844"/>
        <v>194590191.80988055</v>
      </c>
      <c r="DT277" s="269">
        <f t="shared" si="845"/>
        <v>358245881.66649854</v>
      </c>
      <c r="DU277" s="272">
        <f>'Detailed Budget'!$AC$192</f>
        <v>77498869683.252869</v>
      </c>
      <c r="DV277" s="269">
        <f t="shared" si="807"/>
        <v>0</v>
      </c>
      <c r="DW277" s="140">
        <f>'Detailed Budget'!$AC$194</f>
        <v>2684962805.4134097</v>
      </c>
      <c r="DX277" s="269">
        <f t="shared" si="808"/>
        <v>0</v>
      </c>
      <c r="DY277" s="607">
        <f t="shared" si="731"/>
        <v>0</v>
      </c>
      <c r="DZ277" s="196">
        <f>'Detailed Budget'!$AC$198</f>
        <v>18732540018.380611</v>
      </c>
      <c r="EA277" s="269">
        <f t="shared" si="809"/>
        <v>42136123.809792072</v>
      </c>
      <c r="EB277" s="196">
        <f>'Detailed Budget'!$AC$200</f>
        <v>4683135004.5951529</v>
      </c>
      <c r="EC277" s="269">
        <f t="shared" si="810"/>
        <v>10534030.952448018</v>
      </c>
      <c r="ED277" s="269">
        <f t="shared" si="734"/>
        <v>52670154.762240089</v>
      </c>
      <c r="EE277" s="196">
        <f>'Detailed Budget'!$AC$161</f>
        <v>251147290106.36197</v>
      </c>
      <c r="EF277" s="269">
        <f t="shared" si="811"/>
        <v>421332336.75232613</v>
      </c>
      <c r="EG277" s="196">
        <f>'Detailed Budget'!$AC$163</f>
        <v>15696705631.647623</v>
      </c>
      <c r="EH277" s="269">
        <f t="shared" si="812"/>
        <v>26333271.047020383</v>
      </c>
      <c r="EI277" s="269">
        <f t="shared" si="737"/>
        <v>447665607.79934651</v>
      </c>
      <c r="EJ277" s="196">
        <f>'Detailed Budget'!$AC$204</f>
        <v>45012172507.531975</v>
      </c>
      <c r="EK277" s="269">
        <f t="shared" si="813"/>
        <v>79880923.091507226</v>
      </c>
      <c r="EL277" s="201">
        <f>'Detailed Budget'!$AC$206</f>
        <v>11253043126.882994</v>
      </c>
      <c r="EM277" s="269">
        <f t="shared" si="814"/>
        <v>19970230.772876807</v>
      </c>
      <c r="EN277" s="269">
        <f t="shared" si="740"/>
        <v>99851153.864384025</v>
      </c>
      <c r="EO277" s="140">
        <f>'Detailed Budget'!$AC$209</f>
        <v>135789361677.54817</v>
      </c>
      <c r="EP277" s="269">
        <f t="shared" si="815"/>
        <v>256526984.12580293</v>
      </c>
      <c r="EQ277" s="196">
        <f>'Detailed Budget'!$AC$211</f>
        <v>33947340419.387043</v>
      </c>
      <c r="ER277" s="269">
        <f t="shared" si="816"/>
        <v>64131746.031450734</v>
      </c>
      <c r="ES277" s="269">
        <f t="shared" si="743"/>
        <v>320658730.15725368</v>
      </c>
      <c r="ET277" s="196">
        <f>'Detailed Budget'!$AC$214</f>
        <v>22239745544.201103</v>
      </c>
      <c r="EU277" s="269">
        <f t="shared" si="817"/>
        <v>40803052.229943573</v>
      </c>
      <c r="EV277" s="140">
        <f>'Detailed Budget'!$AC$217</f>
        <v>5559936386.0502758</v>
      </c>
      <c r="EW277" s="269">
        <f t="shared" si="818"/>
        <v>10200763.057485893</v>
      </c>
      <c r="EX277" s="269">
        <f t="shared" si="746"/>
        <v>51003815.287429467</v>
      </c>
      <c r="EY277" s="196">
        <f>'Detailed Budget'!$AC$219</f>
        <v>372777004.58170313</v>
      </c>
      <c r="EZ277" s="269">
        <f t="shared" si="819"/>
        <v>715988.41837293271</v>
      </c>
      <c r="FA277" s="196">
        <f>'Detailed Budget'!$AC$222</f>
        <v>93194251.145425782</v>
      </c>
      <c r="FB277" s="269">
        <f t="shared" si="820"/>
        <v>178997.10459323318</v>
      </c>
      <c r="FC277" s="269">
        <f t="shared" si="749"/>
        <v>894985.52296616591</v>
      </c>
      <c r="FD277" s="269"/>
      <c r="FE277" s="269">
        <f t="shared" si="750"/>
        <v>472408684.83203328</v>
      </c>
      <c r="FF277" s="140">
        <f>'Detailed Budget'!$AC$165</f>
        <v>14927760000</v>
      </c>
      <c r="FG277" s="1087">
        <f t="shared" si="788"/>
        <v>644396716.66213524</v>
      </c>
      <c r="FH277" s="269">
        <f t="shared" si="821"/>
        <v>18657579.820474949</v>
      </c>
      <c r="FJ277" s="140">
        <f>'Detailed Budget'!$AC$235</f>
        <v>3623696172</v>
      </c>
      <c r="FK277" s="269">
        <f t="shared" si="822"/>
        <v>4681778</v>
      </c>
      <c r="FL277" s="269">
        <f t="shared" si="789"/>
        <v>4681778</v>
      </c>
      <c r="FO277" s="607"/>
      <c r="FP277" s="607"/>
      <c r="FQ277" s="607"/>
      <c r="FR277" s="269">
        <f>'Detailed Budget'!$AC$257</f>
        <v>13636439388</v>
      </c>
      <c r="FS277" s="269">
        <f t="shared" si="823"/>
        <v>20486388</v>
      </c>
      <c r="FT277" s="269">
        <f t="shared" si="790"/>
        <v>20486388</v>
      </c>
      <c r="FU277" s="269"/>
      <c r="FV277" s="269"/>
      <c r="FW277" s="269"/>
      <c r="FX277" s="140">
        <f>'Detailed Budget'!$AC$278</f>
        <v>1114560000</v>
      </c>
      <c r="FY277" s="269">
        <f t="shared" si="824"/>
        <v>1440000</v>
      </c>
      <c r="FZ277" s="269">
        <f t="shared" si="791"/>
        <v>1440000</v>
      </c>
      <c r="GB277" s="269">
        <f t="shared" si="799"/>
        <v>2328703712.7774963</v>
      </c>
      <c r="GC277" s="887">
        <f t="shared" si="753"/>
        <v>1455439.8204859353</v>
      </c>
      <c r="GD277" s="1078">
        <f t="shared" si="800"/>
        <v>1.3067089820304231E-3</v>
      </c>
    </row>
    <row r="278" spans="1:186" outlineLevel="1">
      <c r="A278" s="211" t="s">
        <v>705</v>
      </c>
      <c r="B278" s="212" t="s">
        <v>706</v>
      </c>
      <c r="C278" s="213" t="s">
        <v>215</v>
      </c>
      <c r="D278" s="214"/>
      <c r="E278" s="213"/>
      <c r="F278" s="213"/>
      <c r="G278" s="213"/>
      <c r="H278" s="213" t="s">
        <v>215</v>
      </c>
      <c r="I278" s="214" t="s">
        <v>215</v>
      </c>
      <c r="J278" s="214"/>
      <c r="K278" s="213" t="s">
        <v>215</v>
      </c>
      <c r="L278" s="213"/>
      <c r="M278" s="214"/>
      <c r="N278" s="213"/>
      <c r="O278" s="214"/>
      <c r="P278" s="213"/>
      <c r="Q278" s="214"/>
      <c r="R278" s="214" t="s">
        <v>215</v>
      </c>
      <c r="S278" s="214"/>
      <c r="T278" s="214"/>
      <c r="U278" s="215">
        <f t="shared" si="830"/>
        <v>5</v>
      </c>
      <c r="V278" s="845" t="s">
        <v>467</v>
      </c>
      <c r="W278" s="216">
        <v>82153</v>
      </c>
      <c r="X278" s="217">
        <v>2.91</v>
      </c>
      <c r="Y278" s="218">
        <f t="shared" si="826"/>
        <v>1.0290999999999999</v>
      </c>
      <c r="Z278" s="196">
        <v>19</v>
      </c>
      <c r="AA278" s="218">
        <f t="shared" si="827"/>
        <v>1.7246222540408234</v>
      </c>
      <c r="AB278" s="196">
        <f t="shared" si="828"/>
        <v>141682.89203621575</v>
      </c>
      <c r="AC278">
        <v>20.100000000000001</v>
      </c>
      <c r="AD278" s="196">
        <f t="shared" si="829"/>
        <v>28478.261299279369</v>
      </c>
      <c r="AE278" s="196">
        <f t="shared" ref="AE278:AE343" si="849">AD278*0.95</f>
        <v>27054.348234315399</v>
      </c>
      <c r="AF278" s="196">
        <f t="shared" si="831"/>
        <v>27054.348234315399</v>
      </c>
      <c r="AG278" s="606">
        <f t="shared" si="756"/>
        <v>1.2508742915405525E-3</v>
      </c>
      <c r="AH278" s="196">
        <f t="shared" si="846"/>
        <v>7084.1446018107881</v>
      </c>
      <c r="AI278" s="248">
        <f t="shared" si="715"/>
        <v>5.4879794877480011E-4</v>
      </c>
      <c r="AJ278" s="196">
        <f t="shared" si="757"/>
        <v>35562.405901090155</v>
      </c>
      <c r="AK278" s="196">
        <f t="shared" si="785"/>
        <v>5667.3156814486301</v>
      </c>
      <c r="AL278" s="196">
        <f t="shared" si="786"/>
        <v>5667.3156814486301</v>
      </c>
      <c r="AM278" s="196">
        <f t="shared" si="716"/>
        <v>11334.63136289726</v>
      </c>
      <c r="AN278" s="627">
        <f t="shared" si="717"/>
        <v>5.4879794877480011E-4</v>
      </c>
      <c r="AO278" s="196">
        <f t="shared" si="718"/>
        <v>5383.9498973761984</v>
      </c>
      <c r="AP278" s="589">
        <f t="shared" si="758"/>
        <v>5.4879794877480011E-4</v>
      </c>
      <c r="AQ278" s="196"/>
      <c r="AR278" s="589"/>
      <c r="AS278">
        <v>1</v>
      </c>
      <c r="AT278" s="589">
        <f t="shared" si="759"/>
        <v>1.2919896640826874E-3</v>
      </c>
      <c r="AU278" s="196">
        <v>10</v>
      </c>
      <c r="AV278" s="245">
        <f t="shared" si="719"/>
        <v>1.1362345188046814E-3</v>
      </c>
      <c r="AX278" s="245"/>
      <c r="AY278" s="245"/>
      <c r="AZ278" s="196">
        <v>20</v>
      </c>
      <c r="BA278" s="589">
        <f t="shared" si="793"/>
        <v>7.3284232897292143E-4</v>
      </c>
      <c r="BI278" s="196">
        <v>0</v>
      </c>
      <c r="BK278" s="246">
        <f t="shared" si="794"/>
        <v>0</v>
      </c>
      <c r="BL278" s="246"/>
      <c r="BM278" s="246">
        <f t="shared" si="795"/>
        <v>0</v>
      </c>
      <c r="BN278" s="196">
        <v>1</v>
      </c>
      <c r="BO278" s="196">
        <f t="shared" si="832"/>
        <v>12028.921521976696</v>
      </c>
      <c r="BP278" s="196">
        <f t="shared" si="762"/>
        <v>12028.921521976696</v>
      </c>
      <c r="BQ278" s="248">
        <f t="shared" si="796"/>
        <v>1.1252495927247818E-3</v>
      </c>
      <c r="BR278" s="248"/>
      <c r="BS278" s="248"/>
      <c r="BT278" s="276">
        <v>1</v>
      </c>
      <c r="BU278" s="196">
        <f t="shared" si="847"/>
        <v>23785.043837158126</v>
      </c>
      <c r="BV278" s="264">
        <f t="shared" si="797"/>
        <v>1.6497756931478443E-3</v>
      </c>
      <c r="BW278" s="196">
        <f t="shared" si="848"/>
        <v>101747.13197006533</v>
      </c>
      <c r="BX278" s="247">
        <f t="shared" si="798"/>
        <v>1.6497757080090871E-3</v>
      </c>
      <c r="BY278" s="196">
        <f t="shared" si="833"/>
        <v>125532.17580722345</v>
      </c>
      <c r="BZ278" s="620">
        <v>0</v>
      </c>
      <c r="CA278" s="196">
        <f t="shared" si="834"/>
        <v>43354.96496308202</v>
      </c>
      <c r="CB278" s="196">
        <f t="shared" si="835"/>
        <v>86709.929926164041</v>
      </c>
      <c r="CC278" s="196">
        <f t="shared" si="765"/>
        <v>130064.89488924606</v>
      </c>
      <c r="CD278" s="247">
        <f t="shared" si="720"/>
        <v>5.4879794877480011E-4</v>
      </c>
      <c r="CE278" s="196">
        <f t="shared" si="836"/>
        <v>17039.630788865194</v>
      </c>
      <c r="CF278" s="247">
        <f t="shared" si="721"/>
        <v>7.3582424978912368E-4</v>
      </c>
      <c r="CG278" s="196">
        <f t="shared" si="803"/>
        <v>21535.799589504793</v>
      </c>
      <c r="CH278" s="589">
        <f t="shared" si="767"/>
        <v>5.4879794877480011E-4</v>
      </c>
      <c r="CI278" s="196">
        <f t="shared" si="837"/>
        <v>35312.424614193122</v>
      </c>
      <c r="CJ278" s="248">
        <f t="shared" si="769"/>
        <v>5.8053617102255017E-4</v>
      </c>
      <c r="CK278" s="196">
        <f t="shared" si="838"/>
        <v>42990.19597568133</v>
      </c>
      <c r="CL278" s="589">
        <f t="shared" si="771"/>
        <v>6.1799290985646799E-4</v>
      </c>
      <c r="CM278" s="196">
        <f t="shared" si="839"/>
        <v>4164.6718796065625</v>
      </c>
      <c r="CN278" s="589">
        <f t="shared" si="773"/>
        <v>6.0017654789390788E-4</v>
      </c>
      <c r="CO278" s="196">
        <f t="shared" si="840"/>
        <v>333.1707362716233</v>
      </c>
      <c r="CP278" s="589">
        <f t="shared" si="775"/>
        <v>6.2830869086764624E-4</v>
      </c>
      <c r="CQ278" s="196">
        <f>'Detailed Budget'!$AC$12</f>
        <v>292876014141.44696</v>
      </c>
      <c r="CR278" s="269">
        <f t="shared" si="724"/>
        <v>0</v>
      </c>
      <c r="CS278" s="269">
        <f>'Detailed Budget'!$AC$16</f>
        <v>10488008800.000002</v>
      </c>
      <c r="CT278" s="607">
        <f t="shared" si="804"/>
        <v>0</v>
      </c>
      <c r="CU278" s="269">
        <f>'Detailed Budget'!$AC$24</f>
        <v>30624985696</v>
      </c>
      <c r="CV278" s="269">
        <f t="shared" si="792"/>
        <v>0</v>
      </c>
      <c r="CW278" s="269"/>
      <c r="CX278" s="269">
        <f t="shared" si="776"/>
        <v>0</v>
      </c>
      <c r="CY278" s="196">
        <f>'Detailed Budget'!$AC$97</f>
        <v>74629165494.837845</v>
      </c>
      <c r="CZ278" s="269">
        <f t="shared" si="805"/>
        <v>83976438.078456625</v>
      </c>
      <c r="DA278" s="269">
        <f>'Detailed Budget'!$AC$100</f>
        <v>14925833098.967569</v>
      </c>
      <c r="DB278" s="269">
        <f t="shared" si="806"/>
        <v>16795287.615691327</v>
      </c>
      <c r="DC278" s="269">
        <f t="shared" si="728"/>
        <v>100771725.69414794</v>
      </c>
      <c r="DD278" s="207">
        <v>0</v>
      </c>
      <c r="DE278" s="606">
        <v>0</v>
      </c>
      <c r="DF278" s="269">
        <f>'Detailed Budget'!$AC$147</f>
        <v>5913600671000</v>
      </c>
      <c r="DG278" s="269">
        <f t="shared" si="787"/>
        <v>0</v>
      </c>
      <c r="DH278" s="269">
        <f>'Detailed Budget'!$AC$153</f>
        <v>226428026880.00003</v>
      </c>
      <c r="DI278" s="269"/>
      <c r="DJ278" s="269">
        <f>'Detailed Budget'!$AC$156</f>
        <v>27713070000</v>
      </c>
      <c r="DK278" s="269"/>
      <c r="DL278" s="269"/>
      <c r="DM278" s="196">
        <f>'Detailed Budget'!$AC$178</f>
        <v>5622683761.6229038</v>
      </c>
      <c r="DN278" s="269">
        <f t="shared" si="841"/>
        <v>9276167.0001825541</v>
      </c>
      <c r="DO278" s="196">
        <f>'Detailed Budget'!$AC$179</f>
        <v>26827890683.128094</v>
      </c>
      <c r="DP278" s="269">
        <f t="shared" si="842"/>
        <v>44260002.346148044</v>
      </c>
      <c r="DQ278" s="269">
        <f t="shared" si="843"/>
        <v>53536169.346330598</v>
      </c>
      <c r="DR278" s="269">
        <f>'Detailed Budget'!$AC$181</f>
        <v>50888946855.375237</v>
      </c>
      <c r="DS278" s="269">
        <f t="shared" si="844"/>
        <v>63655675.344962321</v>
      </c>
      <c r="DT278" s="269">
        <f t="shared" si="845"/>
        <v>117191844.69129291</v>
      </c>
      <c r="DU278" s="272">
        <f>'Detailed Budget'!$AC$192</f>
        <v>77498869683.252869</v>
      </c>
      <c r="DV278" s="269">
        <f t="shared" si="807"/>
        <v>0</v>
      </c>
      <c r="DW278" s="140">
        <f>'Detailed Budget'!$AC$194</f>
        <v>2684962805.4134097</v>
      </c>
      <c r="DX278" s="269">
        <f t="shared" si="808"/>
        <v>0</v>
      </c>
      <c r="DY278" s="607">
        <f t="shared" si="731"/>
        <v>0</v>
      </c>
      <c r="DZ278" s="196">
        <f>'Detailed Budget'!$AC$198</f>
        <v>18732540018.380611</v>
      </c>
      <c r="EA278" s="269">
        <f t="shared" si="809"/>
        <v>13783857.205669651</v>
      </c>
      <c r="EB278" s="196">
        <f>'Detailed Budget'!$AC$200</f>
        <v>4683135004.5951529</v>
      </c>
      <c r="EC278" s="269">
        <f t="shared" si="810"/>
        <v>3445964.3014174127</v>
      </c>
      <c r="ED278" s="269">
        <f t="shared" si="734"/>
        <v>17229821.507087063</v>
      </c>
      <c r="EE278" s="196">
        <f>'Detailed Budget'!$AC$161</f>
        <v>251147290106.36197</v>
      </c>
      <c r="EF278" s="269">
        <f t="shared" si="811"/>
        <v>137829117.6507211</v>
      </c>
      <c r="EG278" s="196">
        <f>'Detailed Budget'!$AC$163</f>
        <v>15696705631.647623</v>
      </c>
      <c r="EH278" s="269">
        <f t="shared" si="812"/>
        <v>8614319.8531700689</v>
      </c>
      <c r="EI278" s="269">
        <f t="shared" si="737"/>
        <v>146443437.50389117</v>
      </c>
      <c r="EJ278" s="196">
        <f>'Detailed Budget'!$AC$204</f>
        <v>45012172507.531975</v>
      </c>
      <c r="EK278" s="269">
        <f t="shared" si="813"/>
        <v>26131194.276929114</v>
      </c>
      <c r="EL278" s="201">
        <f>'Detailed Budget'!$AC$206</f>
        <v>11253043126.882994</v>
      </c>
      <c r="EM278" s="269">
        <f t="shared" si="814"/>
        <v>6532798.5692322785</v>
      </c>
      <c r="EN278" s="269">
        <f t="shared" si="740"/>
        <v>32663992.846161392</v>
      </c>
      <c r="EO278" s="140">
        <f>'Detailed Budget'!$AC$209</f>
        <v>135789361677.54817</v>
      </c>
      <c r="EP278" s="269">
        <f t="shared" si="815"/>
        <v>83916862.75066036</v>
      </c>
      <c r="EQ278" s="196">
        <f>'Detailed Budget'!$AC$211</f>
        <v>33947340419.387043</v>
      </c>
      <c r="ER278" s="269">
        <f t="shared" si="816"/>
        <v>20979215.68766509</v>
      </c>
      <c r="ES278" s="269">
        <f t="shared" si="743"/>
        <v>104896078.43832545</v>
      </c>
      <c r="ET278" s="196">
        <f>'Detailed Budget'!$AC$214</f>
        <v>22239745544.201103</v>
      </c>
      <c r="EU278" s="269">
        <f t="shared" si="817"/>
        <v>13347773.706757538</v>
      </c>
      <c r="EV278" s="140">
        <f>'Detailed Budget'!$AC$217</f>
        <v>5559936386.0502758</v>
      </c>
      <c r="EW278" s="269">
        <f t="shared" si="818"/>
        <v>3336943.4266893845</v>
      </c>
      <c r="EX278" s="269">
        <f t="shared" si="746"/>
        <v>16684717.133446923</v>
      </c>
      <c r="EY278" s="196">
        <f>'Detailed Budget'!$AC$219</f>
        <v>372777004.58170313</v>
      </c>
      <c r="EZ278" s="269">
        <f t="shared" si="819"/>
        <v>234219.03173429245</v>
      </c>
      <c r="FA278" s="196">
        <f>'Detailed Budget'!$AC$222</f>
        <v>93194251.145425782</v>
      </c>
      <c r="FB278" s="269">
        <f t="shared" si="820"/>
        <v>58554.757933573113</v>
      </c>
      <c r="FC278" s="269">
        <f t="shared" si="749"/>
        <v>292773.78966786555</v>
      </c>
      <c r="FD278" s="269"/>
      <c r="FE278" s="269">
        <f t="shared" si="750"/>
        <v>154537562.20760164</v>
      </c>
      <c r="FF278" s="140">
        <f>'Detailed Budget'!$AC$165</f>
        <v>14927760000</v>
      </c>
      <c r="FG278" s="1087">
        <f t="shared" si="788"/>
        <v>210799464.28791049</v>
      </c>
      <c r="FH278" s="269">
        <f t="shared" si="821"/>
        <v>16961436.200431772</v>
      </c>
      <c r="FJ278" s="140">
        <f>'Detailed Budget'!$AC$235</f>
        <v>3623696172</v>
      </c>
      <c r="FK278" s="269">
        <f t="shared" si="822"/>
        <v>4681778</v>
      </c>
      <c r="FL278" s="269">
        <f t="shared" si="789"/>
        <v>4681778</v>
      </c>
      <c r="FO278" s="607"/>
      <c r="FP278" s="607"/>
      <c r="FQ278" s="607"/>
      <c r="FR278" s="269">
        <f>'Detailed Budget'!$AC$257</f>
        <v>13636439388</v>
      </c>
      <c r="FS278" s="269">
        <f t="shared" si="823"/>
        <v>9993360</v>
      </c>
      <c r="FT278" s="269">
        <f t="shared" si="790"/>
        <v>9993360</v>
      </c>
      <c r="FU278" s="269"/>
      <c r="FV278" s="269"/>
      <c r="FW278" s="269"/>
      <c r="FX278" s="140">
        <f>'Detailed Budget'!$AC$278</f>
        <v>1114560000</v>
      </c>
      <c r="FY278" s="269">
        <f t="shared" si="824"/>
        <v>1440000</v>
      </c>
      <c r="FZ278" s="269">
        <f t="shared" si="791"/>
        <v>1440000</v>
      </c>
      <c r="GB278" s="269">
        <f t="shared" si="799"/>
        <v>780050430.092363</v>
      </c>
      <c r="GC278" s="887">
        <f t="shared" si="753"/>
        <v>487531.51880772685</v>
      </c>
      <c r="GD278" s="1078">
        <f t="shared" si="800"/>
        <v>4.377108594131303E-4</v>
      </c>
    </row>
    <row r="279" spans="1:186" outlineLevel="1">
      <c r="A279" s="211" t="s">
        <v>707</v>
      </c>
      <c r="B279" s="212" t="s">
        <v>708</v>
      </c>
      <c r="C279" s="213" t="s">
        <v>215</v>
      </c>
      <c r="D279" s="214"/>
      <c r="E279" s="213"/>
      <c r="F279" s="213"/>
      <c r="G279" s="213"/>
      <c r="H279" s="213" t="s">
        <v>215</v>
      </c>
      <c r="I279" s="214" t="s">
        <v>215</v>
      </c>
      <c r="J279" s="214"/>
      <c r="K279" s="213" t="s">
        <v>215</v>
      </c>
      <c r="L279" s="213"/>
      <c r="M279" s="214"/>
      <c r="N279" s="213"/>
      <c r="O279" s="214"/>
      <c r="P279" s="213"/>
      <c r="Q279" s="214"/>
      <c r="R279" s="214" t="s">
        <v>215</v>
      </c>
      <c r="S279" s="214"/>
      <c r="T279" s="214"/>
      <c r="U279" s="215">
        <f t="shared" si="830"/>
        <v>5</v>
      </c>
      <c r="V279" s="845" t="s">
        <v>467</v>
      </c>
      <c r="W279" s="216">
        <v>150261</v>
      </c>
      <c r="X279" s="217">
        <v>2.91</v>
      </c>
      <c r="Y279" s="218">
        <f t="shared" si="826"/>
        <v>1.0290999999999999</v>
      </c>
      <c r="Z279" s="196">
        <v>19</v>
      </c>
      <c r="AA279" s="218">
        <f t="shared" si="827"/>
        <v>1.7246222540408234</v>
      </c>
      <c r="AB279" s="196">
        <f t="shared" si="828"/>
        <v>259143.46451442817</v>
      </c>
      <c r="AC279">
        <v>20.100000000000001</v>
      </c>
      <c r="AD279" s="196">
        <f t="shared" si="829"/>
        <v>52087.836367400065</v>
      </c>
      <c r="AE279" s="196">
        <f t="shared" si="849"/>
        <v>49483.444549030057</v>
      </c>
      <c r="AF279" s="196">
        <f t="shared" si="831"/>
        <v>49483.444549030057</v>
      </c>
      <c r="AG279" s="606">
        <f t="shared" si="756"/>
        <v>2.2878972395551588E-3</v>
      </c>
      <c r="AH279" s="196">
        <f t="shared" si="846"/>
        <v>12957.17322572141</v>
      </c>
      <c r="AI279" s="248">
        <f t="shared" si="715"/>
        <v>1.0037725777616187E-3</v>
      </c>
      <c r="AJ279" s="196">
        <f t="shared" si="757"/>
        <v>65045.009593121475</v>
      </c>
      <c r="AK279" s="196">
        <f t="shared" si="785"/>
        <v>10365.738580577126</v>
      </c>
      <c r="AL279" s="196">
        <f t="shared" si="786"/>
        <v>10365.738580577126</v>
      </c>
      <c r="AM279" s="196">
        <f t="shared" si="716"/>
        <v>20731.477161154253</v>
      </c>
      <c r="AN279" s="627">
        <f t="shared" si="717"/>
        <v>1.0037725777616185E-3</v>
      </c>
      <c r="AO279" s="196">
        <f t="shared" si="718"/>
        <v>9847.4516515482701</v>
      </c>
      <c r="AP279" s="589">
        <f t="shared" si="758"/>
        <v>1.0037725777616185E-3</v>
      </c>
      <c r="AQ279" s="196"/>
      <c r="AR279" s="589"/>
      <c r="AS279">
        <v>1</v>
      </c>
      <c r="AT279" s="589">
        <f t="shared" si="759"/>
        <v>1.2919896640826874E-3</v>
      </c>
      <c r="AU279" s="196">
        <v>11</v>
      </c>
      <c r="AV279" s="245">
        <f t="shared" si="719"/>
        <v>1.2498579706851495E-3</v>
      </c>
      <c r="AX279" s="245"/>
      <c r="AY279" s="245"/>
      <c r="AZ279" s="196">
        <v>28</v>
      </c>
      <c r="BA279" s="589">
        <f t="shared" si="793"/>
        <v>1.0259792605620901E-3</v>
      </c>
      <c r="BI279" s="196">
        <v>0</v>
      </c>
      <c r="BK279" s="246">
        <f t="shared" si="794"/>
        <v>0</v>
      </c>
      <c r="BL279" s="246"/>
      <c r="BM279" s="246">
        <f t="shared" si="795"/>
        <v>0</v>
      </c>
      <c r="BN279" s="196">
        <v>1</v>
      </c>
      <c r="BO279" s="196">
        <f t="shared" si="832"/>
        <v>22001.360593207075</v>
      </c>
      <c r="BP279" s="196">
        <f t="shared" si="762"/>
        <v>22001.360593207075</v>
      </c>
      <c r="BQ279" s="248">
        <f t="shared" si="796"/>
        <v>2.058124828702768E-3</v>
      </c>
      <c r="BR279" s="248"/>
      <c r="BS279" s="248"/>
      <c r="BT279" s="276">
        <v>1</v>
      </c>
      <c r="BU279" s="196">
        <f t="shared" si="847"/>
        <v>43503.760934052531</v>
      </c>
      <c r="BV279" s="264">
        <f t="shared" si="797"/>
        <v>3.0175032613305448E-3</v>
      </c>
      <c r="BW279" s="196">
        <f t="shared" si="848"/>
        <v>186099.42177344693</v>
      </c>
      <c r="BX279" s="247">
        <f t="shared" si="798"/>
        <v>3.0175032885123299E-3</v>
      </c>
      <c r="BY279" s="196">
        <f t="shared" si="833"/>
        <v>229603.18270749945</v>
      </c>
      <c r="BZ279" s="620">
        <v>0</v>
      </c>
      <c r="CA279" s="196">
        <f t="shared" si="834"/>
        <v>79297.900141415012</v>
      </c>
      <c r="CB279" s="196">
        <f t="shared" si="835"/>
        <v>158595.80028283002</v>
      </c>
      <c r="CC279" s="196">
        <f t="shared" si="765"/>
        <v>237893.70042424503</v>
      </c>
      <c r="CD279" s="247">
        <f t="shared" si="720"/>
        <v>1.0037725777616185E-3</v>
      </c>
      <c r="CE279" s="196">
        <f t="shared" si="836"/>
        <v>31166.140761331586</v>
      </c>
      <c r="CF279" s="247">
        <f t="shared" si="721"/>
        <v>1.3458508830786892E-3</v>
      </c>
      <c r="CG279" s="196">
        <f t="shared" si="803"/>
        <v>39389.80660619308</v>
      </c>
      <c r="CH279" s="589">
        <f t="shared" si="767"/>
        <v>1.0037725777616185E-3</v>
      </c>
      <c r="CI279" s="196">
        <f t="shared" si="837"/>
        <v>64587.784194774053</v>
      </c>
      <c r="CJ279" s="248">
        <f t="shared" si="769"/>
        <v>1.0618230082166129E-3</v>
      </c>
      <c r="CK279" s="196">
        <f t="shared" si="838"/>
        <v>78630.723619366938</v>
      </c>
      <c r="CL279" s="589">
        <f t="shared" si="771"/>
        <v>1.1303328256782191E-3</v>
      </c>
      <c r="CM279" s="196">
        <f t="shared" si="839"/>
        <v>7617.3452132187704</v>
      </c>
      <c r="CN279" s="589">
        <f t="shared" si="773"/>
        <v>1.097746013695014E-3</v>
      </c>
      <c r="CO279" s="196">
        <f t="shared" si="840"/>
        <v>609.38210415822175</v>
      </c>
      <c r="CP279" s="589">
        <f t="shared" si="775"/>
        <v>1.1492007863189828E-3</v>
      </c>
      <c r="CQ279" s="196">
        <f>'Detailed Budget'!$AC$12</f>
        <v>292876014141.44696</v>
      </c>
      <c r="CR279" s="269">
        <f t="shared" si="724"/>
        <v>0</v>
      </c>
      <c r="CS279" s="269">
        <f>'Detailed Budget'!$AC$16</f>
        <v>10488008800.000002</v>
      </c>
      <c r="CT279" s="607">
        <f t="shared" si="804"/>
        <v>0</v>
      </c>
      <c r="CU279" s="269">
        <f>'Detailed Budget'!$AC$24</f>
        <v>30624985696</v>
      </c>
      <c r="CV279" s="269">
        <f t="shared" si="792"/>
        <v>0</v>
      </c>
      <c r="CW279" s="269"/>
      <c r="CX279" s="269">
        <f t="shared" si="776"/>
        <v>0</v>
      </c>
      <c r="CY279" s="196">
        <f>'Detailed Budget'!$AC$97</f>
        <v>74629165494.837845</v>
      </c>
      <c r="CZ279" s="269">
        <f t="shared" si="805"/>
        <v>153596138.45029366</v>
      </c>
      <c r="DA279" s="269">
        <f>'Detailed Budget'!$AC$100</f>
        <v>14925833098.967569</v>
      </c>
      <c r="DB279" s="269">
        <f t="shared" si="806"/>
        <v>30719227.690058734</v>
      </c>
      <c r="DC279" s="269">
        <f t="shared" si="728"/>
        <v>184315366.1403524</v>
      </c>
      <c r="DD279" s="207">
        <v>0</v>
      </c>
      <c r="DE279" s="606">
        <v>0</v>
      </c>
      <c r="DF279" s="269">
        <f>'Detailed Budget'!$AC$147</f>
        <v>5913600671000</v>
      </c>
      <c r="DG279" s="269">
        <f t="shared" si="787"/>
        <v>0</v>
      </c>
      <c r="DH279" s="269">
        <f>'Detailed Budget'!$AC$153</f>
        <v>226428026880.00003</v>
      </c>
      <c r="DI279" s="269"/>
      <c r="DJ279" s="269">
        <f>'Detailed Budget'!$AC$156</f>
        <v>27713070000</v>
      </c>
      <c r="DK279" s="269"/>
      <c r="DL279" s="269"/>
      <c r="DM279" s="196">
        <f>'Detailed Budget'!$AC$178</f>
        <v>5622683761.6229038</v>
      </c>
      <c r="DN279" s="269">
        <f t="shared" si="841"/>
        <v>16966466.588127408</v>
      </c>
      <c r="DO279" s="196">
        <f>'Detailed Budget'!$AC$179</f>
        <v>26827890683.128094</v>
      </c>
      <c r="DP279" s="269">
        <f t="shared" si="842"/>
        <v>80953248.36018832</v>
      </c>
      <c r="DQ279" s="269">
        <f t="shared" si="843"/>
        <v>97919714.948315725</v>
      </c>
      <c r="DR279" s="269">
        <f>'Detailed Budget'!$AC$181</f>
        <v>50888946855.375237</v>
      </c>
      <c r="DS279" s="269">
        <f t="shared" si="844"/>
        <v>116428681.03428218</v>
      </c>
      <c r="DT279" s="269">
        <f t="shared" si="845"/>
        <v>214348395.98259789</v>
      </c>
      <c r="DU279" s="272">
        <f>'Detailed Budget'!$AC$192</f>
        <v>77498869683.252869</v>
      </c>
      <c r="DV279" s="269">
        <f t="shared" si="807"/>
        <v>0</v>
      </c>
      <c r="DW279" s="140">
        <f>'Detailed Budget'!$AC$194</f>
        <v>2684962805.4134097</v>
      </c>
      <c r="DX279" s="269">
        <f t="shared" si="808"/>
        <v>0</v>
      </c>
      <c r="DY279" s="607">
        <f t="shared" si="731"/>
        <v>0</v>
      </c>
      <c r="DZ279" s="196">
        <f>'Detailed Budget'!$AC$198</f>
        <v>18732540018.380611</v>
      </c>
      <c r="EA279" s="269">
        <f t="shared" si="809"/>
        <v>25211205.526044428</v>
      </c>
      <c r="EB279" s="196">
        <f>'Detailed Budget'!$AC$200</f>
        <v>4683135004.5951529</v>
      </c>
      <c r="EC279" s="269">
        <f t="shared" si="810"/>
        <v>6302801.3815111071</v>
      </c>
      <c r="ED279" s="269">
        <f t="shared" si="734"/>
        <v>31514006.907555535</v>
      </c>
      <c r="EE279" s="196">
        <f>'Detailed Budget'!$AC$161</f>
        <v>251147290106.36197</v>
      </c>
      <c r="EF279" s="269">
        <f t="shared" si="811"/>
        <v>252094762.78790799</v>
      </c>
      <c r="EG279" s="196">
        <f>'Detailed Budget'!$AC$163</f>
        <v>15696705631.647623</v>
      </c>
      <c r="EH279" s="269">
        <f t="shared" si="812"/>
        <v>15755922.674244249</v>
      </c>
      <c r="EI279" s="269">
        <f t="shared" si="737"/>
        <v>267850685.46215224</v>
      </c>
      <c r="EJ279" s="196">
        <f>'Detailed Budget'!$AC$204</f>
        <v>45012172507.531975</v>
      </c>
      <c r="EK279" s="269">
        <f t="shared" si="813"/>
        <v>47794960.418312721</v>
      </c>
      <c r="EL279" s="201">
        <f>'Detailed Budget'!$AC$206</f>
        <v>11253043126.882994</v>
      </c>
      <c r="EM279" s="269">
        <f t="shared" si="814"/>
        <v>11948740.10457818</v>
      </c>
      <c r="EN279" s="269">
        <f t="shared" si="740"/>
        <v>59743700.522890903</v>
      </c>
      <c r="EO279" s="140">
        <f>'Detailed Budget'!$AC$209</f>
        <v>135789361677.54817</v>
      </c>
      <c r="EP279" s="269">
        <f t="shared" si="815"/>
        <v>153487172.88202471</v>
      </c>
      <c r="EQ279" s="196">
        <f>'Detailed Budget'!$AC$211</f>
        <v>33947340419.387043</v>
      </c>
      <c r="ER279" s="269">
        <f t="shared" si="816"/>
        <v>38371793.220506176</v>
      </c>
      <c r="ES279" s="269">
        <f t="shared" si="743"/>
        <v>191858966.1025309</v>
      </c>
      <c r="ET279" s="196">
        <f>'Detailed Budget'!$AC$214</f>
        <v>22239745544.201103</v>
      </c>
      <c r="EU279" s="269">
        <f t="shared" si="817"/>
        <v>24413592.01673821</v>
      </c>
      <c r="EV279" s="140">
        <f>'Detailed Budget'!$AC$217</f>
        <v>5559936386.0502758</v>
      </c>
      <c r="EW279" s="269">
        <f t="shared" si="818"/>
        <v>6103398.0041845525</v>
      </c>
      <c r="EX279" s="269">
        <f t="shared" si="746"/>
        <v>30516990.020922761</v>
      </c>
      <c r="EY279" s="196">
        <f>'Detailed Budget'!$AC$219</f>
        <v>372777004.58170313</v>
      </c>
      <c r="EZ279" s="269">
        <f t="shared" si="819"/>
        <v>428395.62678692827</v>
      </c>
      <c r="FA279" s="196">
        <f>'Detailed Budget'!$AC$222</f>
        <v>93194251.145425782</v>
      </c>
      <c r="FB279" s="269">
        <f t="shared" si="820"/>
        <v>107098.90669673207</v>
      </c>
      <c r="FC279" s="269">
        <f t="shared" si="749"/>
        <v>535494.53348366031</v>
      </c>
      <c r="FD279" s="269"/>
      <c r="FE279" s="269">
        <f t="shared" si="750"/>
        <v>282655151.17982823</v>
      </c>
      <c r="FF279" s="140">
        <f>'Detailed Budget'!$AC$165</f>
        <v>14927760000</v>
      </c>
      <c r="FG279" s="1087">
        <f t="shared" si="788"/>
        <v>385560336.24293351</v>
      </c>
      <c r="FH279" s="269">
        <f t="shared" si="821"/>
        <v>18657579.820474949</v>
      </c>
      <c r="FJ279" s="140">
        <f>'Detailed Budget'!$AC$235</f>
        <v>3623696172</v>
      </c>
      <c r="FK279" s="269">
        <f t="shared" si="822"/>
        <v>4681778</v>
      </c>
      <c r="FL279" s="269">
        <f t="shared" si="789"/>
        <v>4681778</v>
      </c>
      <c r="FO279" s="607"/>
      <c r="FP279" s="607"/>
      <c r="FQ279" s="607"/>
      <c r="FR279" s="269">
        <f>'Detailed Budget'!$AC$257</f>
        <v>13636439388</v>
      </c>
      <c r="FS279" s="269">
        <f t="shared" si="823"/>
        <v>13990704</v>
      </c>
      <c r="FT279" s="269">
        <f t="shared" si="790"/>
        <v>13990704</v>
      </c>
      <c r="FU279" s="269"/>
      <c r="FV279" s="269"/>
      <c r="FW279" s="269"/>
      <c r="FX279" s="140">
        <f>'Detailed Budget'!$AC$278</f>
        <v>1114560000</v>
      </c>
      <c r="FY279" s="269">
        <f t="shared" si="824"/>
        <v>1440000</v>
      </c>
      <c r="FZ279" s="269">
        <f t="shared" si="791"/>
        <v>1440000</v>
      </c>
      <c r="GB279" s="269">
        <f t="shared" si="799"/>
        <v>1405014003.7358947</v>
      </c>
      <c r="GC279" s="887">
        <f t="shared" si="753"/>
        <v>878133.75233493419</v>
      </c>
      <c r="GD279" s="1078">
        <f t="shared" si="800"/>
        <v>7.8839760012683129E-4</v>
      </c>
    </row>
    <row r="280" spans="1:186" outlineLevel="1">
      <c r="A280" s="211" t="s">
        <v>709</v>
      </c>
      <c r="B280" s="212" t="s">
        <v>710</v>
      </c>
      <c r="C280" s="213" t="s">
        <v>215</v>
      </c>
      <c r="D280" s="214"/>
      <c r="E280" s="213"/>
      <c r="F280" s="213"/>
      <c r="G280" s="213"/>
      <c r="H280" s="213" t="s">
        <v>215</v>
      </c>
      <c r="I280" s="214" t="s">
        <v>215</v>
      </c>
      <c r="J280" s="214"/>
      <c r="K280" s="213" t="s">
        <v>215</v>
      </c>
      <c r="L280" s="213"/>
      <c r="M280" s="214"/>
      <c r="N280" s="213"/>
      <c r="O280" s="214"/>
      <c r="P280" s="213"/>
      <c r="Q280" s="214"/>
      <c r="R280" s="214" t="s">
        <v>215</v>
      </c>
      <c r="S280" s="214"/>
      <c r="T280" s="214"/>
      <c r="U280" s="215">
        <f t="shared" si="830"/>
        <v>5</v>
      </c>
      <c r="V280" s="845" t="s">
        <v>467</v>
      </c>
      <c r="W280" s="216">
        <v>106371</v>
      </c>
      <c r="X280" s="217">
        <v>2.91</v>
      </c>
      <c r="Y280" s="218">
        <f t="shared" si="826"/>
        <v>1.0290999999999999</v>
      </c>
      <c r="Z280" s="196">
        <v>19</v>
      </c>
      <c r="AA280" s="218">
        <f t="shared" si="827"/>
        <v>1.7246222540408234</v>
      </c>
      <c r="AB280" s="196">
        <f t="shared" si="828"/>
        <v>183449.79378457641</v>
      </c>
      <c r="AC280">
        <v>20.100000000000001</v>
      </c>
      <c r="AD280" s="196">
        <f t="shared" si="829"/>
        <v>36873.40855069986</v>
      </c>
      <c r="AE280" s="196">
        <f t="shared" si="849"/>
        <v>35029.738123164869</v>
      </c>
      <c r="AF280" s="196">
        <f t="shared" si="831"/>
        <v>35029.738123164869</v>
      </c>
      <c r="AG280" s="606">
        <f t="shared" si="756"/>
        <v>1.6196213073832984E-3</v>
      </c>
      <c r="AH280" s="196">
        <f t="shared" si="846"/>
        <v>9172.4896892288216</v>
      </c>
      <c r="AI280" s="248">
        <f t="shared" si="715"/>
        <v>7.1057887854520546E-4</v>
      </c>
      <c r="AJ280" s="196">
        <f t="shared" si="757"/>
        <v>46045.898239928683</v>
      </c>
      <c r="AK280" s="196">
        <f t="shared" si="785"/>
        <v>7337.9917513830569</v>
      </c>
      <c r="AL280" s="196">
        <f t="shared" si="786"/>
        <v>7337.9917513830569</v>
      </c>
      <c r="AM280" s="196">
        <f t="shared" si="716"/>
        <v>14675.983502766114</v>
      </c>
      <c r="AN280" s="627">
        <f t="shared" si="717"/>
        <v>7.1057887854520546E-4</v>
      </c>
      <c r="AO280" s="196">
        <f t="shared" si="718"/>
        <v>6971.0921638139034</v>
      </c>
      <c r="AP280" s="589">
        <f t="shared" si="758"/>
        <v>7.1057887854520535E-4</v>
      </c>
      <c r="AQ280" s="196"/>
      <c r="AR280" s="589"/>
      <c r="AS280">
        <v>1</v>
      </c>
      <c r="AT280" s="589">
        <f t="shared" si="759"/>
        <v>1.2919896640826874E-3</v>
      </c>
      <c r="AU280" s="196">
        <v>11</v>
      </c>
      <c r="AV280" s="245">
        <f t="shared" si="719"/>
        <v>1.2498579706851495E-3</v>
      </c>
      <c r="AX280" s="245"/>
      <c r="AY280" s="245"/>
      <c r="AZ280" s="196">
        <v>19</v>
      </c>
      <c r="BA280" s="589">
        <f t="shared" si="793"/>
        <v>6.9620021252427542E-4</v>
      </c>
      <c r="BI280" s="196">
        <v>0</v>
      </c>
      <c r="BK280" s="246">
        <f t="shared" si="794"/>
        <v>0</v>
      </c>
      <c r="BL280" s="246"/>
      <c r="BM280" s="246">
        <f t="shared" si="795"/>
        <v>0</v>
      </c>
      <c r="BN280" s="196">
        <v>1</v>
      </c>
      <c r="BO280" s="196">
        <f t="shared" si="832"/>
        <v>15574.944447727816</v>
      </c>
      <c r="BP280" s="196">
        <f t="shared" si="762"/>
        <v>15574.944447727816</v>
      </c>
      <c r="BQ280" s="248">
        <f t="shared" si="796"/>
        <v>1.4569635244936615E-3</v>
      </c>
      <c r="BR280" s="248"/>
      <c r="BS280" s="248"/>
      <c r="BT280" s="276">
        <v>1</v>
      </c>
      <c r="BU280" s="196">
        <f t="shared" si="847"/>
        <v>30796.670821544518</v>
      </c>
      <c r="BV280" s="264">
        <f t="shared" si="797"/>
        <v>2.1361154219058263E-3</v>
      </c>
      <c r="BW280" s="196">
        <f t="shared" si="848"/>
        <v>131741.31406994045</v>
      </c>
      <c r="BX280" s="247">
        <f t="shared" si="798"/>
        <v>2.1361154411480357E-3</v>
      </c>
      <c r="BY280" s="196">
        <f t="shared" si="833"/>
        <v>162537.98489148496</v>
      </c>
      <c r="BZ280" s="620">
        <v>0</v>
      </c>
      <c r="CA280" s="196">
        <f t="shared" si="834"/>
        <v>56135.636898080382</v>
      </c>
      <c r="CB280" s="196">
        <f t="shared" si="835"/>
        <v>112271.27379616076</v>
      </c>
      <c r="CC280" s="196">
        <f t="shared" si="765"/>
        <v>168406.91069424115</v>
      </c>
      <c r="CD280" s="247">
        <f t="shared" si="720"/>
        <v>7.1057887854520546E-4</v>
      </c>
      <c r="CE280" s="196">
        <f t="shared" si="836"/>
        <v>22062.767843443085</v>
      </c>
      <c r="CF280" s="247">
        <f t="shared" si="721"/>
        <v>9.5273892948911031E-4</v>
      </c>
      <c r="CG280" s="196">
        <f t="shared" si="803"/>
        <v>27884.368655255614</v>
      </c>
      <c r="CH280" s="589">
        <f t="shared" si="767"/>
        <v>7.1057887854520535E-4</v>
      </c>
      <c r="CI280" s="196">
        <f t="shared" si="837"/>
        <v>45722.224613055347</v>
      </c>
      <c r="CJ280" s="248">
        <f t="shared" si="769"/>
        <v>7.5167325658027906E-4</v>
      </c>
      <c r="CK280" s="196">
        <f t="shared" si="838"/>
        <v>55663.337140812844</v>
      </c>
      <c r="CL280" s="589">
        <f t="shared" si="771"/>
        <v>8.0017192085915718E-4</v>
      </c>
      <c r="CM280" s="196">
        <f t="shared" si="839"/>
        <v>5392.3814407949749</v>
      </c>
      <c r="CN280" s="589">
        <f t="shared" si="773"/>
        <v>7.7710344815189788E-4</v>
      </c>
      <c r="CO280" s="196">
        <f t="shared" si="840"/>
        <v>431.38661263677329</v>
      </c>
      <c r="CP280" s="589">
        <f t="shared" si="775"/>
        <v>8.1352870566239071E-4</v>
      </c>
      <c r="CQ280" s="196">
        <f>'Detailed Budget'!$AC$12</f>
        <v>292876014141.44696</v>
      </c>
      <c r="CR280" s="269">
        <f t="shared" si="724"/>
        <v>0</v>
      </c>
      <c r="CS280" s="269">
        <f>'Detailed Budget'!$AC$16</f>
        <v>10488008800.000002</v>
      </c>
      <c r="CT280" s="607">
        <f t="shared" si="804"/>
        <v>0</v>
      </c>
      <c r="CU280" s="269">
        <f>'Detailed Budget'!$AC$24</f>
        <v>30624985696</v>
      </c>
      <c r="CV280" s="269">
        <f t="shared" si="792"/>
        <v>0</v>
      </c>
      <c r="CW280" s="269"/>
      <c r="CX280" s="269">
        <f t="shared" si="776"/>
        <v>0</v>
      </c>
      <c r="CY280" s="196">
        <f>'Detailed Budget'!$AC$97</f>
        <v>74629165494.837845</v>
      </c>
      <c r="CZ280" s="269">
        <f t="shared" si="805"/>
        <v>108731971.9893797</v>
      </c>
      <c r="DA280" s="269">
        <f>'Detailed Budget'!$AC$100</f>
        <v>14925833098.967569</v>
      </c>
      <c r="DB280" s="269">
        <f t="shared" si="806"/>
        <v>21746394.397875939</v>
      </c>
      <c r="DC280" s="269">
        <f t="shared" si="728"/>
        <v>130478366.38725564</v>
      </c>
      <c r="DD280" s="207">
        <v>0</v>
      </c>
      <c r="DE280" s="606">
        <v>0</v>
      </c>
      <c r="DF280" s="269">
        <f>'Detailed Budget'!$AC$147</f>
        <v>5913600671000</v>
      </c>
      <c r="DG280" s="269">
        <f t="shared" si="787"/>
        <v>0</v>
      </c>
      <c r="DH280" s="269">
        <f>'Detailed Budget'!$AC$153</f>
        <v>226428026880.00003</v>
      </c>
      <c r="DI280" s="269"/>
      <c r="DJ280" s="269">
        <f>'Detailed Budget'!$AC$156</f>
        <v>27713070000</v>
      </c>
      <c r="DK280" s="269"/>
      <c r="DL280" s="269"/>
      <c r="DM280" s="196">
        <f>'Detailed Budget'!$AC$178</f>
        <v>5622683761.6229038</v>
      </c>
      <c r="DN280" s="269">
        <f t="shared" si="841"/>
        <v>12010701.495702147</v>
      </c>
      <c r="DO280" s="196">
        <f>'Detailed Budget'!$AC$179</f>
        <v>26827890683.128094</v>
      </c>
      <c r="DP280" s="269">
        <f t="shared" si="842"/>
        <v>57307471.541661441</v>
      </c>
      <c r="DQ280" s="269">
        <f t="shared" si="843"/>
        <v>69318173.037363589</v>
      </c>
      <c r="DR280" s="269">
        <f>'Detailed Budget'!$AC$181</f>
        <v>50888946855.375237</v>
      </c>
      <c r="DS280" s="269">
        <f t="shared" si="844"/>
        <v>82420822.637262031</v>
      </c>
      <c r="DT280" s="269">
        <f t="shared" si="845"/>
        <v>151738995.67462564</v>
      </c>
      <c r="DU280" s="272">
        <f>'Detailed Budget'!$AC$192</f>
        <v>77498869683.252869</v>
      </c>
      <c r="DV280" s="269">
        <f t="shared" si="807"/>
        <v>0</v>
      </c>
      <c r="DW280" s="140">
        <f>'Detailed Budget'!$AC$194</f>
        <v>2684962805.4134097</v>
      </c>
      <c r="DX280" s="269">
        <f t="shared" si="808"/>
        <v>0</v>
      </c>
      <c r="DY280" s="607">
        <f t="shared" si="731"/>
        <v>0</v>
      </c>
      <c r="DZ280" s="196">
        <f>'Detailed Budget'!$AC$198</f>
        <v>18732540018.380611</v>
      </c>
      <c r="EA280" s="269">
        <f t="shared" si="809"/>
        <v>17847220.123723861</v>
      </c>
      <c r="EB280" s="196">
        <f>'Detailed Budget'!$AC$200</f>
        <v>4683135004.5951529</v>
      </c>
      <c r="EC280" s="269">
        <f t="shared" si="810"/>
        <v>4461805.0309309652</v>
      </c>
      <c r="ED280" s="269">
        <f t="shared" si="734"/>
        <v>22309025.154654827</v>
      </c>
      <c r="EE280" s="196">
        <f>'Detailed Budget'!$AC$161</f>
        <v>251147290106.36197</v>
      </c>
      <c r="EF280" s="269">
        <f t="shared" si="811"/>
        <v>178459959.75344604</v>
      </c>
      <c r="EG280" s="196">
        <f>'Detailed Budget'!$AC$163</f>
        <v>15696705631.647623</v>
      </c>
      <c r="EH280" s="269">
        <f t="shared" si="812"/>
        <v>11153747.484590378</v>
      </c>
      <c r="EI280" s="269">
        <f t="shared" si="737"/>
        <v>189613707.23803642</v>
      </c>
      <c r="EJ280" s="196">
        <f>'Detailed Budget'!$AC$204</f>
        <v>45012172507.531975</v>
      </c>
      <c r="EK280" s="269">
        <f t="shared" si="813"/>
        <v>33834446.294489868</v>
      </c>
      <c r="EL280" s="201">
        <f>'Detailed Budget'!$AC$206</f>
        <v>11253043126.882994</v>
      </c>
      <c r="EM280" s="269">
        <f t="shared" si="814"/>
        <v>8458611.573622467</v>
      </c>
      <c r="EN280" s="269">
        <f t="shared" si="740"/>
        <v>42293057.868112333</v>
      </c>
      <c r="EO280" s="140">
        <f>'Detailed Budget'!$AC$209</f>
        <v>135789361677.54817</v>
      </c>
      <c r="EP280" s="269">
        <f t="shared" si="815"/>
        <v>108654834.36576255</v>
      </c>
      <c r="EQ280" s="196">
        <f>'Detailed Budget'!$AC$211</f>
        <v>33947340419.387043</v>
      </c>
      <c r="ER280" s="269">
        <f t="shared" si="816"/>
        <v>27163708.591440637</v>
      </c>
      <c r="ES280" s="269">
        <f t="shared" si="743"/>
        <v>135818542.95720318</v>
      </c>
      <c r="ET280" s="196">
        <f>'Detailed Budget'!$AC$214</f>
        <v>22239745544.201103</v>
      </c>
      <c r="EU280" s="269">
        <f t="shared" si="817"/>
        <v>17282582.948419485</v>
      </c>
      <c r="EV280" s="140">
        <f>'Detailed Budget'!$AC$217</f>
        <v>5559936386.0502758</v>
      </c>
      <c r="EW280" s="269">
        <f t="shared" si="818"/>
        <v>4320645.7371048713</v>
      </c>
      <c r="EX280" s="269">
        <f t="shared" si="746"/>
        <v>21603228.685524356</v>
      </c>
      <c r="EY280" s="196">
        <f>'Detailed Budget'!$AC$219</f>
        <v>372777004.58170313</v>
      </c>
      <c r="EZ280" s="269">
        <f t="shared" si="819"/>
        <v>303264.79403805605</v>
      </c>
      <c r="FA280" s="196">
        <f>'Detailed Budget'!$AC$222</f>
        <v>93194251.145425782</v>
      </c>
      <c r="FB280" s="269">
        <f t="shared" si="820"/>
        <v>75816.198509514012</v>
      </c>
      <c r="FC280" s="269">
        <f t="shared" si="749"/>
        <v>379080.99254757003</v>
      </c>
      <c r="FD280" s="269"/>
      <c r="FE280" s="269">
        <f t="shared" si="750"/>
        <v>200093910.50338742</v>
      </c>
      <c r="FF280" s="140">
        <f>'Detailed Budget'!$AC$165</f>
        <v>14927760000</v>
      </c>
      <c r="FG280" s="1087">
        <f t="shared" si="788"/>
        <v>272941338.91360408</v>
      </c>
      <c r="FH280" s="269">
        <f t="shared" si="821"/>
        <v>18657579.820474949</v>
      </c>
      <c r="FJ280" s="140">
        <f>'Detailed Budget'!$AC$235</f>
        <v>3623696172</v>
      </c>
      <c r="FK280" s="269">
        <f t="shared" si="822"/>
        <v>4681778</v>
      </c>
      <c r="FL280" s="269">
        <f t="shared" si="789"/>
        <v>4681778</v>
      </c>
      <c r="FO280" s="607"/>
      <c r="FP280" s="607"/>
      <c r="FQ280" s="607"/>
      <c r="FR280" s="269">
        <f>'Detailed Budget'!$AC$257</f>
        <v>13636439388</v>
      </c>
      <c r="FS280" s="269">
        <f t="shared" si="823"/>
        <v>9493692</v>
      </c>
      <c r="FT280" s="269">
        <f t="shared" si="790"/>
        <v>9493692</v>
      </c>
      <c r="FU280" s="269"/>
      <c r="FV280" s="269"/>
      <c r="FW280" s="269"/>
      <c r="FX280" s="140">
        <f>'Detailed Budget'!$AC$278</f>
        <v>1114560000</v>
      </c>
      <c r="FY280" s="269">
        <f t="shared" si="824"/>
        <v>1440000</v>
      </c>
      <c r="FZ280" s="269">
        <f t="shared" si="791"/>
        <v>1440000</v>
      </c>
      <c r="GB280" s="269">
        <f t="shared" si="799"/>
        <v>1001448393.6920391</v>
      </c>
      <c r="GC280" s="887">
        <f t="shared" si="753"/>
        <v>625905.24605752446</v>
      </c>
      <c r="GD280" s="1078">
        <f t="shared" si="800"/>
        <v>5.6194422841217902E-4</v>
      </c>
    </row>
    <row r="281" spans="1:186" outlineLevel="1">
      <c r="A281" s="211" t="s">
        <v>711</v>
      </c>
      <c r="B281" s="212" t="s">
        <v>712</v>
      </c>
      <c r="C281" s="213" t="s">
        <v>215</v>
      </c>
      <c r="D281" s="214"/>
      <c r="E281" s="213"/>
      <c r="F281" s="213"/>
      <c r="G281" s="213"/>
      <c r="H281" s="213" t="s">
        <v>215</v>
      </c>
      <c r="I281" s="214" t="s">
        <v>215</v>
      </c>
      <c r="J281" s="214"/>
      <c r="K281" s="213" t="s">
        <v>215</v>
      </c>
      <c r="L281" s="213"/>
      <c r="M281" s="214"/>
      <c r="N281" s="213"/>
      <c r="O281" s="214"/>
      <c r="P281" s="213"/>
      <c r="Q281" s="214"/>
      <c r="R281" s="214" t="s">
        <v>215</v>
      </c>
      <c r="S281" s="214"/>
      <c r="T281" s="214"/>
      <c r="U281" s="215">
        <f t="shared" si="830"/>
        <v>5</v>
      </c>
      <c r="V281" s="845" t="s">
        <v>467</v>
      </c>
      <c r="W281" s="216">
        <v>113363</v>
      </c>
      <c r="X281" s="217">
        <v>2.91</v>
      </c>
      <c r="Y281" s="218">
        <f t="shared" si="826"/>
        <v>1.0290999999999999</v>
      </c>
      <c r="Z281" s="196">
        <v>19</v>
      </c>
      <c r="AA281" s="218">
        <f t="shared" si="827"/>
        <v>1.7246222540408234</v>
      </c>
      <c r="AB281" s="196">
        <f t="shared" si="828"/>
        <v>195508.35258482985</v>
      </c>
      <c r="AC281">
        <v>20.100000000000001</v>
      </c>
      <c r="AD281" s="196">
        <f t="shared" si="829"/>
        <v>39297.1788695508</v>
      </c>
      <c r="AE281" s="196">
        <f t="shared" si="849"/>
        <v>37332.319926073258</v>
      </c>
      <c r="AF281" s="196">
        <f t="shared" si="831"/>
        <v>37332.319926073258</v>
      </c>
      <c r="AG281" s="606">
        <f t="shared" si="756"/>
        <v>1.7260825814262612E-3</v>
      </c>
      <c r="AH281" s="196">
        <f t="shared" si="846"/>
        <v>9775.4176292414923</v>
      </c>
      <c r="AI281" s="248">
        <f t="shared" si="715"/>
        <v>7.5728679253292831E-4</v>
      </c>
      <c r="AJ281" s="196">
        <f t="shared" si="757"/>
        <v>49072.596498792293</v>
      </c>
      <c r="AK281" s="196">
        <f t="shared" si="785"/>
        <v>7820.3341033931938</v>
      </c>
      <c r="AL281" s="196">
        <f t="shared" si="786"/>
        <v>7820.3341033931938</v>
      </c>
      <c r="AM281" s="196">
        <f t="shared" si="716"/>
        <v>15640.668206786388</v>
      </c>
      <c r="AN281" s="627">
        <f t="shared" si="717"/>
        <v>7.5728679253292831E-4</v>
      </c>
      <c r="AO281" s="196">
        <f t="shared" si="718"/>
        <v>7429.3173982235339</v>
      </c>
      <c r="AP281" s="589">
        <f t="shared" si="758"/>
        <v>7.5728679253292831E-4</v>
      </c>
      <c r="AQ281" s="196"/>
      <c r="AR281" s="589"/>
      <c r="AS281">
        <v>1</v>
      </c>
      <c r="AT281" s="589">
        <f t="shared" si="759"/>
        <v>1.2919896640826874E-3</v>
      </c>
      <c r="AU281" s="196">
        <v>10</v>
      </c>
      <c r="AV281" s="245">
        <f t="shared" si="719"/>
        <v>1.1362345188046814E-3</v>
      </c>
      <c r="AX281" s="245"/>
      <c r="AY281" s="245"/>
      <c r="AZ281" s="196">
        <v>21</v>
      </c>
      <c r="BA281" s="589">
        <f t="shared" si="793"/>
        <v>7.6948444542156754E-4</v>
      </c>
      <c r="BI281" s="196">
        <v>0</v>
      </c>
      <c r="BK281" s="246">
        <f t="shared" si="794"/>
        <v>0</v>
      </c>
      <c r="BL281" s="246"/>
      <c r="BM281" s="246">
        <f t="shared" si="795"/>
        <v>0</v>
      </c>
      <c r="BN281" s="196">
        <v>1</v>
      </c>
      <c r="BO281" s="196">
        <f t="shared" si="832"/>
        <v>16598.719833674295</v>
      </c>
      <c r="BP281" s="196">
        <f t="shared" si="762"/>
        <v>16598.719833674295</v>
      </c>
      <c r="BQ281" s="248">
        <f t="shared" si="796"/>
        <v>1.5527329443849824E-3</v>
      </c>
      <c r="BR281" s="248"/>
      <c r="BS281" s="248"/>
      <c r="BT281" s="276">
        <v>1</v>
      </c>
      <c r="BU281" s="196">
        <f t="shared" si="847"/>
        <v>32821.003791848823</v>
      </c>
      <c r="BV281" s="264">
        <f t="shared" si="797"/>
        <v>2.2765269911301966E-3</v>
      </c>
      <c r="BW281" s="196">
        <f t="shared" si="848"/>
        <v>140400.96066513108</v>
      </c>
      <c r="BX281" s="247">
        <f t="shared" si="798"/>
        <v>2.2765270116372389E-3</v>
      </c>
      <c r="BY281" s="196">
        <f t="shared" si="833"/>
        <v>173221.96445697988</v>
      </c>
      <c r="BZ281" s="620">
        <v>0</v>
      </c>
      <c r="CA281" s="196">
        <f t="shared" si="834"/>
        <v>59825.555890957927</v>
      </c>
      <c r="CB281" s="196">
        <f t="shared" si="835"/>
        <v>119651.11178191585</v>
      </c>
      <c r="CC281" s="196">
        <f t="shared" si="765"/>
        <v>179476.66767287377</v>
      </c>
      <c r="CD281" s="247">
        <f t="shared" si="720"/>
        <v>7.572867925329282E-4</v>
      </c>
      <c r="CE281" s="196">
        <f t="shared" si="836"/>
        <v>23513.002143782029</v>
      </c>
      <c r="CF281" s="247">
        <f t="shared" si="721"/>
        <v>1.0153645567276231E-3</v>
      </c>
      <c r="CG281" s="196">
        <f t="shared" si="803"/>
        <v>29717.269592894136</v>
      </c>
      <c r="CH281" s="589">
        <f t="shared" si="767"/>
        <v>7.5728679253292831E-4</v>
      </c>
      <c r="CI281" s="196">
        <f t="shared" si="837"/>
        <v>48727.647091874598</v>
      </c>
      <c r="CJ281" s="248">
        <f t="shared" si="769"/>
        <v>8.0108239450329673E-4</v>
      </c>
      <c r="CK281" s="196">
        <f t="shared" si="838"/>
        <v>59322.210830902848</v>
      </c>
      <c r="CL281" s="589">
        <f t="shared" si="771"/>
        <v>8.5276898275241043E-4</v>
      </c>
      <c r="CM281" s="196">
        <f t="shared" si="839"/>
        <v>5746.8345439343493</v>
      </c>
      <c r="CN281" s="589">
        <f t="shared" si="773"/>
        <v>8.2818416855010848E-4</v>
      </c>
      <c r="CO281" s="196">
        <f t="shared" si="840"/>
        <v>459.74260435967068</v>
      </c>
      <c r="CP281" s="589">
        <f t="shared" si="775"/>
        <v>8.6700373842499929E-4</v>
      </c>
      <c r="CQ281" s="196">
        <f>'Detailed Budget'!$AC$12</f>
        <v>292876014141.44696</v>
      </c>
      <c r="CR281" s="269">
        <f t="shared" si="724"/>
        <v>0</v>
      </c>
      <c r="CS281" s="269">
        <f>'Detailed Budget'!$AC$16</f>
        <v>10488008800.000002</v>
      </c>
      <c r="CT281" s="607">
        <f t="shared" si="804"/>
        <v>0</v>
      </c>
      <c r="CU281" s="269">
        <f>'Detailed Budget'!$AC$24</f>
        <v>30624985696</v>
      </c>
      <c r="CV281" s="269">
        <f t="shared" si="792"/>
        <v>0</v>
      </c>
      <c r="CW281" s="269"/>
      <c r="CX281" s="269">
        <f t="shared" si="776"/>
        <v>0</v>
      </c>
      <c r="CY281" s="196">
        <f>'Detailed Budget'!$AC$97</f>
        <v>74629165494.837845</v>
      </c>
      <c r="CZ281" s="269">
        <f t="shared" si="805"/>
        <v>115879163.8757937</v>
      </c>
      <c r="DA281" s="269">
        <f>'Detailed Budget'!$AC$100</f>
        <v>14925833098.967569</v>
      </c>
      <c r="DB281" s="269">
        <f t="shared" si="806"/>
        <v>23175832.775158741</v>
      </c>
      <c r="DC281" s="269">
        <f t="shared" si="728"/>
        <v>139054996.65095243</v>
      </c>
      <c r="DD281" s="207">
        <v>0</v>
      </c>
      <c r="DE281" s="606">
        <v>0</v>
      </c>
      <c r="DF281" s="269">
        <f>'Detailed Budget'!$AC$147</f>
        <v>5913600671000</v>
      </c>
      <c r="DG281" s="269">
        <f t="shared" si="787"/>
        <v>0</v>
      </c>
      <c r="DH281" s="269">
        <f>'Detailed Budget'!$AC$153</f>
        <v>226428026880.00003</v>
      </c>
      <c r="DI281" s="269"/>
      <c r="DJ281" s="269">
        <f>'Detailed Budget'!$AC$156</f>
        <v>27713070000</v>
      </c>
      <c r="DK281" s="269"/>
      <c r="DL281" s="269"/>
      <c r="DM281" s="196">
        <f>'Detailed Budget'!$AC$178</f>
        <v>5622683761.6229038</v>
      </c>
      <c r="DN281" s="269">
        <f t="shared" si="841"/>
        <v>12800191.345924005</v>
      </c>
      <c r="DO281" s="196">
        <f>'Detailed Budget'!$AC$179</f>
        <v>26827890683.128094</v>
      </c>
      <c r="DP281" s="269">
        <f t="shared" si="842"/>
        <v>61074417.805392124</v>
      </c>
      <c r="DQ281" s="269">
        <f t="shared" si="843"/>
        <v>73874609.151316136</v>
      </c>
      <c r="DR281" s="269">
        <f>'Detailed Budget'!$AC$181</f>
        <v>50888946855.375237</v>
      </c>
      <c r="DS281" s="269">
        <f t="shared" si="844"/>
        <v>87838524.754189909</v>
      </c>
      <c r="DT281" s="269">
        <f t="shared" si="845"/>
        <v>161713133.90550604</v>
      </c>
      <c r="DU281" s="272">
        <f>'Detailed Budget'!$AC$192</f>
        <v>77498869683.252869</v>
      </c>
      <c r="DV281" s="269">
        <f t="shared" si="807"/>
        <v>0</v>
      </c>
      <c r="DW281" s="140">
        <f>'Detailed Budget'!$AC$194</f>
        <v>2684962805.4134097</v>
      </c>
      <c r="DX281" s="269">
        <f t="shared" si="808"/>
        <v>0</v>
      </c>
      <c r="DY281" s="607">
        <f t="shared" si="731"/>
        <v>0</v>
      </c>
      <c r="DZ281" s="196">
        <f>'Detailed Budget'!$AC$198</f>
        <v>18732540018.380611</v>
      </c>
      <c r="EA281" s="269">
        <f t="shared" si="809"/>
        <v>19020357.192145489</v>
      </c>
      <c r="EB281" s="196">
        <f>'Detailed Budget'!$AC$200</f>
        <v>4683135004.5951529</v>
      </c>
      <c r="EC281" s="269">
        <f t="shared" si="810"/>
        <v>4755089.2980363723</v>
      </c>
      <c r="ED281" s="269">
        <f t="shared" si="734"/>
        <v>23775446.490181863</v>
      </c>
      <c r="EE281" s="196">
        <f>'Detailed Budget'!$AC$161</f>
        <v>251147290106.36197</v>
      </c>
      <c r="EF281" s="269">
        <f t="shared" si="811"/>
        <v>190190525.7779837</v>
      </c>
      <c r="EG281" s="196">
        <f>'Detailed Budget'!$AC$163</f>
        <v>15696705631.647623</v>
      </c>
      <c r="EH281" s="269">
        <f t="shared" si="812"/>
        <v>11886907.861123981</v>
      </c>
      <c r="EI281" s="269">
        <f t="shared" si="737"/>
        <v>202077433.63910767</v>
      </c>
      <c r="EJ281" s="196">
        <f>'Detailed Budget'!$AC$204</f>
        <v>45012172507.531975</v>
      </c>
      <c r="EK281" s="269">
        <f t="shared" si="813"/>
        <v>36058458.934129179</v>
      </c>
      <c r="EL281" s="201">
        <f>'Detailed Budget'!$AC$206</f>
        <v>11253043126.882994</v>
      </c>
      <c r="EM281" s="269">
        <f t="shared" si="814"/>
        <v>9014614.7335322946</v>
      </c>
      <c r="EN281" s="269">
        <f t="shared" si="740"/>
        <v>45073073.667661473</v>
      </c>
      <c r="EO281" s="140">
        <f>'Detailed Budget'!$AC$209</f>
        <v>135789361677.54817</v>
      </c>
      <c r="EP281" s="269">
        <f t="shared" si="815"/>
        <v>115796955.82636189</v>
      </c>
      <c r="EQ281" s="196">
        <f>'Detailed Budget'!$AC$211</f>
        <v>33947340419.387043</v>
      </c>
      <c r="ER281" s="269">
        <f t="shared" si="816"/>
        <v>28949238.956590474</v>
      </c>
      <c r="ES281" s="269">
        <f t="shared" si="743"/>
        <v>144746194.78295237</v>
      </c>
      <c r="ET281" s="196">
        <f>'Detailed Budget'!$AC$214</f>
        <v>22239745544.201103</v>
      </c>
      <c r="EU281" s="269">
        <f t="shared" si="817"/>
        <v>18418605.172290169</v>
      </c>
      <c r="EV281" s="140">
        <f>'Detailed Budget'!$AC$217</f>
        <v>5559936386.0502758</v>
      </c>
      <c r="EW281" s="269">
        <f t="shared" si="818"/>
        <v>4604651.2930725422</v>
      </c>
      <c r="EX281" s="269">
        <f t="shared" si="746"/>
        <v>23023256.465362713</v>
      </c>
      <c r="EY281" s="196">
        <f>'Detailed Budget'!$AC$219</f>
        <v>372777004.58170313</v>
      </c>
      <c r="EZ281" s="269">
        <f t="shared" si="819"/>
        <v>323199.05657120969</v>
      </c>
      <c r="FA281" s="196">
        <f>'Detailed Budget'!$AC$222</f>
        <v>93194251.145425782</v>
      </c>
      <c r="FB281" s="269">
        <f t="shared" si="820"/>
        <v>80799.764142802422</v>
      </c>
      <c r="FC281" s="269">
        <f t="shared" si="749"/>
        <v>403998.82071401214</v>
      </c>
      <c r="FD281" s="269"/>
      <c r="FE281" s="269">
        <f t="shared" si="750"/>
        <v>213246523.73669061</v>
      </c>
      <c r="FF281" s="140">
        <f>'Detailed Budget'!$AC$165</f>
        <v>14927760000</v>
      </c>
      <c r="FG281" s="1087">
        <f t="shared" si="788"/>
        <v>290882373.98598224</v>
      </c>
      <c r="FH281" s="269">
        <f t="shared" si="821"/>
        <v>16961436.200431772</v>
      </c>
      <c r="FJ281" s="140">
        <f>'Detailed Budget'!$AC$235</f>
        <v>3623696172</v>
      </c>
      <c r="FK281" s="269">
        <f t="shared" si="822"/>
        <v>4681778</v>
      </c>
      <c r="FL281" s="269">
        <f t="shared" si="789"/>
        <v>4681778</v>
      </c>
      <c r="FO281" s="607"/>
      <c r="FP281" s="607"/>
      <c r="FQ281" s="607"/>
      <c r="FR281" s="269">
        <f>'Detailed Budget'!$AC$257</f>
        <v>13636439388</v>
      </c>
      <c r="FS281" s="269">
        <f t="shared" si="823"/>
        <v>10493028</v>
      </c>
      <c r="FT281" s="269">
        <f t="shared" si="790"/>
        <v>10493028</v>
      </c>
      <c r="FU281" s="269"/>
      <c r="FV281" s="269"/>
      <c r="FW281" s="269"/>
      <c r="FX281" s="140">
        <f>'Detailed Budget'!$AC$278</f>
        <v>1114560000</v>
      </c>
      <c r="FY281" s="269">
        <f t="shared" si="824"/>
        <v>1440000</v>
      </c>
      <c r="FZ281" s="269">
        <f t="shared" si="791"/>
        <v>1440000</v>
      </c>
      <c r="GB281" s="269">
        <f t="shared" si="799"/>
        <v>1064326150.6088526</v>
      </c>
      <c r="GC281" s="887">
        <f t="shared" si="753"/>
        <v>665203.84413053293</v>
      </c>
      <c r="GD281" s="1078">
        <f t="shared" si="800"/>
        <v>5.9722691778236439E-4</v>
      </c>
    </row>
    <row r="282" spans="1:186" outlineLevel="1">
      <c r="A282" s="211" t="s">
        <v>713</v>
      </c>
      <c r="B282" s="212" t="s">
        <v>714</v>
      </c>
      <c r="C282" s="213" t="s">
        <v>215</v>
      </c>
      <c r="D282" s="214"/>
      <c r="E282" s="213"/>
      <c r="F282" s="213"/>
      <c r="G282" s="213"/>
      <c r="H282" s="213" t="s">
        <v>215</v>
      </c>
      <c r="I282" s="214" t="s">
        <v>215</v>
      </c>
      <c r="J282" s="214"/>
      <c r="K282" s="213" t="s">
        <v>215</v>
      </c>
      <c r="L282" s="213"/>
      <c r="M282" s="214"/>
      <c r="N282" s="213"/>
      <c r="O282" s="214"/>
      <c r="P282" s="213"/>
      <c r="Q282" s="214"/>
      <c r="R282" s="214" t="s">
        <v>215</v>
      </c>
      <c r="S282" s="214"/>
      <c r="T282" s="214"/>
      <c r="U282" s="215">
        <f t="shared" si="830"/>
        <v>5</v>
      </c>
      <c r="V282" s="845" t="s">
        <v>467</v>
      </c>
      <c r="W282" s="216">
        <v>271368</v>
      </c>
      <c r="X282" s="217">
        <v>2.91</v>
      </c>
      <c r="Y282" s="218">
        <f t="shared" si="826"/>
        <v>1.0290999999999999</v>
      </c>
      <c r="Z282" s="196">
        <v>19</v>
      </c>
      <c r="AA282" s="218">
        <f t="shared" si="827"/>
        <v>1.7246222540408234</v>
      </c>
      <c r="AB282" s="196">
        <f t="shared" si="828"/>
        <v>468007.29183455015</v>
      </c>
      <c r="AC282">
        <v>20.100000000000001</v>
      </c>
      <c r="AD282" s="196">
        <f t="shared" si="829"/>
        <v>94069.465658744593</v>
      </c>
      <c r="AE282" s="196">
        <f t="shared" si="849"/>
        <v>89365.992375807356</v>
      </c>
      <c r="AF282" s="196">
        <f t="shared" si="831"/>
        <v>89365.992375807356</v>
      </c>
      <c r="AG282" s="606">
        <f t="shared" si="756"/>
        <v>4.1318911633997134E-3</v>
      </c>
      <c r="AH282" s="196">
        <f t="shared" si="846"/>
        <v>23400.36459172751</v>
      </c>
      <c r="AI282" s="248">
        <f t="shared" si="715"/>
        <v>1.8127907899056636E-3</v>
      </c>
      <c r="AJ282" s="196">
        <f t="shared" si="757"/>
        <v>117469.83025047211</v>
      </c>
      <c r="AK282" s="196">
        <f t="shared" si="785"/>
        <v>18720.291673382006</v>
      </c>
      <c r="AL282" s="196">
        <f t="shared" si="786"/>
        <v>18720.291673382006</v>
      </c>
      <c r="AM282" s="196">
        <f t="shared" si="716"/>
        <v>37440.583346764011</v>
      </c>
      <c r="AN282" s="627">
        <f t="shared" si="717"/>
        <v>1.8127907899056633E-3</v>
      </c>
      <c r="AO282" s="196">
        <f t="shared" si="718"/>
        <v>17784.277089712905</v>
      </c>
      <c r="AP282" s="589">
        <f t="shared" si="758"/>
        <v>1.8127907899056633E-3</v>
      </c>
      <c r="AQ282" s="196"/>
      <c r="AR282" s="589"/>
      <c r="AS282">
        <v>1</v>
      </c>
      <c r="AT282" s="589">
        <f t="shared" si="759"/>
        <v>1.2919896640826874E-3</v>
      </c>
      <c r="AU282" s="196">
        <v>11</v>
      </c>
      <c r="AV282" s="245">
        <f t="shared" si="719"/>
        <v>1.2498579706851495E-3</v>
      </c>
      <c r="AX282" s="245"/>
      <c r="AY282" s="245"/>
      <c r="AZ282" s="196">
        <v>57</v>
      </c>
      <c r="BA282" s="589">
        <f t="shared" si="793"/>
        <v>2.088600637572826E-3</v>
      </c>
      <c r="BI282" s="196">
        <v>0</v>
      </c>
      <c r="BK282" s="246">
        <f t="shared" si="794"/>
        <v>0</v>
      </c>
      <c r="BL282" s="246"/>
      <c r="BM282" s="246">
        <f t="shared" si="795"/>
        <v>0</v>
      </c>
      <c r="BN282" s="196">
        <v>1</v>
      </c>
      <c r="BO282" s="196">
        <f t="shared" si="832"/>
        <v>39733.964378364428</v>
      </c>
      <c r="BP282" s="196">
        <f t="shared" si="762"/>
        <v>39733.964378364428</v>
      </c>
      <c r="BQ282" s="248">
        <f t="shared" si="796"/>
        <v>3.7169273365371767E-3</v>
      </c>
      <c r="BR282" s="248"/>
      <c r="BS282" s="248"/>
      <c r="BT282" s="276">
        <v>1</v>
      </c>
      <c r="BU282" s="196">
        <f t="shared" si="847"/>
        <v>78566.817718183476</v>
      </c>
      <c r="BV282" s="264">
        <f t="shared" si="797"/>
        <v>5.449543294805354E-3</v>
      </c>
      <c r="BW282" s="196">
        <f t="shared" si="848"/>
        <v>336091.38690556271</v>
      </c>
      <c r="BX282" s="247">
        <f t="shared" si="798"/>
        <v>5.4495433438950499E-3</v>
      </c>
      <c r="BY282" s="196">
        <f t="shared" si="833"/>
        <v>414658.20462374622</v>
      </c>
      <c r="BZ282" s="620">
        <v>0</v>
      </c>
      <c r="CA282" s="196">
        <f t="shared" si="834"/>
        <v>143210.23130137235</v>
      </c>
      <c r="CB282" s="196">
        <f t="shared" si="835"/>
        <v>286420.46260274469</v>
      </c>
      <c r="CC282" s="196">
        <f t="shared" si="765"/>
        <v>429630.69390411704</v>
      </c>
      <c r="CD282" s="247">
        <f t="shared" si="720"/>
        <v>1.8127907899056633E-3</v>
      </c>
      <c r="CE282" s="196">
        <f t="shared" si="836"/>
        <v>56285.352061553087</v>
      </c>
      <c r="CF282" s="247">
        <f t="shared" si="721"/>
        <v>2.4305765464045738E-3</v>
      </c>
      <c r="CG282" s="196">
        <f t="shared" si="803"/>
        <v>71137.108358851619</v>
      </c>
      <c r="CH282" s="589">
        <f t="shared" si="767"/>
        <v>1.8127907899056633E-3</v>
      </c>
      <c r="CI282" s="196">
        <f t="shared" si="837"/>
        <v>116644.09142337297</v>
      </c>
      <c r="CJ282" s="248">
        <f t="shared" si="769"/>
        <v>1.9176285669184009E-3</v>
      </c>
      <c r="CK282" s="196">
        <f t="shared" si="838"/>
        <v>142005.32544798963</v>
      </c>
      <c r="CL282" s="589">
        <f t="shared" si="771"/>
        <v>2.0413557625641185E-3</v>
      </c>
      <c r="CM282" s="196">
        <f t="shared" si="839"/>
        <v>13756.75481875371</v>
      </c>
      <c r="CN282" s="589">
        <f t="shared" si="773"/>
        <v>1.9825047101003491E-3</v>
      </c>
      <c r="CO282" s="196">
        <f t="shared" si="840"/>
        <v>1100.5304293276918</v>
      </c>
      <c r="CP282" s="589">
        <f t="shared" si="775"/>
        <v>2.0754308768197315E-3</v>
      </c>
      <c r="CQ282" s="196">
        <f>'Detailed Budget'!$AC$12</f>
        <v>292876014141.44696</v>
      </c>
      <c r="CR282" s="269">
        <f t="shared" si="724"/>
        <v>0</v>
      </c>
      <c r="CS282" s="269">
        <f>'Detailed Budget'!$AC$16</f>
        <v>10488008800.000002</v>
      </c>
      <c r="CT282" s="607">
        <f t="shared" si="804"/>
        <v>0</v>
      </c>
      <c r="CU282" s="269">
        <f>'Detailed Budget'!$AC$24</f>
        <v>30624985696</v>
      </c>
      <c r="CV282" s="269">
        <f t="shared" si="792"/>
        <v>0</v>
      </c>
      <c r="CW282" s="269"/>
      <c r="CX282" s="269">
        <f t="shared" si="776"/>
        <v>0</v>
      </c>
      <c r="CY282" s="196">
        <f>'Detailed Budget'!$AC$97</f>
        <v>74629165494.837845</v>
      </c>
      <c r="CZ282" s="269">
        <f t="shared" si="805"/>
        <v>277391185.33071983</v>
      </c>
      <c r="DA282" s="269">
        <f>'Detailed Budget'!$AC$100</f>
        <v>14925833098.967569</v>
      </c>
      <c r="DB282" s="269">
        <f t="shared" si="806"/>
        <v>55478237.06614396</v>
      </c>
      <c r="DC282" s="269">
        <f t="shared" si="728"/>
        <v>332869422.39686382</v>
      </c>
      <c r="DD282" s="207">
        <v>0</v>
      </c>
      <c r="DE282" s="606">
        <v>0</v>
      </c>
      <c r="DF282" s="269">
        <f>'Detailed Budget'!$AC$147</f>
        <v>5913600671000</v>
      </c>
      <c r="DG282" s="269">
        <f t="shared" si="787"/>
        <v>0</v>
      </c>
      <c r="DH282" s="269">
        <f>'Detailed Budget'!$AC$153</f>
        <v>226428026880.00003</v>
      </c>
      <c r="DI282" s="269"/>
      <c r="DJ282" s="269">
        <f>'Detailed Budget'!$AC$156</f>
        <v>27713070000</v>
      </c>
      <c r="DK282" s="269"/>
      <c r="DL282" s="269"/>
      <c r="DM282" s="196">
        <f>'Detailed Budget'!$AC$178</f>
        <v>5622683761.6229038</v>
      </c>
      <c r="DN282" s="269">
        <f t="shared" si="841"/>
        <v>30641058.591963042</v>
      </c>
      <c r="DO282" s="196">
        <f>'Detailed Budget'!$AC$179</f>
        <v>26827890683.128094</v>
      </c>
      <c r="DP282" s="269">
        <f t="shared" si="842"/>
        <v>146199753.10298473</v>
      </c>
      <c r="DQ282" s="269">
        <f t="shared" si="843"/>
        <v>176840811.69494778</v>
      </c>
      <c r="DR282" s="269">
        <f>'Detailed Budget'!$AC$181</f>
        <v>50888946855.375237</v>
      </c>
      <c r="DS282" s="269">
        <f t="shared" si="844"/>
        <v>210267589.82644257</v>
      </c>
      <c r="DT282" s="269">
        <f t="shared" si="845"/>
        <v>387108401.52139032</v>
      </c>
      <c r="DU282" s="272">
        <f>'Detailed Budget'!$AC$192</f>
        <v>77498869683.252869</v>
      </c>
      <c r="DV282" s="269">
        <f t="shared" si="807"/>
        <v>0</v>
      </c>
      <c r="DW282" s="140">
        <f>'Detailed Budget'!$AC$194</f>
        <v>2684962805.4134097</v>
      </c>
      <c r="DX282" s="269">
        <f t="shared" si="808"/>
        <v>0</v>
      </c>
      <c r="DY282" s="607">
        <f t="shared" si="731"/>
        <v>0</v>
      </c>
      <c r="DZ282" s="196">
        <f>'Detailed Budget'!$AC$198</f>
        <v>18732540018.380611</v>
      </c>
      <c r="EA282" s="269">
        <f t="shared" si="809"/>
        <v>45530872.423261017</v>
      </c>
      <c r="EB282" s="196">
        <f>'Detailed Budget'!$AC$200</f>
        <v>4683135004.5951529</v>
      </c>
      <c r="EC282" s="269">
        <f t="shared" si="810"/>
        <v>11382718.105815254</v>
      </c>
      <c r="ED282" s="269">
        <f t="shared" si="734"/>
        <v>56913590.529076271</v>
      </c>
      <c r="EE282" s="196">
        <f>'Detailed Budget'!$AC$161</f>
        <v>251147290106.36197</v>
      </c>
      <c r="EF282" s="269">
        <f t="shared" si="811"/>
        <v>455277494.41457868</v>
      </c>
      <c r="EG282" s="196">
        <f>'Detailed Budget'!$AC$163</f>
        <v>15696705631.647623</v>
      </c>
      <c r="EH282" s="269">
        <f t="shared" si="812"/>
        <v>28454843.400911167</v>
      </c>
      <c r="EI282" s="269">
        <f t="shared" si="737"/>
        <v>483732337.81548983</v>
      </c>
      <c r="EJ282" s="196">
        <f>'Detailed Budget'!$AC$204</f>
        <v>45012172507.531975</v>
      </c>
      <c r="EK282" s="269">
        <f t="shared" si="813"/>
        <v>86316627.85950239</v>
      </c>
      <c r="EL282" s="201">
        <f>'Detailed Budget'!$AC$206</f>
        <v>11253043126.882994</v>
      </c>
      <c r="EM282" s="269">
        <f t="shared" si="814"/>
        <v>21579156.964875598</v>
      </c>
      <c r="EN282" s="269">
        <f t="shared" si="740"/>
        <v>107895784.82437798</v>
      </c>
      <c r="EO282" s="140">
        <f>'Detailed Budget'!$AC$209</f>
        <v>135789361677.54817</v>
      </c>
      <c r="EP282" s="269">
        <f t="shared" si="815"/>
        <v>277194395.95536625</v>
      </c>
      <c r="EQ282" s="196">
        <f>'Detailed Budget'!$AC$211</f>
        <v>33947340419.387043</v>
      </c>
      <c r="ER282" s="269">
        <f t="shared" si="816"/>
        <v>69298598.988841563</v>
      </c>
      <c r="ES282" s="269">
        <f t="shared" si="743"/>
        <v>346492994.94420779</v>
      </c>
      <c r="ET282" s="196">
        <f>'Detailed Budget'!$AC$214</f>
        <v>22239745544.201103</v>
      </c>
      <c r="EU282" s="269">
        <f t="shared" si="817"/>
        <v>44090400.292811938</v>
      </c>
      <c r="EV282" s="140">
        <f>'Detailed Budget'!$AC$217</f>
        <v>5559936386.0502758</v>
      </c>
      <c r="EW282" s="269">
        <f t="shared" si="818"/>
        <v>11022600.073202984</v>
      </c>
      <c r="EX282" s="269">
        <f t="shared" si="746"/>
        <v>55113000.36601492</v>
      </c>
      <c r="EY282" s="196">
        <f>'Detailed Budget'!$AC$219</f>
        <v>372777004.58170313</v>
      </c>
      <c r="EZ282" s="269">
        <f t="shared" si="819"/>
        <v>773672.90547723719</v>
      </c>
      <c r="FA282" s="196">
        <f>'Detailed Budget'!$AC$222</f>
        <v>93194251.145425782</v>
      </c>
      <c r="FB282" s="269">
        <f t="shared" si="820"/>
        <v>193418.2263693093</v>
      </c>
      <c r="FC282" s="269">
        <f t="shared" si="749"/>
        <v>967091.13184654643</v>
      </c>
      <c r="FD282" s="269"/>
      <c r="FE282" s="269">
        <f t="shared" si="750"/>
        <v>510468871.26644725</v>
      </c>
      <c r="FF282" s="140">
        <f>'Detailed Budget'!$AC$165</f>
        <v>14927760000</v>
      </c>
      <c r="FG282" s="1087">
        <f t="shared" si="788"/>
        <v>696313330.30907822</v>
      </c>
      <c r="FH282" s="269">
        <f t="shared" si="821"/>
        <v>18657579.820474949</v>
      </c>
      <c r="FJ282" s="140">
        <f>'Detailed Budget'!$AC$235</f>
        <v>3623696172</v>
      </c>
      <c r="FK282" s="269">
        <f t="shared" si="822"/>
        <v>4681778</v>
      </c>
      <c r="FL282" s="269">
        <f t="shared" si="789"/>
        <v>4681778</v>
      </c>
      <c r="FO282" s="607"/>
      <c r="FP282" s="607"/>
      <c r="FQ282" s="607"/>
      <c r="FR282" s="269">
        <f>'Detailed Budget'!$AC$257</f>
        <v>13636439388</v>
      </c>
      <c r="FS282" s="269">
        <f t="shared" si="823"/>
        <v>28481075.999999996</v>
      </c>
      <c r="FT282" s="269">
        <f t="shared" si="790"/>
        <v>28481075.999999996</v>
      </c>
      <c r="FU282" s="269"/>
      <c r="FV282" s="269"/>
      <c r="FW282" s="269"/>
      <c r="FX282" s="140">
        <f>'Detailed Budget'!$AC$278</f>
        <v>1114560000</v>
      </c>
      <c r="FY282" s="269">
        <f t="shared" si="824"/>
        <v>1440000</v>
      </c>
      <c r="FZ282" s="269">
        <f t="shared" si="791"/>
        <v>1440000</v>
      </c>
      <c r="GB282" s="269">
        <f t="shared" si="799"/>
        <v>2520666387.6588206</v>
      </c>
      <c r="GC282" s="887">
        <f t="shared" si="753"/>
        <v>1575416.4922867629</v>
      </c>
      <c r="GD282" s="1078">
        <f t="shared" si="800"/>
        <v>1.4144252836387674E-3</v>
      </c>
    </row>
    <row r="283" spans="1:186" outlineLevel="1">
      <c r="A283" s="211" t="s">
        <v>715</v>
      </c>
      <c r="B283" s="212" t="s">
        <v>716</v>
      </c>
      <c r="C283" s="213" t="s">
        <v>215</v>
      </c>
      <c r="D283" s="214"/>
      <c r="E283" s="213"/>
      <c r="F283" s="213"/>
      <c r="G283" s="213"/>
      <c r="H283" s="213" t="s">
        <v>215</v>
      </c>
      <c r="I283" s="214" t="s">
        <v>215</v>
      </c>
      <c r="J283" s="214"/>
      <c r="K283" s="213" t="s">
        <v>215</v>
      </c>
      <c r="L283" s="213"/>
      <c r="M283" s="214"/>
      <c r="N283" s="213"/>
      <c r="O283" s="214"/>
      <c r="P283" s="213"/>
      <c r="Q283" s="214"/>
      <c r="R283" s="214" t="s">
        <v>215</v>
      </c>
      <c r="S283" s="214"/>
      <c r="T283" s="214"/>
      <c r="U283" s="215">
        <f t="shared" si="830"/>
        <v>5</v>
      </c>
      <c r="V283" s="845" t="s">
        <v>467</v>
      </c>
      <c r="W283" s="216">
        <v>128730</v>
      </c>
      <c r="X283" s="217">
        <v>2.91</v>
      </c>
      <c r="Y283" s="218">
        <f t="shared" si="826"/>
        <v>1.0290999999999999</v>
      </c>
      <c r="Z283" s="196">
        <v>19</v>
      </c>
      <c r="AA283" s="218">
        <f t="shared" si="827"/>
        <v>1.7246222540408234</v>
      </c>
      <c r="AB283" s="196">
        <f t="shared" si="828"/>
        <v>222010.62276267519</v>
      </c>
      <c r="AC283">
        <v>20.100000000000001</v>
      </c>
      <c r="AD283" s="196">
        <f t="shared" si="829"/>
        <v>44624.135175297713</v>
      </c>
      <c r="AE283" s="196">
        <f t="shared" si="849"/>
        <v>42392.928416532828</v>
      </c>
      <c r="AF283" s="196">
        <f t="shared" si="831"/>
        <v>42392.928416532828</v>
      </c>
      <c r="AG283" s="606">
        <f t="shared" si="756"/>
        <v>1.9600629015375619E-3</v>
      </c>
      <c r="AH283" s="196">
        <f t="shared" si="846"/>
        <v>11100.53113813376</v>
      </c>
      <c r="AI283" s="248">
        <f t="shared" si="715"/>
        <v>8.5994132832373769E-4</v>
      </c>
      <c r="AJ283" s="196">
        <f t="shared" si="757"/>
        <v>55724.666313431473</v>
      </c>
      <c r="AK283" s="196">
        <f t="shared" si="785"/>
        <v>8880.4249105070085</v>
      </c>
      <c r="AL283" s="196">
        <f t="shared" si="786"/>
        <v>8880.4249105070085</v>
      </c>
      <c r="AM283" s="196">
        <f t="shared" si="716"/>
        <v>17760.849821014017</v>
      </c>
      <c r="AN283" s="627">
        <f t="shared" si="717"/>
        <v>8.599413283237378E-4</v>
      </c>
      <c r="AO283" s="196">
        <f t="shared" si="718"/>
        <v>8436.4036649816571</v>
      </c>
      <c r="AP283" s="589">
        <f t="shared" si="758"/>
        <v>8.5994132832373769E-4</v>
      </c>
      <c r="AQ283" s="196"/>
      <c r="AR283" s="589"/>
      <c r="AS283">
        <v>1</v>
      </c>
      <c r="AT283" s="589">
        <f t="shared" si="759"/>
        <v>1.2919896640826874E-3</v>
      </c>
      <c r="AU283" s="196">
        <v>11</v>
      </c>
      <c r="AV283" s="245">
        <f t="shared" si="719"/>
        <v>1.2498579706851495E-3</v>
      </c>
      <c r="AX283" s="245"/>
      <c r="AY283" s="245"/>
      <c r="AZ283" s="196">
        <v>26</v>
      </c>
      <c r="BA283" s="589">
        <f t="shared" si="793"/>
        <v>9.526950276647979E-4</v>
      </c>
      <c r="BI283" s="196">
        <v>0</v>
      </c>
      <c r="BK283" s="246">
        <f t="shared" si="794"/>
        <v>0</v>
      </c>
      <c r="BL283" s="246"/>
      <c r="BM283" s="246">
        <f t="shared" si="795"/>
        <v>0</v>
      </c>
      <c r="BN283" s="196">
        <v>1</v>
      </c>
      <c r="BO283" s="196">
        <f t="shared" si="832"/>
        <v>18848.770799898484</v>
      </c>
      <c r="BP283" s="196">
        <f t="shared" si="762"/>
        <v>18848.770799898484</v>
      </c>
      <c r="BQ283" s="248">
        <f t="shared" si="796"/>
        <v>1.7632147343549375E-3</v>
      </c>
      <c r="BR283" s="248"/>
      <c r="BS283" s="248"/>
      <c r="BT283" s="276">
        <v>1</v>
      </c>
      <c r="BU283" s="196">
        <f t="shared" si="847"/>
        <v>37270.077698408648</v>
      </c>
      <c r="BV283" s="264">
        <f t="shared" si="797"/>
        <v>2.5851231845327866E-3</v>
      </c>
      <c r="BW283" s="196">
        <f t="shared" si="848"/>
        <v>159433.11015430363</v>
      </c>
      <c r="BX283" s="247">
        <f t="shared" si="798"/>
        <v>2.5851232078196746E-3</v>
      </c>
      <c r="BY283" s="196">
        <f t="shared" si="833"/>
        <v>196703.18785271229</v>
      </c>
      <c r="BZ283" s="620">
        <v>0</v>
      </c>
      <c r="CA283" s="196">
        <f t="shared" si="834"/>
        <v>67935.250565378621</v>
      </c>
      <c r="CB283" s="196">
        <f t="shared" si="835"/>
        <v>135870.50113075724</v>
      </c>
      <c r="CC283" s="196">
        <f t="shared" si="765"/>
        <v>203805.75169613585</v>
      </c>
      <c r="CD283" s="247">
        <f t="shared" si="720"/>
        <v>8.599413283237378E-4</v>
      </c>
      <c r="CE283" s="196">
        <f t="shared" si="836"/>
        <v>26700.323438591611</v>
      </c>
      <c r="CF283" s="247">
        <f t="shared" si="721"/>
        <v>1.1530030026335484E-3</v>
      </c>
      <c r="CG283" s="196">
        <f t="shared" si="803"/>
        <v>33745.614659926629</v>
      </c>
      <c r="CH283" s="589">
        <f t="shared" si="767"/>
        <v>8.5994132832373769E-4</v>
      </c>
      <c r="CI283" s="196">
        <f t="shared" si="837"/>
        <v>55332.957050686884</v>
      </c>
      <c r="CJ283" s="248">
        <f t="shared" si="769"/>
        <v>9.0967367345967719E-4</v>
      </c>
      <c r="CK283" s="196">
        <f t="shared" si="838"/>
        <v>67363.674217003107</v>
      </c>
      <c r="CL283" s="589">
        <f t="shared" si="771"/>
        <v>9.6836667298605178E-4</v>
      </c>
      <c r="CM283" s="196">
        <f t="shared" si="839"/>
        <v>6525.8506817980187</v>
      </c>
      <c r="CN283" s="589">
        <f t="shared" si="773"/>
        <v>9.4044924726282349E-4</v>
      </c>
      <c r="CO283" s="196">
        <f t="shared" si="840"/>
        <v>522.06333159161636</v>
      </c>
      <c r="CP283" s="589">
        <f t="shared" si="775"/>
        <v>9.8453103082531482E-4</v>
      </c>
      <c r="CQ283" s="196">
        <f>'Detailed Budget'!$AC$12</f>
        <v>292876014141.44696</v>
      </c>
      <c r="CR283" s="269">
        <f t="shared" si="724"/>
        <v>0</v>
      </c>
      <c r="CS283" s="269">
        <f>'Detailed Budget'!$AC$16</f>
        <v>10488008800.000002</v>
      </c>
      <c r="CT283" s="607">
        <f t="shared" si="804"/>
        <v>0</v>
      </c>
      <c r="CU283" s="269">
        <f>'Detailed Budget'!$AC$24</f>
        <v>30624985696</v>
      </c>
      <c r="CV283" s="269">
        <f t="shared" si="792"/>
        <v>0</v>
      </c>
      <c r="CW283" s="269"/>
      <c r="CX283" s="269">
        <f t="shared" si="776"/>
        <v>0</v>
      </c>
      <c r="CY283" s="196">
        <f>'Detailed Budget'!$AC$97</f>
        <v>74629165494.837845</v>
      </c>
      <c r="CZ283" s="269">
        <f t="shared" si="805"/>
        <v>131587244.21311118</v>
      </c>
      <c r="DA283" s="269">
        <f>'Detailed Budget'!$AC$100</f>
        <v>14925833098.967569</v>
      </c>
      <c r="DB283" s="269">
        <f t="shared" si="806"/>
        <v>26317448.842622235</v>
      </c>
      <c r="DC283" s="269">
        <f t="shared" si="728"/>
        <v>157904693.05573341</v>
      </c>
      <c r="DD283" s="207">
        <v>0</v>
      </c>
      <c r="DE283" s="606">
        <v>0</v>
      </c>
      <c r="DF283" s="269">
        <f>'Detailed Budget'!$AC$147</f>
        <v>5913600671000</v>
      </c>
      <c r="DG283" s="269">
        <f t="shared" si="787"/>
        <v>0</v>
      </c>
      <c r="DH283" s="269">
        <f>'Detailed Budget'!$AC$153</f>
        <v>226428026880.00003</v>
      </c>
      <c r="DI283" s="269"/>
      <c r="DJ283" s="269">
        <f>'Detailed Budget'!$AC$156</f>
        <v>27713070000</v>
      </c>
      <c r="DK283" s="269"/>
      <c r="DL283" s="269"/>
      <c r="DM283" s="196">
        <f>'Detailed Budget'!$AC$178</f>
        <v>5622683761.6229038</v>
      </c>
      <c r="DN283" s="269">
        <f t="shared" si="841"/>
        <v>14535330.151467388</v>
      </c>
      <c r="DO283" s="196">
        <f>'Detailed Budget'!$AC$179</f>
        <v>26827890683.128094</v>
      </c>
      <c r="DP283" s="269">
        <f t="shared" si="842"/>
        <v>69353402.821803659</v>
      </c>
      <c r="DQ283" s="269">
        <f t="shared" si="843"/>
        <v>83888732.973271042</v>
      </c>
      <c r="DR283" s="269">
        <f>'Detailed Budget'!$AC$181</f>
        <v>50888946855.375237</v>
      </c>
      <c r="DS283" s="269">
        <f t="shared" si="844"/>
        <v>99745536.82953757</v>
      </c>
      <c r="DT283" s="269">
        <f t="shared" si="845"/>
        <v>183634269.80280861</v>
      </c>
      <c r="DU283" s="272">
        <f>'Detailed Budget'!$AC$192</f>
        <v>77498869683.252869</v>
      </c>
      <c r="DV283" s="269">
        <f t="shared" si="807"/>
        <v>0</v>
      </c>
      <c r="DW283" s="140">
        <f>'Detailed Budget'!$AC$194</f>
        <v>2684962805.4134097</v>
      </c>
      <c r="DX283" s="269">
        <f t="shared" si="808"/>
        <v>0</v>
      </c>
      <c r="DY283" s="607">
        <f t="shared" si="731"/>
        <v>0</v>
      </c>
      <c r="DZ283" s="196">
        <f>'Detailed Budget'!$AC$198</f>
        <v>18732540018.380611</v>
      </c>
      <c r="EA283" s="269">
        <f t="shared" si="809"/>
        <v>21598674.88814595</v>
      </c>
      <c r="EB283" s="196">
        <f>'Detailed Budget'!$AC$200</f>
        <v>4683135004.5951529</v>
      </c>
      <c r="EC283" s="269">
        <f t="shared" si="810"/>
        <v>5399668.7220364874</v>
      </c>
      <c r="ED283" s="269">
        <f t="shared" si="734"/>
        <v>26998343.610182438</v>
      </c>
      <c r="EE283" s="196">
        <f>'Detailed Budget'!$AC$161</f>
        <v>251147290106.36197</v>
      </c>
      <c r="EF283" s="269">
        <f t="shared" si="811"/>
        <v>215971934.25897202</v>
      </c>
      <c r="EG283" s="196">
        <f>'Detailed Budget'!$AC$163</f>
        <v>15696705631.647623</v>
      </c>
      <c r="EH283" s="269">
        <f t="shared" si="812"/>
        <v>13498245.891185751</v>
      </c>
      <c r="EI283" s="269">
        <f t="shared" si="737"/>
        <v>229470180.15015778</v>
      </c>
      <c r="EJ283" s="196">
        <f>'Detailed Budget'!$AC$204</f>
        <v>45012172507.531975</v>
      </c>
      <c r="EK283" s="269">
        <f t="shared" si="813"/>
        <v>40946388.315327302</v>
      </c>
      <c r="EL283" s="201">
        <f>'Detailed Budget'!$AC$206</f>
        <v>11253043126.882994</v>
      </c>
      <c r="EM283" s="269">
        <f t="shared" si="814"/>
        <v>10236597.078831825</v>
      </c>
      <c r="EN283" s="269">
        <f t="shared" si="740"/>
        <v>51182985.394159123</v>
      </c>
      <c r="EO283" s="140">
        <f>'Detailed Budget'!$AC$209</f>
        <v>135789361677.54817</v>
      </c>
      <c r="EP283" s="269">
        <f t="shared" si="815"/>
        <v>131493892.394587</v>
      </c>
      <c r="EQ283" s="196">
        <f>'Detailed Budget'!$AC$211</f>
        <v>33947340419.387043</v>
      </c>
      <c r="ER283" s="269">
        <f t="shared" si="816"/>
        <v>32873473.098646749</v>
      </c>
      <c r="ES283" s="269">
        <f t="shared" si="743"/>
        <v>164367365.49323374</v>
      </c>
      <c r="ET283" s="196">
        <f>'Detailed Budget'!$AC$214</f>
        <v>22239745544.201103</v>
      </c>
      <c r="EU283" s="269">
        <f t="shared" si="817"/>
        <v>20915351.95636066</v>
      </c>
      <c r="EV283" s="140">
        <f>'Detailed Budget'!$AC$217</f>
        <v>5559936386.0502758</v>
      </c>
      <c r="EW283" s="269">
        <f t="shared" si="818"/>
        <v>5228837.9890901651</v>
      </c>
      <c r="EX283" s="269">
        <f t="shared" si="746"/>
        <v>26144189.945450827</v>
      </c>
      <c r="EY283" s="196">
        <f>'Detailed Budget'!$AC$219</f>
        <v>372777004.58170313</v>
      </c>
      <c r="EZ283" s="269">
        <f t="shared" si="819"/>
        <v>367010.52858879726</v>
      </c>
      <c r="FA283" s="196">
        <f>'Detailed Budget'!$AC$222</f>
        <v>93194251.145425782</v>
      </c>
      <c r="FB283" s="269">
        <f t="shared" si="820"/>
        <v>91752.632147199314</v>
      </c>
      <c r="FC283" s="269">
        <f t="shared" si="749"/>
        <v>458763.16073599656</v>
      </c>
      <c r="FD283" s="269"/>
      <c r="FE283" s="269">
        <f t="shared" si="750"/>
        <v>242153303.99357972</v>
      </c>
      <c r="FF283" s="140">
        <f>'Detailed Budget'!$AC$165</f>
        <v>14927760000</v>
      </c>
      <c r="FG283" s="1087">
        <f t="shared" si="788"/>
        <v>330313135.70755434</v>
      </c>
      <c r="FH283" s="269">
        <f t="shared" si="821"/>
        <v>18657579.820474949</v>
      </c>
      <c r="FJ283" s="140">
        <f>'Detailed Budget'!$AC$235</f>
        <v>3623696172</v>
      </c>
      <c r="FK283" s="269">
        <f t="shared" si="822"/>
        <v>4681778</v>
      </c>
      <c r="FL283" s="269">
        <f t="shared" si="789"/>
        <v>4681778</v>
      </c>
      <c r="FO283" s="607"/>
      <c r="FP283" s="607"/>
      <c r="FQ283" s="607"/>
      <c r="FR283" s="269">
        <f>'Detailed Budget'!$AC$257</f>
        <v>13636439388</v>
      </c>
      <c r="FS283" s="269">
        <f t="shared" si="823"/>
        <v>12991368</v>
      </c>
      <c r="FT283" s="269">
        <f t="shared" si="790"/>
        <v>12991368</v>
      </c>
      <c r="FU283" s="269"/>
      <c r="FV283" s="269"/>
      <c r="FW283" s="269"/>
      <c r="FX283" s="140">
        <f>'Detailed Budget'!$AC$278</f>
        <v>1114560000</v>
      </c>
      <c r="FY283" s="269">
        <f t="shared" si="824"/>
        <v>1440000</v>
      </c>
      <c r="FZ283" s="269">
        <f t="shared" si="791"/>
        <v>1440000</v>
      </c>
      <c r="GB283" s="269">
        <f t="shared" si="799"/>
        <v>1208244652.1404912</v>
      </c>
      <c r="GC283" s="887">
        <f t="shared" si="753"/>
        <v>755152.90758780704</v>
      </c>
      <c r="GD283" s="1078">
        <f t="shared" si="800"/>
        <v>6.7798412085627905E-4</v>
      </c>
    </row>
    <row r="284" spans="1:186" outlineLevel="1">
      <c r="A284" s="211" t="s">
        <v>717</v>
      </c>
      <c r="B284" s="212" t="s">
        <v>718</v>
      </c>
      <c r="C284" s="213" t="s">
        <v>215</v>
      </c>
      <c r="D284" s="214"/>
      <c r="E284" s="213"/>
      <c r="F284" s="213"/>
      <c r="G284" s="213"/>
      <c r="H284" s="213" t="s">
        <v>215</v>
      </c>
      <c r="I284" s="214" t="s">
        <v>215</v>
      </c>
      <c r="J284" s="214"/>
      <c r="K284" s="213" t="s">
        <v>215</v>
      </c>
      <c r="L284" s="213"/>
      <c r="M284" s="214"/>
      <c r="N284" s="213"/>
      <c r="O284" s="214"/>
      <c r="P284" s="213"/>
      <c r="Q284" s="214"/>
      <c r="R284" s="214" t="s">
        <v>215</v>
      </c>
      <c r="S284" s="214"/>
      <c r="T284" s="214"/>
      <c r="U284" s="215">
        <f t="shared" si="830"/>
        <v>5</v>
      </c>
      <c r="V284" s="845" t="s">
        <v>467</v>
      </c>
      <c r="W284" s="216">
        <v>104286</v>
      </c>
      <c r="X284" s="217">
        <v>2.91</v>
      </c>
      <c r="Y284" s="218">
        <f t="shared" si="826"/>
        <v>1.0290999999999999</v>
      </c>
      <c r="Z284" s="196">
        <v>19</v>
      </c>
      <c r="AA284" s="218">
        <f t="shared" si="827"/>
        <v>1.7246222540408234</v>
      </c>
      <c r="AB284" s="196">
        <f t="shared" si="828"/>
        <v>179853.95638490131</v>
      </c>
      <c r="AC284">
        <v>20.100000000000001</v>
      </c>
      <c r="AD284" s="196">
        <f t="shared" si="829"/>
        <v>36150.645233365169</v>
      </c>
      <c r="AE284" s="196">
        <f t="shared" si="849"/>
        <v>34343.112971696908</v>
      </c>
      <c r="AF284" s="196">
        <f t="shared" si="831"/>
        <v>34343.112971696908</v>
      </c>
      <c r="AG284" s="606">
        <f t="shared" si="756"/>
        <v>1.5878747747203154E-3</v>
      </c>
      <c r="AH284" s="196">
        <f t="shared" si="846"/>
        <v>8992.6978192450661</v>
      </c>
      <c r="AI284" s="248">
        <f t="shared" si="715"/>
        <v>6.9665067478885505E-4</v>
      </c>
      <c r="AJ284" s="196">
        <f t="shared" si="757"/>
        <v>45143.343052610231</v>
      </c>
      <c r="AK284" s="196">
        <f t="shared" si="785"/>
        <v>7194.1582553960525</v>
      </c>
      <c r="AL284" s="196">
        <f t="shared" si="786"/>
        <v>7194.1582553960525</v>
      </c>
      <c r="AM284" s="196">
        <f t="shared" si="716"/>
        <v>14388.316510792105</v>
      </c>
      <c r="AN284" s="627">
        <f t="shared" si="717"/>
        <v>6.9665067478885505E-4</v>
      </c>
      <c r="AO284" s="196">
        <f t="shared" si="718"/>
        <v>6834.450342626249</v>
      </c>
      <c r="AP284" s="589">
        <f t="shared" si="758"/>
        <v>6.9665067478885494E-4</v>
      </c>
      <c r="AQ284" s="196"/>
      <c r="AR284" s="589"/>
      <c r="AS284">
        <v>1</v>
      </c>
      <c r="AT284" s="589">
        <f t="shared" si="759"/>
        <v>1.2919896640826874E-3</v>
      </c>
      <c r="AU284" s="196">
        <v>11</v>
      </c>
      <c r="AV284" s="245">
        <f t="shared" si="719"/>
        <v>1.2498579706851495E-3</v>
      </c>
      <c r="AX284" s="245"/>
      <c r="AY284" s="245"/>
      <c r="AZ284" s="196">
        <v>10</v>
      </c>
      <c r="BA284" s="589">
        <f t="shared" si="793"/>
        <v>3.6642116448646071E-4</v>
      </c>
      <c r="BI284" s="196">
        <v>0</v>
      </c>
      <c r="BK284" s="246">
        <f t="shared" si="794"/>
        <v>0</v>
      </c>
      <c r="BL284" s="246"/>
      <c r="BM284" s="246">
        <f t="shared" si="795"/>
        <v>0</v>
      </c>
      <c r="BN284" s="196">
        <v>1</v>
      </c>
      <c r="BO284" s="196">
        <f t="shared" si="832"/>
        <v>15269.656736100469</v>
      </c>
      <c r="BP284" s="196">
        <f t="shared" si="762"/>
        <v>15269.656736100469</v>
      </c>
      <c r="BQ284" s="248">
        <f t="shared" si="796"/>
        <v>1.4284052807188613E-3</v>
      </c>
      <c r="BR284" s="248"/>
      <c r="BS284" s="248"/>
      <c r="BT284" s="276">
        <v>1</v>
      </c>
      <c r="BU284" s="196">
        <f t="shared" si="847"/>
        <v>30193.018898906583</v>
      </c>
      <c r="BV284" s="264">
        <f t="shared" si="797"/>
        <v>2.094244981140264E-3</v>
      </c>
      <c r="BW284" s="196">
        <f t="shared" si="848"/>
        <v>129159.02528976706</v>
      </c>
      <c r="BX284" s="247">
        <f t="shared" si="798"/>
        <v>2.0942450000053033E-3</v>
      </c>
      <c r="BY284" s="196">
        <f t="shared" si="833"/>
        <v>159352.04418867364</v>
      </c>
      <c r="BZ284" s="620">
        <v>0</v>
      </c>
      <c r="CA284" s="196">
        <f t="shared" si="834"/>
        <v>55035.310653779801</v>
      </c>
      <c r="CB284" s="196">
        <f t="shared" si="835"/>
        <v>110070.6213075596</v>
      </c>
      <c r="CC284" s="196">
        <f t="shared" si="765"/>
        <v>165105.9319613394</v>
      </c>
      <c r="CD284" s="247">
        <f t="shared" si="720"/>
        <v>6.9665067478885505E-4</v>
      </c>
      <c r="CE284" s="196">
        <f t="shared" si="836"/>
        <v>21630.310961834577</v>
      </c>
      <c r="CF284" s="247">
        <f t="shared" si="721"/>
        <v>9.3406409642385021E-4</v>
      </c>
      <c r="CG284" s="196">
        <f t="shared" si="803"/>
        <v>27337.801370504996</v>
      </c>
      <c r="CH284" s="589">
        <f t="shared" si="767"/>
        <v>6.9665067478885494E-4</v>
      </c>
      <c r="CI284" s="196">
        <f t="shared" si="837"/>
        <v>44826.013819528736</v>
      </c>
      <c r="CJ284" s="248">
        <f t="shared" si="769"/>
        <v>7.3693955340958534E-4</v>
      </c>
      <c r="CK284" s="196">
        <f t="shared" si="838"/>
        <v>54572.268541865829</v>
      </c>
      <c r="CL284" s="589">
        <f t="shared" si="771"/>
        <v>7.8448758532605786E-4</v>
      </c>
      <c r="CM284" s="196">
        <f t="shared" si="839"/>
        <v>5286.6842554337636</v>
      </c>
      <c r="CN284" s="589">
        <f t="shared" si="773"/>
        <v>7.618712825297199E-4</v>
      </c>
      <c r="CO284" s="196">
        <f t="shared" si="840"/>
        <v>422.93091430407299</v>
      </c>
      <c r="CP284" s="589">
        <f t="shared" si="775"/>
        <v>7.9758256102422742E-4</v>
      </c>
      <c r="CQ284" s="196">
        <f>'Detailed Budget'!$AC$12</f>
        <v>292876014141.44696</v>
      </c>
      <c r="CR284" s="269">
        <f t="shared" si="724"/>
        <v>0</v>
      </c>
      <c r="CS284" s="269">
        <f>'Detailed Budget'!$AC$16</f>
        <v>10488008800.000002</v>
      </c>
      <c r="CT284" s="607">
        <f t="shared" si="804"/>
        <v>0</v>
      </c>
      <c r="CU284" s="269">
        <f>'Detailed Budget'!$AC$24</f>
        <v>30624985696</v>
      </c>
      <c r="CV284" s="269">
        <f t="shared" si="792"/>
        <v>0</v>
      </c>
      <c r="CW284" s="269"/>
      <c r="CX284" s="269">
        <f t="shared" si="776"/>
        <v>0</v>
      </c>
      <c r="CY284" s="196">
        <f>'Detailed Budget'!$AC$97</f>
        <v>74629165494.837845</v>
      </c>
      <c r="CZ284" s="269">
        <f t="shared" si="805"/>
        <v>106600694.08846821</v>
      </c>
      <c r="DA284" s="269">
        <f>'Detailed Budget'!$AC$100</f>
        <v>14925833098.967569</v>
      </c>
      <c r="DB284" s="269">
        <f t="shared" si="806"/>
        <v>21320138.817693643</v>
      </c>
      <c r="DC284" s="269">
        <f t="shared" si="728"/>
        <v>127920832.90616184</v>
      </c>
      <c r="DD284" s="207">
        <v>0</v>
      </c>
      <c r="DE284" s="606">
        <v>0</v>
      </c>
      <c r="DF284" s="269">
        <f>'Detailed Budget'!$AC$147</f>
        <v>5913600671000</v>
      </c>
      <c r="DG284" s="269">
        <f t="shared" si="787"/>
        <v>0</v>
      </c>
      <c r="DH284" s="269">
        <f>'Detailed Budget'!$AC$153</f>
        <v>226428026880.00003</v>
      </c>
      <c r="DI284" s="269"/>
      <c r="DJ284" s="269">
        <f>'Detailed Budget'!$AC$156</f>
        <v>27713070000</v>
      </c>
      <c r="DK284" s="269"/>
      <c r="DL284" s="269"/>
      <c r="DM284" s="196">
        <f>'Detailed Budget'!$AC$178</f>
        <v>5622683761.6229038</v>
      </c>
      <c r="DN284" s="269">
        <f t="shared" si="841"/>
        <v>11775277.248317627</v>
      </c>
      <c r="DO284" s="196">
        <f>'Detailed Budget'!$AC$179</f>
        <v>26827890683.128094</v>
      </c>
      <c r="DP284" s="269">
        <f t="shared" si="842"/>
        <v>56184175.923829868</v>
      </c>
      <c r="DQ284" s="269">
        <f t="shared" si="843"/>
        <v>67959453.172147498</v>
      </c>
      <c r="DR284" s="269">
        <f>'Detailed Budget'!$AC$181</f>
        <v>50888946855.375237</v>
      </c>
      <c r="DS284" s="269">
        <f t="shared" si="844"/>
        <v>80805275.023733065</v>
      </c>
      <c r="DT284" s="269">
        <f t="shared" si="845"/>
        <v>148764728.19588056</v>
      </c>
      <c r="DU284" s="272">
        <f>'Detailed Budget'!$AC$192</f>
        <v>77498869683.252869</v>
      </c>
      <c r="DV284" s="269">
        <f t="shared" si="807"/>
        <v>0</v>
      </c>
      <c r="DW284" s="140">
        <f>'Detailed Budget'!$AC$194</f>
        <v>2684962805.4134097</v>
      </c>
      <c r="DX284" s="269">
        <f t="shared" si="808"/>
        <v>0</v>
      </c>
      <c r="DY284" s="607">
        <f t="shared" si="731"/>
        <v>0</v>
      </c>
      <c r="DZ284" s="196">
        <f>'Detailed Budget'!$AC$198</f>
        <v>18732540018.380611</v>
      </c>
      <c r="EA284" s="269">
        <f t="shared" si="809"/>
        <v>17497393.065992299</v>
      </c>
      <c r="EB284" s="196">
        <f>'Detailed Budget'!$AC$200</f>
        <v>4683135004.5951529</v>
      </c>
      <c r="EC284" s="269">
        <f t="shared" si="810"/>
        <v>4374348.2664980749</v>
      </c>
      <c r="ED284" s="269">
        <f t="shared" si="734"/>
        <v>21871741.332490373</v>
      </c>
      <c r="EE284" s="196">
        <f>'Detailed Budget'!$AC$161</f>
        <v>251147290106.36197</v>
      </c>
      <c r="EF284" s="269">
        <f t="shared" si="811"/>
        <v>174961929.12398937</v>
      </c>
      <c r="EG284" s="196">
        <f>'Detailed Budget'!$AC$163</f>
        <v>15696705631.647623</v>
      </c>
      <c r="EH284" s="269">
        <f t="shared" si="812"/>
        <v>10935120.570249336</v>
      </c>
      <c r="EI284" s="269">
        <f t="shared" si="737"/>
        <v>185897049.69423872</v>
      </c>
      <c r="EJ284" s="196">
        <f>'Detailed Budget'!$AC$204</f>
        <v>45012172507.531975</v>
      </c>
      <c r="EK284" s="269">
        <f t="shared" si="813"/>
        <v>33171250.305695828</v>
      </c>
      <c r="EL284" s="201">
        <f>'Detailed Budget'!$AC$206</f>
        <v>11253043126.882994</v>
      </c>
      <c r="EM284" s="269">
        <f t="shared" si="814"/>
        <v>8292812.576423957</v>
      </c>
      <c r="EN284" s="269">
        <f t="shared" si="740"/>
        <v>41464062.882119782</v>
      </c>
      <c r="EO284" s="140">
        <f>'Detailed Budget'!$AC$209</f>
        <v>135789361677.54817</v>
      </c>
      <c r="EP284" s="269">
        <f t="shared" si="815"/>
        <v>106525068.4553865</v>
      </c>
      <c r="EQ284" s="196">
        <f>'Detailed Budget'!$AC$211</f>
        <v>33947340419.387043</v>
      </c>
      <c r="ER284" s="269">
        <f t="shared" si="816"/>
        <v>26631267.113846626</v>
      </c>
      <c r="ES284" s="269">
        <f t="shared" si="743"/>
        <v>133156335.56923313</v>
      </c>
      <c r="ET284" s="196">
        <f>'Detailed Budget'!$AC$214</f>
        <v>22239745544.201103</v>
      </c>
      <c r="EU284" s="269">
        <f t="shared" si="817"/>
        <v>16943823.460895117</v>
      </c>
      <c r="EV284" s="140">
        <f>'Detailed Budget'!$AC$217</f>
        <v>5559936386.0502758</v>
      </c>
      <c r="EW284" s="269">
        <f t="shared" si="818"/>
        <v>4235955.8652237793</v>
      </c>
      <c r="EX284" s="269">
        <f t="shared" si="746"/>
        <v>21179779.326118898</v>
      </c>
      <c r="EY284" s="196">
        <f>'Detailed Budget'!$AC$219</f>
        <v>372777004.58170313</v>
      </c>
      <c r="EZ284" s="269">
        <f t="shared" si="819"/>
        <v>297320.43800521496</v>
      </c>
      <c r="FA284" s="196">
        <f>'Detailed Budget'!$AC$222</f>
        <v>93194251.145425782</v>
      </c>
      <c r="FB284" s="269">
        <f t="shared" si="820"/>
        <v>74330.109501303741</v>
      </c>
      <c r="FC284" s="269">
        <f t="shared" si="749"/>
        <v>371650.54750651872</v>
      </c>
      <c r="FD284" s="269"/>
      <c r="FE284" s="269">
        <f t="shared" si="750"/>
        <v>196171828.32497832</v>
      </c>
      <c r="FF284" s="140">
        <f>'Detailed Budget'!$AC$165</f>
        <v>14927760000</v>
      </c>
      <c r="FG284" s="1087">
        <f t="shared" si="788"/>
        <v>267591359.20452124</v>
      </c>
      <c r="FH284" s="269">
        <f t="shared" si="821"/>
        <v>18657579.820474949</v>
      </c>
      <c r="FJ284" s="140">
        <f>'Detailed Budget'!$AC$235</f>
        <v>3623696172</v>
      </c>
      <c r="FK284" s="269">
        <f t="shared" si="822"/>
        <v>4681778</v>
      </c>
      <c r="FL284" s="269">
        <f t="shared" si="789"/>
        <v>4681778</v>
      </c>
      <c r="FO284" s="607"/>
      <c r="FP284" s="607"/>
      <c r="FQ284" s="607"/>
      <c r="FR284" s="269">
        <f>'Detailed Budget'!$AC$257</f>
        <v>13636439388</v>
      </c>
      <c r="FS284" s="269">
        <f t="shared" si="823"/>
        <v>4996680</v>
      </c>
      <c r="FT284" s="269">
        <f t="shared" si="790"/>
        <v>4996680</v>
      </c>
      <c r="FU284" s="269"/>
      <c r="FV284" s="269"/>
      <c r="FW284" s="269"/>
      <c r="FX284" s="140">
        <f>'Detailed Budget'!$AC$278</f>
        <v>1114560000</v>
      </c>
      <c r="FY284" s="269">
        <f t="shared" si="824"/>
        <v>1440000</v>
      </c>
      <c r="FZ284" s="269">
        <f t="shared" si="791"/>
        <v>1440000</v>
      </c>
      <c r="GB284" s="269">
        <f t="shared" si="799"/>
        <v>977993577.47874606</v>
      </c>
      <c r="GC284" s="887">
        <f t="shared" si="753"/>
        <v>611245.98592421634</v>
      </c>
      <c r="GD284" s="1078">
        <f t="shared" si="800"/>
        <v>5.4878299246377766E-4</v>
      </c>
    </row>
    <row r="285" spans="1:186" outlineLevel="1">
      <c r="A285" s="211" t="s">
        <v>719</v>
      </c>
      <c r="B285" s="212" t="s">
        <v>720</v>
      </c>
      <c r="C285" s="213" t="s">
        <v>215</v>
      </c>
      <c r="D285" s="214"/>
      <c r="E285" s="213"/>
      <c r="F285" s="213"/>
      <c r="G285" s="213"/>
      <c r="H285" s="213" t="s">
        <v>215</v>
      </c>
      <c r="I285" s="214" t="s">
        <v>215</v>
      </c>
      <c r="J285" s="214"/>
      <c r="K285" s="213" t="s">
        <v>215</v>
      </c>
      <c r="L285" s="213"/>
      <c r="M285" s="214"/>
      <c r="N285" s="213"/>
      <c r="O285" s="214"/>
      <c r="P285" s="213"/>
      <c r="Q285" s="214"/>
      <c r="R285" s="214" t="s">
        <v>215</v>
      </c>
      <c r="S285" s="214" t="s">
        <v>215</v>
      </c>
      <c r="T285" s="214"/>
      <c r="U285" s="215">
        <f t="shared" si="830"/>
        <v>6</v>
      </c>
      <c r="V285" s="845" t="s">
        <v>700</v>
      </c>
      <c r="W285" s="216">
        <v>229882</v>
      </c>
      <c r="X285" s="217">
        <v>2.91</v>
      </c>
      <c r="Y285" s="218">
        <f t="shared" si="826"/>
        <v>1.0290999999999999</v>
      </c>
      <c r="Z285" s="196">
        <v>19</v>
      </c>
      <c r="AA285" s="218">
        <f t="shared" si="827"/>
        <v>1.7246222540408234</v>
      </c>
      <c r="AB285" s="196">
        <f t="shared" si="828"/>
        <v>396459.61300341255</v>
      </c>
      <c r="AC285">
        <v>20.100000000000001</v>
      </c>
      <c r="AD285" s="196">
        <f t="shared" si="829"/>
        <v>79688.382213685938</v>
      </c>
      <c r="AE285" s="196">
        <f t="shared" si="849"/>
        <v>75703.963103001632</v>
      </c>
      <c r="AF285" s="196">
        <f t="shared" si="831"/>
        <v>75703.963103001632</v>
      </c>
      <c r="AG285" s="606">
        <f t="shared" si="756"/>
        <v>3.500218907257499E-3</v>
      </c>
      <c r="AH285" s="196">
        <f t="shared" si="846"/>
        <v>19822.98065017063</v>
      </c>
      <c r="AI285" s="248">
        <f t="shared" si="715"/>
        <v>1.5356562762193543E-3</v>
      </c>
      <c r="AJ285" s="196">
        <f t="shared" si="757"/>
        <v>99511.362863856571</v>
      </c>
      <c r="AK285" s="196">
        <f t="shared" si="785"/>
        <v>15858.384520136502</v>
      </c>
      <c r="AL285" s="196">
        <f t="shared" si="786"/>
        <v>15858.384520136502</v>
      </c>
      <c r="AM285" s="196">
        <f t="shared" si="716"/>
        <v>31716.769040273004</v>
      </c>
      <c r="AN285" s="627">
        <f t="shared" si="717"/>
        <v>1.5356562762193541E-3</v>
      </c>
      <c r="AO285" s="196">
        <f t="shared" si="718"/>
        <v>15065.465294129677</v>
      </c>
      <c r="AP285" s="589">
        <f t="shared" si="758"/>
        <v>1.5356562762193541E-3</v>
      </c>
      <c r="AQ285" s="196"/>
      <c r="AR285" s="589"/>
      <c r="AS285">
        <v>1</v>
      </c>
      <c r="AT285" s="589">
        <f t="shared" si="759"/>
        <v>1.2919896640826874E-3</v>
      </c>
      <c r="AU285" s="196">
        <v>11</v>
      </c>
      <c r="AV285" s="245">
        <f t="shared" si="719"/>
        <v>1.2498579706851495E-3</v>
      </c>
      <c r="AX285" s="245"/>
      <c r="AY285" s="245"/>
      <c r="AZ285" s="196">
        <v>43</v>
      </c>
      <c r="BA285" s="589">
        <f t="shared" si="793"/>
        <v>1.5756110072917811E-3</v>
      </c>
      <c r="BI285" s="196">
        <v>0</v>
      </c>
      <c r="BK285" s="246">
        <f t="shared" si="794"/>
        <v>0</v>
      </c>
      <c r="BL285" s="246"/>
      <c r="BM285" s="246">
        <f t="shared" si="795"/>
        <v>0</v>
      </c>
      <c r="BN285" s="196">
        <v>1</v>
      </c>
      <c r="BO285" s="196">
        <f t="shared" si="832"/>
        <v>33659.54423228668</v>
      </c>
      <c r="BP285" s="196">
        <f t="shared" si="762"/>
        <v>33659.54423228668</v>
      </c>
      <c r="BQ285" s="248">
        <f t="shared" si="796"/>
        <v>3.1486936189154186E-3</v>
      </c>
      <c r="BR285" s="248"/>
      <c r="BS285" s="248"/>
      <c r="BT285" s="276">
        <v>1</v>
      </c>
      <c r="BU285" s="196">
        <f t="shared" si="847"/>
        <v>66555.736824870488</v>
      </c>
      <c r="BV285" s="264">
        <f t="shared" si="797"/>
        <v>4.6164319731745989E-3</v>
      </c>
      <c r="BW285" s="196">
        <f t="shared" si="848"/>
        <v>284710.65197305707</v>
      </c>
      <c r="BX285" s="247">
        <f t="shared" si="798"/>
        <v>4.6164320147595948E-3</v>
      </c>
      <c r="BY285" s="196">
        <f t="shared" si="833"/>
        <v>351266.38879792753</v>
      </c>
      <c r="BZ285" s="620">
        <v>0</v>
      </c>
      <c r="CA285" s="196">
        <f t="shared" si="834"/>
        <v>121316.64157904423</v>
      </c>
      <c r="CB285" s="196">
        <f t="shared" si="835"/>
        <v>242633.28315808845</v>
      </c>
      <c r="CC285" s="196">
        <f t="shared" si="765"/>
        <v>363949.92473713268</v>
      </c>
      <c r="CD285" s="247">
        <f t="shared" si="720"/>
        <v>1.5356562762193541E-3</v>
      </c>
      <c r="CE285" s="196">
        <f t="shared" si="836"/>
        <v>47680.600891092341</v>
      </c>
      <c r="CF285" s="247">
        <f t="shared" si="721"/>
        <v>2.0589966305554677E-3</v>
      </c>
      <c r="CG285" s="196">
        <f t="shared" si="803"/>
        <v>60261.861176518709</v>
      </c>
      <c r="CH285" s="589">
        <f t="shared" si="767"/>
        <v>1.5356562762193541E-3</v>
      </c>
      <c r="CI285" s="196">
        <f t="shared" si="837"/>
        <v>98811.860737403913</v>
      </c>
      <c r="CJ285" s="248">
        <f t="shared" si="769"/>
        <v>1.6244667397052558E-3</v>
      </c>
      <c r="CK285" s="196">
        <f t="shared" si="838"/>
        <v>120295.93844755001</v>
      </c>
      <c r="CL285" s="589">
        <f t="shared" si="771"/>
        <v>1.7292788590024051E-3</v>
      </c>
      <c r="CM285" s="196">
        <f t="shared" si="839"/>
        <v>11653.659647580927</v>
      </c>
      <c r="CN285" s="589">
        <f t="shared" si="773"/>
        <v>1.6794247949916297E-3</v>
      </c>
      <c r="CO285" s="196">
        <f t="shared" si="840"/>
        <v>932.2843377063931</v>
      </c>
      <c r="CP285" s="589">
        <f t="shared" si="775"/>
        <v>1.7581446626907876E-3</v>
      </c>
      <c r="CQ285" s="196">
        <f>'Detailed Budget'!$AC$12</f>
        <v>292876014141.44696</v>
      </c>
      <c r="CR285" s="269">
        <f t="shared" si="724"/>
        <v>0</v>
      </c>
      <c r="CS285" s="269">
        <f>'Detailed Budget'!$AC$16</f>
        <v>10488008800.000002</v>
      </c>
      <c r="CT285" s="607">
        <f t="shared" si="804"/>
        <v>0</v>
      </c>
      <c r="CU285" s="269">
        <f>'Detailed Budget'!$AC$24</f>
        <v>30624985696</v>
      </c>
      <c r="CV285" s="269">
        <f t="shared" si="792"/>
        <v>0</v>
      </c>
      <c r="CW285" s="269"/>
      <c r="CX285" s="269">
        <f t="shared" si="776"/>
        <v>0</v>
      </c>
      <c r="CY285" s="196">
        <f>'Detailed Budget'!$AC$97</f>
        <v>74629165494.837845</v>
      </c>
      <c r="CZ285" s="269">
        <f t="shared" si="805"/>
        <v>234984377.17857867</v>
      </c>
      <c r="DA285" s="269">
        <f>'Detailed Budget'!$AC$100</f>
        <v>14925833098.967569</v>
      </c>
      <c r="DB285" s="269">
        <f t="shared" si="806"/>
        <v>46996875.435715735</v>
      </c>
      <c r="DC285" s="269">
        <f t="shared" si="728"/>
        <v>281981252.61429441</v>
      </c>
      <c r="DD285" s="207">
        <v>1</v>
      </c>
      <c r="DE285" s="606">
        <v>0</v>
      </c>
      <c r="DF285" s="269">
        <f>'Detailed Budget'!$AC$147</f>
        <v>5913600671000</v>
      </c>
      <c r="DG285" s="269">
        <f t="shared" si="787"/>
        <v>0</v>
      </c>
      <c r="DH285" s="269">
        <f>'Detailed Budget'!$AC$153</f>
        <v>226428026880.00003</v>
      </c>
      <c r="DI285" s="269"/>
      <c r="DJ285" s="269">
        <f>'Detailed Budget'!$AC$156</f>
        <v>27713070000</v>
      </c>
      <c r="DK285" s="269"/>
      <c r="DL285" s="269"/>
      <c r="DM285" s="196">
        <f>'Detailed Budget'!$AC$178</f>
        <v>5622683761.6229038</v>
      </c>
      <c r="DN285" s="269">
        <f t="shared" si="841"/>
        <v>25956737.092205599</v>
      </c>
      <c r="DO285" s="196">
        <f>'Detailed Budget'!$AC$179</f>
        <v>26827890683.128094</v>
      </c>
      <c r="DP285" s="269">
        <f t="shared" si="842"/>
        <v>123849133.43806319</v>
      </c>
      <c r="DQ285" s="269">
        <f t="shared" si="843"/>
        <v>149805870.53026879</v>
      </c>
      <c r="DR285" s="269">
        <f>'Detailed Budget'!$AC$181</f>
        <v>50888946855.375237</v>
      </c>
      <c r="DS285" s="269">
        <f t="shared" si="844"/>
        <v>178122453.95360646</v>
      </c>
      <c r="DT285" s="269">
        <f t="shared" si="845"/>
        <v>327928324.48387527</v>
      </c>
      <c r="DU285" s="272">
        <f>'Detailed Budget'!$AC$192</f>
        <v>77498869683.252869</v>
      </c>
      <c r="DV285" s="269">
        <f t="shared" si="807"/>
        <v>0</v>
      </c>
      <c r="DW285" s="140">
        <f>'Detailed Budget'!$AC$194</f>
        <v>2684962805.4134097</v>
      </c>
      <c r="DX285" s="269">
        <f t="shared" si="808"/>
        <v>0</v>
      </c>
      <c r="DY285" s="607">
        <f t="shared" si="731"/>
        <v>0</v>
      </c>
      <c r="DZ285" s="196">
        <f>'Detailed Budget'!$AC$198</f>
        <v>18732540018.380611</v>
      </c>
      <c r="EA285" s="269">
        <f t="shared" si="809"/>
        <v>38570236.779591136</v>
      </c>
      <c r="EB285" s="196">
        <f>'Detailed Budget'!$AC$200</f>
        <v>4683135004.5951529</v>
      </c>
      <c r="EC285" s="269">
        <f t="shared" si="810"/>
        <v>9642559.1948977839</v>
      </c>
      <c r="ED285" s="269">
        <f t="shared" si="734"/>
        <v>48212795.974488921</v>
      </c>
      <c r="EE285" s="196">
        <f>'Detailed Budget'!$AC$161</f>
        <v>251147290106.36197</v>
      </c>
      <c r="EF285" s="269">
        <f t="shared" si="811"/>
        <v>385675912.30731767</v>
      </c>
      <c r="EG285" s="196">
        <f>'Detailed Budget'!$AC$163</f>
        <v>15696705631.647623</v>
      </c>
      <c r="EH285" s="269">
        <f t="shared" si="812"/>
        <v>24104744.519207355</v>
      </c>
      <c r="EI285" s="269">
        <f t="shared" si="737"/>
        <v>409780656.82652503</v>
      </c>
      <c r="EJ285" s="196">
        <f>'Detailed Budget'!$AC$204</f>
        <v>45012172507.531975</v>
      </c>
      <c r="EK285" s="269">
        <f t="shared" si="813"/>
        <v>73120777.120361015</v>
      </c>
      <c r="EL285" s="201">
        <f>'Detailed Budget'!$AC$206</f>
        <v>11253043126.882994</v>
      </c>
      <c r="EM285" s="269">
        <f t="shared" si="814"/>
        <v>18280194.280090254</v>
      </c>
      <c r="EN285" s="269">
        <f t="shared" si="740"/>
        <v>91400971.400451273</v>
      </c>
      <c r="EO285" s="140">
        <f>'Detailed Budget'!$AC$209</f>
        <v>135789361677.54817</v>
      </c>
      <c r="EP285" s="269">
        <f t="shared" si="815"/>
        <v>234817672.42641541</v>
      </c>
      <c r="EQ285" s="196">
        <f>'Detailed Budget'!$AC$211</f>
        <v>33947340419.387043</v>
      </c>
      <c r="ER285" s="269">
        <f t="shared" si="816"/>
        <v>58704418.106603853</v>
      </c>
      <c r="ES285" s="269">
        <f t="shared" si="743"/>
        <v>293522090.53301924</v>
      </c>
      <c r="ET285" s="196">
        <f>'Detailed Budget'!$AC$214</f>
        <v>22239745544.201103</v>
      </c>
      <c r="EU285" s="269">
        <f t="shared" si="817"/>
        <v>37349980.101235949</v>
      </c>
      <c r="EV285" s="140">
        <f>'Detailed Budget'!$AC$217</f>
        <v>5559936386.0502758</v>
      </c>
      <c r="EW285" s="269">
        <f t="shared" si="818"/>
        <v>9337495.0253089871</v>
      </c>
      <c r="EX285" s="269">
        <f t="shared" si="746"/>
        <v>46687475.126544937</v>
      </c>
      <c r="EY285" s="196">
        <f>'Detailed Budget'!$AC$219</f>
        <v>372777004.58170313</v>
      </c>
      <c r="EZ285" s="269">
        <f t="shared" si="819"/>
        <v>655395.90097918059</v>
      </c>
      <c r="FA285" s="196">
        <f>'Detailed Budget'!$AC$222</f>
        <v>93194251.145425782</v>
      </c>
      <c r="FB285" s="269">
        <f t="shared" si="820"/>
        <v>163848.97524479515</v>
      </c>
      <c r="FC285" s="269">
        <f t="shared" si="749"/>
        <v>819244.87622397579</v>
      </c>
      <c r="FD285" s="269"/>
      <c r="FE285" s="269">
        <f t="shared" si="750"/>
        <v>432429781.93623942</v>
      </c>
      <c r="FF285" s="140">
        <f>'Detailed Budget'!$AC$165</f>
        <v>14927760000</v>
      </c>
      <c r="FG285" s="1087">
        <f t="shared" si="788"/>
        <v>589862846.7546339</v>
      </c>
      <c r="FH285" s="269">
        <f t="shared" si="821"/>
        <v>18657579.820474949</v>
      </c>
      <c r="FJ285" s="140">
        <f>'Detailed Budget'!$AC$235</f>
        <v>3623696172</v>
      </c>
      <c r="FK285" s="269">
        <f t="shared" si="822"/>
        <v>4681778</v>
      </c>
      <c r="FL285" s="269">
        <f t="shared" si="789"/>
        <v>4681778</v>
      </c>
      <c r="FO285" s="607"/>
      <c r="FP285" s="607"/>
      <c r="FQ285" s="607"/>
      <c r="FR285" s="269">
        <f>'Detailed Budget'!$AC$257</f>
        <v>13636439388</v>
      </c>
      <c r="FS285" s="269">
        <f t="shared" si="823"/>
        <v>21485724</v>
      </c>
      <c r="FT285" s="269">
        <f t="shared" si="790"/>
        <v>21485724</v>
      </c>
      <c r="FU285" s="269"/>
      <c r="FV285" s="269"/>
      <c r="FW285" s="269"/>
      <c r="FX285" s="140">
        <f>'Detailed Budget'!$AC$278</f>
        <v>1114560000</v>
      </c>
      <c r="FY285" s="269">
        <f t="shared" si="824"/>
        <v>1440000</v>
      </c>
      <c r="FZ285" s="269">
        <f t="shared" si="791"/>
        <v>1440000</v>
      </c>
      <c r="GB285" s="269">
        <f t="shared" si="799"/>
        <v>2136460740.410532</v>
      </c>
      <c r="GC285" s="887">
        <f t="shared" si="753"/>
        <v>1335287.9627565825</v>
      </c>
      <c r="GD285" s="1078">
        <f t="shared" si="800"/>
        <v>1.1988353966765695E-3</v>
      </c>
    </row>
    <row r="286" spans="1:186" outlineLevel="1">
      <c r="A286" s="211" t="s">
        <v>721</v>
      </c>
      <c r="B286" s="212" t="s">
        <v>722</v>
      </c>
      <c r="C286" s="213" t="s">
        <v>215</v>
      </c>
      <c r="D286" s="214"/>
      <c r="E286" s="213"/>
      <c r="F286" s="213"/>
      <c r="G286" s="213"/>
      <c r="H286" s="213" t="s">
        <v>215</v>
      </c>
      <c r="I286" s="214" t="s">
        <v>215</v>
      </c>
      <c r="J286" s="214"/>
      <c r="K286" s="213" t="s">
        <v>215</v>
      </c>
      <c r="L286" s="213"/>
      <c r="M286" s="214"/>
      <c r="N286" s="213"/>
      <c r="O286" s="214"/>
      <c r="P286" s="213"/>
      <c r="Q286" s="214"/>
      <c r="R286" s="214" t="s">
        <v>215</v>
      </c>
      <c r="S286" s="214"/>
      <c r="T286" s="214"/>
      <c r="U286" s="215">
        <f t="shared" si="830"/>
        <v>5</v>
      </c>
      <c r="V286" s="845" t="s">
        <v>467</v>
      </c>
      <c r="W286" s="216">
        <v>267284</v>
      </c>
      <c r="X286" s="217">
        <v>2.91</v>
      </c>
      <c r="Y286" s="218">
        <f t="shared" si="826"/>
        <v>1.0290999999999999</v>
      </c>
      <c r="Z286" s="196">
        <v>19</v>
      </c>
      <c r="AA286" s="218">
        <f t="shared" si="827"/>
        <v>1.7246222540408234</v>
      </c>
      <c r="AB286" s="196">
        <f t="shared" si="828"/>
        <v>460963.93454904744</v>
      </c>
      <c r="AC286">
        <v>20.100000000000001</v>
      </c>
      <c r="AD286" s="196">
        <f t="shared" si="829"/>
        <v>92653.750844358539</v>
      </c>
      <c r="AE286" s="196">
        <f t="shared" si="849"/>
        <v>88021.06330214061</v>
      </c>
      <c r="AF286" s="196">
        <f t="shared" si="831"/>
        <v>88021.06330214061</v>
      </c>
      <c r="AG286" s="606">
        <f t="shared" si="756"/>
        <v>4.0697075473826276E-3</v>
      </c>
      <c r="AH286" s="196">
        <f t="shared" si="846"/>
        <v>23048.196727452374</v>
      </c>
      <c r="AI286" s="248">
        <f t="shared" si="715"/>
        <v>1.7855088790467019E-3</v>
      </c>
      <c r="AJ286" s="196">
        <f t="shared" si="757"/>
        <v>115701.94757181092</v>
      </c>
      <c r="AK286" s="196">
        <f t="shared" si="785"/>
        <v>18438.557381961898</v>
      </c>
      <c r="AL286" s="196">
        <f t="shared" si="786"/>
        <v>18438.557381961898</v>
      </c>
      <c r="AM286" s="196">
        <f t="shared" si="716"/>
        <v>36877.114763923797</v>
      </c>
      <c r="AN286" s="627">
        <f t="shared" si="717"/>
        <v>1.7855088790467016E-3</v>
      </c>
      <c r="AO286" s="196">
        <f t="shared" si="718"/>
        <v>17516.629512863801</v>
      </c>
      <c r="AP286" s="589">
        <f t="shared" si="758"/>
        <v>1.7855088790467014E-3</v>
      </c>
      <c r="AQ286" s="196"/>
      <c r="AR286" s="589"/>
      <c r="AS286">
        <v>1</v>
      </c>
      <c r="AT286" s="589">
        <f t="shared" si="759"/>
        <v>1.2919896640826874E-3</v>
      </c>
      <c r="AU286" s="196">
        <v>11</v>
      </c>
      <c r="AV286" s="245">
        <f t="shared" si="719"/>
        <v>1.2498579706851495E-3</v>
      </c>
      <c r="AX286" s="245"/>
      <c r="AY286" s="245"/>
      <c r="AZ286" s="196">
        <v>42</v>
      </c>
      <c r="BA286" s="589">
        <f t="shared" si="793"/>
        <v>1.5389688908431351E-3</v>
      </c>
      <c r="BI286" s="196">
        <v>0</v>
      </c>
      <c r="BK286" s="246">
        <f t="shared" si="794"/>
        <v>0</v>
      </c>
      <c r="BL286" s="246"/>
      <c r="BM286" s="246">
        <f t="shared" si="795"/>
        <v>0</v>
      </c>
      <c r="BN286" s="196">
        <v>1</v>
      </c>
      <c r="BO286" s="196">
        <f t="shared" si="832"/>
        <v>39135.981158083327</v>
      </c>
      <c r="BP286" s="196">
        <f t="shared" si="762"/>
        <v>39135.981158083327</v>
      </c>
      <c r="BQ286" s="248">
        <f t="shared" si="796"/>
        <v>3.6609887909370398E-3</v>
      </c>
      <c r="BR286" s="248"/>
      <c r="BS286" s="248"/>
      <c r="BT286" s="276">
        <v>1</v>
      </c>
      <c r="BU286" s="196">
        <f t="shared" si="847"/>
        <v>77384.412705208233</v>
      </c>
      <c r="BV286" s="264">
        <f t="shared" si="797"/>
        <v>5.3675294434448939E-3</v>
      </c>
      <c r="BW286" s="196">
        <f t="shared" si="848"/>
        <v>331033.32101672422</v>
      </c>
      <c r="BX286" s="247">
        <f t="shared" si="798"/>
        <v>5.3675294917958066E-3</v>
      </c>
      <c r="BY286" s="196">
        <f t="shared" si="833"/>
        <v>408417.73372193245</v>
      </c>
      <c r="BZ286" s="620">
        <v>0</v>
      </c>
      <c r="CA286" s="196">
        <f t="shared" si="834"/>
        <v>141054.96397200853</v>
      </c>
      <c r="CB286" s="196">
        <f t="shared" si="835"/>
        <v>282109.92794401705</v>
      </c>
      <c r="CC286" s="196">
        <f t="shared" si="765"/>
        <v>423164.89191602555</v>
      </c>
      <c r="CD286" s="247">
        <f t="shared" si="720"/>
        <v>1.7855088790467016E-3</v>
      </c>
      <c r="CE286" s="196">
        <f t="shared" si="836"/>
        <v>55438.275848368838</v>
      </c>
      <c r="CF286" s="247">
        <f t="shared" si="721"/>
        <v>2.3939971611582796E-3</v>
      </c>
      <c r="CG286" s="196">
        <f t="shared" si="803"/>
        <v>70066.518051455205</v>
      </c>
      <c r="CH286" s="589">
        <f t="shared" si="767"/>
        <v>1.7855088790467014E-3</v>
      </c>
      <c r="CI286" s="196">
        <f t="shared" si="837"/>
        <v>114888.63584506948</v>
      </c>
      <c r="CJ286" s="248">
        <f t="shared" si="769"/>
        <v>1.888768881667027E-3</v>
      </c>
      <c r="CK286" s="196">
        <f t="shared" si="838"/>
        <v>139868.19155921278</v>
      </c>
      <c r="CL286" s="589">
        <f t="shared" si="771"/>
        <v>2.0106340233232651E-3</v>
      </c>
      <c r="CM286" s="196">
        <f t="shared" si="839"/>
        <v>13549.720140089348</v>
      </c>
      <c r="CN286" s="589">
        <f t="shared" si="773"/>
        <v>1.9526686600279386E-3</v>
      </c>
      <c r="CO286" s="196">
        <f t="shared" si="840"/>
        <v>1083.9678048716974</v>
      </c>
      <c r="CP286" s="589">
        <f t="shared" si="775"/>
        <v>2.044196318209535E-3</v>
      </c>
      <c r="CQ286" s="196">
        <f>'Detailed Budget'!$AC$12</f>
        <v>292876014141.44696</v>
      </c>
      <c r="CR286" s="269">
        <f t="shared" si="724"/>
        <v>0</v>
      </c>
      <c r="CS286" s="269">
        <f>'Detailed Budget'!$AC$16</f>
        <v>10488008800.000002</v>
      </c>
      <c r="CT286" s="607">
        <f t="shared" si="804"/>
        <v>0</v>
      </c>
      <c r="CU286" s="269">
        <f>'Detailed Budget'!$AC$24</f>
        <v>30624985696</v>
      </c>
      <c r="CV286" s="269">
        <f t="shared" si="792"/>
        <v>0</v>
      </c>
      <c r="CW286" s="269"/>
      <c r="CX286" s="269">
        <f t="shared" si="776"/>
        <v>0</v>
      </c>
      <c r="CY286" s="196">
        <f>'Detailed Budget'!$AC$97</f>
        <v>74629165494.837845</v>
      </c>
      <c r="CZ286" s="269">
        <f t="shared" si="805"/>
        <v>273216538.35358667</v>
      </c>
      <c r="DA286" s="269">
        <f>'Detailed Budget'!$AC$100</f>
        <v>14925833098.967569</v>
      </c>
      <c r="DB286" s="269">
        <f t="shared" si="806"/>
        <v>54643307.670717329</v>
      </c>
      <c r="DC286" s="269">
        <f t="shared" si="728"/>
        <v>327859846.02430403</v>
      </c>
      <c r="DD286" s="207">
        <v>0</v>
      </c>
      <c r="DE286" s="606">
        <v>0</v>
      </c>
      <c r="DF286" s="269">
        <f>'Detailed Budget'!$AC$147</f>
        <v>5913600671000</v>
      </c>
      <c r="DG286" s="269">
        <f t="shared" si="787"/>
        <v>0</v>
      </c>
      <c r="DH286" s="269">
        <f>'Detailed Budget'!$AC$153</f>
        <v>226428026880.00003</v>
      </c>
      <c r="DI286" s="269"/>
      <c r="DJ286" s="269">
        <f>'Detailed Budget'!$AC$156</f>
        <v>27713070000</v>
      </c>
      <c r="DK286" s="269"/>
      <c r="DL286" s="269"/>
      <c r="DM286" s="196">
        <f>'Detailed Budget'!$AC$178</f>
        <v>5622683761.6229038</v>
      </c>
      <c r="DN286" s="269">
        <f t="shared" si="841"/>
        <v>30179920.641690426</v>
      </c>
      <c r="DO286" s="196">
        <f>'Detailed Budget'!$AC$179</f>
        <v>26827890683.128094</v>
      </c>
      <c r="DP286" s="269">
        <f t="shared" si="842"/>
        <v>143999494.44436398</v>
      </c>
      <c r="DQ286" s="269">
        <f t="shared" si="843"/>
        <v>174179415.08605441</v>
      </c>
      <c r="DR286" s="269">
        <f>'Detailed Budget'!$AC$181</f>
        <v>50888946855.375237</v>
      </c>
      <c r="DS286" s="269">
        <f t="shared" si="844"/>
        <v>207103131.09567404</v>
      </c>
      <c r="DT286" s="269">
        <f t="shared" si="845"/>
        <v>381282546.18172848</v>
      </c>
      <c r="DU286" s="272">
        <f>'Detailed Budget'!$AC$192</f>
        <v>77498869683.252869</v>
      </c>
      <c r="DV286" s="269">
        <f t="shared" si="807"/>
        <v>0</v>
      </c>
      <c r="DW286" s="140">
        <f>'Detailed Budget'!$AC$194</f>
        <v>2684962805.4134097</v>
      </c>
      <c r="DX286" s="269">
        <f t="shared" si="808"/>
        <v>0</v>
      </c>
      <c r="DY286" s="607">
        <f t="shared" si="731"/>
        <v>0</v>
      </c>
      <c r="DZ286" s="196">
        <f>'Detailed Budget'!$AC$198</f>
        <v>18732540018.380611</v>
      </c>
      <c r="EA286" s="269">
        <f t="shared" si="809"/>
        <v>44845647.625287049</v>
      </c>
      <c r="EB286" s="196">
        <f>'Detailed Budget'!$AC$200</f>
        <v>4683135004.5951529</v>
      </c>
      <c r="EC286" s="269">
        <f t="shared" si="810"/>
        <v>11211411.906321762</v>
      </c>
      <c r="ED286" s="269">
        <f t="shared" si="734"/>
        <v>56057059.531608813</v>
      </c>
      <c r="EE286" s="196">
        <f>'Detailed Budget'!$AC$161</f>
        <v>251147290106.36197</v>
      </c>
      <c r="EF286" s="269">
        <f t="shared" si="811"/>
        <v>448425716.4334271</v>
      </c>
      <c r="EG286" s="196">
        <f>'Detailed Budget'!$AC$163</f>
        <v>15696705631.647623</v>
      </c>
      <c r="EH286" s="269">
        <f t="shared" si="812"/>
        <v>28026607.277089193</v>
      </c>
      <c r="EI286" s="269">
        <f t="shared" si="737"/>
        <v>476452323.71051627</v>
      </c>
      <c r="EJ286" s="196">
        <f>'Detailed Budget'!$AC$204</f>
        <v>45012172507.531975</v>
      </c>
      <c r="EK286" s="269">
        <f t="shared" si="813"/>
        <v>85017590.728454471</v>
      </c>
      <c r="EL286" s="201">
        <f>'Detailed Budget'!$AC$206</f>
        <v>11253043126.882994</v>
      </c>
      <c r="EM286" s="269">
        <f t="shared" si="814"/>
        <v>21254397.682113618</v>
      </c>
      <c r="EN286" s="269">
        <f t="shared" si="740"/>
        <v>106271988.41056809</v>
      </c>
      <c r="EO286" s="140">
        <f>'Detailed Budget'!$AC$209</f>
        <v>135789361677.54817</v>
      </c>
      <c r="EP286" s="269">
        <f t="shared" si="815"/>
        <v>273022710.59422666</v>
      </c>
      <c r="EQ286" s="196">
        <f>'Detailed Budget'!$AC$211</f>
        <v>33947340419.387043</v>
      </c>
      <c r="ER286" s="269">
        <f t="shared" si="816"/>
        <v>68255677.648556665</v>
      </c>
      <c r="ES286" s="269">
        <f t="shared" si="743"/>
        <v>341278388.24278331</v>
      </c>
      <c r="ET286" s="196">
        <f>'Detailed Budget'!$AC$214</f>
        <v>22239745544.201103</v>
      </c>
      <c r="EU286" s="269">
        <f t="shared" si="817"/>
        <v>43426854.131157488</v>
      </c>
      <c r="EV286" s="140">
        <f>'Detailed Budget'!$AC$217</f>
        <v>5559936386.0502758</v>
      </c>
      <c r="EW286" s="269">
        <f t="shared" si="818"/>
        <v>10856713.532789372</v>
      </c>
      <c r="EX286" s="269">
        <f t="shared" si="746"/>
        <v>54283567.66394686</v>
      </c>
      <c r="EY286" s="196">
        <f>'Detailed Budget'!$AC$219</f>
        <v>372777004.58170313</v>
      </c>
      <c r="EZ286" s="269">
        <f t="shared" si="819"/>
        <v>762029.38027909643</v>
      </c>
      <c r="FA286" s="196">
        <f>'Detailed Budget'!$AC$222</f>
        <v>93194251.145425782</v>
      </c>
      <c r="FB286" s="269">
        <f t="shared" si="820"/>
        <v>190507.34506977411</v>
      </c>
      <c r="FC286" s="269">
        <f t="shared" si="749"/>
        <v>952536.7253488705</v>
      </c>
      <c r="FD286" s="269"/>
      <c r="FE286" s="269">
        <f t="shared" si="750"/>
        <v>502786481.04264718</v>
      </c>
      <c r="FF286" s="140">
        <f>'Detailed Budget'!$AC$165</f>
        <v>14927760000</v>
      </c>
      <c r="FG286" s="1087">
        <f t="shared" si="788"/>
        <v>685834041.51680243</v>
      </c>
      <c r="FH286" s="269">
        <f t="shared" si="821"/>
        <v>18657579.820474949</v>
      </c>
      <c r="FJ286" s="140">
        <f>'Detailed Budget'!$AC$235</f>
        <v>3623696172</v>
      </c>
      <c r="FK286" s="269">
        <f t="shared" si="822"/>
        <v>4681778</v>
      </c>
      <c r="FL286" s="269">
        <f t="shared" si="789"/>
        <v>4681778</v>
      </c>
      <c r="FO286" s="607"/>
      <c r="FP286" s="607"/>
      <c r="FQ286" s="607"/>
      <c r="FR286" s="269">
        <f>'Detailed Budget'!$AC$257</f>
        <v>13636439388</v>
      </c>
      <c r="FS286" s="269">
        <f t="shared" si="823"/>
        <v>20986056</v>
      </c>
      <c r="FT286" s="269">
        <f t="shared" si="790"/>
        <v>20986056</v>
      </c>
      <c r="FU286" s="269"/>
      <c r="FV286" s="269"/>
      <c r="FW286" s="269"/>
      <c r="FX286" s="140">
        <f>'Detailed Budget'!$AC$278</f>
        <v>1114560000</v>
      </c>
      <c r="FY286" s="269">
        <f t="shared" si="824"/>
        <v>1440000</v>
      </c>
      <c r="FZ286" s="269">
        <f t="shared" si="791"/>
        <v>1440000</v>
      </c>
      <c r="GB286" s="269">
        <f t="shared" si="799"/>
        <v>2476037711.8280821</v>
      </c>
      <c r="GC286" s="887">
        <f t="shared" si="753"/>
        <v>1547523.5698925513</v>
      </c>
      <c r="GD286" s="1078">
        <f t="shared" si="800"/>
        <v>1.3893827283131719E-3</v>
      </c>
    </row>
    <row r="287" spans="1:186" outlineLevel="1">
      <c r="A287" s="211" t="s">
        <v>723</v>
      </c>
      <c r="B287" s="212" t="s">
        <v>724</v>
      </c>
      <c r="C287" s="213" t="s">
        <v>215</v>
      </c>
      <c r="D287" s="214"/>
      <c r="E287" s="213"/>
      <c r="F287" s="213"/>
      <c r="G287" s="213"/>
      <c r="H287" s="213" t="s">
        <v>215</v>
      </c>
      <c r="I287" s="214" t="s">
        <v>215</v>
      </c>
      <c r="J287" s="214"/>
      <c r="K287" s="213" t="s">
        <v>215</v>
      </c>
      <c r="L287" s="213"/>
      <c r="M287" s="214"/>
      <c r="N287" s="213"/>
      <c r="O287" s="214"/>
      <c r="P287" s="213"/>
      <c r="Q287" s="214"/>
      <c r="R287" s="214" t="s">
        <v>215</v>
      </c>
      <c r="S287" s="214"/>
      <c r="T287" s="214"/>
      <c r="U287" s="215">
        <f t="shared" si="830"/>
        <v>5</v>
      </c>
      <c r="V287" s="845" t="s">
        <v>467</v>
      </c>
      <c r="W287" s="216">
        <v>128981</v>
      </c>
      <c r="X287" s="217">
        <v>2.91</v>
      </c>
      <c r="Y287" s="218">
        <f t="shared" si="826"/>
        <v>1.0290999999999999</v>
      </c>
      <c r="Z287" s="196">
        <v>19</v>
      </c>
      <c r="AA287" s="218">
        <f t="shared" si="827"/>
        <v>1.7246222540408234</v>
      </c>
      <c r="AB287" s="196">
        <f t="shared" si="828"/>
        <v>222443.50294843945</v>
      </c>
      <c r="AC287">
        <v>20.100000000000001</v>
      </c>
      <c r="AD287" s="196">
        <f t="shared" si="829"/>
        <v>44711.144092636328</v>
      </c>
      <c r="AE287" s="196">
        <f t="shared" si="849"/>
        <v>42475.586888004509</v>
      </c>
      <c r="AF287" s="196">
        <f t="shared" si="831"/>
        <v>42475.586888004509</v>
      </c>
      <c r="AG287" s="606">
        <f t="shared" si="756"/>
        <v>1.9638846663809235E-3</v>
      </c>
      <c r="AH287" s="196">
        <f t="shared" si="846"/>
        <v>11122.175147421973</v>
      </c>
      <c r="AI287" s="248">
        <f t="shared" si="715"/>
        <v>8.616180569294183E-4</v>
      </c>
      <c r="AJ287" s="196">
        <f t="shared" si="757"/>
        <v>55833.319240058299</v>
      </c>
      <c r="AK287" s="196">
        <f t="shared" si="785"/>
        <v>8897.7401179375775</v>
      </c>
      <c r="AL287" s="196">
        <f t="shared" si="786"/>
        <v>8897.7401179375775</v>
      </c>
      <c r="AM287" s="196">
        <f t="shared" si="716"/>
        <v>17795.480235875155</v>
      </c>
      <c r="AN287" s="627">
        <f t="shared" si="717"/>
        <v>8.6161805692941819E-4</v>
      </c>
      <c r="AO287" s="196">
        <f t="shared" si="718"/>
        <v>8452.8531120406988</v>
      </c>
      <c r="AP287" s="589">
        <f t="shared" si="758"/>
        <v>8.6161805692941819E-4</v>
      </c>
      <c r="AQ287" s="196"/>
      <c r="AR287" s="589"/>
      <c r="AS287">
        <v>1</v>
      </c>
      <c r="AT287" s="589">
        <f t="shared" si="759"/>
        <v>1.2919896640826874E-3</v>
      </c>
      <c r="AU287" s="196">
        <v>11</v>
      </c>
      <c r="AV287" s="245">
        <f t="shared" si="719"/>
        <v>1.2498579706851495E-3</v>
      </c>
      <c r="AX287" s="245"/>
      <c r="AY287" s="245"/>
      <c r="AZ287" s="196">
        <v>22</v>
      </c>
      <c r="BA287" s="589">
        <f t="shared" si="793"/>
        <v>8.0612656187021366E-4</v>
      </c>
      <c r="BI287" s="196">
        <v>0</v>
      </c>
      <c r="BK287" s="246">
        <f t="shared" si="794"/>
        <v>0</v>
      </c>
      <c r="BL287" s="246"/>
      <c r="BM287" s="246">
        <f t="shared" si="795"/>
        <v>0</v>
      </c>
      <c r="BN287" s="196">
        <v>1</v>
      </c>
      <c r="BO287" s="196">
        <f t="shared" si="832"/>
        <v>18885.522462065612</v>
      </c>
      <c r="BP287" s="196">
        <f t="shared" si="762"/>
        <v>18885.522462065612</v>
      </c>
      <c r="BQ287" s="248">
        <f t="shared" si="796"/>
        <v>1.7666526812074432E-3</v>
      </c>
      <c r="BR287" s="248"/>
      <c r="BS287" s="248"/>
      <c r="BT287" s="276">
        <v>1</v>
      </c>
      <c r="BU287" s="196">
        <f t="shared" si="847"/>
        <v>37342.747546169856</v>
      </c>
      <c r="BV287" s="264">
        <f t="shared" si="797"/>
        <v>2.5901637028215903E-3</v>
      </c>
      <c r="BW287" s="196">
        <f t="shared" si="848"/>
        <v>159743.97561417107</v>
      </c>
      <c r="BX287" s="247">
        <f t="shared" si="798"/>
        <v>2.5901637261538843E-3</v>
      </c>
      <c r="BY287" s="196">
        <f t="shared" si="833"/>
        <v>197086.72316034092</v>
      </c>
      <c r="BZ287" s="620">
        <v>0</v>
      </c>
      <c r="CA287" s="196">
        <f t="shared" si="834"/>
        <v>68067.711902222465</v>
      </c>
      <c r="CB287" s="196">
        <f t="shared" si="835"/>
        <v>136135.42380444493</v>
      </c>
      <c r="CC287" s="196">
        <f t="shared" si="765"/>
        <v>204203.13570666738</v>
      </c>
      <c r="CD287" s="247">
        <f t="shared" si="720"/>
        <v>8.6161805692941808E-4</v>
      </c>
      <c r="CE287" s="196">
        <f t="shared" si="836"/>
        <v>26752.384195082614</v>
      </c>
      <c r="CF287" s="247">
        <f t="shared" si="721"/>
        <v>1.1552511480049539E-3</v>
      </c>
      <c r="CG287" s="196">
        <f t="shared" si="803"/>
        <v>33811.412448162795</v>
      </c>
      <c r="CH287" s="589">
        <f t="shared" si="767"/>
        <v>8.6161805692941819E-4</v>
      </c>
      <c r="CI287" s="196">
        <f t="shared" si="837"/>
        <v>55440.846215758917</v>
      </c>
      <c r="CJ287" s="248">
        <f t="shared" si="769"/>
        <v>9.1144737105960255E-4</v>
      </c>
      <c r="CK287" s="196">
        <f t="shared" si="838"/>
        <v>67495.0210843104</v>
      </c>
      <c r="CL287" s="589">
        <f t="shared" si="771"/>
        <v>9.7025481122049208E-4</v>
      </c>
      <c r="CM287" s="196">
        <f t="shared" si="839"/>
        <v>6538.5748993163234</v>
      </c>
      <c r="CN287" s="589">
        <f t="shared" si="773"/>
        <v>9.4228295161350307E-4</v>
      </c>
      <c r="CO287" s="196">
        <f t="shared" si="840"/>
        <v>523.08125978418605</v>
      </c>
      <c r="CP287" s="589">
        <f t="shared" si="775"/>
        <v>9.8645068660669559E-4</v>
      </c>
      <c r="CQ287" s="196">
        <f>'Detailed Budget'!$AC$12</f>
        <v>292876014141.44696</v>
      </c>
      <c r="CR287" s="269">
        <f t="shared" si="724"/>
        <v>0</v>
      </c>
      <c r="CS287" s="269">
        <f>'Detailed Budget'!$AC$16</f>
        <v>10488008800.000002</v>
      </c>
      <c r="CT287" s="607">
        <f t="shared" si="804"/>
        <v>0</v>
      </c>
      <c r="CU287" s="269">
        <f>'Detailed Budget'!$AC$24</f>
        <v>30624985696</v>
      </c>
      <c r="CV287" s="269">
        <f t="shared" si="792"/>
        <v>0</v>
      </c>
      <c r="CW287" s="269"/>
      <c r="CX287" s="269">
        <f t="shared" si="776"/>
        <v>0</v>
      </c>
      <c r="CY287" s="196">
        <f>'Detailed Budget'!$AC$97</f>
        <v>74629165494.837845</v>
      </c>
      <c r="CZ287" s="269">
        <f t="shared" si="805"/>
        <v>131843815.31772928</v>
      </c>
      <c r="DA287" s="269">
        <f>'Detailed Budget'!$AC$100</f>
        <v>14925833098.967569</v>
      </c>
      <c r="DB287" s="269">
        <f t="shared" si="806"/>
        <v>26368763.063545857</v>
      </c>
      <c r="DC287" s="269">
        <f t="shared" si="728"/>
        <v>158212578.38127515</v>
      </c>
      <c r="DD287" s="207">
        <v>0</v>
      </c>
      <c r="DE287" s="606">
        <v>0</v>
      </c>
      <c r="DF287" s="269">
        <f>'Detailed Budget'!$AC$147</f>
        <v>5913600671000</v>
      </c>
      <c r="DG287" s="269">
        <f t="shared" si="787"/>
        <v>0</v>
      </c>
      <c r="DH287" s="269">
        <f>'Detailed Budget'!$AC$153</f>
        <v>226428026880.00003</v>
      </c>
      <c r="DI287" s="269"/>
      <c r="DJ287" s="269">
        <f>'Detailed Budget'!$AC$156</f>
        <v>27713070000</v>
      </c>
      <c r="DK287" s="269"/>
      <c r="DL287" s="269"/>
      <c r="DM287" s="196">
        <f>'Detailed Budget'!$AC$178</f>
        <v>5622683761.6229038</v>
      </c>
      <c r="DN287" s="269">
        <f t="shared" si="841"/>
        <v>14563671.391800009</v>
      </c>
      <c r="DO287" s="196">
        <f>'Detailed Budget'!$AC$179</f>
        <v>26827890683.128094</v>
      </c>
      <c r="DP287" s="269">
        <f t="shared" si="842"/>
        <v>69488629.29666014</v>
      </c>
      <c r="DQ287" s="269">
        <f t="shared" si="843"/>
        <v>84052300.688460141</v>
      </c>
      <c r="DR287" s="269">
        <f>'Detailed Budget'!$AC$181</f>
        <v>50888946855.375237</v>
      </c>
      <c r="DS287" s="269">
        <f t="shared" si="844"/>
        <v>99940022.41754514</v>
      </c>
      <c r="DT287" s="269">
        <f t="shared" si="845"/>
        <v>183992323.10600528</v>
      </c>
      <c r="DU287" s="272">
        <f>'Detailed Budget'!$AC$192</f>
        <v>77498869683.252869</v>
      </c>
      <c r="DV287" s="269">
        <f t="shared" si="807"/>
        <v>0</v>
      </c>
      <c r="DW287" s="140">
        <f>'Detailed Budget'!$AC$194</f>
        <v>2684962805.4134097</v>
      </c>
      <c r="DX287" s="269">
        <f t="shared" si="808"/>
        <v>0</v>
      </c>
      <c r="DY287" s="607">
        <f t="shared" si="731"/>
        <v>0</v>
      </c>
      <c r="DZ287" s="196">
        <f>'Detailed Budget'!$AC$198</f>
        <v>18732540018.380611</v>
      </c>
      <c r="EA287" s="269">
        <f t="shared" si="809"/>
        <v>21640788.361282941</v>
      </c>
      <c r="EB287" s="196">
        <f>'Detailed Budget'!$AC$200</f>
        <v>4683135004.5951529</v>
      </c>
      <c r="EC287" s="269">
        <f t="shared" si="810"/>
        <v>5410197.0903207352</v>
      </c>
      <c r="ED287" s="269">
        <f t="shared" si="734"/>
        <v>27050985.451603677</v>
      </c>
      <c r="EE287" s="196">
        <f>'Detailed Budget'!$AC$161</f>
        <v>251147290106.36197</v>
      </c>
      <c r="EF287" s="269">
        <f t="shared" si="811"/>
        <v>216393040.10453248</v>
      </c>
      <c r="EG287" s="196">
        <f>'Detailed Budget'!$AC$163</f>
        <v>15696705631.647623</v>
      </c>
      <c r="EH287" s="269">
        <f t="shared" si="812"/>
        <v>13524565.00653328</v>
      </c>
      <c r="EI287" s="269">
        <f t="shared" si="737"/>
        <v>229917605.11106575</v>
      </c>
      <c r="EJ287" s="196">
        <f>'Detailed Budget'!$AC$204</f>
        <v>45012172507.531975</v>
      </c>
      <c r="EK287" s="269">
        <f t="shared" si="813"/>
        <v>41026226.297671333</v>
      </c>
      <c r="EL287" s="201">
        <f>'Detailed Budget'!$AC$206</f>
        <v>11253043126.882994</v>
      </c>
      <c r="EM287" s="269">
        <f t="shared" si="814"/>
        <v>10256556.574417833</v>
      </c>
      <c r="EN287" s="269">
        <f t="shared" si="740"/>
        <v>51282782.872089162</v>
      </c>
      <c r="EO287" s="140">
        <f>'Detailed Budget'!$AC$209</f>
        <v>135789361677.54817</v>
      </c>
      <c r="EP287" s="269">
        <f t="shared" si="815"/>
        <v>131750281.48020062</v>
      </c>
      <c r="EQ287" s="196">
        <f>'Detailed Budget'!$AC$211</f>
        <v>33947340419.387043</v>
      </c>
      <c r="ER287" s="269">
        <f t="shared" si="816"/>
        <v>32937570.370050155</v>
      </c>
      <c r="ES287" s="269">
        <f t="shared" si="743"/>
        <v>164687851.85025078</v>
      </c>
      <c r="ET287" s="196">
        <f>'Detailed Budget'!$AC$214</f>
        <v>22239745544.201103</v>
      </c>
      <c r="EU287" s="269">
        <f t="shared" si="817"/>
        <v>20956133.074523069</v>
      </c>
      <c r="EV287" s="140">
        <f>'Detailed Budget'!$AC$217</f>
        <v>5559936386.0502758</v>
      </c>
      <c r="EW287" s="269">
        <f t="shared" si="818"/>
        <v>5239033.2686307672</v>
      </c>
      <c r="EX287" s="269">
        <f t="shared" si="746"/>
        <v>26195166.343153834</v>
      </c>
      <c r="EY287" s="196">
        <f>'Detailed Budget'!$AC$219</f>
        <v>372777004.58170313</v>
      </c>
      <c r="EZ287" s="269">
        <f t="shared" si="819"/>
        <v>367726.13212080835</v>
      </c>
      <c r="FA287" s="196">
        <f>'Detailed Budget'!$AC$222</f>
        <v>93194251.145425782</v>
      </c>
      <c r="FB287" s="269">
        <f t="shared" si="820"/>
        <v>91931.533030202088</v>
      </c>
      <c r="FC287" s="269">
        <f t="shared" si="749"/>
        <v>459657.66515101044</v>
      </c>
      <c r="FD287" s="269"/>
      <c r="FE287" s="269">
        <f t="shared" si="750"/>
        <v>242625458.73064476</v>
      </c>
      <c r="FF287" s="140">
        <f>'Detailed Budget'!$AC$165</f>
        <v>14927760000</v>
      </c>
      <c r="FG287" s="1087">
        <f t="shared" si="788"/>
        <v>330957186.02265251</v>
      </c>
      <c r="FH287" s="269">
        <f t="shared" si="821"/>
        <v>18657579.820474949</v>
      </c>
      <c r="FJ287" s="140">
        <f>'Detailed Budget'!$AC$235</f>
        <v>3623696172</v>
      </c>
      <c r="FK287" s="269">
        <f t="shared" si="822"/>
        <v>4681778</v>
      </c>
      <c r="FL287" s="269">
        <f t="shared" si="789"/>
        <v>4681778</v>
      </c>
      <c r="FO287" s="607"/>
      <c r="FP287" s="607"/>
      <c r="FQ287" s="607"/>
      <c r="FR287" s="269">
        <f>'Detailed Budget'!$AC$257</f>
        <v>13636439388</v>
      </c>
      <c r="FS287" s="269">
        <f t="shared" si="823"/>
        <v>10992696</v>
      </c>
      <c r="FT287" s="269">
        <f t="shared" si="790"/>
        <v>10992696</v>
      </c>
      <c r="FU287" s="269"/>
      <c r="FV287" s="269"/>
      <c r="FW287" s="269"/>
      <c r="FX287" s="140">
        <f>'Detailed Budget'!$AC$278</f>
        <v>1114560000</v>
      </c>
      <c r="FY287" s="269">
        <f t="shared" si="824"/>
        <v>1440000</v>
      </c>
      <c r="FZ287" s="269">
        <f t="shared" si="791"/>
        <v>1440000</v>
      </c>
      <c r="GB287" s="269">
        <f t="shared" si="799"/>
        <v>1208528190.6237218</v>
      </c>
      <c r="GC287" s="887">
        <f t="shared" si="753"/>
        <v>755330.11913982616</v>
      </c>
      <c r="GD287" s="1078">
        <f t="shared" si="800"/>
        <v>6.781432232275922E-4</v>
      </c>
    </row>
    <row r="288" spans="1:186" outlineLevel="1">
      <c r="A288" s="211" t="s">
        <v>725</v>
      </c>
      <c r="B288" s="212" t="s">
        <v>726</v>
      </c>
      <c r="C288" s="213" t="s">
        <v>215</v>
      </c>
      <c r="D288" s="214"/>
      <c r="E288" s="213"/>
      <c r="F288" s="213"/>
      <c r="G288" s="213"/>
      <c r="H288" s="213" t="s">
        <v>215</v>
      </c>
      <c r="I288" s="214" t="s">
        <v>215</v>
      </c>
      <c r="J288" s="214"/>
      <c r="K288" s="213" t="s">
        <v>215</v>
      </c>
      <c r="L288" s="213"/>
      <c r="M288" s="214"/>
      <c r="N288" s="213"/>
      <c r="O288" s="214"/>
      <c r="P288" s="213"/>
      <c r="Q288" s="214"/>
      <c r="R288" s="214" t="s">
        <v>215</v>
      </c>
      <c r="S288" s="214" t="s">
        <v>215</v>
      </c>
      <c r="T288" s="214"/>
      <c r="U288" s="215">
        <f t="shared" si="830"/>
        <v>6</v>
      </c>
      <c r="V288" s="845" t="s">
        <v>700</v>
      </c>
      <c r="W288" s="216">
        <v>161161</v>
      </c>
      <c r="X288" s="217">
        <v>2.91</v>
      </c>
      <c r="Y288" s="218">
        <f t="shared" si="826"/>
        <v>1.0290999999999999</v>
      </c>
      <c r="Z288" s="196">
        <v>19</v>
      </c>
      <c r="AA288" s="218">
        <f t="shared" si="827"/>
        <v>1.7246222540408234</v>
      </c>
      <c r="AB288" s="196">
        <f t="shared" si="828"/>
        <v>277941.84708347311</v>
      </c>
      <c r="AC288">
        <v>20.100000000000001</v>
      </c>
      <c r="AD288" s="196">
        <f t="shared" si="829"/>
        <v>55866.311263778101</v>
      </c>
      <c r="AE288" s="196">
        <f t="shared" si="849"/>
        <v>53072.995700589192</v>
      </c>
      <c r="AF288" s="196">
        <f t="shared" si="831"/>
        <v>53072.995700589192</v>
      </c>
      <c r="AG288" s="606">
        <f t="shared" si="756"/>
        <v>2.4538623263784276E-3</v>
      </c>
      <c r="AH288" s="196">
        <f t="shared" si="846"/>
        <v>13897.092354173656</v>
      </c>
      <c r="AI288" s="248">
        <f t="shared" si="715"/>
        <v>1.0765866885262322E-3</v>
      </c>
      <c r="AJ288" s="196">
        <f t="shared" si="757"/>
        <v>69763.403617951757</v>
      </c>
      <c r="AK288" s="196">
        <f t="shared" si="785"/>
        <v>11117.673883338924</v>
      </c>
      <c r="AL288" s="196">
        <f t="shared" si="786"/>
        <v>11117.673883338924</v>
      </c>
      <c r="AM288" s="196">
        <f t="shared" si="716"/>
        <v>22235.347766677849</v>
      </c>
      <c r="AN288" s="627">
        <f t="shared" si="717"/>
        <v>1.0765866885262322E-3</v>
      </c>
      <c r="AO288" s="196">
        <f t="shared" si="718"/>
        <v>10561.790189171978</v>
      </c>
      <c r="AP288" s="589">
        <f t="shared" si="758"/>
        <v>1.0765866885262322E-3</v>
      </c>
      <c r="AQ288" s="196"/>
      <c r="AR288" s="589"/>
      <c r="AS288">
        <v>1</v>
      </c>
      <c r="AT288" s="589">
        <f t="shared" si="759"/>
        <v>1.2919896640826874E-3</v>
      </c>
      <c r="AU288" s="196">
        <v>11</v>
      </c>
      <c r="AV288" s="245">
        <f t="shared" si="719"/>
        <v>1.2498579706851495E-3</v>
      </c>
      <c r="AX288" s="245"/>
      <c r="AY288" s="245"/>
      <c r="AZ288" s="196">
        <v>18</v>
      </c>
      <c r="BA288" s="589">
        <f t="shared" si="793"/>
        <v>6.5955809607562931E-4</v>
      </c>
      <c r="BI288" s="196">
        <v>0</v>
      </c>
      <c r="BK288" s="246">
        <f t="shared" si="794"/>
        <v>0</v>
      </c>
      <c r="BL288" s="246"/>
      <c r="BM288" s="246">
        <f t="shared" si="795"/>
        <v>0</v>
      </c>
      <c r="BN288" s="196">
        <v>1</v>
      </c>
      <c r="BO288" s="196">
        <f t="shared" si="832"/>
        <v>23597.349109628212</v>
      </c>
      <c r="BP288" s="196">
        <f t="shared" si="762"/>
        <v>23597.349109628212</v>
      </c>
      <c r="BQ288" s="248">
        <f t="shared" si="796"/>
        <v>2.207422122297647E-3</v>
      </c>
      <c r="BR288" s="248"/>
      <c r="BS288" s="248"/>
      <c r="BT288" s="276">
        <v>1</v>
      </c>
      <c r="BU288" s="196">
        <f t="shared" si="847"/>
        <v>46659.543167507465</v>
      </c>
      <c r="BV288" s="264">
        <f t="shared" si="797"/>
        <v>3.2363942945893608E-3</v>
      </c>
      <c r="BW288" s="196">
        <f t="shared" si="848"/>
        <v>199599.15688322639</v>
      </c>
      <c r="BX288" s="247">
        <f t="shared" si="798"/>
        <v>3.2363943237429245E-3</v>
      </c>
      <c r="BY288" s="196">
        <f t="shared" si="833"/>
        <v>246258.70005073387</v>
      </c>
      <c r="BZ288" s="620">
        <v>0</v>
      </c>
      <c r="CA288" s="196">
        <f t="shared" si="834"/>
        <v>85050.205207542764</v>
      </c>
      <c r="CB288" s="196">
        <f t="shared" si="835"/>
        <v>170100.41041508553</v>
      </c>
      <c r="CC288" s="196">
        <f t="shared" si="765"/>
        <v>255150.61562262831</v>
      </c>
      <c r="CD288" s="247">
        <f t="shared" si="720"/>
        <v>1.0765866885262322E-3</v>
      </c>
      <c r="CE288" s="196">
        <f t="shared" si="836"/>
        <v>33426.946521299324</v>
      </c>
      <c r="CF288" s="247">
        <f t="shared" si="721"/>
        <v>1.4434795067771713E-3</v>
      </c>
      <c r="CG288" s="196">
        <f t="shared" si="803"/>
        <v>42247.16075668791</v>
      </c>
      <c r="CH288" s="589">
        <f t="shared" si="767"/>
        <v>1.0765866885262322E-3</v>
      </c>
      <c r="CI288" s="196">
        <f t="shared" si="837"/>
        <v>69273.010885153024</v>
      </c>
      <c r="CJ288" s="248">
        <f t="shared" si="769"/>
        <v>1.1388481231137655E-3</v>
      </c>
      <c r="CK288" s="196">
        <f t="shared" si="838"/>
        <v>84334.63140283103</v>
      </c>
      <c r="CL288" s="589">
        <f t="shared" si="771"/>
        <v>1.2123276733092916E-3</v>
      </c>
      <c r="CM288" s="196">
        <f t="shared" si="839"/>
        <v>8169.9108345315826</v>
      </c>
      <c r="CN288" s="589">
        <f t="shared" si="773"/>
        <v>1.1773769994416524E-3</v>
      </c>
      <c r="CO288" s="196">
        <f t="shared" si="840"/>
        <v>653.58695395507254</v>
      </c>
      <c r="CP288" s="589">
        <f t="shared" si="775"/>
        <v>1.2325643242355206E-3</v>
      </c>
      <c r="CQ288" s="196">
        <f>'Detailed Budget'!$AC$12</f>
        <v>292876014141.44696</v>
      </c>
      <c r="CR288" s="269">
        <f t="shared" si="724"/>
        <v>0</v>
      </c>
      <c r="CS288" s="269">
        <f>'Detailed Budget'!$AC$16</f>
        <v>10488008800.000002</v>
      </c>
      <c r="CT288" s="607">
        <f t="shared" si="804"/>
        <v>0</v>
      </c>
      <c r="CU288" s="269">
        <f>'Detailed Budget'!$AC$24</f>
        <v>30624985696</v>
      </c>
      <c r="CV288" s="269">
        <f t="shared" si="792"/>
        <v>0</v>
      </c>
      <c r="CW288" s="269"/>
      <c r="CX288" s="269">
        <f t="shared" si="776"/>
        <v>0</v>
      </c>
      <c r="CY288" s="196">
        <f>'Detailed Budget'!$AC$97</f>
        <v>74629165494.837845</v>
      </c>
      <c r="CZ288" s="269">
        <f t="shared" si="805"/>
        <v>164738070.88191727</v>
      </c>
      <c r="DA288" s="269">
        <f>'Detailed Budget'!$AC$100</f>
        <v>14925833098.967569</v>
      </c>
      <c r="DB288" s="269">
        <f t="shared" si="806"/>
        <v>32947614.176383458</v>
      </c>
      <c r="DC288" s="269">
        <f t="shared" si="728"/>
        <v>197685685.05830073</v>
      </c>
      <c r="DD288" s="207">
        <v>1</v>
      </c>
      <c r="DE288" s="606">
        <v>0</v>
      </c>
      <c r="DF288" s="269">
        <f>'Detailed Budget'!$AC$147</f>
        <v>5913600671000</v>
      </c>
      <c r="DG288" s="269">
        <f t="shared" si="787"/>
        <v>0</v>
      </c>
      <c r="DH288" s="269">
        <f>'Detailed Budget'!$AC$153</f>
        <v>226428026880.00003</v>
      </c>
      <c r="DI288" s="269"/>
      <c r="DJ288" s="269">
        <f>'Detailed Budget'!$AC$156</f>
        <v>27713070000</v>
      </c>
      <c r="DK288" s="269"/>
      <c r="DL288" s="269"/>
      <c r="DM288" s="196">
        <f>'Detailed Budget'!$AC$178</f>
        <v>5622683761.6229038</v>
      </c>
      <c r="DN288" s="269">
        <f t="shared" si="841"/>
        <v>18197221.646396611</v>
      </c>
      <c r="DO288" s="196">
        <f>'Detailed Budget'!$AC$179</f>
        <v>26827890683.128094</v>
      </c>
      <c r="DP288" s="269">
        <f t="shared" si="842"/>
        <v>86825633.124871448</v>
      </c>
      <c r="DQ288" s="269">
        <f t="shared" si="843"/>
        <v>105022854.77126805</v>
      </c>
      <c r="DR288" s="269">
        <f>'Detailed Budget'!$AC$181</f>
        <v>50888946855.375237</v>
      </c>
      <c r="DS288" s="269">
        <f t="shared" si="844"/>
        <v>124874469.51747924</v>
      </c>
      <c r="DT288" s="269">
        <f t="shared" si="845"/>
        <v>229897324.28874731</v>
      </c>
      <c r="DU288" s="272">
        <f>'Detailed Budget'!$AC$192</f>
        <v>77498869683.252869</v>
      </c>
      <c r="DV288" s="269">
        <f t="shared" si="807"/>
        <v>0</v>
      </c>
      <c r="DW288" s="140">
        <f>'Detailed Budget'!$AC$194</f>
        <v>2684962805.4134097</v>
      </c>
      <c r="DX288" s="269">
        <f t="shared" si="808"/>
        <v>0</v>
      </c>
      <c r="DY288" s="607">
        <f t="shared" si="731"/>
        <v>0</v>
      </c>
      <c r="DZ288" s="196">
        <f>'Detailed Budget'!$AC$198</f>
        <v>18732540018.380611</v>
      </c>
      <c r="EA288" s="269">
        <f t="shared" si="809"/>
        <v>27040037.62641567</v>
      </c>
      <c r="EB288" s="196">
        <f>'Detailed Budget'!$AC$200</f>
        <v>4683135004.5951529</v>
      </c>
      <c r="EC288" s="269">
        <f t="shared" si="810"/>
        <v>6760009.4066039175</v>
      </c>
      <c r="ED288" s="269">
        <f t="shared" si="734"/>
        <v>33800047.033019587</v>
      </c>
      <c r="EE288" s="196">
        <f>'Detailed Budget'!$AC$161</f>
        <v>251147290106.36197</v>
      </c>
      <c r="EF288" s="269">
        <f t="shared" si="811"/>
        <v>270381829.38794518</v>
      </c>
      <c r="EG288" s="196">
        <f>'Detailed Budget'!$AC$163</f>
        <v>15696705631.647623</v>
      </c>
      <c r="EH288" s="269">
        <f t="shared" si="812"/>
        <v>16898864.336746573</v>
      </c>
      <c r="EI288" s="269">
        <f t="shared" si="737"/>
        <v>287280693.72469175</v>
      </c>
      <c r="EJ288" s="196">
        <f>'Detailed Budget'!$AC$204</f>
        <v>45012172507.531975</v>
      </c>
      <c r="EK288" s="269">
        <f t="shared" si="813"/>
        <v>51262028.177475825</v>
      </c>
      <c r="EL288" s="201">
        <f>'Detailed Budget'!$AC$206</f>
        <v>11253043126.882994</v>
      </c>
      <c r="EM288" s="269">
        <f t="shared" si="814"/>
        <v>12815507.044368956</v>
      </c>
      <c r="EN288" s="269">
        <f t="shared" si="740"/>
        <v>64077535.221844777</v>
      </c>
      <c r="EO288" s="140">
        <f>'Detailed Budget'!$AC$209</f>
        <v>135789361677.54817</v>
      </c>
      <c r="EP288" s="269">
        <f t="shared" si="815"/>
        <v>164621200.90269586</v>
      </c>
      <c r="EQ288" s="196">
        <f>'Detailed Budget'!$AC$211</f>
        <v>33947340419.387043</v>
      </c>
      <c r="ER288" s="269">
        <f t="shared" si="816"/>
        <v>41155300.225673966</v>
      </c>
      <c r="ES288" s="269">
        <f t="shared" si="743"/>
        <v>205776501.12836984</v>
      </c>
      <c r="ET288" s="196">
        <f>'Detailed Budget'!$AC$214</f>
        <v>22239745544.201103</v>
      </c>
      <c r="EU288" s="269">
        <f t="shared" si="817"/>
        <v>26184564.877177354</v>
      </c>
      <c r="EV288" s="140">
        <f>'Detailed Budget'!$AC$217</f>
        <v>5559936386.0502758</v>
      </c>
      <c r="EW288" s="269">
        <f t="shared" si="818"/>
        <v>6546141.2192943385</v>
      </c>
      <c r="EX288" s="269">
        <f t="shared" si="746"/>
        <v>32730706.096471693</v>
      </c>
      <c r="EY288" s="196">
        <f>'Detailed Budget'!$AC$219</f>
        <v>372777004.58170313</v>
      </c>
      <c r="EZ288" s="269">
        <f t="shared" si="819"/>
        <v>459471.63674278848</v>
      </c>
      <c r="FA288" s="196">
        <f>'Detailed Budget'!$AC$222</f>
        <v>93194251.145425782</v>
      </c>
      <c r="FB288" s="269">
        <f t="shared" si="820"/>
        <v>114867.90918569712</v>
      </c>
      <c r="FC288" s="269">
        <f t="shared" si="749"/>
        <v>574339.54592848558</v>
      </c>
      <c r="FD288" s="269"/>
      <c r="FE288" s="269">
        <f t="shared" si="750"/>
        <v>303159081.99261475</v>
      </c>
      <c r="FF288" s="140">
        <f>'Detailed Budget'!$AC$165</f>
        <v>14927760000</v>
      </c>
      <c r="FG288" s="1087">
        <f t="shared" si="788"/>
        <v>413529055.10576528</v>
      </c>
      <c r="FH288" s="269">
        <f t="shared" si="821"/>
        <v>18657579.820474949</v>
      </c>
      <c r="FJ288" s="140">
        <f>'Detailed Budget'!$AC$235</f>
        <v>3623696172</v>
      </c>
      <c r="FK288" s="269">
        <f t="shared" si="822"/>
        <v>4681778</v>
      </c>
      <c r="FL288" s="269">
        <f t="shared" si="789"/>
        <v>4681778</v>
      </c>
      <c r="FO288" s="607"/>
      <c r="FP288" s="607"/>
      <c r="FQ288" s="607"/>
      <c r="FR288" s="269">
        <f>'Detailed Budget'!$AC$257</f>
        <v>13636439388</v>
      </c>
      <c r="FS288" s="269">
        <f t="shared" si="823"/>
        <v>8994024</v>
      </c>
      <c r="FT288" s="269">
        <f t="shared" si="790"/>
        <v>8994024</v>
      </c>
      <c r="FU288" s="269"/>
      <c r="FV288" s="269"/>
      <c r="FW288" s="269"/>
      <c r="FX288" s="140">
        <f>'Detailed Budget'!$AC$278</f>
        <v>1114560000</v>
      </c>
      <c r="FY288" s="269">
        <f t="shared" si="824"/>
        <v>1440000</v>
      </c>
      <c r="FZ288" s="269">
        <f t="shared" si="791"/>
        <v>1440000</v>
      </c>
      <c r="GB288" s="269">
        <f t="shared" si="799"/>
        <v>1499125269.0236144</v>
      </c>
      <c r="GC288" s="887">
        <f t="shared" si="753"/>
        <v>936953.29313975899</v>
      </c>
      <c r="GD288" s="1078">
        <f t="shared" si="800"/>
        <v>8.4120639455909291E-4</v>
      </c>
    </row>
    <row r="289" spans="1:186" outlineLevel="1">
      <c r="A289" s="211" t="s">
        <v>727</v>
      </c>
      <c r="B289" s="212" t="s">
        <v>728</v>
      </c>
      <c r="C289" s="213" t="s">
        <v>215</v>
      </c>
      <c r="D289" s="214"/>
      <c r="E289" s="213"/>
      <c r="F289" s="213"/>
      <c r="G289" s="213"/>
      <c r="H289" s="213" t="s">
        <v>215</v>
      </c>
      <c r="I289" s="214" t="s">
        <v>215</v>
      </c>
      <c r="J289" s="214"/>
      <c r="K289" s="213" t="s">
        <v>215</v>
      </c>
      <c r="L289" s="213"/>
      <c r="M289" s="214"/>
      <c r="N289" s="213"/>
      <c r="O289" s="214"/>
      <c r="P289" s="213"/>
      <c r="Q289" s="214"/>
      <c r="R289" s="214" t="s">
        <v>215</v>
      </c>
      <c r="S289" s="214"/>
      <c r="T289" s="214"/>
      <c r="U289" s="215">
        <f t="shared" si="830"/>
        <v>5</v>
      </c>
      <c r="V289" s="845" t="s">
        <v>467</v>
      </c>
      <c r="W289" s="216">
        <v>192583</v>
      </c>
      <c r="X289" s="217">
        <v>2.91</v>
      </c>
      <c r="Y289" s="218">
        <f t="shared" si="826"/>
        <v>1.0290999999999999</v>
      </c>
      <c r="Z289" s="196">
        <v>19</v>
      </c>
      <c r="AA289" s="218">
        <f t="shared" si="827"/>
        <v>1.7246222540408234</v>
      </c>
      <c r="AB289" s="196">
        <f t="shared" si="828"/>
        <v>332132.92754994391</v>
      </c>
      <c r="AC289">
        <v>20.100000000000001</v>
      </c>
      <c r="AD289" s="196">
        <f t="shared" si="829"/>
        <v>66758.71843753873</v>
      </c>
      <c r="AE289" s="196">
        <f t="shared" si="849"/>
        <v>63420.782515661791</v>
      </c>
      <c r="AF289" s="196">
        <f t="shared" si="831"/>
        <v>63420.782515661791</v>
      </c>
      <c r="AG289" s="606">
        <f t="shared" si="756"/>
        <v>2.9322985610720758E-3</v>
      </c>
      <c r="AH289" s="196">
        <f t="shared" si="846"/>
        <v>16606.646377497196</v>
      </c>
      <c r="AI289" s="248">
        <f t="shared" si="715"/>
        <v>1.2864917333377643E-3</v>
      </c>
      <c r="AJ289" s="196">
        <f t="shared" si="757"/>
        <v>83365.364815035922</v>
      </c>
      <c r="AK289" s="196">
        <f t="shared" si="785"/>
        <v>13285.317101997756</v>
      </c>
      <c r="AL289" s="196">
        <f t="shared" si="786"/>
        <v>13285.317101997756</v>
      </c>
      <c r="AM289" s="196">
        <f t="shared" si="716"/>
        <v>26570.634203995513</v>
      </c>
      <c r="AN289" s="627">
        <f t="shared" si="717"/>
        <v>1.2864917333377641E-3</v>
      </c>
      <c r="AO289" s="196">
        <f t="shared" si="718"/>
        <v>12621.051246897869</v>
      </c>
      <c r="AP289" s="589">
        <f t="shared" si="758"/>
        <v>1.2864917333377643E-3</v>
      </c>
      <c r="AQ289" s="196"/>
      <c r="AR289" s="589"/>
      <c r="AS289">
        <v>1</v>
      </c>
      <c r="AT289" s="589">
        <f t="shared" si="759"/>
        <v>1.2919896640826874E-3</v>
      </c>
      <c r="AU289" s="196">
        <v>10</v>
      </c>
      <c r="AV289" s="245">
        <f t="shared" si="719"/>
        <v>1.1362345188046814E-3</v>
      </c>
      <c r="AX289" s="245"/>
      <c r="AY289" s="245"/>
      <c r="AZ289" s="196">
        <v>28</v>
      </c>
      <c r="BA289" s="589">
        <f t="shared" si="793"/>
        <v>1.0259792605620901E-3</v>
      </c>
      <c r="BI289" s="196">
        <v>0</v>
      </c>
      <c r="BK289" s="246">
        <f t="shared" si="794"/>
        <v>0</v>
      </c>
      <c r="BL289" s="246"/>
      <c r="BM289" s="246">
        <f t="shared" si="795"/>
        <v>0</v>
      </c>
      <c r="BN289" s="196">
        <v>1</v>
      </c>
      <c r="BO289" s="196">
        <f t="shared" si="832"/>
        <v>28198.188665865378</v>
      </c>
      <c r="BP289" s="196">
        <f t="shared" si="762"/>
        <v>28198.188665865378</v>
      </c>
      <c r="BQ289" s="248">
        <f t="shared" si="796"/>
        <v>2.6378092378332709E-3</v>
      </c>
      <c r="BR289" s="248"/>
      <c r="BS289" s="248"/>
      <c r="BT289" s="276">
        <v>1</v>
      </c>
      <c r="BU289" s="196">
        <f t="shared" si="847"/>
        <v>55756.881639032341</v>
      </c>
      <c r="BV289" s="264">
        <f t="shared" si="797"/>
        <v>3.867402922759867E-3</v>
      </c>
      <c r="BW289" s="196">
        <f t="shared" si="848"/>
        <v>238515.54923363836</v>
      </c>
      <c r="BX289" s="247">
        <f t="shared" si="798"/>
        <v>3.8674029575975805E-3</v>
      </c>
      <c r="BY289" s="196">
        <f t="shared" si="833"/>
        <v>294272.43087267072</v>
      </c>
      <c r="BZ289" s="620">
        <v>0</v>
      </c>
      <c r="CA289" s="196">
        <f t="shared" si="834"/>
        <v>101632.67583028285</v>
      </c>
      <c r="CB289" s="196">
        <f t="shared" si="835"/>
        <v>203265.35166056571</v>
      </c>
      <c r="CC289" s="196">
        <f t="shared" si="765"/>
        <v>304898.02749084856</v>
      </c>
      <c r="CD289" s="247">
        <f t="shared" si="720"/>
        <v>1.2864917333377645E-3</v>
      </c>
      <c r="CE289" s="196">
        <f t="shared" si="836"/>
        <v>39944.289511180679</v>
      </c>
      <c r="CF289" s="247">
        <f t="shared" si="721"/>
        <v>1.7249186456628344E-3</v>
      </c>
      <c r="CG289" s="196">
        <f t="shared" si="803"/>
        <v>50484.204987591474</v>
      </c>
      <c r="CH289" s="589">
        <f t="shared" si="767"/>
        <v>1.2864917333377643E-3</v>
      </c>
      <c r="CI289" s="196">
        <f t="shared" si="837"/>
        <v>82779.358872775847</v>
      </c>
      <c r="CJ289" s="248">
        <f t="shared" si="769"/>
        <v>1.3608924497466406E-3</v>
      </c>
      <c r="CK289" s="196">
        <f t="shared" si="838"/>
        <v>100777.58464796949</v>
      </c>
      <c r="CL289" s="589">
        <f t="shared" si="771"/>
        <v>1.4486985083793432E-3</v>
      </c>
      <c r="CM289" s="196">
        <f t="shared" si="839"/>
        <v>9762.8206467234377</v>
      </c>
      <c r="CN289" s="589">
        <f t="shared" si="773"/>
        <v>1.4069334062426504E-3</v>
      </c>
      <c r="CO289" s="196">
        <f t="shared" si="840"/>
        <v>781.0185860942147</v>
      </c>
      <c r="CP289" s="589">
        <f t="shared" si="775"/>
        <v>1.4728807543651953E-3</v>
      </c>
      <c r="CQ289" s="196">
        <f>'Detailed Budget'!$AC$12</f>
        <v>292876014141.44696</v>
      </c>
      <c r="CR289" s="269">
        <f t="shared" si="724"/>
        <v>0</v>
      </c>
      <c r="CS289" s="269">
        <f>'Detailed Budget'!$AC$16</f>
        <v>10488008800.000002</v>
      </c>
      <c r="CT289" s="607">
        <f t="shared" si="804"/>
        <v>0</v>
      </c>
      <c r="CU289" s="269">
        <f>'Detailed Budget'!$AC$24</f>
        <v>30624985696</v>
      </c>
      <c r="CV289" s="269">
        <f t="shared" si="792"/>
        <v>0</v>
      </c>
      <c r="CW289" s="269"/>
      <c r="CX289" s="269">
        <f t="shared" si="776"/>
        <v>0</v>
      </c>
      <c r="CY289" s="196">
        <f>'Detailed Budget'!$AC$97</f>
        <v>74629165494.837845</v>
      </c>
      <c r="CZ289" s="269">
        <f t="shared" si="805"/>
        <v>196857502.15407127</v>
      </c>
      <c r="DA289" s="269">
        <f>'Detailed Budget'!$AC$100</f>
        <v>14925833098.967569</v>
      </c>
      <c r="DB289" s="269">
        <f t="shared" si="806"/>
        <v>39371500.430814251</v>
      </c>
      <c r="DC289" s="269">
        <f t="shared" si="728"/>
        <v>236229002.58488554</v>
      </c>
      <c r="DD289" s="207">
        <v>0</v>
      </c>
      <c r="DE289" s="606">
        <v>0</v>
      </c>
      <c r="DF289" s="269">
        <f>'Detailed Budget'!$AC$147</f>
        <v>5913600671000</v>
      </c>
      <c r="DG289" s="269">
        <f t="shared" si="787"/>
        <v>0</v>
      </c>
      <c r="DH289" s="269">
        <f>'Detailed Budget'!$AC$153</f>
        <v>226428026880.00003</v>
      </c>
      <c r="DI289" s="269"/>
      <c r="DJ289" s="269">
        <f>'Detailed Budget'!$AC$156</f>
        <v>27713070000</v>
      </c>
      <c r="DK289" s="269"/>
      <c r="DL289" s="269"/>
      <c r="DM289" s="196">
        <f>'Detailed Budget'!$AC$178</f>
        <v>5622683761.6229038</v>
      </c>
      <c r="DN289" s="269">
        <f t="shared" si="841"/>
        <v>21745183.613454863</v>
      </c>
      <c r="DO289" s="196">
        <f>'Detailed Budget'!$AC$179</f>
        <v>26827890683.128094</v>
      </c>
      <c r="DP289" s="269">
        <f t="shared" si="842"/>
        <v>103754263.77403416</v>
      </c>
      <c r="DQ289" s="269">
        <f t="shared" si="843"/>
        <v>125499447.38748902</v>
      </c>
      <c r="DR289" s="269">
        <f>'Detailed Budget'!$AC$181</f>
        <v>50888946855.375237</v>
      </c>
      <c r="DS289" s="269">
        <f t="shared" si="844"/>
        <v>149221585.63849014</v>
      </c>
      <c r="DT289" s="269">
        <f t="shared" si="845"/>
        <v>274721033.02597916</v>
      </c>
      <c r="DU289" s="272">
        <f>'Detailed Budget'!$AC$192</f>
        <v>77498869683.252869</v>
      </c>
      <c r="DV289" s="269">
        <f t="shared" si="807"/>
        <v>0</v>
      </c>
      <c r="DW289" s="140">
        <f>'Detailed Budget'!$AC$194</f>
        <v>2684962805.4134097</v>
      </c>
      <c r="DX289" s="269">
        <f t="shared" si="808"/>
        <v>0</v>
      </c>
      <c r="DY289" s="607">
        <f t="shared" si="731"/>
        <v>0</v>
      </c>
      <c r="DZ289" s="196">
        <f>'Detailed Budget'!$AC$198</f>
        <v>18732540018.380611</v>
      </c>
      <c r="EA289" s="269">
        <f t="shared" si="809"/>
        <v>32312107.558329932</v>
      </c>
      <c r="EB289" s="196">
        <f>'Detailed Budget'!$AC$200</f>
        <v>4683135004.5951529</v>
      </c>
      <c r="EC289" s="269">
        <f t="shared" si="810"/>
        <v>8078026.8895824831</v>
      </c>
      <c r="ED289" s="269">
        <f t="shared" si="734"/>
        <v>40390134.447912417</v>
      </c>
      <c r="EE289" s="196">
        <f>'Detailed Budget'!$AC$161</f>
        <v>251147290106.36197</v>
      </c>
      <c r="EF289" s="269">
        <f t="shared" si="811"/>
        <v>323098912.57201594</v>
      </c>
      <c r="EG289" s="196">
        <f>'Detailed Budget'!$AC$163</f>
        <v>15696705631.647623</v>
      </c>
      <c r="EH289" s="269">
        <f t="shared" si="812"/>
        <v>20193682.035750996</v>
      </c>
      <c r="EI289" s="269">
        <f t="shared" si="737"/>
        <v>343292594.60776693</v>
      </c>
      <c r="EJ289" s="196">
        <f>'Detailed Budget'!$AC$204</f>
        <v>45012172507.531975</v>
      </c>
      <c r="EK289" s="269">
        <f t="shared" si="813"/>
        <v>61256725.712193578</v>
      </c>
      <c r="EL289" s="201">
        <f>'Detailed Budget'!$AC$206</f>
        <v>11253043126.882994</v>
      </c>
      <c r="EM289" s="269">
        <f t="shared" si="814"/>
        <v>15314181.428048395</v>
      </c>
      <c r="EN289" s="269">
        <f t="shared" si="740"/>
        <v>76570907.140241981</v>
      </c>
      <c r="EO289" s="140">
        <f>'Detailed Budget'!$AC$209</f>
        <v>135789361677.54817</v>
      </c>
      <c r="EP289" s="269">
        <f t="shared" si="815"/>
        <v>196717845.71604717</v>
      </c>
      <c r="EQ289" s="196">
        <f>'Detailed Budget'!$AC$211</f>
        <v>33947340419.387043</v>
      </c>
      <c r="ER289" s="269">
        <f t="shared" si="816"/>
        <v>49179461.429011792</v>
      </c>
      <c r="ES289" s="269">
        <f t="shared" si="743"/>
        <v>245897307.14505896</v>
      </c>
      <c r="ET289" s="196">
        <f>'Detailed Budget'!$AC$214</f>
        <v>22239745544.201103</v>
      </c>
      <c r="EU289" s="269">
        <f t="shared" si="817"/>
        <v>31289840.952472664</v>
      </c>
      <c r="EV289" s="140">
        <f>'Detailed Budget'!$AC$217</f>
        <v>5559936386.0502758</v>
      </c>
      <c r="EW289" s="269">
        <f t="shared" si="818"/>
        <v>7822460.2381181661</v>
      </c>
      <c r="EX289" s="269">
        <f t="shared" si="746"/>
        <v>39112301.190590829</v>
      </c>
      <c r="EY289" s="196">
        <f>'Detailed Budget'!$AC$219</f>
        <v>372777004.58170313</v>
      </c>
      <c r="EZ289" s="269">
        <f t="shared" si="819"/>
        <v>549056.07571829681</v>
      </c>
      <c r="FA289" s="196">
        <f>'Detailed Budget'!$AC$222</f>
        <v>93194251.145425782</v>
      </c>
      <c r="FB289" s="269">
        <f t="shared" si="820"/>
        <v>137264.0189295742</v>
      </c>
      <c r="FC289" s="269">
        <f t="shared" si="749"/>
        <v>686320.09464787098</v>
      </c>
      <c r="FD289" s="269"/>
      <c r="FE289" s="269">
        <f t="shared" si="750"/>
        <v>362266835.57053971</v>
      </c>
      <c r="FF289" s="140">
        <f>'Detailed Budget'!$AC$165</f>
        <v>14927760000</v>
      </c>
      <c r="FG289" s="1087">
        <f t="shared" si="788"/>
        <v>494155943.55603164</v>
      </c>
      <c r="FH289" s="269">
        <f t="shared" si="821"/>
        <v>16961436.200431772</v>
      </c>
      <c r="FJ289" s="140">
        <f>'Detailed Budget'!$AC$235</f>
        <v>3623696172</v>
      </c>
      <c r="FK289" s="269">
        <f t="shared" si="822"/>
        <v>4681778</v>
      </c>
      <c r="FL289" s="269">
        <f t="shared" si="789"/>
        <v>4681778</v>
      </c>
      <c r="FO289" s="607"/>
      <c r="FP289" s="607"/>
      <c r="FQ289" s="607"/>
      <c r="FR289" s="269">
        <f>'Detailed Budget'!$AC$257</f>
        <v>13636439388</v>
      </c>
      <c r="FS289" s="269">
        <f t="shared" si="823"/>
        <v>13990704</v>
      </c>
      <c r="FT289" s="269">
        <f t="shared" si="790"/>
        <v>13990704</v>
      </c>
      <c r="FU289" s="269"/>
      <c r="FV289" s="269"/>
      <c r="FW289" s="269"/>
      <c r="FX289" s="140">
        <f>'Detailed Budget'!$AC$278</f>
        <v>1114560000</v>
      </c>
      <c r="FY289" s="269">
        <f t="shared" si="824"/>
        <v>1440000</v>
      </c>
      <c r="FZ289" s="269">
        <f t="shared" si="791"/>
        <v>1440000</v>
      </c>
      <c r="GB289" s="269">
        <f t="shared" si="799"/>
        <v>1788129461.9935472</v>
      </c>
      <c r="GC289" s="887">
        <f t="shared" si="753"/>
        <v>1117580.913745967</v>
      </c>
      <c r="GD289" s="1078">
        <f t="shared" si="800"/>
        <v>1.0033757477173099E-3</v>
      </c>
    </row>
    <row r="290" spans="1:186" outlineLevel="1">
      <c r="A290" s="211" t="s">
        <v>729</v>
      </c>
      <c r="B290" s="212" t="s">
        <v>730</v>
      </c>
      <c r="C290" s="213" t="s">
        <v>215</v>
      </c>
      <c r="D290" s="214"/>
      <c r="E290" s="213"/>
      <c r="F290" s="213"/>
      <c r="G290" s="213"/>
      <c r="H290" s="213" t="s">
        <v>215</v>
      </c>
      <c r="I290" s="214" t="s">
        <v>215</v>
      </c>
      <c r="J290" s="214"/>
      <c r="K290" s="213" t="s">
        <v>215</v>
      </c>
      <c r="L290" s="213"/>
      <c r="M290" s="214"/>
      <c r="N290" s="213"/>
      <c r="O290" s="214"/>
      <c r="P290" s="213"/>
      <c r="Q290" s="214"/>
      <c r="R290" s="214" t="s">
        <v>215</v>
      </c>
      <c r="S290" s="214"/>
      <c r="T290" s="214"/>
      <c r="U290" s="215">
        <f t="shared" si="830"/>
        <v>5</v>
      </c>
      <c r="V290" s="845" t="s">
        <v>467</v>
      </c>
      <c r="W290" s="216">
        <v>172952</v>
      </c>
      <c r="X290" s="217">
        <v>2.91</v>
      </c>
      <c r="Y290" s="218">
        <f t="shared" si="826"/>
        <v>1.0290999999999999</v>
      </c>
      <c r="Z290" s="196">
        <v>19</v>
      </c>
      <c r="AA290" s="218">
        <f t="shared" si="827"/>
        <v>1.7246222540408234</v>
      </c>
      <c r="AB290" s="196">
        <f t="shared" si="828"/>
        <v>298276.8680808685</v>
      </c>
      <c r="AC290">
        <v>20.100000000000001</v>
      </c>
      <c r="AD290" s="196">
        <f t="shared" si="829"/>
        <v>59953.650484254576</v>
      </c>
      <c r="AE290" s="196">
        <f t="shared" si="849"/>
        <v>56955.967960041846</v>
      </c>
      <c r="AF290" s="196">
        <f t="shared" si="831"/>
        <v>56955.967960041846</v>
      </c>
      <c r="AG290" s="606">
        <f t="shared" si="756"/>
        <v>2.633393917087893E-3</v>
      </c>
      <c r="AH290" s="196">
        <f t="shared" si="846"/>
        <v>14913.843404043426</v>
      </c>
      <c r="AI290" s="248">
        <f t="shared" si="715"/>
        <v>1.1553528518313298E-3</v>
      </c>
      <c r="AJ290" s="196">
        <f t="shared" si="757"/>
        <v>74867.493888298006</v>
      </c>
      <c r="AK290" s="196">
        <f t="shared" si="785"/>
        <v>11931.07472323474</v>
      </c>
      <c r="AL290" s="196">
        <f t="shared" si="786"/>
        <v>11931.07472323474</v>
      </c>
      <c r="AM290" s="196">
        <f t="shared" si="716"/>
        <v>23862.149446469481</v>
      </c>
      <c r="AN290" s="627">
        <f t="shared" si="717"/>
        <v>1.1553528518313298E-3</v>
      </c>
      <c r="AO290" s="196">
        <f t="shared" si="718"/>
        <v>11334.520987073003</v>
      </c>
      <c r="AP290" s="589">
        <f t="shared" si="758"/>
        <v>1.1553528518313298E-3</v>
      </c>
      <c r="AQ290" s="196"/>
      <c r="AR290" s="589"/>
      <c r="AS290">
        <v>1</v>
      </c>
      <c r="AT290" s="589">
        <f t="shared" si="759"/>
        <v>1.2919896640826874E-3</v>
      </c>
      <c r="AU290" s="196">
        <v>11</v>
      </c>
      <c r="AV290" s="245">
        <f t="shared" si="719"/>
        <v>1.2498579706851495E-3</v>
      </c>
      <c r="AX290" s="245"/>
      <c r="AY290" s="245"/>
      <c r="AZ290" s="196">
        <v>39</v>
      </c>
      <c r="BA290" s="589">
        <f t="shared" si="793"/>
        <v>1.4290425414971969E-3</v>
      </c>
      <c r="BI290" s="196">
        <v>0</v>
      </c>
      <c r="BK290" s="246">
        <f t="shared" si="794"/>
        <v>0</v>
      </c>
      <c r="BL290" s="246"/>
      <c r="BM290" s="246">
        <f t="shared" si="795"/>
        <v>0</v>
      </c>
      <c r="BN290" s="196">
        <v>1</v>
      </c>
      <c r="BO290" s="196">
        <f t="shared" si="832"/>
        <v>25323.798705694426</v>
      </c>
      <c r="BP290" s="196">
        <f t="shared" si="762"/>
        <v>25323.798705694426</v>
      </c>
      <c r="BQ290" s="248">
        <f t="shared" si="796"/>
        <v>2.368923442368952E-3</v>
      </c>
      <c r="BR290" s="248"/>
      <c r="BS290" s="248"/>
      <c r="BT290" s="276">
        <v>1</v>
      </c>
      <c r="BU290" s="196">
        <f t="shared" si="847"/>
        <v>50073.288884449423</v>
      </c>
      <c r="BV290" s="264">
        <f t="shared" si="797"/>
        <v>3.4731781636861228E-3</v>
      </c>
      <c r="BW290" s="196">
        <f t="shared" si="848"/>
        <v>214202.40245014476</v>
      </c>
      <c r="BX290" s="247">
        <f t="shared" si="798"/>
        <v>3.4731781949726447E-3</v>
      </c>
      <c r="BY290" s="196">
        <f t="shared" si="833"/>
        <v>264275.69133459416</v>
      </c>
      <c r="BZ290" s="620">
        <v>0</v>
      </c>
      <c r="CA290" s="196">
        <f t="shared" si="834"/>
        <v>91272.721632745757</v>
      </c>
      <c r="CB290" s="196">
        <f t="shared" si="835"/>
        <v>182545.44326549151</v>
      </c>
      <c r="CC290" s="196">
        <f t="shared" si="765"/>
        <v>273818.16489823727</v>
      </c>
      <c r="CD290" s="247">
        <f t="shared" si="720"/>
        <v>1.1553528518313298E-3</v>
      </c>
      <c r="CE290" s="196">
        <f t="shared" si="836"/>
        <v>35872.557596141516</v>
      </c>
      <c r="CF290" s="247">
        <f t="shared" si="721"/>
        <v>1.5490885987064205E-3</v>
      </c>
      <c r="CG290" s="196">
        <f t="shared" si="803"/>
        <v>45338.083948292013</v>
      </c>
      <c r="CH290" s="589">
        <f t="shared" si="767"/>
        <v>1.1553528518313298E-3</v>
      </c>
      <c r="CI290" s="196">
        <f t="shared" si="837"/>
        <v>74341.222619672189</v>
      </c>
      <c r="CJ290" s="248">
        <f t="shared" si="769"/>
        <v>1.2221695111644382E-3</v>
      </c>
      <c r="CK290" s="196">
        <f t="shared" si="838"/>
        <v>90504.794400521438</v>
      </c>
      <c r="CL290" s="589">
        <f t="shared" si="771"/>
        <v>1.301025035549473E-3</v>
      </c>
      <c r="CM290" s="196">
        <f t="shared" si="839"/>
        <v>8767.6448933296924</v>
      </c>
      <c r="CN290" s="589">
        <f t="shared" si="773"/>
        <v>1.2635172703534521E-3</v>
      </c>
      <c r="CO290" s="196">
        <f t="shared" si="840"/>
        <v>701.40524606100553</v>
      </c>
      <c r="CP290" s="589">
        <f t="shared" si="775"/>
        <v>1.3227422577744103E-3</v>
      </c>
      <c r="CQ290" s="196">
        <f>'Detailed Budget'!$AC$12</f>
        <v>292876014141.44696</v>
      </c>
      <c r="CR290" s="269">
        <f t="shared" si="724"/>
        <v>0</v>
      </c>
      <c r="CS290" s="269">
        <f>'Detailed Budget'!$AC$16</f>
        <v>10488008800.000002</v>
      </c>
      <c r="CT290" s="607">
        <f t="shared" si="804"/>
        <v>0</v>
      </c>
      <c r="CU290" s="269">
        <f>'Detailed Budget'!$AC$24</f>
        <v>30624985696</v>
      </c>
      <c r="CV290" s="269">
        <f t="shared" si="792"/>
        <v>0</v>
      </c>
      <c r="CW290" s="269"/>
      <c r="CX290" s="269">
        <f t="shared" si="776"/>
        <v>0</v>
      </c>
      <c r="CY290" s="196">
        <f>'Detailed Budget'!$AC$97</f>
        <v>74629165494.837845</v>
      </c>
      <c r="CZ290" s="269">
        <f t="shared" si="805"/>
        <v>176790779.62515348</v>
      </c>
      <c r="DA290" s="269">
        <f>'Detailed Budget'!$AC$100</f>
        <v>14925833098.967569</v>
      </c>
      <c r="DB290" s="269">
        <f t="shared" si="806"/>
        <v>35358155.925030693</v>
      </c>
      <c r="DC290" s="269">
        <f t="shared" si="728"/>
        <v>212148935.55018419</v>
      </c>
      <c r="DD290" s="207">
        <v>0</v>
      </c>
      <c r="DE290" s="606">
        <v>0</v>
      </c>
      <c r="DF290" s="269">
        <f>'Detailed Budget'!$AC$147</f>
        <v>5913600671000</v>
      </c>
      <c r="DG290" s="269">
        <f t="shared" si="787"/>
        <v>0</v>
      </c>
      <c r="DH290" s="269">
        <f>'Detailed Budget'!$AC$153</f>
        <v>226428026880.00003</v>
      </c>
      <c r="DI290" s="269"/>
      <c r="DJ290" s="269">
        <f>'Detailed Budget'!$AC$156</f>
        <v>27713070000</v>
      </c>
      <c r="DK290" s="269"/>
      <c r="DL290" s="269"/>
      <c r="DM290" s="196">
        <f>'Detailed Budget'!$AC$178</f>
        <v>5622683761.6229038</v>
      </c>
      <c r="DN290" s="269">
        <f t="shared" si="841"/>
        <v>19528582.462181218</v>
      </c>
      <c r="DO290" s="196">
        <f>'Detailed Budget'!$AC$179</f>
        <v>26827890683.128094</v>
      </c>
      <c r="DP290" s="269">
        <f t="shared" si="842"/>
        <v>93178044.937750265</v>
      </c>
      <c r="DQ290" s="269">
        <f t="shared" si="843"/>
        <v>112706627.39993149</v>
      </c>
      <c r="DR290" s="269">
        <f>'Detailed Budget'!$AC$181</f>
        <v>50888946855.375237</v>
      </c>
      <c r="DS290" s="269">
        <f t="shared" si="844"/>
        <v>134010643.09595421</v>
      </c>
      <c r="DT290" s="269">
        <f t="shared" si="845"/>
        <v>246717270.4958857</v>
      </c>
      <c r="DU290" s="272">
        <f>'Detailed Budget'!$AC$192</f>
        <v>77498869683.252869</v>
      </c>
      <c r="DV290" s="269">
        <f t="shared" si="807"/>
        <v>0</v>
      </c>
      <c r="DW290" s="140">
        <f>'Detailed Budget'!$AC$194</f>
        <v>2684962805.4134097</v>
      </c>
      <c r="DX290" s="269">
        <f t="shared" si="808"/>
        <v>0</v>
      </c>
      <c r="DY290" s="607">
        <f t="shared" si="731"/>
        <v>0</v>
      </c>
      <c r="DZ290" s="196">
        <f>'Detailed Budget'!$AC$198</f>
        <v>18732540018.380611</v>
      </c>
      <c r="EA290" s="269">
        <f t="shared" si="809"/>
        <v>29018364.167285167</v>
      </c>
      <c r="EB290" s="196">
        <f>'Detailed Budget'!$AC$200</f>
        <v>4683135004.5951529</v>
      </c>
      <c r="EC290" s="269">
        <f t="shared" si="810"/>
        <v>7254591.0418212917</v>
      </c>
      <c r="ED290" s="269">
        <f t="shared" si="734"/>
        <v>36272955.20910646</v>
      </c>
      <c r="EE290" s="196">
        <f>'Detailed Budget'!$AC$161</f>
        <v>251147290106.36197</v>
      </c>
      <c r="EF290" s="269">
        <f t="shared" si="811"/>
        <v>290163737.85409564</v>
      </c>
      <c r="EG290" s="196">
        <f>'Detailed Budget'!$AC$163</f>
        <v>15696705631.647623</v>
      </c>
      <c r="EH290" s="269">
        <f t="shared" si="812"/>
        <v>18135233.615880977</v>
      </c>
      <c r="EI290" s="269">
        <f t="shared" si="737"/>
        <v>308298971.4699766</v>
      </c>
      <c r="EJ290" s="196">
        <f>'Detailed Budget'!$AC$204</f>
        <v>45012172507.531975</v>
      </c>
      <c r="EK290" s="269">
        <f t="shared" si="813"/>
        <v>55012504.869979717</v>
      </c>
      <c r="EL290" s="201">
        <f>'Detailed Budget'!$AC$206</f>
        <v>11253043126.882994</v>
      </c>
      <c r="EM290" s="269">
        <f t="shared" si="814"/>
        <v>13753126.217494929</v>
      </c>
      <c r="EN290" s="269">
        <f t="shared" si="740"/>
        <v>68765631.087474644</v>
      </c>
      <c r="EO290" s="140">
        <f>'Detailed Budget'!$AC$209</f>
        <v>135789361677.54817</v>
      </c>
      <c r="EP290" s="269">
        <f t="shared" si="815"/>
        <v>176665359.10377237</v>
      </c>
      <c r="EQ290" s="196">
        <f>'Detailed Budget'!$AC$211</f>
        <v>33947340419.387043</v>
      </c>
      <c r="ER290" s="269">
        <f t="shared" si="816"/>
        <v>44166339.775943093</v>
      </c>
      <c r="ES290" s="269">
        <f t="shared" si="743"/>
        <v>220831698.87971547</v>
      </c>
      <c r="ET290" s="196">
        <f>'Detailed Budget'!$AC$214</f>
        <v>22239745544.201103</v>
      </c>
      <c r="EU290" s="269">
        <f t="shared" si="817"/>
        <v>28100302.583364327</v>
      </c>
      <c r="EV290" s="140">
        <f>'Detailed Budget'!$AC$217</f>
        <v>5559936386.0502758</v>
      </c>
      <c r="EW290" s="269">
        <f t="shared" si="818"/>
        <v>7025075.6458410816</v>
      </c>
      <c r="EX290" s="269">
        <f t="shared" si="746"/>
        <v>35125378.229205407</v>
      </c>
      <c r="EY290" s="196">
        <f>'Detailed Budget'!$AC$219</f>
        <v>372777004.58170313</v>
      </c>
      <c r="EZ290" s="269">
        <f t="shared" si="819"/>
        <v>493087.8966867837</v>
      </c>
      <c r="FA290" s="196">
        <f>'Detailed Budget'!$AC$222</f>
        <v>93194251.145425782</v>
      </c>
      <c r="FB290" s="269">
        <f t="shared" si="820"/>
        <v>123271.97417169593</v>
      </c>
      <c r="FC290" s="269">
        <f t="shared" si="749"/>
        <v>616359.87085847964</v>
      </c>
      <c r="FD290" s="269"/>
      <c r="FE290" s="269">
        <f t="shared" si="750"/>
        <v>325339068.06725407</v>
      </c>
      <c r="FF290" s="140">
        <f>'Detailed Budget'!$AC$165</f>
        <v>14927760000</v>
      </c>
      <c r="FG290" s="1087">
        <f t="shared" si="788"/>
        <v>443784024.29032058</v>
      </c>
      <c r="FH290" s="269">
        <f t="shared" si="821"/>
        <v>18657579.820474949</v>
      </c>
      <c r="FJ290" s="140">
        <f>'Detailed Budget'!$AC$235</f>
        <v>3623696172</v>
      </c>
      <c r="FK290" s="269">
        <f t="shared" si="822"/>
        <v>4681778</v>
      </c>
      <c r="FL290" s="269">
        <f t="shared" si="789"/>
        <v>4681778</v>
      </c>
      <c r="FO290" s="607"/>
      <c r="FP290" s="607"/>
      <c r="FQ290" s="607"/>
      <c r="FR290" s="269">
        <f>'Detailed Budget'!$AC$257</f>
        <v>13636439388</v>
      </c>
      <c r="FS290" s="269">
        <f t="shared" si="823"/>
        <v>19487052</v>
      </c>
      <c r="FT290" s="269">
        <f t="shared" si="790"/>
        <v>19487052</v>
      </c>
      <c r="FU290" s="269"/>
      <c r="FV290" s="269"/>
      <c r="FW290" s="269"/>
      <c r="FX290" s="140">
        <f>'Detailed Budget'!$AC$278</f>
        <v>1114560000</v>
      </c>
      <c r="FY290" s="269">
        <f t="shared" si="824"/>
        <v>1440000</v>
      </c>
      <c r="FZ290" s="269">
        <f t="shared" si="791"/>
        <v>1440000</v>
      </c>
      <c r="GB290" s="269">
        <f t="shared" si="799"/>
        <v>1616827634.9032025</v>
      </c>
      <c r="GC290" s="887">
        <f t="shared" si="753"/>
        <v>1010517.2718145016</v>
      </c>
      <c r="GD290" s="1078">
        <f t="shared" si="800"/>
        <v>9.0725289839604744E-4</v>
      </c>
    </row>
    <row r="291" spans="1:186" outlineLevel="1">
      <c r="A291" s="211" t="s">
        <v>731</v>
      </c>
      <c r="B291" s="212" t="s">
        <v>732</v>
      </c>
      <c r="C291" s="213" t="s">
        <v>215</v>
      </c>
      <c r="D291" s="214"/>
      <c r="E291" s="213"/>
      <c r="F291" s="213"/>
      <c r="G291" s="213"/>
      <c r="H291" s="213" t="s">
        <v>215</v>
      </c>
      <c r="I291" s="214" t="s">
        <v>215</v>
      </c>
      <c r="J291" s="214"/>
      <c r="K291" s="213" t="s">
        <v>215</v>
      </c>
      <c r="L291" s="213"/>
      <c r="M291" s="214"/>
      <c r="N291" s="213"/>
      <c r="O291" s="214"/>
      <c r="P291" s="213"/>
      <c r="Q291" s="214"/>
      <c r="R291" s="214" t="s">
        <v>215</v>
      </c>
      <c r="S291" s="214"/>
      <c r="T291" s="214"/>
      <c r="U291" s="215">
        <f t="shared" si="830"/>
        <v>5</v>
      </c>
      <c r="V291" s="845" t="s">
        <v>467</v>
      </c>
      <c r="W291" s="216">
        <v>177057</v>
      </c>
      <c r="X291" s="217">
        <v>2.91</v>
      </c>
      <c r="Y291" s="218">
        <f t="shared" si="826"/>
        <v>1.0290999999999999</v>
      </c>
      <c r="Z291" s="196">
        <v>19</v>
      </c>
      <c r="AA291" s="218">
        <f t="shared" si="827"/>
        <v>1.7246222540408234</v>
      </c>
      <c r="AB291" s="196">
        <f t="shared" si="828"/>
        <v>305356.44243370608</v>
      </c>
      <c r="AC291">
        <v>20.100000000000001</v>
      </c>
      <c r="AD291" s="196">
        <f t="shared" si="829"/>
        <v>61376.64492917493</v>
      </c>
      <c r="AE291" s="196">
        <f t="shared" si="849"/>
        <v>58307.812682716183</v>
      </c>
      <c r="AF291" s="196">
        <f t="shared" si="831"/>
        <v>58307.812682716183</v>
      </c>
      <c r="AG291" s="606">
        <f t="shared" si="756"/>
        <v>2.6958972823548214E-3</v>
      </c>
      <c r="AH291" s="196">
        <f t="shared" si="846"/>
        <v>15267.822121685305</v>
      </c>
      <c r="AI291" s="248">
        <f t="shared" si="715"/>
        <v>1.1827750467569024E-3</v>
      </c>
      <c r="AJ291" s="196">
        <f t="shared" si="757"/>
        <v>76644.467050860228</v>
      </c>
      <c r="AK291" s="196">
        <f t="shared" si="785"/>
        <v>12214.257697348243</v>
      </c>
      <c r="AL291" s="196">
        <f t="shared" si="786"/>
        <v>12214.257697348243</v>
      </c>
      <c r="AM291" s="196">
        <f t="shared" si="716"/>
        <v>24428.515394696486</v>
      </c>
      <c r="AN291" s="627">
        <f t="shared" si="717"/>
        <v>1.1827750467569022E-3</v>
      </c>
      <c r="AO291" s="196">
        <f t="shared" si="718"/>
        <v>11603.54481248083</v>
      </c>
      <c r="AP291" s="589">
        <f t="shared" si="758"/>
        <v>1.1827750467569022E-3</v>
      </c>
      <c r="AQ291" s="196"/>
      <c r="AR291" s="589"/>
      <c r="AS291">
        <v>1</v>
      </c>
      <c r="AT291" s="589">
        <f t="shared" si="759"/>
        <v>1.2919896640826874E-3</v>
      </c>
      <c r="AU291" s="196">
        <v>11</v>
      </c>
      <c r="AV291" s="245">
        <f t="shared" si="719"/>
        <v>1.2498579706851495E-3</v>
      </c>
      <c r="AX291" s="245"/>
      <c r="AY291" s="245"/>
      <c r="AZ291" s="196">
        <v>21</v>
      </c>
      <c r="BA291" s="589">
        <f t="shared" si="793"/>
        <v>7.6948444542156754E-4</v>
      </c>
      <c r="BI291" s="196">
        <v>0</v>
      </c>
      <c r="BK291" s="246">
        <f t="shared" si="794"/>
        <v>0</v>
      </c>
      <c r="BL291" s="246"/>
      <c r="BM291" s="246">
        <f t="shared" si="795"/>
        <v>0</v>
      </c>
      <c r="BN291" s="196">
        <v>1</v>
      </c>
      <c r="BO291" s="196">
        <f t="shared" si="832"/>
        <v>25924.856766236513</v>
      </c>
      <c r="BP291" s="196">
        <f t="shared" si="762"/>
        <v>25924.856766236513</v>
      </c>
      <c r="BQ291" s="248">
        <f t="shared" si="796"/>
        <v>2.4251496249567484E-3</v>
      </c>
      <c r="BR291" s="248"/>
      <c r="BS291" s="248"/>
      <c r="BT291" s="276">
        <v>1</v>
      </c>
      <c r="BU291" s="196">
        <f t="shared" si="847"/>
        <v>51261.773844846895</v>
      </c>
      <c r="BV291" s="264">
        <f t="shared" si="797"/>
        <v>3.5556137317161629E-3</v>
      </c>
      <c r="BW291" s="196">
        <f t="shared" si="848"/>
        <v>219286.47700295618</v>
      </c>
      <c r="BX291" s="247">
        <f t="shared" si="798"/>
        <v>3.5556137637452676E-3</v>
      </c>
      <c r="BY291" s="196">
        <f t="shared" si="833"/>
        <v>270548.25084780308</v>
      </c>
      <c r="BZ291" s="620">
        <v>0</v>
      </c>
      <c r="CA291" s="196">
        <f t="shared" si="834"/>
        <v>93439.071384714058</v>
      </c>
      <c r="CB291" s="196">
        <f t="shared" si="835"/>
        <v>186878.14276942812</v>
      </c>
      <c r="CC291" s="196">
        <f t="shared" si="765"/>
        <v>280317.21415414219</v>
      </c>
      <c r="CD291" s="247">
        <f t="shared" si="720"/>
        <v>1.1827750467569022E-3</v>
      </c>
      <c r="CE291" s="196">
        <f t="shared" si="836"/>
        <v>36723.989490147716</v>
      </c>
      <c r="CF291" s="247">
        <f t="shared" si="721"/>
        <v>1.5858560757965369E-3</v>
      </c>
      <c r="CG291" s="196">
        <f t="shared" si="803"/>
        <v>46414.17924992332</v>
      </c>
      <c r="CH291" s="589">
        <f t="shared" si="767"/>
        <v>1.1827750467569022E-3</v>
      </c>
      <c r="CI291" s="196">
        <f t="shared" si="837"/>
        <v>76105.704781507578</v>
      </c>
      <c r="CJ291" s="248">
        <f t="shared" si="769"/>
        <v>1.2511775934261641E-3</v>
      </c>
      <c r="CK291" s="196">
        <f t="shared" si="838"/>
        <v>92652.917469431544</v>
      </c>
      <c r="CL291" s="589">
        <f t="shared" si="771"/>
        <v>1.3319047465151202E-3</v>
      </c>
      <c r="CM291" s="196">
        <f t="shared" si="839"/>
        <v>8975.7441479617191</v>
      </c>
      <c r="CN291" s="589">
        <f t="shared" si="773"/>
        <v>1.2935067379213376E-3</v>
      </c>
      <c r="CO291" s="196">
        <f t="shared" si="840"/>
        <v>718.05303582394811</v>
      </c>
      <c r="CP291" s="589">
        <f t="shared" si="775"/>
        <v>1.3541374250356389E-3</v>
      </c>
      <c r="CQ291" s="196">
        <f>'Detailed Budget'!$AC$12</f>
        <v>292876014141.44696</v>
      </c>
      <c r="CR291" s="269">
        <f t="shared" si="724"/>
        <v>0</v>
      </c>
      <c r="CS291" s="269">
        <f>'Detailed Budget'!$AC$16</f>
        <v>10488008800.000002</v>
      </c>
      <c r="CT291" s="607">
        <f t="shared" si="804"/>
        <v>0</v>
      </c>
      <c r="CU291" s="269">
        <f>'Detailed Budget'!$AC$24</f>
        <v>30624985696</v>
      </c>
      <c r="CV291" s="269">
        <f t="shared" si="792"/>
        <v>0</v>
      </c>
      <c r="CW291" s="269"/>
      <c r="CX291" s="269">
        <f t="shared" si="776"/>
        <v>0</v>
      </c>
      <c r="CY291" s="196">
        <f>'Detailed Budget'!$AC$97</f>
        <v>74629165494.837845</v>
      </c>
      <c r="CZ291" s="269">
        <f t="shared" si="805"/>
        <v>180986892.71064112</v>
      </c>
      <c r="DA291" s="269">
        <f>'Detailed Budget'!$AC$100</f>
        <v>14925833098.967569</v>
      </c>
      <c r="DB291" s="269">
        <f t="shared" si="806"/>
        <v>36197378.54212822</v>
      </c>
      <c r="DC291" s="269">
        <f t="shared" si="728"/>
        <v>217184271.25276935</v>
      </c>
      <c r="DD291" s="207">
        <v>0</v>
      </c>
      <c r="DE291" s="606">
        <v>0</v>
      </c>
      <c r="DF291" s="269">
        <f>'Detailed Budget'!$AC$147</f>
        <v>5913600671000</v>
      </c>
      <c r="DG291" s="269">
        <f t="shared" si="787"/>
        <v>0</v>
      </c>
      <c r="DH291" s="269">
        <f>'Detailed Budget'!$AC$153</f>
        <v>226428026880.00003</v>
      </c>
      <c r="DI291" s="269"/>
      <c r="DJ291" s="269">
        <f>'Detailed Budget'!$AC$156</f>
        <v>27713070000</v>
      </c>
      <c r="DK291" s="269"/>
      <c r="DL291" s="269"/>
      <c r="DM291" s="196">
        <f>'Detailed Budget'!$AC$178</f>
        <v>5622683761.6229038</v>
      </c>
      <c r="DN291" s="269">
        <f t="shared" si="841"/>
        <v>19992091.591923885</v>
      </c>
      <c r="DO291" s="196">
        <f>'Detailed Budget'!$AC$179</f>
        <v>26827890683.128094</v>
      </c>
      <c r="DP291" s="269">
        <f t="shared" si="842"/>
        <v>95389617.365183681</v>
      </c>
      <c r="DQ291" s="269">
        <f t="shared" si="843"/>
        <v>115381708.95710757</v>
      </c>
      <c r="DR291" s="269">
        <f>'Detailed Budget'!$AC$181</f>
        <v>50888946855.375237</v>
      </c>
      <c r="DS291" s="269">
        <f t="shared" si="844"/>
        <v>137191373.52930504</v>
      </c>
      <c r="DT291" s="269">
        <f t="shared" si="845"/>
        <v>252573082.48641261</v>
      </c>
      <c r="DU291" s="272">
        <f>'Detailed Budget'!$AC$192</f>
        <v>77498869683.252869</v>
      </c>
      <c r="DV291" s="269">
        <f t="shared" si="807"/>
        <v>0</v>
      </c>
      <c r="DW291" s="140">
        <f>'Detailed Budget'!$AC$194</f>
        <v>2684962805.4134097</v>
      </c>
      <c r="DX291" s="269">
        <f t="shared" si="808"/>
        <v>0</v>
      </c>
      <c r="DY291" s="607">
        <f t="shared" si="731"/>
        <v>0</v>
      </c>
      <c r="DZ291" s="196">
        <f>'Detailed Budget'!$AC$198</f>
        <v>18732540018.380611</v>
      </c>
      <c r="EA291" s="269">
        <f t="shared" si="809"/>
        <v>29707112.403250664</v>
      </c>
      <c r="EB291" s="196">
        <f>'Detailed Budget'!$AC$200</f>
        <v>4683135004.5951529</v>
      </c>
      <c r="EC291" s="269">
        <f t="shared" si="810"/>
        <v>7426778.1008126661</v>
      </c>
      <c r="ED291" s="269">
        <f t="shared" si="734"/>
        <v>37133890.504063331</v>
      </c>
      <c r="EE291" s="196">
        <f>'Detailed Budget'!$AC$161</f>
        <v>251147290106.36197</v>
      </c>
      <c r="EF291" s="269">
        <f t="shared" si="811"/>
        <v>297050747.79842156</v>
      </c>
      <c r="EG291" s="196">
        <f>'Detailed Budget'!$AC$163</f>
        <v>15696705631.647623</v>
      </c>
      <c r="EH291" s="269">
        <f t="shared" si="812"/>
        <v>18565671.737401348</v>
      </c>
      <c r="EI291" s="269">
        <f t="shared" si="737"/>
        <v>315616419.53582293</v>
      </c>
      <c r="EJ291" s="196">
        <f>'Detailed Budget'!$AC$204</f>
        <v>45012172507.531975</v>
      </c>
      <c r="EK291" s="269">
        <f t="shared" si="813"/>
        <v>56318221.672857203</v>
      </c>
      <c r="EL291" s="201">
        <f>'Detailed Budget'!$AC$206</f>
        <v>11253043126.882994</v>
      </c>
      <c r="EM291" s="269">
        <f t="shared" si="814"/>
        <v>14079555.418214301</v>
      </c>
      <c r="EN291" s="269">
        <f t="shared" si="740"/>
        <v>70397777.091071501</v>
      </c>
      <c r="EO291" s="140">
        <f>'Detailed Budget'!$AC$209</f>
        <v>135789361677.54817</v>
      </c>
      <c r="EP291" s="269">
        <f t="shared" si="815"/>
        <v>180858495.34458476</v>
      </c>
      <c r="EQ291" s="196">
        <f>'Detailed Budget'!$AC$211</f>
        <v>33947340419.387043</v>
      </c>
      <c r="ER291" s="269">
        <f t="shared" si="816"/>
        <v>45214623.836146191</v>
      </c>
      <c r="ES291" s="269">
        <f t="shared" si="743"/>
        <v>226073119.18073094</v>
      </c>
      <c r="ET291" s="196">
        <f>'Detailed Budget'!$AC$214</f>
        <v>22239745544.201103</v>
      </c>
      <c r="EU291" s="269">
        <f t="shared" si="817"/>
        <v>28767260.711080171</v>
      </c>
      <c r="EV291" s="140">
        <f>'Detailed Budget'!$AC$217</f>
        <v>5559936386.0502758</v>
      </c>
      <c r="EW291" s="269">
        <f t="shared" si="818"/>
        <v>7191815.1777700428</v>
      </c>
      <c r="EX291" s="269">
        <f t="shared" si="746"/>
        <v>35959075.888850212</v>
      </c>
      <c r="EY291" s="196">
        <f>'Detailed Budget'!$AC$219</f>
        <v>372777004.58170313</v>
      </c>
      <c r="EZ291" s="269">
        <f t="shared" si="819"/>
        <v>504791.29309676605</v>
      </c>
      <c r="FA291" s="196">
        <f>'Detailed Budget'!$AC$222</f>
        <v>93194251.145425782</v>
      </c>
      <c r="FB291" s="269">
        <f t="shared" si="820"/>
        <v>126197.82327419151</v>
      </c>
      <c r="FC291" s="269">
        <f t="shared" si="749"/>
        <v>630989.11637095758</v>
      </c>
      <c r="FD291" s="269"/>
      <c r="FE291" s="269">
        <f t="shared" si="750"/>
        <v>333060961.27702361</v>
      </c>
      <c r="FF291" s="140">
        <f>'Detailed Budget'!$AC$165</f>
        <v>14927760000</v>
      </c>
      <c r="FG291" s="1087">
        <f t="shared" si="788"/>
        <v>454317197.7703135</v>
      </c>
      <c r="FH291" s="269">
        <f t="shared" si="821"/>
        <v>18657579.820474949</v>
      </c>
      <c r="FJ291" s="140">
        <f>'Detailed Budget'!$AC$235</f>
        <v>3623696172</v>
      </c>
      <c r="FK291" s="269">
        <f t="shared" si="822"/>
        <v>4681778</v>
      </c>
      <c r="FL291" s="269">
        <f t="shared" si="789"/>
        <v>4681778</v>
      </c>
      <c r="FO291" s="607"/>
      <c r="FP291" s="607"/>
      <c r="FQ291" s="607"/>
      <c r="FR291" s="269">
        <f>'Detailed Budget'!$AC$257</f>
        <v>13636439388</v>
      </c>
      <c r="FS291" s="269">
        <f t="shared" si="823"/>
        <v>10493028</v>
      </c>
      <c r="FT291" s="269">
        <f t="shared" si="790"/>
        <v>10493028</v>
      </c>
      <c r="FU291" s="269"/>
      <c r="FV291" s="269"/>
      <c r="FW291" s="269"/>
      <c r="FX291" s="140">
        <f>'Detailed Budget'!$AC$278</f>
        <v>1114560000</v>
      </c>
      <c r="FY291" s="269">
        <f t="shared" si="824"/>
        <v>1440000</v>
      </c>
      <c r="FZ291" s="269">
        <f t="shared" si="791"/>
        <v>1440000</v>
      </c>
      <c r="GB291" s="269">
        <f t="shared" si="799"/>
        <v>1645158208.6468801</v>
      </c>
      <c r="GC291" s="887">
        <f t="shared" si="753"/>
        <v>1028223.8804043001</v>
      </c>
      <c r="GD291" s="1078">
        <f t="shared" si="800"/>
        <v>9.2315007542797839E-4</v>
      </c>
    </row>
    <row r="292" spans="1:186" outlineLevel="1">
      <c r="A292" s="211" t="s">
        <v>733</v>
      </c>
      <c r="B292" s="212" t="s">
        <v>734</v>
      </c>
      <c r="C292" s="213" t="s">
        <v>215</v>
      </c>
      <c r="D292" s="214"/>
      <c r="E292" s="213"/>
      <c r="F292" s="213"/>
      <c r="G292" s="213"/>
      <c r="H292" s="213" t="s">
        <v>215</v>
      </c>
      <c r="I292" s="214" t="s">
        <v>215</v>
      </c>
      <c r="J292" s="214"/>
      <c r="K292" s="213" t="s">
        <v>215</v>
      </c>
      <c r="L292" s="213"/>
      <c r="M292" s="214"/>
      <c r="N292" s="213"/>
      <c r="O292" s="214"/>
      <c r="P292" s="213"/>
      <c r="Q292" s="214"/>
      <c r="R292" s="214" t="s">
        <v>215</v>
      </c>
      <c r="S292" s="214"/>
      <c r="T292" s="214"/>
      <c r="U292" s="215">
        <f t="shared" si="830"/>
        <v>5</v>
      </c>
      <c r="V292" s="845" t="s">
        <v>467</v>
      </c>
      <c r="W292" s="216">
        <v>164791</v>
      </c>
      <c r="X292" s="217">
        <v>2.91</v>
      </c>
      <c r="Y292" s="218">
        <f t="shared" si="826"/>
        <v>1.0290999999999999</v>
      </c>
      <c r="Z292" s="196">
        <v>19</v>
      </c>
      <c r="AA292" s="218">
        <f t="shared" si="827"/>
        <v>1.7246222540408234</v>
      </c>
      <c r="AB292" s="196">
        <f t="shared" si="828"/>
        <v>284202.22586564132</v>
      </c>
      <c r="AC292">
        <v>20.100000000000001</v>
      </c>
      <c r="AD292" s="196">
        <f t="shared" si="829"/>
        <v>57124.647398993911</v>
      </c>
      <c r="AE292" s="196">
        <f t="shared" si="849"/>
        <v>54268.415029044212</v>
      </c>
      <c r="AF292" s="196">
        <f t="shared" si="831"/>
        <v>54268.415029044212</v>
      </c>
      <c r="AG292" s="606">
        <f t="shared" si="756"/>
        <v>2.5091332681370028E-3</v>
      </c>
      <c r="AH292" s="196">
        <f t="shared" si="846"/>
        <v>14210.111293282067</v>
      </c>
      <c r="AI292" s="248">
        <f t="shared" si="715"/>
        <v>1.1008357914689432E-3</v>
      </c>
      <c r="AJ292" s="196">
        <f t="shared" si="757"/>
        <v>71334.75869227598</v>
      </c>
      <c r="AK292" s="196">
        <f t="shared" si="785"/>
        <v>11368.089034625653</v>
      </c>
      <c r="AL292" s="196">
        <f t="shared" si="786"/>
        <v>11368.089034625653</v>
      </c>
      <c r="AM292" s="196">
        <f t="shared" si="716"/>
        <v>22736.178069251306</v>
      </c>
      <c r="AN292" s="627">
        <f t="shared" si="717"/>
        <v>1.1008357914689432E-3</v>
      </c>
      <c r="AO292" s="196">
        <f t="shared" si="718"/>
        <v>10799.68458289437</v>
      </c>
      <c r="AP292" s="589">
        <f t="shared" si="758"/>
        <v>1.1008357914689432E-3</v>
      </c>
      <c r="AQ292" s="196"/>
      <c r="AR292" s="589"/>
      <c r="AS292">
        <v>1</v>
      </c>
      <c r="AT292" s="589">
        <f t="shared" si="759"/>
        <v>1.2919896640826874E-3</v>
      </c>
      <c r="AU292" s="196">
        <v>11</v>
      </c>
      <c r="AV292" s="245">
        <f t="shared" si="719"/>
        <v>1.2498579706851495E-3</v>
      </c>
      <c r="AX292" s="245"/>
      <c r="AY292" s="245"/>
      <c r="AZ292" s="196">
        <v>31</v>
      </c>
      <c r="BA292" s="589">
        <f t="shared" si="793"/>
        <v>1.1359056099080284E-3</v>
      </c>
      <c r="BI292" s="196">
        <v>0</v>
      </c>
      <c r="BK292" s="246">
        <f t="shared" si="794"/>
        <v>0</v>
      </c>
      <c r="BL292" s="246"/>
      <c r="BM292" s="246">
        <f t="shared" si="795"/>
        <v>0</v>
      </c>
      <c r="BN292" s="196">
        <v>1</v>
      </c>
      <c r="BO292" s="196">
        <f t="shared" si="832"/>
        <v>24128.857211885897</v>
      </c>
      <c r="BP292" s="196">
        <f t="shared" si="762"/>
        <v>24128.857211885897</v>
      </c>
      <c r="BQ292" s="248">
        <f t="shared" si="796"/>
        <v>2.2571422301645655E-3</v>
      </c>
      <c r="BR292" s="248"/>
      <c r="BS292" s="248"/>
      <c r="BT292" s="276">
        <v>1</v>
      </c>
      <c r="BU292" s="196">
        <f t="shared" si="847"/>
        <v>47710.505507639704</v>
      </c>
      <c r="BV292" s="264">
        <f t="shared" si="797"/>
        <v>3.3092910331883971E-3</v>
      </c>
      <c r="BW292" s="196">
        <f t="shared" si="848"/>
        <v>204094.94022712542</v>
      </c>
      <c r="BX292" s="247">
        <f t="shared" si="798"/>
        <v>3.3092910629986178E-3</v>
      </c>
      <c r="BY292" s="196">
        <f t="shared" si="833"/>
        <v>251805.44573476512</v>
      </c>
      <c r="BZ292" s="620">
        <v>0</v>
      </c>
      <c r="CA292" s="196">
        <f t="shared" si="834"/>
        <v>86965.881114886259</v>
      </c>
      <c r="CB292" s="196">
        <f t="shared" si="835"/>
        <v>173931.76222977252</v>
      </c>
      <c r="CC292" s="196">
        <f t="shared" si="765"/>
        <v>260897.64334465878</v>
      </c>
      <c r="CD292" s="247">
        <f t="shared" si="720"/>
        <v>1.1008357914689434E-3</v>
      </c>
      <c r="CE292" s="196">
        <f t="shared" si="836"/>
        <v>34179.857063380332</v>
      </c>
      <c r="CF292" s="247">
        <f t="shared" si="721"/>
        <v>1.4759925254951066E-3</v>
      </c>
      <c r="CG292" s="196">
        <f t="shared" si="803"/>
        <v>43198.738331577479</v>
      </c>
      <c r="CH292" s="589">
        <f t="shared" si="767"/>
        <v>1.1008357914689432E-3</v>
      </c>
      <c r="CI292" s="196">
        <f t="shared" si="837"/>
        <v>70833.320324242552</v>
      </c>
      <c r="CJ292" s="248">
        <f t="shared" si="769"/>
        <v>1.1644996063318084E-3</v>
      </c>
      <c r="CK292" s="196">
        <f t="shared" si="838"/>
        <v>86234.189683012199</v>
      </c>
      <c r="CL292" s="589">
        <f t="shared" si="771"/>
        <v>1.2396342143093644E-3</v>
      </c>
      <c r="CM292" s="196">
        <f t="shared" si="839"/>
        <v>8353.930394656858</v>
      </c>
      <c r="CN292" s="589">
        <f t="shared" si="773"/>
        <v>1.2038963093737897E-3</v>
      </c>
      <c r="CO292" s="196">
        <f t="shared" si="840"/>
        <v>668.30838558466598</v>
      </c>
      <c r="CP292" s="589">
        <f t="shared" si="775"/>
        <v>1.2603266767710281E-3</v>
      </c>
      <c r="CQ292" s="196">
        <f>'Detailed Budget'!$AC$12</f>
        <v>292876014141.44696</v>
      </c>
      <c r="CR292" s="269">
        <f t="shared" si="724"/>
        <v>0</v>
      </c>
      <c r="CS292" s="269">
        <f>'Detailed Budget'!$AC$16</f>
        <v>10488008800.000002</v>
      </c>
      <c r="CT292" s="607">
        <f t="shared" si="804"/>
        <v>0</v>
      </c>
      <c r="CU292" s="269">
        <f>'Detailed Budget'!$AC$24</f>
        <v>30624985696</v>
      </c>
      <c r="CV292" s="269">
        <f t="shared" si="792"/>
        <v>0</v>
      </c>
      <c r="CW292" s="269"/>
      <c r="CX292" s="269">
        <f t="shared" si="776"/>
        <v>0</v>
      </c>
      <c r="CY292" s="196">
        <f>'Detailed Budget'!$AC$97</f>
        <v>74629165494.837845</v>
      </c>
      <c r="CZ292" s="269">
        <f t="shared" si="805"/>
        <v>168448641.04033872</v>
      </c>
      <c r="DA292" s="269">
        <f>'Detailed Budget'!$AC$100</f>
        <v>14925833098.967569</v>
      </c>
      <c r="DB292" s="269">
        <f t="shared" si="806"/>
        <v>33689728.208067745</v>
      </c>
      <c r="DC292" s="269">
        <f t="shared" si="728"/>
        <v>202138369.24840647</v>
      </c>
      <c r="DD292" s="207">
        <v>0</v>
      </c>
      <c r="DE292" s="606">
        <v>0</v>
      </c>
      <c r="DF292" s="269">
        <f>'Detailed Budget'!$AC$147</f>
        <v>5913600671000</v>
      </c>
      <c r="DG292" s="269">
        <f t="shared" si="787"/>
        <v>0</v>
      </c>
      <c r="DH292" s="269">
        <f>'Detailed Budget'!$AC$153</f>
        <v>226428026880.00003</v>
      </c>
      <c r="DI292" s="269"/>
      <c r="DJ292" s="269">
        <f>'Detailed Budget'!$AC$156</f>
        <v>27713070000</v>
      </c>
      <c r="DK292" s="269"/>
      <c r="DL292" s="269"/>
      <c r="DM292" s="196">
        <f>'Detailed Budget'!$AC$178</f>
        <v>5622683761.6229038</v>
      </c>
      <c r="DN292" s="269">
        <f t="shared" si="841"/>
        <v>18607096.954792682</v>
      </c>
      <c r="DO292" s="196">
        <f>'Detailed Budget'!$AC$179</f>
        <v>26827890683.128094</v>
      </c>
      <c r="DP292" s="269">
        <f t="shared" si="842"/>
        <v>88781298.87677969</v>
      </c>
      <c r="DQ292" s="269">
        <f t="shared" si="843"/>
        <v>107388395.83157237</v>
      </c>
      <c r="DR292" s="269">
        <f>'Detailed Budget'!$AC$181</f>
        <v>50888946855.375237</v>
      </c>
      <c r="DS292" s="269">
        <f t="shared" si="844"/>
        <v>127687149.53527792</v>
      </c>
      <c r="DT292" s="269">
        <f t="shared" si="845"/>
        <v>235075545.36685029</v>
      </c>
      <c r="DU292" s="272">
        <f>'Detailed Budget'!$AC$192</f>
        <v>77498869683.252869</v>
      </c>
      <c r="DV292" s="269">
        <f t="shared" si="807"/>
        <v>0</v>
      </c>
      <c r="DW292" s="140">
        <f>'Detailed Budget'!$AC$194</f>
        <v>2684962805.4134097</v>
      </c>
      <c r="DX292" s="269">
        <f t="shared" si="808"/>
        <v>0</v>
      </c>
      <c r="DY292" s="607">
        <f t="shared" si="731"/>
        <v>0</v>
      </c>
      <c r="DZ292" s="196">
        <f>'Detailed Budget'!$AC$198</f>
        <v>18732540018.380611</v>
      </c>
      <c r="EA292" s="269">
        <f t="shared" si="809"/>
        <v>27649089.050667748</v>
      </c>
      <c r="EB292" s="196">
        <f>'Detailed Budget'!$AC$200</f>
        <v>4683135004.5951529</v>
      </c>
      <c r="EC292" s="269">
        <f t="shared" si="810"/>
        <v>6912272.262666937</v>
      </c>
      <c r="ED292" s="269">
        <f t="shared" si="734"/>
        <v>34561361.313334689</v>
      </c>
      <c r="EE292" s="196">
        <f>'Detailed Budget'!$AC$161</f>
        <v>251147290106.36197</v>
      </c>
      <c r="EF292" s="269">
        <f t="shared" si="811"/>
        <v>276471925.87951726</v>
      </c>
      <c r="EG292" s="196">
        <f>'Detailed Budget'!$AC$163</f>
        <v>15696705631.647623</v>
      </c>
      <c r="EH292" s="269">
        <f t="shared" si="812"/>
        <v>17279495.367469829</v>
      </c>
      <c r="EI292" s="269">
        <f t="shared" si="737"/>
        <v>293751421.2469871</v>
      </c>
      <c r="EJ292" s="196">
        <f>'Detailed Budget'!$AC$204</f>
        <v>45012172507.531975</v>
      </c>
      <c r="EK292" s="269">
        <f t="shared" si="813"/>
        <v>52416657.165160432</v>
      </c>
      <c r="EL292" s="201">
        <f>'Detailed Budget'!$AC$206</f>
        <v>11253043126.882994</v>
      </c>
      <c r="EM292" s="269">
        <f t="shared" si="814"/>
        <v>13104164.291290108</v>
      </c>
      <c r="EN292" s="269">
        <f t="shared" si="740"/>
        <v>65520821.456450537</v>
      </c>
      <c r="EO292" s="140">
        <f>'Detailed Budget'!$AC$209</f>
        <v>135789361677.54817</v>
      </c>
      <c r="EP292" s="269">
        <f t="shared" si="815"/>
        <v>168329138.67471755</v>
      </c>
      <c r="EQ292" s="196">
        <f>'Detailed Budget'!$AC$211</f>
        <v>33947340419.387043</v>
      </c>
      <c r="ER292" s="269">
        <f t="shared" si="816"/>
        <v>42082284.668679386</v>
      </c>
      <c r="ES292" s="269">
        <f t="shared" si="743"/>
        <v>210411423.34339693</v>
      </c>
      <c r="ET292" s="196">
        <f>'Detailed Budget'!$AC$214</f>
        <v>22239745544.201103</v>
      </c>
      <c r="EU292" s="269">
        <f t="shared" si="817"/>
        <v>26774347.582075894</v>
      </c>
      <c r="EV292" s="140">
        <f>'Detailed Budget'!$AC$217</f>
        <v>5559936386.0502758</v>
      </c>
      <c r="EW292" s="269">
        <f t="shared" si="818"/>
        <v>6693586.8955189735</v>
      </c>
      <c r="EX292" s="269">
        <f t="shared" si="746"/>
        <v>33467934.477594867</v>
      </c>
      <c r="EY292" s="196">
        <f>'Detailed Budget'!$AC$219</f>
        <v>372777004.58170313</v>
      </c>
      <c r="EZ292" s="269">
        <f t="shared" si="819"/>
        <v>469820.80336111621</v>
      </c>
      <c r="FA292" s="196">
        <f>'Detailed Budget'!$AC$222</f>
        <v>93194251.145425782</v>
      </c>
      <c r="FB292" s="269">
        <f t="shared" si="820"/>
        <v>117455.20084027905</v>
      </c>
      <c r="FC292" s="269">
        <f t="shared" si="749"/>
        <v>587276.0042013952</v>
      </c>
      <c r="FD292" s="269"/>
      <c r="FE292" s="269">
        <f t="shared" si="750"/>
        <v>309987455.28164375</v>
      </c>
      <c r="FF292" s="140">
        <f>'Detailed Budget'!$AC$165</f>
        <v>14927760000</v>
      </c>
      <c r="FG292" s="1087">
        <f t="shared" si="788"/>
        <v>422843408.26834148</v>
      </c>
      <c r="FH292" s="269">
        <f t="shared" si="821"/>
        <v>18657579.820474949</v>
      </c>
      <c r="FJ292" s="140">
        <f>'Detailed Budget'!$AC$235</f>
        <v>3623696172</v>
      </c>
      <c r="FK292" s="269">
        <f t="shared" si="822"/>
        <v>4681778</v>
      </c>
      <c r="FL292" s="269">
        <f t="shared" si="789"/>
        <v>4681778</v>
      </c>
      <c r="FO292" s="607"/>
      <c r="FP292" s="607"/>
      <c r="FQ292" s="607"/>
      <c r="FR292" s="269">
        <f>'Detailed Budget'!$AC$257</f>
        <v>13636439388</v>
      </c>
      <c r="FS292" s="269">
        <f t="shared" si="823"/>
        <v>15489708.000000002</v>
      </c>
      <c r="FT292" s="269">
        <f t="shared" si="790"/>
        <v>15489708.000000002</v>
      </c>
      <c r="FU292" s="269"/>
      <c r="FV292" s="269"/>
      <c r="FW292" s="269"/>
      <c r="FX292" s="140">
        <f>'Detailed Budget'!$AC$278</f>
        <v>1114560000</v>
      </c>
      <c r="FY292" s="269">
        <f t="shared" si="824"/>
        <v>1440000</v>
      </c>
      <c r="FZ292" s="269">
        <f t="shared" si="791"/>
        <v>1440000</v>
      </c>
      <c r="GB292" s="269">
        <f t="shared" si="799"/>
        <v>1538626626.5460389</v>
      </c>
      <c r="GC292" s="887">
        <f t="shared" si="753"/>
        <v>961641.6415912743</v>
      </c>
      <c r="GD292" s="1078">
        <f t="shared" si="800"/>
        <v>8.6337185012723926E-4</v>
      </c>
    </row>
    <row r="293" spans="1:186" outlineLevel="1">
      <c r="A293" s="211" t="s">
        <v>735</v>
      </c>
      <c r="B293" s="212" t="s">
        <v>736</v>
      </c>
      <c r="C293" s="213" t="s">
        <v>215</v>
      </c>
      <c r="D293" s="214"/>
      <c r="E293" s="213"/>
      <c r="F293" s="213"/>
      <c r="G293" s="213"/>
      <c r="H293" s="213" t="s">
        <v>215</v>
      </c>
      <c r="I293" s="214" t="s">
        <v>215</v>
      </c>
      <c r="J293" s="214"/>
      <c r="K293" s="213" t="s">
        <v>215</v>
      </c>
      <c r="L293" s="213"/>
      <c r="M293" s="214"/>
      <c r="N293" s="213"/>
      <c r="O293" s="214"/>
      <c r="P293" s="213"/>
      <c r="Q293" s="214"/>
      <c r="R293" s="214" t="s">
        <v>215</v>
      </c>
      <c r="S293" s="214"/>
      <c r="T293" s="214"/>
      <c r="U293" s="215">
        <f t="shared" si="830"/>
        <v>5</v>
      </c>
      <c r="V293" s="845" t="s">
        <v>467</v>
      </c>
      <c r="W293" s="216">
        <v>127876</v>
      </c>
      <c r="X293" s="217">
        <v>2.91</v>
      </c>
      <c r="Y293" s="218">
        <f t="shared" si="826"/>
        <v>1.0290999999999999</v>
      </c>
      <c r="Z293" s="196">
        <v>19</v>
      </c>
      <c r="AA293" s="218">
        <f t="shared" si="827"/>
        <v>1.7246222540408234</v>
      </c>
      <c r="AB293" s="196">
        <f t="shared" si="828"/>
        <v>220537.79535772433</v>
      </c>
      <c r="AC293">
        <v>20.100000000000001</v>
      </c>
      <c r="AD293" s="196">
        <f t="shared" si="829"/>
        <v>44328.096866902597</v>
      </c>
      <c r="AE293" s="196">
        <f t="shared" si="849"/>
        <v>42111.692023557465</v>
      </c>
      <c r="AF293" s="196">
        <f t="shared" si="831"/>
        <v>42111.692023557465</v>
      </c>
      <c r="AG293" s="606">
        <f t="shared" si="756"/>
        <v>1.9470597653772803E-3</v>
      </c>
      <c r="AH293" s="196">
        <f t="shared" si="846"/>
        <v>11026.889767886218</v>
      </c>
      <c r="AI293" s="248">
        <f t="shared" si="715"/>
        <v>8.5423644294823503E-4</v>
      </c>
      <c r="AJ293" s="196">
        <f t="shared" si="757"/>
        <v>55354.986634788816</v>
      </c>
      <c r="AK293" s="196">
        <f t="shared" si="785"/>
        <v>8821.511814308973</v>
      </c>
      <c r="AL293" s="196">
        <f t="shared" si="786"/>
        <v>8821.511814308973</v>
      </c>
      <c r="AM293" s="196">
        <f t="shared" si="716"/>
        <v>17643.023628617946</v>
      </c>
      <c r="AN293" s="627">
        <f t="shared" si="717"/>
        <v>8.5423644294823492E-4</v>
      </c>
      <c r="AO293" s="196">
        <f t="shared" si="718"/>
        <v>8380.4362235935241</v>
      </c>
      <c r="AP293" s="589">
        <f t="shared" si="758"/>
        <v>8.5423644294823481E-4</v>
      </c>
      <c r="AQ293" s="196"/>
      <c r="AR293" s="589"/>
      <c r="AS293">
        <v>1</v>
      </c>
      <c r="AT293" s="589">
        <f t="shared" si="759"/>
        <v>1.2919896640826874E-3</v>
      </c>
      <c r="AU293" s="196">
        <v>10</v>
      </c>
      <c r="AV293" s="245">
        <f t="shared" si="719"/>
        <v>1.1362345188046814E-3</v>
      </c>
      <c r="AX293" s="245"/>
      <c r="AY293" s="245"/>
      <c r="AZ293" s="196">
        <v>25</v>
      </c>
      <c r="BA293" s="589">
        <f t="shared" si="793"/>
        <v>9.1605291121615189E-4</v>
      </c>
      <c r="BI293" s="196">
        <v>0</v>
      </c>
      <c r="BK293" s="246">
        <f t="shared" si="794"/>
        <v>0</v>
      </c>
      <c r="BL293" s="246"/>
      <c r="BM293" s="246">
        <f t="shared" si="795"/>
        <v>0</v>
      </c>
      <c r="BN293" s="196">
        <v>1</v>
      </c>
      <c r="BO293" s="196">
        <f t="shared" si="832"/>
        <v>18723.727295951361</v>
      </c>
      <c r="BP293" s="196">
        <f t="shared" si="762"/>
        <v>18723.727295951361</v>
      </c>
      <c r="BQ293" s="248">
        <f t="shared" si="796"/>
        <v>1.7515174968567699E-3</v>
      </c>
      <c r="BR293" s="248"/>
      <c r="BS293" s="248"/>
      <c r="BT293" s="276">
        <v>1</v>
      </c>
      <c r="BU293" s="196">
        <f t="shared" si="847"/>
        <v>37022.826503237047</v>
      </c>
      <c r="BV293" s="264">
        <f t="shared" si="797"/>
        <v>2.5679733733031513E-3</v>
      </c>
      <c r="BW293" s="196">
        <f t="shared" si="848"/>
        <v>158375.42448606959</v>
      </c>
      <c r="BX293" s="247">
        <f t="shared" si="798"/>
        <v>2.5679733964355535E-3</v>
      </c>
      <c r="BY293" s="196">
        <f t="shared" si="833"/>
        <v>195398.25098930663</v>
      </c>
      <c r="BZ293" s="620">
        <v>0</v>
      </c>
      <c r="CA293" s="196">
        <f t="shared" si="834"/>
        <v>67484.565379463646</v>
      </c>
      <c r="CB293" s="196">
        <f t="shared" si="835"/>
        <v>134969.13075892729</v>
      </c>
      <c r="CC293" s="196">
        <f t="shared" si="765"/>
        <v>202453.69613839092</v>
      </c>
      <c r="CD293" s="247">
        <f t="shared" si="720"/>
        <v>8.5423644294823481E-4</v>
      </c>
      <c r="CE293" s="196">
        <f t="shared" si="836"/>
        <v>26523.192418498726</v>
      </c>
      <c r="CF293" s="247">
        <f t="shared" si="721"/>
        <v>1.1453539343180893E-3</v>
      </c>
      <c r="CG293" s="196">
        <f t="shared" si="803"/>
        <v>33521.744894374096</v>
      </c>
      <c r="CH293" s="589">
        <f t="shared" si="767"/>
        <v>8.5423644294823481E-4</v>
      </c>
      <c r="CI293" s="196">
        <f t="shared" si="837"/>
        <v>54965.875987055369</v>
      </c>
      <c r="CJ293" s="248">
        <f t="shared" si="769"/>
        <v>9.0363886170534999E-4</v>
      </c>
      <c r="CK293" s="196">
        <f t="shared" si="838"/>
        <v>66916.780891583097</v>
      </c>
      <c r="CL293" s="589">
        <f t="shared" si="771"/>
        <v>9.6194248951110377E-4</v>
      </c>
      <c r="CM293" s="196">
        <f t="shared" si="839"/>
        <v>6482.5579257795671</v>
      </c>
      <c r="CN293" s="589">
        <f t="shared" si="773"/>
        <v>9.3421026911349992E-4</v>
      </c>
      <c r="CO293" s="196">
        <f t="shared" si="840"/>
        <v>518.59994244239533</v>
      </c>
      <c r="CP293" s="589">
        <f t="shared" si="775"/>
        <v>9.7799961235001923E-4</v>
      </c>
      <c r="CQ293" s="196">
        <f>'Detailed Budget'!$AC$12</f>
        <v>292876014141.44696</v>
      </c>
      <c r="CR293" s="269">
        <f t="shared" si="724"/>
        <v>0</v>
      </c>
      <c r="CS293" s="269">
        <f>'Detailed Budget'!$AC$16</f>
        <v>10488008800.000002</v>
      </c>
      <c r="CT293" s="607">
        <f t="shared" si="804"/>
        <v>0</v>
      </c>
      <c r="CU293" s="269">
        <f>'Detailed Budget'!$AC$24</f>
        <v>30624985696</v>
      </c>
      <c r="CV293" s="269">
        <f t="shared" si="792"/>
        <v>0</v>
      </c>
      <c r="CW293" s="269"/>
      <c r="CX293" s="269">
        <f t="shared" si="776"/>
        <v>0</v>
      </c>
      <c r="CY293" s="196">
        <f>'Detailed Budget'!$AC$97</f>
        <v>74629165494.837845</v>
      </c>
      <c r="CZ293" s="269">
        <f t="shared" si="805"/>
        <v>130714289.140028</v>
      </c>
      <c r="DA293" s="269">
        <f>'Detailed Budget'!$AC$100</f>
        <v>14925833098.967569</v>
      </c>
      <c r="DB293" s="269">
        <f t="shared" si="806"/>
        <v>26142857.828005601</v>
      </c>
      <c r="DC293" s="269">
        <f t="shared" si="728"/>
        <v>156857146.96803361</v>
      </c>
      <c r="DD293" s="207">
        <v>0</v>
      </c>
      <c r="DE293" s="606">
        <v>0</v>
      </c>
      <c r="DF293" s="269">
        <f>'Detailed Budget'!$AC$147</f>
        <v>5913600671000</v>
      </c>
      <c r="DG293" s="269">
        <f t="shared" si="787"/>
        <v>0</v>
      </c>
      <c r="DH293" s="269">
        <f>'Detailed Budget'!$AC$153</f>
        <v>226428026880.00003</v>
      </c>
      <c r="DI293" s="269"/>
      <c r="DJ293" s="269">
        <f>'Detailed Budget'!$AC$156</f>
        <v>27713070000</v>
      </c>
      <c r="DK293" s="269"/>
      <c r="DL293" s="269"/>
      <c r="DM293" s="196">
        <f>'Detailed Budget'!$AC$178</f>
        <v>5622683761.6229038</v>
      </c>
      <c r="DN293" s="269">
        <f t="shared" si="841"/>
        <v>14438902.18635162</v>
      </c>
      <c r="DO293" s="196">
        <f>'Detailed Budget'!$AC$179</f>
        <v>26827890683.128094</v>
      </c>
      <c r="DP293" s="269">
        <f t="shared" si="842"/>
        <v>68893309.556754187</v>
      </c>
      <c r="DQ293" s="269">
        <f t="shared" si="843"/>
        <v>83332211.743105799</v>
      </c>
      <c r="DR293" s="269">
        <f>'Detailed Budget'!$AC$181</f>
        <v>50888946855.375237</v>
      </c>
      <c r="DS293" s="269">
        <f t="shared" si="844"/>
        <v>99083820.924523801</v>
      </c>
      <c r="DT293" s="269">
        <f t="shared" si="845"/>
        <v>182416032.6676296</v>
      </c>
      <c r="DU293" s="272">
        <f>'Detailed Budget'!$AC$192</f>
        <v>77498869683.252869</v>
      </c>
      <c r="DV293" s="269">
        <f t="shared" si="807"/>
        <v>0</v>
      </c>
      <c r="DW293" s="140">
        <f>'Detailed Budget'!$AC$194</f>
        <v>2684962805.4134097</v>
      </c>
      <c r="DX293" s="269">
        <f t="shared" si="808"/>
        <v>0</v>
      </c>
      <c r="DY293" s="607">
        <f t="shared" si="731"/>
        <v>0</v>
      </c>
      <c r="DZ293" s="196">
        <f>'Detailed Budget'!$AC$198</f>
        <v>18732540018.380611</v>
      </c>
      <c r="EA293" s="269">
        <f t="shared" si="809"/>
        <v>21455388.409823284</v>
      </c>
      <c r="EB293" s="196">
        <f>'Detailed Budget'!$AC$200</f>
        <v>4683135004.5951529</v>
      </c>
      <c r="EC293" s="269">
        <f t="shared" si="810"/>
        <v>5363847.1024558209</v>
      </c>
      <c r="ED293" s="269">
        <f t="shared" si="734"/>
        <v>26819235.512279104</v>
      </c>
      <c r="EE293" s="196">
        <f>'Detailed Budget'!$AC$161</f>
        <v>251147290106.36197</v>
      </c>
      <c r="EF293" s="269">
        <f t="shared" si="811"/>
        <v>214539167.75654706</v>
      </c>
      <c r="EG293" s="196">
        <f>'Detailed Budget'!$AC$163</f>
        <v>15696705631.647623</v>
      </c>
      <c r="EH293" s="269">
        <f t="shared" si="812"/>
        <v>13408697.984784191</v>
      </c>
      <c r="EI293" s="269">
        <f t="shared" si="737"/>
        <v>227947865.74133125</v>
      </c>
      <c r="EJ293" s="196">
        <f>'Detailed Budget'!$AC$204</f>
        <v>45012172507.531975</v>
      </c>
      <c r="EK293" s="269">
        <f t="shared" si="813"/>
        <v>40674748.327591047</v>
      </c>
      <c r="EL293" s="201">
        <f>'Detailed Budget'!$AC$206</f>
        <v>11253043126.882994</v>
      </c>
      <c r="EM293" s="269">
        <f t="shared" si="814"/>
        <v>10168687.081897762</v>
      </c>
      <c r="EN293" s="269">
        <f t="shared" si="740"/>
        <v>50843435.409488812</v>
      </c>
      <c r="EO293" s="140">
        <f>'Detailed Budget'!$AC$209</f>
        <v>135789361677.54817</v>
      </c>
      <c r="EP293" s="269">
        <f t="shared" si="815"/>
        <v>130621556.62122436</v>
      </c>
      <c r="EQ293" s="196">
        <f>'Detailed Budget'!$AC$211</f>
        <v>33947340419.387043</v>
      </c>
      <c r="ER293" s="269">
        <f t="shared" si="816"/>
        <v>32655389.15530609</v>
      </c>
      <c r="ES293" s="269">
        <f t="shared" si="743"/>
        <v>163276945.77653044</v>
      </c>
      <c r="ET293" s="196">
        <f>'Detailed Budget'!$AC$214</f>
        <v>22239745544.201103</v>
      </c>
      <c r="EU293" s="269">
        <f t="shared" si="817"/>
        <v>20776598.669863872</v>
      </c>
      <c r="EV293" s="140">
        <f>'Detailed Budget'!$AC$217</f>
        <v>5559936386.0502758</v>
      </c>
      <c r="EW293" s="269">
        <f t="shared" si="818"/>
        <v>5194149.6674659681</v>
      </c>
      <c r="EX293" s="269">
        <f t="shared" si="746"/>
        <v>25970748.337329842</v>
      </c>
      <c r="EY293" s="196">
        <f>'Detailed Budget'!$AC$219</f>
        <v>372777004.58170313</v>
      </c>
      <c r="EZ293" s="269">
        <f t="shared" si="819"/>
        <v>364575.76597390702</v>
      </c>
      <c r="FA293" s="196">
        <f>'Detailed Budget'!$AC$222</f>
        <v>93194251.145425782</v>
      </c>
      <c r="FB293" s="269">
        <f t="shared" si="820"/>
        <v>91143.941493476756</v>
      </c>
      <c r="FC293" s="269">
        <f t="shared" si="749"/>
        <v>455719.70746738376</v>
      </c>
      <c r="FD293" s="269"/>
      <c r="FE293" s="269">
        <f t="shared" si="750"/>
        <v>240546849.23081645</v>
      </c>
      <c r="FF293" s="140">
        <f>'Detailed Budget'!$AC$165</f>
        <v>14927760000</v>
      </c>
      <c r="FG293" s="1087">
        <f t="shared" si="788"/>
        <v>328121825.07371414</v>
      </c>
      <c r="FH293" s="269">
        <f t="shared" si="821"/>
        <v>16961436.200431772</v>
      </c>
      <c r="FJ293" s="140">
        <f>'Detailed Budget'!$AC$235</f>
        <v>3623696172</v>
      </c>
      <c r="FK293" s="269">
        <f t="shared" si="822"/>
        <v>4681778</v>
      </c>
      <c r="FL293" s="269">
        <f t="shared" si="789"/>
        <v>4681778</v>
      </c>
      <c r="FO293" s="607"/>
      <c r="FP293" s="607"/>
      <c r="FQ293" s="607"/>
      <c r="FR293" s="269">
        <f>'Detailed Budget'!$AC$257</f>
        <v>13636439388</v>
      </c>
      <c r="FS293" s="269">
        <f t="shared" si="823"/>
        <v>12491700</v>
      </c>
      <c r="FT293" s="269">
        <f t="shared" si="790"/>
        <v>12491700</v>
      </c>
      <c r="FU293" s="269"/>
      <c r="FV293" s="269"/>
      <c r="FW293" s="269"/>
      <c r="FX293" s="140">
        <f>'Detailed Budget'!$AC$278</f>
        <v>1114560000</v>
      </c>
      <c r="FY293" s="269">
        <f t="shared" si="824"/>
        <v>1440000</v>
      </c>
      <c r="FZ293" s="269">
        <f t="shared" si="791"/>
        <v>1440000</v>
      </c>
      <c r="GB293" s="269">
        <f t="shared" si="799"/>
        <v>1198283869.3942361</v>
      </c>
      <c r="GC293" s="887">
        <f t="shared" si="753"/>
        <v>748927.41837139754</v>
      </c>
      <c r="GD293" s="1078">
        <f t="shared" si="800"/>
        <v>6.7239481200124184E-4</v>
      </c>
    </row>
    <row r="294" spans="1:186" outlineLevel="1">
      <c r="A294" s="211" t="s">
        <v>737</v>
      </c>
      <c r="B294" s="212" t="s">
        <v>738</v>
      </c>
      <c r="C294" s="213" t="s">
        <v>215</v>
      </c>
      <c r="D294" s="214"/>
      <c r="E294" s="213"/>
      <c r="F294" s="213"/>
      <c r="G294" s="213"/>
      <c r="H294" s="213" t="s">
        <v>215</v>
      </c>
      <c r="I294" s="214" t="s">
        <v>215</v>
      </c>
      <c r="J294" s="214"/>
      <c r="K294" s="213" t="s">
        <v>215</v>
      </c>
      <c r="L294" s="213"/>
      <c r="M294" s="214"/>
      <c r="N294" s="213"/>
      <c r="O294" s="214"/>
      <c r="P294" s="213"/>
      <c r="Q294" s="214"/>
      <c r="R294" s="214" t="s">
        <v>215</v>
      </c>
      <c r="S294" s="214"/>
      <c r="T294" s="214"/>
      <c r="U294" s="215">
        <f t="shared" si="830"/>
        <v>5</v>
      </c>
      <c r="V294" s="845" t="s">
        <v>467</v>
      </c>
      <c r="W294" s="216">
        <v>192407</v>
      </c>
      <c r="X294" s="217">
        <v>2.91</v>
      </c>
      <c r="Y294" s="218">
        <f t="shared" si="826"/>
        <v>1.0290999999999999</v>
      </c>
      <c r="Z294" s="196">
        <v>19</v>
      </c>
      <c r="AA294" s="218">
        <f t="shared" si="827"/>
        <v>1.7246222540408234</v>
      </c>
      <c r="AB294" s="196">
        <f t="shared" si="828"/>
        <v>331829.3940332327</v>
      </c>
      <c r="AC294">
        <v>20.100000000000001</v>
      </c>
      <c r="AD294" s="196">
        <f t="shared" si="829"/>
        <v>66697.708200679772</v>
      </c>
      <c r="AE294" s="196">
        <f t="shared" si="849"/>
        <v>63362.822790645783</v>
      </c>
      <c r="AF294" s="196">
        <f t="shared" si="831"/>
        <v>63362.822790645783</v>
      </c>
      <c r="AG294" s="606">
        <f t="shared" si="756"/>
        <v>2.929618757835296E-3</v>
      </c>
      <c r="AH294" s="196">
        <f t="shared" si="846"/>
        <v>16591.469701661637</v>
      </c>
      <c r="AI294" s="248">
        <f t="shared" si="715"/>
        <v>1.2853160192556935E-3</v>
      </c>
      <c r="AJ294" s="196">
        <f t="shared" si="757"/>
        <v>83289.177902341413</v>
      </c>
      <c r="AK294" s="196">
        <f t="shared" si="785"/>
        <v>13273.175761329308</v>
      </c>
      <c r="AL294" s="196">
        <f t="shared" si="786"/>
        <v>13273.175761329308</v>
      </c>
      <c r="AM294" s="196">
        <f t="shared" si="716"/>
        <v>26546.351522658617</v>
      </c>
      <c r="AN294" s="627">
        <f t="shared" si="717"/>
        <v>1.2853160192556933E-3</v>
      </c>
      <c r="AO294" s="196">
        <f t="shared" si="718"/>
        <v>12609.516973262842</v>
      </c>
      <c r="AP294" s="589">
        <f t="shared" si="758"/>
        <v>1.2853160192556933E-3</v>
      </c>
      <c r="AQ294" s="196"/>
      <c r="AR294" s="589"/>
      <c r="AS294">
        <v>1</v>
      </c>
      <c r="AT294" s="589">
        <f t="shared" si="759"/>
        <v>1.2919896640826874E-3</v>
      </c>
      <c r="AU294" s="196">
        <v>10</v>
      </c>
      <c r="AV294" s="245">
        <f t="shared" si="719"/>
        <v>1.1362345188046814E-3</v>
      </c>
      <c r="AX294" s="245"/>
      <c r="AY294" s="245"/>
      <c r="AZ294" s="196">
        <v>33</v>
      </c>
      <c r="BA294" s="589">
        <f t="shared" si="793"/>
        <v>1.2091898428053204E-3</v>
      </c>
      <c r="BI294" s="196">
        <v>0</v>
      </c>
      <c r="BK294" s="246">
        <f t="shared" si="794"/>
        <v>0</v>
      </c>
      <c r="BL294" s="246"/>
      <c r="BM294" s="246">
        <f t="shared" si="795"/>
        <v>0</v>
      </c>
      <c r="BN294" s="196">
        <v>1</v>
      </c>
      <c r="BO294" s="196">
        <f t="shared" si="832"/>
        <v>28172.418576058943</v>
      </c>
      <c r="BP294" s="196">
        <f t="shared" si="762"/>
        <v>28172.418576058943</v>
      </c>
      <c r="BQ294" s="248">
        <f t="shared" si="796"/>
        <v>2.6353985659366926E-3</v>
      </c>
      <c r="BR294" s="248"/>
      <c r="BS294" s="248"/>
      <c r="BT294" s="276">
        <v>1</v>
      </c>
      <c r="BU294" s="196">
        <f t="shared" si="847"/>
        <v>55705.925889207741</v>
      </c>
      <c r="BV294" s="264">
        <f t="shared" si="797"/>
        <v>3.8638685354338525E-3</v>
      </c>
      <c r="BW294" s="196">
        <f t="shared" si="848"/>
        <v>238297.57185938867</v>
      </c>
      <c r="BX294" s="247">
        <f t="shared" si="798"/>
        <v>3.8638685702397282E-3</v>
      </c>
      <c r="BY294" s="196">
        <f t="shared" si="833"/>
        <v>294003.49774859642</v>
      </c>
      <c r="BZ294" s="620">
        <v>0</v>
      </c>
      <c r="CA294" s="196">
        <f t="shared" si="834"/>
        <v>101539.79457416922</v>
      </c>
      <c r="CB294" s="196">
        <f t="shared" si="835"/>
        <v>203079.58914833845</v>
      </c>
      <c r="CC294" s="196">
        <f t="shared" si="765"/>
        <v>304619.38372250769</v>
      </c>
      <c r="CD294" s="247">
        <f t="shared" si="720"/>
        <v>1.2853160192556935E-3</v>
      </c>
      <c r="CE294" s="196">
        <f t="shared" si="836"/>
        <v>39907.784757625239</v>
      </c>
      <c r="CF294" s="247">
        <f t="shared" si="721"/>
        <v>1.7233422568765104E-3</v>
      </c>
      <c r="CG294" s="196">
        <f t="shared" si="803"/>
        <v>50438.067893051368</v>
      </c>
      <c r="CH294" s="589">
        <f t="shared" si="767"/>
        <v>1.2853160192556933E-3</v>
      </c>
      <c r="CI294" s="196">
        <f t="shared" si="837"/>
        <v>82703.707506032093</v>
      </c>
      <c r="CJ294" s="248">
        <f t="shared" si="769"/>
        <v>1.3596487414694019E-3</v>
      </c>
      <c r="CK294" s="196">
        <f t="shared" si="838"/>
        <v>100685.48485256675</v>
      </c>
      <c r="CL294" s="589">
        <f t="shared" si="771"/>
        <v>1.4473745548763091E-3</v>
      </c>
      <c r="CM294" s="196">
        <f t="shared" si="839"/>
        <v>9753.8984862325142</v>
      </c>
      <c r="CN294" s="589">
        <f t="shared" si="773"/>
        <v>1.4056476215186678E-3</v>
      </c>
      <c r="CO294" s="196">
        <f t="shared" si="840"/>
        <v>780.30481971217375</v>
      </c>
      <c r="CP294" s="589">
        <f t="shared" si="775"/>
        <v>1.4715347009089282E-3</v>
      </c>
      <c r="CQ294" s="196">
        <f>'Detailed Budget'!$AC$12</f>
        <v>292876014141.44696</v>
      </c>
      <c r="CR294" s="269">
        <f t="shared" si="724"/>
        <v>0</v>
      </c>
      <c r="CS294" s="269">
        <f>'Detailed Budget'!$AC$16</f>
        <v>10488008800.000002</v>
      </c>
      <c r="CT294" s="607">
        <f t="shared" si="804"/>
        <v>0</v>
      </c>
      <c r="CU294" s="269">
        <f>'Detailed Budget'!$AC$24</f>
        <v>30624985696</v>
      </c>
      <c r="CV294" s="269">
        <f t="shared" si="792"/>
        <v>0</v>
      </c>
      <c r="CW294" s="269"/>
      <c r="CX294" s="269">
        <f t="shared" si="776"/>
        <v>0</v>
      </c>
      <c r="CY294" s="196">
        <f>'Detailed Budget'!$AC$97</f>
        <v>74629165494.837845</v>
      </c>
      <c r="CZ294" s="269">
        <f t="shared" si="805"/>
        <v>196677595.72214776</v>
      </c>
      <c r="DA294" s="269">
        <f>'Detailed Budget'!$AC$100</f>
        <v>14925833098.967569</v>
      </c>
      <c r="DB294" s="269">
        <f t="shared" si="806"/>
        <v>39335519.14442955</v>
      </c>
      <c r="DC294" s="269">
        <f t="shared" si="728"/>
        <v>236013114.86657733</v>
      </c>
      <c r="DD294" s="207">
        <v>0</v>
      </c>
      <c r="DE294" s="606">
        <v>0</v>
      </c>
      <c r="DF294" s="269">
        <f>'Detailed Budget'!$AC$147</f>
        <v>5913600671000</v>
      </c>
      <c r="DG294" s="269">
        <f t="shared" si="787"/>
        <v>0</v>
      </c>
      <c r="DH294" s="269">
        <f>'Detailed Budget'!$AC$153</f>
        <v>226428026880.00003</v>
      </c>
      <c r="DI294" s="269"/>
      <c r="DJ294" s="269">
        <f>'Detailed Budget'!$AC$156</f>
        <v>27713070000</v>
      </c>
      <c r="DK294" s="269"/>
      <c r="DL294" s="269"/>
      <c r="DM294" s="196">
        <f>'Detailed Budget'!$AC$178</f>
        <v>5622683761.6229038</v>
      </c>
      <c r="DN294" s="269">
        <f t="shared" si="841"/>
        <v>21725310.871229593</v>
      </c>
      <c r="DO294" s="196">
        <f>'Detailed Budget'!$AC$179</f>
        <v>26827890683.128094</v>
      </c>
      <c r="DP294" s="269">
        <f t="shared" si="842"/>
        <v>103659443.61636586</v>
      </c>
      <c r="DQ294" s="269">
        <f t="shared" si="843"/>
        <v>125384754.48759545</v>
      </c>
      <c r="DR294" s="269">
        <f>'Detailed Budget'!$AC$181</f>
        <v>50888946855.375237</v>
      </c>
      <c r="DS294" s="269">
        <f t="shared" si="844"/>
        <v>149085213.27399078</v>
      </c>
      <c r="DT294" s="269">
        <f t="shared" si="845"/>
        <v>274469967.76158625</v>
      </c>
      <c r="DU294" s="272">
        <f>'Detailed Budget'!$AC$192</f>
        <v>77498869683.252869</v>
      </c>
      <c r="DV294" s="269">
        <f t="shared" si="807"/>
        <v>0</v>
      </c>
      <c r="DW294" s="140">
        <f>'Detailed Budget'!$AC$194</f>
        <v>2684962805.4134097</v>
      </c>
      <c r="DX294" s="269">
        <f t="shared" si="808"/>
        <v>0</v>
      </c>
      <c r="DY294" s="607">
        <f t="shared" si="731"/>
        <v>0</v>
      </c>
      <c r="DZ294" s="196">
        <f>'Detailed Budget'!$AC$198</f>
        <v>18732540018.380611</v>
      </c>
      <c r="EA294" s="269">
        <f t="shared" si="809"/>
        <v>32282577.792305589</v>
      </c>
      <c r="EB294" s="196">
        <f>'Detailed Budget'!$AC$200</f>
        <v>4683135004.5951529</v>
      </c>
      <c r="EC294" s="269">
        <f t="shared" si="810"/>
        <v>8070644.4480763972</v>
      </c>
      <c r="ED294" s="269">
        <f t="shared" si="734"/>
        <v>40353222.240381986</v>
      </c>
      <c r="EE294" s="196">
        <f>'Detailed Budget'!$AC$161</f>
        <v>251147290106.36197</v>
      </c>
      <c r="EF294" s="269">
        <f t="shared" si="811"/>
        <v>322803635.16636395</v>
      </c>
      <c r="EG294" s="196">
        <f>'Detailed Budget'!$AC$163</f>
        <v>15696705631.647623</v>
      </c>
      <c r="EH294" s="269">
        <f t="shared" si="812"/>
        <v>20175227.197897747</v>
      </c>
      <c r="EI294" s="269">
        <f t="shared" si="737"/>
        <v>342978862.36426169</v>
      </c>
      <c r="EJ294" s="196">
        <f>'Detailed Budget'!$AC$204</f>
        <v>45012172507.531975</v>
      </c>
      <c r="EK294" s="269">
        <f t="shared" si="813"/>
        <v>61200743.70066946</v>
      </c>
      <c r="EL294" s="201">
        <f>'Detailed Budget'!$AC$206</f>
        <v>11253043126.882994</v>
      </c>
      <c r="EM294" s="269">
        <f t="shared" si="814"/>
        <v>15300185.925167365</v>
      </c>
      <c r="EN294" s="269">
        <f t="shared" si="740"/>
        <v>76500929.625836819</v>
      </c>
      <c r="EO294" s="140">
        <f>'Detailed Budget'!$AC$209</f>
        <v>135789361677.54817</v>
      </c>
      <c r="EP294" s="269">
        <f t="shared" si="815"/>
        <v>196538066.91497943</v>
      </c>
      <c r="EQ294" s="196">
        <f>'Detailed Budget'!$AC$211</f>
        <v>33947340419.387043</v>
      </c>
      <c r="ER294" s="269">
        <f t="shared" si="816"/>
        <v>49134516.728744857</v>
      </c>
      <c r="ES294" s="269">
        <f t="shared" si="743"/>
        <v>245672583.64372429</v>
      </c>
      <c r="ET294" s="196">
        <f>'Detailed Budget'!$AC$214</f>
        <v>22239745544.201103</v>
      </c>
      <c r="EU294" s="269">
        <f t="shared" si="817"/>
        <v>31261245.427386671</v>
      </c>
      <c r="EV294" s="140">
        <f>'Detailed Budget'!$AC$217</f>
        <v>5559936386.0502758</v>
      </c>
      <c r="EW294" s="269">
        <f t="shared" si="818"/>
        <v>7815311.3568466678</v>
      </c>
      <c r="EX294" s="269">
        <f t="shared" si="746"/>
        <v>39076556.784233339</v>
      </c>
      <c r="EY294" s="196">
        <f>'Detailed Budget'!$AC$219</f>
        <v>372777004.58170313</v>
      </c>
      <c r="EZ294" s="269">
        <f t="shared" si="819"/>
        <v>548554.29794286261</v>
      </c>
      <c r="FA294" s="196">
        <f>'Detailed Budget'!$AC$222</f>
        <v>93194251.145425782</v>
      </c>
      <c r="FB294" s="269">
        <f t="shared" si="820"/>
        <v>137138.57448571565</v>
      </c>
      <c r="FC294" s="269">
        <f t="shared" si="749"/>
        <v>685692.87242857832</v>
      </c>
      <c r="FD294" s="269"/>
      <c r="FE294" s="269">
        <f t="shared" si="750"/>
        <v>361935762.92622304</v>
      </c>
      <c r="FF294" s="140">
        <f>'Detailed Budget'!$AC$165</f>
        <v>14927760000</v>
      </c>
      <c r="FG294" s="1087">
        <f t="shared" si="788"/>
        <v>493704338.55420965</v>
      </c>
      <c r="FH294" s="269">
        <f t="shared" si="821"/>
        <v>16961436.200431772</v>
      </c>
      <c r="FJ294" s="140">
        <f>'Detailed Budget'!$AC$235</f>
        <v>3623696172</v>
      </c>
      <c r="FK294" s="269">
        <f t="shared" si="822"/>
        <v>4681778</v>
      </c>
      <c r="FL294" s="269">
        <f t="shared" si="789"/>
        <v>4681778</v>
      </c>
      <c r="FO294" s="607"/>
      <c r="FP294" s="607"/>
      <c r="FQ294" s="607"/>
      <c r="FR294" s="269">
        <f>'Detailed Budget'!$AC$257</f>
        <v>13636439388</v>
      </c>
      <c r="FS294" s="269">
        <f t="shared" si="823"/>
        <v>16489044</v>
      </c>
      <c r="FT294" s="269">
        <f t="shared" si="790"/>
        <v>16489044</v>
      </c>
      <c r="FU294" s="269"/>
      <c r="FV294" s="269"/>
      <c r="FW294" s="269"/>
      <c r="FX294" s="140">
        <f>'Detailed Budget'!$AC$278</f>
        <v>1114560000</v>
      </c>
      <c r="FY294" s="269">
        <f t="shared" si="824"/>
        <v>1440000</v>
      </c>
      <c r="FZ294" s="269">
        <f t="shared" si="791"/>
        <v>1440000</v>
      </c>
      <c r="GB294" s="269">
        <f t="shared" si="799"/>
        <v>1789027526.9136717</v>
      </c>
      <c r="GC294" s="887">
        <f t="shared" si="753"/>
        <v>1118142.2043210447</v>
      </c>
      <c r="GD294" s="1078">
        <f t="shared" si="800"/>
        <v>1.0038796802232504E-3</v>
      </c>
    </row>
    <row r="295" spans="1:186" outlineLevel="1">
      <c r="A295" s="211" t="s">
        <v>739</v>
      </c>
      <c r="B295" s="212" t="s">
        <v>740</v>
      </c>
      <c r="C295" s="213" t="s">
        <v>215</v>
      </c>
      <c r="D295" s="214"/>
      <c r="E295" s="213"/>
      <c r="F295" s="213"/>
      <c r="G295" s="213"/>
      <c r="H295" s="213" t="s">
        <v>215</v>
      </c>
      <c r="I295" s="214" t="s">
        <v>215</v>
      </c>
      <c r="J295" s="214"/>
      <c r="K295" s="213" t="s">
        <v>215</v>
      </c>
      <c r="L295" s="213"/>
      <c r="M295" s="214"/>
      <c r="N295" s="213"/>
      <c r="O295" s="214"/>
      <c r="P295" s="213"/>
      <c r="Q295" s="214"/>
      <c r="R295" s="214" t="s">
        <v>215</v>
      </c>
      <c r="S295" s="214"/>
      <c r="T295" s="214"/>
      <c r="U295" s="215">
        <f t="shared" si="830"/>
        <v>5</v>
      </c>
      <c r="V295" s="845" t="s">
        <v>467</v>
      </c>
      <c r="W295" s="216">
        <v>77414</v>
      </c>
      <c r="X295" s="217">
        <v>2.91</v>
      </c>
      <c r="Y295" s="218">
        <f t="shared" si="826"/>
        <v>1.0290999999999999</v>
      </c>
      <c r="Z295" s="196">
        <v>19</v>
      </c>
      <c r="AA295" s="218">
        <f t="shared" si="827"/>
        <v>1.7246222540408234</v>
      </c>
      <c r="AB295" s="196">
        <f t="shared" si="828"/>
        <v>133509.90717431629</v>
      </c>
      <c r="AC295">
        <v>20.100000000000001</v>
      </c>
      <c r="AD295" s="196">
        <f t="shared" si="829"/>
        <v>26835.491342037578</v>
      </c>
      <c r="AE295" s="196">
        <f t="shared" si="849"/>
        <v>25493.7167749357</v>
      </c>
      <c r="AF295" s="196">
        <f t="shared" si="831"/>
        <v>25493.7167749357</v>
      </c>
      <c r="AG295" s="606">
        <f t="shared" si="756"/>
        <v>1.1787175441593167E-3</v>
      </c>
      <c r="AH295" s="196">
        <f t="shared" si="846"/>
        <v>6675.4953587158152</v>
      </c>
      <c r="AI295" s="248">
        <f t="shared" si="715"/>
        <v>5.1714051107631346E-4</v>
      </c>
      <c r="AJ295" s="196">
        <f t="shared" si="757"/>
        <v>33510.98670075339</v>
      </c>
      <c r="AK295" s="196">
        <f t="shared" si="785"/>
        <v>5340.396286972652</v>
      </c>
      <c r="AL295" s="196">
        <f t="shared" si="786"/>
        <v>5340.396286972652</v>
      </c>
      <c r="AM295" s="196">
        <f t="shared" si="716"/>
        <v>10680.792573945304</v>
      </c>
      <c r="AN295" s="627">
        <f t="shared" si="717"/>
        <v>5.1714051107631346E-4</v>
      </c>
      <c r="AO295" s="196">
        <f t="shared" si="718"/>
        <v>5073.3764726240188</v>
      </c>
      <c r="AP295" s="589">
        <f t="shared" si="758"/>
        <v>5.1714051107631335E-4</v>
      </c>
      <c r="AQ295" s="196"/>
      <c r="AR295" s="589"/>
      <c r="AS295">
        <v>1</v>
      </c>
      <c r="AT295" s="589">
        <f t="shared" si="759"/>
        <v>1.2919896640826874E-3</v>
      </c>
      <c r="AU295" s="196">
        <v>11</v>
      </c>
      <c r="AV295" s="245">
        <f t="shared" si="719"/>
        <v>1.2498579706851495E-3</v>
      </c>
      <c r="AX295" s="245"/>
      <c r="AY295" s="245"/>
      <c r="AZ295" s="196">
        <v>23</v>
      </c>
      <c r="BA295" s="589">
        <f t="shared" si="793"/>
        <v>8.4276867831885966E-4</v>
      </c>
      <c r="BI295" s="196">
        <v>0</v>
      </c>
      <c r="BK295" s="246">
        <f t="shared" si="794"/>
        <v>0</v>
      </c>
      <c r="BL295" s="246"/>
      <c r="BM295" s="246">
        <f t="shared" si="795"/>
        <v>0</v>
      </c>
      <c r="BN295" s="196">
        <v>1</v>
      </c>
      <c r="BO295" s="196">
        <f t="shared" si="832"/>
        <v>11335.032569745523</v>
      </c>
      <c r="BP295" s="196">
        <f t="shared" si="762"/>
        <v>11335.032569745523</v>
      </c>
      <c r="BQ295" s="248">
        <f t="shared" si="796"/>
        <v>1.0603395125095402E-3</v>
      </c>
      <c r="BR295" s="248"/>
      <c r="BS295" s="248"/>
      <c r="BT295" s="276">
        <v>1</v>
      </c>
      <c r="BU295" s="196">
        <f t="shared" si="847"/>
        <v>22413.00236886978</v>
      </c>
      <c r="BV295" s="264">
        <f t="shared" si="797"/>
        <v>1.5546082980456856E-3</v>
      </c>
      <c r="BW295" s="196">
        <f t="shared" si="848"/>
        <v>95877.843466831851</v>
      </c>
      <c r="BX295" s="247">
        <f t="shared" si="798"/>
        <v>1.554608312049657E-3</v>
      </c>
      <c r="BY295" s="196">
        <f t="shared" si="833"/>
        <v>118290.84583570164</v>
      </c>
      <c r="BZ295" s="620">
        <v>0</v>
      </c>
      <c r="CA295" s="196">
        <f t="shared" si="834"/>
        <v>40854.031595340784</v>
      </c>
      <c r="CB295" s="196">
        <f t="shared" si="835"/>
        <v>81708.063190681569</v>
      </c>
      <c r="CC295" s="196">
        <f t="shared" si="765"/>
        <v>122562.09478602235</v>
      </c>
      <c r="CD295" s="247">
        <f t="shared" si="720"/>
        <v>5.1714051107631335E-4</v>
      </c>
      <c r="CE295" s="196">
        <f t="shared" si="836"/>
        <v>16056.69881671041</v>
      </c>
      <c r="CF295" s="247">
        <f t="shared" si="721"/>
        <v>6.9337819036645321E-4</v>
      </c>
      <c r="CG295" s="196">
        <f t="shared" si="803"/>
        <v>20293.505890496075</v>
      </c>
      <c r="CH295" s="589">
        <f t="shared" si="767"/>
        <v>5.1714051107631335E-4</v>
      </c>
      <c r="CI295" s="196">
        <f t="shared" si="837"/>
        <v>33275.425597155867</v>
      </c>
      <c r="CJ295" s="248">
        <f t="shared" si="769"/>
        <v>5.4704791235304483E-4</v>
      </c>
      <c r="CK295" s="196">
        <f t="shared" si="838"/>
        <v>40510.304325604593</v>
      </c>
      <c r="CL295" s="589">
        <f t="shared" si="771"/>
        <v>5.8234395729466501E-4</v>
      </c>
      <c r="CM295" s="196">
        <f t="shared" si="839"/>
        <v>3924.4325695697344</v>
      </c>
      <c r="CN295" s="589">
        <f t="shared" si="773"/>
        <v>5.6555533308167664E-4</v>
      </c>
      <c r="CO295" s="196">
        <f t="shared" si="840"/>
        <v>313.95176533701073</v>
      </c>
      <c r="CP295" s="589">
        <f t="shared" si="775"/>
        <v>5.9206467195145596E-4</v>
      </c>
      <c r="CQ295" s="196">
        <f>'Detailed Budget'!$AC$12</f>
        <v>292876014141.44696</v>
      </c>
      <c r="CR295" s="269">
        <f t="shared" si="724"/>
        <v>0</v>
      </c>
      <c r="CS295" s="269">
        <f>'Detailed Budget'!$AC$16</f>
        <v>10488008800.000002</v>
      </c>
      <c r="CT295" s="607">
        <f t="shared" si="804"/>
        <v>0</v>
      </c>
      <c r="CU295" s="269">
        <f>'Detailed Budget'!$AC$24</f>
        <v>30624985696</v>
      </c>
      <c r="CV295" s="269">
        <f t="shared" si="792"/>
        <v>0</v>
      </c>
      <c r="CW295" s="269"/>
      <c r="CX295" s="269">
        <f t="shared" si="776"/>
        <v>0</v>
      </c>
      <c r="CY295" s="196">
        <f>'Detailed Budget'!$AC$97</f>
        <v>74629165494.837845</v>
      </c>
      <c r="CZ295" s="269">
        <f t="shared" si="805"/>
        <v>79132252.959790155</v>
      </c>
      <c r="DA295" s="269">
        <f>'Detailed Budget'!$AC$100</f>
        <v>14925833098.967569</v>
      </c>
      <c r="DB295" s="269">
        <f t="shared" si="806"/>
        <v>15826450.591958033</v>
      </c>
      <c r="DC295" s="269">
        <f t="shared" si="728"/>
        <v>94958703.551748186</v>
      </c>
      <c r="DD295" s="207">
        <v>0</v>
      </c>
      <c r="DE295" s="606">
        <v>0</v>
      </c>
      <c r="DF295" s="269">
        <f>'Detailed Budget'!$AC$147</f>
        <v>5913600671000</v>
      </c>
      <c r="DG295" s="269">
        <f t="shared" si="787"/>
        <v>0</v>
      </c>
      <c r="DH295" s="269">
        <f>'Detailed Budget'!$AC$153</f>
        <v>226428026880.00003</v>
      </c>
      <c r="DI295" s="269"/>
      <c r="DJ295" s="269">
        <f>'Detailed Budget'!$AC$156</f>
        <v>27713070000</v>
      </c>
      <c r="DK295" s="269"/>
      <c r="DL295" s="269"/>
      <c r="DM295" s="196">
        <f>'Detailed Budget'!$AC$178</f>
        <v>5622683761.6229038</v>
      </c>
      <c r="DN295" s="269">
        <f t="shared" si="841"/>
        <v>8741070.8331056964</v>
      </c>
      <c r="DO295" s="196">
        <f>'Detailed Budget'!$AC$179</f>
        <v>26827890683.128094</v>
      </c>
      <c r="DP295" s="269">
        <f t="shared" si="842"/>
        <v>41706861.850750484</v>
      </c>
      <c r="DQ295" s="269">
        <f t="shared" si="843"/>
        <v>50447932.683856182</v>
      </c>
      <c r="DR295" s="269">
        <f>'Detailed Budget'!$AC$181</f>
        <v>50888946855.375237</v>
      </c>
      <c r="DS295" s="269">
        <f t="shared" si="844"/>
        <v>59983694.462221883</v>
      </c>
      <c r="DT295" s="269">
        <f t="shared" si="845"/>
        <v>110431627.14607807</v>
      </c>
      <c r="DU295" s="272">
        <f>'Detailed Budget'!$AC$192</f>
        <v>77498869683.252869</v>
      </c>
      <c r="DV295" s="269">
        <f t="shared" si="807"/>
        <v>0</v>
      </c>
      <c r="DW295" s="140">
        <f>'Detailed Budget'!$AC$194</f>
        <v>2684962805.4134097</v>
      </c>
      <c r="DX295" s="269">
        <f t="shared" si="808"/>
        <v>0</v>
      </c>
      <c r="DY295" s="607">
        <f t="shared" si="731"/>
        <v>0</v>
      </c>
      <c r="DZ295" s="196">
        <f>'Detailed Budget'!$AC$198</f>
        <v>18732540018.380611</v>
      </c>
      <c r="EA295" s="269">
        <f t="shared" si="809"/>
        <v>12988734.698911915</v>
      </c>
      <c r="EB295" s="196">
        <f>'Detailed Budget'!$AC$200</f>
        <v>4683135004.5951529</v>
      </c>
      <c r="EC295" s="269">
        <f t="shared" si="810"/>
        <v>3247183.6747279787</v>
      </c>
      <c r="ED295" s="269">
        <f t="shared" si="734"/>
        <v>16235918.373639893</v>
      </c>
      <c r="EE295" s="196">
        <f>'Detailed Budget'!$AC$161</f>
        <v>251147290106.36197</v>
      </c>
      <c r="EF295" s="269">
        <f t="shared" si="811"/>
        <v>129878437.96103516</v>
      </c>
      <c r="EG295" s="196">
        <f>'Detailed Budget'!$AC$163</f>
        <v>15696705631.647623</v>
      </c>
      <c r="EH295" s="269">
        <f t="shared" si="812"/>
        <v>8117402.3725646976</v>
      </c>
      <c r="EI295" s="269">
        <f t="shared" si="737"/>
        <v>137995840.33359987</v>
      </c>
      <c r="EJ295" s="196">
        <f>'Detailed Budget'!$AC$204</f>
        <v>45012172507.531975</v>
      </c>
      <c r="EK295" s="269">
        <f t="shared" si="813"/>
        <v>24623815.000720486</v>
      </c>
      <c r="EL295" s="201">
        <f>'Detailed Budget'!$AC$206</f>
        <v>11253043126.882994</v>
      </c>
      <c r="EM295" s="269">
        <f t="shared" si="814"/>
        <v>6155953.7501801215</v>
      </c>
      <c r="EN295" s="269">
        <f t="shared" si="740"/>
        <v>30779768.750900608</v>
      </c>
      <c r="EO295" s="140">
        <f>'Detailed Budget'!$AC$209</f>
        <v>135789361677.54817</v>
      </c>
      <c r="EP295" s="269">
        <f t="shared" si="815"/>
        <v>79076114.23781994</v>
      </c>
      <c r="EQ295" s="196">
        <f>'Detailed Budget'!$AC$211</f>
        <v>33947340419.387043</v>
      </c>
      <c r="ER295" s="269">
        <f t="shared" si="816"/>
        <v>19769028.559454985</v>
      </c>
      <c r="ES295" s="269">
        <f t="shared" si="743"/>
        <v>98845142.797274917</v>
      </c>
      <c r="ET295" s="196">
        <f>'Detailed Budget'!$AC$214</f>
        <v>22239745544.201103</v>
      </c>
      <c r="EU295" s="269">
        <f t="shared" si="817"/>
        <v>12577806.698902389</v>
      </c>
      <c r="EV295" s="140">
        <f>'Detailed Budget'!$AC$217</f>
        <v>5559936386.0502758</v>
      </c>
      <c r="EW295" s="269">
        <f t="shared" si="818"/>
        <v>3144451.6747255973</v>
      </c>
      <c r="EX295" s="269">
        <f t="shared" si="746"/>
        <v>15722258.373627987</v>
      </c>
      <c r="EY295" s="196">
        <f>'Detailed Budget'!$AC$219</f>
        <v>372777004.58170313</v>
      </c>
      <c r="EZ295" s="269">
        <f t="shared" si="819"/>
        <v>220708.09492871247</v>
      </c>
      <c r="FA295" s="196">
        <f>'Detailed Budget'!$AC$222</f>
        <v>93194251.145425782</v>
      </c>
      <c r="FB295" s="269">
        <f t="shared" si="820"/>
        <v>55177.023732178117</v>
      </c>
      <c r="FC295" s="269">
        <f t="shared" si="749"/>
        <v>275885.11866089061</v>
      </c>
      <c r="FD295" s="269"/>
      <c r="FE295" s="269">
        <f t="shared" si="750"/>
        <v>145623055.0404644</v>
      </c>
      <c r="FF295" s="140">
        <f>'Detailed Budget'!$AC$165</f>
        <v>14927760000</v>
      </c>
      <c r="FG295" s="1087">
        <f t="shared" si="788"/>
        <v>198639486.4263545</v>
      </c>
      <c r="FH295" s="269">
        <f t="shared" si="821"/>
        <v>18657579.820474949</v>
      </c>
      <c r="FJ295" s="140">
        <f>'Detailed Budget'!$AC$235</f>
        <v>3623696172</v>
      </c>
      <c r="FK295" s="269">
        <f t="shared" si="822"/>
        <v>4681778</v>
      </c>
      <c r="FL295" s="269">
        <f t="shared" si="789"/>
        <v>4681778</v>
      </c>
      <c r="FO295" s="607"/>
      <c r="FP295" s="607"/>
      <c r="FQ295" s="607"/>
      <c r="FR295" s="269">
        <f>'Detailed Budget'!$AC$257</f>
        <v>13636439388</v>
      </c>
      <c r="FS295" s="269">
        <f t="shared" si="823"/>
        <v>11492364</v>
      </c>
      <c r="FT295" s="269">
        <f t="shared" si="790"/>
        <v>11492364</v>
      </c>
      <c r="FU295" s="269"/>
      <c r="FV295" s="269"/>
      <c r="FW295" s="269"/>
      <c r="FX295" s="140">
        <f>'Detailed Budget'!$AC$278</f>
        <v>1114560000</v>
      </c>
      <c r="FY295" s="269">
        <f t="shared" si="824"/>
        <v>1440000</v>
      </c>
      <c r="FZ295" s="269">
        <f t="shared" si="791"/>
        <v>1440000</v>
      </c>
      <c r="GB295" s="269">
        <f t="shared" si="799"/>
        <v>740156352.69235992</v>
      </c>
      <c r="GC295" s="887">
        <f t="shared" si="753"/>
        <v>462597.72043272498</v>
      </c>
      <c r="GD295" s="1078">
        <f t="shared" si="800"/>
        <v>4.1532503635527792E-4</v>
      </c>
    </row>
    <row r="296" spans="1:186" outlineLevel="1">
      <c r="A296" s="211" t="s">
        <v>741</v>
      </c>
      <c r="B296" s="212" t="s">
        <v>742</v>
      </c>
      <c r="C296" s="213" t="s">
        <v>215</v>
      </c>
      <c r="D296" s="214"/>
      <c r="E296" s="213"/>
      <c r="F296" s="213"/>
      <c r="G296" s="213"/>
      <c r="H296" s="213" t="s">
        <v>215</v>
      </c>
      <c r="I296" s="214" t="s">
        <v>215</v>
      </c>
      <c r="J296" s="214"/>
      <c r="K296" s="213" t="s">
        <v>215</v>
      </c>
      <c r="L296" s="213"/>
      <c r="M296" s="214"/>
      <c r="N296" s="213"/>
      <c r="O296" s="214"/>
      <c r="P296" s="213"/>
      <c r="Q296" s="214"/>
      <c r="R296" s="214" t="s">
        <v>215</v>
      </c>
      <c r="S296" s="214"/>
      <c r="T296" s="214"/>
      <c r="U296" s="215">
        <f t="shared" si="830"/>
        <v>5</v>
      </c>
      <c r="V296" s="845" t="s">
        <v>467</v>
      </c>
      <c r="W296" s="216">
        <v>134813</v>
      </c>
      <c r="X296" s="217">
        <v>2.91</v>
      </c>
      <c r="Y296" s="218">
        <f t="shared" si="826"/>
        <v>1.0290999999999999</v>
      </c>
      <c r="Z296" s="196">
        <v>19</v>
      </c>
      <c r="AA296" s="218">
        <f t="shared" si="827"/>
        <v>1.7246222540408234</v>
      </c>
      <c r="AB296" s="196">
        <f t="shared" si="828"/>
        <v>232501.49993400552</v>
      </c>
      <c r="AC296">
        <v>20.100000000000001</v>
      </c>
      <c r="AD296" s="196">
        <f t="shared" si="829"/>
        <v>46732.801486735108</v>
      </c>
      <c r="AE296" s="196">
        <f t="shared" si="849"/>
        <v>44396.161412398353</v>
      </c>
      <c r="AF296" s="196">
        <f t="shared" si="831"/>
        <v>44396.161412398353</v>
      </c>
      <c r="AG296" s="606">
        <f t="shared" si="756"/>
        <v>2.0526836009087494E-3</v>
      </c>
      <c r="AH296" s="196">
        <f t="shared" si="846"/>
        <v>11625.074996700278</v>
      </c>
      <c r="AI296" s="248">
        <f t="shared" si="715"/>
        <v>9.0057694628531079E-4</v>
      </c>
      <c r="AJ296" s="196">
        <f t="shared" si="757"/>
        <v>58357.876483435386</v>
      </c>
      <c r="AK296" s="196">
        <f t="shared" si="785"/>
        <v>9300.0599973602202</v>
      </c>
      <c r="AL296" s="196">
        <f t="shared" si="786"/>
        <v>9300.0599973602202</v>
      </c>
      <c r="AM296" s="196">
        <f t="shared" si="716"/>
        <v>18600.11999472044</v>
      </c>
      <c r="AN296" s="627">
        <f t="shared" si="717"/>
        <v>9.0057694628531068E-4</v>
      </c>
      <c r="AO296" s="196">
        <f t="shared" si="718"/>
        <v>8835.0569974922091</v>
      </c>
      <c r="AP296" s="589">
        <f t="shared" si="758"/>
        <v>9.0057694628531068E-4</v>
      </c>
      <c r="AQ296" s="196"/>
      <c r="AR296" s="589"/>
      <c r="AS296">
        <v>1</v>
      </c>
      <c r="AT296" s="589">
        <f t="shared" si="759"/>
        <v>1.2919896640826874E-3</v>
      </c>
      <c r="AU296" s="196">
        <v>10</v>
      </c>
      <c r="AV296" s="245">
        <f t="shared" si="719"/>
        <v>1.1362345188046814E-3</v>
      </c>
      <c r="AX296" s="245"/>
      <c r="AY296" s="245"/>
      <c r="AZ296" s="196">
        <v>29</v>
      </c>
      <c r="BA296" s="589">
        <f t="shared" si="793"/>
        <v>1.0626213770107361E-3</v>
      </c>
      <c r="BI296" s="196">
        <v>0</v>
      </c>
      <c r="BK296" s="246">
        <f t="shared" si="794"/>
        <v>0</v>
      </c>
      <c r="BL296" s="246"/>
      <c r="BM296" s="246">
        <f t="shared" si="795"/>
        <v>0</v>
      </c>
      <c r="BN296" s="196">
        <v>1</v>
      </c>
      <c r="BO296" s="196">
        <f t="shared" si="832"/>
        <v>19739.449528833327</v>
      </c>
      <c r="BP296" s="196">
        <f t="shared" si="762"/>
        <v>19739.449528833327</v>
      </c>
      <c r="BQ296" s="248">
        <f t="shared" si="796"/>
        <v>1.8465335817804099E-3</v>
      </c>
      <c r="BR296" s="248"/>
      <c r="BS296" s="248"/>
      <c r="BT296" s="276">
        <v>1</v>
      </c>
      <c r="BU296" s="196">
        <f t="shared" si="847"/>
        <v>39031.235801721159</v>
      </c>
      <c r="BV296" s="264">
        <f t="shared" si="797"/>
        <v>2.7072804464881419E-3</v>
      </c>
      <c r="BW296" s="196">
        <f t="shared" si="848"/>
        <v>166966.95315180719</v>
      </c>
      <c r="BX296" s="247">
        <f t="shared" si="798"/>
        <v>2.7072804708754279E-3</v>
      </c>
      <c r="BY296" s="196">
        <f t="shared" si="833"/>
        <v>205998.18895352836</v>
      </c>
      <c r="BZ296" s="620">
        <v>0</v>
      </c>
      <c r="CA296" s="196">
        <f t="shared" si="834"/>
        <v>71145.45897980567</v>
      </c>
      <c r="CB296" s="196">
        <f t="shared" si="835"/>
        <v>142290.91795961134</v>
      </c>
      <c r="CC296" s="196">
        <f t="shared" si="765"/>
        <v>213436.37693941701</v>
      </c>
      <c r="CD296" s="247">
        <f t="shared" si="720"/>
        <v>9.0057694628531046E-4</v>
      </c>
      <c r="CE296" s="196">
        <f t="shared" si="836"/>
        <v>27962.018983351598</v>
      </c>
      <c r="CF296" s="247">
        <f t="shared" si="721"/>
        <v>1.207486940060876E-3</v>
      </c>
      <c r="CG296" s="196">
        <f t="shared" si="803"/>
        <v>35340.227989968836</v>
      </c>
      <c r="CH296" s="589">
        <f t="shared" si="767"/>
        <v>9.0057694628531068E-4</v>
      </c>
      <c r="CI296" s="196">
        <f t="shared" si="837"/>
        <v>57947.657413767192</v>
      </c>
      <c r="CJ296" s="248">
        <f t="shared" si="769"/>
        <v>9.5265934079173046E-4</v>
      </c>
      <c r="CK296" s="196">
        <f t="shared" si="838"/>
        <v>70546.873395609728</v>
      </c>
      <c r="CL296" s="589">
        <f t="shared" si="771"/>
        <v>1.0141258159346586E-3</v>
      </c>
      <c r="CM296" s="196">
        <f t="shared" si="839"/>
        <v>6834.2228537655274</v>
      </c>
      <c r="CN296" s="589">
        <f t="shared" si="773"/>
        <v>9.8488918178546588E-4</v>
      </c>
      <c r="CO296" s="196">
        <f t="shared" si="840"/>
        <v>546.73288217090476</v>
      </c>
      <c r="CP296" s="589">
        <f t="shared" si="775"/>
        <v>1.031054003407544E-3</v>
      </c>
      <c r="CQ296" s="196">
        <f>'Detailed Budget'!$AC$12</f>
        <v>292876014141.44696</v>
      </c>
      <c r="CR296" s="269">
        <f t="shared" si="724"/>
        <v>0</v>
      </c>
      <c r="CS296" s="269">
        <f>'Detailed Budget'!$AC$16</f>
        <v>10488008800.000002</v>
      </c>
      <c r="CT296" s="607">
        <f t="shared" si="804"/>
        <v>0</v>
      </c>
      <c r="CU296" s="269">
        <f>'Detailed Budget'!$AC$24</f>
        <v>30624985696</v>
      </c>
      <c r="CV296" s="269">
        <f t="shared" si="792"/>
        <v>0</v>
      </c>
      <c r="CW296" s="269"/>
      <c r="CX296" s="269">
        <f t="shared" si="776"/>
        <v>0</v>
      </c>
      <c r="CY296" s="196">
        <f>'Detailed Budget'!$AC$97</f>
        <v>74629165494.837845</v>
      </c>
      <c r="CZ296" s="269">
        <f t="shared" si="805"/>
        <v>137805260.2664659</v>
      </c>
      <c r="DA296" s="269">
        <f>'Detailed Budget'!$AC$100</f>
        <v>14925833098.967569</v>
      </c>
      <c r="DB296" s="269">
        <f t="shared" si="806"/>
        <v>27561052.05329318</v>
      </c>
      <c r="DC296" s="269">
        <f t="shared" si="728"/>
        <v>165366312.31975907</v>
      </c>
      <c r="DD296" s="207">
        <v>0</v>
      </c>
      <c r="DE296" s="606">
        <v>0</v>
      </c>
      <c r="DF296" s="269">
        <f>'Detailed Budget'!$AC$147</f>
        <v>5913600671000</v>
      </c>
      <c r="DG296" s="269">
        <f t="shared" si="787"/>
        <v>0</v>
      </c>
      <c r="DH296" s="269">
        <f>'Detailed Budget'!$AC$153</f>
        <v>226428026880.00003</v>
      </c>
      <c r="DI296" s="269"/>
      <c r="DJ296" s="269">
        <f>'Detailed Budget'!$AC$156</f>
        <v>27713070000</v>
      </c>
      <c r="DK296" s="269"/>
      <c r="DL296" s="269"/>
      <c r="DM296" s="196">
        <f>'Detailed Budget'!$AC$178</f>
        <v>5622683761.6229038</v>
      </c>
      <c r="DN296" s="269">
        <f t="shared" si="841"/>
        <v>15222181.80462808</v>
      </c>
      <c r="DO296" s="196">
        <f>'Detailed Budget'!$AC$179</f>
        <v>26827890683.128094</v>
      </c>
      <c r="DP296" s="269">
        <f t="shared" si="842"/>
        <v>72630624.521213531</v>
      </c>
      <c r="DQ296" s="269">
        <f t="shared" si="843"/>
        <v>87852806.325841606</v>
      </c>
      <c r="DR296" s="269">
        <f>'Detailed Budget'!$AC$181</f>
        <v>50888946855.375237</v>
      </c>
      <c r="DS296" s="269">
        <f t="shared" si="844"/>
        <v>104458906.67754562</v>
      </c>
      <c r="DT296" s="269">
        <f t="shared" si="845"/>
        <v>192311713.00338721</v>
      </c>
      <c r="DU296" s="272">
        <f>'Detailed Budget'!$AC$192</f>
        <v>77498869683.252869</v>
      </c>
      <c r="DV296" s="269">
        <f t="shared" si="807"/>
        <v>0</v>
      </c>
      <c r="DW296" s="140">
        <f>'Detailed Budget'!$AC$194</f>
        <v>2684962805.4134097</v>
      </c>
      <c r="DX296" s="269">
        <f t="shared" si="808"/>
        <v>0</v>
      </c>
      <c r="DY296" s="607">
        <f t="shared" si="731"/>
        <v>0</v>
      </c>
      <c r="DZ296" s="196">
        <f>'Detailed Budget'!$AC$198</f>
        <v>18732540018.380611</v>
      </c>
      <c r="EA296" s="269">
        <f t="shared" si="809"/>
        <v>22619297.42636231</v>
      </c>
      <c r="EB296" s="196">
        <f>'Detailed Budget'!$AC$200</f>
        <v>4683135004.5951529</v>
      </c>
      <c r="EC296" s="269">
        <f t="shared" si="810"/>
        <v>5654824.3565905774</v>
      </c>
      <c r="ED296" s="269">
        <f t="shared" si="734"/>
        <v>28274121.782952886</v>
      </c>
      <c r="EE296" s="196">
        <f>'Detailed Budget'!$AC$161</f>
        <v>251147290106.36197</v>
      </c>
      <c r="EF296" s="269">
        <f t="shared" si="811"/>
        <v>226177459.59181848</v>
      </c>
      <c r="EG296" s="196">
        <f>'Detailed Budget'!$AC$163</f>
        <v>15696705631.647623</v>
      </c>
      <c r="EH296" s="269">
        <f t="shared" si="812"/>
        <v>14136091.224488655</v>
      </c>
      <c r="EI296" s="269">
        <f t="shared" si="737"/>
        <v>240313550.81630713</v>
      </c>
      <c r="EJ296" s="196">
        <f>'Detailed Budget'!$AC$204</f>
        <v>45012172507.531975</v>
      </c>
      <c r="EK296" s="269">
        <f t="shared" si="813"/>
        <v>42881266.588629067</v>
      </c>
      <c r="EL296" s="201">
        <f>'Detailed Budget'!$AC$206</f>
        <v>11253043126.882994</v>
      </c>
      <c r="EM296" s="269">
        <f t="shared" si="814"/>
        <v>10720316.647157267</v>
      </c>
      <c r="EN296" s="269">
        <f t="shared" si="740"/>
        <v>53601583.235786334</v>
      </c>
      <c r="EO296" s="140">
        <f>'Detailed Budget'!$AC$209</f>
        <v>135789361677.54817</v>
      </c>
      <c r="EP296" s="269">
        <f t="shared" si="815"/>
        <v>137707497.20649001</v>
      </c>
      <c r="EQ296" s="196">
        <f>'Detailed Budget'!$AC$211</f>
        <v>33947340419.387043</v>
      </c>
      <c r="ER296" s="269">
        <f t="shared" si="816"/>
        <v>34426874.301622503</v>
      </c>
      <c r="ES296" s="269">
        <f t="shared" si="743"/>
        <v>172134371.50811252</v>
      </c>
      <c r="ET296" s="196">
        <f>'Detailed Budget'!$AC$214</f>
        <v>22239745544.201103</v>
      </c>
      <c r="EU296" s="269">
        <f t="shared" si="817"/>
        <v>21903684.792145185</v>
      </c>
      <c r="EV296" s="140">
        <f>'Detailed Budget'!$AC$217</f>
        <v>5559936386.0502758</v>
      </c>
      <c r="EW296" s="269">
        <f t="shared" si="818"/>
        <v>5475921.1980362963</v>
      </c>
      <c r="EX296" s="269">
        <f t="shared" si="746"/>
        <v>27379605.990181483</v>
      </c>
      <c r="EY296" s="196">
        <f>'Detailed Budget'!$AC$219</f>
        <v>372777004.58170313</v>
      </c>
      <c r="EZ296" s="269">
        <f t="shared" si="819"/>
        <v>384353.22295223735</v>
      </c>
      <c r="FA296" s="196">
        <f>'Detailed Budget'!$AC$222</f>
        <v>93194251.145425782</v>
      </c>
      <c r="FB296" s="269">
        <f t="shared" si="820"/>
        <v>96088.305738059338</v>
      </c>
      <c r="FC296" s="269">
        <f t="shared" si="749"/>
        <v>480441.52869029669</v>
      </c>
      <c r="FD296" s="269"/>
      <c r="FE296" s="269">
        <f t="shared" si="750"/>
        <v>253596002.26277065</v>
      </c>
      <c r="FF296" s="140">
        <f>'Detailed Budget'!$AC$165</f>
        <v>14927760000</v>
      </c>
      <c r="FG296" s="1087">
        <f t="shared" si="788"/>
        <v>345921733.58302283</v>
      </c>
      <c r="FH296" s="269">
        <f t="shared" si="821"/>
        <v>16961436.200431772</v>
      </c>
      <c r="FJ296" s="140">
        <f>'Detailed Budget'!$AC$235</f>
        <v>3623696172</v>
      </c>
      <c r="FK296" s="269">
        <f t="shared" si="822"/>
        <v>4681778</v>
      </c>
      <c r="FL296" s="269">
        <f t="shared" si="789"/>
        <v>4681778</v>
      </c>
      <c r="FO296" s="607"/>
      <c r="FP296" s="607"/>
      <c r="FQ296" s="607"/>
      <c r="FR296" s="269">
        <f>'Detailed Budget'!$AC$257</f>
        <v>13636439388</v>
      </c>
      <c r="FS296" s="269">
        <f t="shared" si="823"/>
        <v>14490372</v>
      </c>
      <c r="FT296" s="269">
        <f t="shared" si="790"/>
        <v>14490372</v>
      </c>
      <c r="FU296" s="269"/>
      <c r="FV296" s="269"/>
      <c r="FW296" s="269"/>
      <c r="FX296" s="140">
        <f>'Detailed Budget'!$AC$278</f>
        <v>1114560000</v>
      </c>
      <c r="FY296" s="269">
        <f t="shared" si="824"/>
        <v>1440000</v>
      </c>
      <c r="FZ296" s="269">
        <f t="shared" si="791"/>
        <v>1440000</v>
      </c>
      <c r="GB296" s="269">
        <f t="shared" si="799"/>
        <v>1263357019.9686317</v>
      </c>
      <c r="GC296" s="887">
        <f t="shared" si="753"/>
        <v>789598.1374803948</v>
      </c>
      <c r="GD296" s="1078">
        <f t="shared" si="800"/>
        <v>7.0890940588367354E-4</v>
      </c>
    </row>
    <row r="297" spans="1:186" outlineLevel="1">
      <c r="A297" s="211" t="s">
        <v>743</v>
      </c>
      <c r="B297" s="212" t="s">
        <v>744</v>
      </c>
      <c r="C297" s="213" t="s">
        <v>215</v>
      </c>
      <c r="D297" s="214"/>
      <c r="E297" s="213"/>
      <c r="F297" s="213"/>
      <c r="G297" s="213"/>
      <c r="H297" s="213" t="s">
        <v>215</v>
      </c>
      <c r="I297" s="214" t="s">
        <v>215</v>
      </c>
      <c r="J297" s="214"/>
      <c r="K297" s="213" t="s">
        <v>215</v>
      </c>
      <c r="L297" s="213"/>
      <c r="M297" s="214"/>
      <c r="N297" s="213"/>
      <c r="O297" s="214"/>
      <c r="P297" s="213"/>
      <c r="Q297" s="214"/>
      <c r="R297" s="214" t="s">
        <v>215</v>
      </c>
      <c r="S297" s="214"/>
      <c r="T297" s="214"/>
      <c r="U297" s="215">
        <f t="shared" si="830"/>
        <v>5</v>
      </c>
      <c r="V297" s="845" t="s">
        <v>467</v>
      </c>
      <c r="W297" s="216">
        <v>131861</v>
      </c>
      <c r="X297" s="217">
        <v>2.91</v>
      </c>
      <c r="Y297" s="218">
        <f t="shared" si="826"/>
        <v>1.0290999999999999</v>
      </c>
      <c r="Z297" s="196">
        <v>19</v>
      </c>
      <c r="AA297" s="218">
        <f t="shared" si="827"/>
        <v>1.7246222540408234</v>
      </c>
      <c r="AB297" s="196">
        <f t="shared" si="828"/>
        <v>227410.415040077</v>
      </c>
      <c r="AC297">
        <v>20.100000000000001</v>
      </c>
      <c r="AD297" s="196">
        <f t="shared" si="829"/>
        <v>45709.493423055486</v>
      </c>
      <c r="AE297" s="196">
        <f t="shared" si="849"/>
        <v>43424.018751902709</v>
      </c>
      <c r="AF297" s="196">
        <f t="shared" si="831"/>
        <v>43424.018751902709</v>
      </c>
      <c r="AG297" s="606">
        <f t="shared" si="756"/>
        <v>2.0077359920736772E-3</v>
      </c>
      <c r="AH297" s="196">
        <f t="shared" si="846"/>
        <v>11370.520752003851</v>
      </c>
      <c r="AI297" s="248">
        <f t="shared" si="715"/>
        <v>8.8085701463603183E-4</v>
      </c>
      <c r="AJ297" s="196">
        <f t="shared" si="757"/>
        <v>57080.014175059339</v>
      </c>
      <c r="AK297" s="196">
        <f t="shared" si="785"/>
        <v>9096.4166016030795</v>
      </c>
      <c r="AL297" s="196">
        <f t="shared" si="786"/>
        <v>9096.4166016030795</v>
      </c>
      <c r="AM297" s="196">
        <f t="shared" si="716"/>
        <v>18192.833203206159</v>
      </c>
      <c r="AN297" s="627">
        <f t="shared" si="717"/>
        <v>8.8085701463603173E-4</v>
      </c>
      <c r="AO297" s="196">
        <f t="shared" si="718"/>
        <v>8641.5957715229251</v>
      </c>
      <c r="AP297" s="589">
        <f t="shared" si="758"/>
        <v>8.8085701463603162E-4</v>
      </c>
      <c r="AQ297" s="196"/>
      <c r="AR297" s="589"/>
      <c r="AS297">
        <v>1</v>
      </c>
      <c r="AT297" s="589">
        <f t="shared" si="759"/>
        <v>1.2919896640826874E-3</v>
      </c>
      <c r="AU297" s="196">
        <v>10</v>
      </c>
      <c r="AV297" s="245">
        <f t="shared" si="719"/>
        <v>1.1362345188046814E-3</v>
      </c>
      <c r="AX297" s="245"/>
      <c r="AY297" s="245"/>
      <c r="AZ297" s="196">
        <v>25</v>
      </c>
      <c r="BA297" s="589">
        <f t="shared" si="793"/>
        <v>9.1605291121615189E-4</v>
      </c>
      <c r="BI297" s="196">
        <v>0</v>
      </c>
      <c r="BK297" s="246">
        <f t="shared" si="794"/>
        <v>0</v>
      </c>
      <c r="BL297" s="246"/>
      <c r="BM297" s="246">
        <f t="shared" si="795"/>
        <v>0</v>
      </c>
      <c r="BN297" s="196">
        <v>1</v>
      </c>
      <c r="BO297" s="196">
        <f t="shared" si="832"/>
        <v>19307.21484071634</v>
      </c>
      <c r="BP297" s="196">
        <f t="shared" si="762"/>
        <v>19307.21484071634</v>
      </c>
      <c r="BQ297" s="248">
        <f t="shared" si="796"/>
        <v>1.8061000395150815E-3</v>
      </c>
      <c r="BR297" s="248"/>
      <c r="BS297" s="248"/>
      <c r="BT297" s="276">
        <v>1</v>
      </c>
      <c r="BU297" s="196">
        <f t="shared" si="847"/>
        <v>38176.568906935936</v>
      </c>
      <c r="BV297" s="264">
        <f t="shared" si="797"/>
        <v>2.6479991317927272E-3</v>
      </c>
      <c r="BW297" s="196">
        <f t="shared" si="848"/>
        <v>163310.87810189262</v>
      </c>
      <c r="BX297" s="247">
        <f t="shared" si="798"/>
        <v>2.647999155646005E-3</v>
      </c>
      <c r="BY297" s="196">
        <f t="shared" si="833"/>
        <v>201487.44700882857</v>
      </c>
      <c r="BZ297" s="620">
        <v>0</v>
      </c>
      <c r="CA297" s="196">
        <f t="shared" si="834"/>
        <v>69587.58700226355</v>
      </c>
      <c r="CB297" s="196">
        <f t="shared" si="835"/>
        <v>139175.1740045271</v>
      </c>
      <c r="CC297" s="196">
        <f t="shared" si="765"/>
        <v>208762.76100679065</v>
      </c>
      <c r="CD297" s="247">
        <f t="shared" si="720"/>
        <v>8.8085701463603162E-4</v>
      </c>
      <c r="CE297" s="196">
        <f t="shared" si="836"/>
        <v>27349.734707808038</v>
      </c>
      <c r="CF297" s="247">
        <f t="shared" si="721"/>
        <v>1.1810466008720759E-3</v>
      </c>
      <c r="CG297" s="196">
        <f t="shared" si="803"/>
        <v>34566.383086091701</v>
      </c>
      <c r="CH297" s="589">
        <f t="shared" si="767"/>
        <v>8.8085701463603162E-4</v>
      </c>
      <c r="CI297" s="196">
        <f t="shared" si="837"/>
        <v>56678.777671565484</v>
      </c>
      <c r="CJ297" s="248">
        <f t="shared" si="769"/>
        <v>9.31798961050777E-4</v>
      </c>
      <c r="CK297" s="196">
        <f t="shared" si="838"/>
        <v>69002.108645445885</v>
      </c>
      <c r="CL297" s="589">
        <f t="shared" si="771"/>
        <v>9.9191950490650047E-4</v>
      </c>
      <c r="CM297" s="196">
        <f t="shared" si="839"/>
        <v>6684.5738891677838</v>
      </c>
      <c r="CN297" s="589">
        <f t="shared" si="773"/>
        <v>9.6332306527867014E-4</v>
      </c>
      <c r="CO297" s="196">
        <f t="shared" si="840"/>
        <v>534.76107330849175</v>
      </c>
      <c r="CP297" s="589">
        <f t="shared" si="775"/>
        <v>1.0084770158910656E-3</v>
      </c>
      <c r="CQ297" s="196">
        <f>'Detailed Budget'!$AC$12</f>
        <v>292876014141.44696</v>
      </c>
      <c r="CR297" s="269">
        <f t="shared" si="724"/>
        <v>0</v>
      </c>
      <c r="CS297" s="269">
        <f>'Detailed Budget'!$AC$16</f>
        <v>10488008800.000002</v>
      </c>
      <c r="CT297" s="607">
        <f t="shared" si="804"/>
        <v>0</v>
      </c>
      <c r="CU297" s="269">
        <f>'Detailed Budget'!$AC$24</f>
        <v>30624985696</v>
      </c>
      <c r="CV297" s="269">
        <f t="shared" si="792"/>
        <v>0</v>
      </c>
      <c r="CW297" s="269"/>
      <c r="CX297" s="269">
        <f t="shared" si="776"/>
        <v>0</v>
      </c>
      <c r="CY297" s="196">
        <f>'Detailed Budget'!$AC$97</f>
        <v>74629165494.837845</v>
      </c>
      <c r="CZ297" s="269">
        <f t="shared" si="805"/>
        <v>134787738.74920419</v>
      </c>
      <c r="DA297" s="269">
        <f>'Detailed Budget'!$AC$100</f>
        <v>14925833098.967569</v>
      </c>
      <c r="DB297" s="269">
        <f t="shared" si="806"/>
        <v>26957547.749840837</v>
      </c>
      <c r="DC297" s="269">
        <f t="shared" si="728"/>
        <v>161745286.49904501</v>
      </c>
      <c r="DD297" s="207">
        <v>0</v>
      </c>
      <c r="DE297" s="606">
        <v>0</v>
      </c>
      <c r="DF297" s="269">
        <f>'Detailed Budget'!$AC$147</f>
        <v>5913600671000</v>
      </c>
      <c r="DG297" s="269">
        <f t="shared" si="787"/>
        <v>0</v>
      </c>
      <c r="DH297" s="269">
        <f>'Detailed Budget'!$AC$153</f>
        <v>226428026880.00003</v>
      </c>
      <c r="DI297" s="269"/>
      <c r="DJ297" s="269">
        <f>'Detailed Budget'!$AC$156</f>
        <v>27713070000</v>
      </c>
      <c r="DK297" s="269"/>
      <c r="DL297" s="269"/>
      <c r="DM297" s="196">
        <f>'Detailed Budget'!$AC$178</f>
        <v>5622683761.6229038</v>
      </c>
      <c r="DN297" s="269">
        <f t="shared" si="841"/>
        <v>14888861.719122514</v>
      </c>
      <c r="DO297" s="196">
        <f>'Detailed Budget'!$AC$179</f>
        <v>26827890683.128094</v>
      </c>
      <c r="DP297" s="269">
        <f t="shared" si="842"/>
        <v>71040231.876686513</v>
      </c>
      <c r="DQ297" s="269">
        <f t="shared" si="843"/>
        <v>85929093.595809028</v>
      </c>
      <c r="DR297" s="269">
        <f>'Detailed Budget'!$AC$181</f>
        <v>50888946855.375237</v>
      </c>
      <c r="DS297" s="269">
        <f t="shared" si="844"/>
        <v>102171570.20026143</v>
      </c>
      <c r="DT297" s="269">
        <f t="shared" si="845"/>
        <v>188100663.79607046</v>
      </c>
      <c r="DU297" s="272">
        <f>'Detailed Budget'!$AC$192</f>
        <v>77498869683.252869</v>
      </c>
      <c r="DV297" s="269">
        <f t="shared" si="807"/>
        <v>0</v>
      </c>
      <c r="DW297" s="140">
        <f>'Detailed Budget'!$AC$194</f>
        <v>2684962805.4134097</v>
      </c>
      <c r="DX297" s="269">
        <f t="shared" si="808"/>
        <v>0</v>
      </c>
      <c r="DY297" s="607">
        <f t="shared" si="731"/>
        <v>0</v>
      </c>
      <c r="DZ297" s="196">
        <f>'Detailed Budget'!$AC$198</f>
        <v>18732540018.380611</v>
      </c>
      <c r="EA297" s="269">
        <f t="shared" si="809"/>
        <v>22124002.714408554</v>
      </c>
      <c r="EB297" s="196">
        <f>'Detailed Budget'!$AC$200</f>
        <v>4683135004.5951529</v>
      </c>
      <c r="EC297" s="269">
        <f t="shared" si="810"/>
        <v>5531000.6786021385</v>
      </c>
      <c r="ED297" s="269">
        <f t="shared" si="734"/>
        <v>27655003.393010691</v>
      </c>
      <c r="EE297" s="196">
        <f>'Detailed Budget'!$AC$161</f>
        <v>251147290106.36197</v>
      </c>
      <c r="EF297" s="269">
        <f t="shared" si="811"/>
        <v>221224852.19701937</v>
      </c>
      <c r="EG297" s="196">
        <f>'Detailed Budget'!$AC$163</f>
        <v>15696705631.647623</v>
      </c>
      <c r="EH297" s="269">
        <f t="shared" si="812"/>
        <v>13826553.262313711</v>
      </c>
      <c r="EI297" s="269">
        <f t="shared" si="737"/>
        <v>235051405.45933309</v>
      </c>
      <c r="EJ297" s="196">
        <f>'Detailed Budget'!$AC$204</f>
        <v>45012172507.531975</v>
      </c>
      <c r="EK297" s="269">
        <f t="shared" si="813"/>
        <v>41942295.577156641</v>
      </c>
      <c r="EL297" s="201">
        <f>'Detailed Budget'!$AC$206</f>
        <v>11253043126.882994</v>
      </c>
      <c r="EM297" s="269">
        <f t="shared" si="814"/>
        <v>10485573.89428916</v>
      </c>
      <c r="EN297" s="269">
        <f t="shared" si="740"/>
        <v>52427869.471445799</v>
      </c>
      <c r="EO297" s="140">
        <f>'Detailed Budget'!$AC$209</f>
        <v>135789361677.54817</v>
      </c>
      <c r="EP297" s="269">
        <f t="shared" si="815"/>
        <v>134692116.40676332</v>
      </c>
      <c r="EQ297" s="196">
        <f>'Detailed Budget'!$AC$211</f>
        <v>33947340419.387043</v>
      </c>
      <c r="ER297" s="269">
        <f t="shared" si="816"/>
        <v>33673029.101690829</v>
      </c>
      <c r="ES297" s="269">
        <f t="shared" si="743"/>
        <v>168365145.50845414</v>
      </c>
      <c r="ET297" s="196">
        <f>'Detailed Budget'!$AC$214</f>
        <v>22239745544.201103</v>
      </c>
      <c r="EU297" s="269">
        <f t="shared" si="817"/>
        <v>21424059.848657452</v>
      </c>
      <c r="EV297" s="140">
        <f>'Detailed Budget'!$AC$217</f>
        <v>5559936386.0502758</v>
      </c>
      <c r="EW297" s="269">
        <f t="shared" si="818"/>
        <v>5356014.9621643629</v>
      </c>
      <c r="EX297" s="269">
        <f t="shared" si="746"/>
        <v>26780074.810821816</v>
      </c>
      <c r="EY297" s="196">
        <f>'Detailed Budget'!$AC$219</f>
        <v>372777004.58170313</v>
      </c>
      <c r="EZ297" s="269">
        <f t="shared" si="819"/>
        <v>375937.04117336607</v>
      </c>
      <c r="FA297" s="196">
        <f>'Detailed Budget'!$AC$222</f>
        <v>93194251.145425782</v>
      </c>
      <c r="FB297" s="269">
        <f t="shared" si="820"/>
        <v>93984.260293341518</v>
      </c>
      <c r="FC297" s="269">
        <f t="shared" si="749"/>
        <v>469921.30146670761</v>
      </c>
      <c r="FD297" s="269"/>
      <c r="FE297" s="269">
        <f t="shared" si="750"/>
        <v>248043011.09218848</v>
      </c>
      <c r="FF297" s="140">
        <f>'Detailed Budget'!$AC$165</f>
        <v>14927760000</v>
      </c>
      <c r="FG297" s="1087">
        <f t="shared" si="788"/>
        <v>338347086.05246514</v>
      </c>
      <c r="FH297" s="269">
        <f t="shared" si="821"/>
        <v>16961436.200431772</v>
      </c>
      <c r="FJ297" s="140">
        <f>'Detailed Budget'!$AC$235</f>
        <v>3623696172</v>
      </c>
      <c r="FK297" s="269">
        <f t="shared" si="822"/>
        <v>4681778</v>
      </c>
      <c r="FL297" s="269">
        <f t="shared" si="789"/>
        <v>4681778</v>
      </c>
      <c r="FO297" s="607"/>
      <c r="FP297" s="607"/>
      <c r="FQ297" s="607"/>
      <c r="FR297" s="269">
        <f>'Detailed Budget'!$AC$257</f>
        <v>13636439388</v>
      </c>
      <c r="FS297" s="269">
        <f t="shared" si="823"/>
        <v>12491700</v>
      </c>
      <c r="FT297" s="269">
        <f t="shared" si="790"/>
        <v>12491700</v>
      </c>
      <c r="FU297" s="269"/>
      <c r="FV297" s="269"/>
      <c r="FW297" s="269"/>
      <c r="FX297" s="140">
        <f>'Detailed Budget'!$AC$278</f>
        <v>1114560000</v>
      </c>
      <c r="FY297" s="269">
        <f t="shared" si="824"/>
        <v>1440000</v>
      </c>
      <c r="FZ297" s="269">
        <f t="shared" si="791"/>
        <v>1440000</v>
      </c>
      <c r="GB297" s="269">
        <f t="shared" si="799"/>
        <v>1234517370.4925447</v>
      </c>
      <c r="GC297" s="887">
        <f t="shared" si="753"/>
        <v>771573.35655784036</v>
      </c>
      <c r="GD297" s="1078">
        <f t="shared" si="800"/>
        <v>6.927265704279494E-4</v>
      </c>
    </row>
    <row r="298" spans="1:186" outlineLevel="1">
      <c r="A298" s="211" t="s">
        <v>745</v>
      </c>
      <c r="B298" s="212" t="s">
        <v>746</v>
      </c>
      <c r="C298" s="213" t="s">
        <v>215</v>
      </c>
      <c r="D298" s="214"/>
      <c r="E298" s="213"/>
      <c r="F298" s="213"/>
      <c r="G298" s="213"/>
      <c r="H298" s="213" t="s">
        <v>215</v>
      </c>
      <c r="I298" s="214" t="s">
        <v>215</v>
      </c>
      <c r="J298" s="214"/>
      <c r="K298" s="213" t="s">
        <v>215</v>
      </c>
      <c r="L298" s="213"/>
      <c r="M298" s="214"/>
      <c r="N298" s="213"/>
      <c r="O298" s="214"/>
      <c r="P298" s="213"/>
      <c r="Q298" s="214"/>
      <c r="R298" s="214" t="s">
        <v>215</v>
      </c>
      <c r="S298" s="214"/>
      <c r="T298" s="214"/>
      <c r="U298" s="215">
        <f t="shared" si="830"/>
        <v>5</v>
      </c>
      <c r="V298" s="845" t="s">
        <v>467</v>
      </c>
      <c r="W298" s="216">
        <v>95643</v>
      </c>
      <c r="X298" s="217">
        <v>2.91</v>
      </c>
      <c r="Y298" s="218">
        <f t="shared" si="826"/>
        <v>1.0290999999999999</v>
      </c>
      <c r="Z298" s="196">
        <v>19</v>
      </c>
      <c r="AA298" s="218">
        <f t="shared" si="827"/>
        <v>1.7246222540408234</v>
      </c>
      <c r="AB298" s="196">
        <f t="shared" si="828"/>
        <v>164948.04624322648</v>
      </c>
      <c r="AC298">
        <v>20.100000000000001</v>
      </c>
      <c r="AD298" s="196">
        <f t="shared" si="829"/>
        <v>33154.557294888524</v>
      </c>
      <c r="AE298" s="196">
        <f t="shared" si="849"/>
        <v>31496.829430144095</v>
      </c>
      <c r="AF298" s="196">
        <f t="shared" si="831"/>
        <v>31496.829430144095</v>
      </c>
      <c r="AG298" s="606">
        <f t="shared" si="756"/>
        <v>1.456275119177791E-3</v>
      </c>
      <c r="AH298" s="196">
        <f t="shared" si="846"/>
        <v>8247.4023121613245</v>
      </c>
      <c r="AI298" s="248">
        <f t="shared" si="715"/>
        <v>6.3891376108807002E-4</v>
      </c>
      <c r="AJ298" s="196">
        <f t="shared" si="757"/>
        <v>41401.959607049852</v>
      </c>
      <c r="AK298" s="196">
        <f t="shared" si="785"/>
        <v>6597.9218497290594</v>
      </c>
      <c r="AL298" s="196">
        <f t="shared" si="786"/>
        <v>6597.9218497290594</v>
      </c>
      <c r="AM298" s="196">
        <f t="shared" si="716"/>
        <v>13195.843699458119</v>
      </c>
      <c r="AN298" s="627">
        <f t="shared" si="717"/>
        <v>6.3891376108807002E-4</v>
      </c>
      <c r="AO298" s="196">
        <f t="shared" si="718"/>
        <v>6268.0257572426062</v>
      </c>
      <c r="AP298" s="589">
        <f t="shared" si="758"/>
        <v>6.3891376108807002E-4</v>
      </c>
      <c r="AQ298" s="196"/>
      <c r="AR298" s="589"/>
      <c r="AS298">
        <v>1</v>
      </c>
      <c r="AT298" s="589">
        <f t="shared" si="759"/>
        <v>1.2919896640826874E-3</v>
      </c>
      <c r="AU298" s="196">
        <v>10</v>
      </c>
      <c r="AV298" s="245">
        <f t="shared" si="719"/>
        <v>1.1362345188046814E-3</v>
      </c>
      <c r="AX298" s="245"/>
      <c r="AY298" s="245"/>
      <c r="AZ298" s="196">
        <v>21</v>
      </c>
      <c r="BA298" s="589">
        <f t="shared" si="793"/>
        <v>7.6948444542156754E-4</v>
      </c>
      <c r="BI298" s="196">
        <v>0</v>
      </c>
      <c r="BK298" s="246">
        <f t="shared" si="794"/>
        <v>0</v>
      </c>
      <c r="BL298" s="246"/>
      <c r="BM298" s="246">
        <f t="shared" si="795"/>
        <v>0</v>
      </c>
      <c r="BN298" s="196">
        <v>1</v>
      </c>
      <c r="BO298" s="196">
        <f t="shared" si="832"/>
        <v>14004.140337253873</v>
      </c>
      <c r="BP298" s="196">
        <f t="shared" si="762"/>
        <v>14004.140337253873</v>
      </c>
      <c r="BQ298" s="248">
        <f t="shared" si="796"/>
        <v>1.3100221147977109E-3</v>
      </c>
      <c r="BR298" s="248"/>
      <c r="BS298" s="248"/>
      <c r="BT298" s="276">
        <v>1</v>
      </c>
      <c r="BU298" s="196">
        <f t="shared" si="847"/>
        <v>27690.686252690892</v>
      </c>
      <c r="BV298" s="264">
        <f t="shared" si="797"/>
        <v>1.9206784489883423E-3</v>
      </c>
      <c r="BW298" s="196">
        <f t="shared" si="848"/>
        <v>118454.60230317771</v>
      </c>
      <c r="BX298" s="247">
        <f t="shared" si="798"/>
        <v>1.9206784662898874E-3</v>
      </c>
      <c r="BY298" s="196">
        <f t="shared" si="833"/>
        <v>146145.28855586861</v>
      </c>
      <c r="BZ298" s="620">
        <v>0</v>
      </c>
      <c r="CA298" s="196">
        <f t="shared" si="834"/>
        <v>50474.102150427301</v>
      </c>
      <c r="CB298" s="196">
        <f t="shared" si="835"/>
        <v>100948.2043008546</v>
      </c>
      <c r="CC298" s="196">
        <f t="shared" si="765"/>
        <v>151422.30645128191</v>
      </c>
      <c r="CD298" s="247">
        <f t="shared" si="720"/>
        <v>6.3891376108807002E-4</v>
      </c>
      <c r="CE298" s="196">
        <f t="shared" si="836"/>
        <v>19837.637183540879</v>
      </c>
      <c r="CF298" s="247">
        <f t="shared" si="721"/>
        <v>8.5665086755908071E-4</v>
      </c>
      <c r="CG298" s="196">
        <f t="shared" si="803"/>
        <v>25072.103028970425</v>
      </c>
      <c r="CH298" s="589">
        <f t="shared" si="767"/>
        <v>6.3891376108807002E-4</v>
      </c>
      <c r="CI298" s="196">
        <f t="shared" si="837"/>
        <v>41110.929940175927</v>
      </c>
      <c r="CJ298" s="248">
        <f t="shared" si="769"/>
        <v>6.7586358386315494E-4</v>
      </c>
      <c r="CK298" s="196">
        <f t="shared" si="838"/>
        <v>50049.435975583234</v>
      </c>
      <c r="CL298" s="589">
        <f t="shared" si="771"/>
        <v>7.1947093687877708E-4</v>
      </c>
      <c r="CM298" s="196">
        <f t="shared" si="839"/>
        <v>4848.5352035982914</v>
      </c>
      <c r="CN298" s="589">
        <f t="shared" si="773"/>
        <v>6.9872902474915133E-4</v>
      </c>
      <c r="CO298" s="196">
        <f t="shared" si="840"/>
        <v>387.87930725873514</v>
      </c>
      <c r="CP298" s="589">
        <f t="shared" si="775"/>
        <v>7.3148062907811388E-4</v>
      </c>
      <c r="CQ298" s="196">
        <f>'Detailed Budget'!$AC$12</f>
        <v>292876014141.44696</v>
      </c>
      <c r="CR298" s="269">
        <f t="shared" si="724"/>
        <v>0</v>
      </c>
      <c r="CS298" s="269">
        <f>'Detailed Budget'!$AC$16</f>
        <v>10488008800.000002</v>
      </c>
      <c r="CT298" s="607">
        <f t="shared" si="804"/>
        <v>0</v>
      </c>
      <c r="CU298" s="269">
        <f>'Detailed Budget'!$AC$24</f>
        <v>30624985696</v>
      </c>
      <c r="CV298" s="269">
        <f t="shared" si="792"/>
        <v>0</v>
      </c>
      <c r="CW298" s="269"/>
      <c r="CX298" s="269">
        <f t="shared" si="776"/>
        <v>0</v>
      </c>
      <c r="CY298" s="196">
        <f>'Detailed Budget'!$AC$97</f>
        <v>74629165494.837845</v>
      </c>
      <c r="CZ298" s="269">
        <f t="shared" si="805"/>
        <v>97765857.207135826</v>
      </c>
      <c r="DA298" s="269">
        <f>'Detailed Budget'!$AC$100</f>
        <v>14925833098.967569</v>
      </c>
      <c r="DB298" s="269">
        <f t="shared" si="806"/>
        <v>19553171.441427168</v>
      </c>
      <c r="DC298" s="269">
        <f t="shared" si="728"/>
        <v>117319028.648563</v>
      </c>
      <c r="DD298" s="207">
        <v>0</v>
      </c>
      <c r="DE298" s="606">
        <v>0</v>
      </c>
      <c r="DF298" s="269">
        <f>'Detailed Budget'!$AC$147</f>
        <v>5913600671000</v>
      </c>
      <c r="DG298" s="269">
        <f t="shared" si="787"/>
        <v>0</v>
      </c>
      <c r="DH298" s="269">
        <f>'Detailed Budget'!$AC$153</f>
        <v>226428026880.00003</v>
      </c>
      <c r="DI298" s="269"/>
      <c r="DJ298" s="269">
        <f>'Detailed Budget'!$AC$156</f>
        <v>27713070000</v>
      </c>
      <c r="DK298" s="269"/>
      <c r="DL298" s="269"/>
      <c r="DM298" s="196">
        <f>'Detailed Budget'!$AC$178</f>
        <v>5622683761.6229038</v>
      </c>
      <c r="DN298" s="269">
        <f t="shared" si="841"/>
        <v>10799367.526425816</v>
      </c>
      <c r="DO298" s="196">
        <f>'Detailed Budget'!$AC$179</f>
        <v>26827890683.128094</v>
      </c>
      <c r="DP298" s="269">
        <f t="shared" si="842"/>
        <v>51527751.931063227</v>
      </c>
      <c r="DQ298" s="269">
        <f t="shared" si="843"/>
        <v>62327119.457489043</v>
      </c>
      <c r="DR298" s="269">
        <f>'Detailed Budget'!$AC$181</f>
        <v>50888946855.375237</v>
      </c>
      <c r="DS298" s="269">
        <f t="shared" si="844"/>
        <v>74108307.146643847</v>
      </c>
      <c r="DT298" s="269">
        <f t="shared" si="845"/>
        <v>136435426.60413289</v>
      </c>
      <c r="DU298" s="272">
        <f>'Detailed Budget'!$AC$192</f>
        <v>77498869683.252869</v>
      </c>
      <c r="DV298" s="269">
        <f t="shared" si="807"/>
        <v>0</v>
      </c>
      <c r="DW298" s="140">
        <f>'Detailed Budget'!$AC$194</f>
        <v>2684962805.4134097</v>
      </c>
      <c r="DX298" s="269">
        <f t="shared" si="808"/>
        <v>0</v>
      </c>
      <c r="DY298" s="607">
        <f t="shared" si="731"/>
        <v>0</v>
      </c>
      <c r="DZ298" s="196">
        <f>'Detailed Budget'!$AC$198</f>
        <v>18732540018.380611</v>
      </c>
      <c r="EA298" s="269">
        <f t="shared" si="809"/>
        <v>16047246.658330949</v>
      </c>
      <c r="EB298" s="196">
        <f>'Detailed Budget'!$AC$200</f>
        <v>4683135004.5951529</v>
      </c>
      <c r="EC298" s="269">
        <f t="shared" si="810"/>
        <v>4011811.6645827373</v>
      </c>
      <c r="ED298" s="269">
        <f t="shared" si="734"/>
        <v>20059058.322913688</v>
      </c>
      <c r="EE298" s="196">
        <f>'Detailed Budget'!$AC$161</f>
        <v>251147290106.36197</v>
      </c>
      <c r="EF298" s="269">
        <f t="shared" si="811"/>
        <v>160461459.70893237</v>
      </c>
      <c r="EG298" s="196">
        <f>'Detailed Budget'!$AC$163</f>
        <v>15696705631.647623</v>
      </c>
      <c r="EH298" s="269">
        <f t="shared" si="812"/>
        <v>10028841.231808273</v>
      </c>
      <c r="EI298" s="269">
        <f t="shared" si="737"/>
        <v>170490300.94074064</v>
      </c>
      <c r="EJ298" s="196">
        <f>'Detailed Budget'!$AC$204</f>
        <v>45012172507.531975</v>
      </c>
      <c r="EK298" s="269">
        <f t="shared" si="813"/>
        <v>30422088.228407133</v>
      </c>
      <c r="EL298" s="201">
        <f>'Detailed Budget'!$AC$206</f>
        <v>11253043126.882994</v>
      </c>
      <c r="EM298" s="269">
        <f t="shared" si="814"/>
        <v>7605522.0571017833</v>
      </c>
      <c r="EN298" s="269">
        <f t="shared" si="740"/>
        <v>38027610.285508916</v>
      </c>
      <c r="EO298" s="140">
        <f>'Detailed Budget'!$AC$209</f>
        <v>135789361677.54817</v>
      </c>
      <c r="EP298" s="269">
        <f t="shared" si="815"/>
        <v>97696499.264316693</v>
      </c>
      <c r="EQ298" s="196">
        <f>'Detailed Budget'!$AC$211</f>
        <v>33947340419.387043</v>
      </c>
      <c r="ER298" s="269">
        <f t="shared" si="816"/>
        <v>24424124.816079173</v>
      </c>
      <c r="ES298" s="269">
        <f t="shared" si="743"/>
        <v>122120624.08039586</v>
      </c>
      <c r="ET298" s="196">
        <f>'Detailed Budget'!$AC$214</f>
        <v>22239745544.201103</v>
      </c>
      <c r="EU298" s="269">
        <f t="shared" si="817"/>
        <v>15539555.71476892</v>
      </c>
      <c r="EV298" s="140">
        <f>'Detailed Budget'!$AC$217</f>
        <v>5559936386.0502758</v>
      </c>
      <c r="EW298" s="269">
        <f t="shared" si="818"/>
        <v>3884888.92869223</v>
      </c>
      <c r="EX298" s="269">
        <f t="shared" si="746"/>
        <v>19424444.643461149</v>
      </c>
      <c r="EY298" s="196">
        <f>'Detailed Budget'!$AC$219</f>
        <v>372777004.58170313</v>
      </c>
      <c r="EZ298" s="269">
        <f t="shared" si="819"/>
        <v>272679.15781727916</v>
      </c>
      <c r="FA298" s="196">
        <f>'Detailed Budget'!$AC$222</f>
        <v>93194251.145425782</v>
      </c>
      <c r="FB298" s="269">
        <f t="shared" si="820"/>
        <v>68169.789454319791</v>
      </c>
      <c r="FC298" s="269">
        <f t="shared" si="749"/>
        <v>340848.94727159897</v>
      </c>
      <c r="FD298" s="269"/>
      <c r="FE298" s="269">
        <f t="shared" si="750"/>
        <v>179913527.9566375</v>
      </c>
      <c r="FF298" s="140">
        <f>'Detailed Budget'!$AC$165</f>
        <v>14927760000</v>
      </c>
      <c r="FG298" s="1087">
        <f t="shared" si="788"/>
        <v>245413961.30255279</v>
      </c>
      <c r="FH298" s="269">
        <f t="shared" si="821"/>
        <v>16961436.200431772</v>
      </c>
      <c r="FJ298" s="140">
        <f>'Detailed Budget'!$AC$235</f>
        <v>3623696172</v>
      </c>
      <c r="FK298" s="269">
        <f t="shared" si="822"/>
        <v>4681778</v>
      </c>
      <c r="FL298" s="269">
        <f t="shared" si="789"/>
        <v>4681778</v>
      </c>
      <c r="FO298" s="607"/>
      <c r="FP298" s="607"/>
      <c r="FQ298" s="607"/>
      <c r="FR298" s="269">
        <f>'Detailed Budget'!$AC$257</f>
        <v>13636439388</v>
      </c>
      <c r="FS298" s="269">
        <f t="shared" si="823"/>
        <v>10493028</v>
      </c>
      <c r="FT298" s="269">
        <f t="shared" si="790"/>
        <v>10493028</v>
      </c>
      <c r="FU298" s="269"/>
      <c r="FV298" s="269"/>
      <c r="FW298" s="269"/>
      <c r="FX298" s="140">
        <f>'Detailed Budget'!$AC$278</f>
        <v>1114560000</v>
      </c>
      <c r="FY298" s="269">
        <f t="shared" si="824"/>
        <v>1440000</v>
      </c>
      <c r="FZ298" s="269">
        <f t="shared" si="791"/>
        <v>1440000</v>
      </c>
      <c r="GB298" s="269">
        <f t="shared" si="799"/>
        <v>903207545.97597229</v>
      </c>
      <c r="GC298" s="887">
        <f t="shared" si="753"/>
        <v>564504.71623498271</v>
      </c>
      <c r="GD298" s="1078">
        <f t="shared" si="800"/>
        <v>5.0681819524252551E-4</v>
      </c>
    </row>
    <row r="299" spans="1:186" outlineLevel="1">
      <c r="A299" s="211"/>
      <c r="B299" s="212"/>
      <c r="C299" s="213"/>
      <c r="D299" s="214"/>
      <c r="E299" s="213"/>
      <c r="F299" s="213"/>
      <c r="G299" s="213"/>
      <c r="H299" s="213"/>
      <c r="I299" s="214"/>
      <c r="J299" s="214"/>
      <c r="K299" s="213"/>
      <c r="L299" s="213"/>
      <c r="M299" s="214"/>
      <c r="N299" s="213"/>
      <c r="O299" s="214"/>
      <c r="P299" s="213"/>
      <c r="Q299" s="214"/>
      <c r="R299" s="214"/>
      <c r="S299" s="214"/>
      <c r="T299" s="214"/>
      <c r="U299" s="215"/>
      <c r="V299" s="845"/>
      <c r="W299" s="216"/>
      <c r="X299" s="217"/>
      <c r="Y299" s="218"/>
      <c r="Z299" s="196"/>
      <c r="AA299" s="218"/>
      <c r="AF299" s="196">
        <f t="shared" si="831"/>
        <v>0</v>
      </c>
      <c r="AG299" s="606">
        <f t="shared" si="756"/>
        <v>0</v>
      </c>
      <c r="AJ299" s="196"/>
      <c r="AK299" s="196"/>
      <c r="AL299" s="196"/>
      <c r="AM299" s="196"/>
      <c r="AO299" s="196"/>
      <c r="AP299" s="589">
        <f t="shared" si="758"/>
        <v>0</v>
      </c>
      <c r="AQ299" s="196"/>
      <c r="AR299" s="589"/>
      <c r="AS299"/>
      <c r="AT299" s="589">
        <f t="shared" si="759"/>
        <v>0</v>
      </c>
      <c r="AV299" s="245">
        <f t="shared" si="719"/>
        <v>0</v>
      </c>
      <c r="AX299" s="245"/>
      <c r="AY299" s="245"/>
      <c r="BA299" s="589">
        <f t="shared" si="793"/>
        <v>0</v>
      </c>
      <c r="BK299" s="246">
        <f t="shared" si="794"/>
        <v>0</v>
      </c>
      <c r="BL299" s="246"/>
      <c r="BM299" s="246">
        <f t="shared" si="795"/>
        <v>0</v>
      </c>
      <c r="BN299" s="196"/>
      <c r="BQ299" s="248">
        <f t="shared" si="796"/>
        <v>0</v>
      </c>
      <c r="BR299" s="248"/>
      <c r="BS299" s="248"/>
      <c r="BT299" s="276"/>
      <c r="BV299" s="264">
        <f t="shared" si="797"/>
        <v>0</v>
      </c>
      <c r="BX299" s="247">
        <f t="shared" si="798"/>
        <v>0</v>
      </c>
      <c r="BY299" s="196"/>
      <c r="BZ299" s="620"/>
      <c r="CA299" s="196">
        <f t="shared" si="834"/>
        <v>0</v>
      </c>
      <c r="CB299" s="196">
        <f t="shared" si="835"/>
        <v>0</v>
      </c>
      <c r="CC299" s="196">
        <f t="shared" si="765"/>
        <v>0</v>
      </c>
      <c r="CD299" s="247">
        <f t="shared" si="720"/>
        <v>0</v>
      </c>
      <c r="CF299" s="247">
        <f t="shared" si="721"/>
        <v>0</v>
      </c>
      <c r="CG299" s="196">
        <f t="shared" si="803"/>
        <v>0</v>
      </c>
      <c r="CH299" s="589">
        <f t="shared" si="767"/>
        <v>0</v>
      </c>
      <c r="CI299" s="196"/>
      <c r="CJ299" s="248">
        <f t="shared" si="769"/>
        <v>0</v>
      </c>
      <c r="CK299" s="196"/>
      <c r="CL299" s="589">
        <f t="shared" si="771"/>
        <v>0</v>
      </c>
      <c r="CM299" s="196"/>
      <c r="CN299" s="589">
        <f t="shared" si="773"/>
        <v>0</v>
      </c>
      <c r="CO299" s="196"/>
      <c r="CP299" s="589">
        <f t="shared" si="775"/>
        <v>0</v>
      </c>
      <c r="CQ299" s="196"/>
      <c r="CR299" s="269">
        <f t="shared" si="724"/>
        <v>0</v>
      </c>
      <c r="CS299" s="269">
        <f>'Detailed Budget'!$AC$16</f>
        <v>10488008800.000002</v>
      </c>
      <c r="CT299" s="607">
        <f t="shared" si="804"/>
        <v>0</v>
      </c>
      <c r="CU299" s="269">
        <f>'Detailed Budget'!$AC$24</f>
        <v>30624985696</v>
      </c>
      <c r="CV299" s="269">
        <f t="shared" si="792"/>
        <v>0</v>
      </c>
      <c r="CW299" s="269"/>
      <c r="CX299" s="269">
        <f t="shared" si="776"/>
        <v>0</v>
      </c>
      <c r="CY299" s="196">
        <f>'Detailed Budget'!$AC$97</f>
        <v>74629165494.837845</v>
      </c>
      <c r="CZ299" s="269">
        <f t="shared" si="805"/>
        <v>0</v>
      </c>
      <c r="DA299" s="269">
        <f>'Detailed Budget'!$AC$100</f>
        <v>14925833098.967569</v>
      </c>
      <c r="DB299" s="269">
        <f t="shared" si="806"/>
        <v>0</v>
      </c>
      <c r="DC299" s="269"/>
      <c r="DD299" s="207"/>
      <c r="DE299" s="606">
        <v>0</v>
      </c>
      <c r="DF299" s="269">
        <f>'Detailed Budget'!$AC$147</f>
        <v>5913600671000</v>
      </c>
      <c r="DG299" s="269">
        <f t="shared" si="787"/>
        <v>0</v>
      </c>
      <c r="DH299" s="269">
        <f>'Detailed Budget'!$AC$153</f>
        <v>226428026880.00003</v>
      </c>
      <c r="DI299" s="269"/>
      <c r="DJ299" s="269">
        <f>'Detailed Budget'!$AC$156</f>
        <v>27713070000</v>
      </c>
      <c r="DK299" s="269"/>
      <c r="DL299" s="269"/>
      <c r="DM299" s="196"/>
      <c r="DN299" s="269"/>
      <c r="DO299" s="196"/>
      <c r="DP299" s="269"/>
      <c r="DQ299" s="269"/>
      <c r="DR299" s="269"/>
      <c r="DS299" s="269"/>
      <c r="DT299" s="269">
        <f t="shared" si="845"/>
        <v>0</v>
      </c>
      <c r="DU299" s="272">
        <f>'Detailed Budget'!$AC$192</f>
        <v>77498869683.252869</v>
      </c>
      <c r="DV299" s="269">
        <f t="shared" si="807"/>
        <v>0</v>
      </c>
      <c r="DW299" s="140">
        <f>'Detailed Budget'!$AC$194</f>
        <v>2684962805.4134097</v>
      </c>
      <c r="DX299" s="269">
        <f t="shared" si="808"/>
        <v>0</v>
      </c>
      <c r="DY299" s="607">
        <f t="shared" si="731"/>
        <v>0</v>
      </c>
      <c r="DZ299" s="196"/>
      <c r="EA299" s="269"/>
      <c r="EB299" s="196">
        <f>'Detailed Budget'!$AC$200</f>
        <v>4683135004.5951529</v>
      </c>
      <c r="EC299" s="269">
        <f t="shared" si="810"/>
        <v>0</v>
      </c>
      <c r="ED299" s="269">
        <f t="shared" si="734"/>
        <v>0</v>
      </c>
      <c r="EE299" s="196">
        <f>'Detailed Budget'!$AC$161</f>
        <v>251147290106.36197</v>
      </c>
      <c r="EF299" s="269">
        <f t="shared" si="811"/>
        <v>0</v>
      </c>
      <c r="EG299" s="196">
        <f>'Detailed Budget'!$AC$163</f>
        <v>15696705631.647623</v>
      </c>
      <c r="EH299" s="269">
        <f t="shared" si="812"/>
        <v>0</v>
      </c>
      <c r="EI299" s="269">
        <f t="shared" si="737"/>
        <v>0</v>
      </c>
      <c r="EJ299" s="196">
        <f>'Detailed Budget'!$AC$204</f>
        <v>45012172507.531975</v>
      </c>
      <c r="EK299" s="269">
        <f t="shared" si="813"/>
        <v>0</v>
      </c>
      <c r="EL299" s="201">
        <f>'Detailed Budget'!$AC$206</f>
        <v>11253043126.882994</v>
      </c>
      <c r="EM299" s="269">
        <f t="shared" si="814"/>
        <v>0</v>
      </c>
      <c r="EN299" s="269">
        <f t="shared" si="740"/>
        <v>0</v>
      </c>
      <c r="EO299" s="140">
        <f>'Detailed Budget'!$AC$209</f>
        <v>135789361677.54817</v>
      </c>
      <c r="EP299" s="269">
        <f t="shared" si="815"/>
        <v>0</v>
      </c>
      <c r="EQ299" s="196">
        <f>'Detailed Budget'!$AC$211</f>
        <v>33947340419.387043</v>
      </c>
      <c r="ER299" s="269">
        <f t="shared" si="816"/>
        <v>0</v>
      </c>
      <c r="ES299" s="269">
        <f t="shared" si="743"/>
        <v>0</v>
      </c>
      <c r="ET299" s="196">
        <f>'Detailed Budget'!$AC$214</f>
        <v>22239745544.201103</v>
      </c>
      <c r="EU299" s="269">
        <f t="shared" si="817"/>
        <v>0</v>
      </c>
      <c r="EV299" s="140">
        <f>'Detailed Budget'!$AC$217</f>
        <v>5559936386.0502758</v>
      </c>
      <c r="EW299" s="269">
        <f t="shared" si="818"/>
        <v>0</v>
      </c>
      <c r="EX299" s="269">
        <f t="shared" si="746"/>
        <v>0</v>
      </c>
      <c r="EY299" s="196">
        <f>'Detailed Budget'!$AC$219</f>
        <v>372777004.58170313</v>
      </c>
      <c r="EZ299" s="269">
        <f t="shared" si="819"/>
        <v>0</v>
      </c>
      <c r="FA299" s="196">
        <f>'Detailed Budget'!$AC$222</f>
        <v>93194251.145425782</v>
      </c>
      <c r="FB299" s="269">
        <f t="shared" si="820"/>
        <v>0</v>
      </c>
      <c r="FC299" s="269">
        <f t="shared" si="749"/>
        <v>0</v>
      </c>
      <c r="FD299" s="269"/>
      <c r="FE299" s="269"/>
      <c r="FF299" s="140"/>
      <c r="FG299" s="1087">
        <f t="shared" si="788"/>
        <v>0</v>
      </c>
      <c r="FJ299" s="140"/>
      <c r="FL299" s="269">
        <f t="shared" si="789"/>
        <v>0</v>
      </c>
      <c r="FO299" s="607"/>
      <c r="FP299" s="607"/>
      <c r="FQ299" s="607"/>
      <c r="FT299" s="269">
        <f t="shared" si="790"/>
        <v>0</v>
      </c>
      <c r="FU299" s="269"/>
      <c r="FV299" s="269"/>
      <c r="FW299" s="269"/>
      <c r="FX299" s="140">
        <f>'Detailed Budget'!$AC$278</f>
        <v>1114560000</v>
      </c>
      <c r="FY299" s="269"/>
      <c r="FZ299" s="269"/>
      <c r="GB299" s="269">
        <f t="shared" si="799"/>
        <v>0</v>
      </c>
      <c r="GD299" s="1078">
        <f t="shared" si="800"/>
        <v>0</v>
      </c>
    </row>
    <row r="300" spans="1:186" s="210" customFormat="1">
      <c r="A300" s="203">
        <v>3.2</v>
      </c>
      <c r="B300" s="204" t="s">
        <v>747</v>
      </c>
      <c r="C300" s="205">
        <f t="shared" ref="C300:T300" si="850">COUNTA(C301:C323)</f>
        <v>23</v>
      </c>
      <c r="D300" s="205">
        <f t="shared" si="850"/>
        <v>23</v>
      </c>
      <c r="E300" s="205">
        <f t="shared" si="850"/>
        <v>0</v>
      </c>
      <c r="F300" s="205">
        <f t="shared" si="850"/>
        <v>0</v>
      </c>
      <c r="G300" s="205">
        <f t="shared" si="850"/>
        <v>0</v>
      </c>
      <c r="H300" s="205">
        <f t="shared" si="850"/>
        <v>23</v>
      </c>
      <c r="I300" s="205">
        <f t="shared" si="850"/>
        <v>23</v>
      </c>
      <c r="J300" s="205">
        <f t="shared" si="850"/>
        <v>0</v>
      </c>
      <c r="K300" s="205">
        <f t="shared" si="850"/>
        <v>22</v>
      </c>
      <c r="L300" s="205">
        <f t="shared" si="850"/>
        <v>0</v>
      </c>
      <c r="M300" s="205">
        <f t="shared" si="850"/>
        <v>1</v>
      </c>
      <c r="N300" s="205">
        <f t="shared" si="850"/>
        <v>0</v>
      </c>
      <c r="O300" s="205">
        <f t="shared" si="850"/>
        <v>0</v>
      </c>
      <c r="P300" s="205">
        <f t="shared" si="850"/>
        <v>0</v>
      </c>
      <c r="Q300" s="205">
        <f t="shared" si="850"/>
        <v>8</v>
      </c>
      <c r="R300" s="205">
        <f t="shared" si="850"/>
        <v>15</v>
      </c>
      <c r="S300" s="205">
        <f t="shared" si="850"/>
        <v>0</v>
      </c>
      <c r="T300" s="205">
        <f t="shared" si="850"/>
        <v>0</v>
      </c>
      <c r="U300" s="206">
        <f>SUM(C300:T300)</f>
        <v>138</v>
      </c>
      <c r="V300" s="844"/>
      <c r="W300" s="207">
        <f>SUM(W301:W323)</f>
        <v>6113503</v>
      </c>
      <c r="X300" s="208">
        <v>3.07</v>
      </c>
      <c r="Y300" s="209">
        <f t="shared" si="826"/>
        <v>1.0306999999999999</v>
      </c>
      <c r="Z300" s="207">
        <v>19</v>
      </c>
      <c r="AA300" s="209">
        <f t="shared" si="827"/>
        <v>1.7762874396990105</v>
      </c>
      <c r="AB300" s="207">
        <f t="shared" si="828"/>
        <v>10859338.591462219</v>
      </c>
      <c r="AC300" s="210">
        <v>19.2</v>
      </c>
      <c r="AD300" s="207">
        <f t="shared" si="829"/>
        <v>2084993.0095607459</v>
      </c>
      <c r="AE300" s="207">
        <f t="shared" si="849"/>
        <v>1980743.3590827086</v>
      </c>
      <c r="AF300" s="207">
        <f>SUM(AF301:AF323)</f>
        <v>1980743.3590827084</v>
      </c>
      <c r="AG300" s="588">
        <f t="shared" si="756"/>
        <v>9.1580877297705615E-2</v>
      </c>
      <c r="AH300" s="207">
        <f>SUM(AH301:AH323)</f>
        <v>542966.92957311112</v>
      </c>
      <c r="AI300" s="633">
        <f t="shared" si="715"/>
        <v>4.2062825358774848E-2</v>
      </c>
      <c r="AJ300" s="207">
        <f>SUM(AJ301:AJ323)</f>
        <v>2627959.9391338569</v>
      </c>
      <c r="AK300" s="207">
        <f t="shared" si="785"/>
        <v>434373.54365848878</v>
      </c>
      <c r="AL300" s="207">
        <f t="shared" si="786"/>
        <v>434373.54365848878</v>
      </c>
      <c r="AM300" s="207">
        <f t="shared" si="716"/>
        <v>868747.08731697756</v>
      </c>
      <c r="AN300" s="632">
        <f t="shared" si="717"/>
        <v>4.2062825358774834E-2</v>
      </c>
      <c r="AO300" s="207">
        <f t="shared" si="718"/>
        <v>412654.86647556431</v>
      </c>
      <c r="AP300" s="588">
        <f t="shared" si="758"/>
        <v>4.2062825358774834E-2</v>
      </c>
      <c r="AQ300" s="207">
        <v>1</v>
      </c>
      <c r="AR300" s="588">
        <f>AQ300/37</f>
        <v>2.7027027027027029E-2</v>
      </c>
      <c r="AS300" s="207">
        <f>SUM(AS301:AS323)</f>
        <v>23</v>
      </c>
      <c r="AT300" s="588">
        <f t="shared" si="759"/>
        <v>2.9715762273901807E-2</v>
      </c>
      <c r="AU300" s="207">
        <f>SUM(AU301:AU323)</f>
        <v>255</v>
      </c>
      <c r="AV300" s="892">
        <f t="shared" si="719"/>
        <v>2.8973980229519372E-2</v>
      </c>
      <c r="AW300" s="207">
        <v>43460</v>
      </c>
      <c r="AX300" s="208">
        <f>AW300*0.002</f>
        <v>86.92</v>
      </c>
      <c r="AY300" s="207">
        <f>AX300*100</f>
        <v>8692</v>
      </c>
      <c r="AZ300" s="207">
        <f>SUM(AZ301:AZ323)</f>
        <v>1052</v>
      </c>
      <c r="BA300" s="588">
        <f t="shared" si="793"/>
        <v>3.8547506503975669E-2</v>
      </c>
      <c r="BB300" s="207">
        <v>38</v>
      </c>
      <c r="BC300" s="207">
        <v>6</v>
      </c>
      <c r="BD300" s="207">
        <f>BB300+BC300</f>
        <v>44</v>
      </c>
      <c r="BE300" s="633">
        <f>BD300/1306</f>
        <v>3.3690658499234305E-2</v>
      </c>
      <c r="BF300" s="207">
        <f>AZ300+BD300</f>
        <v>1096</v>
      </c>
      <c r="BG300" s="588">
        <f>BF300/28597</f>
        <v>3.8325698499842638E-2</v>
      </c>
      <c r="BH300" s="1084">
        <v>34.299999999999997</v>
      </c>
      <c r="BI300" s="207"/>
      <c r="BJ300" s="207">
        <v>6032066</v>
      </c>
      <c r="BK300" s="892">
        <f t="shared" si="794"/>
        <v>0.11502785924435914</v>
      </c>
      <c r="BL300" s="207">
        <f>BJ300/50</f>
        <v>120641.32</v>
      </c>
      <c r="BM300" s="892">
        <f t="shared" si="795"/>
        <v>0.11502784608328941</v>
      </c>
      <c r="BN300" s="207"/>
      <c r="BO300" s="207">
        <v>772758</v>
      </c>
      <c r="BP300" s="207">
        <f>SUM(BP301:BP323)</f>
        <v>0</v>
      </c>
      <c r="BQ300" s="633">
        <f t="shared" si="796"/>
        <v>0</v>
      </c>
      <c r="BR300" s="207">
        <f>AY300*0.5*24</f>
        <v>104304</v>
      </c>
      <c r="BS300" s="633">
        <f>BR300/2211211</f>
        <v>4.7170532346302543E-2</v>
      </c>
      <c r="BT300" s="634"/>
      <c r="BU300" s="207">
        <f>AD300*BT300*0.18</f>
        <v>0</v>
      </c>
      <c r="BV300" s="264">
        <f t="shared" si="797"/>
        <v>0</v>
      </c>
      <c r="BW300" s="207">
        <f>AD300*BT300*0.77</f>
        <v>0</v>
      </c>
      <c r="BX300" s="247">
        <f t="shared" si="798"/>
        <v>0</v>
      </c>
      <c r="BY300" s="207">
        <f t="shared" si="833"/>
        <v>0</v>
      </c>
      <c r="CA300" s="207">
        <f>SUM(CA301:CA323)</f>
        <v>3322957.6089874399</v>
      </c>
      <c r="CB300" s="207">
        <f>SUM(CB301:CB323)</f>
        <v>6645915.2179748798</v>
      </c>
      <c r="CC300" s="207">
        <f>SUM(CC301:CC323)</f>
        <v>9968872.8269623183</v>
      </c>
      <c r="CD300" s="633">
        <f t="shared" si="720"/>
        <v>4.2062825358774834E-2</v>
      </c>
      <c r="CE300" s="207">
        <f>SUM(CE301:CE323)</f>
        <v>1185604.8462181464</v>
      </c>
      <c r="CF300" s="633">
        <f t="shared" si="721"/>
        <v>5.1198104426352822E-2</v>
      </c>
      <c r="CG300" s="207">
        <f t="shared" si="803"/>
        <v>1650619.4659022572</v>
      </c>
      <c r="CH300" s="588">
        <f t="shared" si="767"/>
        <v>4.2062825358774834E-2</v>
      </c>
      <c r="CI300" s="207">
        <f t="shared" ref="CI300:CO300" si="851">SUM(CI301:CI323)</f>
        <v>3349352.0153584704</v>
      </c>
      <c r="CJ300" s="633">
        <f t="shared" si="769"/>
        <v>5.5063338630713769E-2</v>
      </c>
      <c r="CK300" s="207">
        <f t="shared" si="851"/>
        <v>2674600.0122643919</v>
      </c>
      <c r="CL300" s="588">
        <f t="shared" si="771"/>
        <v>3.844792531805203E-2</v>
      </c>
      <c r="CM300" s="207">
        <f t="shared" si="851"/>
        <v>259102.00118811353</v>
      </c>
      <c r="CN300" s="588">
        <f t="shared" si="773"/>
        <v>3.7339542975034078E-2</v>
      </c>
      <c r="CO300" s="207">
        <f t="shared" si="851"/>
        <v>20728.000095048352</v>
      </c>
      <c r="CP300" s="588">
        <f t="shared" si="775"/>
        <v>3.9089815479492092E-2</v>
      </c>
      <c r="CQ300" s="207">
        <f>'Detailed Budget'!$AC$12</f>
        <v>292876014141.44696</v>
      </c>
      <c r="CR300" s="605">
        <f t="shared" si="724"/>
        <v>33688900930.7113</v>
      </c>
      <c r="CS300" s="605">
        <f>'Detailed Budget'!$AC$16</f>
        <v>10488008800.000002</v>
      </c>
      <c r="CT300" s="605">
        <f t="shared" si="804"/>
        <v>1206413061.9665852</v>
      </c>
      <c r="CU300" s="605">
        <f>'Detailed Budget'!$AC$24</f>
        <v>30624985696</v>
      </c>
      <c r="CV300" s="605">
        <f t="shared" si="792"/>
        <v>3522726544</v>
      </c>
      <c r="CW300" s="605"/>
      <c r="CX300" s="605">
        <f t="shared" si="776"/>
        <v>38418040536.677887</v>
      </c>
      <c r="CY300" s="207">
        <f>'Detailed Budget'!$AC$97</f>
        <v>74629165494.837845</v>
      </c>
      <c r="CZ300" s="605">
        <f t="shared" si="805"/>
        <v>0</v>
      </c>
      <c r="DA300" s="605">
        <f>'Detailed Budget'!$AC$100</f>
        <v>14925833098.967569</v>
      </c>
      <c r="DB300" s="605">
        <f t="shared" si="806"/>
        <v>0</v>
      </c>
      <c r="DC300" s="605">
        <f t="shared" si="728"/>
        <v>0</v>
      </c>
      <c r="DD300" s="207">
        <f>SUM(DD301:DD323)</f>
        <v>0</v>
      </c>
      <c r="DE300" s="606">
        <v>0</v>
      </c>
      <c r="DF300" s="605">
        <f>'Detailed Budget'!$AC$147</f>
        <v>5913600671000</v>
      </c>
      <c r="DG300" s="605">
        <f t="shared" si="787"/>
        <v>0</v>
      </c>
      <c r="DH300" s="605">
        <f>'Detailed Budget'!$AC$153</f>
        <v>226428026880.00003</v>
      </c>
      <c r="DI300" s="605">
        <f>BS300*DH300</f>
        <v>10680730566.052504</v>
      </c>
      <c r="DJ300" s="605">
        <f>'Detailed Budget'!$AC$156</f>
        <v>27713070000</v>
      </c>
      <c r="DK300" s="605">
        <f>AT300*DJ300</f>
        <v>823515000</v>
      </c>
      <c r="DL300" s="605">
        <f>DI300+DK300</f>
        <v>11504245566.052504</v>
      </c>
      <c r="DM300" s="207"/>
      <c r="DN300" s="605">
        <f>SUM(DN301:DN323)</f>
        <v>644012634.10670984</v>
      </c>
      <c r="DO300" s="605"/>
      <c r="DP300" s="605">
        <f>SUM(DP301:DP323)</f>
        <v>3072820993.4071903</v>
      </c>
      <c r="DQ300" s="605">
        <f>SUM(DQ301:DQ323)</f>
        <v>3716833627.5139012</v>
      </c>
      <c r="DR300" s="605">
        <f>'Detailed Budget'!$AC$181</f>
        <v>50888946855.375237</v>
      </c>
      <c r="DS300" s="605">
        <f>SUM(DS301:DS323)</f>
        <v>4660454397.7715816</v>
      </c>
      <c r="DT300" s="605">
        <f>SUM(DT301:DT323)</f>
        <v>8377288025.2854815</v>
      </c>
      <c r="DU300" s="634">
        <f>'Detailed Budget'!$AC$192</f>
        <v>77498869683.252869</v>
      </c>
      <c r="DV300" s="605">
        <f t="shared" si="807"/>
        <v>0</v>
      </c>
      <c r="DW300" s="930">
        <f>'Detailed Budget'!$AC$194</f>
        <v>2684962805.4134097</v>
      </c>
      <c r="DX300" s="605">
        <f t="shared" si="808"/>
        <v>0</v>
      </c>
      <c r="DY300" s="605">
        <f t="shared" si="731"/>
        <v>0</v>
      </c>
      <c r="DZ300" s="207">
        <f>'Detailed Budget'!$AC$198</f>
        <v>18732540018.380611</v>
      </c>
      <c r="EA300" s="605">
        <f t="shared" ref="EA300:EA323" si="852">CF300*DZ300</f>
        <v>959070540.03188372</v>
      </c>
      <c r="EB300" s="207">
        <f>'Detailed Budget'!$AC$200</f>
        <v>4683135004.5951529</v>
      </c>
      <c r="EC300" s="605">
        <f t="shared" si="810"/>
        <v>239767635.00797093</v>
      </c>
      <c r="ED300" s="605">
        <f t="shared" si="734"/>
        <v>1198838175.0398545</v>
      </c>
      <c r="EE300" s="207">
        <f>'Detailed Budget'!$AC$161</f>
        <v>251147290106.36197</v>
      </c>
      <c r="EF300" s="605">
        <f t="shared" si="811"/>
        <v>10563964603.073462</v>
      </c>
      <c r="EG300" s="207">
        <f>'Detailed Budget'!$AC$163</f>
        <v>15696705631.647623</v>
      </c>
      <c r="EH300" s="605">
        <f t="shared" si="812"/>
        <v>660247787.69209135</v>
      </c>
      <c r="EI300" s="605">
        <f t="shared" si="737"/>
        <v>11224212390.765553</v>
      </c>
      <c r="EJ300" s="207">
        <f>'Detailed Budget'!$AC$204</f>
        <v>45012172507.531975</v>
      </c>
      <c r="EK300" s="605">
        <f t="shared" si="813"/>
        <v>2478520497.2863379</v>
      </c>
      <c r="EL300" s="207">
        <f>'Detailed Budget'!$AC$206</f>
        <v>11253043126.882994</v>
      </c>
      <c r="EM300" s="605">
        <f t="shared" si="814"/>
        <v>619630124.32158446</v>
      </c>
      <c r="EN300" s="605">
        <f t="shared" si="740"/>
        <v>3098150621.6079226</v>
      </c>
      <c r="EO300" s="930">
        <f>'Detailed Budget'!$AC$209</f>
        <v>135789361677.54817</v>
      </c>
      <c r="EP300" s="605">
        <f t="shared" si="815"/>
        <v>5220819236.764328</v>
      </c>
      <c r="EQ300" s="207">
        <f>'Detailed Budget'!$AC$211</f>
        <v>33947340419.387043</v>
      </c>
      <c r="ER300" s="605">
        <f t="shared" si="816"/>
        <v>1305204809.191082</v>
      </c>
      <c r="ES300" s="605">
        <f t="shared" si="743"/>
        <v>6526024045.95541</v>
      </c>
      <c r="ET300" s="207">
        <f>'Detailed Budget'!$AC$214</f>
        <v>22239745544.201103</v>
      </c>
      <c r="EU300" s="605">
        <f t="shared" si="817"/>
        <v>830421934.50151968</v>
      </c>
      <c r="EV300" s="930">
        <f>'Detailed Budget'!$AC$217</f>
        <v>5559936386.0502758</v>
      </c>
      <c r="EW300" s="605">
        <f t="shared" si="818"/>
        <v>207605483.62537992</v>
      </c>
      <c r="EX300" s="605">
        <f t="shared" si="746"/>
        <v>1038027418.1268996</v>
      </c>
      <c r="EY300" s="207">
        <f>'Detailed Budget'!$AC$219</f>
        <v>372777004.58170313</v>
      </c>
      <c r="EZ300" s="605">
        <f t="shared" si="819"/>
        <v>14571784.324096553</v>
      </c>
      <c r="FA300" s="207">
        <f>'Detailed Budget'!$AC$222</f>
        <v>93194251.145425782</v>
      </c>
      <c r="FB300" s="605">
        <f t="shared" si="820"/>
        <v>3642946.0810241383</v>
      </c>
      <c r="FC300" s="605">
        <f t="shared" si="749"/>
        <v>18214730.405120693</v>
      </c>
      <c r="FD300" s="605"/>
      <c r="FE300" s="605">
        <f t="shared" si="750"/>
        <v>10680416816.095352</v>
      </c>
      <c r="FF300" s="930">
        <f>'Detailed Budget'!$AC$165</f>
        <v>14927760000</v>
      </c>
      <c r="FG300" s="1087">
        <f t="shared" si="788"/>
        <v>14568795515.099333</v>
      </c>
      <c r="FH300" s="605">
        <f t="shared" ref="FH300:FH323" si="853">AV300*FF300</f>
        <v>432516623.11101007</v>
      </c>
      <c r="FI300" s="605"/>
      <c r="FJ300" s="930">
        <f>'Detailed Budget'!$AC$235</f>
        <v>3623696172</v>
      </c>
      <c r="FK300" s="605">
        <f t="shared" ref="FK300:FK323" si="854">AT300*FJ300</f>
        <v>107680894</v>
      </c>
      <c r="FL300" s="605">
        <f t="shared" si="789"/>
        <v>107680894</v>
      </c>
      <c r="FM300" s="605"/>
      <c r="FN300" s="605">
        <f>'Detailed Budget'!$AC$251</f>
        <v>1047595800</v>
      </c>
      <c r="FO300" s="605">
        <f>AR300*FN300</f>
        <v>28313400</v>
      </c>
      <c r="FP300" s="605">
        <f>'Detailed Budget'!$AB$254</f>
        <v>2773297530</v>
      </c>
      <c r="FQ300" s="605">
        <f>BE300*FP300</f>
        <v>93434220</v>
      </c>
      <c r="FR300" s="605">
        <f>'Detailed Budget'!$AC$257</f>
        <v>13636439388</v>
      </c>
      <c r="FS300" s="605">
        <f t="shared" ref="FS300:FS323" si="855">BA300*FR300</f>
        <v>525650736</v>
      </c>
      <c r="FT300" s="605">
        <f t="shared" si="790"/>
        <v>647398356</v>
      </c>
      <c r="FU300" s="605"/>
      <c r="FV300" s="605">
        <f>'Detailed Budget'!$AC$265</f>
        <v>6277805540</v>
      </c>
      <c r="FW300" s="605">
        <f>AR300*FV300</f>
        <v>169670420</v>
      </c>
      <c r="FX300" s="930">
        <f>'Detailed Budget'!$AC$278</f>
        <v>1114560000</v>
      </c>
      <c r="FY300" s="605">
        <f t="shared" ref="FY300:FY323" si="856">AT300*FX300</f>
        <v>33120000</v>
      </c>
      <c r="FZ300" s="605">
        <f t="shared" si="791"/>
        <v>202790420</v>
      </c>
      <c r="GB300" s="269">
        <f t="shared" si="799"/>
        <v>97362223318.126984</v>
      </c>
      <c r="GC300" s="889">
        <f t="shared" si="753"/>
        <v>60851389.573829368</v>
      </c>
      <c r="GD300" s="1078">
        <f t="shared" si="800"/>
        <v>5.4633009352875316E-2</v>
      </c>
    </row>
    <row r="301" spans="1:186" hidden="1" outlineLevel="1">
      <c r="A301" s="211" t="s">
        <v>748</v>
      </c>
      <c r="B301" s="212" t="s">
        <v>749</v>
      </c>
      <c r="C301" s="213" t="s">
        <v>215</v>
      </c>
      <c r="D301" s="214" t="s">
        <v>215</v>
      </c>
      <c r="E301" s="213"/>
      <c r="F301" s="213"/>
      <c r="G301" s="213"/>
      <c r="H301" s="213" t="s">
        <v>215</v>
      </c>
      <c r="I301" s="214" t="s">
        <v>215</v>
      </c>
      <c r="J301" s="214"/>
      <c r="K301" s="213" t="s">
        <v>215</v>
      </c>
      <c r="L301" s="213"/>
      <c r="M301" s="214"/>
      <c r="N301" s="213"/>
      <c r="O301" s="214"/>
      <c r="P301" s="213"/>
      <c r="Q301" s="214"/>
      <c r="R301" s="214" t="s">
        <v>215</v>
      </c>
      <c r="S301" s="214"/>
      <c r="T301" s="214"/>
      <c r="U301" s="215">
        <f t="shared" ref="U301:U323" si="857">COUNTA(C301:T301)</f>
        <v>6</v>
      </c>
      <c r="V301" s="845" t="s">
        <v>219</v>
      </c>
      <c r="W301" s="216">
        <v>258581</v>
      </c>
      <c r="X301" s="217">
        <v>3.07</v>
      </c>
      <c r="Y301" s="218">
        <f t="shared" si="826"/>
        <v>1.0306999999999999</v>
      </c>
      <c r="Z301" s="196">
        <v>19</v>
      </c>
      <c r="AA301" s="218">
        <f t="shared" si="827"/>
        <v>1.7762874396990105</v>
      </c>
      <c r="AB301" s="196">
        <f t="shared" si="828"/>
        <v>459314.18244480982</v>
      </c>
      <c r="AC301">
        <v>19.2</v>
      </c>
      <c r="AD301" s="196">
        <f t="shared" si="829"/>
        <v>88188.323029403487</v>
      </c>
      <c r="AE301" s="196">
        <f t="shared" si="849"/>
        <v>83778.906877933303</v>
      </c>
      <c r="AF301" s="196">
        <f t="shared" ref="AF301:AF323" si="858">AE301*BT301</f>
        <v>83778.906877933303</v>
      </c>
      <c r="AG301" s="606">
        <f t="shared" si="756"/>
        <v>3.8735688577429365E-3</v>
      </c>
      <c r="AH301" s="196">
        <f>AB301*0.05</f>
        <v>22965.709122240492</v>
      </c>
      <c r="AI301" s="248">
        <f t="shared" si="715"/>
        <v>1.7791186892518668E-3</v>
      </c>
      <c r="AJ301" s="196">
        <f t="shared" si="757"/>
        <v>111154.03215164397</v>
      </c>
      <c r="AK301" s="196">
        <f t="shared" si="785"/>
        <v>18372.567297792393</v>
      </c>
      <c r="AL301" s="196">
        <f t="shared" si="786"/>
        <v>18372.567297792393</v>
      </c>
      <c r="AM301" s="196">
        <f t="shared" si="716"/>
        <v>36745.134595584786</v>
      </c>
      <c r="AN301" s="627">
        <f t="shared" si="717"/>
        <v>1.7791186892518668E-3</v>
      </c>
      <c r="AO301" s="196">
        <f t="shared" si="718"/>
        <v>17453.938932902773</v>
      </c>
      <c r="AP301" s="589">
        <f t="shared" si="758"/>
        <v>1.7791186892518666E-3</v>
      </c>
      <c r="AQ301" s="196"/>
      <c r="AR301" s="589"/>
      <c r="AS301">
        <v>1</v>
      </c>
      <c r="AT301" s="589">
        <f t="shared" si="759"/>
        <v>1.2919896640826874E-3</v>
      </c>
      <c r="AU301">
        <v>11</v>
      </c>
      <c r="AV301" s="245">
        <f t="shared" si="719"/>
        <v>1.2498579706851495E-3</v>
      </c>
      <c r="AX301" s="245"/>
      <c r="AY301" s="245"/>
      <c r="AZ301">
        <v>48</v>
      </c>
      <c r="BA301" s="589">
        <f t="shared" si="793"/>
        <v>1.7588215895350116E-3</v>
      </c>
      <c r="BI301" s="196">
        <v>1</v>
      </c>
      <c r="BJ301" s="196">
        <f t="shared" ref="BJ301:BJ323" si="859">AB301/10859339*6032066</f>
        <v>255136.47407481563</v>
      </c>
      <c r="BK301" s="246">
        <f t="shared" si="794"/>
        <v>4.8652986270342497E-3</v>
      </c>
      <c r="BL301" s="196">
        <f>BJ301/50</f>
        <v>5102.7294814963125</v>
      </c>
      <c r="BM301" s="246">
        <f t="shared" si="795"/>
        <v>4.865298070364457E-3</v>
      </c>
      <c r="BN301" s="196">
        <v>0</v>
      </c>
      <c r="BO301" s="196">
        <f t="shared" ref="BO301:BO323" si="860">AJ301/2627960*772758</f>
        <v>32685.112245787644</v>
      </c>
      <c r="BP301" s="196">
        <f t="shared" si="762"/>
        <v>0</v>
      </c>
      <c r="BQ301" s="248">
        <f t="shared" si="796"/>
        <v>0</v>
      </c>
      <c r="BR301" s="248"/>
      <c r="BS301" s="248"/>
      <c r="BT301" s="276">
        <v>1</v>
      </c>
      <c r="BU301" s="196">
        <f>AD301*BT301*0.18*4*1.1</f>
        <v>69845.151839287559</v>
      </c>
      <c r="BV301" s="264">
        <f t="shared" si="797"/>
        <v>4.8445920292423889E-3</v>
      </c>
      <c r="BW301" s="196">
        <f>AD301*BT301*0.77*4*1.1</f>
        <v>298782.03842361906</v>
      </c>
      <c r="BX301" s="247">
        <f t="shared" si="798"/>
        <v>4.8445920728826608E-3</v>
      </c>
      <c r="BY301" s="196">
        <f t="shared" si="833"/>
        <v>368627.1902629066</v>
      </c>
      <c r="BZ301" s="620">
        <v>0</v>
      </c>
      <c r="CA301" s="196">
        <f t="shared" ref="CA301:CA323" si="861">AK301*0.85*0.75*12</f>
        <v>140550.1398281118</v>
      </c>
      <c r="CB301" s="196">
        <f t="shared" ref="CB301:CB323" si="862">AL301*0.85*0.75*2*12</f>
        <v>281100.2796562236</v>
      </c>
      <c r="CC301" s="196">
        <f t="shared" si="765"/>
        <v>421650.41948433541</v>
      </c>
      <c r="CD301" s="247">
        <f t="shared" si="720"/>
        <v>1.7791186892518668E-3</v>
      </c>
      <c r="CE301" s="196">
        <f t="shared" ref="CE301:CE323" si="863">AH301/542967*1185605</f>
        <v>50147.172045214422</v>
      </c>
      <c r="CF301" s="247">
        <f t="shared" si="721"/>
        <v>2.1655108438927303E-3</v>
      </c>
      <c r="CG301" s="196">
        <f t="shared" si="803"/>
        <v>69815.755731611091</v>
      </c>
      <c r="CH301" s="589">
        <f t="shared" si="767"/>
        <v>1.7791186892518666E-3</v>
      </c>
      <c r="CI301" s="196">
        <f t="shared" ref="CI301:CI323" si="864">AD301/2084993*3349352</f>
        <v>141666.5361059623</v>
      </c>
      <c r="CJ301" s="248">
        <f t="shared" si="769"/>
        <v>2.3289974939848072E-3</v>
      </c>
      <c r="CK301" s="196">
        <f t="shared" ref="CK301:CK323" si="865">AD301/2084993*2674600</f>
        <v>113126.75331497159</v>
      </c>
      <c r="CL301" s="589">
        <f t="shared" si="771"/>
        <v>1.6262203480831223E-3</v>
      </c>
      <c r="CM301" s="196">
        <f t="shared" ref="CM301:CM323" si="866">AD301/2084993*259102</f>
        <v>10959.15951447535</v>
      </c>
      <c r="CN301" s="589">
        <f t="shared" si="773"/>
        <v>1.5793394330594569E-3</v>
      </c>
      <c r="CO301" s="196">
        <f t="shared" ref="CO301:CO323" si="867">AD301/2084993*20728</f>
        <v>876.72599368605813</v>
      </c>
      <c r="CP301" s="589">
        <f t="shared" si="775"/>
        <v>1.653370183428804E-3</v>
      </c>
      <c r="CQ301" s="196">
        <f>'Detailed Budget'!$AC$12</f>
        <v>292876014141.44696</v>
      </c>
      <c r="CR301" s="269">
        <f t="shared" si="724"/>
        <v>1424929269.4936454</v>
      </c>
      <c r="CS301" s="269">
        <f>'Detailed Budget'!$AC$16</f>
        <v>10488008800.000002</v>
      </c>
      <c r="CT301" s="607">
        <f t="shared" si="804"/>
        <v>51027288.976605453</v>
      </c>
      <c r="CU301" s="269">
        <f>'Detailed Budget'!$AC$24</f>
        <v>30624985696</v>
      </c>
      <c r="CV301" s="269">
        <f t="shared" si="792"/>
        <v>148999700.85969234</v>
      </c>
      <c r="CW301" s="269"/>
      <c r="CX301" s="269">
        <f t="shared" si="776"/>
        <v>1624956259.3299432</v>
      </c>
      <c r="CY301" s="196">
        <f>'Detailed Budget'!$AC$97</f>
        <v>74629165494.837845</v>
      </c>
      <c r="CZ301" s="269">
        <f t="shared" si="805"/>
        <v>0</v>
      </c>
      <c r="DA301" s="269">
        <f>'Detailed Budget'!$AC$100</f>
        <v>14925833098.967569</v>
      </c>
      <c r="DB301" s="269">
        <f t="shared" si="806"/>
        <v>0</v>
      </c>
      <c r="DC301" s="269">
        <f t="shared" si="728"/>
        <v>0</v>
      </c>
      <c r="DD301" s="207">
        <v>0</v>
      </c>
      <c r="DE301" s="606">
        <v>0</v>
      </c>
      <c r="DF301" s="269">
        <f>'Detailed Budget'!$AC$147</f>
        <v>5913600671000</v>
      </c>
      <c r="DG301" s="269">
        <f t="shared" si="787"/>
        <v>0</v>
      </c>
      <c r="DH301" s="269">
        <f>'Detailed Budget'!$AC$153</f>
        <v>226428026880.00003</v>
      </c>
      <c r="DI301" s="269"/>
      <c r="DJ301" s="269">
        <f>'Detailed Budget'!$AC$156</f>
        <v>27713070000</v>
      </c>
      <c r="DK301" s="269"/>
      <c r="DL301" s="269"/>
      <c r="DM301" s="196">
        <f>'Detailed Budget'!$AC$178</f>
        <v>5622683761.6229038</v>
      </c>
      <c r="DN301" s="269">
        <f t="shared" ref="DN301:DN323" si="868">BT301*BV301*DM301</f>
        <v>27239608.934508931</v>
      </c>
      <c r="DO301" s="196">
        <f>'Detailed Budget'!$AC$179</f>
        <v>26827890683.128094</v>
      </c>
      <c r="DP301" s="269">
        <f t="shared" ref="DP301:DP323" si="869">BT301*BX301*DO301</f>
        <v>129970186.53564495</v>
      </c>
      <c r="DQ301" s="269">
        <f t="shared" ref="DQ301:DQ365" si="870">DN301+DP301</f>
        <v>157209795.47015387</v>
      </c>
      <c r="DR301" s="269">
        <f>'Detailed Budget'!$AC$181</f>
        <v>50888946855.375237</v>
      </c>
      <c r="DS301" s="269">
        <f t="shared" ref="DS301:DS323" si="871">BT301*AG301*DR301</f>
        <v>197121839.74231687</v>
      </c>
      <c r="DT301" s="269">
        <f t="shared" ref="DT301:DT323" si="872">DQ301+DS301</f>
        <v>354331635.21247077</v>
      </c>
      <c r="DU301" s="272">
        <f>'Detailed Budget'!$AC$192</f>
        <v>77498869683.252869</v>
      </c>
      <c r="DV301" s="269">
        <f t="shared" si="807"/>
        <v>0</v>
      </c>
      <c r="DW301" s="140">
        <f>'Detailed Budget'!$AC$194</f>
        <v>2684962805.4134097</v>
      </c>
      <c r="DX301" s="269">
        <f t="shared" si="808"/>
        <v>0</v>
      </c>
      <c r="DY301" s="607">
        <f t="shared" si="731"/>
        <v>0</v>
      </c>
      <c r="DZ301" s="196">
        <f>'Detailed Budget'!$AC$198</f>
        <v>18732540018.380611</v>
      </c>
      <c r="EA301" s="269">
        <f t="shared" si="852"/>
        <v>40565518.543457739</v>
      </c>
      <c r="EB301" s="196">
        <f>'Detailed Budget'!$AC$200</f>
        <v>4683135004.5951529</v>
      </c>
      <c r="EC301" s="269">
        <f t="shared" si="810"/>
        <v>10141379.635864435</v>
      </c>
      <c r="ED301" s="269">
        <f t="shared" si="734"/>
        <v>50706898.179322176</v>
      </c>
      <c r="EE301" s="196">
        <f>'Detailed Budget'!$AC$161</f>
        <v>251147290106.36197</v>
      </c>
      <c r="EF301" s="269">
        <f t="shared" si="811"/>
        <v>446820837.58318901</v>
      </c>
      <c r="EG301" s="196">
        <f>'Detailed Budget'!$AC$163</f>
        <v>15696705631.647623</v>
      </c>
      <c r="EH301" s="269">
        <f t="shared" si="812"/>
        <v>27926302.348949313</v>
      </c>
      <c r="EI301" s="269">
        <f t="shared" si="737"/>
        <v>474747139.93213832</v>
      </c>
      <c r="EJ301" s="196">
        <f>'Detailed Budget'!$AC$204</f>
        <v>45012172507.531975</v>
      </c>
      <c r="EK301" s="269">
        <f t="shared" si="813"/>
        <v>104833236.9688538</v>
      </c>
      <c r="EL301" s="201">
        <f>'Detailed Budget'!$AC$206</f>
        <v>11253043126.882994</v>
      </c>
      <c r="EM301" s="269">
        <f t="shared" si="814"/>
        <v>26208309.24221345</v>
      </c>
      <c r="EN301" s="269">
        <f t="shared" si="740"/>
        <v>131041546.21106726</v>
      </c>
      <c r="EO301" s="140">
        <f>'Detailed Budget'!$AC$209</f>
        <v>135789361677.54817</v>
      </c>
      <c r="EP301" s="269">
        <f t="shared" si="815"/>
        <v>220823423.01324737</v>
      </c>
      <c r="EQ301" s="196">
        <f>'Detailed Budget'!$AC$211</f>
        <v>33947340419.387043</v>
      </c>
      <c r="ER301" s="269">
        <f t="shared" si="816"/>
        <v>55205855.753311843</v>
      </c>
      <c r="ES301" s="269">
        <f t="shared" si="743"/>
        <v>276029278.76655924</v>
      </c>
      <c r="ET301" s="196">
        <f>'Detailed Budget'!$AC$214</f>
        <v>22239745544.201103</v>
      </c>
      <c r="EU301" s="269">
        <f t="shared" si="817"/>
        <v>35124107.119165152</v>
      </c>
      <c r="EV301" s="140">
        <f>'Detailed Budget'!$AC$217</f>
        <v>5559936386.0502758</v>
      </c>
      <c r="EW301" s="269">
        <f t="shared" si="818"/>
        <v>8781026.7797912881</v>
      </c>
      <c r="EX301" s="269">
        <f t="shared" si="746"/>
        <v>43905133.89895644</v>
      </c>
      <c r="EY301" s="196">
        <f>'Detailed Budget'!$AC$219</f>
        <v>372777004.58170313</v>
      </c>
      <c r="EZ301" s="269">
        <f t="shared" si="819"/>
        <v>616338.38444329065</v>
      </c>
      <c r="FA301" s="196">
        <f>'Detailed Budget'!$AC$222</f>
        <v>93194251.145425782</v>
      </c>
      <c r="FB301" s="269">
        <f t="shared" si="820"/>
        <v>154084.59611082266</v>
      </c>
      <c r="FC301" s="269">
        <f t="shared" si="749"/>
        <v>770422.98055411328</v>
      </c>
      <c r="FD301" s="269"/>
      <c r="FE301" s="269">
        <f t="shared" si="750"/>
        <v>451746381.85713702</v>
      </c>
      <c r="FF301" s="140">
        <f>'Detailed Budget'!$AC$165</f>
        <v>14927760000</v>
      </c>
      <c r="FG301" s="1087">
        <f t="shared" si="788"/>
        <v>616211967.68692207</v>
      </c>
      <c r="FH301" s="269">
        <f t="shared" si="853"/>
        <v>18657579.820474949</v>
      </c>
      <c r="FJ301" s="140">
        <f>'Detailed Budget'!$AC$235</f>
        <v>3623696172</v>
      </c>
      <c r="FK301" s="269">
        <f t="shared" si="854"/>
        <v>4681778</v>
      </c>
      <c r="FL301" s="269">
        <f t="shared" si="789"/>
        <v>4681778</v>
      </c>
      <c r="FO301" s="607"/>
      <c r="FP301" s="607"/>
      <c r="FQ301" s="607"/>
      <c r="FR301" s="269">
        <f>'Detailed Budget'!$AC$257</f>
        <v>13636439388</v>
      </c>
      <c r="FS301" s="269">
        <f t="shared" si="855"/>
        <v>23984064</v>
      </c>
      <c r="FT301" s="269">
        <f t="shared" si="790"/>
        <v>23984064</v>
      </c>
      <c r="FU301" s="269"/>
      <c r="FV301" s="269"/>
      <c r="FW301" s="269"/>
      <c r="FX301" s="140">
        <f>'Detailed Budget'!$AC$278</f>
        <v>1114560000</v>
      </c>
      <c r="FY301" s="269">
        <f t="shared" si="856"/>
        <v>1440000</v>
      </c>
      <c r="FZ301" s="269">
        <f t="shared" si="791"/>
        <v>1440000</v>
      </c>
      <c r="GB301" s="269">
        <f t="shared" si="799"/>
        <v>3621463704.0184088</v>
      </c>
      <c r="GC301" s="887">
        <f t="shared" si="753"/>
        <v>2263414.8150115055</v>
      </c>
      <c r="GD301" s="1078">
        <f t="shared" si="800"/>
        <v>2.032117320968163E-3</v>
      </c>
    </row>
    <row r="302" spans="1:186" hidden="1" outlineLevel="1">
      <c r="A302" s="211" t="s">
        <v>750</v>
      </c>
      <c r="B302" s="212" t="s">
        <v>751</v>
      </c>
      <c r="C302" s="213" t="s">
        <v>215</v>
      </c>
      <c r="D302" s="214" t="s">
        <v>215</v>
      </c>
      <c r="E302" s="213"/>
      <c r="F302" s="213"/>
      <c r="G302" s="213"/>
      <c r="H302" s="213" t="s">
        <v>215</v>
      </c>
      <c r="I302" s="214" t="s">
        <v>215</v>
      </c>
      <c r="J302" s="214"/>
      <c r="K302" s="213" t="s">
        <v>215</v>
      </c>
      <c r="L302" s="213"/>
      <c r="M302" s="214"/>
      <c r="N302" s="213"/>
      <c r="O302" s="214"/>
      <c r="P302" s="213"/>
      <c r="Q302" s="214" t="s">
        <v>215</v>
      </c>
      <c r="R302" s="214"/>
      <c r="S302" s="214"/>
      <c r="T302" s="214"/>
      <c r="U302" s="215">
        <f t="shared" si="857"/>
        <v>6</v>
      </c>
      <c r="V302" s="845" t="s">
        <v>265</v>
      </c>
      <c r="W302" s="216">
        <v>372272</v>
      </c>
      <c r="X302" s="217">
        <v>3.07</v>
      </c>
      <c r="Y302" s="218">
        <f t="shared" si="826"/>
        <v>1.0306999999999999</v>
      </c>
      <c r="Z302" s="196">
        <v>19</v>
      </c>
      <c r="AA302" s="218">
        <f t="shared" si="827"/>
        <v>1.7762874396990105</v>
      </c>
      <c r="AB302" s="196">
        <f t="shared" si="828"/>
        <v>661262.07775162999</v>
      </c>
      <c r="AC302">
        <v>19.2</v>
      </c>
      <c r="AD302" s="196">
        <f t="shared" si="829"/>
        <v>126962.31892831296</v>
      </c>
      <c r="AE302" s="196">
        <f t="shared" si="849"/>
        <v>120614.20298189731</v>
      </c>
      <c r="AF302" s="196">
        <f t="shared" si="858"/>
        <v>120614.20298189731</v>
      </c>
      <c r="AG302" s="606">
        <f t="shared" si="756"/>
        <v>5.5766712396103299E-3</v>
      </c>
      <c r="AH302" s="196">
        <f t="shared" ref="AH302:AH323" si="873">AB302*0.05</f>
        <v>33063.103887581499</v>
      </c>
      <c r="AI302" s="248">
        <f t="shared" si="715"/>
        <v>2.561348562675413E-3</v>
      </c>
      <c r="AJ302" s="196">
        <f t="shared" si="757"/>
        <v>160025.42281589448</v>
      </c>
      <c r="AK302" s="196">
        <f t="shared" si="785"/>
        <v>26450.483110065201</v>
      </c>
      <c r="AL302" s="196">
        <f t="shared" si="786"/>
        <v>26450.483110065201</v>
      </c>
      <c r="AM302" s="196">
        <f t="shared" si="716"/>
        <v>52900.966220130402</v>
      </c>
      <c r="AN302" s="627">
        <f t="shared" si="717"/>
        <v>2.561348562675413E-3</v>
      </c>
      <c r="AO302" s="196">
        <f t="shared" si="718"/>
        <v>25127.958954561938</v>
      </c>
      <c r="AP302" s="589">
        <f t="shared" si="758"/>
        <v>2.5613485626754125E-3</v>
      </c>
      <c r="AQ302" s="196"/>
      <c r="AR302" s="589"/>
      <c r="AS302">
        <v>1</v>
      </c>
      <c r="AT302" s="589">
        <f t="shared" si="759"/>
        <v>1.2919896640826874E-3</v>
      </c>
      <c r="AU302">
        <v>12</v>
      </c>
      <c r="AV302" s="245">
        <f t="shared" si="719"/>
        <v>1.3634814225656176E-3</v>
      </c>
      <c r="AX302" s="245"/>
      <c r="AY302" s="245"/>
      <c r="AZ302">
        <v>47</v>
      </c>
      <c r="BA302" s="589">
        <f t="shared" si="793"/>
        <v>1.7221794730863656E-3</v>
      </c>
      <c r="BI302" s="196">
        <v>1</v>
      </c>
      <c r="BJ302" s="196">
        <f t="shared" si="859"/>
        <v>367313.0101468389</v>
      </c>
      <c r="BK302" s="246">
        <f t="shared" si="794"/>
        <v>7.0044374895421313E-3</v>
      </c>
      <c r="BL302" s="196">
        <f t="shared" ref="BL302:BL323" si="874">BJ302/50</f>
        <v>7346.2602029367781</v>
      </c>
      <c r="BM302" s="246">
        <f t="shared" si="795"/>
        <v>7.0044366881198417E-3</v>
      </c>
      <c r="BN302" s="196">
        <v>0</v>
      </c>
      <c r="BO302" s="196">
        <f t="shared" si="860"/>
        <v>47055.862982832688</v>
      </c>
      <c r="BP302" s="196">
        <f t="shared" si="762"/>
        <v>0</v>
      </c>
      <c r="BQ302" s="248">
        <f t="shared" si="796"/>
        <v>0</v>
      </c>
      <c r="BR302" s="248"/>
      <c r="BS302" s="248"/>
      <c r="BT302" s="276">
        <v>1</v>
      </c>
      <c r="BU302" s="196">
        <f t="shared" ref="BU302:BU323" si="875">AD302*BT302*0.18*4*1.1</f>
        <v>100554.15659122387</v>
      </c>
      <c r="BV302" s="264">
        <f t="shared" si="797"/>
        <v>6.9746267665069086E-3</v>
      </c>
      <c r="BW302" s="196">
        <f t="shared" ref="BW302:BW323" si="876">AD302*BT302*0.77*4*1.1</f>
        <v>430148.33652912435</v>
      </c>
      <c r="BX302" s="247">
        <f t="shared" si="798"/>
        <v>6.9746268293346134E-3</v>
      </c>
      <c r="BY302" s="196">
        <f t="shared" si="833"/>
        <v>530702.4931203482</v>
      </c>
      <c r="BZ302" s="620">
        <v>0</v>
      </c>
      <c r="CA302" s="196">
        <f t="shared" si="861"/>
        <v>202346.19579199876</v>
      </c>
      <c r="CB302" s="196">
        <f t="shared" si="862"/>
        <v>404692.39158399752</v>
      </c>
      <c r="CC302" s="196">
        <f t="shared" si="765"/>
        <v>607038.58737599629</v>
      </c>
      <c r="CD302" s="247">
        <f t="shared" si="720"/>
        <v>2.5613485626754125E-3</v>
      </c>
      <c r="CE302" s="196">
        <f t="shared" si="863"/>
        <v>72195.513327027351</v>
      </c>
      <c r="CF302" s="247">
        <f t="shared" si="721"/>
        <v>3.1176267895848277E-3</v>
      </c>
      <c r="CG302" s="196">
        <f t="shared" ref="CG302:CG323" si="877">AO302*4</f>
        <v>100511.83581824775</v>
      </c>
      <c r="CH302" s="589">
        <f t="shared" si="767"/>
        <v>2.5613485626754125E-3</v>
      </c>
      <c r="CI302" s="196">
        <f t="shared" si="864"/>
        <v>203953.44100780331</v>
      </c>
      <c r="CJ302" s="248">
        <f t="shared" si="769"/>
        <v>3.3529940524660048E-3</v>
      </c>
      <c r="CK302" s="196">
        <f t="shared" si="865"/>
        <v>162865.49557032846</v>
      </c>
      <c r="CL302" s="589">
        <f t="shared" si="771"/>
        <v>2.3412249988266735E-3</v>
      </c>
      <c r="CM302" s="196">
        <f t="shared" si="866"/>
        <v>15777.60249505094</v>
      </c>
      <c r="CN302" s="589">
        <f t="shared" si="773"/>
        <v>2.2737318264834231E-3</v>
      </c>
      <c r="CO302" s="196">
        <f t="shared" si="867"/>
        <v>1262.1984566596009</v>
      </c>
      <c r="CP302" s="589">
        <f t="shared" si="775"/>
        <v>2.3803118749073124E-3</v>
      </c>
      <c r="CQ302" s="196">
        <f>'Detailed Budget'!$AC$12</f>
        <v>292876014141.44696</v>
      </c>
      <c r="CR302" s="269">
        <f t="shared" si="724"/>
        <v>2051431733.2400224</v>
      </c>
      <c r="CS302" s="269">
        <f>'Detailed Budget'!$AC$16</f>
        <v>10488008800.000002</v>
      </c>
      <c r="CT302" s="607">
        <f t="shared" ref="CT302:CT323" si="878">BM302*CS302</f>
        <v>73462593.624043763</v>
      </c>
      <c r="CU302" s="269">
        <f>'Detailed Budget'!$AC$24</f>
        <v>30624985696</v>
      </c>
      <c r="CV302" s="269">
        <f t="shared" si="792"/>
        <v>214510797.92575392</v>
      </c>
      <c r="CW302" s="269"/>
      <c r="CX302" s="269">
        <f t="shared" si="776"/>
        <v>2339405124.7898202</v>
      </c>
      <c r="CY302" s="196">
        <f>'Detailed Budget'!$AC$97</f>
        <v>74629165494.837845</v>
      </c>
      <c r="CZ302" s="269">
        <f t="shared" ref="CZ302:CZ323" si="879">BQ302*CY302</f>
        <v>0</v>
      </c>
      <c r="DA302" s="269">
        <f>'Detailed Budget'!$AC$100</f>
        <v>14925833098.967569</v>
      </c>
      <c r="DB302" s="269">
        <f t="shared" ref="DB302:DB323" si="880">BQ302*DA302</f>
        <v>0</v>
      </c>
      <c r="DC302" s="269">
        <f t="shared" si="728"/>
        <v>0</v>
      </c>
      <c r="DD302" s="207">
        <v>0</v>
      </c>
      <c r="DE302" s="606">
        <v>0</v>
      </c>
      <c r="DF302" s="269">
        <f>'Detailed Budget'!$AC$147</f>
        <v>5913600671000</v>
      </c>
      <c r="DG302" s="269">
        <f t="shared" si="787"/>
        <v>0</v>
      </c>
      <c r="DH302" s="269">
        <f>'Detailed Budget'!$AC$153</f>
        <v>226428026880.00003</v>
      </c>
      <c r="DI302" s="269"/>
      <c r="DJ302" s="269">
        <f>'Detailed Budget'!$AC$156</f>
        <v>27713070000</v>
      </c>
      <c r="DK302" s="269"/>
      <c r="DL302" s="269"/>
      <c r="DM302" s="196">
        <f>'Detailed Budget'!$AC$178</f>
        <v>5622683761.6229038</v>
      </c>
      <c r="DN302" s="269">
        <f t="shared" si="868"/>
        <v>39216120.663418852</v>
      </c>
      <c r="DO302" s="196">
        <f>'Detailed Budget'!$AC$179</f>
        <v>26827890683.128094</v>
      </c>
      <c r="DP302" s="269">
        <f t="shared" si="869"/>
        <v>187114526.1330013</v>
      </c>
      <c r="DQ302" s="269">
        <f t="shared" si="870"/>
        <v>226330646.79642016</v>
      </c>
      <c r="DR302" s="269">
        <f>'Detailed Budget'!$AC$181</f>
        <v>50888946855.375237</v>
      </c>
      <c r="DS302" s="269">
        <f t="shared" si="871"/>
        <v>283790926.34242964</v>
      </c>
      <c r="DT302" s="269">
        <f t="shared" si="872"/>
        <v>510121573.13884979</v>
      </c>
      <c r="DU302" s="272">
        <f>'Detailed Budget'!$AC$192</f>
        <v>77498869683.252869</v>
      </c>
      <c r="DV302" s="269">
        <f t="shared" ref="DV302:DV323" si="881">BZ302*CD302*DU302</f>
        <v>0</v>
      </c>
      <c r="DW302" s="140">
        <f>'Detailed Budget'!$AC$194</f>
        <v>2684962805.4134097</v>
      </c>
      <c r="DX302" s="269">
        <f t="shared" ref="DX302:DX323" si="882">BZ302*AN302*DW302</f>
        <v>0</v>
      </c>
      <c r="DY302" s="607">
        <f t="shared" si="731"/>
        <v>0</v>
      </c>
      <c r="DZ302" s="196">
        <f>'Detailed Budget'!$AC$198</f>
        <v>18732540018.380611</v>
      </c>
      <c r="EA302" s="269">
        <f t="shared" si="852"/>
        <v>58401068.598273255</v>
      </c>
      <c r="EB302" s="196">
        <f>'Detailed Budget'!$AC$200</f>
        <v>4683135004.5951529</v>
      </c>
      <c r="EC302" s="269">
        <f t="shared" ref="EC302:EC323" si="883">CF302*EB302</f>
        <v>14600267.149568314</v>
      </c>
      <c r="ED302" s="269">
        <f t="shared" si="734"/>
        <v>73001335.747841567</v>
      </c>
      <c r="EE302" s="196">
        <f>'Detailed Budget'!$AC$161</f>
        <v>251147290106.36197</v>
      </c>
      <c r="EF302" s="269">
        <f t="shared" ref="EF302:EF323" si="884">CH302*EE302</f>
        <v>643275750.53375506</v>
      </c>
      <c r="EG302" s="196">
        <f>'Detailed Budget'!$AC$163</f>
        <v>15696705631.647623</v>
      </c>
      <c r="EH302" s="269">
        <f t="shared" ref="EH302:EH323" si="885">AP302*EG302</f>
        <v>40204734.408359692</v>
      </c>
      <c r="EI302" s="269">
        <f t="shared" si="737"/>
        <v>683480484.94211471</v>
      </c>
      <c r="EJ302" s="196">
        <f>'Detailed Budget'!$AC$204</f>
        <v>45012172507.531975</v>
      </c>
      <c r="EK302" s="269">
        <f t="shared" ref="EK302:EK323" si="886">CJ302*EJ302</f>
        <v>150925546.70632854</v>
      </c>
      <c r="EL302" s="201">
        <f>'Detailed Budget'!$AC$206</f>
        <v>11253043126.882994</v>
      </c>
      <c r="EM302" s="269">
        <f t="shared" ref="EM302:EM323" si="887">CJ302*EL302</f>
        <v>37731386.676582135</v>
      </c>
      <c r="EN302" s="269">
        <f t="shared" si="740"/>
        <v>188656933.38291067</v>
      </c>
      <c r="EO302" s="140">
        <f>'Detailed Budget'!$AC$209</f>
        <v>135789361677.54817</v>
      </c>
      <c r="EP302" s="269">
        <f t="shared" ref="EP302:EP323" si="888">CL302*EO302</f>
        <v>317913448.13419247</v>
      </c>
      <c r="EQ302" s="196">
        <f>'Detailed Budget'!$AC$211</f>
        <v>33947340419.387043</v>
      </c>
      <c r="ER302" s="269">
        <f t="shared" ref="ER302:ER323" si="889">CL302*EQ302</f>
        <v>79478362.033548117</v>
      </c>
      <c r="ES302" s="269">
        <f t="shared" si="743"/>
        <v>397391810.16774058</v>
      </c>
      <c r="ET302" s="196">
        <f>'Detailed Budget'!$AC$214</f>
        <v>22239745544.201103</v>
      </c>
      <c r="EU302" s="269">
        <f t="shared" ref="EU302:EU323" si="890">CN302*ET302</f>
        <v>50567217.256742947</v>
      </c>
      <c r="EV302" s="140">
        <f>'Detailed Budget'!$AC$217</f>
        <v>5559936386.0502758</v>
      </c>
      <c r="EW302" s="269">
        <f t="shared" ref="EW302:EW323" si="891">CN302*EV302</f>
        <v>12641804.314185737</v>
      </c>
      <c r="EX302" s="269">
        <f t="shared" si="746"/>
        <v>63209021.570928685</v>
      </c>
      <c r="EY302" s="196">
        <f>'Detailed Budget'!$AC$219</f>
        <v>372777004.58170313</v>
      </c>
      <c r="EZ302" s="269">
        <f t="shared" ref="EZ302:EZ323" si="892">CP302*EY302</f>
        <v>887325.53069820558</v>
      </c>
      <c r="FA302" s="196">
        <f>'Detailed Budget'!$AC$222</f>
        <v>93194251.145425782</v>
      </c>
      <c r="FB302" s="269">
        <f t="shared" ref="FB302:FB323" si="893">CP302*FA302</f>
        <v>221831.38267455139</v>
      </c>
      <c r="FC302" s="269">
        <f t="shared" si="749"/>
        <v>1109156.9133727569</v>
      </c>
      <c r="FD302" s="269"/>
      <c r="FE302" s="269">
        <f t="shared" si="750"/>
        <v>650366922.03495276</v>
      </c>
      <c r="FF302" s="140">
        <f>'Detailed Budget'!$AC$165</f>
        <v>14927760000</v>
      </c>
      <c r="FG302" s="1087">
        <f t="shared" si="788"/>
        <v>887143531.94838703</v>
      </c>
      <c r="FH302" s="269">
        <f t="shared" si="853"/>
        <v>20353723.440518126</v>
      </c>
      <c r="FJ302" s="140">
        <f>'Detailed Budget'!$AC$235</f>
        <v>3623696172</v>
      </c>
      <c r="FK302" s="269">
        <f t="shared" si="854"/>
        <v>4681778</v>
      </c>
      <c r="FL302" s="269">
        <f t="shared" si="789"/>
        <v>4681778</v>
      </c>
      <c r="FO302" s="607"/>
      <c r="FP302" s="607"/>
      <c r="FQ302" s="607"/>
      <c r="FR302" s="269">
        <f>'Detailed Budget'!$AC$257</f>
        <v>13636439388</v>
      </c>
      <c r="FS302" s="269">
        <f t="shared" si="855"/>
        <v>23484396</v>
      </c>
      <c r="FT302" s="269">
        <f t="shared" si="790"/>
        <v>23484396</v>
      </c>
      <c r="FU302" s="269"/>
      <c r="FV302" s="269"/>
      <c r="FW302" s="269"/>
      <c r="FX302" s="140">
        <f>'Detailed Budget'!$AC$278</f>
        <v>1114560000</v>
      </c>
      <c r="FY302" s="269">
        <f t="shared" si="856"/>
        <v>1440000</v>
      </c>
      <c r="FZ302" s="269">
        <f t="shared" si="791"/>
        <v>1440000</v>
      </c>
      <c r="GB302" s="269">
        <f t="shared" si="799"/>
        <v>5193478870.0424843</v>
      </c>
      <c r="GC302" s="887">
        <f t="shared" si="753"/>
        <v>3245924.2937765527</v>
      </c>
      <c r="GD302" s="1078">
        <f t="shared" si="800"/>
        <v>2.9142245319716859E-3</v>
      </c>
    </row>
    <row r="303" spans="1:186" hidden="1" outlineLevel="1">
      <c r="A303" s="211" t="s">
        <v>752</v>
      </c>
      <c r="B303" s="212" t="s">
        <v>753</v>
      </c>
      <c r="C303" s="213" t="s">
        <v>215</v>
      </c>
      <c r="D303" s="214" t="s">
        <v>215</v>
      </c>
      <c r="E303" s="213"/>
      <c r="F303" s="213"/>
      <c r="G303" s="213"/>
      <c r="H303" s="213" t="s">
        <v>215</v>
      </c>
      <c r="I303" s="214" t="s">
        <v>215</v>
      </c>
      <c r="J303" s="214"/>
      <c r="K303" s="213" t="s">
        <v>215</v>
      </c>
      <c r="L303" s="213"/>
      <c r="M303" s="214"/>
      <c r="N303" s="213"/>
      <c r="O303" s="214"/>
      <c r="P303" s="213"/>
      <c r="Q303" s="214" t="s">
        <v>215</v>
      </c>
      <c r="R303" s="214"/>
      <c r="S303" s="214"/>
      <c r="T303" s="214"/>
      <c r="U303" s="215">
        <f t="shared" si="857"/>
        <v>6</v>
      </c>
      <c r="V303" s="845" t="s">
        <v>265</v>
      </c>
      <c r="W303" s="216">
        <v>292384</v>
      </c>
      <c r="X303" s="217">
        <v>3.07</v>
      </c>
      <c r="Y303" s="218">
        <f t="shared" si="826"/>
        <v>1.0306999999999999</v>
      </c>
      <c r="Z303" s="196">
        <v>19</v>
      </c>
      <c r="AA303" s="218">
        <f t="shared" si="827"/>
        <v>1.7762874396990105</v>
      </c>
      <c r="AB303" s="196">
        <f t="shared" si="828"/>
        <v>519358.02676895546</v>
      </c>
      <c r="AC303">
        <v>19.2</v>
      </c>
      <c r="AD303" s="196">
        <f t="shared" si="829"/>
        <v>99716.741139639445</v>
      </c>
      <c r="AE303" s="196">
        <f t="shared" si="849"/>
        <v>94730.904082657464</v>
      </c>
      <c r="AF303" s="196">
        <f t="shared" si="858"/>
        <v>94730.904082657464</v>
      </c>
      <c r="AG303" s="606">
        <f t="shared" si="756"/>
        <v>4.3799411283207612E-3</v>
      </c>
      <c r="AH303" s="196">
        <f t="shared" si="873"/>
        <v>25967.901338447773</v>
      </c>
      <c r="AI303" s="248">
        <f t="shared" si="715"/>
        <v>2.0116939714759315E-3</v>
      </c>
      <c r="AJ303" s="196">
        <f t="shared" si="757"/>
        <v>125684.64247808722</v>
      </c>
      <c r="AK303" s="196">
        <f t="shared" si="785"/>
        <v>20774.321070758218</v>
      </c>
      <c r="AL303" s="196">
        <f t="shared" si="786"/>
        <v>20774.321070758218</v>
      </c>
      <c r="AM303" s="196">
        <f t="shared" si="716"/>
        <v>41548.642141516437</v>
      </c>
      <c r="AN303" s="627">
        <f t="shared" si="717"/>
        <v>2.0116939714759315E-3</v>
      </c>
      <c r="AO303" s="196">
        <f t="shared" si="718"/>
        <v>19735.605017220307</v>
      </c>
      <c r="AP303" s="589">
        <f t="shared" si="758"/>
        <v>2.0116939714759311E-3</v>
      </c>
      <c r="AQ303" s="196"/>
      <c r="AR303" s="589"/>
      <c r="AS303">
        <v>1</v>
      </c>
      <c r="AT303" s="589">
        <f t="shared" si="759"/>
        <v>1.2919896640826874E-3</v>
      </c>
      <c r="AU303">
        <v>11</v>
      </c>
      <c r="AV303" s="245">
        <f t="shared" si="719"/>
        <v>1.2498579706851495E-3</v>
      </c>
      <c r="AX303" s="245"/>
      <c r="AY303" s="245"/>
      <c r="AZ303">
        <v>61</v>
      </c>
      <c r="BA303" s="589">
        <f t="shared" si="793"/>
        <v>2.2351691033674105E-3</v>
      </c>
      <c r="BI303" s="196">
        <v>1</v>
      </c>
      <c r="BJ303" s="196">
        <f t="shared" si="859"/>
        <v>288489.18843956396</v>
      </c>
      <c r="BK303" s="246">
        <f t="shared" si="794"/>
        <v>5.5013147670044662E-3</v>
      </c>
      <c r="BL303" s="196">
        <f t="shared" si="874"/>
        <v>5769.7837687912797</v>
      </c>
      <c r="BM303" s="246">
        <f t="shared" si="795"/>
        <v>5.5013141375640177E-3</v>
      </c>
      <c r="BN303" s="196">
        <v>0</v>
      </c>
      <c r="BO303" s="196">
        <f t="shared" si="860"/>
        <v>36957.873389275985</v>
      </c>
      <c r="BP303" s="196">
        <f t="shared" si="762"/>
        <v>0</v>
      </c>
      <c r="BQ303" s="248">
        <f t="shared" si="796"/>
        <v>0</v>
      </c>
      <c r="BR303" s="248"/>
      <c r="BS303" s="248"/>
      <c r="BT303" s="276">
        <v>1</v>
      </c>
      <c r="BU303" s="196">
        <f t="shared" si="875"/>
        <v>78975.658982594439</v>
      </c>
      <c r="BV303" s="264">
        <f t="shared" si="797"/>
        <v>5.4779012993143601E-3</v>
      </c>
      <c r="BW303" s="196">
        <f t="shared" si="876"/>
        <v>337840.31898109848</v>
      </c>
      <c r="BX303" s="247">
        <f t="shared" si="798"/>
        <v>5.4779013486595061E-3</v>
      </c>
      <c r="BY303" s="196">
        <f t="shared" si="833"/>
        <v>416815.97796369292</v>
      </c>
      <c r="BZ303" s="620">
        <v>0</v>
      </c>
      <c r="CA303" s="196">
        <f t="shared" si="861"/>
        <v>158923.55619130036</v>
      </c>
      <c r="CB303" s="196">
        <f t="shared" si="862"/>
        <v>317847.11238260072</v>
      </c>
      <c r="CC303" s="196">
        <f t="shared" si="765"/>
        <v>476770.66857390106</v>
      </c>
      <c r="CD303" s="247">
        <f t="shared" si="720"/>
        <v>2.0116939714759311E-3</v>
      </c>
      <c r="CE303" s="196">
        <f t="shared" si="863"/>
        <v>56702.660873258181</v>
      </c>
      <c r="CF303" s="247">
        <f t="shared" si="721"/>
        <v>2.4485972387017301E-3</v>
      </c>
      <c r="CG303" s="196">
        <f t="shared" si="877"/>
        <v>78942.420068881227</v>
      </c>
      <c r="CH303" s="589">
        <f t="shared" si="767"/>
        <v>2.0116939714759311E-3</v>
      </c>
      <c r="CI303" s="196">
        <f t="shared" si="864"/>
        <v>160185.89336728404</v>
      </c>
      <c r="CJ303" s="248">
        <f t="shared" si="769"/>
        <v>2.6334556803525927E-3</v>
      </c>
      <c r="CK303" s="196">
        <f t="shared" si="865"/>
        <v>127915.24760614528</v>
      </c>
      <c r="CL303" s="589">
        <f t="shared" si="771"/>
        <v>1.8388079953822424E-3</v>
      </c>
      <c r="CM303" s="196">
        <f t="shared" si="866"/>
        <v>12391.795590087286</v>
      </c>
      <c r="CN303" s="589">
        <f t="shared" si="773"/>
        <v>1.7857985729642016E-3</v>
      </c>
      <c r="CO303" s="196">
        <f t="shared" si="867"/>
        <v>991.33599505727182</v>
      </c>
      <c r="CP303" s="589">
        <f t="shared" si="775"/>
        <v>1.8695069928248687E-3</v>
      </c>
      <c r="CQ303" s="196">
        <f>'Detailed Budget'!$AC$12</f>
        <v>292876014141.44696</v>
      </c>
      <c r="CR303" s="269">
        <f t="shared" si="724"/>
        <v>1611203141.497751</v>
      </c>
      <c r="CS303" s="269">
        <f>'Detailed Budget'!$AC$16</f>
        <v>10488008800.000002</v>
      </c>
      <c r="CT303" s="607">
        <f t="shared" si="878"/>
        <v>57697831.086335838</v>
      </c>
      <c r="CU303" s="269">
        <f>'Detailed Budget'!$AC$24</f>
        <v>30624985696</v>
      </c>
      <c r="CV303" s="269">
        <f t="shared" si="792"/>
        <v>168477686.04870534</v>
      </c>
      <c r="CW303" s="269"/>
      <c r="CX303" s="269">
        <f t="shared" si="776"/>
        <v>1837378658.6327922</v>
      </c>
      <c r="CY303" s="196">
        <f>'Detailed Budget'!$AC$97</f>
        <v>74629165494.837845</v>
      </c>
      <c r="CZ303" s="269">
        <f t="shared" si="879"/>
        <v>0</v>
      </c>
      <c r="DA303" s="269">
        <f>'Detailed Budget'!$AC$100</f>
        <v>14925833098.967569</v>
      </c>
      <c r="DB303" s="269">
        <f t="shared" si="880"/>
        <v>0</v>
      </c>
      <c r="DC303" s="269">
        <f t="shared" si="728"/>
        <v>0</v>
      </c>
      <c r="DD303" s="207">
        <v>0</v>
      </c>
      <c r="DE303" s="606">
        <v>0</v>
      </c>
      <c r="DF303" s="269">
        <f>'Detailed Budget'!$AC$147</f>
        <v>5913600671000</v>
      </c>
      <c r="DG303" s="269">
        <f t="shared" si="787"/>
        <v>0</v>
      </c>
      <c r="DH303" s="269">
        <f>'Detailed Budget'!$AC$153</f>
        <v>226428026880.00003</v>
      </c>
      <c r="DI303" s="269"/>
      <c r="DJ303" s="269">
        <f>'Detailed Budget'!$AC$156</f>
        <v>27713070000</v>
      </c>
      <c r="DK303" s="269"/>
      <c r="DL303" s="269"/>
      <c r="DM303" s="196">
        <f>'Detailed Budget'!$AC$178</f>
        <v>5622683761.6229038</v>
      </c>
      <c r="DN303" s="269">
        <f t="shared" si="868"/>
        <v>30800506.683427859</v>
      </c>
      <c r="DO303" s="196">
        <f>'Detailed Budget'!$AC$179</f>
        <v>26827890683.128094</v>
      </c>
      <c r="DP303" s="269">
        <f t="shared" si="869"/>
        <v>146960538.55479717</v>
      </c>
      <c r="DQ303" s="269">
        <f t="shared" si="870"/>
        <v>177761045.23822504</v>
      </c>
      <c r="DR303" s="269">
        <f>'Detailed Budget'!$AC$181</f>
        <v>50888946855.375237</v>
      </c>
      <c r="DS303" s="269">
        <f t="shared" si="871"/>
        <v>222890591.30878747</v>
      </c>
      <c r="DT303" s="269">
        <f t="shared" si="872"/>
        <v>400651636.54701251</v>
      </c>
      <c r="DU303" s="272">
        <f>'Detailed Budget'!$AC$192</f>
        <v>77498869683.252869</v>
      </c>
      <c r="DV303" s="269">
        <f t="shared" si="881"/>
        <v>0</v>
      </c>
      <c r="DW303" s="140">
        <f>'Detailed Budget'!$AC$194</f>
        <v>2684962805.4134097</v>
      </c>
      <c r="DX303" s="269">
        <f t="shared" si="882"/>
        <v>0</v>
      </c>
      <c r="DY303" s="607">
        <f t="shared" si="731"/>
        <v>0</v>
      </c>
      <c r="DZ303" s="196">
        <f>'Detailed Budget'!$AC$198</f>
        <v>18732540018.380611</v>
      </c>
      <c r="EA303" s="269">
        <f t="shared" si="852"/>
        <v>45868445.762876421</v>
      </c>
      <c r="EB303" s="196">
        <f>'Detailed Budget'!$AC$200</f>
        <v>4683135004.5951529</v>
      </c>
      <c r="EC303" s="269">
        <f t="shared" si="883"/>
        <v>11467111.440719105</v>
      </c>
      <c r="ED303" s="269">
        <f t="shared" si="734"/>
        <v>57335557.203595527</v>
      </c>
      <c r="EE303" s="196">
        <f>'Detailed Budget'!$AC$161</f>
        <v>251147290106.36197</v>
      </c>
      <c r="EF303" s="269">
        <f t="shared" si="884"/>
        <v>505231489.45948511</v>
      </c>
      <c r="EG303" s="196">
        <f>'Detailed Budget'!$AC$163</f>
        <v>15696705631.647623</v>
      </c>
      <c r="EH303" s="269">
        <f t="shared" si="885"/>
        <v>31576968.09121782</v>
      </c>
      <c r="EI303" s="269">
        <f t="shared" si="737"/>
        <v>536808457.55070293</v>
      </c>
      <c r="EJ303" s="196">
        <f>'Detailed Budget'!$AC$204</f>
        <v>45012172507.531975</v>
      </c>
      <c r="EK303" s="269">
        <f t="shared" si="886"/>
        <v>118537561.37497088</v>
      </c>
      <c r="EL303" s="201">
        <f>'Detailed Budget'!$AC$206</f>
        <v>11253043126.882994</v>
      </c>
      <c r="EM303" s="269">
        <f t="shared" si="887"/>
        <v>29634390.343742721</v>
      </c>
      <c r="EN303" s="269">
        <f t="shared" si="740"/>
        <v>148171951.71871361</v>
      </c>
      <c r="EO303" s="140">
        <f>'Detailed Budget'!$AC$209</f>
        <v>135789361677.54817</v>
      </c>
      <c r="EP303" s="269">
        <f t="shared" si="888"/>
        <v>249690563.94052663</v>
      </c>
      <c r="EQ303" s="196">
        <f>'Detailed Budget'!$AC$211</f>
        <v>33947340419.387043</v>
      </c>
      <c r="ER303" s="269">
        <f t="shared" si="889"/>
        <v>62422640.985131659</v>
      </c>
      <c r="ES303" s="269">
        <f t="shared" si="743"/>
        <v>312113204.92565829</v>
      </c>
      <c r="ET303" s="196">
        <f>'Detailed Budget'!$AC$214</f>
        <v>22239745544.201103</v>
      </c>
      <c r="EU303" s="269">
        <f t="shared" si="890"/>
        <v>39715705.855921291</v>
      </c>
      <c r="EV303" s="140">
        <f>'Detailed Budget'!$AC$217</f>
        <v>5559936386.0502758</v>
      </c>
      <c r="EW303" s="269">
        <f t="shared" si="891"/>
        <v>9928926.4639803227</v>
      </c>
      <c r="EX303" s="269">
        <f t="shared" si="746"/>
        <v>49644632.319901615</v>
      </c>
      <c r="EY303" s="196">
        <f>'Detailed Budget'!$AC$219</f>
        <v>372777004.58170313</v>
      </c>
      <c r="EZ303" s="269">
        <f t="shared" si="892"/>
        <v>696909.21682980214</v>
      </c>
      <c r="FA303" s="196">
        <f>'Detailed Budget'!$AC$222</f>
        <v>93194251.145425782</v>
      </c>
      <c r="FB303" s="269">
        <f t="shared" si="893"/>
        <v>174227.30420745054</v>
      </c>
      <c r="FC303" s="269">
        <f t="shared" si="749"/>
        <v>871136.52103725262</v>
      </c>
      <c r="FD303" s="269"/>
      <c r="FE303" s="269">
        <f t="shared" si="750"/>
        <v>510800925.48531073</v>
      </c>
      <c r="FF303" s="140">
        <f>'Detailed Budget'!$AC$165</f>
        <v>14927760000</v>
      </c>
      <c r="FG303" s="1087">
        <f t="shared" si="788"/>
        <v>696766274.24355626</v>
      </c>
      <c r="FH303" s="269">
        <f t="shared" si="853"/>
        <v>18657579.820474949</v>
      </c>
      <c r="FJ303" s="140">
        <f>'Detailed Budget'!$AC$235</f>
        <v>3623696172</v>
      </c>
      <c r="FK303" s="269">
        <f t="shared" si="854"/>
        <v>4681778</v>
      </c>
      <c r="FL303" s="269">
        <f t="shared" si="789"/>
        <v>4681778</v>
      </c>
      <c r="FO303" s="607"/>
      <c r="FP303" s="607"/>
      <c r="FQ303" s="607"/>
      <c r="FR303" s="269">
        <f>'Detailed Budget'!$AC$257</f>
        <v>13636439388</v>
      </c>
      <c r="FS303" s="269">
        <f t="shared" si="855"/>
        <v>30479748</v>
      </c>
      <c r="FT303" s="269">
        <f t="shared" si="790"/>
        <v>30479748</v>
      </c>
      <c r="FU303" s="269"/>
      <c r="FV303" s="269"/>
      <c r="FW303" s="269"/>
      <c r="FX303" s="140">
        <f>'Detailed Budget'!$AC$278</f>
        <v>1114560000</v>
      </c>
      <c r="FY303" s="269">
        <f t="shared" si="856"/>
        <v>1440000</v>
      </c>
      <c r="FZ303" s="269">
        <f t="shared" si="791"/>
        <v>1440000</v>
      </c>
      <c r="GB303" s="269">
        <f t="shared" si="799"/>
        <v>4095000615.4834456</v>
      </c>
      <c r="GC303" s="887">
        <f t="shared" si="753"/>
        <v>2559375.3846771535</v>
      </c>
      <c r="GD303" s="1078">
        <f t="shared" si="800"/>
        <v>2.2978337932437545E-3</v>
      </c>
    </row>
    <row r="304" spans="1:186" hidden="1" outlineLevel="1">
      <c r="A304" s="211" t="s">
        <v>754</v>
      </c>
      <c r="B304" s="212" t="s">
        <v>755</v>
      </c>
      <c r="C304" s="213" t="s">
        <v>215</v>
      </c>
      <c r="D304" s="214" t="s">
        <v>215</v>
      </c>
      <c r="E304" s="213"/>
      <c r="F304" s="213"/>
      <c r="G304" s="213"/>
      <c r="H304" s="213" t="s">
        <v>215</v>
      </c>
      <c r="I304" s="214" t="s">
        <v>215</v>
      </c>
      <c r="J304" s="214"/>
      <c r="K304" s="213" t="s">
        <v>215</v>
      </c>
      <c r="L304" s="213"/>
      <c r="M304" s="214"/>
      <c r="N304" s="213"/>
      <c r="O304" s="214"/>
      <c r="P304" s="213"/>
      <c r="Q304" s="214" t="s">
        <v>215</v>
      </c>
      <c r="R304" s="214"/>
      <c r="S304" s="214"/>
      <c r="T304" s="214"/>
      <c r="U304" s="215">
        <f t="shared" si="857"/>
        <v>6</v>
      </c>
      <c r="V304" s="845" t="s">
        <v>265</v>
      </c>
      <c r="W304" s="216">
        <v>430753</v>
      </c>
      <c r="X304" s="217">
        <v>3.07</v>
      </c>
      <c r="Y304" s="218">
        <f t="shared" si="826"/>
        <v>1.0306999999999999</v>
      </c>
      <c r="Z304" s="196">
        <v>19</v>
      </c>
      <c r="AA304" s="218">
        <f t="shared" si="827"/>
        <v>1.7762874396990105</v>
      </c>
      <c r="AB304" s="196">
        <f t="shared" ref="AB304:AB336" si="894">W304*AA304</f>
        <v>765141.14351266786</v>
      </c>
      <c r="AC304">
        <v>19.2</v>
      </c>
      <c r="AD304" s="196">
        <f t="shared" ref="AD304:AD336" si="895">AB304*AC304/100</f>
        <v>146907.09955443221</v>
      </c>
      <c r="AE304" s="196">
        <f t="shared" si="849"/>
        <v>139561.7445767106</v>
      </c>
      <c r="AF304" s="196">
        <f t="shared" si="858"/>
        <v>139561.7445767106</v>
      </c>
      <c r="AG304" s="606">
        <f t="shared" si="756"/>
        <v>6.4527223816883035E-3</v>
      </c>
      <c r="AH304" s="196">
        <f t="shared" si="873"/>
        <v>38257.057175633396</v>
      </c>
      <c r="AI304" s="248">
        <f t="shared" si="715"/>
        <v>2.9637162542928887E-3</v>
      </c>
      <c r="AJ304" s="196">
        <f t="shared" si="757"/>
        <v>185164.15673006559</v>
      </c>
      <c r="AK304" s="196">
        <f t="shared" si="785"/>
        <v>30605.645740506716</v>
      </c>
      <c r="AL304" s="196">
        <f t="shared" si="786"/>
        <v>30605.645740506716</v>
      </c>
      <c r="AM304" s="196">
        <f t="shared" si="716"/>
        <v>61211.291481013432</v>
      </c>
      <c r="AN304" s="627">
        <f t="shared" si="717"/>
        <v>2.9637162542928887E-3</v>
      </c>
      <c r="AO304" s="196">
        <f t="shared" si="718"/>
        <v>29075.363453481379</v>
      </c>
      <c r="AP304" s="589">
        <f t="shared" si="758"/>
        <v>2.9637162542928883E-3</v>
      </c>
      <c r="AQ304" s="196"/>
      <c r="AR304" s="589"/>
      <c r="AS304">
        <v>1</v>
      </c>
      <c r="AT304" s="589">
        <f t="shared" si="759"/>
        <v>1.2919896640826874E-3</v>
      </c>
      <c r="AU304">
        <v>12</v>
      </c>
      <c r="AV304" s="245">
        <f t="shared" si="719"/>
        <v>1.3634814225656176E-3</v>
      </c>
      <c r="AX304" s="245"/>
      <c r="AY304" s="245"/>
      <c r="AZ304">
        <v>5</v>
      </c>
      <c r="BA304" s="589">
        <f t="shared" si="793"/>
        <v>1.8321058224323036E-4</v>
      </c>
      <c r="BI304" s="196">
        <v>1</v>
      </c>
      <c r="BJ304" s="196">
        <f t="shared" si="859"/>
        <v>425014.99188706459</v>
      </c>
      <c r="BK304" s="246">
        <f t="shared" si="794"/>
        <v>8.1047794675203674E-3</v>
      </c>
      <c r="BL304" s="196">
        <f t="shared" si="874"/>
        <v>8500.2998377412914</v>
      </c>
      <c r="BM304" s="246">
        <f t="shared" si="795"/>
        <v>8.1047785402009447E-3</v>
      </c>
      <c r="BN304" s="196">
        <v>0</v>
      </c>
      <c r="BO304" s="196">
        <f t="shared" si="860"/>
        <v>54447.968548384306</v>
      </c>
      <c r="BP304" s="196">
        <f t="shared" si="762"/>
        <v>0</v>
      </c>
      <c r="BQ304" s="248">
        <f t="shared" si="796"/>
        <v>0</v>
      </c>
      <c r="BR304" s="248"/>
      <c r="BS304" s="248"/>
      <c r="BT304" s="276">
        <v>1</v>
      </c>
      <c r="BU304" s="196">
        <f t="shared" si="875"/>
        <v>116350.42284711033</v>
      </c>
      <c r="BV304" s="264">
        <f t="shared" si="797"/>
        <v>8.0702857146203594E-3</v>
      </c>
      <c r="BW304" s="196">
        <f t="shared" si="876"/>
        <v>497721.25329041638</v>
      </c>
      <c r="BX304" s="247">
        <f t="shared" si="798"/>
        <v>8.0702857873178012E-3</v>
      </c>
      <c r="BY304" s="196">
        <f t="shared" si="833"/>
        <v>614071.67613752675</v>
      </c>
      <c r="BZ304" s="620">
        <v>0</v>
      </c>
      <c r="CA304" s="196">
        <f t="shared" si="861"/>
        <v>234133.18991487636</v>
      </c>
      <c r="CB304" s="196">
        <f t="shared" si="862"/>
        <v>468266.37982975272</v>
      </c>
      <c r="CC304" s="196">
        <f t="shared" si="765"/>
        <v>702399.56974462909</v>
      </c>
      <c r="CD304" s="247">
        <f t="shared" si="720"/>
        <v>2.9637162542928883E-3</v>
      </c>
      <c r="CE304" s="196">
        <f t="shared" si="863"/>
        <v>83536.860016753941</v>
      </c>
      <c r="CF304" s="247">
        <f t="shared" si="721"/>
        <v>3.6073814106192077E-3</v>
      </c>
      <c r="CG304" s="196">
        <f t="shared" si="877"/>
        <v>116301.45381392552</v>
      </c>
      <c r="CH304" s="589">
        <f t="shared" si="767"/>
        <v>2.9637162542928883E-3</v>
      </c>
      <c r="CI304" s="196">
        <f t="shared" si="864"/>
        <v>235992.92069893595</v>
      </c>
      <c r="CJ304" s="248">
        <f t="shared" si="769"/>
        <v>3.879723017261273E-3</v>
      </c>
      <c r="CK304" s="196">
        <f t="shared" si="865"/>
        <v>188450.38255202025</v>
      </c>
      <c r="CL304" s="589">
        <f t="shared" si="771"/>
        <v>2.7090130117752233E-3</v>
      </c>
      <c r="CM304" s="196">
        <f t="shared" si="866"/>
        <v>18256.1396171366</v>
      </c>
      <c r="CN304" s="589">
        <f t="shared" si="773"/>
        <v>2.6309171934854455E-3</v>
      </c>
      <c r="CO304" s="196">
        <f t="shared" si="867"/>
        <v>1460.4798958865908</v>
      </c>
      <c r="CP304" s="589">
        <f t="shared" si="775"/>
        <v>2.7542401283253892E-3</v>
      </c>
      <c r="CQ304" s="196">
        <f>'Detailed Budget'!$AC$12</f>
        <v>292876014141.44696</v>
      </c>
      <c r="CR304" s="269">
        <f t="shared" si="724"/>
        <v>2373695505.9428039</v>
      </c>
      <c r="CS304" s="269">
        <f>'Detailed Budget'!$AC$16</f>
        <v>10488008800.000002</v>
      </c>
      <c r="CT304" s="607">
        <f t="shared" si="878"/>
        <v>85002988.651678681</v>
      </c>
      <c r="CU304" s="269">
        <f>'Detailed Budget'!$AC$24</f>
        <v>30624985696</v>
      </c>
      <c r="CV304" s="269">
        <f t="shared" si="792"/>
        <v>248208755.26204574</v>
      </c>
      <c r="CW304" s="269"/>
      <c r="CX304" s="269">
        <f t="shared" si="776"/>
        <v>2706907249.8565283</v>
      </c>
      <c r="CY304" s="196">
        <f>'Detailed Budget'!$AC$97</f>
        <v>74629165494.837845</v>
      </c>
      <c r="CZ304" s="269">
        <f t="shared" si="879"/>
        <v>0</v>
      </c>
      <c r="DA304" s="269">
        <f>'Detailed Budget'!$AC$100</f>
        <v>14925833098.967569</v>
      </c>
      <c r="DB304" s="269">
        <f t="shared" si="880"/>
        <v>0</v>
      </c>
      <c r="DC304" s="269">
        <f t="shared" si="728"/>
        <v>0</v>
      </c>
      <c r="DD304" s="207">
        <v>0</v>
      </c>
      <c r="DE304" s="606">
        <v>0</v>
      </c>
      <c r="DF304" s="269">
        <f>'Detailed Budget'!$AC$147</f>
        <v>5913600671000</v>
      </c>
      <c r="DG304" s="269">
        <f t="shared" si="787"/>
        <v>0</v>
      </c>
      <c r="DH304" s="269">
        <f>'Detailed Budget'!$AC$153</f>
        <v>226428026880.00003</v>
      </c>
      <c r="DI304" s="269"/>
      <c r="DJ304" s="269">
        <f>'Detailed Budget'!$AC$156</f>
        <v>27713070000</v>
      </c>
      <c r="DK304" s="269"/>
      <c r="DL304" s="269"/>
      <c r="DM304" s="196">
        <f>'Detailed Budget'!$AC$178</f>
        <v>5622683761.6229038</v>
      </c>
      <c r="DN304" s="269">
        <f t="shared" si="868"/>
        <v>45376664.439253189</v>
      </c>
      <c r="DO304" s="196">
        <f>'Detailed Budget'!$AC$179</f>
        <v>26827890683.128094</v>
      </c>
      <c r="DP304" s="269">
        <f t="shared" si="869"/>
        <v>216508744.8837643</v>
      </c>
      <c r="DQ304" s="269">
        <f t="shared" si="870"/>
        <v>261885409.32301748</v>
      </c>
      <c r="DR304" s="269">
        <f>'Detailed Budget'!$AC$181</f>
        <v>50888946855.375237</v>
      </c>
      <c r="DS304" s="269">
        <f t="shared" si="871"/>
        <v>328372246.35422641</v>
      </c>
      <c r="DT304" s="269">
        <f t="shared" si="872"/>
        <v>590257655.67724395</v>
      </c>
      <c r="DU304" s="272">
        <f>'Detailed Budget'!$AC$192</f>
        <v>77498869683.252869</v>
      </c>
      <c r="DV304" s="269">
        <f t="shared" si="881"/>
        <v>0</v>
      </c>
      <c r="DW304" s="140">
        <f>'Detailed Budget'!$AC$194</f>
        <v>2684962805.4134097</v>
      </c>
      <c r="DX304" s="269">
        <f t="shared" si="882"/>
        <v>0</v>
      </c>
      <c r="DY304" s="607">
        <f t="shared" si="731"/>
        <v>0</v>
      </c>
      <c r="DZ304" s="196">
        <f>'Detailed Budget'!$AC$198</f>
        <v>18732540018.380611</v>
      </c>
      <c r="EA304" s="269">
        <f t="shared" si="852"/>
        <v>67575416.635986611</v>
      </c>
      <c r="EB304" s="196">
        <f>'Detailed Budget'!$AC$200</f>
        <v>4683135004.5951529</v>
      </c>
      <c r="EC304" s="269">
        <f t="shared" si="883"/>
        <v>16893854.158996653</v>
      </c>
      <c r="ED304" s="269">
        <f t="shared" si="734"/>
        <v>84469270.794983268</v>
      </c>
      <c r="EE304" s="196">
        <f>'Detailed Budget'!$AC$161</f>
        <v>251147290106.36197</v>
      </c>
      <c r="EF304" s="269">
        <f t="shared" si="884"/>
        <v>744329305.90983641</v>
      </c>
      <c r="EG304" s="196">
        <f>'Detailed Budget'!$AC$163</f>
        <v>15696705631.647623</v>
      </c>
      <c r="EH304" s="269">
        <f t="shared" si="885"/>
        <v>46520581.619364776</v>
      </c>
      <c r="EI304" s="269">
        <f t="shared" si="737"/>
        <v>790849887.52920115</v>
      </c>
      <c r="EJ304" s="196">
        <f>'Detailed Budget'!$AC$204</f>
        <v>45012172507.531975</v>
      </c>
      <c r="EK304" s="269">
        <f t="shared" si="886"/>
        <v>174634761.73440686</v>
      </c>
      <c r="EL304" s="201">
        <f>'Detailed Budget'!$AC$206</f>
        <v>11253043126.882994</v>
      </c>
      <c r="EM304" s="269">
        <f t="shared" si="887"/>
        <v>43658690.433601715</v>
      </c>
      <c r="EN304" s="269">
        <f t="shared" si="740"/>
        <v>218293452.16800857</v>
      </c>
      <c r="EO304" s="140">
        <f>'Detailed Budget'!$AC$209</f>
        <v>135789361677.54817</v>
      </c>
      <c r="EP304" s="269">
        <f t="shared" si="888"/>
        <v>367855147.64512986</v>
      </c>
      <c r="EQ304" s="196">
        <f>'Detailed Budget'!$AC$211</f>
        <v>33947340419.387043</v>
      </c>
      <c r="ER304" s="269">
        <f t="shared" si="889"/>
        <v>91963786.911282465</v>
      </c>
      <c r="ES304" s="269">
        <f t="shared" si="743"/>
        <v>459818934.55641234</v>
      </c>
      <c r="ET304" s="196">
        <f>'Detailed Budget'!$AC$214</f>
        <v>22239745544.201103</v>
      </c>
      <c r="EU304" s="269">
        <f t="shared" si="890"/>
        <v>58510928.930980012</v>
      </c>
      <c r="EV304" s="140">
        <f>'Detailed Budget'!$AC$217</f>
        <v>5559936386.0502758</v>
      </c>
      <c r="EW304" s="269">
        <f t="shared" si="891"/>
        <v>14627732.232745003</v>
      </c>
      <c r="EX304" s="269">
        <f t="shared" si="746"/>
        <v>73138661.163725019</v>
      </c>
      <c r="EY304" s="196">
        <f>'Detailed Budget'!$AC$219</f>
        <v>372777004.58170313</v>
      </c>
      <c r="EZ304" s="269">
        <f t="shared" si="892"/>
        <v>1026717.3849358642</v>
      </c>
      <c r="FA304" s="196">
        <f>'Detailed Budget'!$AC$222</f>
        <v>93194251.145425782</v>
      </c>
      <c r="FB304" s="269">
        <f t="shared" si="893"/>
        <v>256679.34623396606</v>
      </c>
      <c r="FC304" s="269">
        <f t="shared" si="749"/>
        <v>1283396.7311698303</v>
      </c>
      <c r="FD304" s="269"/>
      <c r="FE304" s="269">
        <f t="shared" si="750"/>
        <v>752534444.61931574</v>
      </c>
      <c r="FF304" s="140">
        <f>'Detailed Budget'!$AC$165</f>
        <v>14927760000</v>
      </c>
      <c r="FG304" s="1087">
        <f t="shared" si="788"/>
        <v>1026506795.6154733</v>
      </c>
      <c r="FH304" s="269">
        <f t="shared" si="853"/>
        <v>20353723.440518126</v>
      </c>
      <c r="FJ304" s="140">
        <f>'Detailed Budget'!$AC$235</f>
        <v>3623696172</v>
      </c>
      <c r="FK304" s="269">
        <f t="shared" si="854"/>
        <v>4681778</v>
      </c>
      <c r="FL304" s="269">
        <f t="shared" si="789"/>
        <v>4681778</v>
      </c>
      <c r="FO304" s="607"/>
      <c r="FP304" s="607"/>
      <c r="FQ304" s="607"/>
      <c r="FR304" s="269">
        <f>'Detailed Budget'!$AC$257</f>
        <v>13636439388</v>
      </c>
      <c r="FS304" s="269">
        <f t="shared" si="855"/>
        <v>2498340</v>
      </c>
      <c r="FT304" s="269">
        <f t="shared" si="790"/>
        <v>2498340</v>
      </c>
      <c r="FU304" s="269"/>
      <c r="FV304" s="269"/>
      <c r="FW304" s="269"/>
      <c r="FX304" s="140">
        <f>'Detailed Budget'!$AC$278</f>
        <v>1114560000</v>
      </c>
      <c r="FY304" s="269">
        <f t="shared" si="856"/>
        <v>1440000</v>
      </c>
      <c r="FZ304" s="269">
        <f t="shared" si="791"/>
        <v>1440000</v>
      </c>
      <c r="GB304" s="269">
        <f t="shared" si="799"/>
        <v>5980499145.5332651</v>
      </c>
      <c r="GC304" s="887">
        <f t="shared" si="753"/>
        <v>3737811.9659582907</v>
      </c>
      <c r="GD304" s="1078">
        <f t="shared" si="800"/>
        <v>3.3558463911120477E-3</v>
      </c>
    </row>
    <row r="305" spans="1:186" hidden="1" outlineLevel="1">
      <c r="A305" s="211" t="s">
        <v>756</v>
      </c>
      <c r="B305" s="212" t="s">
        <v>757</v>
      </c>
      <c r="C305" s="213" t="s">
        <v>215</v>
      </c>
      <c r="D305" s="214" t="s">
        <v>215</v>
      </c>
      <c r="E305" s="213"/>
      <c r="F305" s="213"/>
      <c r="G305" s="213"/>
      <c r="H305" s="213" t="s">
        <v>215</v>
      </c>
      <c r="I305" s="214" t="s">
        <v>215</v>
      </c>
      <c r="J305" s="214"/>
      <c r="K305" s="213" t="s">
        <v>215</v>
      </c>
      <c r="L305" s="213"/>
      <c r="M305" s="214"/>
      <c r="N305" s="213"/>
      <c r="O305" s="214"/>
      <c r="P305" s="213"/>
      <c r="Q305" s="214"/>
      <c r="R305" s="214" t="s">
        <v>215</v>
      </c>
      <c r="S305" s="214"/>
      <c r="T305" s="214"/>
      <c r="U305" s="215">
        <f t="shared" si="857"/>
        <v>6</v>
      </c>
      <c r="V305" s="845" t="s">
        <v>219</v>
      </c>
      <c r="W305" s="216">
        <v>194723</v>
      </c>
      <c r="X305" s="217">
        <v>3.07</v>
      </c>
      <c r="Y305" s="218">
        <f t="shared" si="826"/>
        <v>1.0306999999999999</v>
      </c>
      <c r="Z305" s="196">
        <v>19</v>
      </c>
      <c r="AA305" s="218">
        <f t="shared" si="827"/>
        <v>1.7762874396990105</v>
      </c>
      <c r="AB305" s="196">
        <f t="shared" si="894"/>
        <v>345884.01912051043</v>
      </c>
      <c r="AC305">
        <v>19.2</v>
      </c>
      <c r="AD305" s="196">
        <f t="shared" si="895"/>
        <v>66409.731671138012</v>
      </c>
      <c r="AE305" s="196">
        <f t="shared" si="849"/>
        <v>63089.245087581105</v>
      </c>
      <c r="AF305" s="196">
        <f t="shared" si="858"/>
        <v>63089.245087581105</v>
      </c>
      <c r="AG305" s="606">
        <f t="shared" si="756"/>
        <v>2.916969725874206E-3</v>
      </c>
      <c r="AH305" s="196">
        <f t="shared" si="873"/>
        <v>17294.200956025521</v>
      </c>
      <c r="AI305" s="248">
        <f t="shared" si="715"/>
        <v>1.3397555447894132E-3</v>
      </c>
      <c r="AJ305" s="196">
        <f t="shared" si="757"/>
        <v>83703.932627163536</v>
      </c>
      <c r="AK305" s="196">
        <f t="shared" si="785"/>
        <v>13835.360764820418</v>
      </c>
      <c r="AL305" s="196">
        <f t="shared" si="786"/>
        <v>13835.360764820418</v>
      </c>
      <c r="AM305" s="196">
        <f t="shared" si="716"/>
        <v>27670.721529640836</v>
      </c>
      <c r="AN305" s="627">
        <f t="shared" si="717"/>
        <v>1.3397555447894134E-3</v>
      </c>
      <c r="AO305" s="196">
        <f t="shared" si="718"/>
        <v>13143.592726579396</v>
      </c>
      <c r="AP305" s="589">
        <f t="shared" si="758"/>
        <v>1.3397555447894132E-3</v>
      </c>
      <c r="AQ305" s="196"/>
      <c r="AR305" s="589"/>
      <c r="AS305">
        <v>1</v>
      </c>
      <c r="AT305" s="589">
        <f t="shared" si="759"/>
        <v>1.2919896640826874E-3</v>
      </c>
      <c r="AU305">
        <v>10</v>
      </c>
      <c r="AV305" s="245">
        <f t="shared" si="719"/>
        <v>1.1362345188046814E-3</v>
      </c>
      <c r="AX305" s="245"/>
      <c r="AY305" s="245"/>
      <c r="AZ305">
        <v>49</v>
      </c>
      <c r="BA305" s="589">
        <f t="shared" si="793"/>
        <v>1.7954637059836576E-3</v>
      </c>
      <c r="BI305" s="196">
        <v>1</v>
      </c>
      <c r="BJ305" s="196">
        <f t="shared" si="859"/>
        <v>192129.11869499431</v>
      </c>
      <c r="BK305" s="246">
        <f t="shared" si="794"/>
        <v>3.66378637468333E-3</v>
      </c>
      <c r="BL305" s="196">
        <f t="shared" si="874"/>
        <v>3842.5823738998861</v>
      </c>
      <c r="BM305" s="246">
        <f t="shared" si="795"/>
        <v>3.6637859554862037E-3</v>
      </c>
      <c r="BN305" s="196">
        <v>0</v>
      </c>
      <c r="BO305" s="196">
        <f t="shared" si="860"/>
        <v>24613.344026964503</v>
      </c>
      <c r="BP305" s="196">
        <f t="shared" si="762"/>
        <v>0</v>
      </c>
      <c r="BQ305" s="248">
        <f t="shared" si="796"/>
        <v>0</v>
      </c>
      <c r="BR305" s="248"/>
      <c r="BS305" s="248"/>
      <c r="BT305" s="276">
        <v>1</v>
      </c>
      <c r="BU305" s="196">
        <f t="shared" si="875"/>
        <v>52596.507483541311</v>
      </c>
      <c r="BV305" s="264">
        <f t="shared" si="797"/>
        <v>3.6481933850908074E-3</v>
      </c>
      <c r="BW305" s="196">
        <f t="shared" si="876"/>
        <v>224996.17090181561</v>
      </c>
      <c r="BX305" s="247">
        <f t="shared" si="798"/>
        <v>3.648193417953873E-3</v>
      </c>
      <c r="BY305" s="196">
        <f t="shared" si="833"/>
        <v>277592.67838535691</v>
      </c>
      <c r="BZ305" s="620">
        <v>0</v>
      </c>
      <c r="CA305" s="196">
        <f t="shared" si="861"/>
        <v>105840.5098508762</v>
      </c>
      <c r="CB305" s="196">
        <f t="shared" si="862"/>
        <v>211681.0197017524</v>
      </c>
      <c r="CC305" s="196">
        <f t="shared" si="765"/>
        <v>317521.52955262864</v>
      </c>
      <c r="CD305" s="247">
        <f t="shared" si="720"/>
        <v>1.3397555447894134E-3</v>
      </c>
      <c r="CE305" s="196">
        <f t="shared" si="863"/>
        <v>37763.0521274196</v>
      </c>
      <c r="CF305" s="247">
        <f t="shared" si="721"/>
        <v>1.6307260319022826E-3</v>
      </c>
      <c r="CG305" s="196">
        <f t="shared" si="877"/>
        <v>52574.370906317585</v>
      </c>
      <c r="CH305" s="589">
        <f t="shared" si="767"/>
        <v>1.3397555447894132E-3</v>
      </c>
      <c r="CI305" s="196">
        <f t="shared" si="864"/>
        <v>106681.20592836017</v>
      </c>
      <c r="CJ305" s="248">
        <f t="shared" si="769"/>
        <v>1.7538387546695376E-3</v>
      </c>
      <c r="CK305" s="196">
        <f t="shared" si="865"/>
        <v>85189.47945035102</v>
      </c>
      <c r="CL305" s="589">
        <f t="shared" si="771"/>
        <v>1.224616289827133E-3</v>
      </c>
      <c r="CM305" s="196">
        <f t="shared" si="866"/>
        <v>8252.7348031649035</v>
      </c>
      <c r="CN305" s="589">
        <f t="shared" si="773"/>
        <v>1.189312874587215E-3</v>
      </c>
      <c r="CO305" s="196">
        <f t="shared" si="867"/>
        <v>660.2136880456427</v>
      </c>
      <c r="CP305" s="589">
        <f t="shared" si="775"/>
        <v>1.245061324025381E-3</v>
      </c>
      <c r="CQ305" s="196">
        <f>'Detailed Budget'!$AC$12</f>
        <v>292876014141.44696</v>
      </c>
      <c r="CR305" s="269">
        <f t="shared" si="724"/>
        <v>1073035150.0829957</v>
      </c>
      <c r="CS305" s="269">
        <f>'Detailed Budget'!$AC$16</f>
        <v>10488008800.000002</v>
      </c>
      <c r="CT305" s="607">
        <f t="shared" si="878"/>
        <v>38425819.342455722</v>
      </c>
      <c r="CU305" s="269">
        <f>'Detailed Budget'!$AC$24</f>
        <v>30624985696</v>
      </c>
      <c r="CV305" s="269">
        <f t="shared" si="792"/>
        <v>112203405.31787668</v>
      </c>
      <c r="CW305" s="269"/>
      <c r="CX305" s="269">
        <f t="shared" si="776"/>
        <v>1223664374.7433279</v>
      </c>
      <c r="CY305" s="196">
        <f>'Detailed Budget'!$AC$97</f>
        <v>74629165494.837845</v>
      </c>
      <c r="CZ305" s="269">
        <f t="shared" si="879"/>
        <v>0</v>
      </c>
      <c r="DA305" s="269">
        <f>'Detailed Budget'!$AC$100</f>
        <v>14925833098.967569</v>
      </c>
      <c r="DB305" s="269">
        <f t="shared" si="880"/>
        <v>0</v>
      </c>
      <c r="DC305" s="269">
        <f t="shared" si="728"/>
        <v>0</v>
      </c>
      <c r="DD305" s="207">
        <v>0</v>
      </c>
      <c r="DE305" s="606">
        <v>0</v>
      </c>
      <c r="DF305" s="269">
        <f>'Detailed Budget'!$AC$147</f>
        <v>5913600671000</v>
      </c>
      <c r="DG305" s="269">
        <f t="shared" si="787"/>
        <v>0</v>
      </c>
      <c r="DH305" s="269">
        <f>'Detailed Budget'!$AC$153</f>
        <v>226428026880.00003</v>
      </c>
      <c r="DI305" s="269"/>
      <c r="DJ305" s="269">
        <f>'Detailed Budget'!$AC$156</f>
        <v>27713070000</v>
      </c>
      <c r="DK305" s="269"/>
      <c r="DL305" s="269"/>
      <c r="DM305" s="196">
        <f>'Detailed Budget'!$AC$178</f>
        <v>5622683761.6229038</v>
      </c>
      <c r="DN305" s="269">
        <f t="shared" si="868"/>
        <v>20512637.705610175</v>
      </c>
      <c r="DO305" s="196">
        <f>'Detailed Budget'!$AC$179</f>
        <v>26827890683.128094</v>
      </c>
      <c r="DP305" s="269">
        <f t="shared" si="869"/>
        <v>97873334.207773939</v>
      </c>
      <c r="DQ305" s="269">
        <f t="shared" si="870"/>
        <v>118385971.91338411</v>
      </c>
      <c r="DR305" s="269">
        <f>'Detailed Budget'!$AC$181</f>
        <v>50888946855.375237</v>
      </c>
      <c r="DS305" s="269">
        <f t="shared" si="871"/>
        <v>148441517.35875094</v>
      </c>
      <c r="DT305" s="269">
        <f t="shared" si="872"/>
        <v>266827489.27213505</v>
      </c>
      <c r="DU305" s="272">
        <f>'Detailed Budget'!$AC$192</f>
        <v>77498869683.252869</v>
      </c>
      <c r="DV305" s="269">
        <f t="shared" si="881"/>
        <v>0</v>
      </c>
      <c r="DW305" s="140">
        <f>'Detailed Budget'!$AC$194</f>
        <v>2684962805.4134097</v>
      </c>
      <c r="DX305" s="269">
        <f t="shared" si="882"/>
        <v>0</v>
      </c>
      <c r="DY305" s="607">
        <f t="shared" si="731"/>
        <v>0</v>
      </c>
      <c r="DZ305" s="196">
        <f>'Detailed Budget'!$AC$198</f>
        <v>18732540018.380611</v>
      </c>
      <c r="EA305" s="269">
        <f t="shared" si="852"/>
        <v>30547640.651624527</v>
      </c>
      <c r="EB305" s="196">
        <f>'Detailed Budget'!$AC$200</f>
        <v>4683135004.5951529</v>
      </c>
      <c r="EC305" s="269">
        <f t="shared" si="883"/>
        <v>7636910.1629061317</v>
      </c>
      <c r="ED305" s="269">
        <f t="shared" si="734"/>
        <v>38184550.814530656</v>
      </c>
      <c r="EE305" s="196">
        <f>'Detailed Budget'!$AC$161</f>
        <v>251147290106.36197</v>
      </c>
      <c r="EF305" s="269">
        <f t="shared" si="884"/>
        <v>336475974.47883379</v>
      </c>
      <c r="EG305" s="196">
        <f>'Detailed Budget'!$AC$163</f>
        <v>15696705631.647623</v>
      </c>
      <c r="EH305" s="269">
        <f t="shared" si="885"/>
        <v>21029748.404927112</v>
      </c>
      <c r="EI305" s="269">
        <f t="shared" si="737"/>
        <v>357505722.88376093</v>
      </c>
      <c r="EJ305" s="196">
        <f>'Detailed Budget'!$AC$204</f>
        <v>45012172507.531975</v>
      </c>
      <c r="EK305" s="269">
        <f t="shared" si="886"/>
        <v>78944092.575580269</v>
      </c>
      <c r="EL305" s="201">
        <f>'Detailed Budget'!$AC$206</f>
        <v>11253043126.882994</v>
      </c>
      <c r="EM305" s="269">
        <f t="shared" si="887"/>
        <v>19736023.143895067</v>
      </c>
      <c r="EN305" s="269">
        <f t="shared" si="740"/>
        <v>98680115.719475329</v>
      </c>
      <c r="EO305" s="140">
        <f>'Detailed Budget'!$AC$209</f>
        <v>135789361677.54817</v>
      </c>
      <c r="EP305" s="269">
        <f t="shared" si="888"/>
        <v>166289864.29555371</v>
      </c>
      <c r="EQ305" s="196">
        <f>'Detailed Budget'!$AC$211</f>
        <v>33947340419.387043</v>
      </c>
      <c r="ER305" s="269">
        <f t="shared" si="889"/>
        <v>41572466.073888429</v>
      </c>
      <c r="ES305" s="269">
        <f t="shared" si="743"/>
        <v>207862330.36944214</v>
      </c>
      <c r="ET305" s="196">
        <f>'Detailed Budget'!$AC$214</f>
        <v>22239745544.201103</v>
      </c>
      <c r="EU305" s="269">
        <f t="shared" si="890"/>
        <v>26450015.70326202</v>
      </c>
      <c r="EV305" s="140">
        <f>'Detailed Budget'!$AC$217</f>
        <v>5559936386.0502758</v>
      </c>
      <c r="EW305" s="269">
        <f t="shared" si="891"/>
        <v>6612503.925815505</v>
      </c>
      <c r="EX305" s="269">
        <f t="shared" si="746"/>
        <v>33062519.629077524</v>
      </c>
      <c r="EY305" s="196">
        <f>'Detailed Budget'!$AC$219</f>
        <v>372777004.58170313</v>
      </c>
      <c r="EZ305" s="269">
        <f t="shared" si="892"/>
        <v>464130.23089071078</v>
      </c>
      <c r="FA305" s="196">
        <f>'Detailed Budget'!$AC$222</f>
        <v>93194251.145425782</v>
      </c>
      <c r="FB305" s="269">
        <f t="shared" si="893"/>
        <v>116032.55772267769</v>
      </c>
      <c r="FC305" s="269">
        <f t="shared" si="749"/>
        <v>580162.78861338843</v>
      </c>
      <c r="FD305" s="269"/>
      <c r="FE305" s="269">
        <f t="shared" si="750"/>
        <v>340185128.50660843</v>
      </c>
      <c r="FF305" s="140">
        <f>'Detailed Budget'!$AC$165</f>
        <v>14927760000</v>
      </c>
      <c r="FG305" s="1087">
        <f t="shared" si="788"/>
        <v>464035033.44754863</v>
      </c>
      <c r="FH305" s="269">
        <f t="shared" si="853"/>
        <v>16961436.200431772</v>
      </c>
      <c r="FJ305" s="140">
        <f>'Detailed Budget'!$AC$235</f>
        <v>3623696172</v>
      </c>
      <c r="FK305" s="269">
        <f t="shared" si="854"/>
        <v>4681778</v>
      </c>
      <c r="FL305" s="269">
        <f t="shared" si="789"/>
        <v>4681778</v>
      </c>
      <c r="FO305" s="607"/>
      <c r="FP305" s="607"/>
      <c r="FQ305" s="607"/>
      <c r="FR305" s="269">
        <f>'Detailed Budget'!$AC$257</f>
        <v>13636439388</v>
      </c>
      <c r="FS305" s="269">
        <f t="shared" si="855"/>
        <v>24483732</v>
      </c>
      <c r="FT305" s="269">
        <f t="shared" si="790"/>
        <v>24483732</v>
      </c>
      <c r="FU305" s="269"/>
      <c r="FV305" s="269"/>
      <c r="FW305" s="269"/>
      <c r="FX305" s="140">
        <f>'Detailed Budget'!$AC$278</f>
        <v>1114560000</v>
      </c>
      <c r="FY305" s="269">
        <f t="shared" si="856"/>
        <v>1440000</v>
      </c>
      <c r="FZ305" s="269">
        <f t="shared" si="791"/>
        <v>1440000</v>
      </c>
      <c r="GB305" s="269">
        <f t="shared" si="799"/>
        <v>2737969245.8683434</v>
      </c>
      <c r="GC305" s="887">
        <f t="shared" si="753"/>
        <v>1711230.7786677147</v>
      </c>
      <c r="GD305" s="1078">
        <f t="shared" si="800"/>
        <v>1.5363607600522059E-3</v>
      </c>
    </row>
    <row r="306" spans="1:186" hidden="1" outlineLevel="1">
      <c r="A306" s="211" t="s">
        <v>758</v>
      </c>
      <c r="B306" s="212" t="s">
        <v>759</v>
      </c>
      <c r="C306" s="213" t="s">
        <v>215</v>
      </c>
      <c r="D306" s="214" t="s">
        <v>215</v>
      </c>
      <c r="E306" s="213"/>
      <c r="F306" s="213"/>
      <c r="G306" s="213"/>
      <c r="H306" s="213" t="s">
        <v>215</v>
      </c>
      <c r="I306" s="214" t="s">
        <v>215</v>
      </c>
      <c r="J306" s="214"/>
      <c r="K306" s="213" t="s">
        <v>215</v>
      </c>
      <c r="L306" s="213"/>
      <c r="M306" s="214"/>
      <c r="N306" s="213"/>
      <c r="O306" s="214"/>
      <c r="P306" s="213"/>
      <c r="Q306" s="214"/>
      <c r="R306" s="214" t="s">
        <v>215</v>
      </c>
      <c r="S306" s="214"/>
      <c r="T306" s="214"/>
      <c r="U306" s="215">
        <f t="shared" si="857"/>
        <v>6</v>
      </c>
      <c r="V306" s="845" t="s">
        <v>219</v>
      </c>
      <c r="W306" s="216">
        <v>155973</v>
      </c>
      <c r="X306" s="217">
        <v>3.07</v>
      </c>
      <c r="Y306" s="218">
        <f t="shared" si="826"/>
        <v>1.0306999999999999</v>
      </c>
      <c r="Z306" s="196">
        <v>19</v>
      </c>
      <c r="AA306" s="218">
        <f t="shared" si="827"/>
        <v>1.7762874396990105</v>
      </c>
      <c r="AB306" s="196">
        <f t="shared" si="894"/>
        <v>277052.88083217375</v>
      </c>
      <c r="AC306">
        <v>19.2</v>
      </c>
      <c r="AD306" s="196">
        <f t="shared" si="895"/>
        <v>53194.153119777358</v>
      </c>
      <c r="AE306" s="196">
        <f t="shared" si="849"/>
        <v>50534.445463788485</v>
      </c>
      <c r="AF306" s="196">
        <f t="shared" si="858"/>
        <v>50534.445463788485</v>
      </c>
      <c r="AG306" s="606">
        <f t="shared" si="756"/>
        <v>2.3364909078731192E-3</v>
      </c>
      <c r="AH306" s="196">
        <f t="shared" si="873"/>
        <v>13852.644041608688</v>
      </c>
      <c r="AI306" s="248">
        <f t="shared" si="715"/>
        <v>1.0731433450975958E-3</v>
      </c>
      <c r="AJ306" s="196">
        <f t="shared" si="757"/>
        <v>67046.797161386043</v>
      </c>
      <c r="AK306" s="196">
        <f t="shared" si="785"/>
        <v>11082.11523328695</v>
      </c>
      <c r="AL306" s="196">
        <f t="shared" si="786"/>
        <v>11082.11523328695</v>
      </c>
      <c r="AM306" s="196">
        <f t="shared" si="716"/>
        <v>22164.230466573899</v>
      </c>
      <c r="AN306" s="627">
        <f t="shared" si="717"/>
        <v>1.0731433450975958E-3</v>
      </c>
      <c r="AO306" s="196">
        <f t="shared" si="718"/>
        <v>10528.009471622601</v>
      </c>
      <c r="AP306" s="589">
        <f t="shared" si="758"/>
        <v>1.0731433450975956E-3</v>
      </c>
      <c r="AQ306" s="196"/>
      <c r="AR306" s="589"/>
      <c r="AS306">
        <v>1</v>
      </c>
      <c r="AT306" s="589">
        <f t="shared" si="759"/>
        <v>1.2919896640826874E-3</v>
      </c>
      <c r="AU306">
        <v>10</v>
      </c>
      <c r="AV306" s="245">
        <f t="shared" si="719"/>
        <v>1.1362345188046814E-3</v>
      </c>
      <c r="AX306" s="245"/>
      <c r="AY306" s="245"/>
      <c r="AZ306">
        <v>50</v>
      </c>
      <c r="BA306" s="589">
        <f t="shared" si="793"/>
        <v>1.8321058224323038E-3</v>
      </c>
      <c r="BI306" s="196">
        <v>1</v>
      </c>
      <c r="BJ306" s="196">
        <f t="shared" si="859"/>
        <v>153895.30271315839</v>
      </c>
      <c r="BK306" s="246">
        <f t="shared" si="794"/>
        <v>2.9346905718301533E-3</v>
      </c>
      <c r="BL306" s="196">
        <f t="shared" si="874"/>
        <v>3077.9060542631678</v>
      </c>
      <c r="BM306" s="246">
        <f t="shared" si="795"/>
        <v>2.9346902360535198E-3</v>
      </c>
      <c r="BN306" s="196">
        <v>0</v>
      </c>
      <c r="BO306" s="196">
        <f t="shared" si="860"/>
        <v>19715.273018173164</v>
      </c>
      <c r="BP306" s="196">
        <f t="shared" si="762"/>
        <v>0</v>
      </c>
      <c r="BQ306" s="248">
        <f t="shared" si="796"/>
        <v>0</v>
      </c>
      <c r="BR306" s="248"/>
      <c r="BS306" s="248"/>
      <c r="BT306" s="276">
        <v>1</v>
      </c>
      <c r="BU306" s="196">
        <f t="shared" si="875"/>
        <v>42129.769270863668</v>
      </c>
      <c r="BV306" s="264">
        <f t="shared" si="797"/>
        <v>2.9222005970161117E-3</v>
      </c>
      <c r="BW306" s="196">
        <f t="shared" si="876"/>
        <v>180221.79076980572</v>
      </c>
      <c r="BX306" s="247">
        <f t="shared" si="798"/>
        <v>2.9222006233394068E-3</v>
      </c>
      <c r="BY306" s="196">
        <f t="shared" si="833"/>
        <v>222351.5600406694</v>
      </c>
      <c r="BZ306" s="620">
        <v>0</v>
      </c>
      <c r="CA306" s="196">
        <f t="shared" si="861"/>
        <v>84778.181534645162</v>
      </c>
      <c r="CB306" s="196">
        <f t="shared" si="862"/>
        <v>169556.36306929032</v>
      </c>
      <c r="CC306" s="196">
        <f t="shared" si="765"/>
        <v>254334.5446039355</v>
      </c>
      <c r="CD306" s="247">
        <f t="shared" si="720"/>
        <v>1.0731433450975958E-3</v>
      </c>
      <c r="CE306" s="196">
        <f t="shared" si="863"/>
        <v>30248.180900407333</v>
      </c>
      <c r="CF306" s="247">
        <f t="shared" si="721"/>
        <v>1.3062105214786887E-3</v>
      </c>
      <c r="CG306" s="196">
        <f t="shared" si="877"/>
        <v>42112.037886490405</v>
      </c>
      <c r="CH306" s="589">
        <f t="shared" si="767"/>
        <v>1.0731433450975956E-3</v>
      </c>
      <c r="CI306" s="196">
        <f t="shared" si="864"/>
        <v>85451.578561670249</v>
      </c>
      <c r="CJ306" s="248">
        <f t="shared" si="769"/>
        <v>1.4048237346490744E-3</v>
      </c>
      <c r="CK306" s="196">
        <f t="shared" si="865"/>
        <v>68236.719228389033</v>
      </c>
      <c r="CL306" s="589">
        <f t="shared" si="771"/>
        <v>9.8091687460242181E-4</v>
      </c>
      <c r="CM306" s="196">
        <f t="shared" si="866"/>
        <v>6610.4353643588029</v>
      </c>
      <c r="CN306" s="589">
        <f t="shared" si="773"/>
        <v>9.5263886129523306E-4</v>
      </c>
      <c r="CO306" s="196">
        <f t="shared" si="867"/>
        <v>528.83074708967615</v>
      </c>
      <c r="CP306" s="589">
        <f t="shared" si="775"/>
        <v>9.9729333408077477E-4</v>
      </c>
      <c r="CQ306" s="196">
        <f>'Detailed Budget'!$AC$12</f>
        <v>292876014141.44696</v>
      </c>
      <c r="CR306" s="269">
        <f t="shared" si="724"/>
        <v>859500477.41609907</v>
      </c>
      <c r="CS306" s="269">
        <f>'Detailed Budget'!$AC$16</f>
        <v>10488008800.000002</v>
      </c>
      <c r="CT306" s="607">
        <f t="shared" si="878"/>
        <v>30779057.021003399</v>
      </c>
      <c r="CU306" s="269">
        <f>'Detailed Budget'!$AC$24</f>
        <v>30624985696</v>
      </c>
      <c r="CV306" s="269">
        <f t="shared" si="792"/>
        <v>89874856.784484506</v>
      </c>
      <c r="CW306" s="269"/>
      <c r="CX306" s="269">
        <f t="shared" si="776"/>
        <v>980154391.22158694</v>
      </c>
      <c r="CY306" s="196">
        <f>'Detailed Budget'!$AC$97</f>
        <v>74629165494.837845</v>
      </c>
      <c r="CZ306" s="269">
        <f t="shared" si="879"/>
        <v>0</v>
      </c>
      <c r="DA306" s="269">
        <f>'Detailed Budget'!$AC$100</f>
        <v>14925833098.967569</v>
      </c>
      <c r="DB306" s="269">
        <f t="shared" si="880"/>
        <v>0</v>
      </c>
      <c r="DC306" s="269">
        <f t="shared" si="728"/>
        <v>0</v>
      </c>
      <c r="DD306" s="207">
        <v>0</v>
      </c>
      <c r="DE306" s="606">
        <v>0</v>
      </c>
      <c r="DF306" s="269">
        <f>'Detailed Budget'!$AC$147</f>
        <v>5913600671000</v>
      </c>
      <c r="DG306" s="269">
        <f t="shared" si="787"/>
        <v>0</v>
      </c>
      <c r="DH306" s="269">
        <f>'Detailed Budget'!$AC$153</f>
        <v>226428026880.00003</v>
      </c>
      <c r="DI306" s="269"/>
      <c r="DJ306" s="269">
        <f>'Detailed Budget'!$AC$156</f>
        <v>27713070000</v>
      </c>
      <c r="DK306" s="269"/>
      <c r="DL306" s="269"/>
      <c r="DM306" s="196">
        <f>'Detailed Budget'!$AC$178</f>
        <v>5622683761.6229038</v>
      </c>
      <c r="DN306" s="269">
        <f t="shared" si="868"/>
        <v>16430609.845047247</v>
      </c>
      <c r="DO306" s="196">
        <f>'Detailed Budget'!$AC$179</f>
        <v>26827890683.128094</v>
      </c>
      <c r="DP306" s="269">
        <f t="shared" si="869"/>
        <v>78396478.877118379</v>
      </c>
      <c r="DQ306" s="269">
        <f t="shared" si="870"/>
        <v>94827088.722165629</v>
      </c>
      <c r="DR306" s="269">
        <f>'Detailed Budget'!$AC$181</f>
        <v>50888946855.375237</v>
      </c>
      <c r="DS306" s="269">
        <f t="shared" si="871"/>
        <v>118901561.6388226</v>
      </c>
      <c r="DT306" s="269">
        <f t="shared" si="872"/>
        <v>213728650.36098823</v>
      </c>
      <c r="DU306" s="272">
        <f>'Detailed Budget'!$AC$192</f>
        <v>77498869683.252869</v>
      </c>
      <c r="DV306" s="269">
        <f t="shared" si="881"/>
        <v>0</v>
      </c>
      <c r="DW306" s="140">
        <f>'Detailed Budget'!$AC$194</f>
        <v>2684962805.4134097</v>
      </c>
      <c r="DX306" s="269">
        <f t="shared" si="882"/>
        <v>0</v>
      </c>
      <c r="DY306" s="607">
        <f t="shared" si="731"/>
        <v>0</v>
      </c>
      <c r="DZ306" s="196">
        <f>'Detailed Budget'!$AC$198</f>
        <v>18732540018.380611</v>
      </c>
      <c r="EA306" s="269">
        <f t="shared" si="852"/>
        <v>24468640.866029344</v>
      </c>
      <c r="EB306" s="196">
        <f>'Detailed Budget'!$AC$200</f>
        <v>4683135004.5951529</v>
      </c>
      <c r="EC306" s="269">
        <f t="shared" si="883"/>
        <v>6117160.2165073361</v>
      </c>
      <c r="ED306" s="269">
        <f t="shared" si="734"/>
        <v>30585801.082536682</v>
      </c>
      <c r="EE306" s="196">
        <f>'Detailed Budget'!$AC$161</f>
        <v>251147290106.36197</v>
      </c>
      <c r="EF306" s="269">
        <f t="shared" si="884"/>
        <v>269517043.01693755</v>
      </c>
      <c r="EG306" s="196">
        <f>'Detailed Budget'!$AC$163</f>
        <v>15696705631.647623</v>
      </c>
      <c r="EH306" s="269">
        <f t="shared" si="885"/>
        <v>16844815.188558597</v>
      </c>
      <c r="EI306" s="269">
        <f t="shared" si="737"/>
        <v>286361858.20549613</v>
      </c>
      <c r="EJ306" s="196">
        <f>'Detailed Budget'!$AC$204</f>
        <v>45012172507.531975</v>
      </c>
      <c r="EK306" s="269">
        <f t="shared" si="886"/>
        <v>63234168.286699459</v>
      </c>
      <c r="EL306" s="201">
        <f>'Detailed Budget'!$AC$206</f>
        <v>11253043126.882994</v>
      </c>
      <c r="EM306" s="269">
        <f t="shared" si="887"/>
        <v>15808542.071674865</v>
      </c>
      <c r="EN306" s="269">
        <f t="shared" si="740"/>
        <v>79042710.358374327</v>
      </c>
      <c r="EO306" s="140">
        <f>'Detailed Budget'!$AC$209</f>
        <v>135789361677.54817</v>
      </c>
      <c r="EP306" s="269">
        <f t="shared" si="888"/>
        <v>133198076.26099843</v>
      </c>
      <c r="EQ306" s="196">
        <f>'Detailed Budget'!$AC$211</f>
        <v>33947340419.387043</v>
      </c>
      <c r="ER306" s="269">
        <f t="shared" si="889"/>
        <v>33299519.065249607</v>
      </c>
      <c r="ES306" s="269">
        <f t="shared" si="743"/>
        <v>166497595.32624805</v>
      </c>
      <c r="ET306" s="196">
        <f>'Detailed Budget'!$AC$214</f>
        <v>22239745544.201103</v>
      </c>
      <c r="EU306" s="269">
        <f t="shared" si="890"/>
        <v>21186445.870723471</v>
      </c>
      <c r="EV306" s="140">
        <f>'Detailed Budget'!$AC$217</f>
        <v>5559936386.0502758</v>
      </c>
      <c r="EW306" s="269">
        <f t="shared" si="891"/>
        <v>5296611.4676808678</v>
      </c>
      <c r="EX306" s="269">
        <f t="shared" si="746"/>
        <v>26483057.338404339</v>
      </c>
      <c r="EY306" s="196">
        <f>'Detailed Budget'!$AC$219</f>
        <v>372777004.58170313</v>
      </c>
      <c r="EZ306" s="269">
        <f t="shared" si="892"/>
        <v>371768.02176793094</v>
      </c>
      <c r="FA306" s="196">
        <f>'Detailed Budget'!$AC$222</f>
        <v>93194251.145425782</v>
      </c>
      <c r="FB306" s="269">
        <f t="shared" si="893"/>
        <v>92942.005441982736</v>
      </c>
      <c r="FC306" s="269">
        <f t="shared" si="749"/>
        <v>464710.02720991371</v>
      </c>
      <c r="FD306" s="269"/>
      <c r="FE306" s="269">
        <f t="shared" si="750"/>
        <v>272488073.05023664</v>
      </c>
      <c r="FF306" s="140">
        <f>'Detailed Budget'!$AC$165</f>
        <v>14927760000</v>
      </c>
      <c r="FG306" s="1087">
        <f t="shared" si="788"/>
        <v>371691768.67609107</v>
      </c>
      <c r="FH306" s="269">
        <f t="shared" si="853"/>
        <v>16961436.200431772</v>
      </c>
      <c r="FJ306" s="140">
        <f>'Detailed Budget'!$AC$235</f>
        <v>3623696172</v>
      </c>
      <c r="FK306" s="269">
        <f t="shared" si="854"/>
        <v>4681778</v>
      </c>
      <c r="FL306" s="269">
        <f t="shared" si="789"/>
        <v>4681778</v>
      </c>
      <c r="FO306" s="607"/>
      <c r="FP306" s="607"/>
      <c r="FQ306" s="607"/>
      <c r="FR306" s="269">
        <f>'Detailed Budget'!$AC$257</f>
        <v>13636439388</v>
      </c>
      <c r="FS306" s="269">
        <f t="shared" si="855"/>
        <v>24983400</v>
      </c>
      <c r="FT306" s="269">
        <f t="shared" si="790"/>
        <v>24983400</v>
      </c>
      <c r="FU306" s="269"/>
      <c r="FV306" s="269"/>
      <c r="FW306" s="269"/>
      <c r="FX306" s="140">
        <f>'Detailed Budget'!$AC$278</f>
        <v>1114560000</v>
      </c>
      <c r="FY306" s="269">
        <f t="shared" si="856"/>
        <v>1440000</v>
      </c>
      <c r="FZ306" s="269">
        <f t="shared" si="791"/>
        <v>1440000</v>
      </c>
      <c r="GB306" s="269">
        <f t="shared" si="799"/>
        <v>2203077156.7973676</v>
      </c>
      <c r="GC306" s="887">
        <f t="shared" si="753"/>
        <v>1376923.2229983548</v>
      </c>
      <c r="GD306" s="1078">
        <f t="shared" si="800"/>
        <v>1.2362159656024172E-3</v>
      </c>
    </row>
    <row r="307" spans="1:186" hidden="1" outlineLevel="1">
      <c r="A307" s="211" t="s">
        <v>760</v>
      </c>
      <c r="B307" s="212" t="s">
        <v>761</v>
      </c>
      <c r="C307" s="213" t="s">
        <v>215</v>
      </c>
      <c r="D307" s="214" t="s">
        <v>215</v>
      </c>
      <c r="E307" s="213"/>
      <c r="F307" s="213"/>
      <c r="G307" s="213"/>
      <c r="H307" s="213" t="s">
        <v>215</v>
      </c>
      <c r="I307" s="214" t="s">
        <v>215</v>
      </c>
      <c r="J307" s="214"/>
      <c r="K307" s="213" t="s">
        <v>215</v>
      </c>
      <c r="L307" s="213"/>
      <c r="M307" s="214"/>
      <c r="N307" s="213"/>
      <c r="O307" s="214"/>
      <c r="P307" s="213"/>
      <c r="Q307" s="214"/>
      <c r="R307" s="214" t="s">
        <v>215</v>
      </c>
      <c r="S307" s="214"/>
      <c r="T307" s="214"/>
      <c r="U307" s="215">
        <f t="shared" si="857"/>
        <v>6</v>
      </c>
      <c r="V307" s="845" t="s">
        <v>219</v>
      </c>
      <c r="W307" s="216">
        <v>278202</v>
      </c>
      <c r="X307" s="217">
        <v>3.07</v>
      </c>
      <c r="Y307" s="218">
        <f t="shared" si="826"/>
        <v>1.0306999999999999</v>
      </c>
      <c r="Z307" s="196">
        <v>19</v>
      </c>
      <c r="AA307" s="218">
        <f t="shared" si="827"/>
        <v>1.7762874396990105</v>
      </c>
      <c r="AB307" s="196">
        <f t="shared" si="894"/>
        <v>494166.71829914412</v>
      </c>
      <c r="AC307">
        <v>19.2</v>
      </c>
      <c r="AD307" s="196">
        <f t="shared" si="895"/>
        <v>94880.009913435671</v>
      </c>
      <c r="AE307" s="196">
        <f t="shared" si="849"/>
        <v>90136.009417763882</v>
      </c>
      <c r="AF307" s="196">
        <f t="shared" si="858"/>
        <v>90136.009417763882</v>
      </c>
      <c r="AG307" s="606">
        <f t="shared" si="756"/>
        <v>4.1674933709816286E-3</v>
      </c>
      <c r="AH307" s="196">
        <f t="shared" si="873"/>
        <v>24708.335914957206</v>
      </c>
      <c r="AI307" s="248">
        <f t="shared" si="715"/>
        <v>1.9141173465461417E-3</v>
      </c>
      <c r="AJ307" s="196">
        <f t="shared" si="757"/>
        <v>119588.34582839288</v>
      </c>
      <c r="AK307" s="196">
        <f t="shared" si="785"/>
        <v>19766.668731965765</v>
      </c>
      <c r="AL307" s="196">
        <f t="shared" si="786"/>
        <v>19766.668731965765</v>
      </c>
      <c r="AM307" s="196">
        <f t="shared" si="716"/>
        <v>39533.33746393153</v>
      </c>
      <c r="AN307" s="627">
        <f t="shared" si="717"/>
        <v>1.9141173465461417E-3</v>
      </c>
      <c r="AO307" s="196">
        <f t="shared" si="718"/>
        <v>18778.335295367477</v>
      </c>
      <c r="AP307" s="589">
        <f t="shared" si="758"/>
        <v>1.9141173465461417E-3</v>
      </c>
      <c r="AQ307" s="196"/>
      <c r="AR307" s="589"/>
      <c r="AS307">
        <v>1</v>
      </c>
      <c r="AT307" s="589">
        <f t="shared" si="759"/>
        <v>1.2919896640826874E-3</v>
      </c>
      <c r="AU307">
        <v>12</v>
      </c>
      <c r="AV307" s="245">
        <f t="shared" si="719"/>
        <v>1.3634814225656176E-3</v>
      </c>
      <c r="AX307" s="245"/>
      <c r="AY307" s="245"/>
      <c r="AZ307">
        <v>39</v>
      </c>
      <c r="BA307" s="589">
        <f t="shared" si="793"/>
        <v>1.4290425414971969E-3</v>
      </c>
      <c r="BI307" s="196">
        <v>1</v>
      </c>
      <c r="BJ307" s="196">
        <f t="shared" si="859"/>
        <v>274496.10512977309</v>
      </c>
      <c r="BK307" s="246">
        <f t="shared" si="794"/>
        <v>5.2344751108479824E-3</v>
      </c>
      <c r="BL307" s="196">
        <f t="shared" si="874"/>
        <v>5489.9221025954621</v>
      </c>
      <c r="BM307" s="246">
        <f t="shared" si="795"/>
        <v>5.2344745119383583E-3</v>
      </c>
      <c r="BN307" s="196">
        <v>0</v>
      </c>
      <c r="BO307" s="196">
        <f t="shared" si="860"/>
        <v>35165.242600974605</v>
      </c>
      <c r="BP307" s="196">
        <f t="shared" si="762"/>
        <v>0</v>
      </c>
      <c r="BQ307" s="248">
        <f t="shared" si="796"/>
        <v>0</v>
      </c>
      <c r="BR307" s="248"/>
      <c r="BS307" s="248"/>
      <c r="BT307" s="276">
        <v>1</v>
      </c>
      <c r="BU307" s="196">
        <f t="shared" si="875"/>
        <v>75144.967851441048</v>
      </c>
      <c r="BV307" s="264">
        <f t="shared" si="797"/>
        <v>5.2121973065279012E-3</v>
      </c>
      <c r="BW307" s="196">
        <f t="shared" si="876"/>
        <v>321453.47358672007</v>
      </c>
      <c r="BX307" s="247">
        <f t="shared" si="798"/>
        <v>5.2121973534795746E-3</v>
      </c>
      <c r="BY307" s="196">
        <f t="shared" si="833"/>
        <v>396598.44143816113</v>
      </c>
      <c r="BZ307" s="620">
        <v>0</v>
      </c>
      <c r="CA307" s="196">
        <f t="shared" si="861"/>
        <v>151215.01579953812</v>
      </c>
      <c r="CB307" s="196">
        <f t="shared" si="862"/>
        <v>302430.03159907623</v>
      </c>
      <c r="CC307" s="196">
        <f t="shared" si="765"/>
        <v>453645.04739861435</v>
      </c>
      <c r="CD307" s="247">
        <f t="shared" si="720"/>
        <v>1.9141173465461419E-3</v>
      </c>
      <c r="CE307" s="196">
        <f t="shared" si="863"/>
        <v>53952.314970252039</v>
      </c>
      <c r="CF307" s="247">
        <f t="shared" si="721"/>
        <v>2.3298287491836035E-3</v>
      </c>
      <c r="CG307" s="196">
        <f t="shared" si="877"/>
        <v>75113.341181469907</v>
      </c>
      <c r="CH307" s="589">
        <f t="shared" si="767"/>
        <v>1.9141173465461417E-3</v>
      </c>
      <c r="CI307" s="196">
        <f t="shared" si="864"/>
        <v>152416.12368175125</v>
      </c>
      <c r="CJ307" s="248">
        <f t="shared" si="769"/>
        <v>2.5057206864447165E-3</v>
      </c>
      <c r="CK307" s="196">
        <f t="shared" si="865"/>
        <v>121710.7561102004</v>
      </c>
      <c r="CL307" s="589">
        <f t="shared" si="771"/>
        <v>1.7496171539185818E-3</v>
      </c>
      <c r="CM307" s="196">
        <f t="shared" si="866"/>
        <v>11790.735186444756</v>
      </c>
      <c r="CN307" s="589">
        <f t="shared" si="773"/>
        <v>1.6991789379575725E-3</v>
      </c>
      <c r="CO307" s="196">
        <f t="shared" si="867"/>
        <v>943.25153393114249</v>
      </c>
      <c r="CP307" s="589">
        <f t="shared" si="775"/>
        <v>1.778827105511465E-3</v>
      </c>
      <c r="CQ307" s="196">
        <f>'Detailed Budget'!$AC$12</f>
        <v>292876014141.44696</v>
      </c>
      <c r="CR307" s="269">
        <f t="shared" si="724"/>
        <v>1533052206.5877659</v>
      </c>
      <c r="CS307" s="269">
        <f>'Detailed Budget'!$AC$16</f>
        <v>10488008800.000002</v>
      </c>
      <c r="CT307" s="607">
        <f t="shared" si="878"/>
        <v>54899214.744585216</v>
      </c>
      <c r="CU307" s="269">
        <f>'Detailed Budget'!$AC$24</f>
        <v>30624985696</v>
      </c>
      <c r="CV307" s="269">
        <f t="shared" si="792"/>
        <v>160305725.39578748</v>
      </c>
      <c r="CW307" s="269"/>
      <c r="CX307" s="269">
        <f t="shared" si="776"/>
        <v>1748257146.7281387</v>
      </c>
      <c r="CY307" s="196">
        <f>'Detailed Budget'!$AC$97</f>
        <v>74629165494.837845</v>
      </c>
      <c r="CZ307" s="269">
        <f t="shared" si="879"/>
        <v>0</v>
      </c>
      <c r="DA307" s="269">
        <f>'Detailed Budget'!$AC$100</f>
        <v>14925833098.967569</v>
      </c>
      <c r="DB307" s="269">
        <f t="shared" si="880"/>
        <v>0</v>
      </c>
      <c r="DC307" s="269">
        <f t="shared" si="728"/>
        <v>0</v>
      </c>
      <c r="DD307" s="207">
        <v>0</v>
      </c>
      <c r="DE307" s="606">
        <v>0</v>
      </c>
      <c r="DF307" s="269">
        <f>'Detailed Budget'!$AC$147</f>
        <v>5913600671000</v>
      </c>
      <c r="DG307" s="269">
        <f t="shared" si="787"/>
        <v>0</v>
      </c>
      <c r="DH307" s="269">
        <f>'Detailed Budget'!$AC$153</f>
        <v>226428026880.00003</v>
      </c>
      <c r="DI307" s="269"/>
      <c r="DJ307" s="269">
        <f>'Detailed Budget'!$AC$156</f>
        <v>27713070000</v>
      </c>
      <c r="DK307" s="269"/>
      <c r="DL307" s="269"/>
      <c r="DM307" s="196">
        <f>'Detailed Budget'!$AC$178</f>
        <v>5622683761.6229038</v>
      </c>
      <c r="DN307" s="269">
        <f t="shared" si="868"/>
        <v>29306537.157789066</v>
      </c>
      <c r="DO307" s="196">
        <f>'Detailed Budget'!$AC$179</f>
        <v>26827890683.128094</v>
      </c>
      <c r="DP307" s="269">
        <f t="shared" si="869"/>
        <v>139832260.8180396</v>
      </c>
      <c r="DQ307" s="269">
        <f t="shared" si="870"/>
        <v>169138797.97582865</v>
      </c>
      <c r="DR307" s="269">
        <f>'Detailed Budget'!$AC$181</f>
        <v>50888946855.375237</v>
      </c>
      <c r="DS307" s="269">
        <f t="shared" si="871"/>
        <v>212079348.67601269</v>
      </c>
      <c r="DT307" s="269">
        <f t="shared" si="872"/>
        <v>381218146.65184134</v>
      </c>
      <c r="DU307" s="272">
        <f>'Detailed Budget'!$AC$192</f>
        <v>77498869683.252869</v>
      </c>
      <c r="DV307" s="269">
        <f t="shared" si="881"/>
        <v>0</v>
      </c>
      <c r="DW307" s="140">
        <f>'Detailed Budget'!$AC$194</f>
        <v>2684962805.4134097</v>
      </c>
      <c r="DX307" s="269">
        <f t="shared" si="882"/>
        <v>0</v>
      </c>
      <c r="DY307" s="607">
        <f t="shared" si="731"/>
        <v>0</v>
      </c>
      <c r="DZ307" s="196">
        <f>'Detailed Budget'!$AC$198</f>
        <v>18732540018.380611</v>
      </c>
      <c r="EA307" s="269">
        <f t="shared" si="852"/>
        <v>43643610.280055501</v>
      </c>
      <c r="EB307" s="196">
        <f>'Detailed Budget'!$AC$200</f>
        <v>4683135004.5951529</v>
      </c>
      <c r="EC307" s="269">
        <f t="shared" si="883"/>
        <v>10910902.570013875</v>
      </c>
      <c r="ED307" s="269">
        <f t="shared" si="734"/>
        <v>54554512.850069374</v>
      </c>
      <c r="EE307" s="196">
        <f>'Detailed Budget'!$AC$161</f>
        <v>251147290106.36197</v>
      </c>
      <c r="EF307" s="269">
        <f t="shared" si="884"/>
        <v>480725384.53064364</v>
      </c>
      <c r="EG307" s="196">
        <f>'Detailed Budget'!$AC$163</f>
        <v>15696705631.647623</v>
      </c>
      <c r="EH307" s="269">
        <f t="shared" si="885"/>
        <v>30045336.533165228</v>
      </c>
      <c r="EI307" s="269">
        <f t="shared" si="737"/>
        <v>510770721.06380886</v>
      </c>
      <c r="EJ307" s="196">
        <f>'Detailed Budget'!$AC$204</f>
        <v>45012172507.531975</v>
      </c>
      <c r="EK307" s="269">
        <f t="shared" si="886"/>
        <v>112787931.79394102</v>
      </c>
      <c r="EL307" s="201">
        <f>'Detailed Budget'!$AC$206</f>
        <v>11253043126.882994</v>
      </c>
      <c r="EM307" s="269">
        <f t="shared" si="887"/>
        <v>28196982.948485255</v>
      </c>
      <c r="EN307" s="269">
        <f t="shared" si="740"/>
        <v>140984914.74242628</v>
      </c>
      <c r="EO307" s="140">
        <f>'Detailed Budget'!$AC$209</f>
        <v>135789361677.54817</v>
      </c>
      <c r="EP307" s="269">
        <f t="shared" si="888"/>
        <v>237579396.51069278</v>
      </c>
      <c r="EQ307" s="196">
        <f>'Detailed Budget'!$AC$211</f>
        <v>33947340419.387043</v>
      </c>
      <c r="ER307" s="269">
        <f t="shared" si="889"/>
        <v>59394849.127673194</v>
      </c>
      <c r="ES307" s="269">
        <f t="shared" si="743"/>
        <v>296974245.63836598</v>
      </c>
      <c r="ET307" s="196">
        <f>'Detailed Budget'!$AC$214</f>
        <v>22239745544.201103</v>
      </c>
      <c r="EU307" s="269">
        <f t="shared" si="890"/>
        <v>37789307.214242287</v>
      </c>
      <c r="EV307" s="140">
        <f>'Detailed Budget'!$AC$217</f>
        <v>5559936386.0502758</v>
      </c>
      <c r="EW307" s="269">
        <f t="shared" si="891"/>
        <v>9447326.8035605717</v>
      </c>
      <c r="EX307" s="269">
        <f t="shared" si="746"/>
        <v>47236634.017802857</v>
      </c>
      <c r="EY307" s="196">
        <f>'Detailed Budget'!$AC$219</f>
        <v>372777004.58170313</v>
      </c>
      <c r="EZ307" s="269">
        <f t="shared" si="892"/>
        <v>663105.84006130509</v>
      </c>
      <c r="FA307" s="196">
        <f>'Detailed Budget'!$AC$222</f>
        <v>93194251.145425782</v>
      </c>
      <c r="FB307" s="269">
        <f t="shared" si="893"/>
        <v>165776.46001532627</v>
      </c>
      <c r="FC307" s="269">
        <f t="shared" si="749"/>
        <v>828882.30007663136</v>
      </c>
      <c r="FD307" s="269"/>
      <c r="FE307" s="269">
        <f t="shared" si="750"/>
        <v>486024676.6986717</v>
      </c>
      <c r="FF307" s="140">
        <f>'Detailed Budget'!$AC$165</f>
        <v>14927760000</v>
      </c>
      <c r="FG307" s="1087">
        <f t="shared" si="788"/>
        <v>662969830.86319995</v>
      </c>
      <c r="FH307" s="269">
        <f t="shared" si="853"/>
        <v>20353723.440518126</v>
      </c>
      <c r="FJ307" s="140">
        <f>'Detailed Budget'!$AC$235</f>
        <v>3623696172</v>
      </c>
      <c r="FK307" s="269">
        <f t="shared" si="854"/>
        <v>4681778</v>
      </c>
      <c r="FL307" s="269">
        <f t="shared" si="789"/>
        <v>4681778</v>
      </c>
      <c r="FO307" s="607"/>
      <c r="FP307" s="607"/>
      <c r="FQ307" s="607"/>
      <c r="FR307" s="269">
        <f>'Detailed Budget'!$AC$257</f>
        <v>13636439388</v>
      </c>
      <c r="FS307" s="269">
        <f t="shared" si="855"/>
        <v>19487052</v>
      </c>
      <c r="FT307" s="269">
        <f t="shared" si="790"/>
        <v>19487052</v>
      </c>
      <c r="FU307" s="269"/>
      <c r="FV307" s="269"/>
      <c r="FW307" s="269"/>
      <c r="FX307" s="140">
        <f>'Detailed Budget'!$AC$278</f>
        <v>1114560000</v>
      </c>
      <c r="FY307" s="269">
        <f t="shared" si="856"/>
        <v>1440000</v>
      </c>
      <c r="FZ307" s="269">
        <f t="shared" si="791"/>
        <v>1440000</v>
      </c>
      <c r="GB307" s="269">
        <f t="shared" si="799"/>
        <v>3889757588.296248</v>
      </c>
      <c r="GC307" s="887">
        <f t="shared" si="753"/>
        <v>2431098.492685155</v>
      </c>
      <c r="GD307" s="1078">
        <f t="shared" si="800"/>
        <v>2.1826654677702035E-3</v>
      </c>
    </row>
    <row r="308" spans="1:186" hidden="1" outlineLevel="1">
      <c r="A308" s="211" t="s">
        <v>762</v>
      </c>
      <c r="B308" s="212" t="s">
        <v>763</v>
      </c>
      <c r="C308" s="213" t="s">
        <v>215</v>
      </c>
      <c r="D308" s="214" t="s">
        <v>215</v>
      </c>
      <c r="E308" s="213"/>
      <c r="F308" s="213"/>
      <c r="G308" s="213"/>
      <c r="H308" s="213" t="s">
        <v>215</v>
      </c>
      <c r="I308" s="214" t="s">
        <v>215</v>
      </c>
      <c r="J308" s="214"/>
      <c r="K308" s="213" t="s">
        <v>215</v>
      </c>
      <c r="L308" s="213"/>
      <c r="M308" s="214"/>
      <c r="N308" s="213"/>
      <c r="O308" s="214"/>
      <c r="P308" s="213"/>
      <c r="Q308" s="214"/>
      <c r="R308" s="214" t="s">
        <v>215</v>
      </c>
      <c r="S308" s="214"/>
      <c r="T308" s="214"/>
      <c r="U308" s="215">
        <f t="shared" si="857"/>
        <v>6</v>
      </c>
      <c r="V308" s="845" t="s">
        <v>219</v>
      </c>
      <c r="W308" s="216">
        <v>252568</v>
      </c>
      <c r="X308" s="217">
        <v>3.07</v>
      </c>
      <c r="Y308" s="218">
        <f t="shared" si="826"/>
        <v>1.0306999999999999</v>
      </c>
      <c r="Z308" s="196">
        <v>19</v>
      </c>
      <c r="AA308" s="218">
        <f t="shared" si="827"/>
        <v>1.7762874396990105</v>
      </c>
      <c r="AB308" s="196">
        <f t="shared" si="894"/>
        <v>448633.3660698997</v>
      </c>
      <c r="AC308">
        <v>19.2</v>
      </c>
      <c r="AD308" s="196">
        <f t="shared" si="895"/>
        <v>86137.606285420727</v>
      </c>
      <c r="AE308" s="196">
        <f t="shared" si="849"/>
        <v>81830.725971149688</v>
      </c>
      <c r="AF308" s="196">
        <f t="shared" si="858"/>
        <v>81830.725971149688</v>
      </c>
      <c r="AG308" s="606">
        <f t="shared" si="756"/>
        <v>3.7834935252876972E-3</v>
      </c>
      <c r="AH308" s="196">
        <f t="shared" si="873"/>
        <v>22431.668303494986</v>
      </c>
      <c r="AI308" s="248">
        <f t="shared" si="715"/>
        <v>1.7377473561745276E-3</v>
      </c>
      <c r="AJ308" s="196">
        <f t="shared" si="757"/>
        <v>108569.27458891571</v>
      </c>
      <c r="AK308" s="196">
        <f t="shared" si="785"/>
        <v>17945.334642795988</v>
      </c>
      <c r="AL308" s="196">
        <f t="shared" si="786"/>
        <v>17945.334642795988</v>
      </c>
      <c r="AM308" s="196">
        <f t="shared" si="716"/>
        <v>35890.669285591975</v>
      </c>
      <c r="AN308" s="627">
        <f t="shared" si="717"/>
        <v>1.7377473561745276E-3</v>
      </c>
      <c r="AO308" s="196">
        <f t="shared" si="718"/>
        <v>17048.067910656187</v>
      </c>
      <c r="AP308" s="589">
        <f t="shared" si="758"/>
        <v>1.7377473561745276E-3</v>
      </c>
      <c r="AQ308" s="196"/>
      <c r="AR308" s="589"/>
      <c r="AS308">
        <v>1</v>
      </c>
      <c r="AT308" s="589">
        <f t="shared" si="759"/>
        <v>1.2919896640826874E-3</v>
      </c>
      <c r="AU308">
        <v>12</v>
      </c>
      <c r="AV308" s="245">
        <f t="shared" si="719"/>
        <v>1.3634814225656176E-3</v>
      </c>
      <c r="AX308" s="245"/>
      <c r="AY308" s="245"/>
      <c r="AZ308">
        <v>62</v>
      </c>
      <c r="BA308" s="589">
        <f t="shared" si="793"/>
        <v>2.2718112198160567E-3</v>
      </c>
      <c r="BI308" s="196">
        <v>1</v>
      </c>
      <c r="BJ308" s="196">
        <f t="shared" si="859"/>
        <v>249203.57251355684</v>
      </c>
      <c r="BK308" s="246">
        <f t="shared" si="794"/>
        <v>4.7521617738069946E-3</v>
      </c>
      <c r="BL308" s="196">
        <f t="shared" si="874"/>
        <v>4984.0714502711371</v>
      </c>
      <c r="BM308" s="246">
        <f t="shared" si="795"/>
        <v>4.7521612300819097E-3</v>
      </c>
      <c r="BN308" s="196">
        <v>0</v>
      </c>
      <c r="BO308" s="196">
        <f t="shared" si="860"/>
        <v>31925.058027055711</v>
      </c>
      <c r="BP308" s="196">
        <f t="shared" si="762"/>
        <v>0</v>
      </c>
      <c r="BQ308" s="248">
        <f t="shared" si="796"/>
        <v>0</v>
      </c>
      <c r="BR308" s="248"/>
      <c r="BS308" s="248"/>
      <c r="BT308" s="276">
        <v>1</v>
      </c>
      <c r="BU308" s="196">
        <f t="shared" si="875"/>
        <v>68220.984178053215</v>
      </c>
      <c r="BV308" s="264">
        <f t="shared" si="797"/>
        <v>4.7319366838309528E-3</v>
      </c>
      <c r="BW308" s="196">
        <f t="shared" si="876"/>
        <v>291834.21009500546</v>
      </c>
      <c r="BX308" s="247">
        <f t="shared" si="798"/>
        <v>4.7319367264564201E-3</v>
      </c>
      <c r="BY308" s="196">
        <f t="shared" si="833"/>
        <v>360055.19427305867</v>
      </c>
      <c r="BZ308" s="620">
        <v>0</v>
      </c>
      <c r="CA308" s="196">
        <f t="shared" si="861"/>
        <v>137281.8100173893</v>
      </c>
      <c r="CB308" s="196">
        <f t="shared" si="862"/>
        <v>274563.62003477861</v>
      </c>
      <c r="CC308" s="196">
        <f t="shared" si="765"/>
        <v>411845.43005216791</v>
      </c>
      <c r="CD308" s="247">
        <f t="shared" si="720"/>
        <v>1.7377473561745276E-3</v>
      </c>
      <c r="CE308" s="196">
        <f t="shared" si="863"/>
        <v>48981.057962942818</v>
      </c>
      <c r="CF308" s="247">
        <f t="shared" si="721"/>
        <v>2.1151544112688061E-3</v>
      </c>
      <c r="CG308" s="196">
        <f t="shared" si="877"/>
        <v>68192.27164262475</v>
      </c>
      <c r="CH308" s="589">
        <f t="shared" si="767"/>
        <v>1.7377473561745276E-3</v>
      </c>
      <c r="CI308" s="196">
        <f t="shared" si="864"/>
        <v>138372.24580000338</v>
      </c>
      <c r="CJ308" s="248">
        <f t="shared" si="769"/>
        <v>2.2748393697168568E-3</v>
      </c>
      <c r="CK308" s="196">
        <f t="shared" si="865"/>
        <v>110496.12241910944</v>
      </c>
      <c r="CL308" s="589">
        <f t="shared" si="771"/>
        <v>1.5884044878574138E-3</v>
      </c>
      <c r="CM308" s="196">
        <f t="shared" si="866"/>
        <v>10704.317023493642</v>
      </c>
      <c r="CN308" s="589">
        <f t="shared" si="773"/>
        <v>1.542613733913013E-3</v>
      </c>
      <c r="CO308" s="196">
        <f t="shared" si="867"/>
        <v>856.33875177720051</v>
      </c>
      <c r="CP308" s="589">
        <f t="shared" si="775"/>
        <v>1.6149229854020444E-3</v>
      </c>
      <c r="CQ308" s="196">
        <f>'Detailed Budget'!$AC$12</f>
        <v>292876014141.44696</v>
      </c>
      <c r="CR308" s="269">
        <f t="shared" si="724"/>
        <v>1391794198.8679409</v>
      </c>
      <c r="CS308" s="269">
        <f>'Detailed Budget'!$AC$16</f>
        <v>10488008800.000002</v>
      </c>
      <c r="CT308" s="607">
        <f t="shared" si="878"/>
        <v>49840708.800117902</v>
      </c>
      <c r="CU308" s="269">
        <f>'Detailed Budget'!$AC$24</f>
        <v>30624985696</v>
      </c>
      <c r="CV308" s="269">
        <f t="shared" si="792"/>
        <v>145534886.3479172</v>
      </c>
      <c r="CW308" s="269"/>
      <c r="CX308" s="269">
        <f t="shared" si="776"/>
        <v>1587169794.015976</v>
      </c>
      <c r="CY308" s="196">
        <f>'Detailed Budget'!$AC$97</f>
        <v>74629165494.837845</v>
      </c>
      <c r="CZ308" s="269">
        <f t="shared" si="879"/>
        <v>0</v>
      </c>
      <c r="DA308" s="269">
        <f>'Detailed Budget'!$AC$100</f>
        <v>14925833098.967569</v>
      </c>
      <c r="DB308" s="269">
        <f t="shared" si="880"/>
        <v>0</v>
      </c>
      <c r="DC308" s="269">
        <f t="shared" si="728"/>
        <v>0</v>
      </c>
      <c r="DD308" s="207">
        <v>0</v>
      </c>
      <c r="DE308" s="606">
        <v>0</v>
      </c>
      <c r="DF308" s="269">
        <f>'Detailed Budget'!$AC$147</f>
        <v>5913600671000</v>
      </c>
      <c r="DG308" s="269">
        <f t="shared" si="787"/>
        <v>0</v>
      </c>
      <c r="DH308" s="269">
        <f>'Detailed Budget'!$AC$153</f>
        <v>226428026880.00003</v>
      </c>
      <c r="DI308" s="269"/>
      <c r="DJ308" s="269">
        <f>'Detailed Budget'!$AC$156</f>
        <v>27713070000</v>
      </c>
      <c r="DK308" s="269"/>
      <c r="DL308" s="269"/>
      <c r="DM308" s="196">
        <f>'Detailed Budget'!$AC$178</f>
        <v>5622683761.6229038</v>
      </c>
      <c r="DN308" s="269">
        <f t="shared" si="868"/>
        <v>26606183.55320403</v>
      </c>
      <c r="DO308" s="196">
        <f>'Detailed Budget'!$AC$179</f>
        <v>26827890683.128094</v>
      </c>
      <c r="DP308" s="269">
        <f t="shared" si="869"/>
        <v>126947881.21685185</v>
      </c>
      <c r="DQ308" s="269">
        <f t="shared" si="870"/>
        <v>153554064.77005589</v>
      </c>
      <c r="DR308" s="269">
        <f>'Detailed Budget'!$AC$181</f>
        <v>50888946855.375237</v>
      </c>
      <c r="DS308" s="269">
        <f t="shared" si="871"/>
        <v>192538000.93602192</v>
      </c>
      <c r="DT308" s="269">
        <f t="shared" si="872"/>
        <v>346092065.70607781</v>
      </c>
      <c r="DU308" s="272">
        <f>'Detailed Budget'!$AC$192</f>
        <v>77498869683.252869</v>
      </c>
      <c r="DV308" s="269">
        <f t="shared" si="881"/>
        <v>0</v>
      </c>
      <c r="DW308" s="140">
        <f>'Detailed Budget'!$AC$194</f>
        <v>2684962805.4134097</v>
      </c>
      <c r="DX308" s="269">
        <f t="shared" si="882"/>
        <v>0</v>
      </c>
      <c r="DY308" s="607">
        <f t="shared" si="731"/>
        <v>0</v>
      </c>
      <c r="DZ308" s="196">
        <f>'Detailed Budget'!$AC$198</f>
        <v>18732540018.380611</v>
      </c>
      <c r="EA308" s="269">
        <f t="shared" si="852"/>
        <v>39622214.654147193</v>
      </c>
      <c r="EB308" s="196">
        <f>'Detailed Budget'!$AC$200</f>
        <v>4683135004.5951529</v>
      </c>
      <c r="EC308" s="269">
        <f t="shared" si="883"/>
        <v>9905553.6635367982</v>
      </c>
      <c r="ED308" s="269">
        <f t="shared" si="734"/>
        <v>49527768.317683995</v>
      </c>
      <c r="EE308" s="196">
        <f>'Detailed Budget'!$AC$161</f>
        <v>251147290106.36197</v>
      </c>
      <c r="EF308" s="269">
        <f t="shared" si="884"/>
        <v>436430539.39272761</v>
      </c>
      <c r="EG308" s="196">
        <f>'Detailed Budget'!$AC$163</f>
        <v>15696705631.647623</v>
      </c>
      <c r="EH308" s="269">
        <f t="shared" si="885"/>
        <v>27276908.712045476</v>
      </c>
      <c r="EI308" s="269">
        <f t="shared" si="737"/>
        <v>463707448.1047731</v>
      </c>
      <c r="EJ308" s="196">
        <f>'Detailed Budget'!$AC$204</f>
        <v>45012172507.531975</v>
      </c>
      <c r="EK308" s="269">
        <f t="shared" si="886"/>
        <v>102395462.13662046</v>
      </c>
      <c r="EL308" s="201">
        <f>'Detailed Budget'!$AC$206</f>
        <v>11253043126.882994</v>
      </c>
      <c r="EM308" s="269">
        <f t="shared" si="887"/>
        <v>25598865.534155115</v>
      </c>
      <c r="EN308" s="269">
        <f t="shared" si="740"/>
        <v>127994327.67077558</v>
      </c>
      <c r="EO308" s="140">
        <f>'Detailed Budget'!$AC$209</f>
        <v>135789361677.54817</v>
      </c>
      <c r="EP308" s="269">
        <f t="shared" si="888"/>
        <v>215688431.49191105</v>
      </c>
      <c r="EQ308" s="196">
        <f>'Detailed Budget'!$AC$211</f>
        <v>33947340419.387043</v>
      </c>
      <c r="ER308" s="269">
        <f t="shared" si="889"/>
        <v>53922107.872977763</v>
      </c>
      <c r="ES308" s="269">
        <f t="shared" si="743"/>
        <v>269610539.36488879</v>
      </c>
      <c r="ET308" s="196">
        <f>'Detailed Budget'!$AC$214</f>
        <v>22239745544.201103</v>
      </c>
      <c r="EU308" s="269">
        <f t="shared" si="890"/>
        <v>34307336.915215358</v>
      </c>
      <c r="EV308" s="140">
        <f>'Detailed Budget'!$AC$217</f>
        <v>5559936386.0502758</v>
      </c>
      <c r="EW308" s="269">
        <f t="shared" si="891"/>
        <v>8576834.2288038395</v>
      </c>
      <c r="EX308" s="269">
        <f t="shared" si="746"/>
        <v>42884171.144019201</v>
      </c>
      <c r="EY308" s="196">
        <f>'Detailed Budget'!$AC$219</f>
        <v>372777004.58170313</v>
      </c>
      <c r="EZ308" s="269">
        <f t="shared" si="892"/>
        <v>602006.15312831558</v>
      </c>
      <c r="FA308" s="196">
        <f>'Detailed Budget'!$AC$222</f>
        <v>93194251.145425782</v>
      </c>
      <c r="FB308" s="269">
        <f t="shared" si="893"/>
        <v>150501.53828207889</v>
      </c>
      <c r="FC308" s="269">
        <f t="shared" si="749"/>
        <v>752507.6914103945</v>
      </c>
      <c r="FD308" s="269"/>
      <c r="FE308" s="269">
        <f t="shared" si="750"/>
        <v>441241545.87109399</v>
      </c>
      <c r="FF308" s="140">
        <f>'Detailed Budget'!$AC$165</f>
        <v>14927760000</v>
      </c>
      <c r="FG308" s="1087">
        <f t="shared" si="788"/>
        <v>601882676.04638588</v>
      </c>
      <c r="FH308" s="269">
        <f t="shared" si="853"/>
        <v>20353723.440518126</v>
      </c>
      <c r="FJ308" s="140">
        <f>'Detailed Budget'!$AC$235</f>
        <v>3623696172</v>
      </c>
      <c r="FK308" s="269">
        <f t="shared" si="854"/>
        <v>4681778</v>
      </c>
      <c r="FL308" s="269">
        <f t="shared" si="789"/>
        <v>4681778</v>
      </c>
      <c r="FO308" s="607"/>
      <c r="FP308" s="607"/>
      <c r="FQ308" s="607"/>
      <c r="FR308" s="269">
        <f>'Detailed Budget'!$AC$257</f>
        <v>13636439388</v>
      </c>
      <c r="FS308" s="269">
        <f t="shared" si="855"/>
        <v>30979416.000000004</v>
      </c>
      <c r="FT308" s="269">
        <f t="shared" si="790"/>
        <v>30979416.000000004</v>
      </c>
      <c r="FU308" s="269"/>
      <c r="FV308" s="269"/>
      <c r="FW308" s="269"/>
      <c r="FX308" s="140">
        <f>'Detailed Budget'!$AC$278</f>
        <v>1114560000</v>
      </c>
      <c r="FY308" s="269">
        <f t="shared" si="856"/>
        <v>1440000</v>
      </c>
      <c r="FZ308" s="269">
        <f t="shared" si="791"/>
        <v>1440000</v>
      </c>
      <c r="GB308" s="269">
        <f t="shared" si="799"/>
        <v>3547076215.5025086</v>
      </c>
      <c r="GC308" s="887">
        <f t="shared" si="753"/>
        <v>2216922.634689068</v>
      </c>
      <c r="GD308" s="1078">
        <f t="shared" si="800"/>
        <v>1.9903761587666065E-3</v>
      </c>
    </row>
    <row r="309" spans="1:186" hidden="1" outlineLevel="1">
      <c r="A309" s="211" t="s">
        <v>764</v>
      </c>
      <c r="B309" s="212" t="s">
        <v>765</v>
      </c>
      <c r="C309" s="213" t="s">
        <v>215</v>
      </c>
      <c r="D309" s="214" t="s">
        <v>215</v>
      </c>
      <c r="E309" s="213"/>
      <c r="F309" s="213"/>
      <c r="G309" s="213"/>
      <c r="H309" s="213" t="s">
        <v>215</v>
      </c>
      <c r="I309" s="214" t="s">
        <v>215</v>
      </c>
      <c r="J309" s="214"/>
      <c r="K309" s="213" t="s">
        <v>215</v>
      </c>
      <c r="L309" s="213"/>
      <c r="M309" s="214"/>
      <c r="N309" s="213"/>
      <c r="O309" s="214"/>
      <c r="P309" s="213"/>
      <c r="Q309" s="214" t="s">
        <v>215</v>
      </c>
      <c r="R309" s="214"/>
      <c r="S309" s="214"/>
      <c r="T309" s="214"/>
      <c r="U309" s="215">
        <f t="shared" si="857"/>
        <v>6</v>
      </c>
      <c r="V309" s="845" t="s">
        <v>265</v>
      </c>
      <c r="W309" s="216">
        <v>364575</v>
      </c>
      <c r="X309" s="217">
        <v>3.07</v>
      </c>
      <c r="Y309" s="218">
        <f t="shared" si="826"/>
        <v>1.0306999999999999</v>
      </c>
      <c r="Z309" s="196">
        <v>19</v>
      </c>
      <c r="AA309" s="218">
        <f t="shared" si="827"/>
        <v>1.7762874396990105</v>
      </c>
      <c r="AB309" s="196">
        <f t="shared" si="894"/>
        <v>647589.99332826678</v>
      </c>
      <c r="AC309">
        <v>19.2</v>
      </c>
      <c r="AD309" s="196">
        <f t="shared" si="895"/>
        <v>124337.27871902721</v>
      </c>
      <c r="AE309" s="196">
        <f t="shared" si="849"/>
        <v>118120.41478307584</v>
      </c>
      <c r="AF309" s="196">
        <f t="shared" si="858"/>
        <v>118120.41478307584</v>
      </c>
      <c r="AG309" s="606">
        <f t="shared" si="756"/>
        <v>5.4613694212321522E-3</v>
      </c>
      <c r="AH309" s="196">
        <f t="shared" si="873"/>
        <v>32379.49966641334</v>
      </c>
      <c r="AI309" s="248">
        <f t="shared" si="715"/>
        <v>2.5083907794230796E-3</v>
      </c>
      <c r="AJ309" s="196">
        <f t="shared" si="757"/>
        <v>156716.77838544056</v>
      </c>
      <c r="AK309" s="196">
        <f t="shared" si="785"/>
        <v>25903.599733130672</v>
      </c>
      <c r="AL309" s="196">
        <f t="shared" si="786"/>
        <v>25903.599733130672</v>
      </c>
      <c r="AM309" s="196">
        <f t="shared" si="716"/>
        <v>51807.199466261343</v>
      </c>
      <c r="AN309" s="627">
        <f t="shared" si="717"/>
        <v>2.5083907794230796E-3</v>
      </c>
      <c r="AO309" s="196">
        <f t="shared" si="718"/>
        <v>24608.419746474137</v>
      </c>
      <c r="AP309" s="589">
        <f t="shared" si="758"/>
        <v>2.5083907794230796E-3</v>
      </c>
      <c r="AQ309" s="196"/>
      <c r="AR309" s="589"/>
      <c r="AS309">
        <v>1</v>
      </c>
      <c r="AT309" s="589">
        <f t="shared" si="759"/>
        <v>1.2919896640826874E-3</v>
      </c>
      <c r="AU309">
        <v>12</v>
      </c>
      <c r="AV309" s="245">
        <f t="shared" si="719"/>
        <v>1.3634814225656176E-3</v>
      </c>
      <c r="AX309" s="245"/>
      <c r="AY309" s="245"/>
      <c r="AZ309">
        <v>23</v>
      </c>
      <c r="BA309" s="589">
        <f t="shared" si="793"/>
        <v>8.4276867831885966E-4</v>
      </c>
      <c r="BI309" s="196">
        <v>1</v>
      </c>
      <c r="BJ309" s="196">
        <f t="shared" si="859"/>
        <v>359718.54094394372</v>
      </c>
      <c r="BK309" s="246">
        <f t="shared" si="794"/>
        <v>6.8596155438760452E-3</v>
      </c>
      <c r="BL309" s="196">
        <f t="shared" si="874"/>
        <v>7194.3708188788742</v>
      </c>
      <c r="BM309" s="246">
        <f t="shared" si="795"/>
        <v>6.8596147590237562E-3</v>
      </c>
      <c r="BN309" s="196">
        <v>0</v>
      </c>
      <c r="BO309" s="196">
        <f t="shared" si="860"/>
        <v>46082.948078196117</v>
      </c>
      <c r="BP309" s="196">
        <f t="shared" si="762"/>
        <v>0</v>
      </c>
      <c r="BQ309" s="248">
        <f t="shared" si="796"/>
        <v>0</v>
      </c>
      <c r="BR309" s="248"/>
      <c r="BS309" s="248"/>
      <c r="BT309" s="276">
        <v>1</v>
      </c>
      <c r="BU309" s="196">
        <f t="shared" si="875"/>
        <v>98475.124745469555</v>
      </c>
      <c r="BV309" s="264">
        <f t="shared" si="797"/>
        <v>6.8304211796730773E-3</v>
      </c>
      <c r="BW309" s="196">
        <f t="shared" si="876"/>
        <v>421254.70030006417</v>
      </c>
      <c r="BX309" s="247">
        <f t="shared" si="798"/>
        <v>6.8304212412017727E-3</v>
      </c>
      <c r="BY309" s="196">
        <f t="shared" si="833"/>
        <v>519729.82504553371</v>
      </c>
      <c r="BZ309" s="620">
        <v>0</v>
      </c>
      <c r="CA309" s="196">
        <f t="shared" si="861"/>
        <v>198162.5379584496</v>
      </c>
      <c r="CB309" s="196">
        <f t="shared" si="862"/>
        <v>396325.07591689919</v>
      </c>
      <c r="CC309" s="196">
        <f t="shared" si="765"/>
        <v>594487.61387534882</v>
      </c>
      <c r="CD309" s="247">
        <f t="shared" si="720"/>
        <v>2.5083907794230796E-3</v>
      </c>
      <c r="CE309" s="196">
        <f t="shared" si="863"/>
        <v>70702.817486141867</v>
      </c>
      <c r="CF309" s="247">
        <f t="shared" si="721"/>
        <v>3.0531675409724312E-3</v>
      </c>
      <c r="CG309" s="196">
        <f t="shared" si="877"/>
        <v>98433.678985896549</v>
      </c>
      <c r="CH309" s="589">
        <f t="shared" si="767"/>
        <v>2.5083907794230796E-3</v>
      </c>
      <c r="CI309" s="196">
        <f t="shared" si="864"/>
        <v>199736.55218608945</v>
      </c>
      <c r="CJ309" s="248">
        <f t="shared" si="769"/>
        <v>3.283668410940908E-3</v>
      </c>
      <c r="CK309" s="196">
        <f t="shared" si="865"/>
        <v>159498.13052701385</v>
      </c>
      <c r="CL309" s="589">
        <f t="shared" si="771"/>
        <v>2.2928184336915873E-3</v>
      </c>
      <c r="CM309" s="196">
        <f t="shared" si="866"/>
        <v>15451.388849102797</v>
      </c>
      <c r="CN309" s="589">
        <f t="shared" si="773"/>
        <v>2.2267207327980455E-3</v>
      </c>
      <c r="CO309" s="196">
        <f t="shared" si="867"/>
        <v>1236.1015664263603</v>
      </c>
      <c r="CP309" s="589">
        <f t="shared" si="775"/>
        <v>2.3310971595885089E-3</v>
      </c>
      <c r="CQ309" s="196">
        <f>'Detailed Budget'!$AC$12</f>
        <v>292876014141.44696</v>
      </c>
      <c r="CR309" s="269">
        <f t="shared" si="724"/>
        <v>2009016859.0331299</v>
      </c>
      <c r="CS309" s="269">
        <f>'Detailed Budget'!$AC$16</f>
        <v>10488008800.000002</v>
      </c>
      <c r="CT309" s="607">
        <f t="shared" si="878"/>
        <v>71943699.957251042</v>
      </c>
      <c r="CU309" s="269">
        <f>'Detailed Budget'!$AC$24</f>
        <v>30624985696</v>
      </c>
      <c r="CV309" s="269">
        <f t="shared" si="792"/>
        <v>210075627.91126314</v>
      </c>
      <c r="CW309" s="269"/>
      <c r="CX309" s="269">
        <f t="shared" si="776"/>
        <v>2291036186.9016442</v>
      </c>
      <c r="CY309" s="196">
        <f>'Detailed Budget'!$AC$97</f>
        <v>74629165494.837845</v>
      </c>
      <c r="CZ309" s="269">
        <f t="shared" si="879"/>
        <v>0</v>
      </c>
      <c r="DA309" s="269">
        <f>'Detailed Budget'!$AC$100</f>
        <v>14925833098.967569</v>
      </c>
      <c r="DB309" s="269">
        <f t="shared" si="880"/>
        <v>0</v>
      </c>
      <c r="DC309" s="269">
        <f t="shared" si="728"/>
        <v>0</v>
      </c>
      <c r="DD309" s="207">
        <v>0</v>
      </c>
      <c r="DE309" s="606">
        <v>0</v>
      </c>
      <c r="DF309" s="269">
        <f>'Detailed Budget'!$AC$147</f>
        <v>5913600671000</v>
      </c>
      <c r="DG309" s="269">
        <f t="shared" si="787"/>
        <v>0</v>
      </c>
      <c r="DH309" s="269">
        <f>'Detailed Budget'!$AC$153</f>
        <v>226428026880.00003</v>
      </c>
      <c r="DI309" s="269"/>
      <c r="DJ309" s="269">
        <f>'Detailed Budget'!$AC$156</f>
        <v>27713070000</v>
      </c>
      <c r="DK309" s="269"/>
      <c r="DL309" s="269"/>
      <c r="DM309" s="196">
        <f>'Detailed Budget'!$AC$178</f>
        <v>5622683761.6229038</v>
      </c>
      <c r="DN309" s="269">
        <f t="shared" si="868"/>
        <v>38405298.251992971</v>
      </c>
      <c r="DO309" s="196">
        <f>'Detailed Budget'!$AC$179</f>
        <v>26827890683.128094</v>
      </c>
      <c r="DP309" s="269">
        <f t="shared" si="869"/>
        <v>183245794.37867728</v>
      </c>
      <c r="DQ309" s="269">
        <f t="shared" si="870"/>
        <v>221651092.63067025</v>
      </c>
      <c r="DR309" s="269">
        <f>'Detailed Budget'!$AC$181</f>
        <v>50888946855.375237</v>
      </c>
      <c r="DS309" s="269">
        <f t="shared" si="871"/>
        <v>277923338.23465443</v>
      </c>
      <c r="DT309" s="269">
        <f t="shared" si="872"/>
        <v>499574430.86532468</v>
      </c>
      <c r="DU309" s="272">
        <f>'Detailed Budget'!$AC$192</f>
        <v>77498869683.252869</v>
      </c>
      <c r="DV309" s="269">
        <f t="shared" si="881"/>
        <v>0</v>
      </c>
      <c r="DW309" s="140">
        <f>'Detailed Budget'!$AC$194</f>
        <v>2684962805.4134097</v>
      </c>
      <c r="DX309" s="269">
        <f t="shared" si="882"/>
        <v>0</v>
      </c>
      <c r="DY309" s="607">
        <f t="shared" si="731"/>
        <v>0</v>
      </c>
      <c r="DZ309" s="196">
        <f>'Detailed Budget'!$AC$198</f>
        <v>18732540018.380611</v>
      </c>
      <c r="EA309" s="269">
        <f t="shared" si="852"/>
        <v>57193583.144086793</v>
      </c>
      <c r="EB309" s="196">
        <f>'Detailed Budget'!$AC$200</f>
        <v>4683135004.5951529</v>
      </c>
      <c r="EC309" s="269">
        <f t="shared" si="883"/>
        <v>14298395.786021698</v>
      </c>
      <c r="ED309" s="269">
        <f t="shared" si="734"/>
        <v>71491978.930108488</v>
      </c>
      <c r="EE309" s="196">
        <f>'Detailed Budget'!$AC$161</f>
        <v>251147290106.36197</v>
      </c>
      <c r="EF309" s="269">
        <f t="shared" si="884"/>
        <v>629975546.77989161</v>
      </c>
      <c r="EG309" s="196">
        <f>'Detailed Budget'!$AC$163</f>
        <v>15696705631.647623</v>
      </c>
      <c r="EH309" s="269">
        <f t="shared" si="885"/>
        <v>39373471.673743226</v>
      </c>
      <c r="EI309" s="269">
        <f t="shared" si="737"/>
        <v>669349018.45363486</v>
      </c>
      <c r="EJ309" s="196">
        <f>'Detailed Budget'!$AC$204</f>
        <v>45012172507.531975</v>
      </c>
      <c r="EK309" s="269">
        <f t="shared" si="886"/>
        <v>147805048.97080556</v>
      </c>
      <c r="EL309" s="201">
        <f>'Detailed Budget'!$AC$206</f>
        <v>11253043126.882994</v>
      </c>
      <c r="EM309" s="269">
        <f t="shared" si="887"/>
        <v>36951262.242701389</v>
      </c>
      <c r="EN309" s="269">
        <f t="shared" si="740"/>
        <v>184756311.21350694</v>
      </c>
      <c r="EO309" s="140">
        <f>'Detailed Budget'!$AC$209</f>
        <v>135789361677.54817</v>
      </c>
      <c r="EP309" s="269">
        <f t="shared" si="888"/>
        <v>311340351.55349642</v>
      </c>
      <c r="EQ309" s="196">
        <f>'Detailed Budget'!$AC$211</f>
        <v>33947340419.387043</v>
      </c>
      <c r="ER309" s="269">
        <f t="shared" si="889"/>
        <v>77835087.888374105</v>
      </c>
      <c r="ES309" s="269">
        <f t="shared" si="743"/>
        <v>389175439.44187051</v>
      </c>
      <c r="ET309" s="196">
        <f>'Detailed Budget'!$AC$214</f>
        <v>22239745544.201103</v>
      </c>
      <c r="EU309" s="269">
        <f t="shared" si="890"/>
        <v>49521702.495425545</v>
      </c>
      <c r="EV309" s="140">
        <f>'Detailed Budget'!$AC$217</f>
        <v>5559936386.0502758</v>
      </c>
      <c r="EW309" s="269">
        <f t="shared" si="891"/>
        <v>12380425.623856386</v>
      </c>
      <c r="EX309" s="269">
        <f t="shared" si="746"/>
        <v>61902128.119281933</v>
      </c>
      <c r="EY309" s="196">
        <f>'Detailed Budget'!$AC$219</f>
        <v>372777004.58170313</v>
      </c>
      <c r="EZ309" s="269">
        <f t="shared" si="892"/>
        <v>868979.41654032073</v>
      </c>
      <c r="FA309" s="196">
        <f>'Detailed Budget'!$AC$222</f>
        <v>93194251.145425782</v>
      </c>
      <c r="FB309" s="269">
        <f t="shared" si="893"/>
        <v>217244.85413508018</v>
      </c>
      <c r="FC309" s="269">
        <f t="shared" si="749"/>
        <v>1086224.270675401</v>
      </c>
      <c r="FD309" s="269"/>
      <c r="FE309" s="269">
        <f t="shared" si="750"/>
        <v>636920103.0453347</v>
      </c>
      <c r="FF309" s="140">
        <f>'Detailed Budget'!$AC$165</f>
        <v>14927760000</v>
      </c>
      <c r="FG309" s="1087">
        <f t="shared" si="788"/>
        <v>868801180.7497828</v>
      </c>
      <c r="FH309" s="269">
        <f t="shared" si="853"/>
        <v>20353723.440518126</v>
      </c>
      <c r="FJ309" s="140">
        <f>'Detailed Budget'!$AC$235</f>
        <v>3623696172</v>
      </c>
      <c r="FK309" s="269">
        <f t="shared" si="854"/>
        <v>4681778</v>
      </c>
      <c r="FL309" s="269">
        <f t="shared" si="789"/>
        <v>4681778</v>
      </c>
      <c r="FO309" s="607"/>
      <c r="FP309" s="607"/>
      <c r="FQ309" s="607"/>
      <c r="FR309" s="269">
        <f>'Detailed Budget'!$AC$257</f>
        <v>13636439388</v>
      </c>
      <c r="FS309" s="269">
        <f t="shared" si="855"/>
        <v>11492364</v>
      </c>
      <c r="FT309" s="269">
        <f t="shared" si="790"/>
        <v>11492364</v>
      </c>
      <c r="FU309" s="269"/>
      <c r="FV309" s="269"/>
      <c r="FW309" s="269"/>
      <c r="FX309" s="140">
        <f>'Detailed Budget'!$AC$278</f>
        <v>1114560000</v>
      </c>
      <c r="FY309" s="269">
        <f t="shared" si="856"/>
        <v>1440000</v>
      </c>
      <c r="FZ309" s="269">
        <f t="shared" si="791"/>
        <v>1440000</v>
      </c>
      <c r="GB309" s="269">
        <f t="shared" si="799"/>
        <v>5075140764.3863478</v>
      </c>
      <c r="GC309" s="887">
        <f t="shared" si="753"/>
        <v>3171962.9777414673</v>
      </c>
      <c r="GD309" s="1078">
        <f t="shared" si="800"/>
        <v>2.8478212945272346E-3</v>
      </c>
    </row>
    <row r="310" spans="1:186" hidden="1" outlineLevel="1">
      <c r="A310" s="211" t="s">
        <v>766</v>
      </c>
      <c r="B310" s="212" t="s">
        <v>767</v>
      </c>
      <c r="C310" s="213" t="s">
        <v>215</v>
      </c>
      <c r="D310" s="214" t="s">
        <v>215</v>
      </c>
      <c r="E310" s="213"/>
      <c r="F310" s="213"/>
      <c r="G310" s="213"/>
      <c r="H310" s="213" t="s">
        <v>215</v>
      </c>
      <c r="I310" s="214" t="s">
        <v>215</v>
      </c>
      <c r="J310" s="214"/>
      <c r="K310" s="213"/>
      <c r="L310" s="213"/>
      <c r="M310" s="214" t="s">
        <v>215</v>
      </c>
      <c r="N310" s="213"/>
      <c r="O310" s="214"/>
      <c r="P310" s="213"/>
      <c r="Q310" s="214" t="s">
        <v>215</v>
      </c>
      <c r="R310" s="214"/>
      <c r="S310" s="214"/>
      <c r="T310" s="214"/>
      <c r="U310" s="215">
        <f t="shared" si="857"/>
        <v>6</v>
      </c>
      <c r="V310" s="845" t="s">
        <v>265</v>
      </c>
      <c r="W310" s="216">
        <v>402731</v>
      </c>
      <c r="X310" s="217">
        <v>3.07</v>
      </c>
      <c r="Y310" s="218">
        <f t="shared" si="826"/>
        <v>1.0306999999999999</v>
      </c>
      <c r="Z310" s="196">
        <v>19</v>
      </c>
      <c r="AA310" s="218">
        <f t="shared" si="827"/>
        <v>1.7762874396990105</v>
      </c>
      <c r="AB310" s="196">
        <f t="shared" si="894"/>
        <v>715366.01687742223</v>
      </c>
      <c r="AC310">
        <v>19.2</v>
      </c>
      <c r="AD310" s="196">
        <f t="shared" si="895"/>
        <v>137350.27524046507</v>
      </c>
      <c r="AE310" s="196">
        <f t="shared" si="849"/>
        <v>130482.76147844181</v>
      </c>
      <c r="AF310" s="196">
        <f t="shared" si="858"/>
        <v>130482.76147844181</v>
      </c>
      <c r="AG310" s="606">
        <f t="shared" si="756"/>
        <v>6.0329500607069772E-3</v>
      </c>
      <c r="AH310" s="196">
        <f t="shared" si="873"/>
        <v>35768.300843871111</v>
      </c>
      <c r="AI310" s="248">
        <f t="shared" si="715"/>
        <v>2.7709160721054275E-3</v>
      </c>
      <c r="AJ310" s="196">
        <f t="shared" si="757"/>
        <v>173118.57608433618</v>
      </c>
      <c r="AK310" s="196">
        <f t="shared" si="785"/>
        <v>28614.640675096889</v>
      </c>
      <c r="AL310" s="196">
        <f t="shared" si="786"/>
        <v>28614.640675096889</v>
      </c>
      <c r="AM310" s="196">
        <f t="shared" si="716"/>
        <v>57229.281350193778</v>
      </c>
      <c r="AN310" s="627">
        <f t="shared" si="717"/>
        <v>2.7709160721054275E-3</v>
      </c>
      <c r="AO310" s="196">
        <f t="shared" si="718"/>
        <v>27183.908641342045</v>
      </c>
      <c r="AP310" s="589">
        <f t="shared" si="758"/>
        <v>2.7709160721054275E-3</v>
      </c>
      <c r="AQ310" s="196"/>
      <c r="AR310" s="589"/>
      <c r="AS310">
        <v>1</v>
      </c>
      <c r="AT310" s="589">
        <f t="shared" si="759"/>
        <v>1.2919896640826874E-3</v>
      </c>
      <c r="AU310">
        <v>13</v>
      </c>
      <c r="AV310" s="245">
        <f t="shared" si="719"/>
        <v>1.4771048744460858E-3</v>
      </c>
      <c r="AX310" s="245"/>
      <c r="AY310" s="245"/>
      <c r="AZ310">
        <v>25</v>
      </c>
      <c r="BA310" s="589">
        <f t="shared" si="793"/>
        <v>9.1605291121615189E-4</v>
      </c>
      <c r="BI310" s="196">
        <v>1</v>
      </c>
      <c r="BJ310" s="196">
        <f t="shared" si="859"/>
        <v>397366.26952724514</v>
      </c>
      <c r="BK310" s="246">
        <f t="shared" si="794"/>
        <v>7.5775350136480651E-3</v>
      </c>
      <c r="BL310" s="196">
        <f t="shared" si="874"/>
        <v>7947.3253905449028</v>
      </c>
      <c r="BM310" s="246">
        <f t="shared" si="795"/>
        <v>7.5775341466540391E-3</v>
      </c>
      <c r="BN310" s="196">
        <v>0</v>
      </c>
      <c r="BO310" s="196">
        <f t="shared" si="860"/>
        <v>50905.936398491394</v>
      </c>
      <c r="BP310" s="196">
        <f t="shared" si="762"/>
        <v>0</v>
      </c>
      <c r="BQ310" s="248">
        <f t="shared" si="796"/>
        <v>0</v>
      </c>
      <c r="BR310" s="248"/>
      <c r="BS310" s="248"/>
      <c r="BT310" s="276">
        <v>1</v>
      </c>
      <c r="BU310" s="196">
        <f t="shared" si="875"/>
        <v>108781.41799044835</v>
      </c>
      <c r="BV310" s="264">
        <f t="shared" si="797"/>
        <v>7.5452852008802539E-3</v>
      </c>
      <c r="BW310" s="196">
        <f t="shared" si="876"/>
        <v>465342.73251469573</v>
      </c>
      <c r="BX310" s="247">
        <f t="shared" si="798"/>
        <v>7.5452852688484727E-3</v>
      </c>
      <c r="BY310" s="196">
        <f t="shared" si="833"/>
        <v>574124.15050514403</v>
      </c>
      <c r="BZ310" s="620">
        <v>0</v>
      </c>
      <c r="CA310" s="196">
        <f t="shared" si="861"/>
        <v>218902.0011644912</v>
      </c>
      <c r="CB310" s="196">
        <f t="shared" si="862"/>
        <v>437804.0023289824</v>
      </c>
      <c r="CC310" s="196">
        <f t="shared" si="765"/>
        <v>656706.00349347363</v>
      </c>
      <c r="CD310" s="247">
        <f t="shared" si="720"/>
        <v>2.770916072105428E-3</v>
      </c>
      <c r="CE310" s="196">
        <f t="shared" si="863"/>
        <v>78102.493009700062</v>
      </c>
      <c r="CF310" s="247">
        <f t="shared" si="721"/>
        <v>3.3727085426684994E-3</v>
      </c>
      <c r="CG310" s="196">
        <f t="shared" si="877"/>
        <v>108735.63456536818</v>
      </c>
      <c r="CH310" s="589">
        <f t="shared" si="767"/>
        <v>2.7709160721054275E-3</v>
      </c>
      <c r="CI310" s="196">
        <f t="shared" si="864"/>
        <v>220640.7499100487</v>
      </c>
      <c r="CJ310" s="248">
        <f t="shared" si="769"/>
        <v>3.6273333684609288E-3</v>
      </c>
      <c r="CK310" s="196">
        <f t="shared" si="865"/>
        <v>176191.02134067015</v>
      </c>
      <c r="CL310" s="589">
        <f t="shared" si="771"/>
        <v>2.5327821727190473E-3</v>
      </c>
      <c r="CM310" s="196">
        <f t="shared" si="866"/>
        <v>17068.513426834037</v>
      </c>
      <c r="CN310" s="589">
        <f t="shared" si="773"/>
        <v>2.4597667625056293E-3</v>
      </c>
      <c r="CO310" s="196">
        <f t="shared" si="867"/>
        <v>1365.4705340422533</v>
      </c>
      <c r="CP310" s="589">
        <f t="shared" si="775"/>
        <v>2.5750671060227382E-3</v>
      </c>
      <c r="CQ310" s="196">
        <f>'Detailed Budget'!$AC$12</f>
        <v>292876014141.44696</v>
      </c>
      <c r="CR310" s="269">
        <f t="shared" si="724"/>
        <v>2219278251.8145003</v>
      </c>
      <c r="CS310" s="269">
        <f>'Detailed Budget'!$AC$16</f>
        <v>10488008800.000002</v>
      </c>
      <c r="CT310" s="607">
        <f t="shared" si="878"/>
        <v>79473244.81240806</v>
      </c>
      <c r="CU310" s="269">
        <f>'Detailed Budget'!$AC$24</f>
        <v>30624985696</v>
      </c>
      <c r="CV310" s="269">
        <f t="shared" si="792"/>
        <v>232061901.40391117</v>
      </c>
      <c r="CW310" s="269"/>
      <c r="CX310" s="269">
        <f t="shared" si="776"/>
        <v>2530813398.0308194</v>
      </c>
      <c r="CY310" s="196">
        <f>'Detailed Budget'!$AC$97</f>
        <v>74629165494.837845</v>
      </c>
      <c r="CZ310" s="269">
        <f t="shared" si="879"/>
        <v>0</v>
      </c>
      <c r="DA310" s="269">
        <f>'Detailed Budget'!$AC$100</f>
        <v>14925833098.967569</v>
      </c>
      <c r="DB310" s="269">
        <f t="shared" si="880"/>
        <v>0</v>
      </c>
      <c r="DC310" s="269">
        <f t="shared" si="728"/>
        <v>0</v>
      </c>
      <c r="DD310" s="207">
        <v>0</v>
      </c>
      <c r="DE310" s="606">
        <v>0</v>
      </c>
      <c r="DF310" s="269">
        <f>'Detailed Budget'!$AC$147</f>
        <v>5913600671000</v>
      </c>
      <c r="DG310" s="269">
        <f t="shared" si="787"/>
        <v>0</v>
      </c>
      <c r="DH310" s="269">
        <f>'Detailed Budget'!$AC$153</f>
        <v>226428026880.00003</v>
      </c>
      <c r="DI310" s="269"/>
      <c r="DJ310" s="269">
        <f>'Detailed Budget'!$AC$156</f>
        <v>27713070000</v>
      </c>
      <c r="DK310" s="269"/>
      <c r="DL310" s="269"/>
      <c r="DM310" s="196">
        <f>'Detailed Budget'!$AC$178</f>
        <v>5622683761.6229038</v>
      </c>
      <c r="DN310" s="269">
        <f t="shared" si="868"/>
        <v>42424752.575803012</v>
      </c>
      <c r="DO310" s="196">
        <f>'Detailed Budget'!$AC$179</f>
        <v>26827890683.128094</v>
      </c>
      <c r="DP310" s="269">
        <f t="shared" si="869"/>
        <v>202424088.36568359</v>
      </c>
      <c r="DQ310" s="269">
        <f t="shared" si="870"/>
        <v>244848840.9414866</v>
      </c>
      <c r="DR310" s="269">
        <f>'Detailed Budget'!$AC$181</f>
        <v>50888946855.375237</v>
      </c>
      <c r="DS310" s="269">
        <f t="shared" si="871"/>
        <v>307010475.02045017</v>
      </c>
      <c r="DT310" s="269">
        <f t="shared" si="872"/>
        <v>551859315.96193671</v>
      </c>
      <c r="DU310" s="272">
        <f>'Detailed Budget'!$AC$192</f>
        <v>77498869683.252869</v>
      </c>
      <c r="DV310" s="269">
        <f t="shared" si="881"/>
        <v>0</v>
      </c>
      <c r="DW310" s="140">
        <f>'Detailed Budget'!$AC$194</f>
        <v>2684962805.4134097</v>
      </c>
      <c r="DX310" s="269">
        <f t="shared" si="882"/>
        <v>0</v>
      </c>
      <c r="DY310" s="607">
        <f t="shared" si="731"/>
        <v>0</v>
      </c>
      <c r="DZ310" s="196">
        <f>'Detailed Budget'!$AC$198</f>
        <v>18732540018.380611</v>
      </c>
      <c r="EA310" s="269">
        <f t="shared" si="852"/>
        <v>63179397.74587182</v>
      </c>
      <c r="EB310" s="196">
        <f>'Detailed Budget'!$AC$200</f>
        <v>4683135004.5951529</v>
      </c>
      <c r="EC310" s="269">
        <f t="shared" si="883"/>
        <v>15794849.436467955</v>
      </c>
      <c r="ED310" s="269">
        <f t="shared" si="734"/>
        <v>78974247.182339773</v>
      </c>
      <c r="EE310" s="196">
        <f>'Detailed Budget'!$AC$161</f>
        <v>251147290106.36197</v>
      </c>
      <c r="EF310" s="269">
        <f t="shared" si="884"/>
        <v>695908062.62144279</v>
      </c>
      <c r="EG310" s="196">
        <f>'Detailed Budget'!$AC$163</f>
        <v>15696705631.647623</v>
      </c>
      <c r="EH310" s="269">
        <f t="shared" si="885"/>
        <v>43494253.913840175</v>
      </c>
      <c r="EI310" s="269">
        <f t="shared" si="737"/>
        <v>739402316.53528297</v>
      </c>
      <c r="EJ310" s="196">
        <f>'Detailed Budget'!$AC$204</f>
        <v>45012172507.531975</v>
      </c>
      <c r="EK310" s="269">
        <f t="shared" si="886"/>
        <v>163274155.32349038</v>
      </c>
      <c r="EL310" s="201">
        <f>'Detailed Budget'!$AC$206</f>
        <v>11253043126.882994</v>
      </c>
      <c r="EM310" s="269">
        <f t="shared" si="887"/>
        <v>40818538.830872595</v>
      </c>
      <c r="EN310" s="269">
        <f t="shared" si="740"/>
        <v>204092694.15436298</v>
      </c>
      <c r="EO310" s="140">
        <f>'Detailed Budget'!$AC$209</f>
        <v>135789361677.54817</v>
      </c>
      <c r="EP310" s="269">
        <f t="shared" si="888"/>
        <v>343924874.50179303</v>
      </c>
      <c r="EQ310" s="196">
        <f>'Detailed Budget'!$AC$211</f>
        <v>33947340419.387043</v>
      </c>
      <c r="ER310" s="269">
        <f t="shared" si="889"/>
        <v>85981218.625448257</v>
      </c>
      <c r="ES310" s="269">
        <f t="shared" si="743"/>
        <v>429906093.12724125</v>
      </c>
      <c r="ET310" s="196">
        <f>'Detailed Budget'!$AC$214</f>
        <v>22239745544.201103</v>
      </c>
      <c r="EU310" s="269">
        <f t="shared" si="890"/>
        <v>54704586.89620854</v>
      </c>
      <c r="EV310" s="140">
        <f>'Detailed Budget'!$AC$217</f>
        <v>5559936386.0502758</v>
      </c>
      <c r="EW310" s="269">
        <f t="shared" si="891"/>
        <v>13676146.724052135</v>
      </c>
      <c r="EX310" s="269">
        <f t="shared" si="746"/>
        <v>68380733.620260671</v>
      </c>
      <c r="EY310" s="196">
        <f>'Detailed Budget'!$AC$219</f>
        <v>372777004.58170313</v>
      </c>
      <c r="EZ310" s="269">
        <f t="shared" si="892"/>
        <v>959925.80238003132</v>
      </c>
      <c r="FA310" s="196">
        <f>'Detailed Budget'!$AC$222</f>
        <v>93194251.145425782</v>
      </c>
      <c r="FB310" s="269">
        <f t="shared" si="893"/>
        <v>239981.45059500783</v>
      </c>
      <c r="FC310" s="269">
        <f t="shared" si="749"/>
        <v>1199907.2529750392</v>
      </c>
      <c r="FD310" s="269"/>
      <c r="FE310" s="269">
        <f t="shared" si="750"/>
        <v>703579428.15483999</v>
      </c>
      <c r="FF310" s="140">
        <f>'Detailed Budget'!$AC$165</f>
        <v>14927760000</v>
      </c>
      <c r="FG310" s="1087">
        <f t="shared" si="788"/>
        <v>959728912.6367439</v>
      </c>
      <c r="FH310" s="269">
        <f t="shared" si="853"/>
        <v>22049867.060561303</v>
      </c>
      <c r="FJ310" s="140">
        <f>'Detailed Budget'!$AC$235</f>
        <v>3623696172</v>
      </c>
      <c r="FK310" s="269">
        <f t="shared" si="854"/>
        <v>4681778</v>
      </c>
      <c r="FL310" s="269">
        <f t="shared" si="789"/>
        <v>4681778</v>
      </c>
      <c r="FO310" s="607"/>
      <c r="FP310" s="607"/>
      <c r="FQ310" s="607"/>
      <c r="FR310" s="269">
        <f>'Detailed Budget'!$AC$257</f>
        <v>13636439388</v>
      </c>
      <c r="FS310" s="269">
        <f t="shared" si="855"/>
        <v>12491700</v>
      </c>
      <c r="FT310" s="269">
        <f t="shared" si="790"/>
        <v>12491700</v>
      </c>
      <c r="FU310" s="269"/>
      <c r="FV310" s="269"/>
      <c r="FW310" s="269"/>
      <c r="FX310" s="140">
        <f>'Detailed Budget'!$AC$278</f>
        <v>1114560000</v>
      </c>
      <c r="FY310" s="269">
        <f t="shared" si="856"/>
        <v>1440000</v>
      </c>
      <c r="FZ310" s="269">
        <f t="shared" si="791"/>
        <v>1440000</v>
      </c>
      <c r="GB310" s="269">
        <f t="shared" si="799"/>
        <v>5605020963.5625238</v>
      </c>
      <c r="GC310" s="887">
        <f t="shared" si="753"/>
        <v>3503138.1022265772</v>
      </c>
      <c r="GD310" s="1078">
        <f t="shared" si="800"/>
        <v>3.1451537597371342E-3</v>
      </c>
    </row>
    <row r="311" spans="1:186" hidden="1" outlineLevel="1">
      <c r="A311" s="211" t="s">
        <v>768</v>
      </c>
      <c r="B311" s="212" t="s">
        <v>769</v>
      </c>
      <c r="C311" s="213" t="s">
        <v>215</v>
      </c>
      <c r="D311" s="214" t="s">
        <v>215</v>
      </c>
      <c r="E311" s="213"/>
      <c r="F311" s="213"/>
      <c r="G311" s="213"/>
      <c r="H311" s="213" t="s">
        <v>215</v>
      </c>
      <c r="I311" s="214" t="s">
        <v>215</v>
      </c>
      <c r="J311" s="214"/>
      <c r="K311" s="213" t="s">
        <v>215</v>
      </c>
      <c r="L311" s="213"/>
      <c r="M311" s="214"/>
      <c r="N311" s="213"/>
      <c r="O311" s="214"/>
      <c r="P311" s="213"/>
      <c r="Q311" s="214"/>
      <c r="R311" s="214" t="s">
        <v>215</v>
      </c>
      <c r="S311" s="214"/>
      <c r="T311" s="214"/>
      <c r="U311" s="215">
        <f t="shared" si="857"/>
        <v>6</v>
      </c>
      <c r="V311" s="845" t="s">
        <v>219</v>
      </c>
      <c r="W311" s="216">
        <v>239058</v>
      </c>
      <c r="X311" s="217">
        <v>3.07</v>
      </c>
      <c r="Y311" s="218">
        <f t="shared" si="826"/>
        <v>1.0306999999999999</v>
      </c>
      <c r="Z311" s="196">
        <v>19</v>
      </c>
      <c r="AA311" s="218">
        <f t="shared" si="827"/>
        <v>1.7762874396990105</v>
      </c>
      <c r="AB311" s="196">
        <f t="shared" si="894"/>
        <v>424635.72275956604</v>
      </c>
      <c r="AC311">
        <v>19.2</v>
      </c>
      <c r="AD311" s="196">
        <f t="shared" si="895"/>
        <v>81530.058769836673</v>
      </c>
      <c r="AE311" s="196">
        <f t="shared" si="849"/>
        <v>77453.555831344842</v>
      </c>
      <c r="AF311" s="196">
        <f t="shared" si="858"/>
        <v>77453.555831344842</v>
      </c>
      <c r="AG311" s="606">
        <f t="shared" si="756"/>
        <v>3.581112394160093E-3</v>
      </c>
      <c r="AH311" s="196">
        <f t="shared" si="873"/>
        <v>21231.786137978303</v>
      </c>
      <c r="AI311" s="248">
        <f t="shared" ref="AI311:AI372" si="896">AH311/12908475</f>
        <v>1.6447943028110061E-3</v>
      </c>
      <c r="AJ311" s="196">
        <f t="shared" si="757"/>
        <v>102761.84490781497</v>
      </c>
      <c r="AK311" s="196">
        <f t="shared" si="785"/>
        <v>16985.428910382641</v>
      </c>
      <c r="AL311" s="196">
        <f t="shared" si="786"/>
        <v>16985.428910382641</v>
      </c>
      <c r="AM311" s="196">
        <f t="shared" si="716"/>
        <v>33970.857820765283</v>
      </c>
      <c r="AN311" s="627">
        <f t="shared" si="717"/>
        <v>1.6447943028110061E-3</v>
      </c>
      <c r="AO311" s="196">
        <f t="shared" si="718"/>
        <v>16136.157464863509</v>
      </c>
      <c r="AP311" s="589">
        <f t="shared" si="758"/>
        <v>1.6447943028110061E-3</v>
      </c>
      <c r="AQ311" s="196"/>
      <c r="AR311" s="589"/>
      <c r="AS311">
        <v>1</v>
      </c>
      <c r="AT311" s="589">
        <f t="shared" si="759"/>
        <v>1.2919896640826874E-3</v>
      </c>
      <c r="AU311">
        <v>10</v>
      </c>
      <c r="AV311" s="245">
        <f t="shared" si="719"/>
        <v>1.1362345188046814E-3</v>
      </c>
      <c r="AX311" s="245"/>
      <c r="AY311" s="245"/>
      <c r="AZ311">
        <v>54</v>
      </c>
      <c r="BA311" s="589">
        <f t="shared" si="793"/>
        <v>1.9786742882268878E-3</v>
      </c>
      <c r="BI311" s="196">
        <v>1</v>
      </c>
      <c r="BJ311" s="196">
        <f t="shared" si="859"/>
        <v>235873.5375738251</v>
      </c>
      <c r="BK311" s="246">
        <f t="shared" si="794"/>
        <v>4.4979660500251506E-3</v>
      </c>
      <c r="BL311" s="196">
        <f t="shared" si="874"/>
        <v>4717.4707514765023</v>
      </c>
      <c r="BM311" s="246">
        <f t="shared" si="795"/>
        <v>4.4979655353842175E-3</v>
      </c>
      <c r="BN311" s="196">
        <v>0</v>
      </c>
      <c r="BO311" s="196">
        <f t="shared" si="860"/>
        <v>30217.369270184205</v>
      </c>
      <c r="BP311" s="196">
        <f t="shared" si="762"/>
        <v>0</v>
      </c>
      <c r="BQ311" s="248">
        <f t="shared" si="796"/>
        <v>0</v>
      </c>
      <c r="BR311" s="248"/>
      <c r="BS311" s="248"/>
      <c r="BT311" s="276">
        <v>1</v>
      </c>
      <c r="BU311" s="196">
        <f t="shared" si="875"/>
        <v>64571.806545710642</v>
      </c>
      <c r="BV311" s="264">
        <f t="shared" si="797"/>
        <v>4.4788228111370398E-3</v>
      </c>
      <c r="BW311" s="196">
        <f t="shared" si="876"/>
        <v>276223.83911220665</v>
      </c>
      <c r="BX311" s="247">
        <f t="shared" si="798"/>
        <v>4.4788228514824474E-3</v>
      </c>
      <c r="BY311" s="196">
        <f t="shared" si="833"/>
        <v>340795.64565791731</v>
      </c>
      <c r="BZ311" s="620">
        <v>0</v>
      </c>
      <c r="CA311" s="196">
        <f t="shared" si="861"/>
        <v>129938.5311644272</v>
      </c>
      <c r="CB311" s="196">
        <f t="shared" si="862"/>
        <v>259877.0623288544</v>
      </c>
      <c r="CC311" s="196">
        <f t="shared" si="765"/>
        <v>389815.59349328163</v>
      </c>
      <c r="CD311" s="247">
        <f t="shared" si="720"/>
        <v>1.6447943028110061E-3</v>
      </c>
      <c r="CE311" s="196">
        <f t="shared" si="863"/>
        <v>46361.034471925122</v>
      </c>
      <c r="CF311" s="247">
        <f t="shared" si="721"/>
        <v>2.0020136487959609E-3</v>
      </c>
      <c r="CG311" s="196">
        <f t="shared" si="877"/>
        <v>64544.629859454035</v>
      </c>
      <c r="CH311" s="589">
        <f t="shared" si="767"/>
        <v>1.6447943028110061E-3</v>
      </c>
      <c r="CI311" s="196">
        <f t="shared" si="864"/>
        <v>130970.63894261036</v>
      </c>
      <c r="CJ311" s="248">
        <f t="shared" si="769"/>
        <v>2.1531569717690778E-3</v>
      </c>
      <c r="CK311" s="196">
        <f t="shared" si="865"/>
        <v>104585.62459720737</v>
      </c>
      <c r="CL311" s="589">
        <f t="shared" si="771"/>
        <v>1.5034398659300376E-3</v>
      </c>
      <c r="CM311" s="196">
        <f t="shared" si="866"/>
        <v>10131.737270764084</v>
      </c>
      <c r="CN311" s="589">
        <f t="shared" si="773"/>
        <v>1.4600984843756021E-3</v>
      </c>
      <c r="CO311" s="196">
        <f t="shared" si="867"/>
        <v>810.53272513681077</v>
      </c>
      <c r="CP311" s="589">
        <f t="shared" si="775"/>
        <v>1.5285398745852284E-3</v>
      </c>
      <c r="CQ311" s="196">
        <f>'Detailed Budget'!$AC$12</f>
        <v>292876014141.44696</v>
      </c>
      <c r="CR311" s="269">
        <f t="shared" si="724"/>
        <v>1317346368.4749143</v>
      </c>
      <c r="CS311" s="269">
        <f>'Detailed Budget'!$AC$16</f>
        <v>10488008800.000002</v>
      </c>
      <c r="CT311" s="607">
        <f t="shared" si="878"/>
        <v>47174702.117206395</v>
      </c>
      <c r="CU311" s="269">
        <f>'Detailed Budget'!$AC$24</f>
        <v>30624985696</v>
      </c>
      <c r="CV311" s="269">
        <f t="shared" si="792"/>
        <v>137750145.94311386</v>
      </c>
      <c r="CW311" s="269"/>
      <c r="CX311" s="269">
        <f t="shared" si="776"/>
        <v>1502271216.5352345</v>
      </c>
      <c r="CY311" s="196">
        <f>'Detailed Budget'!$AC$97</f>
        <v>74629165494.837845</v>
      </c>
      <c r="CZ311" s="269">
        <f t="shared" si="879"/>
        <v>0</v>
      </c>
      <c r="DA311" s="269">
        <f>'Detailed Budget'!$AC$100</f>
        <v>14925833098.967569</v>
      </c>
      <c r="DB311" s="269">
        <f t="shared" si="880"/>
        <v>0</v>
      </c>
      <c r="DC311" s="269">
        <f t="shared" si="728"/>
        <v>0</v>
      </c>
      <c r="DD311" s="207">
        <v>0</v>
      </c>
      <c r="DE311" s="606">
        <v>0</v>
      </c>
      <c r="DF311" s="269">
        <f>'Detailed Budget'!$AC$147</f>
        <v>5913600671000</v>
      </c>
      <c r="DG311" s="269">
        <f t="shared" si="787"/>
        <v>0</v>
      </c>
      <c r="DH311" s="269">
        <f>'Detailed Budget'!$AC$153</f>
        <v>226428026880.00003</v>
      </c>
      <c r="DI311" s="269"/>
      <c r="DJ311" s="269">
        <f>'Detailed Budget'!$AC$156</f>
        <v>27713070000</v>
      </c>
      <c r="DK311" s="269"/>
      <c r="DL311" s="269"/>
      <c r="DM311" s="196">
        <f>'Detailed Budget'!$AC$178</f>
        <v>5622683761.6229038</v>
      </c>
      <c r="DN311" s="269">
        <f t="shared" si="868"/>
        <v>25183004.29136648</v>
      </c>
      <c r="DO311" s="196">
        <f>'Detailed Budget'!$AC$179</f>
        <v>26827890683.128094</v>
      </c>
      <c r="DP311" s="269">
        <f t="shared" si="869"/>
        <v>120157369.84866716</v>
      </c>
      <c r="DQ311" s="269">
        <f t="shared" si="870"/>
        <v>145340374.14003363</v>
      </c>
      <c r="DR311" s="269">
        <f>'Detailed Budget'!$AC$181</f>
        <v>50888946855.375237</v>
      </c>
      <c r="DS311" s="269">
        <f t="shared" si="871"/>
        <v>182239038.30953854</v>
      </c>
      <c r="DT311" s="269">
        <f t="shared" si="872"/>
        <v>327579412.44957221</v>
      </c>
      <c r="DU311" s="272">
        <f>'Detailed Budget'!$AC$192</f>
        <v>77498869683.252869</v>
      </c>
      <c r="DV311" s="269">
        <f t="shared" si="881"/>
        <v>0</v>
      </c>
      <c r="DW311" s="140">
        <f>'Detailed Budget'!$AC$194</f>
        <v>2684962805.4134097</v>
      </c>
      <c r="DX311" s="269">
        <f t="shared" si="882"/>
        <v>0</v>
      </c>
      <c r="DY311" s="607">
        <f t="shared" si="731"/>
        <v>0</v>
      </c>
      <c r="DZ311" s="196">
        <f>'Detailed Budget'!$AC$198</f>
        <v>18732540018.380611</v>
      </c>
      <c r="EA311" s="269">
        <f t="shared" si="852"/>
        <v>37502800.793414526</v>
      </c>
      <c r="EB311" s="196">
        <f>'Detailed Budget'!$AC$200</f>
        <v>4683135004.5951529</v>
      </c>
      <c r="EC311" s="269">
        <f t="shared" si="883"/>
        <v>9375700.1983536314</v>
      </c>
      <c r="ED311" s="269">
        <f t="shared" si="734"/>
        <v>46878500.991768159</v>
      </c>
      <c r="EE311" s="196">
        <f>'Detailed Budget'!$AC$161</f>
        <v>251147290106.36197</v>
      </c>
      <c r="EF311" s="269">
        <f t="shared" si="884"/>
        <v>413085631.93336713</v>
      </c>
      <c r="EG311" s="196">
        <f>'Detailed Budget'!$AC$163</f>
        <v>15696705631.647623</v>
      </c>
      <c r="EH311" s="269">
        <f t="shared" si="885"/>
        <v>25817851.995835446</v>
      </c>
      <c r="EI311" s="269">
        <f t="shared" si="737"/>
        <v>438903483.92920256</v>
      </c>
      <c r="EJ311" s="196">
        <f>'Detailed Budget'!$AC$204</f>
        <v>45012172507.531975</v>
      </c>
      <c r="EK311" s="269">
        <f t="shared" si="886"/>
        <v>96918273.04906489</v>
      </c>
      <c r="EL311" s="201">
        <f>'Detailed Budget'!$AC$206</f>
        <v>11253043126.882994</v>
      </c>
      <c r="EM311" s="269">
        <f t="shared" si="887"/>
        <v>24229568.262266222</v>
      </c>
      <c r="EN311" s="269">
        <f t="shared" si="740"/>
        <v>121147841.31133111</v>
      </c>
      <c r="EO311" s="140">
        <f>'Detailed Budget'!$AC$209</f>
        <v>135789361677.54817</v>
      </c>
      <c r="EP311" s="269">
        <f t="shared" si="888"/>
        <v>204151139.71521842</v>
      </c>
      <c r="EQ311" s="196">
        <f>'Detailed Budget'!$AC$211</f>
        <v>33947340419.387043</v>
      </c>
      <c r="ER311" s="269">
        <f t="shared" si="889"/>
        <v>51037784.928804606</v>
      </c>
      <c r="ES311" s="269">
        <f t="shared" si="743"/>
        <v>255188924.64402303</v>
      </c>
      <c r="ET311" s="196">
        <f>'Detailed Budget'!$AC$214</f>
        <v>22239745544.201103</v>
      </c>
      <c r="EU311" s="269">
        <f t="shared" si="890"/>
        <v>32472218.761987079</v>
      </c>
      <c r="EV311" s="140">
        <f>'Detailed Budget'!$AC$217</f>
        <v>5559936386.0502758</v>
      </c>
      <c r="EW311" s="269">
        <f t="shared" si="891"/>
        <v>8118054.6904967697</v>
      </c>
      <c r="EX311" s="269">
        <f t="shared" si="746"/>
        <v>40590273.452483848</v>
      </c>
      <c r="EY311" s="196">
        <f>'Detailed Budget'!$AC$219</f>
        <v>372777004.58170313</v>
      </c>
      <c r="EZ311" s="269">
        <f t="shared" si="892"/>
        <v>569804.51583157363</v>
      </c>
      <c r="FA311" s="196">
        <f>'Detailed Budget'!$AC$222</f>
        <v>93194251.145425782</v>
      </c>
      <c r="FB311" s="269">
        <f t="shared" si="893"/>
        <v>142451.12895789341</v>
      </c>
      <c r="FC311" s="269">
        <f t="shared" si="749"/>
        <v>712255.6447894671</v>
      </c>
      <c r="FD311" s="269"/>
      <c r="FE311" s="269">
        <f t="shared" si="750"/>
        <v>417639295.05262744</v>
      </c>
      <c r="FF311" s="140">
        <f>'Detailed Budget'!$AC$165</f>
        <v>14927760000</v>
      </c>
      <c r="FG311" s="1087">
        <f t="shared" si="788"/>
        <v>569687643.60606623</v>
      </c>
      <c r="FH311" s="269">
        <f t="shared" si="853"/>
        <v>16961436.200431772</v>
      </c>
      <c r="FJ311" s="140">
        <f>'Detailed Budget'!$AC$235</f>
        <v>3623696172</v>
      </c>
      <c r="FK311" s="269">
        <f t="shared" si="854"/>
        <v>4681778</v>
      </c>
      <c r="FL311" s="269">
        <f t="shared" si="789"/>
        <v>4681778</v>
      </c>
      <c r="FO311" s="607"/>
      <c r="FP311" s="607"/>
      <c r="FQ311" s="607"/>
      <c r="FR311" s="269">
        <f>'Detailed Budget'!$AC$257</f>
        <v>13636439388</v>
      </c>
      <c r="FS311" s="269">
        <f t="shared" si="855"/>
        <v>26982071.999999996</v>
      </c>
      <c r="FT311" s="269">
        <f t="shared" si="790"/>
        <v>26982071.999999996</v>
      </c>
      <c r="FU311" s="269"/>
      <c r="FV311" s="269"/>
      <c r="FW311" s="269"/>
      <c r="FX311" s="140">
        <f>'Detailed Budget'!$AC$278</f>
        <v>1114560000</v>
      </c>
      <c r="FY311" s="269">
        <f t="shared" si="856"/>
        <v>1440000</v>
      </c>
      <c r="FZ311" s="269">
        <f t="shared" si="791"/>
        <v>1440000</v>
      </c>
      <c r="GB311" s="269">
        <f t="shared" si="799"/>
        <v>3353024838.7649026</v>
      </c>
      <c r="GC311" s="887">
        <f t="shared" si="753"/>
        <v>2095640.5242280641</v>
      </c>
      <c r="GD311" s="1078">
        <f t="shared" si="800"/>
        <v>1.8814878207753546E-3</v>
      </c>
    </row>
    <row r="312" spans="1:186" hidden="1" outlineLevel="1">
      <c r="A312" s="211" t="s">
        <v>770</v>
      </c>
      <c r="B312" s="212" t="s">
        <v>771</v>
      </c>
      <c r="C312" s="213" t="s">
        <v>215</v>
      </c>
      <c r="D312" s="214" t="s">
        <v>215</v>
      </c>
      <c r="E312" s="213"/>
      <c r="F312" s="213"/>
      <c r="G312" s="213"/>
      <c r="H312" s="213" t="s">
        <v>215</v>
      </c>
      <c r="I312" s="214" t="s">
        <v>215</v>
      </c>
      <c r="J312" s="214"/>
      <c r="K312" s="213" t="s">
        <v>215</v>
      </c>
      <c r="L312" s="213"/>
      <c r="M312" s="214"/>
      <c r="N312" s="213"/>
      <c r="O312" s="214"/>
      <c r="P312" s="213"/>
      <c r="Q312" s="214"/>
      <c r="R312" s="214" t="s">
        <v>215</v>
      </c>
      <c r="S312" s="214"/>
      <c r="T312" s="214"/>
      <c r="U312" s="215">
        <f t="shared" si="857"/>
        <v>6</v>
      </c>
      <c r="V312" s="845" t="s">
        <v>219</v>
      </c>
      <c r="W312" s="216">
        <v>109810</v>
      </c>
      <c r="X312" s="217">
        <v>3.07</v>
      </c>
      <c r="Y312" s="218">
        <f t="shared" si="826"/>
        <v>1.0306999999999999</v>
      </c>
      <c r="Z312" s="196">
        <v>19</v>
      </c>
      <c r="AA312" s="218">
        <f t="shared" si="827"/>
        <v>1.7762874396990105</v>
      </c>
      <c r="AB312" s="196">
        <f t="shared" si="894"/>
        <v>195054.12375334834</v>
      </c>
      <c r="AC312">
        <v>19.2</v>
      </c>
      <c r="AD312" s="196">
        <f t="shared" si="895"/>
        <v>37450.39176064288</v>
      </c>
      <c r="AE312" s="196">
        <f t="shared" si="849"/>
        <v>35577.872172610732</v>
      </c>
      <c r="AF312" s="196">
        <f t="shared" si="858"/>
        <v>35577.872172610732</v>
      </c>
      <c r="AG312" s="606">
        <f t="shared" si="756"/>
        <v>1.6449646194761096E-3</v>
      </c>
      <c r="AH312" s="196">
        <f t="shared" si="873"/>
        <v>9752.7061876674179</v>
      </c>
      <c r="AI312" s="248">
        <f t="shared" si="896"/>
        <v>7.555273715653799E-4</v>
      </c>
      <c r="AJ312" s="196">
        <f t="shared" ref="AJ312:AJ373" si="897">AD312+AH312</f>
        <v>47203.0979483103</v>
      </c>
      <c r="AK312" s="196">
        <f t="shared" si="785"/>
        <v>7802.1649501339334</v>
      </c>
      <c r="AL312" s="196">
        <f t="shared" si="786"/>
        <v>7802.1649501339334</v>
      </c>
      <c r="AM312" s="196">
        <f t="shared" ref="AM312:AM373" si="898">AK312+AL312</f>
        <v>15604.329900267867</v>
      </c>
      <c r="AN312" s="627">
        <f t="shared" ref="AN312:AN373" si="899">AM312/20653560</f>
        <v>7.555273715653799E-4</v>
      </c>
      <c r="AO312" s="196">
        <f t="shared" ref="AO312:AO373" si="900">AB312*0.038</f>
        <v>7412.0567026272365</v>
      </c>
      <c r="AP312" s="589">
        <f t="shared" si="758"/>
        <v>7.5552737156537979E-4</v>
      </c>
      <c r="AQ312" s="196"/>
      <c r="AR312" s="589"/>
      <c r="AS312">
        <v>1</v>
      </c>
      <c r="AT312" s="589">
        <f t="shared" si="759"/>
        <v>1.2919896640826874E-3</v>
      </c>
      <c r="AU312">
        <v>10</v>
      </c>
      <c r="AV312" s="245">
        <f t="shared" ref="AV312:AV373" si="901">AU312/8801</f>
        <v>1.1362345188046814E-3</v>
      </c>
      <c r="AX312" s="245"/>
      <c r="AY312" s="245"/>
      <c r="AZ312">
        <v>46</v>
      </c>
      <c r="BA312" s="589">
        <f t="shared" si="793"/>
        <v>1.6855373566377193E-3</v>
      </c>
      <c r="BI312" s="196">
        <v>1</v>
      </c>
      <c r="BJ312" s="196">
        <f t="shared" si="859"/>
        <v>108347.23439910707</v>
      </c>
      <c r="BK312" s="246">
        <f t="shared" si="794"/>
        <v>2.0661163899692203E-3</v>
      </c>
      <c r="BL312" s="196">
        <f t="shared" si="874"/>
        <v>2166.9446879821412</v>
      </c>
      <c r="BM312" s="246">
        <f t="shared" si="795"/>
        <v>2.066116153571689E-3</v>
      </c>
      <c r="BN312" s="196">
        <v>0</v>
      </c>
      <c r="BO312" s="196">
        <f t="shared" si="860"/>
        <v>13880.185225170997</v>
      </c>
      <c r="BP312" s="196">
        <f t="shared" ref="BP312:BP373" si="902">BN312*BO312</f>
        <v>0</v>
      </c>
      <c r="BQ312" s="248">
        <f t="shared" si="796"/>
        <v>0</v>
      </c>
      <c r="BR312" s="248"/>
      <c r="BS312" s="248"/>
      <c r="BT312" s="276">
        <v>1</v>
      </c>
      <c r="BU312" s="196">
        <f t="shared" si="875"/>
        <v>29660.710274429162</v>
      </c>
      <c r="BV312" s="264">
        <f t="shared" si="797"/>
        <v>2.0573230466705084E-3</v>
      </c>
      <c r="BW312" s="196">
        <f t="shared" si="876"/>
        <v>126881.92728505809</v>
      </c>
      <c r="BX312" s="247">
        <f t="shared" si="798"/>
        <v>2.0573230652029535E-3</v>
      </c>
      <c r="BY312" s="196">
        <f t="shared" si="833"/>
        <v>156542.63755948725</v>
      </c>
      <c r="BZ312" s="620">
        <v>0</v>
      </c>
      <c r="CA312" s="196">
        <f t="shared" si="861"/>
        <v>59686.561868524586</v>
      </c>
      <c r="CB312" s="196">
        <f t="shared" si="862"/>
        <v>119373.12373704917</v>
      </c>
      <c r="CC312" s="196">
        <f t="shared" si="765"/>
        <v>179059.68560557376</v>
      </c>
      <c r="CD312" s="247">
        <f t="shared" ref="CD312:CD373" si="903">CC312/236999601</f>
        <v>7.5552737156537979E-4</v>
      </c>
      <c r="CE312" s="196">
        <f t="shared" si="863"/>
        <v>21295.690566147536</v>
      </c>
      <c r="CF312" s="247">
        <f t="shared" ref="CF312:CF373" si="904">CE312/23157202</f>
        <v>9.1961414708683438E-4</v>
      </c>
      <c r="CG312" s="196">
        <f t="shared" si="877"/>
        <v>29648.226810508946</v>
      </c>
      <c r="CH312" s="589">
        <f t="shared" si="767"/>
        <v>7.5552737156537979E-4</v>
      </c>
      <c r="CI312" s="196">
        <f t="shared" si="864"/>
        <v>60160.654997063655</v>
      </c>
      <c r="CJ312" s="248">
        <f t="shared" si="769"/>
        <v>9.8904101544379378E-4</v>
      </c>
      <c r="CK312" s="196">
        <f t="shared" si="865"/>
        <v>48040.841289642434</v>
      </c>
      <c r="CL312" s="589">
        <f t="shared" si="771"/>
        <v>6.9059697511807767E-4</v>
      </c>
      <c r="CM312" s="196">
        <f t="shared" si="866"/>
        <v>4653.9587451689722</v>
      </c>
      <c r="CN312" s="589">
        <f t="shared" si="773"/>
        <v>6.7068834579593606E-4</v>
      </c>
      <c r="CO312" s="196">
        <f t="shared" si="867"/>
        <v>372.31382571289475</v>
      </c>
      <c r="CP312" s="589">
        <f t="shared" si="775"/>
        <v>7.0212652840818523E-4</v>
      </c>
      <c r="CQ312" s="196">
        <f>'Detailed Budget'!$AC$12</f>
        <v>292876014141.44696</v>
      </c>
      <c r="CR312" s="269">
        <f t="shared" si="724"/>
        <v>605115933.04650068</v>
      </c>
      <c r="CS312" s="269">
        <f>'Detailed Budget'!$AC$16</f>
        <v>10488008800.000002</v>
      </c>
      <c r="CT312" s="607">
        <f t="shared" si="878"/>
        <v>21669444.400482029</v>
      </c>
      <c r="CU312" s="269">
        <f>'Detailed Budget'!$AC$24</f>
        <v>30624985696</v>
      </c>
      <c r="CV312" s="269">
        <f t="shared" si="792"/>
        <v>63274784.889078528</v>
      </c>
      <c r="CW312" s="269"/>
      <c r="CX312" s="269">
        <f t="shared" si="776"/>
        <v>690060162.33606124</v>
      </c>
      <c r="CY312" s="196">
        <f>'Detailed Budget'!$AC$97</f>
        <v>74629165494.837845</v>
      </c>
      <c r="CZ312" s="269">
        <f t="shared" si="879"/>
        <v>0</v>
      </c>
      <c r="DA312" s="269">
        <f>'Detailed Budget'!$AC$100</f>
        <v>14925833098.967569</v>
      </c>
      <c r="DB312" s="269">
        <f t="shared" si="880"/>
        <v>0</v>
      </c>
      <c r="DC312" s="269">
        <f t="shared" ref="DC312:DC373" si="905">CZ312+DB312</f>
        <v>0</v>
      </c>
      <c r="DD312" s="207">
        <v>0</v>
      </c>
      <c r="DE312" s="606">
        <v>0</v>
      </c>
      <c r="DF312" s="269">
        <f>'Detailed Budget'!$AC$147</f>
        <v>5913600671000</v>
      </c>
      <c r="DG312" s="269">
        <f t="shared" si="787"/>
        <v>0</v>
      </c>
      <c r="DH312" s="269">
        <f>'Detailed Budget'!$AC$153</f>
        <v>226428026880.00003</v>
      </c>
      <c r="DI312" s="269"/>
      <c r="DJ312" s="269">
        <f>'Detailed Budget'!$AC$156</f>
        <v>27713070000</v>
      </c>
      <c r="DK312" s="269"/>
      <c r="DL312" s="269"/>
      <c r="DM312" s="196">
        <f>'Detailed Budget'!$AC$178</f>
        <v>5622683761.6229038</v>
      </c>
      <c r="DN312" s="269">
        <f t="shared" si="868"/>
        <v>11567676.886926828</v>
      </c>
      <c r="DO312" s="196">
        <f>'Detailed Budget'!$AC$179</f>
        <v>26827890683.128094</v>
      </c>
      <c r="DP312" s="269">
        <f t="shared" si="869"/>
        <v>55193638.293142848</v>
      </c>
      <c r="DQ312" s="269">
        <f t="shared" si="870"/>
        <v>66761315.180069678</v>
      </c>
      <c r="DR312" s="269">
        <f>'Detailed Budget'!$AC$181</f>
        <v>50888946855.375237</v>
      </c>
      <c r="DS312" s="269">
        <f t="shared" si="871"/>
        <v>83710517.099492282</v>
      </c>
      <c r="DT312" s="269">
        <f t="shared" si="872"/>
        <v>150471832.27956197</v>
      </c>
      <c r="DU312" s="272">
        <f>'Detailed Budget'!$AC$192</f>
        <v>77498869683.252869</v>
      </c>
      <c r="DV312" s="269">
        <f t="shared" si="881"/>
        <v>0</v>
      </c>
      <c r="DW312" s="140">
        <f>'Detailed Budget'!$AC$194</f>
        <v>2684962805.4134097</v>
      </c>
      <c r="DX312" s="269">
        <f t="shared" si="882"/>
        <v>0</v>
      </c>
      <c r="DY312" s="607">
        <f t="shared" ref="DY312:DY373" si="906">DV312+DX312</f>
        <v>0</v>
      </c>
      <c r="DZ312" s="196">
        <f>'Detailed Budget'!$AC$198</f>
        <v>18732540018.380611</v>
      </c>
      <c r="EA312" s="269">
        <f t="shared" si="852"/>
        <v>17226708.81177308</v>
      </c>
      <c r="EB312" s="196">
        <f>'Detailed Budget'!$AC$200</f>
        <v>4683135004.5951529</v>
      </c>
      <c r="EC312" s="269">
        <f t="shared" si="883"/>
        <v>4306677.2029432701</v>
      </c>
      <c r="ED312" s="269">
        <f t="shared" ref="ED312:ED373" si="907">EA312+EC312</f>
        <v>21533386.01471635</v>
      </c>
      <c r="EE312" s="196">
        <f>'Detailed Budget'!$AC$161</f>
        <v>251147290106.36197</v>
      </c>
      <c r="EF312" s="269">
        <f t="shared" si="884"/>
        <v>189748651.96982756</v>
      </c>
      <c r="EG312" s="196">
        <f>'Detailed Budget'!$AC$163</f>
        <v>15696705631.647623</v>
      </c>
      <c r="EH312" s="269">
        <f t="shared" si="885"/>
        <v>11859290.748114223</v>
      </c>
      <c r="EI312" s="269">
        <f t="shared" ref="EI312:EI373" si="908">EF312+EH312</f>
        <v>201607942.71794179</v>
      </c>
      <c r="EJ312" s="196">
        <f>'Detailed Budget'!$AC$204</f>
        <v>45012172507.531975</v>
      </c>
      <c r="EK312" s="269">
        <f t="shared" si="886"/>
        <v>44518884.804180644</v>
      </c>
      <c r="EL312" s="201">
        <f>'Detailed Budget'!$AC$206</f>
        <v>11253043126.882994</v>
      </c>
      <c r="EM312" s="269">
        <f t="shared" si="887"/>
        <v>11129721.201045161</v>
      </c>
      <c r="EN312" s="269">
        <f t="shared" ref="EN312:EN373" si="909">EK312+EM312</f>
        <v>55648606.005225807</v>
      </c>
      <c r="EO312" s="140">
        <f>'Detailed Budget'!$AC$209</f>
        <v>135789361677.54817</v>
      </c>
      <c r="EP312" s="269">
        <f t="shared" si="888"/>
        <v>93775722.427729383</v>
      </c>
      <c r="EQ312" s="196">
        <f>'Detailed Budget'!$AC$211</f>
        <v>33947340419.387043</v>
      </c>
      <c r="ER312" s="269">
        <f t="shared" si="889"/>
        <v>23443930.606932346</v>
      </c>
      <c r="ES312" s="269">
        <f t="shared" ref="ES312:ES373" si="910">EP312+ER312</f>
        <v>117219653.03466173</v>
      </c>
      <c r="ET312" s="196">
        <f>'Detailed Budget'!$AC$214</f>
        <v>22239745544.201103</v>
      </c>
      <c r="EU312" s="269">
        <f t="shared" si="890"/>
        <v>14915938.149962777</v>
      </c>
      <c r="EV312" s="140">
        <f>'Detailed Budget'!$AC$217</f>
        <v>5559936386.0502758</v>
      </c>
      <c r="EW312" s="269">
        <f t="shared" si="891"/>
        <v>3728984.5374906943</v>
      </c>
      <c r="EX312" s="269">
        <f t="shared" ref="EX312:EX373" si="911">EU312+EW312</f>
        <v>18644922.687453471</v>
      </c>
      <c r="EY312" s="196">
        <f>'Detailed Budget'!$AC$219</f>
        <v>372777004.58170313</v>
      </c>
      <c r="EZ312" s="269">
        <f t="shared" si="892"/>
        <v>261736.62409735337</v>
      </c>
      <c r="FA312" s="196">
        <f>'Detailed Budget'!$AC$222</f>
        <v>93194251.145425782</v>
      </c>
      <c r="FB312" s="269">
        <f t="shared" si="893"/>
        <v>65434.156024338343</v>
      </c>
      <c r="FC312" s="269">
        <f t="shared" ref="FC312:FC373" si="912">EZ312+FB312</f>
        <v>327170.7801216917</v>
      </c>
      <c r="FD312" s="269"/>
      <c r="FE312" s="269">
        <f t="shared" ref="FE312:FE373" si="913">EN312+ES312+EX312+FC312</f>
        <v>191840352.50746271</v>
      </c>
      <c r="FF312" s="140">
        <f>'Detailed Budget'!$AC$165</f>
        <v>14927760000</v>
      </c>
      <c r="FG312" s="1087">
        <f t="shared" si="788"/>
        <v>261682939.47235453</v>
      </c>
      <c r="FH312" s="269">
        <f t="shared" si="853"/>
        <v>16961436.200431772</v>
      </c>
      <c r="FJ312" s="140">
        <f>'Detailed Budget'!$AC$235</f>
        <v>3623696172</v>
      </c>
      <c r="FK312" s="269">
        <f t="shared" si="854"/>
        <v>4681778</v>
      </c>
      <c r="FL312" s="269">
        <f t="shared" si="789"/>
        <v>4681778</v>
      </c>
      <c r="FO312" s="607"/>
      <c r="FP312" s="607"/>
      <c r="FQ312" s="607"/>
      <c r="FR312" s="269">
        <f>'Detailed Budget'!$AC$257</f>
        <v>13636439388</v>
      </c>
      <c r="FS312" s="269">
        <f t="shared" si="855"/>
        <v>22984728</v>
      </c>
      <c r="FT312" s="269">
        <f t="shared" si="790"/>
        <v>22984728</v>
      </c>
      <c r="FU312" s="269"/>
      <c r="FV312" s="269"/>
      <c r="FW312" s="269"/>
      <c r="FX312" s="140">
        <f>'Detailed Budget'!$AC$278</f>
        <v>1114560000</v>
      </c>
      <c r="FY312" s="269">
        <f t="shared" si="856"/>
        <v>1440000</v>
      </c>
      <c r="FZ312" s="269">
        <f t="shared" si="791"/>
        <v>1440000</v>
      </c>
      <c r="GB312" s="269">
        <f t="shared" si="799"/>
        <v>1563264557.5285306</v>
      </c>
      <c r="GC312" s="887">
        <f t="shared" ref="GC312:GC373" si="914">GB312/1600</f>
        <v>977040.34845533164</v>
      </c>
      <c r="GD312" s="1078">
        <f t="shared" si="800"/>
        <v>8.7719696902786078E-4</v>
      </c>
    </row>
    <row r="313" spans="1:186" hidden="1" outlineLevel="1">
      <c r="A313" s="211" t="s">
        <v>772</v>
      </c>
      <c r="B313" s="212" t="s">
        <v>773</v>
      </c>
      <c r="C313" s="213" t="s">
        <v>215</v>
      </c>
      <c r="D313" s="214" t="s">
        <v>215</v>
      </c>
      <c r="E313" s="213"/>
      <c r="F313" s="213"/>
      <c r="G313" s="213"/>
      <c r="H313" s="213" t="s">
        <v>215</v>
      </c>
      <c r="I313" s="214" t="s">
        <v>215</v>
      </c>
      <c r="J313" s="214"/>
      <c r="K313" s="213" t="s">
        <v>215</v>
      </c>
      <c r="L313" s="213"/>
      <c r="M313" s="214"/>
      <c r="N313" s="213"/>
      <c r="O313" s="214"/>
      <c r="P313" s="213"/>
      <c r="Q313" s="214"/>
      <c r="R313" s="214" t="s">
        <v>215</v>
      </c>
      <c r="S313" s="214"/>
      <c r="T313" s="214"/>
      <c r="U313" s="215">
        <f t="shared" si="857"/>
        <v>6</v>
      </c>
      <c r="V313" s="845" t="s">
        <v>219</v>
      </c>
      <c r="W313" s="216">
        <v>174626</v>
      </c>
      <c r="X313" s="217">
        <v>3.07</v>
      </c>
      <c r="Y313" s="218">
        <f t="shared" si="826"/>
        <v>1.0306999999999999</v>
      </c>
      <c r="Z313" s="196">
        <v>19</v>
      </c>
      <c r="AA313" s="218">
        <f t="shared" si="827"/>
        <v>1.7762874396990105</v>
      </c>
      <c r="AB313" s="196">
        <f t="shared" si="894"/>
        <v>310185.97044487938</v>
      </c>
      <c r="AC313">
        <v>19.2</v>
      </c>
      <c r="AD313" s="196">
        <f t="shared" si="895"/>
        <v>59555.706325416832</v>
      </c>
      <c r="AE313" s="196">
        <f t="shared" si="849"/>
        <v>56577.92100914599</v>
      </c>
      <c r="AF313" s="196">
        <f t="shared" si="858"/>
        <v>56577.92100914599</v>
      </c>
      <c r="AG313" s="606">
        <f t="shared" si="756"/>
        <v>2.6159146857356805E-3</v>
      </c>
      <c r="AH313" s="196">
        <f t="shared" si="873"/>
        <v>15509.298522243969</v>
      </c>
      <c r="AI313" s="248">
        <f t="shared" si="896"/>
        <v>1.2014818576356983E-3</v>
      </c>
      <c r="AJ313" s="196">
        <f t="shared" si="897"/>
        <v>75065.004847660806</v>
      </c>
      <c r="AK313" s="196">
        <f t="shared" si="785"/>
        <v>12407.438817795175</v>
      </c>
      <c r="AL313" s="196">
        <f t="shared" si="786"/>
        <v>12407.438817795175</v>
      </c>
      <c r="AM313" s="196">
        <f t="shared" si="898"/>
        <v>24814.87763559035</v>
      </c>
      <c r="AN313" s="627">
        <f t="shared" si="899"/>
        <v>1.2014818576356983E-3</v>
      </c>
      <c r="AO313" s="196">
        <f t="shared" si="900"/>
        <v>11787.066876905415</v>
      </c>
      <c r="AP313" s="589">
        <f t="shared" si="758"/>
        <v>1.201481857635698E-3</v>
      </c>
      <c r="AQ313" s="196"/>
      <c r="AR313" s="589"/>
      <c r="AS313">
        <v>1</v>
      </c>
      <c r="AT313" s="589">
        <f t="shared" si="759"/>
        <v>1.2919896640826874E-3</v>
      </c>
      <c r="AU313">
        <v>10</v>
      </c>
      <c r="AV313" s="245">
        <f t="shared" si="901"/>
        <v>1.1362345188046814E-3</v>
      </c>
      <c r="AX313" s="245"/>
      <c r="AY313" s="245"/>
      <c r="AZ313">
        <v>32</v>
      </c>
      <c r="BA313" s="589">
        <f t="shared" si="793"/>
        <v>1.1725477263566744E-3</v>
      </c>
      <c r="BI313" s="196">
        <v>1</v>
      </c>
      <c r="BJ313" s="196">
        <f t="shared" si="859"/>
        <v>172299.82837791156</v>
      </c>
      <c r="BK313" s="246">
        <f t="shared" si="794"/>
        <v>3.2856537721042255E-3</v>
      </c>
      <c r="BL313" s="196">
        <f t="shared" si="874"/>
        <v>3445.9965675582312</v>
      </c>
      <c r="BM313" s="246">
        <f t="shared" si="795"/>
        <v>3.2856533961716579E-3</v>
      </c>
      <c r="BN313" s="196">
        <v>0</v>
      </c>
      <c r="BO313" s="196">
        <f t="shared" si="860"/>
        <v>22073.046399514707</v>
      </c>
      <c r="BP313" s="196">
        <f t="shared" si="902"/>
        <v>0</v>
      </c>
      <c r="BQ313" s="248">
        <f t="shared" si="796"/>
        <v>0</v>
      </c>
      <c r="BR313" s="248"/>
      <c r="BS313" s="248"/>
      <c r="BT313" s="276">
        <v>1</v>
      </c>
      <c r="BU313" s="196">
        <f t="shared" si="875"/>
        <v>47168.119409730134</v>
      </c>
      <c r="BV313" s="264">
        <f t="shared" si="797"/>
        <v>3.271670106073073E-3</v>
      </c>
      <c r="BW313" s="196">
        <f t="shared" si="876"/>
        <v>201774.73303051223</v>
      </c>
      <c r="BX313" s="247">
        <f t="shared" si="798"/>
        <v>3.2716701355444025E-3</v>
      </c>
      <c r="BY313" s="196">
        <f t="shared" si="833"/>
        <v>248942.85244024236</v>
      </c>
      <c r="BZ313" s="620">
        <v>0</v>
      </c>
      <c r="CA313" s="196">
        <f t="shared" si="861"/>
        <v>94916.906956133083</v>
      </c>
      <c r="CB313" s="196">
        <f t="shared" si="862"/>
        <v>189833.81391226617</v>
      </c>
      <c r="CC313" s="196">
        <f t="shared" ref="CC313:CC374" si="915">CA313+CB313</f>
        <v>284750.72086839925</v>
      </c>
      <c r="CD313" s="247">
        <f t="shared" si="903"/>
        <v>1.201481857635698E-3</v>
      </c>
      <c r="CE313" s="196">
        <f t="shared" si="863"/>
        <v>33865.597493890164</v>
      </c>
      <c r="CF313" s="247">
        <f t="shared" si="904"/>
        <v>1.4624218199543349E-3</v>
      </c>
      <c r="CG313" s="196">
        <f t="shared" si="877"/>
        <v>47148.267507621662</v>
      </c>
      <c r="CH313" s="589">
        <f t="shared" si="767"/>
        <v>1.201481857635698E-3</v>
      </c>
      <c r="CI313" s="196">
        <f t="shared" si="864"/>
        <v>95670.836349305493</v>
      </c>
      <c r="CJ313" s="248">
        <f t="shared" si="769"/>
        <v>1.5728283067378917E-3</v>
      </c>
      <c r="CK313" s="196">
        <f t="shared" si="865"/>
        <v>76397.231136008544</v>
      </c>
      <c r="CL313" s="589">
        <f t="shared" si="771"/>
        <v>1.0982259118201385E-3</v>
      </c>
      <c r="CM313" s="196">
        <f t="shared" si="866"/>
        <v>7400.9853367988053</v>
      </c>
      <c r="CN313" s="589">
        <f t="shared" si="773"/>
        <v>1.0665660966484027E-3</v>
      </c>
      <c r="CO313" s="196">
        <f t="shared" si="867"/>
        <v>592.07425670649263</v>
      </c>
      <c r="CP313" s="589">
        <f t="shared" si="775"/>
        <v>1.1165608519243034E-3</v>
      </c>
      <c r="CQ313" s="196">
        <f>'Detailed Budget'!$AC$12</f>
        <v>292876014141.44696</v>
      </c>
      <c r="CR313" s="269">
        <f t="shared" si="724"/>
        <v>962289180.62269568</v>
      </c>
      <c r="CS313" s="269">
        <f>'Detailed Budget'!$AC$16</f>
        <v>10488008800.000002</v>
      </c>
      <c r="CT313" s="607">
        <f t="shared" si="878"/>
        <v>34459961.732798241</v>
      </c>
      <c r="CU313" s="269">
        <f>'Detailed Budget'!$AC$24</f>
        <v>30624985696</v>
      </c>
      <c r="CV313" s="269">
        <f t="shared" si="792"/>
        <v>100623099.77270035</v>
      </c>
      <c r="CW313" s="269"/>
      <c r="CX313" s="269">
        <f t="shared" ref="CX313:CX374" si="916">CR313+CT313+CV313+CW313</f>
        <v>1097372242.1281943</v>
      </c>
      <c r="CY313" s="196">
        <f>'Detailed Budget'!$AC$97</f>
        <v>74629165494.837845</v>
      </c>
      <c r="CZ313" s="269">
        <f t="shared" si="879"/>
        <v>0</v>
      </c>
      <c r="DA313" s="269">
        <f>'Detailed Budget'!$AC$100</f>
        <v>14925833098.967569</v>
      </c>
      <c r="DB313" s="269">
        <f t="shared" si="880"/>
        <v>0</v>
      </c>
      <c r="DC313" s="269">
        <f t="shared" si="905"/>
        <v>0</v>
      </c>
      <c r="DD313" s="207">
        <v>0</v>
      </c>
      <c r="DE313" s="606">
        <v>0</v>
      </c>
      <c r="DF313" s="269">
        <f>'Detailed Budget'!$AC$147</f>
        <v>5913600671000</v>
      </c>
      <c r="DG313" s="269">
        <f t="shared" si="787"/>
        <v>0</v>
      </c>
      <c r="DH313" s="269">
        <f>'Detailed Budget'!$AC$153</f>
        <v>226428026880.00003</v>
      </c>
      <c r="DI313" s="269"/>
      <c r="DJ313" s="269">
        <f>'Detailed Budget'!$AC$156</f>
        <v>27713070000</v>
      </c>
      <c r="DK313" s="269"/>
      <c r="DL313" s="269"/>
      <c r="DM313" s="196">
        <f>'Detailed Budget'!$AC$178</f>
        <v>5622683761.6229038</v>
      </c>
      <c r="DN313" s="269">
        <f t="shared" si="868"/>
        <v>18395566.378804151</v>
      </c>
      <c r="DO313" s="196">
        <f>'Detailed Budget'!$AC$179</f>
        <v>26827890683.128094</v>
      </c>
      <c r="DP313" s="269">
        <f t="shared" si="869"/>
        <v>87772008.747640103</v>
      </c>
      <c r="DQ313" s="269">
        <f t="shared" si="870"/>
        <v>106167575.12644425</v>
      </c>
      <c r="DR313" s="269">
        <f>'Detailed Budget'!$AC$181</f>
        <v>50888946855.375237</v>
      </c>
      <c r="DS313" s="269">
        <f t="shared" si="871"/>
        <v>133121143.42059866</v>
      </c>
      <c r="DT313" s="269">
        <f t="shared" si="872"/>
        <v>239288718.54704291</v>
      </c>
      <c r="DU313" s="272">
        <f>'Detailed Budget'!$AC$192</f>
        <v>77498869683.252869</v>
      </c>
      <c r="DV313" s="269">
        <f t="shared" si="881"/>
        <v>0</v>
      </c>
      <c r="DW313" s="140">
        <f>'Detailed Budget'!$AC$194</f>
        <v>2684962805.4134097</v>
      </c>
      <c r="DX313" s="269">
        <f t="shared" si="882"/>
        <v>0</v>
      </c>
      <c r="DY313" s="607">
        <f t="shared" si="906"/>
        <v>0</v>
      </c>
      <c r="DZ313" s="196">
        <f>'Detailed Budget'!$AC$198</f>
        <v>18732540018.380611</v>
      </c>
      <c r="EA313" s="269">
        <f t="shared" si="852"/>
        <v>27394875.266047582</v>
      </c>
      <c r="EB313" s="196">
        <f>'Detailed Budget'!$AC$200</f>
        <v>4683135004.5951529</v>
      </c>
      <c r="EC313" s="269">
        <f t="shared" si="883"/>
        <v>6848718.8165118955</v>
      </c>
      <c r="ED313" s="269">
        <f t="shared" si="907"/>
        <v>34243594.082559481</v>
      </c>
      <c r="EE313" s="196">
        <f>'Detailed Budget'!$AC$161</f>
        <v>251147290106.36197</v>
      </c>
      <c r="EF313" s="269">
        <f t="shared" si="884"/>
        <v>301748912.65716332</v>
      </c>
      <c r="EG313" s="196">
        <f>'Detailed Budget'!$AC$163</f>
        <v>15696705631.647623</v>
      </c>
      <c r="EH313" s="269">
        <f t="shared" si="885"/>
        <v>18859307.041072708</v>
      </c>
      <c r="EI313" s="269">
        <f t="shared" si="908"/>
        <v>320608219.69823605</v>
      </c>
      <c r="EJ313" s="196">
        <f>'Detailed Budget'!$AC$204</f>
        <v>45012172507.531975</v>
      </c>
      <c r="EK313" s="269">
        <f t="shared" si="886"/>
        <v>70796419.06761539</v>
      </c>
      <c r="EL313" s="201">
        <f>'Detailed Budget'!$AC$206</f>
        <v>11253043126.882994</v>
      </c>
      <c r="EM313" s="269">
        <f t="shared" si="887"/>
        <v>17699104.766903847</v>
      </c>
      <c r="EN313" s="269">
        <f t="shared" si="909"/>
        <v>88495523.834519237</v>
      </c>
      <c r="EO313" s="140">
        <f>'Detailed Budget'!$AC$209</f>
        <v>135789361677.54817</v>
      </c>
      <c r="EP313" s="269">
        <f t="shared" si="888"/>
        <v>149127395.54379991</v>
      </c>
      <c r="EQ313" s="196">
        <f>'Detailed Budget'!$AC$211</f>
        <v>33947340419.387043</v>
      </c>
      <c r="ER313" s="269">
        <f t="shared" si="889"/>
        <v>37281848.885949977</v>
      </c>
      <c r="ES313" s="269">
        <f t="shared" si="910"/>
        <v>186409244.42974988</v>
      </c>
      <c r="ET313" s="196">
        <f>'Detailed Budget'!$AC$214</f>
        <v>22239745544.201103</v>
      </c>
      <c r="EU313" s="269">
        <f t="shared" si="890"/>
        <v>23720158.595532279</v>
      </c>
      <c r="EV313" s="140">
        <f>'Detailed Budget'!$AC$217</f>
        <v>5559936386.0502758</v>
      </c>
      <c r="EW313" s="269">
        <f t="shared" si="891"/>
        <v>5930039.6488830699</v>
      </c>
      <c r="EX313" s="269">
        <f t="shared" si="911"/>
        <v>29650198.24441535</v>
      </c>
      <c r="EY313" s="196">
        <f>'Detailed Budget'!$AC$219</f>
        <v>372777004.58170313</v>
      </c>
      <c r="EZ313" s="269">
        <f t="shared" si="892"/>
        <v>416228.20981353638</v>
      </c>
      <c r="FA313" s="196">
        <f>'Detailed Budget'!$AC$222</f>
        <v>93194251.145425782</v>
      </c>
      <c r="FB313" s="269">
        <f t="shared" si="893"/>
        <v>104057.05245338409</v>
      </c>
      <c r="FC313" s="269">
        <f t="shared" si="912"/>
        <v>520285.26226692047</v>
      </c>
      <c r="FD313" s="269"/>
      <c r="FE313" s="269">
        <f t="shared" si="913"/>
        <v>305075251.77095139</v>
      </c>
      <c r="FF313" s="140">
        <f>'Detailed Budget'!$AC$165</f>
        <v>14927760000</v>
      </c>
      <c r="FG313" s="1087">
        <f t="shared" si="788"/>
        <v>416142837.52207786</v>
      </c>
      <c r="FH313" s="269">
        <f t="shared" si="853"/>
        <v>16961436.200431772</v>
      </c>
      <c r="FJ313" s="140">
        <f>'Detailed Budget'!$AC$235</f>
        <v>3623696172</v>
      </c>
      <c r="FK313" s="269">
        <f t="shared" si="854"/>
        <v>4681778</v>
      </c>
      <c r="FL313" s="269">
        <f t="shared" si="789"/>
        <v>4681778</v>
      </c>
      <c r="FO313" s="607"/>
      <c r="FP313" s="607"/>
      <c r="FQ313" s="607"/>
      <c r="FR313" s="269">
        <f>'Detailed Budget'!$AC$257</f>
        <v>13636439388</v>
      </c>
      <c r="FS313" s="269">
        <f t="shared" si="855"/>
        <v>15989376</v>
      </c>
      <c r="FT313" s="269">
        <f t="shared" si="790"/>
        <v>15989376</v>
      </c>
      <c r="FU313" s="269"/>
      <c r="FV313" s="269"/>
      <c r="FW313" s="269"/>
      <c r="FX313" s="140">
        <f>'Detailed Budget'!$AC$278</f>
        <v>1114560000</v>
      </c>
      <c r="FY313" s="269">
        <f t="shared" si="856"/>
        <v>1440000</v>
      </c>
      <c r="FZ313" s="269">
        <f t="shared" si="791"/>
        <v>1440000</v>
      </c>
      <c r="GB313" s="269">
        <f t="shared" si="799"/>
        <v>2451803453.9494939</v>
      </c>
      <c r="GC313" s="887">
        <f t="shared" si="914"/>
        <v>1532377.1587184337</v>
      </c>
      <c r="GD313" s="1078">
        <f t="shared" si="800"/>
        <v>1.3757841231024546E-3</v>
      </c>
    </row>
    <row r="314" spans="1:186" hidden="1" outlineLevel="1">
      <c r="A314" s="211" t="s">
        <v>774</v>
      </c>
      <c r="B314" s="212" t="s">
        <v>775</v>
      </c>
      <c r="C314" s="213" t="s">
        <v>215</v>
      </c>
      <c r="D314" s="214" t="s">
        <v>215</v>
      </c>
      <c r="E314" s="213"/>
      <c r="F314" s="213"/>
      <c r="G314" s="213"/>
      <c r="H314" s="213" t="s">
        <v>215</v>
      </c>
      <c r="I314" s="214" t="s">
        <v>215</v>
      </c>
      <c r="J314" s="214"/>
      <c r="K314" s="213" t="s">
        <v>215</v>
      </c>
      <c r="L314" s="213"/>
      <c r="M314" s="214"/>
      <c r="N314" s="213"/>
      <c r="O314" s="214"/>
      <c r="P314" s="213"/>
      <c r="Q314" s="214"/>
      <c r="R314" s="214" t="s">
        <v>215</v>
      </c>
      <c r="S314" s="214"/>
      <c r="T314" s="214"/>
      <c r="U314" s="215">
        <f t="shared" si="857"/>
        <v>6</v>
      </c>
      <c r="V314" s="845" t="s">
        <v>219</v>
      </c>
      <c r="W314" s="216">
        <v>221276</v>
      </c>
      <c r="X314" s="217">
        <v>3.07</v>
      </c>
      <c r="Y314" s="218">
        <f t="shared" si="826"/>
        <v>1.0306999999999999</v>
      </c>
      <c r="Z314" s="196">
        <v>19</v>
      </c>
      <c r="AA314" s="218">
        <f t="shared" si="827"/>
        <v>1.7762874396990105</v>
      </c>
      <c r="AB314" s="196">
        <f t="shared" si="894"/>
        <v>393049.77950683824</v>
      </c>
      <c r="AC314">
        <v>19.2</v>
      </c>
      <c r="AD314" s="196">
        <f t="shared" si="895"/>
        <v>75465.557665312939</v>
      </c>
      <c r="AE314" s="196">
        <f t="shared" si="849"/>
        <v>71692.279782047292</v>
      </c>
      <c r="AF314" s="196">
        <f t="shared" si="858"/>
        <v>71692.279782047292</v>
      </c>
      <c r="AG314" s="606">
        <f t="shared" ref="AG314:AG375" si="917">AE314/21628351</f>
        <v>3.3147362821163433E-3</v>
      </c>
      <c r="AH314" s="196">
        <f t="shared" si="873"/>
        <v>19652.488975341912</v>
      </c>
      <c r="AI314" s="248">
        <f t="shared" si="896"/>
        <v>1.5224485444904927E-3</v>
      </c>
      <c r="AJ314" s="196">
        <f t="shared" si="897"/>
        <v>95118.046640654851</v>
      </c>
      <c r="AK314" s="196">
        <f t="shared" si="785"/>
        <v>15721.99118027353</v>
      </c>
      <c r="AL314" s="196">
        <f t="shared" si="786"/>
        <v>15721.99118027353</v>
      </c>
      <c r="AM314" s="196">
        <f t="shared" si="898"/>
        <v>31443.982360547059</v>
      </c>
      <c r="AN314" s="627">
        <f t="shared" si="899"/>
        <v>1.5224485444904927E-3</v>
      </c>
      <c r="AO314" s="196">
        <f t="shared" si="900"/>
        <v>14935.891621259852</v>
      </c>
      <c r="AP314" s="589">
        <f t="shared" ref="AP314:AP375" si="918">AO314/9810441</f>
        <v>1.5224485444904927E-3</v>
      </c>
      <c r="AQ314" s="196"/>
      <c r="AR314" s="589"/>
      <c r="AS314">
        <v>1</v>
      </c>
      <c r="AT314" s="589">
        <f t="shared" ref="AT314:AT375" si="919">AS314/774</f>
        <v>1.2919896640826874E-3</v>
      </c>
      <c r="AU314">
        <v>11</v>
      </c>
      <c r="AV314" s="245">
        <f t="shared" si="901"/>
        <v>1.2498579706851495E-3</v>
      </c>
      <c r="AX314" s="245"/>
      <c r="AY314" s="245"/>
      <c r="AZ314">
        <v>45</v>
      </c>
      <c r="BA314" s="589">
        <f t="shared" si="793"/>
        <v>1.6488952401890733E-3</v>
      </c>
      <c r="BI314" s="196">
        <v>1</v>
      </c>
      <c r="BJ314" s="196">
        <f t="shared" si="859"/>
        <v>218328.40942443142</v>
      </c>
      <c r="BK314" s="246">
        <f t="shared" si="794"/>
        <v>4.1633910418616624E-3</v>
      </c>
      <c r="BL314" s="196">
        <f t="shared" si="874"/>
        <v>4366.568188488628</v>
      </c>
      <c r="BM314" s="246">
        <f t="shared" si="795"/>
        <v>4.1633905655015851E-3</v>
      </c>
      <c r="BN314" s="196">
        <v>0</v>
      </c>
      <c r="BO314" s="196">
        <f t="shared" si="860"/>
        <v>27969.691884937049</v>
      </c>
      <c r="BP314" s="196">
        <f t="shared" si="902"/>
        <v>0</v>
      </c>
      <c r="BQ314" s="248">
        <f t="shared" si="796"/>
        <v>0</v>
      </c>
      <c r="BR314" s="248"/>
      <c r="BS314" s="248"/>
      <c r="BT314" s="276">
        <v>1</v>
      </c>
      <c r="BU314" s="196">
        <f t="shared" si="875"/>
        <v>59768.721670927851</v>
      </c>
      <c r="BV314" s="264">
        <f t="shared" si="797"/>
        <v>4.1456717464262221E-3</v>
      </c>
      <c r="BW314" s="196">
        <f t="shared" si="876"/>
        <v>255677.30937008027</v>
      </c>
      <c r="BX314" s="247">
        <f t="shared" si="798"/>
        <v>4.1456717837705919E-3</v>
      </c>
      <c r="BY314" s="196">
        <f t="shared" si="833"/>
        <v>315446.03104100813</v>
      </c>
      <c r="BZ314" s="620">
        <v>0</v>
      </c>
      <c r="CA314" s="196">
        <f t="shared" si="861"/>
        <v>120273.23252909249</v>
      </c>
      <c r="CB314" s="196">
        <f t="shared" si="862"/>
        <v>240546.46505818499</v>
      </c>
      <c r="CC314" s="196">
        <f t="shared" si="915"/>
        <v>360819.69758727751</v>
      </c>
      <c r="CD314" s="247">
        <f t="shared" si="903"/>
        <v>1.5224485444904927E-3</v>
      </c>
      <c r="CE314" s="196">
        <f t="shared" si="863"/>
        <v>42912.532790409452</v>
      </c>
      <c r="CF314" s="247">
        <f t="shared" si="904"/>
        <v>1.8530966215352552E-3</v>
      </c>
      <c r="CG314" s="196">
        <f t="shared" si="877"/>
        <v>59743.56648503941</v>
      </c>
      <c r="CH314" s="589">
        <f t="shared" ref="CH314:CH375" si="920">CG314/39241764</f>
        <v>1.5224485444904927E-3</v>
      </c>
      <c r="CI314" s="196">
        <f t="shared" si="864"/>
        <v>121228.56839204315</v>
      </c>
      <c r="CJ314" s="248">
        <f t="shared" ref="CJ314:CJ375" si="921">CI314/60827260</f>
        <v>1.9929973566463976E-3</v>
      </c>
      <c r="CK314" s="196">
        <f t="shared" si="865"/>
        <v>96806.166990318903</v>
      </c>
      <c r="CL314" s="589">
        <f t="shared" ref="CL314:CL375" si="922">CK314/69564222</f>
        <v>1.3916085626648554E-3</v>
      </c>
      <c r="CM314" s="196">
        <f t="shared" si="866"/>
        <v>9378.1019515163425</v>
      </c>
      <c r="CN314" s="589">
        <f t="shared" ref="CN314:CN375" si="923">CM314/6939078</f>
        <v>1.3514910700695888E-3</v>
      </c>
      <c r="CO314" s="196">
        <f t="shared" si="867"/>
        <v>750.24236497993354</v>
      </c>
      <c r="CP314" s="589">
        <f t="shared" ref="CP314:CP375" si="924">CO314/530266</f>
        <v>1.4148415417543903E-3</v>
      </c>
      <c r="CQ314" s="196">
        <f>'Detailed Budget'!$AC$12</f>
        <v>292876014141.44696</v>
      </c>
      <c r="CR314" s="269">
        <f t="shared" si="724"/>
        <v>1219357373.6526499</v>
      </c>
      <c r="CS314" s="269">
        <f>'Detailed Budget'!$AC$16</f>
        <v>10488008800.000002</v>
      </c>
      <c r="CT314" s="607">
        <f t="shared" si="878"/>
        <v>43665676.888817608</v>
      </c>
      <c r="CU314" s="269">
        <f>'Detailed Budget'!$AC$24</f>
        <v>30624985696</v>
      </c>
      <c r="CV314" s="269">
        <f t="shared" si="792"/>
        <v>127503791.10386795</v>
      </c>
      <c r="CW314" s="269"/>
      <c r="CX314" s="269">
        <f t="shared" si="916"/>
        <v>1390526841.6453354</v>
      </c>
      <c r="CY314" s="196">
        <f>'Detailed Budget'!$AC$97</f>
        <v>74629165494.837845</v>
      </c>
      <c r="CZ314" s="269">
        <f t="shared" si="879"/>
        <v>0</v>
      </c>
      <c r="DA314" s="269">
        <f>'Detailed Budget'!$AC$100</f>
        <v>14925833098.967569</v>
      </c>
      <c r="DB314" s="269">
        <f t="shared" si="880"/>
        <v>0</v>
      </c>
      <c r="DC314" s="269">
        <f t="shared" si="905"/>
        <v>0</v>
      </c>
      <c r="DD314" s="207">
        <v>0</v>
      </c>
      <c r="DE314" s="606">
        <v>0</v>
      </c>
      <c r="DF314" s="269">
        <f>'Detailed Budget'!$AC$147</f>
        <v>5913600671000</v>
      </c>
      <c r="DG314" s="269">
        <f t="shared" si="787"/>
        <v>0</v>
      </c>
      <c r="DH314" s="269">
        <f>'Detailed Budget'!$AC$153</f>
        <v>226428026880.00003</v>
      </c>
      <c r="DI314" s="269"/>
      <c r="DJ314" s="269">
        <f>'Detailed Budget'!$AC$156</f>
        <v>27713070000</v>
      </c>
      <c r="DK314" s="269"/>
      <c r="DL314" s="269"/>
      <c r="DM314" s="196">
        <f>'Detailed Budget'!$AC$178</f>
        <v>5622683761.6229038</v>
      </c>
      <c r="DN314" s="269">
        <f t="shared" si="868"/>
        <v>23309801.209649585</v>
      </c>
      <c r="DO314" s="196">
        <f>'Detailed Budget'!$AC$179</f>
        <v>26827890683.128094</v>
      </c>
      <c r="DP314" s="269">
        <f t="shared" si="869"/>
        <v>111219629.42312609</v>
      </c>
      <c r="DQ314" s="269">
        <f t="shared" si="870"/>
        <v>134529430.63277566</v>
      </c>
      <c r="DR314" s="269">
        <f>'Detailed Budget'!$AC$181</f>
        <v>50888946855.375237</v>
      </c>
      <c r="DS314" s="269">
        <f t="shared" si="871"/>
        <v>168683438.50020269</v>
      </c>
      <c r="DT314" s="269">
        <f t="shared" si="872"/>
        <v>303212869.13297832</v>
      </c>
      <c r="DU314" s="272">
        <f>'Detailed Budget'!$AC$192</f>
        <v>77498869683.252869</v>
      </c>
      <c r="DV314" s="269">
        <f t="shared" si="881"/>
        <v>0</v>
      </c>
      <c r="DW314" s="140">
        <f>'Detailed Budget'!$AC$194</f>
        <v>2684962805.4134097</v>
      </c>
      <c r="DX314" s="269">
        <f t="shared" si="882"/>
        <v>0</v>
      </c>
      <c r="DY314" s="607">
        <f t="shared" si="906"/>
        <v>0</v>
      </c>
      <c r="DZ314" s="196">
        <f>'Detailed Budget'!$AC$198</f>
        <v>18732540018.380611</v>
      </c>
      <c r="EA314" s="269">
        <f t="shared" si="852"/>
        <v>34713206.620835081</v>
      </c>
      <c r="EB314" s="196">
        <f>'Detailed Budget'!$AC$200</f>
        <v>4683135004.5951529</v>
      </c>
      <c r="EC314" s="269">
        <f t="shared" si="883"/>
        <v>8678301.6552087702</v>
      </c>
      <c r="ED314" s="269">
        <f t="shared" si="907"/>
        <v>43391508.276043847</v>
      </c>
      <c r="EE314" s="196">
        <f>'Detailed Budget'!$AC$161</f>
        <v>251147290106.36197</v>
      </c>
      <c r="EF314" s="269">
        <f t="shared" si="884"/>
        <v>382358826.27516228</v>
      </c>
      <c r="EG314" s="196">
        <f>'Detailed Budget'!$AC$163</f>
        <v>15696705631.647623</v>
      </c>
      <c r="EH314" s="269">
        <f t="shared" si="885"/>
        <v>23897426.642197642</v>
      </c>
      <c r="EI314" s="269">
        <f t="shared" si="908"/>
        <v>406256252.91735995</v>
      </c>
      <c r="EJ314" s="196">
        <f>'Detailed Budget'!$AC$204</f>
        <v>45012172507.531975</v>
      </c>
      <c r="EK314" s="269">
        <f t="shared" si="886"/>
        <v>89709140.824422881</v>
      </c>
      <c r="EL314" s="201">
        <f>'Detailed Budget'!$AC$206</f>
        <v>11253043126.882994</v>
      </c>
      <c r="EM314" s="269">
        <f t="shared" si="887"/>
        <v>22427285.20610572</v>
      </c>
      <c r="EN314" s="269">
        <f t="shared" si="909"/>
        <v>112136426.0305286</v>
      </c>
      <c r="EO314" s="140">
        <f>'Detailed Budget'!$AC$209</f>
        <v>135789361677.54817</v>
      </c>
      <c r="EP314" s="269">
        <f t="shared" si="888"/>
        <v>188965638.42927101</v>
      </c>
      <c r="EQ314" s="196">
        <f>'Detailed Budget'!$AC$211</f>
        <v>33947340419.387043</v>
      </c>
      <c r="ER314" s="269">
        <f t="shared" si="889"/>
        <v>47241409.607317753</v>
      </c>
      <c r="ES314" s="269">
        <f t="shared" si="910"/>
        <v>236207048.03658876</v>
      </c>
      <c r="ET314" s="196">
        <f>'Detailed Budget'!$AC$214</f>
        <v>22239745544.201103</v>
      </c>
      <c r="EU314" s="269">
        <f t="shared" si="890"/>
        <v>30056817.50360772</v>
      </c>
      <c r="EV314" s="140">
        <f>'Detailed Budget'!$AC$217</f>
        <v>5559936386.0502758</v>
      </c>
      <c r="EW314" s="269">
        <f t="shared" si="891"/>
        <v>7514204.37590193</v>
      </c>
      <c r="EX314" s="269">
        <f t="shared" si="911"/>
        <v>37571021.87950965</v>
      </c>
      <c r="EY314" s="196">
        <f>'Detailed Budget'!$AC$219</f>
        <v>372777004.58170313</v>
      </c>
      <c r="EZ314" s="269">
        <f t="shared" si="892"/>
        <v>527420.3918929603</v>
      </c>
      <c r="FA314" s="196">
        <f>'Detailed Budget'!$AC$222</f>
        <v>93194251.145425782</v>
      </c>
      <c r="FB314" s="269">
        <f t="shared" si="893"/>
        <v>131855.09797324007</v>
      </c>
      <c r="FC314" s="269">
        <f t="shared" si="912"/>
        <v>659275.48986620037</v>
      </c>
      <c r="FD314" s="269"/>
      <c r="FE314" s="269">
        <f t="shared" si="913"/>
        <v>386573771.43649316</v>
      </c>
      <c r="FF314" s="140">
        <f>'Detailed Budget'!$AC$165</f>
        <v>14927760000</v>
      </c>
      <c r="FG314" s="1087">
        <f t="shared" si="788"/>
        <v>527312213.04694217</v>
      </c>
      <c r="FH314" s="269">
        <f t="shared" si="853"/>
        <v>18657579.820474949</v>
      </c>
      <c r="FJ314" s="140">
        <f>'Detailed Budget'!$AC$235</f>
        <v>3623696172</v>
      </c>
      <c r="FK314" s="269">
        <f t="shared" si="854"/>
        <v>4681778</v>
      </c>
      <c r="FL314" s="269">
        <f t="shared" si="789"/>
        <v>4681778</v>
      </c>
      <c r="FO314" s="607"/>
      <c r="FP314" s="607"/>
      <c r="FQ314" s="607"/>
      <c r="FR314" s="269">
        <f>'Detailed Budget'!$AC$257</f>
        <v>13636439388</v>
      </c>
      <c r="FS314" s="269">
        <f t="shared" si="855"/>
        <v>22485060</v>
      </c>
      <c r="FT314" s="269">
        <f t="shared" si="790"/>
        <v>22485060</v>
      </c>
      <c r="FU314" s="269"/>
      <c r="FV314" s="269"/>
      <c r="FW314" s="269"/>
      <c r="FX314" s="140">
        <f>'Detailed Budget'!$AC$278</f>
        <v>1114560000</v>
      </c>
      <c r="FY314" s="269">
        <f t="shared" si="856"/>
        <v>1440000</v>
      </c>
      <c r="FZ314" s="269">
        <f t="shared" si="791"/>
        <v>1440000</v>
      </c>
      <c r="GB314" s="269">
        <f t="shared" si="799"/>
        <v>3104537874.2756281</v>
      </c>
      <c r="GC314" s="887">
        <f t="shared" si="914"/>
        <v>1940336.1714222676</v>
      </c>
      <c r="GD314" s="1078">
        <f t="shared" si="800"/>
        <v>1.7420539603688143E-3</v>
      </c>
    </row>
    <row r="315" spans="1:186" hidden="1" outlineLevel="1">
      <c r="A315" s="211" t="s">
        <v>776</v>
      </c>
      <c r="B315" s="212" t="s">
        <v>777</v>
      </c>
      <c r="C315" s="213" t="s">
        <v>215</v>
      </c>
      <c r="D315" s="214" t="s">
        <v>215</v>
      </c>
      <c r="E315" s="213"/>
      <c r="F315" s="213"/>
      <c r="G315" s="213"/>
      <c r="H315" s="213" t="s">
        <v>215</v>
      </c>
      <c r="I315" s="214" t="s">
        <v>215</v>
      </c>
      <c r="J315" s="214"/>
      <c r="K315" s="213" t="s">
        <v>215</v>
      </c>
      <c r="L315" s="213"/>
      <c r="M315" s="214"/>
      <c r="N315" s="213"/>
      <c r="O315" s="214"/>
      <c r="P315" s="213"/>
      <c r="Q315" s="214"/>
      <c r="R315" s="214" t="s">
        <v>215</v>
      </c>
      <c r="S315" s="214"/>
      <c r="T315" s="214"/>
      <c r="U315" s="215">
        <f t="shared" si="857"/>
        <v>6</v>
      </c>
      <c r="V315" s="845" t="s">
        <v>219</v>
      </c>
      <c r="W315" s="216">
        <v>280704</v>
      </c>
      <c r="X315" s="217">
        <v>3.07</v>
      </c>
      <c r="Y315" s="218">
        <f t="shared" si="826"/>
        <v>1.0306999999999999</v>
      </c>
      <c r="Z315" s="196">
        <v>19</v>
      </c>
      <c r="AA315" s="218">
        <f t="shared" si="827"/>
        <v>1.7762874396990105</v>
      </c>
      <c r="AB315" s="196">
        <f t="shared" si="894"/>
        <v>498610.98947327107</v>
      </c>
      <c r="AC315">
        <v>19.2</v>
      </c>
      <c r="AD315" s="196">
        <f t="shared" si="895"/>
        <v>95733.309978868056</v>
      </c>
      <c r="AE315" s="196">
        <f t="shared" si="849"/>
        <v>90946.644479924653</v>
      </c>
      <c r="AF315" s="196">
        <f t="shared" si="858"/>
        <v>90946.644479924653</v>
      </c>
      <c r="AG315" s="606">
        <f t="shared" si="917"/>
        <v>4.2049735775013383E-3</v>
      </c>
      <c r="AH315" s="196">
        <f t="shared" si="873"/>
        <v>24930.549473663556</v>
      </c>
      <c r="AI315" s="248">
        <f t="shared" si="896"/>
        <v>1.9313318942526948E-3</v>
      </c>
      <c r="AJ315" s="196">
        <f t="shared" si="897"/>
        <v>120663.85945253161</v>
      </c>
      <c r="AK315" s="196">
        <f t="shared" si="785"/>
        <v>19944.439578930844</v>
      </c>
      <c r="AL315" s="196">
        <f t="shared" si="786"/>
        <v>19944.439578930844</v>
      </c>
      <c r="AM315" s="196">
        <f t="shared" si="898"/>
        <v>39888.879157861687</v>
      </c>
      <c r="AN315" s="627">
        <f t="shared" si="899"/>
        <v>1.9313318942526948E-3</v>
      </c>
      <c r="AO315" s="196">
        <f t="shared" si="900"/>
        <v>18947.217599984298</v>
      </c>
      <c r="AP315" s="589">
        <f t="shared" si="918"/>
        <v>1.9313318942526946E-3</v>
      </c>
      <c r="AQ315" s="196"/>
      <c r="AR315" s="589"/>
      <c r="AS315">
        <v>1</v>
      </c>
      <c r="AT315" s="589">
        <f t="shared" si="919"/>
        <v>1.2919896640826874E-3</v>
      </c>
      <c r="AU315">
        <v>11</v>
      </c>
      <c r="AV315" s="245">
        <f t="shared" si="901"/>
        <v>1.2498579706851495E-3</v>
      </c>
      <c r="AX315" s="245"/>
      <c r="AY315" s="245"/>
      <c r="AZ315">
        <v>49</v>
      </c>
      <c r="BA315" s="589">
        <f t="shared" si="793"/>
        <v>1.7954637059836576E-3</v>
      </c>
      <c r="BI315" s="196">
        <v>1</v>
      </c>
      <c r="BJ315" s="196">
        <f t="shared" si="859"/>
        <v>276964.77629329707</v>
      </c>
      <c r="BK315" s="246">
        <f t="shared" si="794"/>
        <v>5.2815511804928513E-3</v>
      </c>
      <c r="BL315" s="196">
        <f t="shared" si="874"/>
        <v>5539.2955258659413</v>
      </c>
      <c r="BM315" s="246">
        <f t="shared" si="795"/>
        <v>5.2815505761969533E-3</v>
      </c>
      <c r="BN315" s="196">
        <v>0</v>
      </c>
      <c r="BO315" s="196">
        <f t="shared" si="860"/>
        <v>35481.499985851922</v>
      </c>
      <c r="BP315" s="196">
        <f t="shared" si="902"/>
        <v>0</v>
      </c>
      <c r="BQ315" s="248">
        <f t="shared" si="796"/>
        <v>0</v>
      </c>
      <c r="BR315" s="248"/>
      <c r="BS315" s="248"/>
      <c r="BT315" s="276">
        <v>1</v>
      </c>
      <c r="BU315" s="196">
        <f t="shared" si="875"/>
        <v>75820.781503263512</v>
      </c>
      <c r="BV315" s="264">
        <f t="shared" si="797"/>
        <v>5.2590730215153324E-3</v>
      </c>
      <c r="BW315" s="196">
        <f t="shared" si="876"/>
        <v>324344.45420840499</v>
      </c>
      <c r="BX315" s="247">
        <f t="shared" si="798"/>
        <v>5.2590730688892627E-3</v>
      </c>
      <c r="BY315" s="196">
        <f t="shared" si="833"/>
        <v>400165.2357116685</v>
      </c>
      <c r="BZ315" s="620">
        <v>0</v>
      </c>
      <c r="CA315" s="196">
        <f t="shared" si="861"/>
        <v>152574.96277882095</v>
      </c>
      <c r="CB315" s="196">
        <f t="shared" si="862"/>
        <v>305149.92555764189</v>
      </c>
      <c r="CC315" s="196">
        <f t="shared" si="915"/>
        <v>457724.88833646284</v>
      </c>
      <c r="CD315" s="247">
        <f t="shared" si="903"/>
        <v>1.9313318942526948E-3</v>
      </c>
      <c r="CE315" s="196">
        <f t="shared" si="863"/>
        <v>54437.533236316165</v>
      </c>
      <c r="CF315" s="247">
        <f t="shared" si="904"/>
        <v>2.350781982914696E-3</v>
      </c>
      <c r="CG315" s="196">
        <f t="shared" si="877"/>
        <v>75788.870399937194</v>
      </c>
      <c r="CH315" s="589">
        <f t="shared" si="920"/>
        <v>1.9313318942526946E-3</v>
      </c>
      <c r="CI315" s="196">
        <f t="shared" si="864"/>
        <v>153786.8727829502</v>
      </c>
      <c r="CJ315" s="248">
        <f t="shared" si="921"/>
        <v>2.5282557981890063E-3</v>
      </c>
      <c r="CK315" s="196">
        <f t="shared" si="865"/>
        <v>122805.3575573062</v>
      </c>
      <c r="CL315" s="589">
        <f t="shared" si="922"/>
        <v>1.7653522748706397E-3</v>
      </c>
      <c r="CM315" s="196">
        <f t="shared" si="866"/>
        <v>11896.774752790379</v>
      </c>
      <c r="CN315" s="589">
        <f t="shared" si="923"/>
        <v>1.7144604445706445E-3</v>
      </c>
      <c r="CO315" s="196">
        <f t="shared" si="867"/>
        <v>951.73463375751248</v>
      </c>
      <c r="CP315" s="589">
        <f t="shared" si="924"/>
        <v>1.7948249251460823E-3</v>
      </c>
      <c r="CQ315" s="196">
        <f>'Detailed Budget'!$AC$12</f>
        <v>292876014141.44696</v>
      </c>
      <c r="CR315" s="269">
        <f t="shared" ref="CR315:CR378" si="925">BK315*CQ315</f>
        <v>1546839658.2268002</v>
      </c>
      <c r="CS315" s="269">
        <f>'Detailed Budget'!$AC$16</f>
        <v>10488008800.000002</v>
      </c>
      <c r="CT315" s="607">
        <f t="shared" si="878"/>
        <v>55392948.920798726</v>
      </c>
      <c r="CU315" s="269">
        <f>'Detailed Budget'!$AC$24</f>
        <v>30624985696</v>
      </c>
      <c r="CV315" s="269">
        <f t="shared" si="792"/>
        <v>161747429.3552855</v>
      </c>
      <c r="CW315" s="269"/>
      <c r="CX315" s="269">
        <f t="shared" si="916"/>
        <v>1763980036.5028844</v>
      </c>
      <c r="CY315" s="196">
        <f>'Detailed Budget'!$AC$97</f>
        <v>74629165494.837845</v>
      </c>
      <c r="CZ315" s="269">
        <f t="shared" si="879"/>
        <v>0</v>
      </c>
      <c r="DA315" s="269">
        <f>'Detailed Budget'!$AC$100</f>
        <v>14925833098.967569</v>
      </c>
      <c r="DB315" s="269">
        <f t="shared" si="880"/>
        <v>0</v>
      </c>
      <c r="DC315" s="269">
        <f t="shared" si="905"/>
        <v>0</v>
      </c>
      <c r="DD315" s="207">
        <v>0</v>
      </c>
      <c r="DE315" s="606">
        <v>0</v>
      </c>
      <c r="DF315" s="269">
        <f>'Detailed Budget'!$AC$147</f>
        <v>5913600671000</v>
      </c>
      <c r="DG315" s="269">
        <f t="shared" si="787"/>
        <v>0</v>
      </c>
      <c r="DH315" s="269">
        <f>'Detailed Budget'!$AC$153</f>
        <v>226428026880.00003</v>
      </c>
      <c r="DI315" s="269"/>
      <c r="DJ315" s="269">
        <f>'Detailed Budget'!$AC$156</f>
        <v>27713070000</v>
      </c>
      <c r="DK315" s="269"/>
      <c r="DL315" s="269"/>
      <c r="DM315" s="196">
        <f>'Detailed Budget'!$AC$178</f>
        <v>5622683761.6229038</v>
      </c>
      <c r="DN315" s="269">
        <f t="shared" si="868"/>
        <v>29570104.479263362</v>
      </c>
      <c r="DO315" s="196">
        <f>'Detailed Budget'!$AC$179</f>
        <v>26827890683.128094</v>
      </c>
      <c r="DP315" s="269">
        <f t="shared" si="869"/>
        <v>141089837.38674411</v>
      </c>
      <c r="DQ315" s="269">
        <f t="shared" si="870"/>
        <v>170659941.86600748</v>
      </c>
      <c r="DR315" s="269">
        <f>'Detailed Budget'!$AC$181</f>
        <v>50888946855.375237</v>
      </c>
      <c r="DS315" s="269">
        <f t="shared" si="871"/>
        <v>213986676.91372269</v>
      </c>
      <c r="DT315" s="269">
        <f t="shared" si="872"/>
        <v>384646618.7797302</v>
      </c>
      <c r="DU315" s="272">
        <f>'Detailed Budget'!$AC$192</f>
        <v>77498869683.252869</v>
      </c>
      <c r="DV315" s="269">
        <f t="shared" si="881"/>
        <v>0</v>
      </c>
      <c r="DW315" s="140">
        <f>'Detailed Budget'!$AC$194</f>
        <v>2684962805.4134097</v>
      </c>
      <c r="DX315" s="269">
        <f t="shared" si="882"/>
        <v>0</v>
      </c>
      <c r="DY315" s="607">
        <f t="shared" si="906"/>
        <v>0</v>
      </c>
      <c r="DZ315" s="196">
        <f>'Detailed Budget'!$AC$198</f>
        <v>18732540018.380611</v>
      </c>
      <c r="EA315" s="269">
        <f t="shared" si="852"/>
        <v>44036117.569437668</v>
      </c>
      <c r="EB315" s="196">
        <f>'Detailed Budget'!$AC$200</f>
        <v>4683135004.5951529</v>
      </c>
      <c r="EC315" s="269">
        <f t="shared" si="883"/>
        <v>11009029.392359417</v>
      </c>
      <c r="ED315" s="269">
        <f t="shared" si="907"/>
        <v>55045146.961797088</v>
      </c>
      <c r="EE315" s="196">
        <f>'Detailed Budget'!$AC$161</f>
        <v>251147290106.36197</v>
      </c>
      <c r="EF315" s="269">
        <f t="shared" si="884"/>
        <v>485048771.53755111</v>
      </c>
      <c r="EG315" s="196">
        <f>'Detailed Budget'!$AC$163</f>
        <v>15696705631.647623</v>
      </c>
      <c r="EH315" s="269">
        <f t="shared" si="885"/>
        <v>30315548.221096944</v>
      </c>
      <c r="EI315" s="269">
        <f t="shared" si="908"/>
        <v>515364319.75864804</v>
      </c>
      <c r="EJ315" s="196">
        <f>'Detailed Budget'!$AC$204</f>
        <v>45012172507.531975</v>
      </c>
      <c r="EK315" s="269">
        <f t="shared" si="886"/>
        <v>113802286.1312515</v>
      </c>
      <c r="EL315" s="201">
        <f>'Detailed Budget'!$AC$206</f>
        <v>11253043126.882994</v>
      </c>
      <c r="EM315" s="269">
        <f t="shared" si="887"/>
        <v>28450571.532812875</v>
      </c>
      <c r="EN315" s="269">
        <f t="shared" si="909"/>
        <v>142252857.66406438</v>
      </c>
      <c r="EO315" s="140">
        <f>'Detailed Budget'!$AC$209</f>
        <v>135789361677.54817</v>
      </c>
      <c r="EP315" s="269">
        <f t="shared" si="888"/>
        <v>239716058.54069173</v>
      </c>
      <c r="EQ315" s="196">
        <f>'Detailed Budget'!$AC$211</f>
        <v>33947340419.387043</v>
      </c>
      <c r="ER315" s="269">
        <f t="shared" si="889"/>
        <v>59929014.635172933</v>
      </c>
      <c r="ES315" s="269">
        <f t="shared" si="910"/>
        <v>299645073.1758647</v>
      </c>
      <c r="ET315" s="196">
        <f>'Detailed Budget'!$AC$214</f>
        <v>22239745544.201103</v>
      </c>
      <c r="EU315" s="269">
        <f t="shared" si="890"/>
        <v>38129164.032849036</v>
      </c>
      <c r="EV315" s="140">
        <f>'Detailed Budget'!$AC$217</f>
        <v>5559936386.0502758</v>
      </c>
      <c r="EW315" s="269">
        <f t="shared" si="891"/>
        <v>9532291.008212259</v>
      </c>
      <c r="EX315" s="269">
        <f t="shared" si="911"/>
        <v>47661455.041061297</v>
      </c>
      <c r="EY315" s="196">
        <f>'Detailed Budget'!$AC$219</f>
        <v>372777004.58170313</v>
      </c>
      <c r="EZ315" s="269">
        <f t="shared" si="892"/>
        <v>669069.45934453607</v>
      </c>
      <c r="FA315" s="196">
        <f>'Detailed Budget'!$AC$222</f>
        <v>93194251.145425782</v>
      </c>
      <c r="FB315" s="269">
        <f t="shared" si="893"/>
        <v>167267.36483613402</v>
      </c>
      <c r="FC315" s="269">
        <f t="shared" si="912"/>
        <v>836336.82418067008</v>
      </c>
      <c r="FD315" s="269"/>
      <c r="FE315" s="269">
        <f t="shared" si="913"/>
        <v>490395722.70517105</v>
      </c>
      <c r="FF315" s="140">
        <f>'Detailed Budget'!$AC$165</f>
        <v>14927760000</v>
      </c>
      <c r="FG315" s="1087">
        <f t="shared" si="788"/>
        <v>668932226.9524436</v>
      </c>
      <c r="FH315" s="269">
        <f t="shared" si="853"/>
        <v>18657579.820474949</v>
      </c>
      <c r="FJ315" s="140">
        <f>'Detailed Budget'!$AC$235</f>
        <v>3623696172</v>
      </c>
      <c r="FK315" s="269">
        <f t="shared" si="854"/>
        <v>4681778</v>
      </c>
      <c r="FL315" s="269">
        <f t="shared" si="789"/>
        <v>4681778</v>
      </c>
      <c r="FO315" s="607"/>
      <c r="FP315" s="607"/>
      <c r="FQ315" s="607"/>
      <c r="FR315" s="269">
        <f>'Detailed Budget'!$AC$257</f>
        <v>13636439388</v>
      </c>
      <c r="FS315" s="269">
        <f t="shared" si="855"/>
        <v>24483732</v>
      </c>
      <c r="FT315" s="269">
        <f t="shared" si="790"/>
        <v>24483732</v>
      </c>
      <c r="FU315" s="269"/>
      <c r="FV315" s="269"/>
      <c r="FW315" s="269"/>
      <c r="FX315" s="140">
        <f>'Detailed Budget'!$AC$278</f>
        <v>1114560000</v>
      </c>
      <c r="FY315" s="269">
        <f t="shared" si="856"/>
        <v>1440000</v>
      </c>
      <c r="FZ315" s="269">
        <f t="shared" si="791"/>
        <v>1440000</v>
      </c>
      <c r="GB315" s="269">
        <f t="shared" si="799"/>
        <v>3927627161.4811497</v>
      </c>
      <c r="GC315" s="887">
        <f t="shared" si="914"/>
        <v>2454766.9759257184</v>
      </c>
      <c r="GD315" s="1078">
        <f t="shared" si="800"/>
        <v>2.2039152777631409E-3</v>
      </c>
    </row>
    <row r="316" spans="1:186" hidden="1" outlineLevel="1">
      <c r="A316" s="211" t="s">
        <v>778</v>
      </c>
      <c r="B316" s="212" t="s">
        <v>779</v>
      </c>
      <c r="C316" s="213" t="s">
        <v>215</v>
      </c>
      <c r="D316" s="214" t="s">
        <v>215</v>
      </c>
      <c r="E316" s="213"/>
      <c r="F316" s="213"/>
      <c r="G316" s="213"/>
      <c r="H316" s="213" t="s">
        <v>215</v>
      </c>
      <c r="I316" s="214" t="s">
        <v>215</v>
      </c>
      <c r="J316" s="214"/>
      <c r="K316" s="213" t="s">
        <v>215</v>
      </c>
      <c r="L316" s="213"/>
      <c r="M316" s="214"/>
      <c r="N316" s="213"/>
      <c r="O316" s="214"/>
      <c r="P316" s="213"/>
      <c r="Q316" s="214"/>
      <c r="R316" s="214" t="s">
        <v>215</v>
      </c>
      <c r="S316" s="214"/>
      <c r="T316" s="214"/>
      <c r="U316" s="215">
        <f t="shared" si="857"/>
        <v>6</v>
      </c>
      <c r="V316" s="845" t="s">
        <v>219</v>
      </c>
      <c r="W316" s="216">
        <v>138956</v>
      </c>
      <c r="X316" s="217">
        <v>3.07</v>
      </c>
      <c r="Y316" s="218">
        <f t="shared" si="826"/>
        <v>1.0306999999999999</v>
      </c>
      <c r="Z316" s="196">
        <v>19</v>
      </c>
      <c r="AA316" s="218">
        <f t="shared" si="827"/>
        <v>1.7762874396990105</v>
      </c>
      <c r="AB316" s="196">
        <f t="shared" si="894"/>
        <v>246825.79747081571</v>
      </c>
      <c r="AC316">
        <v>19.2</v>
      </c>
      <c r="AD316" s="196">
        <f t="shared" si="895"/>
        <v>47390.553114396615</v>
      </c>
      <c r="AE316" s="196">
        <f t="shared" si="849"/>
        <v>45021.025458676784</v>
      </c>
      <c r="AF316" s="196">
        <f t="shared" si="858"/>
        <v>45021.025458676784</v>
      </c>
      <c r="AG316" s="606">
        <f t="shared" si="917"/>
        <v>2.0815745712041006E-3</v>
      </c>
      <c r="AH316" s="196">
        <f t="shared" si="873"/>
        <v>12341.289873540787</v>
      </c>
      <c r="AI316" s="248">
        <f t="shared" si="896"/>
        <v>9.5606102762261125E-4</v>
      </c>
      <c r="AJ316" s="196">
        <f t="shared" si="897"/>
        <v>59731.842987937402</v>
      </c>
      <c r="AK316" s="196">
        <f t="shared" si="785"/>
        <v>9873.0318988326289</v>
      </c>
      <c r="AL316" s="196">
        <f t="shared" si="786"/>
        <v>9873.0318988326289</v>
      </c>
      <c r="AM316" s="196">
        <f t="shared" si="898"/>
        <v>19746.063797665258</v>
      </c>
      <c r="AN316" s="627">
        <f t="shared" si="899"/>
        <v>9.5606102762261125E-4</v>
      </c>
      <c r="AO316" s="196">
        <f t="shared" si="900"/>
        <v>9379.3803038909973</v>
      </c>
      <c r="AP316" s="589">
        <f t="shared" si="918"/>
        <v>9.5606102762261114E-4</v>
      </c>
      <c r="AQ316" s="196"/>
      <c r="AR316" s="589"/>
      <c r="AS316">
        <v>1</v>
      </c>
      <c r="AT316" s="589">
        <f t="shared" si="919"/>
        <v>1.2919896640826874E-3</v>
      </c>
      <c r="AU316">
        <v>10</v>
      </c>
      <c r="AV316" s="245">
        <f t="shared" si="901"/>
        <v>1.1362345188046814E-3</v>
      </c>
      <c r="AX316" s="245"/>
      <c r="AY316" s="245"/>
      <c r="AZ316">
        <v>37</v>
      </c>
      <c r="BA316" s="589">
        <f t="shared" si="793"/>
        <v>1.3557583085999048E-3</v>
      </c>
      <c r="BI316" s="196">
        <v>1</v>
      </c>
      <c r="BJ316" s="196">
        <f t="shared" si="859"/>
        <v>137104.98409218033</v>
      </c>
      <c r="BK316" s="246">
        <f t="shared" si="794"/>
        <v>2.6145093259681536E-3</v>
      </c>
      <c r="BL316" s="196">
        <f t="shared" si="874"/>
        <v>2742.0996818436065</v>
      </c>
      <c r="BM316" s="246">
        <f t="shared" si="795"/>
        <v>2.6145090268254955E-3</v>
      </c>
      <c r="BN316" s="196">
        <v>0</v>
      </c>
      <c r="BO316" s="196">
        <f t="shared" si="860"/>
        <v>17564.293034776987</v>
      </c>
      <c r="BP316" s="196">
        <f t="shared" si="902"/>
        <v>0</v>
      </c>
      <c r="BQ316" s="248">
        <f t="shared" si="796"/>
        <v>0</v>
      </c>
      <c r="BR316" s="248"/>
      <c r="BS316" s="248"/>
      <c r="BT316" s="276">
        <v>1</v>
      </c>
      <c r="BU316" s="196">
        <f t="shared" si="875"/>
        <v>37533.318066602122</v>
      </c>
      <c r="BV316" s="264">
        <f t="shared" si="797"/>
        <v>2.6033820350892197E-3</v>
      </c>
      <c r="BW316" s="196">
        <f t="shared" si="876"/>
        <v>160559.19395157575</v>
      </c>
      <c r="BX316" s="247">
        <f t="shared" si="798"/>
        <v>2.6033820585405847E-3</v>
      </c>
      <c r="BY316" s="196">
        <f t="shared" si="833"/>
        <v>198092.51201817789</v>
      </c>
      <c r="BZ316" s="620">
        <v>0</v>
      </c>
      <c r="CA316" s="196">
        <f t="shared" si="861"/>
        <v>75528.694026069599</v>
      </c>
      <c r="CB316" s="196">
        <f t="shared" si="862"/>
        <v>151057.3880521392</v>
      </c>
      <c r="CC316" s="196">
        <f t="shared" si="915"/>
        <v>226586.0820782088</v>
      </c>
      <c r="CD316" s="247">
        <f t="shared" si="903"/>
        <v>9.5606102762261103E-4</v>
      </c>
      <c r="CE316" s="196">
        <f t="shared" si="863"/>
        <v>26948.037321824944</v>
      </c>
      <c r="CF316" s="247">
        <f t="shared" si="904"/>
        <v>1.1637000584882812E-3</v>
      </c>
      <c r="CG316" s="196">
        <f t="shared" si="877"/>
        <v>37517.521215563989</v>
      </c>
      <c r="CH316" s="589">
        <f t="shared" si="920"/>
        <v>9.5606102762261114E-4</v>
      </c>
      <c r="CI316" s="196">
        <f t="shared" si="864"/>
        <v>76128.621944922852</v>
      </c>
      <c r="CJ316" s="248">
        <f t="shared" si="921"/>
        <v>1.2515543515345397E-3</v>
      </c>
      <c r="CK316" s="196">
        <f t="shared" si="865"/>
        <v>60791.941920076082</v>
      </c>
      <c r="CL316" s="589">
        <f t="shared" si="922"/>
        <v>8.7389666947006292E-4</v>
      </c>
      <c r="CM316" s="196">
        <f t="shared" si="866"/>
        <v>5889.2222146771683</v>
      </c>
      <c r="CN316" s="589">
        <f t="shared" si="923"/>
        <v>8.4870385009033886E-4</v>
      </c>
      <c r="CO316" s="196">
        <f t="shared" si="867"/>
        <v>471.13414047683284</v>
      </c>
      <c r="CP316" s="589">
        <f t="shared" si="924"/>
        <v>8.8848642092239152E-4</v>
      </c>
      <c r="CQ316" s="196">
        <f>'Detailed Budget'!$AC$12</f>
        <v>292876014141.44696</v>
      </c>
      <c r="CR316" s="269">
        <f t="shared" si="925"/>
        <v>765727070.32519388</v>
      </c>
      <c r="CS316" s="269">
        <f>'Detailed Budget'!$AC$16</f>
        <v>10488008800.000002</v>
      </c>
      <c r="CT316" s="607">
        <f t="shared" si="878"/>
        <v>27420993.681025237</v>
      </c>
      <c r="CU316" s="269">
        <f>'Detailed Budget'!$AC$24</f>
        <v>30624985696</v>
      </c>
      <c r="CV316" s="269">
        <f t="shared" si="792"/>
        <v>80069310.709833309</v>
      </c>
      <c r="CW316" s="269"/>
      <c r="CX316" s="269">
        <f t="shared" si="916"/>
        <v>873217374.71605241</v>
      </c>
      <c r="CY316" s="196">
        <f>'Detailed Budget'!$AC$97</f>
        <v>74629165494.837845</v>
      </c>
      <c r="CZ316" s="269">
        <f t="shared" si="879"/>
        <v>0</v>
      </c>
      <c r="DA316" s="269">
        <f>'Detailed Budget'!$AC$100</f>
        <v>14925833098.967569</v>
      </c>
      <c r="DB316" s="269">
        <f t="shared" si="880"/>
        <v>0</v>
      </c>
      <c r="DC316" s="269">
        <f t="shared" si="905"/>
        <v>0</v>
      </c>
      <c r="DD316" s="207">
        <v>0</v>
      </c>
      <c r="DE316" s="606">
        <v>0</v>
      </c>
      <c r="DF316" s="269">
        <f>'Detailed Budget'!$AC$147</f>
        <v>5913600671000</v>
      </c>
      <c r="DG316" s="269">
        <f t="shared" si="787"/>
        <v>0</v>
      </c>
      <c r="DH316" s="269">
        <f>'Detailed Budget'!$AC$153</f>
        <v>226428026880.00003</v>
      </c>
      <c r="DI316" s="269"/>
      <c r="DJ316" s="269">
        <f>'Detailed Budget'!$AC$156</f>
        <v>27713070000</v>
      </c>
      <c r="DK316" s="269"/>
      <c r="DL316" s="269"/>
      <c r="DM316" s="196">
        <f>'Detailed Budget'!$AC$178</f>
        <v>5622683761.6229038</v>
      </c>
      <c r="DN316" s="269">
        <f t="shared" si="868"/>
        <v>14637993.893996945</v>
      </c>
      <c r="DO316" s="196">
        <f>'Detailed Budget'!$AC$179</f>
        <v>26827890683.128094</v>
      </c>
      <c r="DP316" s="269">
        <f t="shared" si="869"/>
        <v>69843249.272943795</v>
      </c>
      <c r="DQ316" s="269">
        <f t="shared" si="870"/>
        <v>84481243.166940734</v>
      </c>
      <c r="DR316" s="269">
        <f>'Detailed Budget'!$AC$181</f>
        <v>50888946855.375237</v>
      </c>
      <c r="DS316" s="269">
        <f t="shared" si="871"/>
        <v>105929137.72950597</v>
      </c>
      <c r="DT316" s="269">
        <f t="shared" si="872"/>
        <v>190410380.8964467</v>
      </c>
      <c r="DU316" s="272">
        <f>'Detailed Budget'!$AC$192</f>
        <v>77498869683.252869</v>
      </c>
      <c r="DV316" s="269">
        <f t="shared" si="881"/>
        <v>0</v>
      </c>
      <c r="DW316" s="140">
        <f>'Detailed Budget'!$AC$194</f>
        <v>2684962805.4134097</v>
      </c>
      <c r="DX316" s="269">
        <f t="shared" si="882"/>
        <v>0</v>
      </c>
      <c r="DY316" s="607">
        <f t="shared" si="906"/>
        <v>0</v>
      </c>
      <c r="DZ316" s="196">
        <f>'Detailed Budget'!$AC$198</f>
        <v>18732540018.380611</v>
      </c>
      <c r="EA316" s="269">
        <f t="shared" si="852"/>
        <v>21799057.915023588</v>
      </c>
      <c r="EB316" s="196">
        <f>'Detailed Budget'!$AC$200</f>
        <v>4683135004.5951529</v>
      </c>
      <c r="EC316" s="269">
        <f t="shared" si="883"/>
        <v>5449764.4787558969</v>
      </c>
      <c r="ED316" s="269">
        <f t="shared" si="907"/>
        <v>27248822.393779486</v>
      </c>
      <c r="EE316" s="196">
        <f>'Detailed Budget'!$AC$161</f>
        <v>251147290106.36197</v>
      </c>
      <c r="EF316" s="269">
        <f t="shared" si="884"/>
        <v>240112136.26372245</v>
      </c>
      <c r="EG316" s="196">
        <f>'Detailed Budget'!$AC$163</f>
        <v>15696705631.647623</v>
      </c>
      <c r="EH316" s="269">
        <f t="shared" si="885"/>
        <v>15007008.516482653</v>
      </c>
      <c r="EI316" s="269">
        <f t="shared" si="908"/>
        <v>255119144.7802051</v>
      </c>
      <c r="EJ316" s="196">
        <f>'Detailed Budget'!$AC$204</f>
        <v>45012172507.531975</v>
      </c>
      <c r="EK316" s="269">
        <f t="shared" si="886"/>
        <v>56335180.373825021</v>
      </c>
      <c r="EL316" s="201">
        <f>'Detailed Budget'!$AC$206</f>
        <v>11253043126.882994</v>
      </c>
      <c r="EM316" s="269">
        <f t="shared" si="887"/>
        <v>14083795.093456255</v>
      </c>
      <c r="EN316" s="269">
        <f t="shared" si="909"/>
        <v>70418975.467281282</v>
      </c>
      <c r="EO316" s="140">
        <f>'Detailed Budget'!$AC$209</f>
        <v>135789361677.54817</v>
      </c>
      <c r="EP316" s="269">
        <f t="shared" si="888"/>
        <v>118665870.91947514</v>
      </c>
      <c r="EQ316" s="196">
        <f>'Detailed Budget'!$AC$211</f>
        <v>33947340419.387043</v>
      </c>
      <c r="ER316" s="269">
        <f t="shared" si="889"/>
        <v>29666467.729868785</v>
      </c>
      <c r="ES316" s="269">
        <f t="shared" si="910"/>
        <v>148332338.64934391</v>
      </c>
      <c r="ET316" s="196">
        <f>'Detailed Budget'!$AC$214</f>
        <v>22239745544.201103</v>
      </c>
      <c r="EU316" s="269">
        <f t="shared" si="890"/>
        <v>18874957.668392934</v>
      </c>
      <c r="EV316" s="140">
        <f>'Detailed Budget'!$AC$217</f>
        <v>5559936386.0502758</v>
      </c>
      <c r="EW316" s="269">
        <f t="shared" si="891"/>
        <v>4718739.4170982335</v>
      </c>
      <c r="EX316" s="269">
        <f t="shared" si="911"/>
        <v>23593697.085491166</v>
      </c>
      <c r="EY316" s="196">
        <f>'Detailed Budget'!$AC$219</f>
        <v>372777004.58170313</v>
      </c>
      <c r="EZ316" s="269">
        <f t="shared" si="892"/>
        <v>331207.30660296738</v>
      </c>
      <c r="FA316" s="196">
        <f>'Detailed Budget'!$AC$222</f>
        <v>93194251.145425782</v>
      </c>
      <c r="FB316" s="269">
        <f t="shared" si="893"/>
        <v>82801.826650741845</v>
      </c>
      <c r="FC316" s="269">
        <f t="shared" si="912"/>
        <v>414009.13325370924</v>
      </c>
      <c r="FD316" s="269"/>
      <c r="FE316" s="269">
        <f t="shared" si="913"/>
        <v>242759020.33537009</v>
      </c>
      <c r="FF316" s="140">
        <f>'Detailed Budget'!$AC$165</f>
        <v>14927760000</v>
      </c>
      <c r="FG316" s="1087">
        <f t="shared" si="788"/>
        <v>331139372.89245516</v>
      </c>
      <c r="FH316" s="269">
        <f t="shared" si="853"/>
        <v>16961436.200431772</v>
      </c>
      <c r="FJ316" s="140">
        <f>'Detailed Budget'!$AC$235</f>
        <v>3623696172</v>
      </c>
      <c r="FK316" s="269">
        <f t="shared" si="854"/>
        <v>4681778</v>
      </c>
      <c r="FL316" s="269">
        <f t="shared" si="789"/>
        <v>4681778</v>
      </c>
      <c r="FO316" s="607"/>
      <c r="FP316" s="607"/>
      <c r="FQ316" s="607"/>
      <c r="FR316" s="269">
        <f>'Detailed Budget'!$AC$257</f>
        <v>13636439388</v>
      </c>
      <c r="FS316" s="269">
        <f t="shared" si="855"/>
        <v>18487716</v>
      </c>
      <c r="FT316" s="269">
        <f t="shared" si="790"/>
        <v>18487716</v>
      </c>
      <c r="FU316" s="269"/>
      <c r="FV316" s="269"/>
      <c r="FW316" s="269"/>
      <c r="FX316" s="140">
        <f>'Detailed Budget'!$AC$278</f>
        <v>1114560000</v>
      </c>
      <c r="FY316" s="269">
        <f t="shared" si="856"/>
        <v>1440000</v>
      </c>
      <c r="FZ316" s="269">
        <f t="shared" si="791"/>
        <v>1440000</v>
      </c>
      <c r="GB316" s="269">
        <f t="shared" si="799"/>
        <v>1961465046.2147405</v>
      </c>
      <c r="GC316" s="887">
        <f t="shared" si="914"/>
        <v>1225915.6538842127</v>
      </c>
      <c r="GD316" s="1078">
        <f t="shared" si="800"/>
        <v>1.1006398022058792E-3</v>
      </c>
    </row>
    <row r="317" spans="1:186" hidden="1" outlineLevel="1">
      <c r="A317" s="211" t="s">
        <v>780</v>
      </c>
      <c r="B317" s="212" t="s">
        <v>781</v>
      </c>
      <c r="C317" s="213" t="s">
        <v>215</v>
      </c>
      <c r="D317" s="214" t="s">
        <v>215</v>
      </c>
      <c r="E317" s="213"/>
      <c r="F317" s="213"/>
      <c r="G317" s="213"/>
      <c r="H317" s="213" t="s">
        <v>215</v>
      </c>
      <c r="I317" s="214" t="s">
        <v>215</v>
      </c>
      <c r="J317" s="214"/>
      <c r="K317" s="213" t="s">
        <v>215</v>
      </c>
      <c r="L317" s="213"/>
      <c r="M317" s="214"/>
      <c r="N317" s="213"/>
      <c r="O317" s="214"/>
      <c r="P317" s="213"/>
      <c r="Q317" s="214"/>
      <c r="R317" s="214" t="s">
        <v>215</v>
      </c>
      <c r="S317" s="214"/>
      <c r="T317" s="214"/>
      <c r="U317" s="215">
        <f t="shared" si="857"/>
        <v>6</v>
      </c>
      <c r="V317" s="845" t="s">
        <v>219</v>
      </c>
      <c r="W317" s="216">
        <v>339740</v>
      </c>
      <c r="X317" s="217">
        <v>3.07</v>
      </c>
      <c r="Y317" s="218">
        <f t="shared" si="826"/>
        <v>1.0306999999999999</v>
      </c>
      <c r="Z317" s="196">
        <v>19</v>
      </c>
      <c r="AA317" s="218">
        <f t="shared" si="827"/>
        <v>1.7762874396990105</v>
      </c>
      <c r="AB317" s="196">
        <f t="shared" si="894"/>
        <v>603475.89476334187</v>
      </c>
      <c r="AC317">
        <v>19.2</v>
      </c>
      <c r="AD317" s="196">
        <f t="shared" si="895"/>
        <v>115867.37179456164</v>
      </c>
      <c r="AE317" s="196">
        <f t="shared" si="849"/>
        <v>110074.00320483356</v>
      </c>
      <c r="AF317" s="196">
        <f t="shared" si="858"/>
        <v>110074.00320483356</v>
      </c>
      <c r="AG317" s="606">
        <f t="shared" si="917"/>
        <v>5.0893386742629412E-3</v>
      </c>
      <c r="AH317" s="196">
        <f t="shared" si="873"/>
        <v>30173.794738167097</v>
      </c>
      <c r="AI317" s="248">
        <f t="shared" si="896"/>
        <v>2.3375181606012404E-3</v>
      </c>
      <c r="AJ317" s="196">
        <f t="shared" si="897"/>
        <v>146041.16653272873</v>
      </c>
      <c r="AK317" s="196">
        <f t="shared" si="785"/>
        <v>24139.035790533675</v>
      </c>
      <c r="AL317" s="196">
        <f t="shared" si="786"/>
        <v>24139.035790533675</v>
      </c>
      <c r="AM317" s="196">
        <f t="shared" si="898"/>
        <v>48278.07158106735</v>
      </c>
      <c r="AN317" s="627">
        <f t="shared" si="899"/>
        <v>2.33751816060124E-3</v>
      </c>
      <c r="AO317" s="196">
        <f t="shared" si="900"/>
        <v>22932.084001006991</v>
      </c>
      <c r="AP317" s="589">
        <f t="shared" si="918"/>
        <v>2.33751816060124E-3</v>
      </c>
      <c r="AQ317" s="196"/>
      <c r="AR317" s="589"/>
      <c r="AS317">
        <v>1</v>
      </c>
      <c r="AT317" s="589">
        <f t="shared" si="919"/>
        <v>1.2919896640826874E-3</v>
      </c>
      <c r="AU317" s="271">
        <v>11</v>
      </c>
      <c r="AV317" s="245">
        <f t="shared" si="901"/>
        <v>1.2498579706851495E-3</v>
      </c>
      <c r="AX317" s="245"/>
      <c r="AY317" s="245"/>
      <c r="AZ317" s="271">
        <v>74</v>
      </c>
      <c r="BA317" s="589">
        <f t="shared" si="793"/>
        <v>2.7115166171998097E-3</v>
      </c>
      <c r="BI317" s="196">
        <v>1</v>
      </c>
      <c r="BJ317" s="196">
        <f t="shared" si="859"/>
        <v>335214.36494629487</v>
      </c>
      <c r="BK317" s="246">
        <f t="shared" si="794"/>
        <v>6.3923356919054998E-3</v>
      </c>
      <c r="BL317" s="196">
        <f t="shared" si="874"/>
        <v>6704.2872989258976</v>
      </c>
      <c r="BM317" s="246">
        <f t="shared" si="795"/>
        <v>6.3923349605176745E-3</v>
      </c>
      <c r="BN317" s="196">
        <v>0</v>
      </c>
      <c r="BO317" s="196">
        <f t="shared" si="860"/>
        <v>42943.758568432691</v>
      </c>
      <c r="BP317" s="196">
        <f t="shared" si="902"/>
        <v>0</v>
      </c>
      <c r="BQ317" s="248">
        <f t="shared" si="796"/>
        <v>0</v>
      </c>
      <c r="BR317" s="248"/>
      <c r="BS317" s="248"/>
      <c r="BT317" s="276">
        <v>1</v>
      </c>
      <c r="BU317" s="196">
        <f t="shared" si="875"/>
        <v>91766.958461292816</v>
      </c>
      <c r="BV317" s="264">
        <f t="shared" si="797"/>
        <v>6.3651300598837864E-3</v>
      </c>
      <c r="BW317" s="196">
        <f t="shared" si="876"/>
        <v>392558.65563997487</v>
      </c>
      <c r="BX317" s="247">
        <f t="shared" si="798"/>
        <v>6.3651301172211227E-3</v>
      </c>
      <c r="BY317" s="196">
        <f t="shared" si="833"/>
        <v>484325.61410126765</v>
      </c>
      <c r="BZ317" s="620">
        <v>0</v>
      </c>
      <c r="CA317" s="196">
        <f t="shared" si="861"/>
        <v>184663.62379758261</v>
      </c>
      <c r="CB317" s="196">
        <f t="shared" si="862"/>
        <v>369327.24759516522</v>
      </c>
      <c r="CC317" s="196">
        <f t="shared" si="915"/>
        <v>553990.87139274785</v>
      </c>
      <c r="CD317" s="247">
        <f t="shared" si="903"/>
        <v>2.33751816060124E-3</v>
      </c>
      <c r="CE317" s="196">
        <f t="shared" si="863"/>
        <v>65886.512275229616</v>
      </c>
      <c r="CF317" s="247">
        <f t="shared" si="904"/>
        <v>2.8451845035177229E-3</v>
      </c>
      <c r="CG317" s="196">
        <f t="shared" si="877"/>
        <v>91728.336004027966</v>
      </c>
      <c r="CH317" s="589">
        <f t="shared" si="920"/>
        <v>2.33751816060124E-3</v>
      </c>
      <c r="CI317" s="196">
        <f t="shared" si="864"/>
        <v>186130.415524109</v>
      </c>
      <c r="CJ317" s="248">
        <f t="shared" si="921"/>
        <v>3.0599835587548905E-3</v>
      </c>
      <c r="CK317" s="196">
        <f t="shared" si="865"/>
        <v>148633.05181443514</v>
      </c>
      <c r="CL317" s="589">
        <f t="shared" si="922"/>
        <v>2.1366306923469242E-3</v>
      </c>
      <c r="CM317" s="196">
        <f t="shared" si="866"/>
        <v>14398.833841031845</v>
      </c>
      <c r="CN317" s="589">
        <f t="shared" si="923"/>
        <v>2.0750355942146556E-3</v>
      </c>
      <c r="CO317" s="196">
        <f t="shared" si="867"/>
        <v>1151.8978157517429</v>
      </c>
      <c r="CP317" s="589">
        <f t="shared" si="924"/>
        <v>2.1723018555814305E-3</v>
      </c>
      <c r="CQ317" s="196">
        <f>'Detailed Budget'!$AC$12</f>
        <v>292876014141.44696</v>
      </c>
      <c r="CR317" s="269">
        <f t="shared" si="925"/>
        <v>1872161798.4993913</v>
      </c>
      <c r="CS317" s="269">
        <f>'Detailed Budget'!$AC$16</f>
        <v>10488008800.000002</v>
      </c>
      <c r="CT317" s="607">
        <f t="shared" si="878"/>
        <v>67042865.318457037</v>
      </c>
      <c r="CU317" s="269">
        <f>'Detailed Budget'!$AC$24</f>
        <v>30624985696</v>
      </c>
      <c r="CV317" s="269">
        <f t="shared" si="792"/>
        <v>195765189.12863618</v>
      </c>
      <c r="CW317" s="269"/>
      <c r="CX317" s="269">
        <f t="shared" si="916"/>
        <v>2134969852.9464846</v>
      </c>
      <c r="CY317" s="196">
        <f>'Detailed Budget'!$AC$97</f>
        <v>74629165494.837845</v>
      </c>
      <c r="CZ317" s="269">
        <f t="shared" si="879"/>
        <v>0</v>
      </c>
      <c r="DA317" s="269">
        <f>'Detailed Budget'!$AC$100</f>
        <v>14925833098.967569</v>
      </c>
      <c r="DB317" s="269">
        <f t="shared" si="880"/>
        <v>0</v>
      </c>
      <c r="DC317" s="269">
        <f t="shared" si="905"/>
        <v>0</v>
      </c>
      <c r="DD317" s="207">
        <v>0</v>
      </c>
      <c r="DE317" s="606">
        <v>0</v>
      </c>
      <c r="DF317" s="269">
        <f>'Detailed Budget'!$AC$147</f>
        <v>5913600671000</v>
      </c>
      <c r="DG317" s="269">
        <f t="shared" si="787"/>
        <v>0</v>
      </c>
      <c r="DH317" s="269">
        <f>'Detailed Budget'!$AC$153</f>
        <v>226428026880.00003</v>
      </c>
      <c r="DI317" s="269"/>
      <c r="DJ317" s="269">
        <f>'Detailed Budget'!$AC$156</f>
        <v>27713070000</v>
      </c>
      <c r="DK317" s="269"/>
      <c r="DL317" s="269"/>
      <c r="DM317" s="196">
        <f>'Detailed Budget'!$AC$178</f>
        <v>5622683761.6229038</v>
      </c>
      <c r="DN317" s="269">
        <f t="shared" si="868"/>
        <v>35789113.428326391</v>
      </c>
      <c r="DO317" s="196">
        <f>'Detailed Budget'!$AC$179</f>
        <v>26827890683.128094</v>
      </c>
      <c r="DP317" s="269">
        <f t="shared" si="869"/>
        <v>170763014.9686946</v>
      </c>
      <c r="DQ317" s="269">
        <f t="shared" si="870"/>
        <v>206552128.397021</v>
      </c>
      <c r="DR317" s="269">
        <f>'Detailed Budget'!$AC$181</f>
        <v>50888946855.375237</v>
      </c>
      <c r="DS317" s="269">
        <f t="shared" si="871"/>
        <v>258991085.32357267</v>
      </c>
      <c r="DT317" s="269">
        <f t="shared" si="872"/>
        <v>465543213.72059369</v>
      </c>
      <c r="DU317" s="272">
        <f>'Detailed Budget'!$AC$192</f>
        <v>77498869683.252869</v>
      </c>
      <c r="DV317" s="269">
        <f t="shared" si="881"/>
        <v>0</v>
      </c>
      <c r="DW317" s="140">
        <f>'Detailed Budget'!$AC$194</f>
        <v>2684962805.4134097</v>
      </c>
      <c r="DX317" s="269">
        <f t="shared" si="882"/>
        <v>0</v>
      </c>
      <c r="DY317" s="607">
        <f t="shared" si="906"/>
        <v>0</v>
      </c>
      <c r="DZ317" s="196">
        <f>'Detailed Budget'!$AC$198</f>
        <v>18732540018.380611</v>
      </c>
      <c r="EA317" s="269">
        <f t="shared" si="852"/>
        <v>53297532.571822114</v>
      </c>
      <c r="EB317" s="196">
        <f>'Detailed Budget'!$AC$200</f>
        <v>4683135004.5951529</v>
      </c>
      <c r="EC317" s="269">
        <f t="shared" si="883"/>
        <v>13324383.142955529</v>
      </c>
      <c r="ED317" s="269">
        <f t="shared" si="907"/>
        <v>66621915.714777641</v>
      </c>
      <c r="EE317" s="196">
        <f>'Detailed Budget'!$AC$161</f>
        <v>251147290106.36197</v>
      </c>
      <c r="EF317" s="269">
        <f t="shared" si="884"/>
        <v>587061351.60940921</v>
      </c>
      <c r="EG317" s="196">
        <f>'Detailed Budget'!$AC$163</f>
        <v>15696705631.647623</v>
      </c>
      <c r="EH317" s="269">
        <f t="shared" si="885"/>
        <v>36691334.475588076</v>
      </c>
      <c r="EI317" s="269">
        <f t="shared" si="908"/>
        <v>623752686.0849973</v>
      </c>
      <c r="EJ317" s="196">
        <f>'Detailed Budget'!$AC$204</f>
        <v>45012172507.531975</v>
      </c>
      <c r="EK317" s="269">
        <f t="shared" si="886"/>
        <v>137736507.81688672</v>
      </c>
      <c r="EL317" s="201">
        <f>'Detailed Budget'!$AC$206</f>
        <v>11253043126.882994</v>
      </c>
      <c r="EM317" s="269">
        <f t="shared" si="887"/>
        <v>34434126.954221681</v>
      </c>
      <c r="EN317" s="269">
        <f t="shared" si="909"/>
        <v>172170634.77110839</v>
      </c>
      <c r="EO317" s="140">
        <f>'Detailed Budget'!$AC$209</f>
        <v>135789361677.54817</v>
      </c>
      <c r="EP317" s="269">
        <f t="shared" si="888"/>
        <v>290131717.85444665</v>
      </c>
      <c r="EQ317" s="196">
        <f>'Detailed Budget'!$AC$211</f>
        <v>33947340419.387043</v>
      </c>
      <c r="ER317" s="269">
        <f t="shared" si="889"/>
        <v>72532929.463611662</v>
      </c>
      <c r="ES317" s="269">
        <f t="shared" si="910"/>
        <v>362664647.31805831</v>
      </c>
      <c r="ET317" s="196">
        <f>'Detailed Budget'!$AC$214</f>
        <v>22239745544.201103</v>
      </c>
      <c r="EU317" s="269">
        <f t="shared" si="890"/>
        <v>46148263.610494077</v>
      </c>
      <c r="EV317" s="140">
        <f>'Detailed Budget'!$AC$217</f>
        <v>5559936386.0502758</v>
      </c>
      <c r="EW317" s="269">
        <f t="shared" si="891"/>
        <v>11537065.902623519</v>
      </c>
      <c r="EX317" s="269">
        <f t="shared" si="911"/>
        <v>57685329.513117597</v>
      </c>
      <c r="EY317" s="196">
        <f>'Detailed Budget'!$AC$219</f>
        <v>372777004.58170313</v>
      </c>
      <c r="EZ317" s="269">
        <f t="shared" si="892"/>
        <v>809784.17877092108</v>
      </c>
      <c r="FA317" s="196">
        <f>'Detailed Budget'!$AC$222</f>
        <v>93194251.145425782</v>
      </c>
      <c r="FB317" s="269">
        <f t="shared" si="893"/>
        <v>202446.04469273027</v>
      </c>
      <c r="FC317" s="269">
        <f t="shared" si="912"/>
        <v>1012230.2234636514</v>
      </c>
      <c r="FD317" s="269"/>
      <c r="FE317" s="269">
        <f t="shared" si="913"/>
        <v>593532841.82574797</v>
      </c>
      <c r="FF317" s="140">
        <f>'Detailed Budget'!$AC$165</f>
        <v>14927760000</v>
      </c>
      <c r="FG317" s="1087">
        <f t="shared" si="788"/>
        <v>809618084.47625661</v>
      </c>
      <c r="FH317" s="269">
        <f t="shared" si="853"/>
        <v>18657579.820474949</v>
      </c>
      <c r="FJ317" s="140">
        <f>'Detailed Budget'!$AC$235</f>
        <v>3623696172</v>
      </c>
      <c r="FK317" s="269">
        <f t="shared" si="854"/>
        <v>4681778</v>
      </c>
      <c r="FL317" s="269">
        <f t="shared" si="789"/>
        <v>4681778</v>
      </c>
      <c r="FO317" s="607"/>
      <c r="FP317" s="607"/>
      <c r="FQ317" s="607"/>
      <c r="FR317" s="269">
        <f>'Detailed Budget'!$AC$257</f>
        <v>13636439388</v>
      </c>
      <c r="FS317" s="269">
        <f t="shared" si="855"/>
        <v>36975432</v>
      </c>
      <c r="FT317" s="269">
        <f t="shared" si="790"/>
        <v>36975432</v>
      </c>
      <c r="FU317" s="269"/>
      <c r="FV317" s="269"/>
      <c r="FW317" s="269"/>
      <c r="FX317" s="140">
        <f>'Detailed Budget'!$AC$278</f>
        <v>1114560000</v>
      </c>
      <c r="FY317" s="269">
        <f t="shared" si="856"/>
        <v>1440000</v>
      </c>
      <c r="FZ317" s="269">
        <f t="shared" si="791"/>
        <v>1440000</v>
      </c>
      <c r="GB317" s="269">
        <f t="shared" si="799"/>
        <v>4755793384.5893316</v>
      </c>
      <c r="GC317" s="887">
        <f t="shared" si="914"/>
        <v>2972370.8653683322</v>
      </c>
      <c r="GD317" s="1078">
        <f t="shared" si="800"/>
        <v>2.6686254237606073E-3</v>
      </c>
    </row>
    <row r="318" spans="1:186" hidden="1" outlineLevel="1">
      <c r="A318" s="211" t="s">
        <v>782</v>
      </c>
      <c r="B318" s="212" t="s">
        <v>783</v>
      </c>
      <c r="C318" s="213" t="s">
        <v>215</v>
      </c>
      <c r="D318" s="214" t="s">
        <v>215</v>
      </c>
      <c r="E318" s="213"/>
      <c r="F318" s="213"/>
      <c r="G318" s="213"/>
      <c r="H318" s="213" t="s">
        <v>215</v>
      </c>
      <c r="I318" s="214" t="s">
        <v>215</v>
      </c>
      <c r="J318" s="214"/>
      <c r="K318" s="213" t="s">
        <v>215</v>
      </c>
      <c r="L318" s="213"/>
      <c r="M318" s="214"/>
      <c r="N318" s="213"/>
      <c r="O318" s="214"/>
      <c r="P318" s="213"/>
      <c r="Q318" s="214"/>
      <c r="R318" s="214" t="s">
        <v>215</v>
      </c>
      <c r="S318" s="214"/>
      <c r="T318" s="214"/>
      <c r="U318" s="215">
        <f t="shared" si="857"/>
        <v>6</v>
      </c>
      <c r="V318" s="845" t="s">
        <v>219</v>
      </c>
      <c r="W318" s="216">
        <v>146574</v>
      </c>
      <c r="X318" s="217">
        <v>3.07</v>
      </c>
      <c r="Y318" s="218">
        <f t="shared" si="826"/>
        <v>1.0306999999999999</v>
      </c>
      <c r="Z318" s="196">
        <v>19</v>
      </c>
      <c r="AA318" s="218">
        <f t="shared" si="827"/>
        <v>1.7762874396990105</v>
      </c>
      <c r="AB318" s="196">
        <f t="shared" si="894"/>
        <v>260357.55518644277</v>
      </c>
      <c r="AC318">
        <v>19.2</v>
      </c>
      <c r="AD318" s="196">
        <f t="shared" si="895"/>
        <v>49988.650595797015</v>
      </c>
      <c r="AE318" s="196">
        <f t="shared" si="849"/>
        <v>47489.218066007161</v>
      </c>
      <c r="AF318" s="196">
        <f t="shared" si="858"/>
        <v>47489.218066007161</v>
      </c>
      <c r="AG318" s="606">
        <f t="shared" si="917"/>
        <v>2.195692961798482E-3</v>
      </c>
      <c r="AH318" s="196">
        <f t="shared" si="873"/>
        <v>13017.877759322138</v>
      </c>
      <c r="AI318" s="248">
        <f t="shared" si="896"/>
        <v>1.0084752660033149E-3</v>
      </c>
      <c r="AJ318" s="196">
        <f t="shared" si="897"/>
        <v>63006.528355119153</v>
      </c>
      <c r="AK318" s="196">
        <f t="shared" si="785"/>
        <v>10414.302207457711</v>
      </c>
      <c r="AL318" s="196">
        <f t="shared" si="786"/>
        <v>10414.302207457711</v>
      </c>
      <c r="AM318" s="196">
        <f t="shared" si="898"/>
        <v>20828.604414915422</v>
      </c>
      <c r="AN318" s="627">
        <f t="shared" si="899"/>
        <v>1.0084752660033149E-3</v>
      </c>
      <c r="AO318" s="196">
        <f t="shared" si="900"/>
        <v>9893.5870970848246</v>
      </c>
      <c r="AP318" s="589">
        <f t="shared" si="918"/>
        <v>1.0084752660033146E-3</v>
      </c>
      <c r="AQ318" s="196"/>
      <c r="AR318" s="589"/>
      <c r="AS318">
        <v>1</v>
      </c>
      <c r="AT318" s="589">
        <f t="shared" si="919"/>
        <v>1.2919896640826874E-3</v>
      </c>
      <c r="AU318">
        <v>10</v>
      </c>
      <c r="AV318" s="245">
        <f t="shared" si="901"/>
        <v>1.1362345188046814E-3</v>
      </c>
      <c r="AX318" s="245"/>
      <c r="AY318" s="245"/>
      <c r="AZ318">
        <v>41</v>
      </c>
      <c r="BA318" s="589">
        <f t="shared" si="793"/>
        <v>1.5023267743944891E-3</v>
      </c>
      <c r="BI318" s="196">
        <v>1</v>
      </c>
      <c r="BJ318" s="196">
        <f t="shared" si="859"/>
        <v>144621.50564442872</v>
      </c>
      <c r="BK318" s="246">
        <f t="shared" si="794"/>
        <v>2.7578448569651986E-3</v>
      </c>
      <c r="BL318" s="196">
        <f t="shared" si="874"/>
        <v>2892.4301128885745</v>
      </c>
      <c r="BM318" s="246">
        <f t="shared" si="795"/>
        <v>2.7578445414226096E-3</v>
      </c>
      <c r="BN318" s="196">
        <v>0</v>
      </c>
      <c r="BO318" s="196">
        <f t="shared" si="860"/>
        <v>18527.222194647242</v>
      </c>
      <c r="BP318" s="196">
        <f t="shared" si="902"/>
        <v>0</v>
      </c>
      <c r="BQ318" s="248">
        <f t="shared" si="796"/>
        <v>0</v>
      </c>
      <c r="BR318" s="248"/>
      <c r="BS318" s="248"/>
      <c r="BT318" s="276">
        <v>1</v>
      </c>
      <c r="BU318" s="196">
        <f t="shared" si="875"/>
        <v>39591.011271871241</v>
      </c>
      <c r="BV318" s="264">
        <f t="shared" si="797"/>
        <v>2.7461075334002656E-3</v>
      </c>
      <c r="BW318" s="196">
        <f t="shared" si="876"/>
        <v>169361.54821856032</v>
      </c>
      <c r="BX318" s="247">
        <f t="shared" si="798"/>
        <v>2.7461075581373079E-3</v>
      </c>
      <c r="BY318" s="196">
        <f t="shared" si="833"/>
        <v>208952.55949043157</v>
      </c>
      <c r="BZ318" s="620">
        <v>0</v>
      </c>
      <c r="CA318" s="196">
        <f t="shared" si="861"/>
        <v>79669.411887051509</v>
      </c>
      <c r="CB318" s="196">
        <f t="shared" si="862"/>
        <v>159338.82377410302</v>
      </c>
      <c r="CC318" s="196">
        <f t="shared" si="915"/>
        <v>239008.23566115453</v>
      </c>
      <c r="CD318" s="247">
        <f t="shared" si="903"/>
        <v>1.0084752660033151E-3</v>
      </c>
      <c r="CE318" s="196">
        <f t="shared" si="863"/>
        <v>28425.41252201538</v>
      </c>
      <c r="CF318" s="247">
        <f t="shared" si="904"/>
        <v>1.2274977141891053E-3</v>
      </c>
      <c r="CG318" s="196">
        <f t="shared" si="877"/>
        <v>39574.348388339298</v>
      </c>
      <c r="CH318" s="589">
        <f t="shared" si="920"/>
        <v>1.0084752660033146E-3</v>
      </c>
      <c r="CI318" s="196">
        <f t="shared" si="864"/>
        <v>80302.229719876239</v>
      </c>
      <c r="CJ318" s="248">
        <f t="shared" si="921"/>
        <v>1.3201684527607562E-3</v>
      </c>
      <c r="CK318" s="196">
        <f t="shared" si="865"/>
        <v>64124.745207067215</v>
      </c>
      <c r="CL318" s="589">
        <f t="shared" si="922"/>
        <v>9.2180640224894938E-4</v>
      </c>
      <c r="CM318" s="196">
        <f t="shared" si="866"/>
        <v>6212.0876888661969</v>
      </c>
      <c r="CN318" s="589">
        <f t="shared" si="923"/>
        <v>8.9523243417442442E-4</v>
      </c>
      <c r="CO318" s="196">
        <f t="shared" si="867"/>
        <v>496.96317903689874</v>
      </c>
      <c r="CP318" s="589">
        <f t="shared" si="924"/>
        <v>9.3719600924234013E-4</v>
      </c>
      <c r="CQ318" s="196">
        <f>'Detailed Budget'!$AC$12</f>
        <v>292876014141.44696</v>
      </c>
      <c r="CR318" s="269">
        <f t="shared" si="925"/>
        <v>807706609.32845628</v>
      </c>
      <c r="CS318" s="269">
        <f>'Detailed Budget'!$AC$16</f>
        <v>10488008800.000002</v>
      </c>
      <c r="CT318" s="607">
        <f t="shared" si="878"/>
        <v>28924297.819472298</v>
      </c>
      <c r="CU318" s="269">
        <f>'Detailed Budget'!$AC$24</f>
        <v>30624985696</v>
      </c>
      <c r="CV318" s="269">
        <f t="shared" si="792"/>
        <v>84458959.296346381</v>
      </c>
      <c r="CW318" s="269"/>
      <c r="CX318" s="269">
        <f t="shared" si="916"/>
        <v>921089866.44427502</v>
      </c>
      <c r="CY318" s="196">
        <f>'Detailed Budget'!$AC$97</f>
        <v>74629165494.837845</v>
      </c>
      <c r="CZ318" s="269">
        <f t="shared" si="879"/>
        <v>0</v>
      </c>
      <c r="DA318" s="269">
        <f>'Detailed Budget'!$AC$100</f>
        <v>14925833098.967569</v>
      </c>
      <c r="DB318" s="269">
        <f t="shared" si="880"/>
        <v>0</v>
      </c>
      <c r="DC318" s="269">
        <f t="shared" si="905"/>
        <v>0</v>
      </c>
      <c r="DD318" s="207">
        <v>0</v>
      </c>
      <c r="DE318" s="606">
        <v>0</v>
      </c>
      <c r="DF318" s="269">
        <f>'Detailed Budget'!$AC$147</f>
        <v>5913600671000</v>
      </c>
      <c r="DG318" s="269">
        <f t="shared" si="787"/>
        <v>0</v>
      </c>
      <c r="DH318" s="269">
        <f>'Detailed Budget'!$AC$153</f>
        <v>226428026880.00003</v>
      </c>
      <c r="DI318" s="269"/>
      <c r="DJ318" s="269">
        <f>'Detailed Budget'!$AC$156</f>
        <v>27713070000</v>
      </c>
      <c r="DK318" s="269"/>
      <c r="DL318" s="269"/>
      <c r="DM318" s="196">
        <f>'Detailed Budget'!$AC$178</f>
        <v>5622683761.6229038</v>
      </c>
      <c r="DN318" s="269">
        <f t="shared" si="868"/>
        <v>15440494.235719999</v>
      </c>
      <c r="DO318" s="196">
        <f>'Detailed Budget'!$AC$179</f>
        <v>26827890683.128094</v>
      </c>
      <c r="DP318" s="269">
        <f t="shared" si="869"/>
        <v>73672273.373819515</v>
      </c>
      <c r="DQ318" s="269">
        <f t="shared" si="870"/>
        <v>89112767.609539509</v>
      </c>
      <c r="DR318" s="269">
        <f>'Detailed Budget'!$AC$181</f>
        <v>50888946855.375237</v>
      </c>
      <c r="DS318" s="269">
        <f t="shared" si="871"/>
        <v>111736502.4436844</v>
      </c>
      <c r="DT318" s="269">
        <f t="shared" si="872"/>
        <v>200849270.05322391</v>
      </c>
      <c r="DU318" s="272">
        <f>'Detailed Budget'!$AC$192</f>
        <v>77498869683.252869</v>
      </c>
      <c r="DV318" s="269">
        <f t="shared" si="881"/>
        <v>0</v>
      </c>
      <c r="DW318" s="140">
        <f>'Detailed Budget'!$AC$194</f>
        <v>2684962805.4134097</v>
      </c>
      <c r="DX318" s="269">
        <f t="shared" si="882"/>
        <v>0</v>
      </c>
      <c r="DY318" s="607">
        <f t="shared" si="906"/>
        <v>0</v>
      </c>
      <c r="DZ318" s="196">
        <f>'Detailed Budget'!$AC$198</f>
        <v>18732540018.380611</v>
      </c>
      <c r="EA318" s="269">
        <f t="shared" si="852"/>
        <v>22994150.053518143</v>
      </c>
      <c r="EB318" s="196">
        <f>'Detailed Budget'!$AC$200</f>
        <v>4683135004.5951529</v>
      </c>
      <c r="EC318" s="269">
        <f t="shared" si="883"/>
        <v>5748537.5133795356</v>
      </c>
      <c r="ED318" s="269">
        <f t="shared" si="907"/>
        <v>28742687.566897679</v>
      </c>
      <c r="EE318" s="196">
        <f>'Detailed Budget'!$AC$161</f>
        <v>251147290106.36197</v>
      </c>
      <c r="EF318" s="269">
        <f t="shared" si="884"/>
        <v>253275830.19602501</v>
      </c>
      <c r="EG318" s="196">
        <f>'Detailed Budget'!$AC$163</f>
        <v>15696705631.647623</v>
      </c>
      <c r="EH318" s="269">
        <f t="shared" si="885"/>
        <v>15829739.387251563</v>
      </c>
      <c r="EI318" s="269">
        <f t="shared" si="908"/>
        <v>269105569.58327657</v>
      </c>
      <c r="EJ318" s="196">
        <f>'Detailed Budget'!$AC$204</f>
        <v>45012172507.531975</v>
      </c>
      <c r="EK318" s="269">
        <f t="shared" si="886"/>
        <v>59423650.134668738</v>
      </c>
      <c r="EL318" s="201">
        <f>'Detailed Budget'!$AC$206</f>
        <v>11253043126.882994</v>
      </c>
      <c r="EM318" s="269">
        <f t="shared" si="887"/>
        <v>14855912.533667184</v>
      </c>
      <c r="EN318" s="269">
        <f t="shared" si="909"/>
        <v>74279562.668335915</v>
      </c>
      <c r="EO318" s="140">
        <f>'Detailed Budget'!$AC$209</f>
        <v>135789361677.54817</v>
      </c>
      <c r="EP318" s="269">
        <f t="shared" si="888"/>
        <v>125171502.95166205</v>
      </c>
      <c r="EQ318" s="196">
        <f>'Detailed Budget'!$AC$211</f>
        <v>33947340419.387043</v>
      </c>
      <c r="ER318" s="269">
        <f t="shared" si="889"/>
        <v>31292875.737915512</v>
      </c>
      <c r="ES318" s="269">
        <f t="shared" si="910"/>
        <v>156464378.68957755</v>
      </c>
      <c r="ET318" s="196">
        <f>'Detailed Budget'!$AC$214</f>
        <v>22239745544.201103</v>
      </c>
      <c r="EU318" s="269">
        <f t="shared" si="890"/>
        <v>19909741.538954962</v>
      </c>
      <c r="EV318" s="140">
        <f>'Detailed Budget'!$AC$217</f>
        <v>5559936386.0502758</v>
      </c>
      <c r="EW318" s="269">
        <f t="shared" si="891"/>
        <v>4977435.3847387405</v>
      </c>
      <c r="EX318" s="269">
        <f t="shared" si="911"/>
        <v>24887176.923693702</v>
      </c>
      <c r="EY318" s="196">
        <f>'Detailed Budget'!$AC$219</f>
        <v>372777004.58170313</v>
      </c>
      <c r="EZ318" s="269">
        <f t="shared" si="892"/>
        <v>349365.12103128573</v>
      </c>
      <c r="FA318" s="196">
        <f>'Detailed Budget'!$AC$222</f>
        <v>93194251.145425782</v>
      </c>
      <c r="FB318" s="269">
        <f t="shared" si="893"/>
        <v>87341.280257821432</v>
      </c>
      <c r="FC318" s="269">
        <f t="shared" si="912"/>
        <v>436706.40128910716</v>
      </c>
      <c r="FD318" s="269"/>
      <c r="FE318" s="269">
        <f t="shared" si="913"/>
        <v>256067824.68289626</v>
      </c>
      <c r="FF318" s="140">
        <f>'Detailed Budget'!$AC$165</f>
        <v>14927760000</v>
      </c>
      <c r="FG318" s="1087">
        <f t="shared" si="788"/>
        <v>349293462.98352516</v>
      </c>
      <c r="FH318" s="269">
        <f t="shared" si="853"/>
        <v>16961436.200431772</v>
      </c>
      <c r="FJ318" s="140">
        <f>'Detailed Budget'!$AC$235</f>
        <v>3623696172</v>
      </c>
      <c r="FK318" s="269">
        <f t="shared" si="854"/>
        <v>4681778</v>
      </c>
      <c r="FL318" s="269">
        <f t="shared" si="789"/>
        <v>4681778</v>
      </c>
      <c r="FO318" s="607"/>
      <c r="FP318" s="607"/>
      <c r="FQ318" s="607"/>
      <c r="FR318" s="269">
        <f>'Detailed Budget'!$AC$257</f>
        <v>13636439388</v>
      </c>
      <c r="FS318" s="269">
        <f t="shared" si="855"/>
        <v>20486388</v>
      </c>
      <c r="FT318" s="269">
        <f t="shared" si="790"/>
        <v>20486388</v>
      </c>
      <c r="FU318" s="269"/>
      <c r="FV318" s="269"/>
      <c r="FW318" s="269"/>
      <c r="FX318" s="140">
        <f>'Detailed Budget'!$AC$278</f>
        <v>1114560000</v>
      </c>
      <c r="FY318" s="269">
        <f t="shared" si="856"/>
        <v>1440000</v>
      </c>
      <c r="FZ318" s="269">
        <f t="shared" si="791"/>
        <v>1440000</v>
      </c>
      <c r="GB318" s="269">
        <f t="shared" si="799"/>
        <v>2068718283.5145264</v>
      </c>
      <c r="GC318" s="887">
        <f t="shared" si="914"/>
        <v>1292948.9271965791</v>
      </c>
      <c r="GD318" s="1078">
        <f t="shared" si="800"/>
        <v>1.1608229709630209E-3</v>
      </c>
    </row>
    <row r="319" spans="1:186" hidden="1" outlineLevel="1">
      <c r="A319" s="211" t="s">
        <v>784</v>
      </c>
      <c r="B319" s="212" t="s">
        <v>785</v>
      </c>
      <c r="C319" s="213" t="s">
        <v>215</v>
      </c>
      <c r="D319" s="214" t="s">
        <v>215</v>
      </c>
      <c r="E319" s="213"/>
      <c r="F319" s="213"/>
      <c r="G319" s="213"/>
      <c r="H319" s="213" t="s">
        <v>215</v>
      </c>
      <c r="I319" s="214" t="s">
        <v>215</v>
      </c>
      <c r="J319" s="214"/>
      <c r="K319" s="213" t="s">
        <v>215</v>
      </c>
      <c r="L319" s="213"/>
      <c r="M319" s="214"/>
      <c r="N319" s="213"/>
      <c r="O319" s="214"/>
      <c r="P319" s="213"/>
      <c r="Q319" s="214" t="s">
        <v>215</v>
      </c>
      <c r="R319" s="214"/>
      <c r="S319" s="214"/>
      <c r="T319" s="214"/>
      <c r="U319" s="215">
        <f t="shared" si="857"/>
        <v>6</v>
      </c>
      <c r="V319" s="845" t="s">
        <v>265</v>
      </c>
      <c r="W319" s="216">
        <v>291358</v>
      </c>
      <c r="X319" s="217">
        <v>3.07</v>
      </c>
      <c r="Y319" s="218">
        <f t="shared" si="826"/>
        <v>1.0306999999999999</v>
      </c>
      <c r="Z319" s="196">
        <v>19</v>
      </c>
      <c r="AA319" s="218">
        <f t="shared" si="827"/>
        <v>1.7762874396990105</v>
      </c>
      <c r="AB319" s="196">
        <f t="shared" si="894"/>
        <v>517535.55585582432</v>
      </c>
      <c r="AC319">
        <v>19.2</v>
      </c>
      <c r="AD319" s="196">
        <f t="shared" si="895"/>
        <v>99366.826724318264</v>
      </c>
      <c r="AE319" s="196">
        <f t="shared" si="849"/>
        <v>94398.485388102345</v>
      </c>
      <c r="AF319" s="196">
        <f t="shared" si="858"/>
        <v>94398.485388102345</v>
      </c>
      <c r="AG319" s="606">
        <f t="shared" si="917"/>
        <v>4.3645715472299456E-3</v>
      </c>
      <c r="AH319" s="196">
        <f t="shared" si="873"/>
        <v>25876.777792791218</v>
      </c>
      <c r="AI319" s="248">
        <f t="shared" si="896"/>
        <v>2.0046347684595754E-3</v>
      </c>
      <c r="AJ319" s="196">
        <f t="shared" si="897"/>
        <v>125243.60451710949</v>
      </c>
      <c r="AK319" s="196">
        <f t="shared" si="785"/>
        <v>20701.422234232974</v>
      </c>
      <c r="AL319" s="196">
        <f t="shared" si="786"/>
        <v>20701.422234232974</v>
      </c>
      <c r="AM319" s="196">
        <f t="shared" si="898"/>
        <v>41402.844468465948</v>
      </c>
      <c r="AN319" s="627">
        <f t="shared" si="899"/>
        <v>2.0046347684595754E-3</v>
      </c>
      <c r="AO319" s="196">
        <f t="shared" si="900"/>
        <v>19666.351122521322</v>
      </c>
      <c r="AP319" s="589">
        <f t="shared" si="918"/>
        <v>2.004634768459575E-3</v>
      </c>
      <c r="AQ319" s="196"/>
      <c r="AR319" s="589"/>
      <c r="AS319">
        <v>1</v>
      </c>
      <c r="AT319" s="589">
        <f t="shared" si="919"/>
        <v>1.2919896640826874E-3</v>
      </c>
      <c r="AU319">
        <v>11</v>
      </c>
      <c r="AV319" s="245">
        <f t="shared" si="901"/>
        <v>1.2498579706851495E-3</v>
      </c>
      <c r="AX319" s="245"/>
      <c r="AY319" s="245"/>
      <c r="AZ319">
        <v>31</v>
      </c>
      <c r="BA319" s="589">
        <f t="shared" si="793"/>
        <v>1.1359056099080284E-3</v>
      </c>
      <c r="BI319" s="196">
        <v>1</v>
      </c>
      <c r="BJ319" s="196">
        <f t="shared" si="859"/>
        <v>287476.85566027719</v>
      </c>
      <c r="BK319" s="246">
        <f t="shared" si="794"/>
        <v>5.4820101916824701E-3</v>
      </c>
      <c r="BL319" s="196">
        <f t="shared" si="874"/>
        <v>5749.5371132055434</v>
      </c>
      <c r="BM319" s="246">
        <f t="shared" si="795"/>
        <v>5.4820095644507807E-3</v>
      </c>
      <c r="BN319" s="196">
        <v>0</v>
      </c>
      <c r="BO319" s="196">
        <f t="shared" si="860"/>
        <v>36828.185109146441</v>
      </c>
      <c r="BP319" s="196">
        <f t="shared" si="902"/>
        <v>0</v>
      </c>
      <c r="BQ319" s="248">
        <f t="shared" si="796"/>
        <v>0</v>
      </c>
      <c r="BR319" s="248"/>
      <c r="BS319" s="248"/>
      <c r="BT319" s="276">
        <v>1</v>
      </c>
      <c r="BU319" s="196">
        <f t="shared" si="875"/>
        <v>78698.526765660077</v>
      </c>
      <c r="BV319" s="264">
        <f t="shared" si="797"/>
        <v>5.4586788838159195E-3</v>
      </c>
      <c r="BW319" s="196">
        <f t="shared" si="876"/>
        <v>336654.80894199031</v>
      </c>
      <c r="BX319" s="247">
        <f t="shared" si="798"/>
        <v>5.4586789329879072E-3</v>
      </c>
      <c r="BY319" s="196">
        <f t="shared" si="833"/>
        <v>415353.3357076504</v>
      </c>
      <c r="BZ319" s="620">
        <v>0</v>
      </c>
      <c r="CA319" s="196">
        <f t="shared" si="861"/>
        <v>158365.88009188225</v>
      </c>
      <c r="CB319" s="196">
        <f t="shared" si="862"/>
        <v>316731.76018376451</v>
      </c>
      <c r="CC319" s="196">
        <f t="shared" si="915"/>
        <v>475097.64027564676</v>
      </c>
      <c r="CD319" s="247">
        <f t="shared" si="903"/>
        <v>2.0046347684595754E-3</v>
      </c>
      <c r="CE319" s="196">
        <f t="shared" si="863"/>
        <v>56503.686476382973</v>
      </c>
      <c r="CF319" s="247">
        <f t="shared" si="904"/>
        <v>2.4400049054450952E-3</v>
      </c>
      <c r="CG319" s="196">
        <f t="shared" si="877"/>
        <v>78665.40449008529</v>
      </c>
      <c r="CH319" s="589">
        <f t="shared" si="920"/>
        <v>2.004634768459575E-3</v>
      </c>
      <c r="CI319" s="196">
        <f t="shared" si="864"/>
        <v>159623.78762074924</v>
      </c>
      <c r="CJ319" s="248">
        <f t="shared" si="921"/>
        <v>2.6242146633063735E-3</v>
      </c>
      <c r="CK319" s="196">
        <f t="shared" si="865"/>
        <v>127466.38226452636</v>
      </c>
      <c r="CL319" s="589">
        <f t="shared" si="922"/>
        <v>1.8323554637688087E-3</v>
      </c>
      <c r="CM319" s="196">
        <f t="shared" si="866"/>
        <v>12348.311739139801</v>
      </c>
      <c r="CN319" s="589">
        <f t="shared" si="923"/>
        <v>1.7795320558638772E-3</v>
      </c>
      <c r="CO319" s="196">
        <f t="shared" si="867"/>
        <v>987.85731383350878</v>
      </c>
      <c r="CP319" s="589">
        <f t="shared" si="924"/>
        <v>1.8629467358524002E-3</v>
      </c>
      <c r="CQ319" s="196">
        <f>'Detailed Budget'!$AC$12</f>
        <v>292876014141.44696</v>
      </c>
      <c r="CR319" s="269">
        <f t="shared" si="925"/>
        <v>1605549294.4227514</v>
      </c>
      <c r="CS319" s="269">
        <f>'Detailed Budget'!$AC$16</f>
        <v>10488008800.000002</v>
      </c>
      <c r="CT319" s="607">
        <f t="shared" si="878"/>
        <v>57495364.553643964</v>
      </c>
      <c r="CU319" s="269">
        <f>'Detailed Budget'!$AC$24</f>
        <v>30624985696</v>
      </c>
      <c r="CV319" s="269">
        <f t="shared" si="792"/>
        <v>167886483.70560187</v>
      </c>
      <c r="CW319" s="269"/>
      <c r="CX319" s="269">
        <f t="shared" si="916"/>
        <v>1830931142.6819973</v>
      </c>
      <c r="CY319" s="196">
        <f>'Detailed Budget'!$AC$97</f>
        <v>74629165494.837845</v>
      </c>
      <c r="CZ319" s="269">
        <f t="shared" si="879"/>
        <v>0</v>
      </c>
      <c r="DA319" s="269">
        <f>'Detailed Budget'!$AC$100</f>
        <v>14925833098.967569</v>
      </c>
      <c r="DB319" s="269">
        <f t="shared" si="880"/>
        <v>0</v>
      </c>
      <c r="DC319" s="269">
        <f t="shared" si="905"/>
        <v>0</v>
      </c>
      <c r="DD319" s="207">
        <v>0</v>
      </c>
      <c r="DE319" s="606">
        <v>0</v>
      </c>
      <c r="DF319" s="269">
        <f>'Detailed Budget'!$AC$147</f>
        <v>5913600671000</v>
      </c>
      <c r="DG319" s="269">
        <f t="shared" si="787"/>
        <v>0</v>
      </c>
      <c r="DH319" s="269">
        <f>'Detailed Budget'!$AC$153</f>
        <v>226428026880.00003</v>
      </c>
      <c r="DI319" s="269"/>
      <c r="DJ319" s="269">
        <f>'Detailed Budget'!$AC$156</f>
        <v>27713070000</v>
      </c>
      <c r="DK319" s="269"/>
      <c r="DL319" s="269"/>
      <c r="DM319" s="196">
        <f>'Detailed Budget'!$AC$178</f>
        <v>5622683761.6229038</v>
      </c>
      <c r="DN319" s="269">
        <f t="shared" si="868"/>
        <v>30692425.119945608</v>
      </c>
      <c r="DO319" s="196">
        <f>'Detailed Budget'!$AC$179</f>
        <v>26827890683.128094</v>
      </c>
      <c r="DP319" s="269">
        <f t="shared" si="869"/>
        <v>146444841.68849388</v>
      </c>
      <c r="DQ319" s="269">
        <f t="shared" si="870"/>
        <v>177137266.80843949</v>
      </c>
      <c r="DR319" s="269">
        <f>'Detailed Budget'!$AC$181</f>
        <v>50888946855.375237</v>
      </c>
      <c r="DS319" s="269">
        <f t="shared" si="871"/>
        <v>222108449.51346758</v>
      </c>
      <c r="DT319" s="269">
        <f t="shared" si="872"/>
        <v>399245716.32190704</v>
      </c>
      <c r="DU319" s="272">
        <f>'Detailed Budget'!$AC$192</f>
        <v>77498869683.252869</v>
      </c>
      <c r="DV319" s="269">
        <f t="shared" si="881"/>
        <v>0</v>
      </c>
      <c r="DW319" s="140">
        <f>'Detailed Budget'!$AC$194</f>
        <v>2684962805.4134097</v>
      </c>
      <c r="DX319" s="269">
        <f t="shared" si="882"/>
        <v>0</v>
      </c>
      <c r="DY319" s="607">
        <f t="shared" si="906"/>
        <v>0</v>
      </c>
      <c r="DZ319" s="196">
        <f>'Detailed Budget'!$AC$198</f>
        <v>18732540018.380611</v>
      </c>
      <c r="EA319" s="269">
        <f t="shared" si="852"/>
        <v>45707489.536295243</v>
      </c>
      <c r="EB319" s="196">
        <f>'Detailed Budget'!$AC$200</f>
        <v>4683135004.5951529</v>
      </c>
      <c r="EC319" s="269">
        <f t="shared" si="883"/>
        <v>11426872.384073811</v>
      </c>
      <c r="ED319" s="269">
        <f t="shared" si="907"/>
        <v>57134361.920369051</v>
      </c>
      <c r="EE319" s="196">
        <f>'Detailed Budget'!$AC$161</f>
        <v>251147290106.36197</v>
      </c>
      <c r="EF319" s="269">
        <f t="shared" si="884"/>
        <v>503458589.75161666</v>
      </c>
      <c r="EG319" s="196">
        <f>'Detailed Budget'!$AC$163</f>
        <v>15696705631.647623</v>
      </c>
      <c r="EH319" s="269">
        <f t="shared" si="885"/>
        <v>31466161.859476041</v>
      </c>
      <c r="EI319" s="269">
        <f t="shared" si="908"/>
        <v>534924751.61109269</v>
      </c>
      <c r="EJ319" s="196">
        <f>'Detailed Budget'!$AC$204</f>
        <v>45012172507.531975</v>
      </c>
      <c r="EK319" s="269">
        <f t="shared" si="886"/>
        <v>118121603.12154143</v>
      </c>
      <c r="EL319" s="201">
        <f>'Detailed Budget'!$AC$206</f>
        <v>11253043126.882994</v>
      </c>
      <c r="EM319" s="269">
        <f t="shared" si="887"/>
        <v>29530400.780385356</v>
      </c>
      <c r="EN319" s="269">
        <f t="shared" si="909"/>
        <v>147652003.90192679</v>
      </c>
      <c r="EO319" s="140">
        <f>'Detailed Budget'!$AC$209</f>
        <v>135789361677.54817</v>
      </c>
      <c r="EP319" s="269">
        <f t="shared" si="888"/>
        <v>248814378.79153427</v>
      </c>
      <c r="EQ319" s="196">
        <f>'Detailed Budget'!$AC$211</f>
        <v>33947340419.387043</v>
      </c>
      <c r="ER319" s="269">
        <f t="shared" si="889"/>
        <v>62203594.697883569</v>
      </c>
      <c r="ES319" s="269">
        <f t="shared" si="910"/>
        <v>311017973.48941785</v>
      </c>
      <c r="ET319" s="196">
        <f>'Detailed Budget'!$AC$214</f>
        <v>22239745544.201103</v>
      </c>
      <c r="EU319" s="269">
        <f t="shared" si="890"/>
        <v>39576340.110161692</v>
      </c>
      <c r="EV319" s="140">
        <f>'Detailed Budget'!$AC$217</f>
        <v>5559936386.0502758</v>
      </c>
      <c r="EW319" s="269">
        <f t="shared" si="891"/>
        <v>9894085.027540423</v>
      </c>
      <c r="EX319" s="269">
        <f t="shared" si="911"/>
        <v>49470425.137702115</v>
      </c>
      <c r="EY319" s="196">
        <f>'Detailed Budget'!$AC$219</f>
        <v>372777004.58170313</v>
      </c>
      <c r="EZ319" s="269">
        <f t="shared" si="892"/>
        <v>694463.70388631907</v>
      </c>
      <c r="FA319" s="196">
        <f>'Detailed Budget'!$AC$222</f>
        <v>93194251.145425782</v>
      </c>
      <c r="FB319" s="269">
        <f t="shared" si="893"/>
        <v>173615.92597157977</v>
      </c>
      <c r="FC319" s="269">
        <f t="shared" si="912"/>
        <v>868079.62985789881</v>
      </c>
      <c r="FD319" s="269"/>
      <c r="FE319" s="269">
        <f t="shared" si="913"/>
        <v>509008482.15890467</v>
      </c>
      <c r="FF319" s="140">
        <f>'Detailed Budget'!$AC$165</f>
        <v>14927760000</v>
      </c>
      <c r="FG319" s="1087">
        <f t="shared" si="788"/>
        <v>694321262.89760756</v>
      </c>
      <c r="FH319" s="269">
        <f t="shared" si="853"/>
        <v>18657579.820474949</v>
      </c>
      <c r="FJ319" s="140">
        <f>'Detailed Budget'!$AC$235</f>
        <v>3623696172</v>
      </c>
      <c r="FK319" s="269">
        <f t="shared" si="854"/>
        <v>4681778</v>
      </c>
      <c r="FL319" s="269">
        <f t="shared" si="789"/>
        <v>4681778</v>
      </c>
      <c r="FO319" s="607"/>
      <c r="FP319" s="607"/>
      <c r="FQ319" s="607"/>
      <c r="FR319" s="269">
        <f>'Detailed Budget'!$AC$257</f>
        <v>13636439388</v>
      </c>
      <c r="FS319" s="269">
        <f t="shared" si="855"/>
        <v>15489708.000000002</v>
      </c>
      <c r="FT319" s="269">
        <f t="shared" si="790"/>
        <v>15489708.000000002</v>
      </c>
      <c r="FU319" s="269"/>
      <c r="FV319" s="269"/>
      <c r="FW319" s="269"/>
      <c r="FX319" s="140">
        <f>'Detailed Budget'!$AC$278</f>
        <v>1114560000</v>
      </c>
      <c r="FY319" s="269">
        <f t="shared" si="856"/>
        <v>1440000</v>
      </c>
      <c r="FZ319" s="269">
        <f t="shared" si="791"/>
        <v>1440000</v>
      </c>
      <c r="GB319" s="269">
        <f t="shared" si="799"/>
        <v>4065834783.412353</v>
      </c>
      <c r="GC319" s="887">
        <f t="shared" si="914"/>
        <v>2541146.7396327206</v>
      </c>
      <c r="GD319" s="1078">
        <f t="shared" si="800"/>
        <v>2.2814679264627756E-3</v>
      </c>
    </row>
    <row r="320" spans="1:186" hidden="1" outlineLevel="1">
      <c r="A320" s="211" t="s">
        <v>786</v>
      </c>
      <c r="B320" s="212" t="s">
        <v>787</v>
      </c>
      <c r="C320" s="213" t="s">
        <v>215</v>
      </c>
      <c r="D320" s="214" t="s">
        <v>215</v>
      </c>
      <c r="E320" s="213"/>
      <c r="F320" s="213"/>
      <c r="G320" s="213"/>
      <c r="H320" s="213" t="s">
        <v>215</v>
      </c>
      <c r="I320" s="214" t="s">
        <v>215</v>
      </c>
      <c r="J320" s="214"/>
      <c r="K320" s="213" t="s">
        <v>215</v>
      </c>
      <c r="L320" s="213"/>
      <c r="M320" s="214"/>
      <c r="N320" s="213"/>
      <c r="O320" s="214"/>
      <c r="P320" s="213"/>
      <c r="Q320" s="214"/>
      <c r="R320" s="214" t="s">
        <v>215</v>
      </c>
      <c r="S320" s="214"/>
      <c r="T320" s="214"/>
      <c r="U320" s="215">
        <f t="shared" si="857"/>
        <v>6</v>
      </c>
      <c r="V320" s="845" t="s">
        <v>219</v>
      </c>
      <c r="W320" s="216">
        <v>151485</v>
      </c>
      <c r="X320" s="217">
        <v>3.07</v>
      </c>
      <c r="Y320" s="218">
        <f t="shared" si="826"/>
        <v>1.0306999999999999</v>
      </c>
      <c r="Z320" s="196">
        <v>19</v>
      </c>
      <c r="AA320" s="218">
        <f t="shared" si="827"/>
        <v>1.7762874396990105</v>
      </c>
      <c r="AB320" s="196">
        <f t="shared" si="894"/>
        <v>269080.9028028046</v>
      </c>
      <c r="AC320">
        <v>19.2</v>
      </c>
      <c r="AD320" s="196">
        <f t="shared" si="895"/>
        <v>51663.533338138477</v>
      </c>
      <c r="AE320" s="196">
        <f t="shared" si="849"/>
        <v>49080.356671231551</v>
      </c>
      <c r="AF320" s="196">
        <f t="shared" si="858"/>
        <v>49080.356671231551</v>
      </c>
      <c r="AG320" s="606">
        <f t="shared" si="917"/>
        <v>2.2692602256746968E-3</v>
      </c>
      <c r="AH320" s="196">
        <f t="shared" si="873"/>
        <v>13454.045140140232</v>
      </c>
      <c r="AI320" s="248">
        <f t="shared" si="896"/>
        <v>1.0422644921371604E-3</v>
      </c>
      <c r="AJ320" s="196">
        <f t="shared" si="897"/>
        <v>65117.578478278709</v>
      </c>
      <c r="AK320" s="196">
        <f t="shared" si="785"/>
        <v>10763.236112112185</v>
      </c>
      <c r="AL320" s="196">
        <f t="shared" si="786"/>
        <v>10763.236112112185</v>
      </c>
      <c r="AM320" s="196">
        <f t="shared" si="898"/>
        <v>21526.47222422437</v>
      </c>
      <c r="AN320" s="627">
        <f t="shared" si="899"/>
        <v>1.0422644921371604E-3</v>
      </c>
      <c r="AO320" s="196">
        <f t="shared" si="900"/>
        <v>10225.074306506574</v>
      </c>
      <c r="AP320" s="589">
        <f t="shared" si="918"/>
        <v>1.0422644921371602E-3</v>
      </c>
      <c r="AQ320" s="196"/>
      <c r="AR320" s="589"/>
      <c r="AS320">
        <v>1</v>
      </c>
      <c r="AT320" s="589">
        <f t="shared" si="919"/>
        <v>1.2919896640826874E-3</v>
      </c>
      <c r="AU320">
        <v>11</v>
      </c>
      <c r="AV320" s="245">
        <f t="shared" si="901"/>
        <v>1.2498579706851495E-3</v>
      </c>
      <c r="AX320" s="245"/>
      <c r="AY320" s="245"/>
      <c r="AZ320">
        <v>52</v>
      </c>
      <c r="BA320" s="589">
        <f t="shared" si="793"/>
        <v>1.9053900553295958E-3</v>
      </c>
      <c r="BI320" s="196">
        <v>1</v>
      </c>
      <c r="BJ320" s="196">
        <f t="shared" si="859"/>
        <v>149467.08681312023</v>
      </c>
      <c r="BK320" s="246">
        <f t="shared" si="794"/>
        <v>2.8502471663280874E-3</v>
      </c>
      <c r="BL320" s="196">
        <f t="shared" si="874"/>
        <v>2989.3417362624045</v>
      </c>
      <c r="BM320" s="246">
        <f t="shared" si="795"/>
        <v>2.8502468402131619E-3</v>
      </c>
      <c r="BN320" s="196">
        <v>0</v>
      </c>
      <c r="BO320" s="196">
        <f t="shared" si="860"/>
        <v>19147.98159398077</v>
      </c>
      <c r="BP320" s="196">
        <f t="shared" si="902"/>
        <v>0</v>
      </c>
      <c r="BQ320" s="248">
        <f t="shared" si="796"/>
        <v>0</v>
      </c>
      <c r="BR320" s="248"/>
      <c r="BS320" s="248"/>
      <c r="BT320" s="276">
        <v>1</v>
      </c>
      <c r="BU320" s="196">
        <f t="shared" si="875"/>
        <v>40917.518403805676</v>
      </c>
      <c r="BV320" s="264">
        <f t="shared" si="797"/>
        <v>2.8381165806837445E-3</v>
      </c>
      <c r="BW320" s="196">
        <f t="shared" si="876"/>
        <v>175036.05094961319</v>
      </c>
      <c r="BX320" s="247">
        <f t="shared" si="798"/>
        <v>2.8381166062496073E-3</v>
      </c>
      <c r="BY320" s="196">
        <f t="shared" si="833"/>
        <v>215953.56935341886</v>
      </c>
      <c r="BZ320" s="620">
        <v>0</v>
      </c>
      <c r="CA320" s="196">
        <f t="shared" si="861"/>
        <v>82338.756257658213</v>
      </c>
      <c r="CB320" s="196">
        <f t="shared" si="862"/>
        <v>164677.51251531643</v>
      </c>
      <c r="CC320" s="196">
        <f t="shared" si="915"/>
        <v>247016.26877297464</v>
      </c>
      <c r="CD320" s="247">
        <f t="shared" si="903"/>
        <v>1.0422644921371604E-3</v>
      </c>
      <c r="CE320" s="196">
        <f t="shared" si="863"/>
        <v>29377.813363198795</v>
      </c>
      <c r="CF320" s="247">
        <f t="shared" si="904"/>
        <v>1.2686253444262737E-3</v>
      </c>
      <c r="CG320" s="196">
        <f t="shared" si="877"/>
        <v>40900.297226026298</v>
      </c>
      <c r="CH320" s="589">
        <f t="shared" si="920"/>
        <v>1.0422644921371602E-3</v>
      </c>
      <c r="CI320" s="196">
        <f t="shared" si="864"/>
        <v>82992.776816594007</v>
      </c>
      <c r="CJ320" s="248">
        <f t="shared" si="921"/>
        <v>1.3644010402012849E-3</v>
      </c>
      <c r="CK320" s="196">
        <f t="shared" si="865"/>
        <v>66273.261476746047</v>
      </c>
      <c r="CL320" s="589">
        <f t="shared" si="922"/>
        <v>9.5269176555652483E-4</v>
      </c>
      <c r="CM320" s="196">
        <f t="shared" si="866"/>
        <v>6420.225302904305</v>
      </c>
      <c r="CN320" s="589">
        <f t="shared" si="923"/>
        <v>9.2522742976866741E-4</v>
      </c>
      <c r="CO320" s="196">
        <f t="shared" si="867"/>
        <v>513.61405963134382</v>
      </c>
      <c r="CP320" s="589">
        <f t="shared" si="924"/>
        <v>9.6859700533570667E-4</v>
      </c>
      <c r="CQ320" s="196">
        <f>'Detailed Budget'!$AC$12</f>
        <v>292876014141.44696</v>
      </c>
      <c r="CR320" s="269">
        <f t="shared" si="925"/>
        <v>834769029.39212406</v>
      </c>
      <c r="CS320" s="269">
        <f>'Detailed Budget'!$AC$16</f>
        <v>10488008800.000002</v>
      </c>
      <c r="CT320" s="607">
        <f t="shared" si="878"/>
        <v>29893413.942327842</v>
      </c>
      <c r="CU320" s="269">
        <f>'Detailed Budget'!$AC$24</f>
        <v>30624985696</v>
      </c>
      <c r="CV320" s="269">
        <f t="shared" si="792"/>
        <v>87288778.69886221</v>
      </c>
      <c r="CW320" s="269"/>
      <c r="CX320" s="269">
        <f t="shared" si="916"/>
        <v>951951222.03331411</v>
      </c>
      <c r="CY320" s="196">
        <f>'Detailed Budget'!$AC$97</f>
        <v>74629165494.837845</v>
      </c>
      <c r="CZ320" s="269">
        <f t="shared" si="879"/>
        <v>0</v>
      </c>
      <c r="DA320" s="269">
        <f>'Detailed Budget'!$AC$100</f>
        <v>14925833098.967569</v>
      </c>
      <c r="DB320" s="269">
        <f t="shared" si="880"/>
        <v>0</v>
      </c>
      <c r="DC320" s="269">
        <f t="shared" si="905"/>
        <v>0</v>
      </c>
      <c r="DD320" s="207">
        <v>0</v>
      </c>
      <c r="DE320" s="606">
        <v>0</v>
      </c>
      <c r="DF320" s="269">
        <f>'Detailed Budget'!$AC$147</f>
        <v>5913600671000</v>
      </c>
      <c r="DG320" s="269">
        <f t="shared" si="787"/>
        <v>0</v>
      </c>
      <c r="DH320" s="269">
        <f>'Detailed Budget'!$AC$153</f>
        <v>226428026880.00003</v>
      </c>
      <c r="DI320" s="269"/>
      <c r="DJ320" s="269">
        <f>'Detailed Budget'!$AC$156</f>
        <v>27713070000</v>
      </c>
      <c r="DK320" s="269"/>
      <c r="DL320" s="269"/>
      <c r="DM320" s="196">
        <f>'Detailed Budget'!$AC$178</f>
        <v>5622683761.6229038</v>
      </c>
      <c r="DN320" s="269">
        <f t="shared" si="868"/>
        <v>15957832.01180321</v>
      </c>
      <c r="DO320" s="196">
        <f>'Detailed Budget'!$AC$179</f>
        <v>26827890683.128094</v>
      </c>
      <c r="DP320" s="269">
        <f t="shared" si="869"/>
        <v>76140682.058434963</v>
      </c>
      <c r="DQ320" s="269">
        <f t="shared" si="870"/>
        <v>92098514.070238173</v>
      </c>
      <c r="DR320" s="269">
        <f>'Detailed Budget'!$AC$181</f>
        <v>50888946855.375237</v>
      </c>
      <c r="DS320" s="269">
        <f t="shared" si="871"/>
        <v>115480263.02537645</v>
      </c>
      <c r="DT320" s="269">
        <f t="shared" si="872"/>
        <v>207578777.09561461</v>
      </c>
      <c r="DU320" s="272">
        <f>'Detailed Budget'!$AC$192</f>
        <v>77498869683.252869</v>
      </c>
      <c r="DV320" s="269">
        <f t="shared" si="881"/>
        <v>0</v>
      </c>
      <c r="DW320" s="140">
        <f>'Detailed Budget'!$AC$194</f>
        <v>2684962805.4134097</v>
      </c>
      <c r="DX320" s="269">
        <f t="shared" si="882"/>
        <v>0</v>
      </c>
      <c r="DY320" s="607">
        <f t="shared" si="906"/>
        <v>0</v>
      </c>
      <c r="DZ320" s="196">
        <f>'Detailed Budget'!$AC$198</f>
        <v>18732540018.380611</v>
      </c>
      <c r="EA320" s="269">
        <f t="shared" si="852"/>
        <v>23764575.032797061</v>
      </c>
      <c r="EB320" s="196">
        <f>'Detailed Budget'!$AC$200</f>
        <v>4683135004.5951529</v>
      </c>
      <c r="EC320" s="269">
        <f t="shared" si="883"/>
        <v>5941143.7581992652</v>
      </c>
      <c r="ED320" s="269">
        <f t="shared" si="907"/>
        <v>29705718.790996328</v>
      </c>
      <c r="EE320" s="196">
        <f>'Detailed Budget'!$AC$161</f>
        <v>251147290106.36197</v>
      </c>
      <c r="EF320" s="269">
        <f t="shared" si="884"/>
        <v>261761902.77433139</v>
      </c>
      <c r="EG320" s="196">
        <f>'Detailed Budget'!$AC$163</f>
        <v>15696705631.647623</v>
      </c>
      <c r="EH320" s="269">
        <f t="shared" si="885"/>
        <v>16360118.923395712</v>
      </c>
      <c r="EI320" s="269">
        <f t="shared" si="908"/>
        <v>278122021.69772708</v>
      </c>
      <c r="EJ320" s="196">
        <f>'Detailed Budget'!$AC$204</f>
        <v>45012172507.531975</v>
      </c>
      <c r="EK320" s="269">
        <f t="shared" si="886"/>
        <v>61414654.990996309</v>
      </c>
      <c r="EL320" s="201">
        <f>'Detailed Budget'!$AC$206</f>
        <v>11253043126.882994</v>
      </c>
      <c r="EM320" s="269">
        <f t="shared" si="887"/>
        <v>15353663.747749077</v>
      </c>
      <c r="EN320" s="269">
        <f t="shared" si="909"/>
        <v>76768318.738745391</v>
      </c>
      <c r="EO320" s="140">
        <f>'Detailed Budget'!$AC$209</f>
        <v>135789361677.54817</v>
      </c>
      <c r="EP320" s="269">
        <f t="shared" si="888"/>
        <v>129365406.72037688</v>
      </c>
      <c r="EQ320" s="196">
        <f>'Detailed Budget'!$AC$211</f>
        <v>33947340419.387043</v>
      </c>
      <c r="ER320" s="269">
        <f t="shared" si="889"/>
        <v>32341351.68009422</v>
      </c>
      <c r="ES320" s="269">
        <f t="shared" si="910"/>
        <v>161706758.40047109</v>
      </c>
      <c r="ET320" s="196">
        <f>'Detailed Budget'!$AC$214</f>
        <v>22239745544.201103</v>
      </c>
      <c r="EU320" s="269">
        <f t="shared" si="890"/>
        <v>20576822.60857036</v>
      </c>
      <c r="EV320" s="140">
        <f>'Detailed Budget'!$AC$217</f>
        <v>5559936386.0502758</v>
      </c>
      <c r="EW320" s="269">
        <f t="shared" si="891"/>
        <v>5144205.6521425899</v>
      </c>
      <c r="EX320" s="269">
        <f t="shared" si="911"/>
        <v>25721028.260712951</v>
      </c>
      <c r="EY320" s="196">
        <f>'Detailed Budget'!$AC$219</f>
        <v>372777004.58170313</v>
      </c>
      <c r="EZ320" s="269">
        <f t="shared" si="892"/>
        <v>361070.69029585266</v>
      </c>
      <c r="FA320" s="196">
        <f>'Detailed Budget'!$AC$222</f>
        <v>93194251.145425782</v>
      </c>
      <c r="FB320" s="269">
        <f t="shared" si="893"/>
        <v>90267.672573963166</v>
      </c>
      <c r="FC320" s="269">
        <f t="shared" si="912"/>
        <v>451338.36286981584</v>
      </c>
      <c r="FD320" s="269"/>
      <c r="FE320" s="269">
        <f t="shared" si="913"/>
        <v>264647443.76279926</v>
      </c>
      <c r="FF320" s="140">
        <f>'Detailed Budget'!$AC$165</f>
        <v>14927760000</v>
      </c>
      <c r="FG320" s="1087">
        <f t="shared" si="788"/>
        <v>360996631.32656068</v>
      </c>
      <c r="FH320" s="269">
        <f t="shared" si="853"/>
        <v>18657579.820474949</v>
      </c>
      <c r="FJ320" s="140">
        <f>'Detailed Budget'!$AC$235</f>
        <v>3623696172</v>
      </c>
      <c r="FK320" s="269">
        <f t="shared" si="854"/>
        <v>4681778</v>
      </c>
      <c r="FL320" s="269">
        <f t="shared" si="789"/>
        <v>4681778</v>
      </c>
      <c r="FO320" s="607"/>
      <c r="FP320" s="607"/>
      <c r="FQ320" s="607"/>
      <c r="FR320" s="269">
        <f>'Detailed Budget'!$AC$257</f>
        <v>13636439388</v>
      </c>
      <c r="FS320" s="269">
        <f t="shared" si="855"/>
        <v>25982736</v>
      </c>
      <c r="FT320" s="269">
        <f t="shared" si="790"/>
        <v>25982736</v>
      </c>
      <c r="FU320" s="269"/>
      <c r="FV320" s="269"/>
      <c r="FW320" s="269"/>
      <c r="FX320" s="140">
        <f>'Detailed Budget'!$AC$278</f>
        <v>1114560000</v>
      </c>
      <c r="FY320" s="269">
        <f t="shared" si="856"/>
        <v>1440000</v>
      </c>
      <c r="FZ320" s="269">
        <f t="shared" si="791"/>
        <v>1440000</v>
      </c>
      <c r="GB320" s="269">
        <f t="shared" si="799"/>
        <v>2143763908.5274868</v>
      </c>
      <c r="GC320" s="887">
        <f t="shared" si="914"/>
        <v>1339852.4428296792</v>
      </c>
      <c r="GD320" s="1078">
        <f t="shared" si="800"/>
        <v>1.2029334342772056E-3</v>
      </c>
    </row>
    <row r="321" spans="1:186" hidden="1" outlineLevel="1">
      <c r="A321" s="211" t="s">
        <v>788</v>
      </c>
      <c r="B321" s="212" t="s">
        <v>789</v>
      </c>
      <c r="C321" s="213" t="s">
        <v>215</v>
      </c>
      <c r="D321" s="214" t="s">
        <v>215</v>
      </c>
      <c r="E321" s="213"/>
      <c r="F321" s="213"/>
      <c r="G321" s="213"/>
      <c r="H321" s="213" t="s">
        <v>215</v>
      </c>
      <c r="I321" s="214" t="s">
        <v>215</v>
      </c>
      <c r="J321" s="214"/>
      <c r="K321" s="213" t="s">
        <v>215</v>
      </c>
      <c r="L321" s="213"/>
      <c r="M321" s="214"/>
      <c r="N321" s="213"/>
      <c r="O321" s="214"/>
      <c r="P321" s="213"/>
      <c r="Q321" s="214" t="s">
        <v>215</v>
      </c>
      <c r="R321" s="214"/>
      <c r="S321" s="214"/>
      <c r="T321" s="214"/>
      <c r="U321" s="215">
        <f t="shared" si="857"/>
        <v>6</v>
      </c>
      <c r="V321" s="845" t="s">
        <v>265</v>
      </c>
      <c r="W321" s="216">
        <v>291173</v>
      </c>
      <c r="X321" s="217">
        <v>3.07</v>
      </c>
      <c r="Y321" s="218">
        <f t="shared" si="826"/>
        <v>1.0306999999999999</v>
      </c>
      <c r="Z321" s="196">
        <v>19</v>
      </c>
      <c r="AA321" s="218">
        <f t="shared" si="827"/>
        <v>1.7762874396990105</v>
      </c>
      <c r="AB321" s="196">
        <f t="shared" si="894"/>
        <v>517206.94267947995</v>
      </c>
      <c r="AC321">
        <v>19.2</v>
      </c>
      <c r="AD321" s="196">
        <f t="shared" si="895"/>
        <v>99303.732994460152</v>
      </c>
      <c r="AE321" s="196">
        <f t="shared" si="849"/>
        <v>94338.546344737144</v>
      </c>
      <c r="AF321" s="196">
        <f t="shared" si="858"/>
        <v>94338.546344737144</v>
      </c>
      <c r="AG321" s="606">
        <f t="shared" si="917"/>
        <v>4.3618002290020698E-3</v>
      </c>
      <c r="AH321" s="196">
        <f t="shared" si="873"/>
        <v>25860.347133973999</v>
      </c>
      <c r="AI321" s="248">
        <f t="shared" si="896"/>
        <v>2.0033619102158852E-3</v>
      </c>
      <c r="AJ321" s="196">
        <f t="shared" si="897"/>
        <v>125164.08012843414</v>
      </c>
      <c r="AK321" s="196">
        <f t="shared" si="785"/>
        <v>20688.277707179197</v>
      </c>
      <c r="AL321" s="196">
        <f t="shared" si="786"/>
        <v>20688.277707179197</v>
      </c>
      <c r="AM321" s="196">
        <f t="shared" si="898"/>
        <v>41376.555414358394</v>
      </c>
      <c r="AN321" s="627">
        <f t="shared" si="899"/>
        <v>2.0033619102158848E-3</v>
      </c>
      <c r="AO321" s="196">
        <f t="shared" si="900"/>
        <v>19653.863821820236</v>
      </c>
      <c r="AP321" s="589">
        <f t="shared" si="918"/>
        <v>2.0033619102158848E-3</v>
      </c>
      <c r="AQ321" s="196"/>
      <c r="AR321" s="589"/>
      <c r="AS321">
        <v>1</v>
      </c>
      <c r="AT321" s="589">
        <f t="shared" si="919"/>
        <v>1.2919896640826874E-3</v>
      </c>
      <c r="AU321">
        <v>11</v>
      </c>
      <c r="AV321" s="245">
        <f t="shared" si="901"/>
        <v>1.2498579706851495E-3</v>
      </c>
      <c r="AX321" s="245"/>
      <c r="AY321" s="245"/>
      <c r="AZ321">
        <v>61</v>
      </c>
      <c r="BA321" s="589">
        <f t="shared" si="793"/>
        <v>2.2351691033674105E-3</v>
      </c>
      <c r="BI321" s="196">
        <v>1</v>
      </c>
      <c r="BJ321" s="196">
        <f t="shared" si="859"/>
        <v>287294.32002268644</v>
      </c>
      <c r="BK321" s="246">
        <f t="shared" si="794"/>
        <v>5.4785293472043323E-3</v>
      </c>
      <c r="BL321" s="196">
        <f t="shared" si="874"/>
        <v>5745.886400453729</v>
      </c>
      <c r="BM321" s="246">
        <f t="shared" si="795"/>
        <v>5.4785287203709086E-3</v>
      </c>
      <c r="BN321" s="196">
        <v>0</v>
      </c>
      <c r="BO321" s="196">
        <f t="shared" si="860"/>
        <v>36804.800770136724</v>
      </c>
      <c r="BP321" s="196">
        <f t="shared" si="902"/>
        <v>0</v>
      </c>
      <c r="BQ321" s="248">
        <f t="shared" si="796"/>
        <v>0</v>
      </c>
      <c r="BR321" s="248"/>
      <c r="BS321" s="248"/>
      <c r="BT321" s="276">
        <v>1</v>
      </c>
      <c r="BU321" s="196">
        <f t="shared" si="875"/>
        <v>78648.556531612441</v>
      </c>
      <c r="BV321" s="264">
        <f t="shared" si="797"/>
        <v>5.4552128537309168E-3</v>
      </c>
      <c r="BW321" s="196">
        <f t="shared" si="876"/>
        <v>336441.04738523101</v>
      </c>
      <c r="BX321" s="247">
        <f t="shared" si="798"/>
        <v>5.4552129028716829E-3</v>
      </c>
      <c r="BY321" s="196">
        <f t="shared" si="833"/>
        <v>415089.60391684342</v>
      </c>
      <c r="BZ321" s="620">
        <v>0</v>
      </c>
      <c r="CA321" s="196">
        <f t="shared" si="861"/>
        <v>158265.32445992087</v>
      </c>
      <c r="CB321" s="196">
        <f t="shared" si="862"/>
        <v>316530.64891984174</v>
      </c>
      <c r="CC321" s="196">
        <f t="shared" si="915"/>
        <v>474795.97337976261</v>
      </c>
      <c r="CD321" s="247">
        <f t="shared" si="903"/>
        <v>2.0033619102158852E-3</v>
      </c>
      <c r="CE321" s="196">
        <f t="shared" si="863"/>
        <v>56467.809026654002</v>
      </c>
      <c r="CF321" s="247">
        <f t="shared" si="904"/>
        <v>2.4384556055888789E-3</v>
      </c>
      <c r="CG321" s="196">
        <f t="shared" si="877"/>
        <v>78615.455287280944</v>
      </c>
      <c r="CH321" s="589">
        <f t="shared" si="920"/>
        <v>2.0033619102158848E-3</v>
      </c>
      <c r="CI321" s="196">
        <f t="shared" si="864"/>
        <v>159522.43327074053</v>
      </c>
      <c r="CJ321" s="248">
        <f t="shared" si="921"/>
        <v>2.6225483980495015E-3</v>
      </c>
      <c r="CK321" s="196">
        <f t="shared" si="865"/>
        <v>127385.44650604732</v>
      </c>
      <c r="CL321" s="589">
        <f t="shared" si="922"/>
        <v>1.8311919955928972E-3</v>
      </c>
      <c r="CM321" s="196">
        <f t="shared" si="866"/>
        <v>12340.471083754534</v>
      </c>
      <c r="CN321" s="589">
        <f t="shared" si="923"/>
        <v>1.7784021283165478E-3</v>
      </c>
      <c r="CO321" s="196">
        <f t="shared" si="867"/>
        <v>987.2300662444286</v>
      </c>
      <c r="CP321" s="589">
        <f t="shared" si="924"/>
        <v>1.8617638435133096E-3</v>
      </c>
      <c r="CQ321" s="196">
        <f>'Detailed Budget'!$AC$12</f>
        <v>292876014141.44696</v>
      </c>
      <c r="CR321" s="269">
        <f t="shared" si="925"/>
        <v>1604529838.5661483</v>
      </c>
      <c r="CS321" s="269">
        <f>'Detailed Budget'!$AC$16</f>
        <v>10488008800.000002</v>
      </c>
      <c r="CT321" s="607">
        <f t="shared" si="878"/>
        <v>57458857.430302836</v>
      </c>
      <c r="CU321" s="269">
        <f>'Detailed Budget'!$AC$24</f>
        <v>30624985696</v>
      </c>
      <c r="CV321" s="269">
        <f t="shared" si="792"/>
        <v>167779882.89324889</v>
      </c>
      <c r="CW321" s="269"/>
      <c r="CX321" s="269">
        <f t="shared" si="916"/>
        <v>1829768578.8896999</v>
      </c>
      <c r="CY321" s="196">
        <f>'Detailed Budget'!$AC$97</f>
        <v>74629165494.837845</v>
      </c>
      <c r="CZ321" s="269">
        <f t="shared" si="879"/>
        <v>0</v>
      </c>
      <c r="DA321" s="269">
        <f>'Detailed Budget'!$AC$100</f>
        <v>14925833098.967569</v>
      </c>
      <c r="DB321" s="269">
        <f t="shared" si="880"/>
        <v>0</v>
      </c>
      <c r="DC321" s="269">
        <f t="shared" si="905"/>
        <v>0</v>
      </c>
      <c r="DD321" s="207">
        <v>0</v>
      </c>
      <c r="DE321" s="606">
        <v>0</v>
      </c>
      <c r="DF321" s="269">
        <f>'Detailed Budget'!$AC$147</f>
        <v>5913600671000</v>
      </c>
      <c r="DG321" s="269">
        <f t="shared" si="787"/>
        <v>0</v>
      </c>
      <c r="DH321" s="269">
        <f>'Detailed Budget'!$AC$153</f>
        <v>226428026880.00003</v>
      </c>
      <c r="DI321" s="269"/>
      <c r="DJ321" s="269">
        <f>'Detailed Budget'!$AC$156</f>
        <v>27713070000</v>
      </c>
      <c r="DK321" s="269"/>
      <c r="DL321" s="269"/>
      <c r="DM321" s="196">
        <f>'Detailed Budget'!$AC$178</f>
        <v>5622683761.6229038</v>
      </c>
      <c r="DN321" s="269">
        <f t="shared" si="868"/>
        <v>30672936.728869367</v>
      </c>
      <c r="DO321" s="196">
        <f>'Detailed Budget'!$AC$179</f>
        <v>26827890683.128094</v>
      </c>
      <c r="DP321" s="269">
        <f t="shared" si="869"/>
        <v>146351855.41143137</v>
      </c>
      <c r="DQ321" s="269">
        <f t="shared" si="870"/>
        <v>177024792.14030075</v>
      </c>
      <c r="DR321" s="269">
        <f>'Detailed Budget'!$AC$181</f>
        <v>50888946855.375237</v>
      </c>
      <c r="DS321" s="269">
        <f t="shared" si="871"/>
        <v>221967420.04744986</v>
      </c>
      <c r="DT321" s="269">
        <f t="shared" si="872"/>
        <v>398992212.18775058</v>
      </c>
      <c r="DU321" s="272">
        <f>'Detailed Budget'!$AC$192</f>
        <v>77498869683.252869</v>
      </c>
      <c r="DV321" s="269">
        <f t="shared" si="881"/>
        <v>0</v>
      </c>
      <c r="DW321" s="140">
        <f>'Detailed Budget'!$AC$194</f>
        <v>2684962805.4134097</v>
      </c>
      <c r="DX321" s="269">
        <f t="shared" si="882"/>
        <v>0</v>
      </c>
      <c r="DY321" s="607">
        <f t="shared" si="906"/>
        <v>0</v>
      </c>
      <c r="DZ321" s="196">
        <f>'Detailed Budget'!$AC$198</f>
        <v>18732540018.380611</v>
      </c>
      <c r="EA321" s="269">
        <f t="shared" si="852"/>
        <v>45678467.214738205</v>
      </c>
      <c r="EB321" s="196">
        <f>'Detailed Budget'!$AC$200</f>
        <v>4683135004.5951529</v>
      </c>
      <c r="EC321" s="269">
        <f t="shared" si="883"/>
        <v>11419616.803684551</v>
      </c>
      <c r="ED321" s="269">
        <f t="shared" si="907"/>
        <v>57098084.018422753</v>
      </c>
      <c r="EE321" s="196">
        <f>'Detailed Budget'!$AC$161</f>
        <v>251147290106.36197</v>
      </c>
      <c r="EF321" s="269">
        <f t="shared" si="884"/>
        <v>503138914.8530243</v>
      </c>
      <c r="EG321" s="196">
        <f>'Detailed Budget'!$AC$163</f>
        <v>15696705631.647623</v>
      </c>
      <c r="EH321" s="269">
        <f t="shared" si="885"/>
        <v>31446182.178314019</v>
      </c>
      <c r="EI321" s="269">
        <f t="shared" si="908"/>
        <v>534585097.03133833</v>
      </c>
      <c r="EJ321" s="196">
        <f>'Detailed Budget'!$AC$204</f>
        <v>45012172507.531975</v>
      </c>
      <c r="EK321" s="269">
        <f t="shared" si="886"/>
        <v>118046600.90235579</v>
      </c>
      <c r="EL321" s="201">
        <f>'Detailed Budget'!$AC$206</f>
        <v>11253043126.882994</v>
      </c>
      <c r="EM321" s="269">
        <f t="shared" si="887"/>
        <v>29511650.225588948</v>
      </c>
      <c r="EN321" s="269">
        <f t="shared" si="909"/>
        <v>147558251.12794474</v>
      </c>
      <c r="EO321" s="140">
        <f>'Detailed Budget'!$AC$209</f>
        <v>135789361677.54817</v>
      </c>
      <c r="EP321" s="269">
        <f t="shared" si="888"/>
        <v>248656392.19059512</v>
      </c>
      <c r="EQ321" s="196">
        <f>'Detailed Budget'!$AC$211</f>
        <v>33947340419.387043</v>
      </c>
      <c r="ER321" s="269">
        <f t="shared" si="889"/>
        <v>62164098.04764878</v>
      </c>
      <c r="ES321" s="269">
        <f t="shared" si="910"/>
        <v>310820490.23824388</v>
      </c>
      <c r="ET321" s="196">
        <f>'Detailed Budget'!$AC$214</f>
        <v>22239745544.201103</v>
      </c>
      <c r="EU321" s="269">
        <f t="shared" si="890"/>
        <v>39551210.809025705</v>
      </c>
      <c r="EV321" s="140">
        <f>'Detailed Budget'!$AC$217</f>
        <v>5559936386.0502758</v>
      </c>
      <c r="EW321" s="269">
        <f t="shared" si="891"/>
        <v>9887802.7022564262</v>
      </c>
      <c r="EX321" s="269">
        <f t="shared" si="911"/>
        <v>49439013.511282131</v>
      </c>
      <c r="EY321" s="196">
        <f>'Detailed Budget'!$AC$219</f>
        <v>372777004.58170313</v>
      </c>
      <c r="EZ321" s="269">
        <f t="shared" si="892"/>
        <v>694022.74882341025</v>
      </c>
      <c r="FA321" s="196">
        <f>'Detailed Budget'!$AC$222</f>
        <v>93194251.145425782</v>
      </c>
      <c r="FB321" s="269">
        <f t="shared" si="893"/>
        <v>173505.68720585256</v>
      </c>
      <c r="FC321" s="269">
        <f t="shared" si="912"/>
        <v>867528.43602926284</v>
      </c>
      <c r="FD321" s="269"/>
      <c r="FE321" s="269">
        <f t="shared" si="913"/>
        <v>508685283.31350005</v>
      </c>
      <c r="FF321" s="140">
        <f>'Detailed Budget'!$AC$165</f>
        <v>14927760000</v>
      </c>
      <c r="FG321" s="1087">
        <f t="shared" si="788"/>
        <v>693880398.27869856</v>
      </c>
      <c r="FH321" s="269">
        <f t="shared" si="853"/>
        <v>18657579.820474949</v>
      </c>
      <c r="FJ321" s="140">
        <f>'Detailed Budget'!$AC$235</f>
        <v>3623696172</v>
      </c>
      <c r="FK321" s="269">
        <f t="shared" si="854"/>
        <v>4681778</v>
      </c>
      <c r="FL321" s="269">
        <f t="shared" si="789"/>
        <v>4681778</v>
      </c>
      <c r="FO321" s="607"/>
      <c r="FP321" s="607"/>
      <c r="FQ321" s="607"/>
      <c r="FR321" s="269">
        <f>'Detailed Budget'!$AC$257</f>
        <v>13636439388</v>
      </c>
      <c r="FS321" s="269">
        <f t="shared" si="855"/>
        <v>30479748</v>
      </c>
      <c r="FT321" s="269">
        <f t="shared" si="790"/>
        <v>30479748</v>
      </c>
      <c r="FU321" s="269"/>
      <c r="FV321" s="269"/>
      <c r="FW321" s="269"/>
      <c r="FX321" s="140">
        <f>'Detailed Budget'!$AC$278</f>
        <v>1114560000</v>
      </c>
      <c r="FY321" s="269">
        <f t="shared" si="856"/>
        <v>1440000</v>
      </c>
      <c r="FZ321" s="269">
        <f t="shared" si="791"/>
        <v>1440000</v>
      </c>
      <c r="GB321" s="269">
        <f t="shared" si="799"/>
        <v>4078268759.539885</v>
      </c>
      <c r="GC321" s="887">
        <f t="shared" si="914"/>
        <v>2548917.9747124282</v>
      </c>
      <c r="GD321" s="1078">
        <f t="shared" si="800"/>
        <v>2.2884450220026879E-3</v>
      </c>
    </row>
    <row r="322" spans="1:186" hidden="1" outlineLevel="1">
      <c r="A322" s="211" t="s">
        <v>790</v>
      </c>
      <c r="B322" s="212" t="s">
        <v>791</v>
      </c>
      <c r="C322" s="213" t="s">
        <v>215</v>
      </c>
      <c r="D322" s="214" t="s">
        <v>215</v>
      </c>
      <c r="E322" s="213"/>
      <c r="F322" s="213"/>
      <c r="G322" s="213"/>
      <c r="H322" s="213" t="s">
        <v>215</v>
      </c>
      <c r="I322" s="214" t="s">
        <v>215</v>
      </c>
      <c r="J322" s="214"/>
      <c r="K322" s="213" t="s">
        <v>215</v>
      </c>
      <c r="L322" s="213"/>
      <c r="M322" s="214"/>
      <c r="N322" s="213"/>
      <c r="O322" s="214"/>
      <c r="P322" s="213"/>
      <c r="Q322" s="214"/>
      <c r="R322" s="214" t="s">
        <v>215</v>
      </c>
      <c r="S322" s="214"/>
      <c r="T322" s="214"/>
      <c r="U322" s="215">
        <f t="shared" si="857"/>
        <v>6</v>
      </c>
      <c r="V322" s="845" t="s">
        <v>219</v>
      </c>
      <c r="W322" s="216">
        <v>318991</v>
      </c>
      <c r="X322" s="217">
        <v>3.07</v>
      </c>
      <c r="Y322" s="218">
        <f t="shared" si="826"/>
        <v>1.0306999999999999</v>
      </c>
      <c r="Z322" s="196">
        <v>19</v>
      </c>
      <c r="AA322" s="218">
        <f t="shared" si="827"/>
        <v>1.7762874396990105</v>
      </c>
      <c r="AB322" s="196">
        <f t="shared" si="894"/>
        <v>566619.70667702705</v>
      </c>
      <c r="AC322">
        <v>19.2</v>
      </c>
      <c r="AD322" s="196">
        <f t="shared" si="895"/>
        <v>108790.98368198918</v>
      </c>
      <c r="AE322" s="196">
        <f t="shared" si="849"/>
        <v>103351.43449788971</v>
      </c>
      <c r="AF322" s="196">
        <f t="shared" si="858"/>
        <v>103351.43449788971</v>
      </c>
      <c r="AG322" s="606">
        <f t="shared" si="917"/>
        <v>4.7785166098834675E-3</v>
      </c>
      <c r="AH322" s="196">
        <f t="shared" si="873"/>
        <v>28330.985333851353</v>
      </c>
      <c r="AI322" s="248">
        <f t="shared" si="896"/>
        <v>2.194758508177872E-3</v>
      </c>
      <c r="AJ322" s="196">
        <f t="shared" si="897"/>
        <v>137121.96901584053</v>
      </c>
      <c r="AK322" s="196">
        <f t="shared" ref="AK322:AK383" si="926">AB322*0.04</f>
        <v>22664.788267081083</v>
      </c>
      <c r="AL322" s="196">
        <f t="shared" ref="AL322:AL383" si="927">AB322*0.04</f>
        <v>22664.788267081083</v>
      </c>
      <c r="AM322" s="196">
        <f t="shared" si="898"/>
        <v>45329.576534162166</v>
      </c>
      <c r="AN322" s="627">
        <f t="shared" si="899"/>
        <v>2.194758508177872E-3</v>
      </c>
      <c r="AO322" s="196">
        <f t="shared" si="900"/>
        <v>21531.548853727028</v>
      </c>
      <c r="AP322" s="589">
        <f t="shared" si="918"/>
        <v>2.194758508177872E-3</v>
      </c>
      <c r="AQ322" s="196"/>
      <c r="AR322" s="589"/>
      <c r="AS322">
        <v>1</v>
      </c>
      <c r="AT322" s="589">
        <f t="shared" si="919"/>
        <v>1.2919896640826874E-3</v>
      </c>
      <c r="AU322">
        <v>11</v>
      </c>
      <c r="AV322" s="245">
        <f t="shared" si="901"/>
        <v>1.2498579706851495E-3</v>
      </c>
      <c r="AX322" s="245"/>
      <c r="AY322" s="245"/>
      <c r="AZ322">
        <v>71</v>
      </c>
      <c r="BA322" s="589">
        <f t="shared" si="793"/>
        <v>2.6015902678538714E-3</v>
      </c>
      <c r="BI322" s="196">
        <v>1</v>
      </c>
      <c r="BJ322" s="196">
        <f t="shared" si="859"/>
        <v>314741.75984159514</v>
      </c>
      <c r="BK322" s="246">
        <f t="shared" si="794"/>
        <v>6.0019354644629047E-3</v>
      </c>
      <c r="BL322" s="196">
        <f t="shared" si="874"/>
        <v>6294.835196831903</v>
      </c>
      <c r="BM322" s="246">
        <f t="shared" si="795"/>
        <v>6.0019347777432548E-3</v>
      </c>
      <c r="BN322" s="196">
        <v>0</v>
      </c>
      <c r="BO322" s="196">
        <f t="shared" si="860"/>
        <v>40321.046946202718</v>
      </c>
      <c r="BP322" s="196">
        <f t="shared" si="902"/>
        <v>0</v>
      </c>
      <c r="BQ322" s="248">
        <f t="shared" si="796"/>
        <v>0</v>
      </c>
      <c r="BR322" s="248"/>
      <c r="BS322" s="248"/>
      <c r="BT322" s="276">
        <v>1</v>
      </c>
      <c r="BU322" s="196">
        <f t="shared" si="875"/>
        <v>86162.459076135434</v>
      </c>
      <c r="BV322" s="264">
        <f t="shared" si="797"/>
        <v>5.9763913667286415E-3</v>
      </c>
      <c r="BW322" s="196">
        <f t="shared" si="876"/>
        <v>368583.85271457938</v>
      </c>
      <c r="BX322" s="247">
        <f t="shared" si="798"/>
        <v>5.9763914205642043E-3</v>
      </c>
      <c r="BY322" s="196">
        <f t="shared" si="833"/>
        <v>454746.3117907148</v>
      </c>
      <c r="BZ322" s="620">
        <v>0</v>
      </c>
      <c r="CA322" s="196">
        <f t="shared" si="861"/>
        <v>173385.63024317028</v>
      </c>
      <c r="CB322" s="196">
        <f t="shared" si="862"/>
        <v>346771.26048634056</v>
      </c>
      <c r="CC322" s="196">
        <f t="shared" si="915"/>
        <v>520156.89072951081</v>
      </c>
      <c r="CD322" s="247">
        <f t="shared" si="903"/>
        <v>2.1947585081778715E-3</v>
      </c>
      <c r="CE322" s="196">
        <f t="shared" si="863"/>
        <v>61862.613872925671</v>
      </c>
      <c r="CF322" s="247">
        <f t="shared" si="904"/>
        <v>2.6714200564008413E-3</v>
      </c>
      <c r="CG322" s="196">
        <f t="shared" si="877"/>
        <v>86126.195414908114</v>
      </c>
      <c r="CH322" s="589">
        <f t="shared" si="920"/>
        <v>2.194758508177872E-3</v>
      </c>
      <c r="CI322" s="196">
        <f t="shared" si="864"/>
        <v>174762.84034394257</v>
      </c>
      <c r="CJ322" s="248">
        <f t="shared" si="921"/>
        <v>2.8731006516476754E-3</v>
      </c>
      <c r="CK322" s="196">
        <f t="shared" si="865"/>
        <v>139555.55963777733</v>
      </c>
      <c r="CL322" s="589">
        <f t="shared" si="922"/>
        <v>2.0061398751469875E-3</v>
      </c>
      <c r="CM322" s="196">
        <f t="shared" si="866"/>
        <v>13519.451362172804</v>
      </c>
      <c r="CN322" s="589">
        <f t="shared" si="923"/>
        <v>1.9483065851360662E-3</v>
      </c>
      <c r="CO322" s="196">
        <f t="shared" si="867"/>
        <v>1081.547760477024</v>
      </c>
      <c r="CP322" s="589">
        <f t="shared" si="924"/>
        <v>2.0396324872366395E-3</v>
      </c>
      <c r="CQ322" s="196">
        <f>'Detailed Budget'!$AC$12</f>
        <v>292876014141.44696</v>
      </c>
      <c r="CR322" s="269">
        <f t="shared" si="925"/>
        <v>1757822935.9660897</v>
      </c>
      <c r="CS322" s="269">
        <f>'Detailed Budget'!$AC$16</f>
        <v>10488008800.000002</v>
      </c>
      <c r="CT322" s="607">
        <f t="shared" si="878"/>
        <v>62948344.765997313</v>
      </c>
      <c r="CU322" s="269">
        <f>'Detailed Budget'!$AC$24</f>
        <v>30624985696</v>
      </c>
      <c r="CV322" s="269">
        <f t="shared" si="792"/>
        <v>183809187.74749157</v>
      </c>
      <c r="CW322" s="269"/>
      <c r="CX322" s="269">
        <f t="shared" si="916"/>
        <v>2004580468.4795787</v>
      </c>
      <c r="CY322" s="196">
        <f>'Detailed Budget'!$AC$97</f>
        <v>74629165494.837845</v>
      </c>
      <c r="CZ322" s="269">
        <f t="shared" si="879"/>
        <v>0</v>
      </c>
      <c r="DA322" s="269">
        <f>'Detailed Budget'!$AC$100</f>
        <v>14925833098.967569</v>
      </c>
      <c r="DB322" s="269">
        <f t="shared" si="880"/>
        <v>0</v>
      </c>
      <c r="DC322" s="269">
        <f t="shared" si="905"/>
        <v>0</v>
      </c>
      <c r="DD322" s="207">
        <v>0</v>
      </c>
      <c r="DE322" s="606">
        <v>0</v>
      </c>
      <c r="DF322" s="269">
        <f>'Detailed Budget'!$AC$147</f>
        <v>5913600671000</v>
      </c>
      <c r="DG322" s="269">
        <f t="shared" si="787"/>
        <v>0</v>
      </c>
      <c r="DH322" s="269">
        <f>'Detailed Budget'!$AC$153</f>
        <v>226428026880.00003</v>
      </c>
      <c r="DI322" s="269"/>
      <c r="DJ322" s="269">
        <f>'Detailed Budget'!$AC$156</f>
        <v>27713070000</v>
      </c>
      <c r="DK322" s="269"/>
      <c r="DL322" s="269"/>
      <c r="DM322" s="196">
        <f>'Detailed Budget'!$AC$178</f>
        <v>5622683761.6229038</v>
      </c>
      <c r="DN322" s="269">
        <f t="shared" si="868"/>
        <v>33603358.690808445</v>
      </c>
      <c r="DO322" s="196">
        <f>'Detailed Budget'!$AC$179</f>
        <v>26827890683.128094</v>
      </c>
      <c r="DP322" s="269">
        <f t="shared" si="869"/>
        <v>160333975.71048108</v>
      </c>
      <c r="DQ322" s="269">
        <f t="shared" si="870"/>
        <v>193937334.40128952</v>
      </c>
      <c r="DR322" s="269">
        <f>'Detailed Budget'!$AC$181</f>
        <v>50888946855.375237</v>
      </c>
      <c r="DS322" s="269">
        <f t="shared" si="871"/>
        <v>243173677.80788761</v>
      </c>
      <c r="DT322" s="269">
        <f t="shared" si="872"/>
        <v>437111012.20917714</v>
      </c>
      <c r="DU322" s="272">
        <f>'Detailed Budget'!$AC$192</f>
        <v>77498869683.252869</v>
      </c>
      <c r="DV322" s="269">
        <f t="shared" si="881"/>
        <v>0</v>
      </c>
      <c r="DW322" s="140">
        <f>'Detailed Budget'!$AC$194</f>
        <v>2684962805.4134097</v>
      </c>
      <c r="DX322" s="269">
        <f t="shared" si="882"/>
        <v>0</v>
      </c>
      <c r="DY322" s="607">
        <f t="shared" si="906"/>
        <v>0</v>
      </c>
      <c r="DZ322" s="196">
        <f>'Detailed Budget'!$AC$198</f>
        <v>18732540018.380611</v>
      </c>
      <c r="EA322" s="269">
        <f t="shared" si="852"/>
        <v>50042483.112433352</v>
      </c>
      <c r="EB322" s="196">
        <f>'Detailed Budget'!$AC$200</f>
        <v>4683135004.5951529</v>
      </c>
      <c r="EC322" s="269">
        <f t="shared" si="883"/>
        <v>12510620.778108338</v>
      </c>
      <c r="ED322" s="269">
        <f t="shared" si="907"/>
        <v>62553103.890541688</v>
      </c>
      <c r="EE322" s="196">
        <f>'Detailed Budget'!$AC$161</f>
        <v>251147290106.36197</v>
      </c>
      <c r="EF322" s="269">
        <f t="shared" si="884"/>
        <v>551207651.76675427</v>
      </c>
      <c r="EG322" s="196">
        <f>'Detailed Budget'!$AC$163</f>
        <v>15696705631.647623</v>
      </c>
      <c r="EH322" s="269">
        <f t="shared" si="885"/>
        <v>34450478.235422142</v>
      </c>
      <c r="EI322" s="269">
        <f t="shared" si="908"/>
        <v>585658130.0021764</v>
      </c>
      <c r="EJ322" s="196">
        <f>'Detailed Budget'!$AC$204</f>
        <v>45012172507.531975</v>
      </c>
      <c r="EK322" s="269">
        <f t="shared" si="886"/>
        <v>129324502.16346771</v>
      </c>
      <c r="EL322" s="201">
        <f>'Detailed Budget'!$AC$206</f>
        <v>11253043126.882994</v>
      </c>
      <c r="EM322" s="269">
        <f t="shared" si="887"/>
        <v>32331125.540866926</v>
      </c>
      <c r="EN322" s="269">
        <f t="shared" si="909"/>
        <v>161655627.70433462</v>
      </c>
      <c r="EO322" s="140">
        <f>'Detailed Budget'!$AC$209</f>
        <v>135789361677.54817</v>
      </c>
      <c r="EP322" s="269">
        <f t="shared" si="888"/>
        <v>272412453.08208561</v>
      </c>
      <c r="EQ322" s="196">
        <f>'Detailed Budget'!$AC$211</f>
        <v>33947340419.387043</v>
      </c>
      <c r="ER322" s="269">
        <f t="shared" si="889"/>
        <v>68103113.270521402</v>
      </c>
      <c r="ES322" s="269">
        <f t="shared" si="910"/>
        <v>340515566.35260701</v>
      </c>
      <c r="ET322" s="196">
        <f>'Detailed Budget'!$AC$214</f>
        <v>22239745544.201103</v>
      </c>
      <c r="EU322" s="269">
        <f t="shared" si="890"/>
        <v>43329842.695517495</v>
      </c>
      <c r="EV322" s="140">
        <f>'Detailed Budget'!$AC$217</f>
        <v>5559936386.0502758</v>
      </c>
      <c r="EW322" s="269">
        <f t="shared" si="891"/>
        <v>10832460.673879374</v>
      </c>
      <c r="EX322" s="269">
        <f t="shared" si="911"/>
        <v>54162303.369396865</v>
      </c>
      <c r="EY322" s="196">
        <f>'Detailed Budget'!$AC$219</f>
        <v>372777004.58170313</v>
      </c>
      <c r="EZ322" s="269">
        <f t="shared" si="892"/>
        <v>760328.08903960325</v>
      </c>
      <c r="FA322" s="196">
        <f>'Detailed Budget'!$AC$222</f>
        <v>93194251.145425782</v>
      </c>
      <c r="FB322" s="269">
        <f t="shared" si="893"/>
        <v>190082.02225990081</v>
      </c>
      <c r="FC322" s="269">
        <f t="shared" si="912"/>
        <v>950410.11129950406</v>
      </c>
      <c r="FD322" s="269"/>
      <c r="FE322" s="269">
        <f t="shared" si="913"/>
        <v>557283907.53763795</v>
      </c>
      <c r="FF322" s="140">
        <f>'Detailed Budget'!$AC$165</f>
        <v>14927760000</v>
      </c>
      <c r="FG322" s="1087">
        <f t="shared" si="788"/>
        <v>760172138.65063143</v>
      </c>
      <c r="FH322" s="269">
        <f t="shared" si="853"/>
        <v>18657579.820474949</v>
      </c>
      <c r="FJ322" s="140">
        <f>'Detailed Budget'!$AC$235</f>
        <v>3623696172</v>
      </c>
      <c r="FK322" s="269">
        <f t="shared" si="854"/>
        <v>4681778</v>
      </c>
      <c r="FL322" s="269">
        <f t="shared" si="789"/>
        <v>4681778</v>
      </c>
      <c r="FO322" s="607"/>
      <c r="FP322" s="607"/>
      <c r="FQ322" s="607"/>
      <c r="FR322" s="269">
        <f>'Detailed Budget'!$AC$257</f>
        <v>13636439388</v>
      </c>
      <c r="FS322" s="269">
        <f t="shared" si="855"/>
        <v>35476428</v>
      </c>
      <c r="FT322" s="269">
        <f t="shared" si="790"/>
        <v>35476428</v>
      </c>
      <c r="FU322" s="269"/>
      <c r="FV322" s="269"/>
      <c r="FW322" s="269"/>
      <c r="FX322" s="140">
        <f>'Detailed Budget'!$AC$278</f>
        <v>1114560000</v>
      </c>
      <c r="FY322" s="269">
        <f t="shared" si="856"/>
        <v>1440000</v>
      </c>
      <c r="FZ322" s="269">
        <f t="shared" si="791"/>
        <v>1440000</v>
      </c>
      <c r="GB322" s="269">
        <f t="shared" si="799"/>
        <v>4467614546.5902176</v>
      </c>
      <c r="GC322" s="887">
        <f t="shared" si="914"/>
        <v>2792259.0916188862</v>
      </c>
      <c r="GD322" s="1078">
        <f t="shared" si="800"/>
        <v>2.5069192032662045E-3</v>
      </c>
    </row>
    <row r="323" spans="1:186" hidden="1" outlineLevel="1">
      <c r="A323" s="211" t="s">
        <v>792</v>
      </c>
      <c r="B323" s="212" t="s">
        <v>793</v>
      </c>
      <c r="C323" s="213" t="s">
        <v>215</v>
      </c>
      <c r="D323" s="214" t="s">
        <v>215</v>
      </c>
      <c r="E323" s="213"/>
      <c r="F323" s="213"/>
      <c r="G323" s="213"/>
      <c r="H323" s="213" t="s">
        <v>215</v>
      </c>
      <c r="I323" s="214" t="s">
        <v>215</v>
      </c>
      <c r="J323" s="214"/>
      <c r="K323" s="213" t="s">
        <v>215</v>
      </c>
      <c r="L323" s="213"/>
      <c r="M323" s="214"/>
      <c r="N323" s="213"/>
      <c r="O323" s="214"/>
      <c r="P323" s="213"/>
      <c r="Q323" s="214" t="s">
        <v>215</v>
      </c>
      <c r="R323" s="214"/>
      <c r="S323" s="214"/>
      <c r="T323" s="214"/>
      <c r="U323" s="215">
        <f t="shared" si="857"/>
        <v>6</v>
      </c>
      <c r="V323" s="845" t="s">
        <v>265</v>
      </c>
      <c r="W323" s="216">
        <v>406990</v>
      </c>
      <c r="X323" s="217">
        <v>3.07</v>
      </c>
      <c r="Y323" s="218">
        <f t="shared" si="826"/>
        <v>1.0306999999999999</v>
      </c>
      <c r="Z323" s="196">
        <v>19</v>
      </c>
      <c r="AA323" s="218">
        <f t="shared" si="827"/>
        <v>1.7762874396990105</v>
      </c>
      <c r="AB323" s="196">
        <f t="shared" si="894"/>
        <v>722931.22508310026</v>
      </c>
      <c r="AC323">
        <v>19.2</v>
      </c>
      <c r="AD323" s="196">
        <f t="shared" si="895"/>
        <v>138802.79521595524</v>
      </c>
      <c r="AE323" s="196">
        <f t="shared" si="849"/>
        <v>131862.65545515748</v>
      </c>
      <c r="AF323" s="196">
        <f t="shared" si="858"/>
        <v>131862.65545515748</v>
      </c>
      <c r="AG323" s="606">
        <f t="shared" si="917"/>
        <v>6.0967503003422447E-3</v>
      </c>
      <c r="AH323" s="196">
        <f t="shared" si="873"/>
        <v>36146.561254155014</v>
      </c>
      <c r="AI323" s="248">
        <f t="shared" si="896"/>
        <v>2.8002193329696198E-3</v>
      </c>
      <c r="AJ323" s="196">
        <f t="shared" si="897"/>
        <v>174949.35647011024</v>
      </c>
      <c r="AK323" s="196">
        <f t="shared" si="926"/>
        <v>28917.24900332401</v>
      </c>
      <c r="AL323" s="196">
        <f t="shared" si="927"/>
        <v>28917.24900332401</v>
      </c>
      <c r="AM323" s="196">
        <f t="shared" si="898"/>
        <v>57834.49800664802</v>
      </c>
      <c r="AN323" s="627">
        <f t="shared" si="899"/>
        <v>2.8002193329696198E-3</v>
      </c>
      <c r="AO323" s="196">
        <f t="shared" si="900"/>
        <v>27471.386553157809</v>
      </c>
      <c r="AP323" s="589">
        <f t="shared" si="918"/>
        <v>2.8002193329696198E-3</v>
      </c>
      <c r="AQ323" s="196"/>
      <c r="AR323" s="589"/>
      <c r="AS323">
        <v>1</v>
      </c>
      <c r="AT323" s="589">
        <f t="shared" si="919"/>
        <v>1.2919896640826874E-3</v>
      </c>
      <c r="AU323">
        <v>13</v>
      </c>
      <c r="AV323" s="245">
        <f t="shared" si="901"/>
        <v>1.4771048744460858E-3</v>
      </c>
      <c r="AX323" s="245"/>
      <c r="AY323" s="245"/>
      <c r="AZ323">
        <v>50</v>
      </c>
      <c r="BA323" s="589">
        <f t="shared" si="793"/>
        <v>1.8321058224323038E-3</v>
      </c>
      <c r="BI323" s="196">
        <v>1</v>
      </c>
      <c r="BJ323" s="196">
        <f t="shared" si="859"/>
        <v>401568.5359083197</v>
      </c>
      <c r="BK323" s="246">
        <f t="shared" si="794"/>
        <v>7.6576696981474632E-3</v>
      </c>
      <c r="BL323" s="196">
        <f t="shared" si="874"/>
        <v>8031.370718166394</v>
      </c>
      <c r="BM323" s="246">
        <f t="shared" si="795"/>
        <v>7.6576688219847176E-3</v>
      </c>
      <c r="BN323" s="196">
        <v>0</v>
      </c>
      <c r="BO323" s="196">
        <f t="shared" si="860"/>
        <v>51444.281803044745</v>
      </c>
      <c r="BP323" s="196">
        <f t="shared" si="902"/>
        <v>0</v>
      </c>
      <c r="BQ323" s="248">
        <f t="shared" si="796"/>
        <v>0</v>
      </c>
      <c r="BR323" s="248"/>
      <c r="BS323" s="248"/>
      <c r="BT323" s="276">
        <v>1</v>
      </c>
      <c r="BU323" s="196">
        <f t="shared" si="875"/>
        <v>109931.81381103655</v>
      </c>
      <c r="BV323" s="264">
        <f t="shared" si="797"/>
        <v>7.6250788340263206E-3</v>
      </c>
      <c r="BW323" s="196">
        <f t="shared" si="876"/>
        <v>470263.87019165634</v>
      </c>
      <c r="BX323" s="247">
        <f t="shared" si="798"/>
        <v>7.625078902713322E-3</v>
      </c>
      <c r="BY323" s="196">
        <f t="shared" si="833"/>
        <v>580195.68400269293</v>
      </c>
      <c r="BZ323" s="620">
        <v>0</v>
      </c>
      <c r="CA323" s="196">
        <f t="shared" si="861"/>
        <v>221216.9548754287</v>
      </c>
      <c r="CB323" s="196">
        <f t="shared" si="862"/>
        <v>442433.90975085739</v>
      </c>
      <c r="CC323" s="196">
        <f t="shared" si="915"/>
        <v>663650.86462628609</v>
      </c>
      <c r="CD323" s="247">
        <f t="shared" si="903"/>
        <v>2.8002193329696198E-3</v>
      </c>
      <c r="CE323" s="196">
        <f t="shared" si="863"/>
        <v>78928.45008210896</v>
      </c>
      <c r="CF323" s="247">
        <f t="shared" si="904"/>
        <v>3.4083759377367337E-3</v>
      </c>
      <c r="CG323" s="196">
        <f t="shared" si="877"/>
        <v>109885.54621263123</v>
      </c>
      <c r="CH323" s="589">
        <f t="shared" si="920"/>
        <v>2.8002193329696198E-3</v>
      </c>
      <c r="CI323" s="196">
        <f t="shared" si="864"/>
        <v>222974.09140565465</v>
      </c>
      <c r="CJ323" s="248">
        <f t="shared" si="921"/>
        <v>3.6656934967258864E-3</v>
      </c>
      <c r="CK323" s="196">
        <f t="shared" si="865"/>
        <v>178054.29374803361</v>
      </c>
      <c r="CL323" s="589">
        <f t="shared" si="922"/>
        <v>2.55956709683368E-3</v>
      </c>
      <c r="CM323" s="196">
        <f t="shared" si="866"/>
        <v>17249.0180283792</v>
      </c>
      <c r="CN323" s="589">
        <f t="shared" si="923"/>
        <v>2.4857795269600945E-3</v>
      </c>
      <c r="CO323" s="196">
        <f t="shared" si="867"/>
        <v>1379.9107907011294</v>
      </c>
      <c r="CP323" s="589">
        <f t="shared" si="924"/>
        <v>2.6022992058723914E-3</v>
      </c>
      <c r="CQ323" s="196">
        <f>'Detailed Budget'!$AC$12</f>
        <v>292876014141.44696</v>
      </c>
      <c r="CR323" s="269">
        <f t="shared" si="925"/>
        <v>2242747778.8051662</v>
      </c>
      <c r="CS323" s="269">
        <f>'Detailed Budget'!$AC$16</f>
        <v>10488008800.000002</v>
      </c>
      <c r="CT323" s="607">
        <f t="shared" si="878"/>
        <v>80313697.992461368</v>
      </c>
      <c r="CU323" s="269">
        <f>'Detailed Budget'!$AC$24</f>
        <v>30624985696</v>
      </c>
      <c r="CV323" s="269">
        <f t="shared" si="792"/>
        <v>234516024.97045869</v>
      </c>
      <c r="CW323" s="269"/>
      <c r="CX323" s="269">
        <f t="shared" si="916"/>
        <v>2557577501.768086</v>
      </c>
      <c r="CY323" s="196">
        <f>'Detailed Budget'!$AC$97</f>
        <v>74629165494.837845</v>
      </c>
      <c r="CZ323" s="269">
        <f t="shared" si="879"/>
        <v>0</v>
      </c>
      <c r="DA323" s="269">
        <f>'Detailed Budget'!$AC$100</f>
        <v>14925833098.967569</v>
      </c>
      <c r="DB323" s="269">
        <f t="shared" si="880"/>
        <v>0</v>
      </c>
      <c r="DC323" s="269">
        <f t="shared" si="905"/>
        <v>0</v>
      </c>
      <c r="DD323" s="207">
        <v>0</v>
      </c>
      <c r="DE323" s="606">
        <v>0</v>
      </c>
      <c r="DF323" s="269">
        <f>'Detailed Budget'!$AC$147</f>
        <v>5913600671000</v>
      </c>
      <c r="DG323" s="269">
        <f t="shared" si="787"/>
        <v>0</v>
      </c>
      <c r="DH323" s="269">
        <f>'Detailed Budget'!$AC$153</f>
        <v>226428026880.00003</v>
      </c>
      <c r="DI323" s="269"/>
      <c r="DJ323" s="269">
        <f>'Detailed Budget'!$AC$156</f>
        <v>27713070000</v>
      </c>
      <c r="DK323" s="269"/>
      <c r="DL323" s="269"/>
      <c r="DM323" s="196">
        <f>'Detailed Budget'!$AC$178</f>
        <v>5622683761.6229038</v>
      </c>
      <c r="DN323" s="269">
        <f t="shared" si="868"/>
        <v>42873406.941174299</v>
      </c>
      <c r="DO323" s="196">
        <f>'Detailed Budget'!$AC$179</f>
        <v>26827890683.128094</v>
      </c>
      <c r="DP323" s="269">
        <f t="shared" si="869"/>
        <v>204564783.25221932</v>
      </c>
      <c r="DQ323" s="269">
        <f t="shared" si="870"/>
        <v>247438190.19339362</v>
      </c>
      <c r="DR323" s="269">
        <f>'Detailed Budget'!$AC$181</f>
        <v>50888946855.375237</v>
      </c>
      <c r="DS323" s="269">
        <f t="shared" si="871"/>
        <v>310257202.02460951</v>
      </c>
      <c r="DT323" s="269">
        <f t="shared" si="872"/>
        <v>557695392.21800315</v>
      </c>
      <c r="DU323" s="272">
        <f>'Detailed Budget'!$AC$192</f>
        <v>77498869683.252869</v>
      </c>
      <c r="DV323" s="269">
        <f t="shared" si="881"/>
        <v>0</v>
      </c>
      <c r="DW323" s="140">
        <f>'Detailed Budget'!$AC$194</f>
        <v>2684962805.4134097</v>
      </c>
      <c r="DX323" s="269">
        <f t="shared" si="882"/>
        <v>0</v>
      </c>
      <c r="DY323" s="607">
        <f t="shared" si="906"/>
        <v>0</v>
      </c>
      <c r="DZ323" s="196">
        <f>'Detailed Budget'!$AC$198</f>
        <v>18732540018.380611</v>
      </c>
      <c r="EA323" s="269">
        <f t="shared" si="852"/>
        <v>63847538.651338905</v>
      </c>
      <c r="EB323" s="196">
        <f>'Detailed Budget'!$AC$200</f>
        <v>4683135004.5951529</v>
      </c>
      <c r="EC323" s="269">
        <f t="shared" si="883"/>
        <v>15961884.662834726</v>
      </c>
      <c r="ED323" s="269">
        <f t="shared" si="907"/>
        <v>79809423.314173639</v>
      </c>
      <c r="EE323" s="196">
        <f>'Detailed Budget'!$AC$161</f>
        <v>251147290106.36197</v>
      </c>
      <c r="EF323" s="269">
        <f t="shared" si="884"/>
        <v>703267497.17876446</v>
      </c>
      <c r="EG323" s="196">
        <f>'Detailed Budget'!$AC$163</f>
        <v>15696705631.647623</v>
      </c>
      <c r="EH323" s="269">
        <f t="shared" si="885"/>
        <v>43954218.573672779</v>
      </c>
      <c r="EI323" s="269">
        <f t="shared" si="908"/>
        <v>747221715.75243723</v>
      </c>
      <c r="EJ323" s="196">
        <f>'Detailed Budget'!$AC$204</f>
        <v>45012172507.531975</v>
      </c>
      <c r="EK323" s="269">
        <f t="shared" si="886"/>
        <v>165000828.03436369</v>
      </c>
      <c r="EL323" s="201">
        <f>'Detailed Budget'!$AC$206</f>
        <v>11253043126.882994</v>
      </c>
      <c r="EM323" s="269">
        <f t="shared" si="887"/>
        <v>41250207.008590922</v>
      </c>
      <c r="EN323" s="269">
        <f t="shared" si="909"/>
        <v>206251035.04295462</v>
      </c>
      <c r="EO323" s="140">
        <f>'Detailed Budget'!$AC$209</f>
        <v>135789361677.54817</v>
      </c>
      <c r="EP323" s="269">
        <f t="shared" si="888"/>
        <v>347561982.24990052</v>
      </c>
      <c r="EQ323" s="196">
        <f>'Detailed Budget'!$AC$211</f>
        <v>33947340419.387043</v>
      </c>
      <c r="ER323" s="269">
        <f t="shared" si="889"/>
        <v>86890495.56247513</v>
      </c>
      <c r="ES323" s="269">
        <f t="shared" si="910"/>
        <v>434452477.81237566</v>
      </c>
      <c r="ET323" s="196">
        <f>'Detailed Budget'!$AC$214</f>
        <v>22239745544.201103</v>
      </c>
      <c r="EU323" s="269">
        <f t="shared" si="890"/>
        <v>55283104.158577085</v>
      </c>
      <c r="EV323" s="140">
        <f>'Detailed Budget'!$AC$217</f>
        <v>5559936386.0502758</v>
      </c>
      <c r="EW323" s="269">
        <f t="shared" si="891"/>
        <v>13820776.039644271</v>
      </c>
      <c r="EX323" s="269">
        <f t="shared" si="911"/>
        <v>69103880.198221356</v>
      </c>
      <c r="EY323" s="196">
        <f>'Detailed Budget'!$AC$219</f>
        <v>372777004.58170313</v>
      </c>
      <c r="EZ323" s="269">
        <f t="shared" si="892"/>
        <v>970077.30299045483</v>
      </c>
      <c r="FA323" s="196">
        <f>'Detailed Budget'!$AC$222</f>
        <v>93194251.145425782</v>
      </c>
      <c r="FB323" s="269">
        <f t="shared" si="893"/>
        <v>242519.32574761371</v>
      </c>
      <c r="FC323" s="269">
        <f t="shared" si="912"/>
        <v>1212596.6287380685</v>
      </c>
      <c r="FD323" s="269"/>
      <c r="FE323" s="269">
        <f t="shared" si="913"/>
        <v>711019989.6822896</v>
      </c>
      <c r="FF323" s="140">
        <f>'Detailed Budget'!$AC$165</f>
        <v>14927760000</v>
      </c>
      <c r="FG323" s="1087">
        <f t="shared" si="788"/>
        <v>969878331.0796243</v>
      </c>
      <c r="FH323" s="269">
        <f t="shared" si="853"/>
        <v>22049867.060561303</v>
      </c>
      <c r="FJ323" s="140">
        <f>'Detailed Budget'!$AC$235</f>
        <v>3623696172</v>
      </c>
      <c r="FK323" s="269">
        <f t="shared" si="854"/>
        <v>4681778</v>
      </c>
      <c r="FL323" s="269">
        <f t="shared" si="789"/>
        <v>4681778</v>
      </c>
      <c r="FO323" s="607"/>
      <c r="FP323" s="607"/>
      <c r="FQ323" s="607"/>
      <c r="FR323" s="269">
        <f>'Detailed Budget'!$AC$257</f>
        <v>13636439388</v>
      </c>
      <c r="FS323" s="269">
        <f t="shared" si="855"/>
        <v>24983400</v>
      </c>
      <c r="FT323" s="269">
        <f t="shared" si="790"/>
        <v>24983400</v>
      </c>
      <c r="FU323" s="269"/>
      <c r="FV323" s="269"/>
      <c r="FW323" s="269"/>
      <c r="FX323" s="140">
        <f>'Detailed Budget'!$AC$278</f>
        <v>1114560000</v>
      </c>
      <c r="FY323" s="269">
        <f t="shared" si="856"/>
        <v>1440000</v>
      </c>
      <c r="FZ323" s="269">
        <f t="shared" si="791"/>
        <v>1440000</v>
      </c>
      <c r="GB323" s="269">
        <f t="shared" si="799"/>
        <v>5676357398.8751745</v>
      </c>
      <c r="GC323" s="887">
        <f t="shared" si="914"/>
        <v>3547723.3742969842</v>
      </c>
      <c r="GD323" s="1078">
        <f t="shared" si="800"/>
        <v>3.1851828799114188E-3</v>
      </c>
    </row>
    <row r="324" spans="1:186" hidden="1" outlineLevel="1">
      <c r="A324" s="211"/>
      <c r="B324" s="212"/>
      <c r="C324" s="213"/>
      <c r="D324" s="214"/>
      <c r="E324" s="213"/>
      <c r="F324" s="213"/>
      <c r="G324" s="213"/>
      <c r="H324" s="213"/>
      <c r="I324" s="214"/>
      <c r="J324" s="214"/>
      <c r="K324" s="213"/>
      <c r="L324" s="213"/>
      <c r="M324" s="214"/>
      <c r="N324" s="213"/>
      <c r="O324" s="214"/>
      <c r="P324" s="213"/>
      <c r="Q324" s="214"/>
      <c r="R324" s="214"/>
      <c r="S324" s="214"/>
      <c r="T324" s="214"/>
      <c r="U324" s="215"/>
      <c r="V324" s="845"/>
      <c r="W324" s="216"/>
      <c r="X324" s="217"/>
      <c r="Y324" s="218"/>
      <c r="Z324" s="196"/>
      <c r="AA324" s="218"/>
      <c r="AG324" s="606"/>
      <c r="AJ324" s="196"/>
      <c r="AK324" s="196"/>
      <c r="AL324" s="196"/>
      <c r="AM324" s="196"/>
      <c r="AO324" s="196"/>
      <c r="AP324" s="589"/>
      <c r="AQ324" s="196"/>
      <c r="AR324" s="589"/>
      <c r="AS324"/>
      <c r="AT324" s="589"/>
      <c r="AU324"/>
      <c r="AV324" s="245"/>
      <c r="AX324" s="245"/>
      <c r="AY324" s="245"/>
      <c r="AZ324"/>
      <c r="BA324" s="589">
        <f t="shared" si="793"/>
        <v>0</v>
      </c>
      <c r="BK324" s="246">
        <f t="shared" si="794"/>
        <v>0</v>
      </c>
      <c r="BL324" s="246"/>
      <c r="BM324" s="246">
        <f t="shared" si="795"/>
        <v>0</v>
      </c>
      <c r="BN324" s="196"/>
      <c r="BQ324" s="248">
        <f t="shared" si="796"/>
        <v>0</v>
      </c>
      <c r="BR324" s="248"/>
      <c r="BS324" s="248"/>
      <c r="BT324" s="276"/>
      <c r="BV324" s="264">
        <f t="shared" si="797"/>
        <v>0</v>
      </c>
      <c r="BX324" s="247">
        <f t="shared" si="798"/>
        <v>0</v>
      </c>
      <c r="BY324" s="196"/>
      <c r="BZ324" s="620"/>
      <c r="CA324" s="196"/>
      <c r="CB324" s="196"/>
      <c r="CC324" s="196"/>
      <c r="CD324" s="247"/>
      <c r="CF324" s="247"/>
      <c r="CG324" s="196"/>
      <c r="CH324" s="589"/>
      <c r="CI324" s="196"/>
      <c r="CJ324" s="248"/>
      <c r="CK324" s="196"/>
      <c r="CL324" s="589"/>
      <c r="CM324" s="196"/>
      <c r="CN324" s="589"/>
      <c r="CO324" s="196"/>
      <c r="CP324" s="589"/>
      <c r="CQ324" s="196"/>
      <c r="CR324" s="269">
        <f t="shared" si="925"/>
        <v>0</v>
      </c>
      <c r="CS324" s="269"/>
      <c r="CT324" s="607"/>
      <c r="CU324" s="269">
        <f>'Detailed Budget'!$AC$24</f>
        <v>30624985696</v>
      </c>
      <c r="CV324" s="269">
        <f t="shared" si="792"/>
        <v>0</v>
      </c>
      <c r="CW324" s="269"/>
      <c r="CX324" s="269"/>
      <c r="CY324" s="196"/>
      <c r="DC324" s="269"/>
      <c r="DD324" s="207"/>
      <c r="DE324" s="606">
        <v>0</v>
      </c>
      <c r="DF324" s="269">
        <f>'Detailed Budget'!$AC$147</f>
        <v>5913600671000</v>
      </c>
      <c r="DG324" s="269">
        <f t="shared" si="787"/>
        <v>0</v>
      </c>
      <c r="DH324" s="269">
        <f>'Detailed Budget'!$AC$153</f>
        <v>226428026880.00003</v>
      </c>
      <c r="DI324" s="269"/>
      <c r="DJ324" s="269">
        <f>'Detailed Budget'!$AC$156</f>
        <v>27713070000</v>
      </c>
      <c r="DK324" s="269"/>
      <c r="DL324" s="269"/>
      <c r="DM324" s="196"/>
      <c r="DN324" s="269"/>
      <c r="DO324" s="196"/>
      <c r="DP324" s="269"/>
      <c r="DQ324" s="269"/>
      <c r="DR324" s="269"/>
      <c r="DS324" s="269"/>
      <c r="DT324" s="269"/>
      <c r="DU324" s="272"/>
      <c r="DV324" s="269"/>
      <c r="DW324" s="140"/>
      <c r="DX324" s="269"/>
      <c r="DY324" s="607"/>
      <c r="DZ324" s="196"/>
      <c r="EA324" s="269"/>
      <c r="EB324" s="196"/>
      <c r="ED324" s="269"/>
      <c r="EE324" s="196"/>
      <c r="EG324" s="196"/>
      <c r="EI324" s="269"/>
      <c r="EJ324" s="196"/>
      <c r="EL324" s="201"/>
      <c r="EN324" s="269"/>
      <c r="EO324" s="140"/>
      <c r="EQ324" s="196"/>
      <c r="ES324" s="269"/>
      <c r="ET324" s="196"/>
      <c r="EV324" s="140"/>
      <c r="EX324" s="269"/>
      <c r="EY324" s="196"/>
      <c r="FA324" s="196"/>
      <c r="FC324" s="269"/>
      <c r="FD324" s="269"/>
      <c r="FE324" s="269"/>
      <c r="FF324" s="140"/>
      <c r="FG324" s="1087">
        <f t="shared" si="788"/>
        <v>0</v>
      </c>
      <c r="FJ324" s="140"/>
      <c r="FL324" s="269">
        <f t="shared" si="789"/>
        <v>0</v>
      </c>
      <c r="FO324" s="607"/>
      <c r="FP324" s="607"/>
      <c r="FQ324" s="607"/>
      <c r="FT324" s="269">
        <f t="shared" si="790"/>
        <v>0</v>
      </c>
      <c r="FU324" s="269"/>
      <c r="FV324" s="269"/>
      <c r="FW324" s="269"/>
      <c r="FX324" s="140">
        <f>'Detailed Budget'!$AC$278</f>
        <v>1114560000</v>
      </c>
      <c r="FY324" s="269"/>
      <c r="FZ324" s="269"/>
      <c r="GB324" s="269">
        <f t="shared" si="799"/>
        <v>0</v>
      </c>
      <c r="GD324" s="1078">
        <f t="shared" si="800"/>
        <v>0</v>
      </c>
    </row>
    <row r="325" spans="1:186" s="210" customFormat="1" collapsed="1">
      <c r="A325" s="203">
        <v>3.3</v>
      </c>
      <c r="B325" s="204" t="s">
        <v>794</v>
      </c>
      <c r="C325" s="205">
        <f t="shared" ref="C325:T325" si="928">COUNTA(C326:C369)</f>
        <v>44</v>
      </c>
      <c r="D325" s="205">
        <f t="shared" si="928"/>
        <v>44</v>
      </c>
      <c r="E325" s="205">
        <f t="shared" si="928"/>
        <v>0</v>
      </c>
      <c r="F325" s="205">
        <f t="shared" si="928"/>
        <v>0</v>
      </c>
      <c r="G325" s="205">
        <f t="shared" si="928"/>
        <v>0</v>
      </c>
      <c r="H325" s="205">
        <f t="shared" si="928"/>
        <v>44</v>
      </c>
      <c r="I325" s="205">
        <f t="shared" si="928"/>
        <v>44</v>
      </c>
      <c r="J325" s="205">
        <f t="shared" si="928"/>
        <v>0</v>
      </c>
      <c r="K325" s="205">
        <f t="shared" si="928"/>
        <v>42</v>
      </c>
      <c r="L325" s="205">
        <f t="shared" si="928"/>
        <v>0</v>
      </c>
      <c r="M325" s="205">
        <f t="shared" si="928"/>
        <v>2</v>
      </c>
      <c r="N325" s="205">
        <f t="shared" si="928"/>
        <v>0</v>
      </c>
      <c r="O325" s="205">
        <f t="shared" si="928"/>
        <v>0</v>
      </c>
      <c r="P325" s="205">
        <f t="shared" si="928"/>
        <v>0</v>
      </c>
      <c r="Q325" s="205">
        <f t="shared" si="928"/>
        <v>7</v>
      </c>
      <c r="R325" s="205">
        <f t="shared" si="928"/>
        <v>37</v>
      </c>
      <c r="S325" s="205">
        <f t="shared" si="928"/>
        <v>0</v>
      </c>
      <c r="T325" s="205">
        <f t="shared" si="928"/>
        <v>0</v>
      </c>
      <c r="U325" s="206">
        <f>SUM(C325:T325)</f>
        <v>264</v>
      </c>
      <c r="V325" s="844"/>
      <c r="W325" s="207">
        <f>SUM(W326:W369)</f>
        <v>9401288</v>
      </c>
      <c r="X325" s="208">
        <v>3.36</v>
      </c>
      <c r="Y325" s="209">
        <f t="shared" si="826"/>
        <v>1.0336000000000001</v>
      </c>
      <c r="Z325" s="207">
        <v>19</v>
      </c>
      <c r="AA325" s="209">
        <f t="shared" si="827"/>
        <v>1.873689022502546</v>
      </c>
      <c r="AB325" s="207">
        <f t="shared" si="894"/>
        <v>17615090.122984916</v>
      </c>
      <c r="AC325" s="210">
        <v>19.3</v>
      </c>
      <c r="AD325" s="207">
        <f t="shared" si="895"/>
        <v>3399712.3937360886</v>
      </c>
      <c r="AE325" s="207">
        <f t="shared" si="849"/>
        <v>3229726.7740492839</v>
      </c>
      <c r="AF325" s="207">
        <f>SUM(AF326:AF369)</f>
        <v>3229726.7740492844</v>
      </c>
      <c r="AG325" s="588">
        <f t="shared" si="917"/>
        <v>0.1493283872658292</v>
      </c>
      <c r="AH325" s="207">
        <f>SUM(AH326:AH369)</f>
        <v>880754.50614924601</v>
      </c>
      <c r="AI325" s="633">
        <f t="shared" si="896"/>
        <v>6.8230717117959014E-2</v>
      </c>
      <c r="AJ325" s="207">
        <f>SUM(AJ326:AJ369)</f>
        <v>4280466.8998853341</v>
      </c>
      <c r="AK325" s="207">
        <f t="shared" si="926"/>
        <v>704603.60491939669</v>
      </c>
      <c r="AL325" s="207">
        <f t="shared" si="927"/>
        <v>704603.60491939669</v>
      </c>
      <c r="AM325" s="207">
        <f t="shared" si="898"/>
        <v>1409207.2098387934</v>
      </c>
      <c r="AN325" s="632">
        <f t="shared" si="899"/>
        <v>6.8230717117959E-2</v>
      </c>
      <c r="AO325" s="207">
        <f t="shared" si="900"/>
        <v>669373.42467342678</v>
      </c>
      <c r="AP325" s="588">
        <f t="shared" si="918"/>
        <v>6.8230717117959E-2</v>
      </c>
      <c r="AQ325" s="207">
        <v>1</v>
      </c>
      <c r="AR325" s="588">
        <f>AQ325/37</f>
        <v>2.7027027027027029E-2</v>
      </c>
      <c r="AS325" s="207">
        <f>SUM(AS326:AS369)</f>
        <v>44</v>
      </c>
      <c r="AT325" s="588">
        <f t="shared" si="919"/>
        <v>5.6847545219638244E-2</v>
      </c>
      <c r="AU325" s="207">
        <f>SUM(AU326:AU369)</f>
        <v>484</v>
      </c>
      <c r="AV325" s="892">
        <f t="shared" si="901"/>
        <v>5.4993750710146574E-2</v>
      </c>
      <c r="AW325" s="207">
        <v>20680</v>
      </c>
      <c r="AX325" s="208">
        <f>AW325*0.002</f>
        <v>41.36</v>
      </c>
      <c r="AY325" s="207">
        <f>AX325*100</f>
        <v>4136</v>
      </c>
      <c r="AZ325" s="207">
        <f>SUM(AZ326:AZ369)</f>
        <v>1224</v>
      </c>
      <c r="BA325" s="588">
        <f t="shared" si="793"/>
        <v>4.4849950533142793E-2</v>
      </c>
      <c r="BB325" s="207">
        <v>48</v>
      </c>
      <c r="BC325" s="207">
        <v>2</v>
      </c>
      <c r="BD325" s="207">
        <f>BB325+BC325</f>
        <v>50</v>
      </c>
      <c r="BE325" s="633">
        <f>BD325/1306</f>
        <v>3.8284839203675342E-2</v>
      </c>
      <c r="BF325" s="207">
        <f>AZ325+BD325</f>
        <v>1274</v>
      </c>
      <c r="BG325" s="588">
        <f>BF325/28597</f>
        <v>4.455012763576599E-2</v>
      </c>
      <c r="BH325" s="1084">
        <v>43</v>
      </c>
      <c r="BI325" s="207"/>
      <c r="BJ325" s="207">
        <v>9786161</v>
      </c>
      <c r="BK325" s="892">
        <f t="shared" si="794"/>
        <v>0.18661618590556484</v>
      </c>
      <c r="BL325" s="207">
        <f>BJ325/50</f>
        <v>195723.22</v>
      </c>
      <c r="BM325" s="892">
        <f t="shared" si="795"/>
        <v>0.18661616455361885</v>
      </c>
      <c r="BN325" s="207"/>
      <c r="BO325" s="207">
        <v>1226893</v>
      </c>
      <c r="BP325" s="207">
        <f>SUM(BP326:BP369)</f>
        <v>0</v>
      </c>
      <c r="BQ325" s="633">
        <f t="shared" si="796"/>
        <v>0</v>
      </c>
      <c r="BR325" s="207">
        <f>AY325*0.5*24</f>
        <v>49632</v>
      </c>
      <c r="BS325" s="633">
        <f>BR325/2211211</f>
        <v>2.2445619165244745E-2</v>
      </c>
      <c r="BT325" s="634"/>
      <c r="BU325" s="207">
        <f>SUM(BU326:BU369)</f>
        <v>2570182.569664483</v>
      </c>
      <c r="BV325" s="264">
        <f t="shared" si="797"/>
        <v>0.1782727313607238</v>
      </c>
      <c r="BW325" s="207">
        <f>SUM(BW326:BW369)</f>
        <v>10994669.881342513</v>
      </c>
      <c r="BX325" s="247">
        <f t="shared" si="798"/>
        <v>0.17827273296661145</v>
      </c>
      <c r="BY325" s="207">
        <f>SUM(BY326:BY369)</f>
        <v>13564852.451006996</v>
      </c>
      <c r="CA325" s="207">
        <f>SUM(CA326:CA369)</f>
        <v>5390217.5776333837</v>
      </c>
      <c r="CB325" s="207">
        <f>SUM(CB326:CB369)</f>
        <v>10780435.155266767</v>
      </c>
      <c r="CC325" s="207">
        <f>SUM(CC326:CC369)</f>
        <v>16170652.73290015</v>
      </c>
      <c r="CD325" s="633">
        <f t="shared" si="903"/>
        <v>6.8230717117958986E-2</v>
      </c>
      <c r="CE325" s="207">
        <f>SUM(CE326:CE369)</f>
        <v>1380317.2260377912</v>
      </c>
      <c r="CF325" s="633">
        <f t="shared" si="904"/>
        <v>5.9606390531886849E-2</v>
      </c>
      <c r="CG325" s="207">
        <f t="shared" ref="CG325:CG356" si="929">AO325*4</f>
        <v>2677493.6986937071</v>
      </c>
      <c r="CH325" s="588">
        <f t="shared" si="920"/>
        <v>6.8230717117959E-2</v>
      </c>
      <c r="CI325" s="207">
        <f t="shared" ref="CI325:CO325" si="930">SUM(CI326:CI369)</f>
        <v>5526618.6400627345</v>
      </c>
      <c r="CJ325" s="633">
        <f t="shared" si="921"/>
        <v>9.0857596414218464E-2</v>
      </c>
      <c r="CK325" s="207">
        <f t="shared" si="930"/>
        <v>5032038.5827831766</v>
      </c>
      <c r="CL325" s="588">
        <f t="shared" si="922"/>
        <v>7.2336589673685656E-2</v>
      </c>
      <c r="CM325" s="207">
        <f t="shared" si="930"/>
        <v>487479.05645715719</v>
      </c>
      <c r="CN325" s="588">
        <f t="shared" si="923"/>
        <v>7.0251272064841636E-2</v>
      </c>
      <c r="CO325" s="207">
        <f t="shared" si="930"/>
        <v>38998.004516535511</v>
      </c>
      <c r="CP325" s="588">
        <f t="shared" si="924"/>
        <v>7.3544229719679388E-2</v>
      </c>
      <c r="CQ325" s="207">
        <f>'Detailed Budget'!$AC$12</f>
        <v>292876014141.44696</v>
      </c>
      <c r="CR325" s="605">
        <f t="shared" si="925"/>
        <v>54655404702.301102</v>
      </c>
      <c r="CS325" s="605">
        <f>'Detailed Budget'!$AC$16</f>
        <v>10488008800.000002</v>
      </c>
      <c r="CT325" s="605">
        <f t="shared" ref="CT325:CT356" si="931">BM325*CS325</f>
        <v>1957231976.0606029</v>
      </c>
      <c r="CU325" s="605">
        <f>'Detailed Budget'!$AC$24</f>
        <v>30624985696</v>
      </c>
      <c r="CV325" s="605">
        <f t="shared" si="792"/>
        <v>5715118024</v>
      </c>
      <c r="CW325" s="605"/>
      <c r="CX325" s="605">
        <f t="shared" si="916"/>
        <v>62327754702.361702</v>
      </c>
      <c r="CY325" s="207">
        <f>'Detailed Budget'!$AC$97</f>
        <v>74629165494.837845</v>
      </c>
      <c r="CZ325" s="605">
        <f t="shared" ref="CZ325:CZ356" si="932">BQ325*CY325</f>
        <v>0</v>
      </c>
      <c r="DA325" s="605">
        <f>'Detailed Budget'!$AC$100</f>
        <v>14925833098.967569</v>
      </c>
      <c r="DB325" s="605">
        <f t="shared" ref="DB325:DB356" si="933">BQ325*DA325</f>
        <v>0</v>
      </c>
      <c r="DC325" s="605">
        <f t="shared" si="905"/>
        <v>0</v>
      </c>
      <c r="DD325" s="207">
        <f>SUM(DD326:DD369)</f>
        <v>0</v>
      </c>
      <c r="DE325" s="606">
        <v>0</v>
      </c>
      <c r="DF325" s="605">
        <f>'Detailed Budget'!$AC$147</f>
        <v>5913600671000</v>
      </c>
      <c r="DG325" s="605">
        <f t="shared" si="787"/>
        <v>0</v>
      </c>
      <c r="DH325" s="605">
        <f>'Detailed Budget'!$AC$153</f>
        <v>226428026880.00003</v>
      </c>
      <c r="DI325" s="605">
        <f>BS325*DH325</f>
        <v>5082317259.6862812</v>
      </c>
      <c r="DJ325" s="605">
        <f>'Detailed Budget'!$AC$156</f>
        <v>27713070000</v>
      </c>
      <c r="DK325" s="605">
        <f>AT325*DJ325</f>
        <v>1575420000</v>
      </c>
      <c r="DL325" s="605">
        <f>DI325+DK325</f>
        <v>6657737259.6862812</v>
      </c>
      <c r="DM325" s="207">
        <f>'Detailed Budget'!$AC$178</f>
        <v>5622683761.6229038</v>
      </c>
      <c r="DN325" s="605">
        <f>SUM(DN326:DN369)</f>
        <v>1002371191.762104</v>
      </c>
      <c r="DO325" s="605">
        <f>'Detailed Budget'!$AC$179</f>
        <v>26827890683.128094</v>
      </c>
      <c r="DP325" s="605">
        <f>SUM(DP326:DP369)</f>
        <v>4782681391.8107376</v>
      </c>
      <c r="DQ325" s="605">
        <f>SUM(DQ326:DQ369)</f>
        <v>5785052583.5728407</v>
      </c>
      <c r="DR325" s="605">
        <f>'Detailed Budget'!$AC$181</f>
        <v>50888946855.375237</v>
      </c>
      <c r="DS325" s="605">
        <f>SUM(DS326:DS369)</f>
        <v>7599164363.5696764</v>
      </c>
      <c r="DT325" s="605">
        <f>SUM(DT326:DT369)</f>
        <v>13384216947.142517</v>
      </c>
      <c r="DU325" s="634">
        <f>'Detailed Budget'!$AC$192</f>
        <v>77498869683.252869</v>
      </c>
      <c r="DV325" s="605">
        <f t="shared" ref="DV325:DV356" si="934">BZ325*CD325*DU325</f>
        <v>0</v>
      </c>
      <c r="DW325" s="930">
        <f>'Detailed Budget'!$AC$194</f>
        <v>2684962805.4134097</v>
      </c>
      <c r="DX325" s="605">
        <f t="shared" ref="DX325:DX356" si="935">BZ325*AN325*DW325</f>
        <v>0</v>
      </c>
      <c r="DY325" s="605">
        <f t="shared" si="906"/>
        <v>0</v>
      </c>
      <c r="DZ325" s="207">
        <f>'Detailed Budget'!$AC$198</f>
        <v>18732540018.380611</v>
      </c>
      <c r="EA325" s="605">
        <f t="shared" ref="EA325:EA369" si="936">CF325*DZ325</f>
        <v>1116579095.9897935</v>
      </c>
      <c r="EB325" s="207">
        <f>'Detailed Budget'!$AC$200</f>
        <v>4683135004.5951529</v>
      </c>
      <c r="EC325" s="605">
        <f t="shared" ref="EC325:EC356" si="937">CF325*EB325</f>
        <v>279144773.99744838</v>
      </c>
      <c r="ED325" s="605">
        <f t="shared" si="907"/>
        <v>1395723869.987242</v>
      </c>
      <c r="EE325" s="207">
        <f>'Detailed Budget'!$AC$161</f>
        <v>251147290106.36197</v>
      </c>
      <c r="EF325" s="605">
        <f t="shared" ref="EF325:EF356" si="938">CH325*EE325</f>
        <v>17135959706.189167</v>
      </c>
      <c r="EG325" s="207">
        <f>'Detailed Budget'!$AC$163</f>
        <v>15696705631.647623</v>
      </c>
      <c r="EH325" s="605">
        <f t="shared" ref="EH325:EH356" si="939">AP325*EG325</f>
        <v>1070997481.6368229</v>
      </c>
      <c r="EI325" s="605">
        <f t="shared" si="908"/>
        <v>18206957187.825989</v>
      </c>
      <c r="EJ325" s="207">
        <f>'Detailed Budget'!$AC$204</f>
        <v>45012172507.531975</v>
      </c>
      <c r="EK325" s="605">
        <f t="shared" ref="EK325:EK356" si="940">CJ325*EJ325</f>
        <v>4089697803.4165201</v>
      </c>
      <c r="EL325" s="207">
        <f>'Detailed Budget'!$AC$206</f>
        <v>11253043126.882994</v>
      </c>
      <c r="EM325" s="605">
        <f t="shared" ref="EM325:EM356" si="941">CJ325*EL325</f>
        <v>1022424450.85413</v>
      </c>
      <c r="EN325" s="605">
        <f t="shared" si="909"/>
        <v>5112122254.2706499</v>
      </c>
      <c r="EO325" s="930">
        <f>'Detailed Budget'!$AC$209</f>
        <v>135789361677.54817</v>
      </c>
      <c r="EP325" s="605">
        <f t="shared" ref="EP325:EP356" si="942">CL325*EO325</f>
        <v>9822539337.7204971</v>
      </c>
      <c r="EQ325" s="207">
        <f>'Detailed Budget'!$AC$211</f>
        <v>33947340419.387043</v>
      </c>
      <c r="ER325" s="605">
        <f t="shared" ref="ER325:ER356" si="943">CL325*EQ325</f>
        <v>2455634834.4301243</v>
      </c>
      <c r="ES325" s="605">
        <f t="shared" si="910"/>
        <v>12278174172.150621</v>
      </c>
      <c r="ET325" s="207">
        <f>'Detailed Budget'!$AC$214</f>
        <v>22239745544.201103</v>
      </c>
      <c r="EU325" s="605">
        <f t="shared" ref="EU325:EU356" si="944">CN325*ET325</f>
        <v>1562370414.8785212</v>
      </c>
      <c r="EV325" s="930">
        <f>'Detailed Budget'!$AC$217</f>
        <v>5559936386.0502758</v>
      </c>
      <c r="EW325" s="605">
        <f t="shared" ref="EW325:EW356" si="945">CN325*EV325</f>
        <v>390592603.7196303</v>
      </c>
      <c r="EX325" s="605">
        <f t="shared" si="911"/>
        <v>1952963018.5981514</v>
      </c>
      <c r="EY325" s="207">
        <f>'Detailed Budget'!$AC$219</f>
        <v>372777004.58170313</v>
      </c>
      <c r="EZ325" s="605">
        <f t="shared" ref="EZ325:EZ356" si="946">CP325*EY325</f>
        <v>27415597.659170751</v>
      </c>
      <c r="FA325" s="207">
        <f>'Detailed Budget'!$AC$222</f>
        <v>93194251.145425782</v>
      </c>
      <c r="FB325" s="605">
        <f t="shared" ref="FB325:FB356" si="947">CP325*FA325</f>
        <v>6853899.4147926876</v>
      </c>
      <c r="FC325" s="605">
        <f t="shared" si="912"/>
        <v>34269497.073963441</v>
      </c>
      <c r="FD325" s="605"/>
      <c r="FE325" s="605">
        <f t="shared" si="913"/>
        <v>19377528942.093388</v>
      </c>
      <c r="FF325" s="930">
        <f>'Detailed Budget'!$AC$165</f>
        <v>14927760000</v>
      </c>
      <c r="FG325" s="1087">
        <f t="shared" si="788"/>
        <v>26432232150.325966</v>
      </c>
      <c r="FH325" s="605">
        <f t="shared" ref="FH325:FH369" si="948">AV325*FF325</f>
        <v>820933512.10089767</v>
      </c>
      <c r="FI325" s="605"/>
      <c r="FJ325" s="930">
        <f>'Detailed Budget'!$AC$235</f>
        <v>3623696172</v>
      </c>
      <c r="FK325" s="605">
        <f t="shared" ref="FK325:FK369" si="949">AT325*FJ325</f>
        <v>205998232</v>
      </c>
      <c r="FL325" s="605">
        <f t="shared" si="789"/>
        <v>205998232</v>
      </c>
      <c r="FM325" s="605"/>
      <c r="FN325" s="605">
        <f>'Detailed Budget'!$AC$251</f>
        <v>1047595800</v>
      </c>
      <c r="FO325" s="605">
        <f>AR325*FN325</f>
        <v>28313400</v>
      </c>
      <c r="FP325" s="605">
        <f>'Detailed Budget'!$AB$254</f>
        <v>2773297530</v>
      </c>
      <c r="FQ325" s="605">
        <f>BE325*FP325</f>
        <v>106175249.99999999</v>
      </c>
      <c r="FR325" s="605">
        <f>'Detailed Budget'!$AC$257</f>
        <v>13636439388</v>
      </c>
      <c r="FS325" s="605">
        <f t="shared" ref="FS325:FS369" si="950">BA325*FR325</f>
        <v>611593632</v>
      </c>
      <c r="FT325" s="605">
        <f t="shared" si="790"/>
        <v>746082282</v>
      </c>
      <c r="FU325" s="605"/>
      <c r="FV325" s="605">
        <f>'Detailed Budget'!$AC$265</f>
        <v>6277805540</v>
      </c>
      <c r="FW325" s="605">
        <f>AR325*FV325</f>
        <v>169670420</v>
      </c>
      <c r="FX325" s="930">
        <f>'Detailed Budget'!$AC$278</f>
        <v>1114560000</v>
      </c>
      <c r="FY325" s="605">
        <f t="shared" ref="FY325:FY369" si="951">AT325*FX325</f>
        <v>63360000</v>
      </c>
      <c r="FZ325" s="605">
        <f t="shared" si="791"/>
        <v>233030420</v>
      </c>
      <c r="GB325" s="269">
        <f t="shared" si="799"/>
        <v>149788195505.52399</v>
      </c>
      <c r="GC325" s="889">
        <f t="shared" si="914"/>
        <v>93617622.190952495</v>
      </c>
      <c r="GD325" s="1078">
        <f t="shared" si="800"/>
        <v>8.4050873194059642E-2</v>
      </c>
    </row>
    <row r="326" spans="1:186" hidden="1" outlineLevel="1">
      <c r="A326" s="211" t="s">
        <v>795</v>
      </c>
      <c r="B326" s="212" t="s">
        <v>796</v>
      </c>
      <c r="C326" s="213" t="s">
        <v>215</v>
      </c>
      <c r="D326" s="214" t="s">
        <v>215</v>
      </c>
      <c r="E326" s="213"/>
      <c r="F326" s="213"/>
      <c r="G326" s="213"/>
      <c r="H326" s="213" t="s">
        <v>215</v>
      </c>
      <c r="I326" s="214" t="s">
        <v>215</v>
      </c>
      <c r="J326" s="214"/>
      <c r="K326" s="213" t="s">
        <v>215</v>
      </c>
      <c r="L326" s="213"/>
      <c r="M326" s="214"/>
      <c r="N326" s="213"/>
      <c r="O326" s="214"/>
      <c r="P326" s="213"/>
      <c r="Q326" s="214"/>
      <c r="R326" s="214" t="s">
        <v>215</v>
      </c>
      <c r="S326" s="214"/>
      <c r="T326" s="213"/>
      <c r="U326" s="215">
        <f t="shared" ref="U326:U369" si="952">COUNTA(C326:T326)</f>
        <v>6</v>
      </c>
      <c r="V326" s="845" t="s">
        <v>219</v>
      </c>
      <c r="W326" s="216">
        <v>172610</v>
      </c>
      <c r="X326" s="217">
        <v>3.36</v>
      </c>
      <c r="Y326" s="218">
        <f t="shared" si="826"/>
        <v>1.0336000000000001</v>
      </c>
      <c r="Z326" s="196">
        <v>19</v>
      </c>
      <c r="AA326" s="218">
        <f t="shared" si="827"/>
        <v>1.873689022502546</v>
      </c>
      <c r="AB326" s="196">
        <f t="shared" si="894"/>
        <v>323417.46217416448</v>
      </c>
      <c r="AC326">
        <v>19.3</v>
      </c>
      <c r="AD326" s="196">
        <f t="shared" si="895"/>
        <v>62419.57019961375</v>
      </c>
      <c r="AE326" s="196">
        <f t="shared" si="849"/>
        <v>59298.59168963306</v>
      </c>
      <c r="AF326" s="196">
        <f t="shared" ref="AF326:AF370" si="953">AE326*BT326</f>
        <v>59298.59168963306</v>
      </c>
      <c r="AG326" s="606">
        <f t="shared" si="917"/>
        <v>2.7417065540333175E-3</v>
      </c>
      <c r="AH326" s="196">
        <f>AB326*0.05</f>
        <v>16170.873108708225</v>
      </c>
      <c r="AI326" s="248">
        <f t="shared" si="896"/>
        <v>1.2527330384656766E-3</v>
      </c>
      <c r="AJ326" s="196">
        <f t="shared" si="897"/>
        <v>78590.443308321977</v>
      </c>
      <c r="AK326" s="196">
        <f t="shared" si="926"/>
        <v>12936.698486966579</v>
      </c>
      <c r="AL326" s="196">
        <f t="shared" si="927"/>
        <v>12936.698486966579</v>
      </c>
      <c r="AM326" s="196">
        <f t="shared" si="898"/>
        <v>25873.396973933159</v>
      </c>
      <c r="AN326" s="627">
        <f t="shared" si="899"/>
        <v>1.2527330384656766E-3</v>
      </c>
      <c r="AO326" s="196">
        <f t="shared" si="900"/>
        <v>12289.863562618249</v>
      </c>
      <c r="AP326" s="589">
        <f t="shared" si="918"/>
        <v>1.2527330384656764E-3</v>
      </c>
      <c r="AQ326" s="196"/>
      <c r="AR326" s="589"/>
      <c r="AS326">
        <v>1</v>
      </c>
      <c r="AT326" s="589">
        <f t="shared" si="919"/>
        <v>1.2919896640826874E-3</v>
      </c>
      <c r="AU326" s="196">
        <v>10</v>
      </c>
      <c r="AV326" s="245">
        <f t="shared" si="901"/>
        <v>1.1362345188046814E-3</v>
      </c>
      <c r="AX326" s="245"/>
      <c r="AY326" s="245"/>
      <c r="AZ326" s="196">
        <v>29</v>
      </c>
      <c r="BA326" s="589">
        <f t="shared" si="793"/>
        <v>1.0626213770107361E-3</v>
      </c>
      <c r="BI326" s="196">
        <v>1</v>
      </c>
      <c r="BJ326" s="196">
        <f t="shared" ref="BJ326:BJ369" si="954">AB326/17615090*9786161</f>
        <v>179676.36583450803</v>
      </c>
      <c r="BK326" s="246">
        <f t="shared" si="794"/>
        <v>3.426319890854936E-3</v>
      </c>
      <c r="BL326" s="196">
        <f>BJ326/50</f>
        <v>3593.5273166901607</v>
      </c>
      <c r="BM326" s="246">
        <f t="shared" si="795"/>
        <v>3.426319498827862E-3</v>
      </c>
      <c r="BN326" s="196">
        <v>0</v>
      </c>
      <c r="BO326" s="196">
        <f t="shared" ref="BO326:BO369" si="955">AJ326/4280467*1226893</f>
        <v>22526.06193713842</v>
      </c>
      <c r="BP326" s="196">
        <f t="shared" si="902"/>
        <v>0</v>
      </c>
      <c r="BQ326" s="248">
        <f t="shared" si="796"/>
        <v>0</v>
      </c>
      <c r="BR326" s="248"/>
      <c r="BS326" s="248"/>
      <c r="BT326" s="276">
        <v>1</v>
      </c>
      <c r="BU326" s="196">
        <f>AD326*BT326*0.18*4*1.05</f>
        <v>47189.195070907997</v>
      </c>
      <c r="BV326" s="264">
        <f t="shared" si="797"/>
        <v>3.2731319538529769E-3</v>
      </c>
      <c r="BW326" s="196">
        <f>AD326*BT326*0.77*4*1.05</f>
        <v>201864.89002555088</v>
      </c>
      <c r="BX326" s="247">
        <f t="shared" si="798"/>
        <v>3.2731319833374747E-3</v>
      </c>
      <c r="BY326" s="196">
        <f t="shared" si="833"/>
        <v>249054.08509645888</v>
      </c>
      <c r="BZ326" s="620">
        <v>0</v>
      </c>
      <c r="CA326" s="196">
        <f t="shared" ref="CA326:CA370" si="956">AK326*0.85*0.75*12</f>
        <v>98965.743425294335</v>
      </c>
      <c r="CB326" s="196">
        <f t="shared" ref="CB326:CB370" si="957">AL326*0.85*0.75*2*12</f>
        <v>197931.48685058867</v>
      </c>
      <c r="CC326" s="196">
        <f t="shared" si="915"/>
        <v>296897.23027588299</v>
      </c>
      <c r="CD326" s="247">
        <f t="shared" si="903"/>
        <v>1.2527330384656766E-3</v>
      </c>
      <c r="CE326" s="196">
        <f t="shared" ref="CE326:CE369" si="958">AH326/880755*1380318</f>
        <v>25342.969642710992</v>
      </c>
      <c r="CF326" s="247">
        <f t="shared" si="904"/>
        <v>1.0943882444308683E-3</v>
      </c>
      <c r="CG326" s="196">
        <f t="shared" si="929"/>
        <v>49159.454250472998</v>
      </c>
      <c r="CH326" s="589">
        <f t="shared" si="920"/>
        <v>1.2527330384656764E-3</v>
      </c>
      <c r="CI326" s="196">
        <f t="shared" ref="CI326:CI369" si="959">AD326/3399712*5526618</f>
        <v>101470.1010607513</v>
      </c>
      <c r="CJ326" s="248">
        <f t="shared" si="921"/>
        <v>1.6681682038735808E-3</v>
      </c>
      <c r="CK326" s="196">
        <f t="shared" ref="CK326:CK369" si="960">AD326/3399712*5032038</f>
        <v>92389.487458974152</v>
      </c>
      <c r="CL326" s="589">
        <f t="shared" si="922"/>
        <v>1.3281178859295536E-3</v>
      </c>
      <c r="CM326" s="196">
        <f t="shared" ref="CM326:CM369" si="961">AD326/3399712*487479</f>
        <v>8950.2374499185553</v>
      </c>
      <c r="CN326" s="589">
        <f t="shared" si="923"/>
        <v>1.2898309328585953E-3</v>
      </c>
      <c r="CO326" s="196">
        <f t="shared" ref="CO326:CO369" si="962">AD326/3399712*38998</f>
        <v>716.01312071273594</v>
      </c>
      <c r="CP326" s="589">
        <f t="shared" si="924"/>
        <v>1.3502904593406628E-3</v>
      </c>
      <c r="CQ326" s="196">
        <f>'Detailed Budget'!$AC$12</f>
        <v>292876014141.44696</v>
      </c>
      <c r="CR326" s="269">
        <f t="shared" si="925"/>
        <v>1003486912.8071512</v>
      </c>
      <c r="CS326" s="269">
        <f>'Detailed Budget'!$AC$16</f>
        <v>10488008800.000002</v>
      </c>
      <c r="CT326" s="607">
        <f t="shared" si="931"/>
        <v>35935269.055318214</v>
      </c>
      <c r="CU326" s="269">
        <f>'Detailed Budget'!$AC$24</f>
        <v>30624985696</v>
      </c>
      <c r="CV326" s="269">
        <f t="shared" si="792"/>
        <v>104930997.6473527</v>
      </c>
      <c r="CW326" s="269"/>
      <c r="CX326" s="269">
        <f t="shared" si="916"/>
        <v>1144353179.5098221</v>
      </c>
      <c r="CY326" s="196">
        <f>'Detailed Budget'!$AC$97</f>
        <v>74629165494.837845</v>
      </c>
      <c r="CZ326" s="269">
        <f t="shared" si="932"/>
        <v>0</v>
      </c>
      <c r="DA326" s="269">
        <f>'Detailed Budget'!$AC$100</f>
        <v>14925833098.967569</v>
      </c>
      <c r="DB326" s="269">
        <f t="shared" si="933"/>
        <v>0</v>
      </c>
      <c r="DC326" s="269">
        <f t="shared" si="905"/>
        <v>0</v>
      </c>
      <c r="DD326" s="207">
        <v>0</v>
      </c>
      <c r="DE326" s="606">
        <v>0</v>
      </c>
      <c r="DF326" s="269">
        <f>'Detailed Budget'!$AC$147</f>
        <v>5913600671000</v>
      </c>
      <c r="DG326" s="269">
        <f t="shared" si="787"/>
        <v>0</v>
      </c>
      <c r="DH326" s="269">
        <f>'Detailed Budget'!$AC$153</f>
        <v>226428026880.00003</v>
      </c>
      <c r="DI326" s="269"/>
      <c r="DJ326" s="269">
        <f>'Detailed Budget'!$AC$156</f>
        <v>27713070000</v>
      </c>
      <c r="DK326" s="269"/>
      <c r="DL326" s="269"/>
      <c r="DM326" s="196">
        <f>'Detailed Budget'!$AC$178</f>
        <v>5622683761.6229038</v>
      </c>
      <c r="DN326" s="269">
        <f t="shared" ref="DN326:DN369" si="963">BT326*BV326*DM326</f>
        <v>18403785.88657818</v>
      </c>
      <c r="DO326" s="196">
        <f>'Detailed Budget'!$AC$179</f>
        <v>26827890683.128094</v>
      </c>
      <c r="DP326" s="269">
        <f t="shared" ref="DP326:DP369" si="964">BT326*BX326*DO326</f>
        <v>87811227.040428013</v>
      </c>
      <c r="DQ326" s="269">
        <f t="shared" si="870"/>
        <v>106215012.92700619</v>
      </c>
      <c r="DR326" s="269">
        <f>'Detailed Budget'!$AC$181</f>
        <v>50888946855.375237</v>
      </c>
      <c r="DS326" s="269">
        <f t="shared" ref="DS326:DS369" si="965">BT326*AG326*DR326</f>
        <v>139522559.12123546</v>
      </c>
      <c r="DT326" s="269">
        <f t="shared" ref="DT326:DT369" si="966">DQ326+DS326</f>
        <v>245737572.04824165</v>
      </c>
      <c r="DU326" s="272">
        <f>'Detailed Budget'!$AC$192</f>
        <v>77498869683.252869</v>
      </c>
      <c r="DV326" s="269">
        <f t="shared" si="934"/>
        <v>0</v>
      </c>
      <c r="DW326" s="140">
        <f>'Detailed Budget'!$AC$194</f>
        <v>2684962805.4134097</v>
      </c>
      <c r="DX326" s="269">
        <f t="shared" si="935"/>
        <v>0</v>
      </c>
      <c r="DY326" s="607">
        <f t="shared" si="906"/>
        <v>0</v>
      </c>
      <c r="DZ326" s="196">
        <f>'Detailed Budget'!$AC$198</f>
        <v>18732540018.380611</v>
      </c>
      <c r="EA326" s="269">
        <f t="shared" si="936"/>
        <v>20500671.584446542</v>
      </c>
      <c r="EB326" s="196">
        <f>'Detailed Budget'!$AC$200</f>
        <v>4683135004.5951529</v>
      </c>
      <c r="EC326" s="269">
        <f t="shared" si="937"/>
        <v>5125167.8961116355</v>
      </c>
      <c r="ED326" s="269">
        <f t="shared" si="907"/>
        <v>25625839.480558179</v>
      </c>
      <c r="EE326" s="196">
        <f>'Detailed Budget'!$AC$161</f>
        <v>251147290106.36197</v>
      </c>
      <c r="EF326" s="269">
        <f t="shared" si="938"/>
        <v>314620507.83736354</v>
      </c>
      <c r="EG326" s="196">
        <f>'Detailed Budget'!$AC$163</f>
        <v>15696705631.647623</v>
      </c>
      <c r="EH326" s="269">
        <f t="shared" si="939"/>
        <v>19663781.739835221</v>
      </c>
      <c r="EI326" s="269">
        <f t="shared" si="908"/>
        <v>334284289.57719874</v>
      </c>
      <c r="EJ326" s="196">
        <f>'Detailed Budget'!$AC$204</f>
        <v>45012172507.531975</v>
      </c>
      <c r="EK326" s="269">
        <f t="shared" si="940"/>
        <v>75087874.964337394</v>
      </c>
      <c r="EL326" s="201">
        <f>'Detailed Budget'!$AC$206</f>
        <v>11253043126.882994</v>
      </c>
      <c r="EM326" s="269">
        <f t="shared" si="941"/>
        <v>18771968.741084348</v>
      </c>
      <c r="EN326" s="269">
        <f t="shared" si="909"/>
        <v>93859843.705421746</v>
      </c>
      <c r="EO326" s="140">
        <f>'Detailed Budget'!$AC$209</f>
        <v>135789361677.54817</v>
      </c>
      <c r="EP326" s="269">
        <f t="shared" si="942"/>
        <v>180344279.96290883</v>
      </c>
      <c r="EQ326" s="196">
        <f>'Detailed Budget'!$AC$211</f>
        <v>33947340419.387043</v>
      </c>
      <c r="ER326" s="269">
        <f t="shared" si="943"/>
        <v>45086069.990727209</v>
      </c>
      <c r="ES326" s="269">
        <f t="shared" si="910"/>
        <v>225430349.95363605</v>
      </c>
      <c r="ET326" s="196">
        <f>'Detailed Budget'!$AC$214</f>
        <v>22239745544.201103</v>
      </c>
      <c r="EU326" s="269">
        <f t="shared" si="944"/>
        <v>28685511.741814699</v>
      </c>
      <c r="EV326" s="140">
        <f>'Detailed Budget'!$AC$217</f>
        <v>5559936386.0502758</v>
      </c>
      <c r="EW326" s="269">
        <f t="shared" si="945"/>
        <v>7171377.9354536748</v>
      </c>
      <c r="EX326" s="269">
        <f t="shared" si="911"/>
        <v>35856889.677268371</v>
      </c>
      <c r="EY326" s="196">
        <f>'Detailed Budget'!$AC$219</f>
        <v>372777004.58170313</v>
      </c>
      <c r="EZ326" s="269">
        <f t="shared" si="946"/>
        <v>503357.23274826427</v>
      </c>
      <c r="FA326" s="196">
        <f>'Detailed Budget'!$AC$222</f>
        <v>93194251.145425782</v>
      </c>
      <c r="FB326" s="269">
        <f t="shared" si="947"/>
        <v>125839.30818706607</v>
      </c>
      <c r="FC326" s="269">
        <f t="shared" si="912"/>
        <v>629196.54093533033</v>
      </c>
      <c r="FD326" s="269"/>
      <c r="FE326" s="269">
        <f t="shared" si="913"/>
        <v>355776279.87726152</v>
      </c>
      <c r="FF326" s="140">
        <f>'Detailed Budget'!$AC$165</f>
        <v>14927760000</v>
      </c>
      <c r="FG326" s="1087">
        <f t="shared" si="788"/>
        <v>485302395.95550805</v>
      </c>
      <c r="FH326" s="269">
        <f t="shared" si="948"/>
        <v>16961436.200431772</v>
      </c>
      <c r="FJ326" s="140">
        <f>'Detailed Budget'!$AC$235</f>
        <v>3623696172</v>
      </c>
      <c r="FK326" s="269">
        <f t="shared" si="949"/>
        <v>4681778</v>
      </c>
      <c r="FL326" s="269">
        <f t="shared" si="789"/>
        <v>4681778</v>
      </c>
      <c r="FO326" s="607"/>
      <c r="FP326" s="607"/>
      <c r="FQ326" s="607"/>
      <c r="FR326" s="269">
        <f>'Detailed Budget'!$AC$257</f>
        <v>13636439388</v>
      </c>
      <c r="FS326" s="269">
        <f t="shared" si="950"/>
        <v>14490372</v>
      </c>
      <c r="FT326" s="269">
        <f t="shared" si="790"/>
        <v>14490372</v>
      </c>
      <c r="FU326" s="269"/>
      <c r="FV326" s="269"/>
      <c r="FW326" s="269"/>
      <c r="FX326" s="140">
        <f>'Detailed Budget'!$AC$278</f>
        <v>1114560000</v>
      </c>
      <c r="FY326" s="269">
        <f t="shared" si="951"/>
        <v>1440000</v>
      </c>
      <c r="FZ326" s="269">
        <f t="shared" si="791"/>
        <v>1440000</v>
      </c>
      <c r="GB326" s="269">
        <f t="shared" si="799"/>
        <v>2628653142.6490221</v>
      </c>
      <c r="GC326" s="887">
        <f t="shared" si="914"/>
        <v>1642908.2141556388</v>
      </c>
      <c r="GD326" s="1078">
        <f t="shared" si="800"/>
        <v>1.4750200522698155E-3</v>
      </c>
    </row>
    <row r="327" spans="1:186" hidden="1" outlineLevel="1">
      <c r="A327" s="211" t="s">
        <v>797</v>
      </c>
      <c r="B327" s="212" t="s">
        <v>798</v>
      </c>
      <c r="C327" s="213" t="s">
        <v>215</v>
      </c>
      <c r="D327" s="214" t="s">
        <v>215</v>
      </c>
      <c r="E327" s="213"/>
      <c r="F327" s="213"/>
      <c r="G327" s="213"/>
      <c r="H327" s="213" t="s">
        <v>215</v>
      </c>
      <c r="I327" s="214" t="s">
        <v>215</v>
      </c>
      <c r="J327" s="214"/>
      <c r="K327" s="213" t="s">
        <v>215</v>
      </c>
      <c r="L327" s="213"/>
      <c r="M327" s="214"/>
      <c r="N327" s="213"/>
      <c r="O327" s="214"/>
      <c r="P327" s="213"/>
      <c r="Q327" s="214"/>
      <c r="R327" s="214" t="s">
        <v>215</v>
      </c>
      <c r="S327" s="214"/>
      <c r="T327" s="213"/>
      <c r="U327" s="215">
        <f t="shared" si="952"/>
        <v>6</v>
      </c>
      <c r="V327" s="845" t="s">
        <v>219</v>
      </c>
      <c r="W327" s="216">
        <v>187639</v>
      </c>
      <c r="X327" s="217">
        <v>3.36</v>
      </c>
      <c r="Y327" s="218">
        <f t="shared" si="826"/>
        <v>1.0336000000000001</v>
      </c>
      <c r="Z327" s="196">
        <v>19</v>
      </c>
      <c r="AA327" s="218">
        <f t="shared" si="827"/>
        <v>1.873689022502546</v>
      </c>
      <c r="AB327" s="196">
        <f t="shared" si="894"/>
        <v>351577.13449335523</v>
      </c>
      <c r="AC327">
        <v>19.3</v>
      </c>
      <c r="AD327" s="196">
        <f t="shared" si="895"/>
        <v>67854.386957217561</v>
      </c>
      <c r="AE327" s="196">
        <f t="shared" si="849"/>
        <v>64461.667609356678</v>
      </c>
      <c r="AF327" s="196">
        <f t="shared" si="953"/>
        <v>64461.667609356678</v>
      </c>
      <c r="AG327" s="606">
        <f t="shared" si="917"/>
        <v>2.9804245182333449E-3</v>
      </c>
      <c r="AH327" s="196">
        <f t="shared" ref="AH327:AH369" si="967">AB327*0.05</f>
        <v>17578.856724667763</v>
      </c>
      <c r="AI327" s="248">
        <f t="shared" si="896"/>
        <v>1.3618073958905109E-3</v>
      </c>
      <c r="AJ327" s="196">
        <f t="shared" si="897"/>
        <v>85433.243681885331</v>
      </c>
      <c r="AK327" s="196">
        <f t="shared" si="926"/>
        <v>14063.08537973421</v>
      </c>
      <c r="AL327" s="196">
        <f t="shared" si="927"/>
        <v>14063.08537973421</v>
      </c>
      <c r="AM327" s="196">
        <f t="shared" si="898"/>
        <v>28126.170759468419</v>
      </c>
      <c r="AN327" s="627">
        <f t="shared" si="899"/>
        <v>1.3618073958905109E-3</v>
      </c>
      <c r="AO327" s="196">
        <f t="shared" si="900"/>
        <v>13359.931110747499</v>
      </c>
      <c r="AP327" s="589">
        <f t="shared" si="918"/>
        <v>1.3618073958905107E-3</v>
      </c>
      <c r="AQ327" s="196"/>
      <c r="AR327" s="589"/>
      <c r="AS327">
        <v>1</v>
      </c>
      <c r="AT327" s="589">
        <f t="shared" si="919"/>
        <v>1.2919896640826874E-3</v>
      </c>
      <c r="AU327" s="196">
        <v>10</v>
      </c>
      <c r="AV327" s="245">
        <f t="shared" si="901"/>
        <v>1.1362345188046814E-3</v>
      </c>
      <c r="AX327" s="245"/>
      <c r="AY327" s="245"/>
      <c r="AZ327" s="196">
        <v>29</v>
      </c>
      <c r="BA327" s="589">
        <f t="shared" si="793"/>
        <v>1.0626213770107361E-3</v>
      </c>
      <c r="BI327" s="196">
        <v>1</v>
      </c>
      <c r="BJ327" s="196">
        <f t="shared" si="954"/>
        <v>195320.62805643503</v>
      </c>
      <c r="BK327" s="246">
        <f t="shared" si="794"/>
        <v>3.7246465326465977E-3</v>
      </c>
      <c r="BL327" s="196">
        <f t="shared" ref="BL327:BL369" si="968">BJ327/50</f>
        <v>3906.4125611287004</v>
      </c>
      <c r="BM327" s="246">
        <f t="shared" si="795"/>
        <v>3.7246461064860737E-3</v>
      </c>
      <c r="BN327" s="196">
        <v>0</v>
      </c>
      <c r="BO327" s="196">
        <f t="shared" si="955"/>
        <v>24487.386222250829</v>
      </c>
      <c r="BP327" s="196">
        <f t="shared" si="902"/>
        <v>0</v>
      </c>
      <c r="BQ327" s="248">
        <f t="shared" si="796"/>
        <v>0</v>
      </c>
      <c r="BR327" s="248"/>
      <c r="BS327" s="248"/>
      <c r="BT327" s="276">
        <v>1</v>
      </c>
      <c r="BU327" s="196">
        <f t="shared" ref="BU327:BU369" si="969">AD327*BT327*0.18*4*1.05</f>
        <v>51297.916539656479</v>
      </c>
      <c r="BV327" s="264">
        <f t="shared" si="797"/>
        <v>3.5581206574880867E-3</v>
      </c>
      <c r="BW327" s="196">
        <f t="shared" ref="BW327:BW369" si="970">AD327*BT327*0.77*4*1.05</f>
        <v>219441.08741964158</v>
      </c>
      <c r="BX327" s="247">
        <f t="shared" si="798"/>
        <v>3.5581206895397735E-3</v>
      </c>
      <c r="BY327" s="196">
        <f t="shared" si="833"/>
        <v>270739.00395929808</v>
      </c>
      <c r="BZ327" s="620">
        <v>0</v>
      </c>
      <c r="CA327" s="196">
        <f t="shared" si="956"/>
        <v>107582.6031549667</v>
      </c>
      <c r="CB327" s="196">
        <f t="shared" si="957"/>
        <v>215165.20630993339</v>
      </c>
      <c r="CC327" s="196">
        <f t="shared" si="915"/>
        <v>322747.80946490006</v>
      </c>
      <c r="CD327" s="247">
        <f t="shared" si="903"/>
        <v>1.3618073958905105E-3</v>
      </c>
      <c r="CE327" s="196">
        <f t="shared" si="958"/>
        <v>27549.559589761007</v>
      </c>
      <c r="CF327" s="247">
        <f t="shared" si="904"/>
        <v>1.1896756607193307E-3</v>
      </c>
      <c r="CG327" s="196">
        <f t="shared" si="929"/>
        <v>53439.724442989995</v>
      </c>
      <c r="CH327" s="589">
        <f t="shared" si="920"/>
        <v>1.3618073958905107E-3</v>
      </c>
      <c r="CI327" s="196">
        <f t="shared" si="959"/>
        <v>110305.01299425474</v>
      </c>
      <c r="CJ327" s="248">
        <f t="shared" si="921"/>
        <v>1.8134141336344056E-3</v>
      </c>
      <c r="CK327" s="196">
        <f t="shared" si="960"/>
        <v>100433.75839936534</v>
      </c>
      <c r="CL327" s="589">
        <f t="shared" si="922"/>
        <v>1.4437559353336165E-3</v>
      </c>
      <c r="CM327" s="196">
        <f t="shared" si="961"/>
        <v>9729.5267068261837</v>
      </c>
      <c r="CN327" s="589">
        <f t="shared" si="923"/>
        <v>1.4021353711294474E-3</v>
      </c>
      <c r="CO327" s="196">
        <f t="shared" si="962"/>
        <v>778.35574970984908</v>
      </c>
      <c r="CP327" s="589">
        <f t="shared" si="924"/>
        <v>1.4678590550965913E-3</v>
      </c>
      <c r="CQ327" s="196">
        <f>'Detailed Budget'!$AC$12</f>
        <v>292876014141.44696</v>
      </c>
      <c r="CR327" s="269">
        <f t="shared" si="925"/>
        <v>1090859630.5672963</v>
      </c>
      <c r="CS327" s="269">
        <f>'Detailed Budget'!$AC$16</f>
        <v>10488008800.000002</v>
      </c>
      <c r="CT327" s="607">
        <f t="shared" si="931"/>
        <v>39064121.141711682</v>
      </c>
      <c r="CU327" s="269">
        <f>'Detailed Budget'!$AC$24</f>
        <v>30624985696</v>
      </c>
      <c r="CV327" s="269">
        <f t="shared" si="792"/>
        <v>114067246.78495805</v>
      </c>
      <c r="CW327" s="269"/>
      <c r="CX327" s="269">
        <f t="shared" si="916"/>
        <v>1243990998.4939661</v>
      </c>
      <c r="CY327" s="196">
        <f>'Detailed Budget'!$AC$97</f>
        <v>74629165494.837845</v>
      </c>
      <c r="CZ327" s="269">
        <f t="shared" si="932"/>
        <v>0</v>
      </c>
      <c r="DA327" s="269">
        <f>'Detailed Budget'!$AC$100</f>
        <v>14925833098.967569</v>
      </c>
      <c r="DB327" s="269">
        <f t="shared" si="933"/>
        <v>0</v>
      </c>
      <c r="DC327" s="269">
        <f t="shared" si="905"/>
        <v>0</v>
      </c>
      <c r="DD327" s="207">
        <v>0</v>
      </c>
      <c r="DE327" s="606">
        <v>0</v>
      </c>
      <c r="DF327" s="269">
        <f>'Detailed Budget'!$AC$147</f>
        <v>5913600671000</v>
      </c>
      <c r="DG327" s="269">
        <f t="shared" ref="DG327:DG390" si="971">DE327*DF327</f>
        <v>0</v>
      </c>
      <c r="DH327" s="269">
        <f>'Detailed Budget'!$AC$153</f>
        <v>226428026880.00003</v>
      </c>
      <c r="DI327" s="269"/>
      <c r="DJ327" s="269">
        <f>'Detailed Budget'!$AC$156</f>
        <v>27713070000</v>
      </c>
      <c r="DK327" s="269"/>
      <c r="DL327" s="269"/>
      <c r="DM327" s="196">
        <f>'Detailed Budget'!$AC$178</f>
        <v>5622683761.6229038</v>
      </c>
      <c r="DN327" s="269">
        <f t="shared" si="963"/>
        <v>20006187.242753275</v>
      </c>
      <c r="DO327" s="196">
        <f>'Detailed Budget'!$AC$179</f>
        <v>26827890683.128094</v>
      </c>
      <c r="DP327" s="269">
        <f t="shared" si="964"/>
        <v>95456872.8963494</v>
      </c>
      <c r="DQ327" s="269">
        <f t="shared" si="870"/>
        <v>115463060.13910267</v>
      </c>
      <c r="DR327" s="269">
        <f>'Detailed Budget'!$AC$181</f>
        <v>50888946855.375237</v>
      </c>
      <c r="DS327" s="269">
        <f t="shared" si="965"/>
        <v>151670664.91483402</v>
      </c>
      <c r="DT327" s="269">
        <f t="shared" si="966"/>
        <v>267133725.05393669</v>
      </c>
      <c r="DU327" s="272">
        <f>'Detailed Budget'!$AC$192</f>
        <v>77498869683.252869</v>
      </c>
      <c r="DV327" s="269">
        <f t="shared" si="934"/>
        <v>0</v>
      </c>
      <c r="DW327" s="140">
        <f>'Detailed Budget'!$AC$194</f>
        <v>2684962805.4134097</v>
      </c>
      <c r="DX327" s="269">
        <f t="shared" si="935"/>
        <v>0</v>
      </c>
      <c r="DY327" s="607">
        <f t="shared" si="906"/>
        <v>0</v>
      </c>
      <c r="DZ327" s="196">
        <f>'Detailed Budget'!$AC$198</f>
        <v>18732540018.380611</v>
      </c>
      <c r="EA327" s="269">
        <f t="shared" si="936"/>
        <v>22285646.923318256</v>
      </c>
      <c r="EB327" s="196">
        <f>'Detailed Budget'!$AC$200</f>
        <v>4683135004.5951529</v>
      </c>
      <c r="EC327" s="269">
        <f t="shared" si="937"/>
        <v>5571411.7308295639</v>
      </c>
      <c r="ED327" s="269">
        <f t="shared" si="907"/>
        <v>27857058.654147819</v>
      </c>
      <c r="EE327" s="196">
        <f>'Detailed Budget'!$AC$161</f>
        <v>251147290106.36197</v>
      </c>
      <c r="EF327" s="269">
        <f t="shared" si="938"/>
        <v>342014237.12470341</v>
      </c>
      <c r="EG327" s="196">
        <f>'Detailed Budget'!$AC$163</f>
        <v>15696705631.647623</v>
      </c>
      <c r="EH327" s="269">
        <f t="shared" si="939"/>
        <v>21375889.820293963</v>
      </c>
      <c r="EI327" s="269">
        <f t="shared" si="908"/>
        <v>363390126.94499737</v>
      </c>
      <c r="EJ327" s="196">
        <f>'Detailed Budget'!$AC$204</f>
        <v>45012172507.531975</v>
      </c>
      <c r="EK327" s="269">
        <f t="shared" si="940"/>
        <v>81625709.810748503</v>
      </c>
      <c r="EL327" s="201">
        <f>'Detailed Budget'!$AC$206</f>
        <v>11253043126.882994</v>
      </c>
      <c r="EM327" s="269">
        <f t="shared" si="941"/>
        <v>20406427.452687126</v>
      </c>
      <c r="EN327" s="269">
        <f t="shared" si="909"/>
        <v>102032137.26343563</v>
      </c>
      <c r="EO327" s="140">
        <f>'Detailed Budget'!$AC$209</f>
        <v>135789361677.54817</v>
      </c>
      <c r="EP327" s="269">
        <f t="shared" si="942"/>
        <v>196046696.8771233</v>
      </c>
      <c r="EQ327" s="196">
        <f>'Detailed Budget'!$AC$211</f>
        <v>33947340419.387043</v>
      </c>
      <c r="ER327" s="269">
        <f t="shared" si="943"/>
        <v>49011674.219280824</v>
      </c>
      <c r="ES327" s="269">
        <f t="shared" si="910"/>
        <v>245058371.09640414</v>
      </c>
      <c r="ET327" s="196">
        <f>'Detailed Budget'!$AC$214</f>
        <v>22239745544.201103</v>
      </c>
      <c r="EU327" s="269">
        <f t="shared" si="944"/>
        <v>31183133.872442886</v>
      </c>
      <c r="EV327" s="140">
        <f>'Detailed Budget'!$AC$217</f>
        <v>5559936386.0502758</v>
      </c>
      <c r="EW327" s="269">
        <f t="shared" si="945"/>
        <v>7795783.4681107216</v>
      </c>
      <c r="EX327" s="269">
        <f t="shared" si="911"/>
        <v>38978917.340553612</v>
      </c>
      <c r="EY327" s="196">
        <f>'Detailed Budget'!$AC$219</f>
        <v>372777004.58170313</v>
      </c>
      <c r="EZ327" s="269">
        <f t="shared" si="946"/>
        <v>547184.10170703649</v>
      </c>
      <c r="FA327" s="196">
        <f>'Detailed Budget'!$AC$222</f>
        <v>93194251.145425782</v>
      </c>
      <c r="FB327" s="269">
        <f t="shared" si="947"/>
        <v>136796.02542675912</v>
      </c>
      <c r="FC327" s="269">
        <f t="shared" si="912"/>
        <v>683980.12713379564</v>
      </c>
      <c r="FD327" s="269"/>
      <c r="FE327" s="269">
        <f t="shared" si="913"/>
        <v>386753405.82752723</v>
      </c>
      <c r="FF327" s="140">
        <f>'Detailed Budget'!$AC$165</f>
        <v>14927760000</v>
      </c>
      <c r="FG327" s="1087">
        <f t="shared" ref="FG327:FG390" si="972">FE327/0.423*0.577</f>
        <v>527557246.24700522</v>
      </c>
      <c r="FH327" s="269">
        <f t="shared" si="948"/>
        <v>16961436.200431772</v>
      </c>
      <c r="FJ327" s="140">
        <f>'Detailed Budget'!$AC$235</f>
        <v>3623696172</v>
      </c>
      <c r="FK327" s="269">
        <f t="shared" si="949"/>
        <v>4681778</v>
      </c>
      <c r="FL327" s="269">
        <f t="shared" ref="FL327:FL390" si="973">FI327+FK327</f>
        <v>4681778</v>
      </c>
      <c r="FO327" s="607"/>
      <c r="FP327" s="607"/>
      <c r="FQ327" s="607"/>
      <c r="FR327" s="269">
        <f>'Detailed Budget'!$AC$257</f>
        <v>13636439388</v>
      </c>
      <c r="FS327" s="269">
        <f t="shared" si="950"/>
        <v>14490372</v>
      </c>
      <c r="FT327" s="269">
        <f t="shared" ref="FT327:FT390" si="974">FM327+FO327+FQ327+FS327</f>
        <v>14490372</v>
      </c>
      <c r="FU327" s="269"/>
      <c r="FV327" s="269"/>
      <c r="FW327" s="269"/>
      <c r="FX327" s="140">
        <f>'Detailed Budget'!$AC$278</f>
        <v>1114560000</v>
      </c>
      <c r="FY327" s="269">
        <f t="shared" si="951"/>
        <v>1440000</v>
      </c>
      <c r="FZ327" s="269">
        <f t="shared" ref="FZ327:FZ390" si="975">FU327+FW327+FY327</f>
        <v>1440000</v>
      </c>
      <c r="GB327" s="269">
        <f t="shared" si="799"/>
        <v>2854256147.4220123</v>
      </c>
      <c r="GC327" s="887">
        <f t="shared" si="914"/>
        <v>1783910.0921387577</v>
      </c>
      <c r="GD327" s="1078">
        <f t="shared" si="800"/>
        <v>1.6016130022841852E-3</v>
      </c>
    </row>
    <row r="328" spans="1:186" hidden="1" outlineLevel="1">
      <c r="A328" s="211" t="s">
        <v>799</v>
      </c>
      <c r="B328" s="212" t="s">
        <v>800</v>
      </c>
      <c r="C328" s="213" t="s">
        <v>215</v>
      </c>
      <c r="D328" s="214" t="s">
        <v>215</v>
      </c>
      <c r="E328" s="213"/>
      <c r="F328" s="213"/>
      <c r="G328" s="213"/>
      <c r="H328" s="213" t="s">
        <v>215</v>
      </c>
      <c r="I328" s="214" t="s">
        <v>215</v>
      </c>
      <c r="J328" s="214"/>
      <c r="K328" s="213" t="s">
        <v>215</v>
      </c>
      <c r="L328" s="213"/>
      <c r="M328" s="214"/>
      <c r="N328" s="213"/>
      <c r="O328" s="214"/>
      <c r="P328" s="213"/>
      <c r="Q328" s="214"/>
      <c r="R328" s="214" t="s">
        <v>215</v>
      </c>
      <c r="S328" s="214"/>
      <c r="T328" s="213"/>
      <c r="U328" s="215">
        <f t="shared" si="952"/>
        <v>6</v>
      </c>
      <c r="V328" s="845" t="s">
        <v>219</v>
      </c>
      <c r="W328" s="216">
        <v>161533</v>
      </c>
      <c r="X328" s="217">
        <v>3.36</v>
      </c>
      <c r="Y328" s="218">
        <f t="shared" si="826"/>
        <v>1.0336000000000001</v>
      </c>
      <c r="Z328" s="196">
        <v>19</v>
      </c>
      <c r="AA328" s="218">
        <f t="shared" si="827"/>
        <v>1.873689022502546</v>
      </c>
      <c r="AB328" s="196">
        <f t="shared" si="894"/>
        <v>302662.60887190374</v>
      </c>
      <c r="AC328">
        <v>19.3</v>
      </c>
      <c r="AD328" s="196">
        <f t="shared" si="895"/>
        <v>58413.883512277425</v>
      </c>
      <c r="AE328" s="196">
        <f t="shared" si="849"/>
        <v>55493.189336663549</v>
      </c>
      <c r="AF328" s="196">
        <f t="shared" si="953"/>
        <v>55493.189336663549</v>
      </c>
      <c r="AG328" s="606">
        <f t="shared" si="917"/>
        <v>2.5657614552613626E-3</v>
      </c>
      <c r="AH328" s="196">
        <f t="shared" si="967"/>
        <v>15133.130443595188</v>
      </c>
      <c r="AI328" s="248">
        <f t="shared" si="896"/>
        <v>1.1723406865330869E-3</v>
      </c>
      <c r="AJ328" s="196">
        <f t="shared" si="897"/>
        <v>73547.013955872608</v>
      </c>
      <c r="AK328" s="196">
        <f t="shared" si="926"/>
        <v>12106.50435487615</v>
      </c>
      <c r="AL328" s="196">
        <f t="shared" si="927"/>
        <v>12106.50435487615</v>
      </c>
      <c r="AM328" s="196">
        <f t="shared" si="898"/>
        <v>24213.008709752299</v>
      </c>
      <c r="AN328" s="627">
        <f t="shared" si="899"/>
        <v>1.1723406865330867E-3</v>
      </c>
      <c r="AO328" s="196">
        <f t="shared" si="900"/>
        <v>11501.179137132342</v>
      </c>
      <c r="AP328" s="589">
        <f t="shared" si="918"/>
        <v>1.1723406865330867E-3</v>
      </c>
      <c r="AQ328" s="196"/>
      <c r="AR328" s="589"/>
      <c r="AS328">
        <v>1</v>
      </c>
      <c r="AT328" s="589">
        <f t="shared" si="919"/>
        <v>1.2919896640826874E-3</v>
      </c>
      <c r="AU328" s="196">
        <v>10</v>
      </c>
      <c r="AV328" s="245">
        <f t="shared" si="901"/>
        <v>1.1362345188046814E-3</v>
      </c>
      <c r="AX328" s="245"/>
      <c r="AY328" s="245"/>
      <c r="AZ328" s="196">
        <v>30</v>
      </c>
      <c r="BA328" s="589">
        <f t="shared" si="793"/>
        <v>1.0992634934593821E-3</v>
      </c>
      <c r="BI328" s="196">
        <v>1</v>
      </c>
      <c r="BJ328" s="196">
        <f t="shared" si="954"/>
        <v>168145.89190861236</v>
      </c>
      <c r="BK328" s="246">
        <f t="shared" si="794"/>
        <v>3.2064407098631033E-3</v>
      </c>
      <c r="BL328" s="196">
        <f t="shared" si="968"/>
        <v>3362.9178381722472</v>
      </c>
      <c r="BM328" s="246">
        <f t="shared" si="795"/>
        <v>3.2064403429938066E-3</v>
      </c>
      <c r="BN328" s="196">
        <v>0</v>
      </c>
      <c r="BO328" s="196">
        <f t="shared" si="955"/>
        <v>21080.484113850758</v>
      </c>
      <c r="BP328" s="196">
        <f t="shared" si="902"/>
        <v>0</v>
      </c>
      <c r="BQ328" s="248">
        <f t="shared" si="796"/>
        <v>0</v>
      </c>
      <c r="BR328" s="248"/>
      <c r="BS328" s="248"/>
      <c r="BT328" s="276">
        <v>1</v>
      </c>
      <c r="BU328" s="196">
        <f t="shared" si="969"/>
        <v>44160.895935281733</v>
      </c>
      <c r="BV328" s="264">
        <f t="shared" si="797"/>
        <v>3.0630833897325343E-3</v>
      </c>
      <c r="BW328" s="196">
        <f t="shared" si="970"/>
        <v>188910.49927870519</v>
      </c>
      <c r="BX328" s="247">
        <f t="shared" si="798"/>
        <v>3.0630834173249067E-3</v>
      </c>
      <c r="BY328" s="196">
        <f t="shared" si="833"/>
        <v>233071.39521398692</v>
      </c>
      <c r="BZ328" s="620">
        <v>0</v>
      </c>
      <c r="CA328" s="196">
        <f t="shared" si="956"/>
        <v>92614.758314802544</v>
      </c>
      <c r="CB328" s="196">
        <f t="shared" si="957"/>
        <v>185229.51662960509</v>
      </c>
      <c r="CC328" s="196">
        <f t="shared" si="915"/>
        <v>277844.27494440763</v>
      </c>
      <c r="CD328" s="247">
        <f t="shared" si="903"/>
        <v>1.1723406865330867E-3</v>
      </c>
      <c r="CE328" s="196">
        <f t="shared" si="958"/>
        <v>23716.620794253136</v>
      </c>
      <c r="CF328" s="247">
        <f t="shared" si="904"/>
        <v>1.0241574432979053E-3</v>
      </c>
      <c r="CG328" s="196">
        <f t="shared" si="929"/>
        <v>46004.716548529366</v>
      </c>
      <c r="CH328" s="589">
        <f t="shared" si="920"/>
        <v>1.1723406865330867E-3</v>
      </c>
      <c r="CI328" s="196">
        <f t="shared" si="959"/>
        <v>94958.402379041421</v>
      </c>
      <c r="CJ328" s="248">
        <f t="shared" si="921"/>
        <v>1.5611158940751469E-3</v>
      </c>
      <c r="CK328" s="196">
        <f t="shared" si="960"/>
        <v>86460.524174210484</v>
      </c>
      <c r="CL328" s="589">
        <f t="shared" si="922"/>
        <v>1.2428878191753584E-3</v>
      </c>
      <c r="CM328" s="196">
        <f t="shared" si="961"/>
        <v>8375.8687561421339</v>
      </c>
      <c r="CN328" s="589">
        <f t="shared" si="923"/>
        <v>1.2070578765856405E-3</v>
      </c>
      <c r="CO328" s="196">
        <f t="shared" si="962"/>
        <v>670.06400224836545</v>
      </c>
      <c r="CP328" s="589">
        <f t="shared" si="924"/>
        <v>1.2636374993840176E-3</v>
      </c>
      <c r="CQ328" s="196">
        <f>'Detailed Budget'!$AC$12</f>
        <v>292876014141.44696</v>
      </c>
      <c r="CR328" s="269">
        <f t="shared" si="925"/>
        <v>939089574.68557751</v>
      </c>
      <c r="CS328" s="269">
        <f>'Detailed Budget'!$AC$16</f>
        <v>10488008800.000002</v>
      </c>
      <c r="CT328" s="607">
        <f t="shared" si="931"/>
        <v>33629174.533994071</v>
      </c>
      <c r="CU328" s="269">
        <f>'Detailed Budget'!$AC$24</f>
        <v>30624985696</v>
      </c>
      <c r="CV328" s="269">
        <f t="shared" ref="CV328:CV391" si="976">BK328*CU328</f>
        <v>98197200.874629617</v>
      </c>
      <c r="CW328" s="269"/>
      <c r="CX328" s="269">
        <f t="shared" si="916"/>
        <v>1070915950.0942012</v>
      </c>
      <c r="CY328" s="196">
        <f>'Detailed Budget'!$AC$97</f>
        <v>74629165494.837845</v>
      </c>
      <c r="CZ328" s="269">
        <f t="shared" si="932"/>
        <v>0</v>
      </c>
      <c r="DA328" s="269">
        <f>'Detailed Budget'!$AC$100</f>
        <v>14925833098.967569</v>
      </c>
      <c r="DB328" s="269">
        <f t="shared" si="933"/>
        <v>0</v>
      </c>
      <c r="DC328" s="269">
        <f t="shared" si="905"/>
        <v>0</v>
      </c>
      <c r="DD328" s="207">
        <v>0</v>
      </c>
      <c r="DE328" s="606">
        <v>0</v>
      </c>
      <c r="DF328" s="269">
        <f>'Detailed Budget'!$AC$147</f>
        <v>5913600671000</v>
      </c>
      <c r="DG328" s="269">
        <f t="shared" si="971"/>
        <v>0</v>
      </c>
      <c r="DH328" s="269">
        <f>'Detailed Budget'!$AC$153</f>
        <v>226428026880.00003</v>
      </c>
      <c r="DI328" s="269"/>
      <c r="DJ328" s="269">
        <f>'Detailed Budget'!$AC$156</f>
        <v>27713070000</v>
      </c>
      <c r="DK328" s="269"/>
      <c r="DL328" s="269"/>
      <c r="DM328" s="196">
        <f>'Detailed Budget'!$AC$178</f>
        <v>5622683761.6229038</v>
      </c>
      <c r="DN328" s="269">
        <f t="shared" si="963"/>
        <v>17222749.235945962</v>
      </c>
      <c r="DO328" s="196">
        <f>'Detailed Budget'!$AC$179</f>
        <v>26827890683.128094</v>
      </c>
      <c r="DP328" s="269">
        <f t="shared" si="964"/>
        <v>82176067.073295027</v>
      </c>
      <c r="DQ328" s="269">
        <f t="shared" si="870"/>
        <v>99398816.309240997</v>
      </c>
      <c r="DR328" s="269">
        <f>'Detailed Budget'!$AC$181</f>
        <v>50888946855.375237</v>
      </c>
      <c r="DS328" s="269">
        <f t="shared" si="965"/>
        <v>130568898.34036571</v>
      </c>
      <c r="DT328" s="269">
        <f t="shared" si="966"/>
        <v>229967714.6496067</v>
      </c>
      <c r="DU328" s="272">
        <f>'Detailed Budget'!$AC$192</f>
        <v>77498869683.252869</v>
      </c>
      <c r="DV328" s="269">
        <f t="shared" si="934"/>
        <v>0</v>
      </c>
      <c r="DW328" s="140">
        <f>'Detailed Budget'!$AC$194</f>
        <v>2684962805.4134097</v>
      </c>
      <c r="DX328" s="269">
        <f t="shared" si="935"/>
        <v>0</v>
      </c>
      <c r="DY328" s="607">
        <f t="shared" si="906"/>
        <v>0</v>
      </c>
      <c r="DZ328" s="196">
        <f>'Detailed Budget'!$AC$198</f>
        <v>18732540018.380611</v>
      </c>
      <c r="EA328" s="269">
        <f t="shared" si="936"/>
        <v>19185070.291700382</v>
      </c>
      <c r="EB328" s="196">
        <f>'Detailed Budget'!$AC$200</f>
        <v>4683135004.5951529</v>
      </c>
      <c r="EC328" s="269">
        <f t="shared" si="937"/>
        <v>4796267.5729250954</v>
      </c>
      <c r="ED328" s="269">
        <f t="shared" si="907"/>
        <v>23981337.864625476</v>
      </c>
      <c r="EE328" s="196">
        <f>'Detailed Budget'!$AC$161</f>
        <v>251147290106.36197</v>
      </c>
      <c r="EF328" s="269">
        <f t="shared" si="938"/>
        <v>294430186.50421667</v>
      </c>
      <c r="EG328" s="196">
        <f>'Detailed Budget'!$AC$163</f>
        <v>15696705631.647623</v>
      </c>
      <c r="EH328" s="269">
        <f t="shared" si="939"/>
        <v>18401886.656513542</v>
      </c>
      <c r="EI328" s="269">
        <f t="shared" si="908"/>
        <v>312832073.16073024</v>
      </c>
      <c r="EJ328" s="196">
        <f>'Detailed Budget'!$AC$204</f>
        <v>45012172507.531975</v>
      </c>
      <c r="EK328" s="269">
        <f t="shared" si="940"/>
        <v>70269217.928360522</v>
      </c>
      <c r="EL328" s="201">
        <f>'Detailed Budget'!$AC$206</f>
        <v>11253043126.882994</v>
      </c>
      <c r="EM328" s="269">
        <f t="shared" si="941"/>
        <v>17567304.48209013</v>
      </c>
      <c r="EN328" s="269">
        <f t="shared" si="909"/>
        <v>87836522.410450652</v>
      </c>
      <c r="EO328" s="140">
        <f>'Detailed Budget'!$AC$209</f>
        <v>135789361677.54817</v>
      </c>
      <c r="EP328" s="269">
        <f t="shared" si="942"/>
        <v>168770943.60262185</v>
      </c>
      <c r="EQ328" s="196">
        <f>'Detailed Budget'!$AC$211</f>
        <v>33947340419.387043</v>
      </c>
      <c r="ER328" s="269">
        <f t="shared" si="943"/>
        <v>42192735.900655463</v>
      </c>
      <c r="ES328" s="269">
        <f t="shared" si="910"/>
        <v>210963679.5032773</v>
      </c>
      <c r="ET328" s="196">
        <f>'Detailed Budget'!$AC$214</f>
        <v>22239745544.201103</v>
      </c>
      <c r="EU328" s="269">
        <f t="shared" si="944"/>
        <v>26844660.032388344</v>
      </c>
      <c r="EV328" s="140">
        <f>'Detailed Budget'!$AC$217</f>
        <v>5559936386.0502758</v>
      </c>
      <c r="EW328" s="269">
        <f t="shared" si="945"/>
        <v>6711165.0080970861</v>
      </c>
      <c r="EX328" s="269">
        <f t="shared" si="911"/>
        <v>33555825.040485427</v>
      </c>
      <c r="EY328" s="196">
        <f>'Detailed Budget'!$AC$219</f>
        <v>372777004.58170313</v>
      </c>
      <c r="EZ328" s="269">
        <f t="shared" si="946"/>
        <v>471055.00189748779</v>
      </c>
      <c r="FA328" s="196">
        <f>'Detailed Budget'!$AC$222</f>
        <v>93194251.145425782</v>
      </c>
      <c r="FB328" s="269">
        <f t="shared" si="947"/>
        <v>117763.75047437195</v>
      </c>
      <c r="FC328" s="269">
        <f t="shared" si="912"/>
        <v>588818.75237185974</v>
      </c>
      <c r="FD328" s="269"/>
      <c r="FE328" s="269">
        <f t="shared" si="913"/>
        <v>332944845.70658523</v>
      </c>
      <c r="FF328" s="140">
        <f>'Detailed Budget'!$AC$165</f>
        <v>14927760000</v>
      </c>
      <c r="FG328" s="1087">
        <f t="shared" si="972"/>
        <v>454158808.44609851</v>
      </c>
      <c r="FH328" s="269">
        <f t="shared" si="948"/>
        <v>16961436.200431772</v>
      </c>
      <c r="FJ328" s="140">
        <f>'Detailed Budget'!$AC$235</f>
        <v>3623696172</v>
      </c>
      <c r="FK328" s="269">
        <f t="shared" si="949"/>
        <v>4681778</v>
      </c>
      <c r="FL328" s="269">
        <f t="shared" si="973"/>
        <v>4681778</v>
      </c>
      <c r="FO328" s="607"/>
      <c r="FP328" s="607"/>
      <c r="FQ328" s="607"/>
      <c r="FR328" s="269">
        <f>'Detailed Budget'!$AC$257</f>
        <v>13636439388</v>
      </c>
      <c r="FS328" s="269">
        <f t="shared" si="950"/>
        <v>14990039.999999998</v>
      </c>
      <c r="FT328" s="269">
        <f t="shared" si="974"/>
        <v>14990039.999999998</v>
      </c>
      <c r="FU328" s="269"/>
      <c r="FV328" s="269"/>
      <c r="FW328" s="269"/>
      <c r="FX328" s="140">
        <f>'Detailed Budget'!$AC$278</f>
        <v>1114560000</v>
      </c>
      <c r="FY328" s="269">
        <f t="shared" si="951"/>
        <v>1440000</v>
      </c>
      <c r="FZ328" s="269">
        <f t="shared" si="975"/>
        <v>1440000</v>
      </c>
      <c r="GB328" s="269">
        <f t="shared" si="799"/>
        <v>2462873984.1222792</v>
      </c>
      <c r="GC328" s="887">
        <f t="shared" si="914"/>
        <v>1539296.2400764246</v>
      </c>
      <c r="GD328" s="1078">
        <f t="shared" si="800"/>
        <v>1.3819961461834689E-3</v>
      </c>
    </row>
    <row r="329" spans="1:186" hidden="1" outlineLevel="1">
      <c r="A329" s="211" t="s">
        <v>801</v>
      </c>
      <c r="B329" s="212" t="s">
        <v>802</v>
      </c>
      <c r="C329" s="213" t="s">
        <v>215</v>
      </c>
      <c r="D329" s="214" t="s">
        <v>215</v>
      </c>
      <c r="E329" s="213"/>
      <c r="F329" s="213"/>
      <c r="G329" s="213"/>
      <c r="H329" s="213" t="s">
        <v>215</v>
      </c>
      <c r="I329" s="214" t="s">
        <v>215</v>
      </c>
      <c r="J329" s="214"/>
      <c r="K329" s="213" t="s">
        <v>215</v>
      </c>
      <c r="L329" s="213"/>
      <c r="M329" s="214"/>
      <c r="N329" s="213"/>
      <c r="O329" s="214"/>
      <c r="P329" s="213"/>
      <c r="Q329" s="214"/>
      <c r="R329" s="214" t="s">
        <v>215</v>
      </c>
      <c r="S329" s="214"/>
      <c r="T329" s="213"/>
      <c r="U329" s="215">
        <f t="shared" si="952"/>
        <v>6</v>
      </c>
      <c r="V329" s="845" t="s">
        <v>219</v>
      </c>
      <c r="W329" s="216">
        <v>191916</v>
      </c>
      <c r="X329" s="217">
        <v>3.36</v>
      </c>
      <c r="Y329" s="218">
        <f t="shared" si="826"/>
        <v>1.0336000000000001</v>
      </c>
      <c r="Z329" s="196">
        <v>19</v>
      </c>
      <c r="AA329" s="218">
        <f t="shared" si="827"/>
        <v>1.873689022502546</v>
      </c>
      <c r="AB329" s="196">
        <f t="shared" si="894"/>
        <v>359590.9024425986</v>
      </c>
      <c r="AC329">
        <v>19.3</v>
      </c>
      <c r="AD329" s="196">
        <f t="shared" si="895"/>
        <v>69401.044171421527</v>
      </c>
      <c r="AE329" s="196">
        <f t="shared" si="849"/>
        <v>65930.991962850443</v>
      </c>
      <c r="AF329" s="196">
        <f t="shared" si="953"/>
        <v>65930.991962850443</v>
      </c>
      <c r="AG329" s="606">
        <f t="shared" si="917"/>
        <v>3.0483596258841206E-3</v>
      </c>
      <c r="AH329" s="196">
        <f t="shared" si="967"/>
        <v>17979.54512212993</v>
      </c>
      <c r="AI329" s="248">
        <f t="shared" si="896"/>
        <v>1.3928481189396833E-3</v>
      </c>
      <c r="AJ329" s="196">
        <f t="shared" si="897"/>
        <v>87380.589293551457</v>
      </c>
      <c r="AK329" s="196">
        <f t="shared" si="926"/>
        <v>14383.636097703944</v>
      </c>
      <c r="AL329" s="196">
        <f t="shared" si="927"/>
        <v>14383.636097703944</v>
      </c>
      <c r="AM329" s="196">
        <f t="shared" si="898"/>
        <v>28767.272195407888</v>
      </c>
      <c r="AN329" s="627">
        <f t="shared" si="899"/>
        <v>1.3928481189396833E-3</v>
      </c>
      <c r="AO329" s="196">
        <f t="shared" si="900"/>
        <v>13664.454292818746</v>
      </c>
      <c r="AP329" s="589">
        <f t="shared" si="918"/>
        <v>1.3928481189396833E-3</v>
      </c>
      <c r="AQ329" s="196"/>
      <c r="AR329" s="589"/>
      <c r="AS329">
        <v>1</v>
      </c>
      <c r="AT329" s="589">
        <f t="shared" si="919"/>
        <v>1.2919896640826874E-3</v>
      </c>
      <c r="AU329" s="196">
        <v>14</v>
      </c>
      <c r="AV329" s="245">
        <f t="shared" si="901"/>
        <v>1.5907283263265539E-3</v>
      </c>
      <c r="AX329" s="245"/>
      <c r="AY329" s="245"/>
      <c r="AZ329" s="196">
        <v>25</v>
      </c>
      <c r="BA329" s="589">
        <f t="shared" ref="BA329:BA392" si="977">AZ329/27291</f>
        <v>9.1605291121615189E-4</v>
      </c>
      <c r="BI329" s="196">
        <v>1</v>
      </c>
      <c r="BJ329" s="196">
        <f t="shared" si="954"/>
        <v>199772.72131102157</v>
      </c>
      <c r="BK329" s="246">
        <f t="shared" ref="BK329:BK392" si="978">BJ329/52440044</f>
        <v>3.8095452648937815E-3</v>
      </c>
      <c r="BL329" s="196">
        <f t="shared" si="968"/>
        <v>3995.4544262204313</v>
      </c>
      <c r="BM329" s="246">
        <f t="shared" ref="BM329:BM392" si="979">BL329/1048801</f>
        <v>3.8095448290194531E-3</v>
      </c>
      <c r="BN329" s="196">
        <v>0</v>
      </c>
      <c r="BO329" s="196">
        <f t="shared" si="955"/>
        <v>25045.546044423008</v>
      </c>
      <c r="BP329" s="196">
        <f t="shared" si="902"/>
        <v>0</v>
      </c>
      <c r="BQ329" s="248">
        <f t="shared" ref="BQ329:BQ392" si="980">BP329/10690003</f>
        <v>0</v>
      </c>
      <c r="BR329" s="248"/>
      <c r="BS329" s="248"/>
      <c r="BT329" s="276">
        <v>1</v>
      </c>
      <c r="BU329" s="196">
        <f t="shared" si="969"/>
        <v>52467.189393594672</v>
      </c>
      <c r="BV329" s="264">
        <f t="shared" ref="BV329:BV392" si="981">BU329/14417138</f>
        <v>3.6392236374233689E-3</v>
      </c>
      <c r="BW329" s="196">
        <f t="shared" si="970"/>
        <v>224442.97685037725</v>
      </c>
      <c r="BX329" s="247">
        <f t="shared" ref="BX329:BX392" si="982">BW329/61673312</f>
        <v>3.6392236702056354E-3</v>
      </c>
      <c r="BY329" s="196">
        <f t="shared" si="833"/>
        <v>276910.16624397191</v>
      </c>
      <c r="BZ329" s="620">
        <v>0</v>
      </c>
      <c r="CA329" s="196">
        <f t="shared" si="956"/>
        <v>110034.81614743518</v>
      </c>
      <c r="CB329" s="196">
        <f t="shared" si="957"/>
        <v>220069.63229487036</v>
      </c>
      <c r="CC329" s="196">
        <f t="shared" si="915"/>
        <v>330104.44844230555</v>
      </c>
      <c r="CD329" s="247">
        <f t="shared" si="903"/>
        <v>1.3928481189396835E-3</v>
      </c>
      <c r="CE329" s="196">
        <f t="shared" si="958"/>
        <v>28177.517883961078</v>
      </c>
      <c r="CF329" s="247">
        <f t="shared" si="904"/>
        <v>1.2167928527790654E-3</v>
      </c>
      <c r="CG329" s="196">
        <f t="shared" si="929"/>
        <v>54657.817171274983</v>
      </c>
      <c r="CH329" s="589">
        <f t="shared" si="920"/>
        <v>1.3928481189396833E-3</v>
      </c>
      <c r="CI329" s="196">
        <f t="shared" si="959"/>
        <v>112819.27996741292</v>
      </c>
      <c r="CJ329" s="248">
        <f t="shared" si="921"/>
        <v>1.8547486762910729E-3</v>
      </c>
      <c r="CK329" s="196">
        <f t="shared" si="960"/>
        <v>102723.02227667274</v>
      </c>
      <c r="CL329" s="589">
        <f t="shared" si="922"/>
        <v>1.4766645744514002E-3</v>
      </c>
      <c r="CM329" s="196">
        <f t="shared" si="961"/>
        <v>9951.2992899517358</v>
      </c>
      <c r="CN329" s="589">
        <f t="shared" si="923"/>
        <v>1.4340953207258567E-3</v>
      </c>
      <c r="CO329" s="196">
        <f t="shared" si="962"/>
        <v>796.09741077982392</v>
      </c>
      <c r="CP329" s="589">
        <f t="shared" si="924"/>
        <v>1.501317095155684E-3</v>
      </c>
      <c r="CQ329" s="196">
        <f>'Detailed Budget'!$AC$12</f>
        <v>292876014141.44696</v>
      </c>
      <c r="CR329" s="269">
        <f t="shared" si="925"/>
        <v>1115724432.8735135</v>
      </c>
      <c r="CS329" s="269">
        <f>'Detailed Budget'!$AC$16</f>
        <v>10488008800.000002</v>
      </c>
      <c r="CT329" s="607">
        <f t="shared" si="931"/>
        <v>39954539.690750524</v>
      </c>
      <c r="CU329" s="269">
        <f>'Detailed Budget'!$AC$24</f>
        <v>30624985696</v>
      </c>
      <c r="CV329" s="269">
        <f t="shared" si="976"/>
        <v>116667269.24563658</v>
      </c>
      <c r="CW329" s="269"/>
      <c r="CX329" s="269">
        <f t="shared" si="916"/>
        <v>1272346241.8099008</v>
      </c>
      <c r="CY329" s="196">
        <f>'Detailed Budget'!$AC$97</f>
        <v>74629165494.837845</v>
      </c>
      <c r="CZ329" s="269">
        <f t="shared" si="932"/>
        <v>0</v>
      </c>
      <c r="DA329" s="269">
        <f>'Detailed Budget'!$AC$100</f>
        <v>14925833098.967569</v>
      </c>
      <c r="DB329" s="269">
        <f t="shared" si="933"/>
        <v>0</v>
      </c>
      <c r="DC329" s="269">
        <f t="shared" si="905"/>
        <v>0</v>
      </c>
      <c r="DD329" s="207">
        <v>0</v>
      </c>
      <c r="DE329" s="606">
        <v>0</v>
      </c>
      <c r="DF329" s="269">
        <f>'Detailed Budget'!$AC$147</f>
        <v>5913600671000</v>
      </c>
      <c r="DG329" s="269">
        <f t="shared" si="971"/>
        <v>0</v>
      </c>
      <c r="DH329" s="269">
        <f>'Detailed Budget'!$AC$153</f>
        <v>226428026880.00003</v>
      </c>
      <c r="DI329" s="269"/>
      <c r="DJ329" s="269">
        <f>'Detailed Budget'!$AC$156</f>
        <v>27713070000</v>
      </c>
      <c r="DK329" s="269"/>
      <c r="DL329" s="269"/>
      <c r="DM329" s="196">
        <f>'Detailed Budget'!$AC$178</f>
        <v>5622683761.6229038</v>
      </c>
      <c r="DN329" s="269">
        <f t="shared" si="963"/>
        <v>20462203.651054613</v>
      </c>
      <c r="DO329" s="196">
        <f>'Detailed Budget'!$AC$179</f>
        <v>26827890683.128094</v>
      </c>
      <c r="DP329" s="269">
        <f t="shared" si="964"/>
        <v>97632694.795728996</v>
      </c>
      <c r="DQ329" s="269">
        <f t="shared" si="870"/>
        <v>118094898.4467836</v>
      </c>
      <c r="DR329" s="269">
        <f>'Detailed Budget'!$AC$181</f>
        <v>50888946855.375237</v>
      </c>
      <c r="DS329" s="269">
        <f t="shared" si="965"/>
        <v>155127810.99768856</v>
      </c>
      <c r="DT329" s="269">
        <f t="shared" si="966"/>
        <v>273222709.44447219</v>
      </c>
      <c r="DU329" s="272">
        <f>'Detailed Budget'!$AC$192</f>
        <v>77498869683.252869</v>
      </c>
      <c r="DV329" s="269">
        <f t="shared" si="934"/>
        <v>0</v>
      </c>
      <c r="DW329" s="140">
        <f>'Detailed Budget'!$AC$194</f>
        <v>2684962805.4134097</v>
      </c>
      <c r="DX329" s="269">
        <f t="shared" si="935"/>
        <v>0</v>
      </c>
      <c r="DY329" s="607">
        <f t="shared" si="906"/>
        <v>0</v>
      </c>
      <c r="DZ329" s="196">
        <f>'Detailed Budget'!$AC$198</f>
        <v>18732540018.380611</v>
      </c>
      <c r="EA329" s="269">
        <f t="shared" si="936"/>
        <v>22793620.808763351</v>
      </c>
      <c r="EB329" s="196">
        <f>'Detailed Budget'!$AC$200</f>
        <v>4683135004.5951529</v>
      </c>
      <c r="EC329" s="269">
        <f t="shared" si="937"/>
        <v>5698405.2021908378</v>
      </c>
      <c r="ED329" s="269">
        <f t="shared" si="907"/>
        <v>28492026.01095419</v>
      </c>
      <c r="EE329" s="196">
        <f>'Detailed Budget'!$AC$161</f>
        <v>251147290106.36197</v>
      </c>
      <c r="EF329" s="269">
        <f t="shared" si="938"/>
        <v>349810030.6014452</v>
      </c>
      <c r="EG329" s="196">
        <f>'Detailed Budget'!$AC$163</f>
        <v>15696705631.647623</v>
      </c>
      <c r="EH329" s="269">
        <f t="shared" si="939"/>
        <v>21863126.912590325</v>
      </c>
      <c r="EI329" s="269">
        <f t="shared" si="908"/>
        <v>371673157.51403552</v>
      </c>
      <c r="EJ329" s="196">
        <f>'Detailed Budget'!$AC$204</f>
        <v>45012172507.531975</v>
      </c>
      <c r="EK329" s="269">
        <f t="shared" si="940"/>
        <v>83486267.375330359</v>
      </c>
      <c r="EL329" s="201">
        <f>'Detailed Budget'!$AC$206</f>
        <v>11253043126.882994</v>
      </c>
      <c r="EM329" s="269">
        <f t="shared" si="941"/>
        <v>20871566.84383259</v>
      </c>
      <c r="EN329" s="269">
        <f t="shared" si="909"/>
        <v>104357834.21916294</v>
      </c>
      <c r="EO329" s="140">
        <f>'Detailed Budget'!$AC$209</f>
        <v>135789361677.54817</v>
      </c>
      <c r="EP329" s="269">
        <f t="shared" si="942"/>
        <v>200515339.97660396</v>
      </c>
      <c r="EQ329" s="196">
        <f>'Detailed Budget'!$AC$211</f>
        <v>33947340419.387043</v>
      </c>
      <c r="ER329" s="269">
        <f t="shared" si="943"/>
        <v>50128834.994150989</v>
      </c>
      <c r="ES329" s="269">
        <f t="shared" si="910"/>
        <v>250644174.97075495</v>
      </c>
      <c r="ET329" s="196">
        <f>'Detailed Budget'!$AC$214</f>
        <v>22239745544.201103</v>
      </c>
      <c r="EU329" s="269">
        <f t="shared" si="944"/>
        <v>31893915.019072525</v>
      </c>
      <c r="EV329" s="140">
        <f>'Detailed Budget'!$AC$217</f>
        <v>5559936386.0502758</v>
      </c>
      <c r="EW329" s="269">
        <f t="shared" si="945"/>
        <v>7973478.7547681313</v>
      </c>
      <c r="EX329" s="269">
        <f t="shared" si="911"/>
        <v>39867393.773840658</v>
      </c>
      <c r="EY329" s="196">
        <f>'Detailed Budget'!$AC$219</f>
        <v>372777004.58170313</v>
      </c>
      <c r="EZ329" s="269">
        <f t="shared" si="946"/>
        <v>559656.48965943966</v>
      </c>
      <c r="FA329" s="196">
        <f>'Detailed Budget'!$AC$222</f>
        <v>93194251.145425782</v>
      </c>
      <c r="FB329" s="269">
        <f t="shared" si="947"/>
        <v>139914.12241485991</v>
      </c>
      <c r="FC329" s="269">
        <f t="shared" si="912"/>
        <v>699570.6120742996</v>
      </c>
      <c r="FD329" s="269"/>
      <c r="FE329" s="269">
        <f t="shared" si="913"/>
        <v>395568973.5758329</v>
      </c>
      <c r="FF329" s="140">
        <f>'Detailed Budget'!$AC$165</f>
        <v>14927760000</v>
      </c>
      <c r="FG329" s="1087">
        <f t="shared" si="972"/>
        <v>539582264.19209349</v>
      </c>
      <c r="FH329" s="269">
        <f t="shared" si="948"/>
        <v>23746010.68060448</v>
      </c>
      <c r="FJ329" s="140">
        <f>'Detailed Budget'!$AC$235</f>
        <v>3623696172</v>
      </c>
      <c r="FK329" s="269">
        <f t="shared" si="949"/>
        <v>4681778</v>
      </c>
      <c r="FL329" s="269">
        <f t="shared" si="973"/>
        <v>4681778</v>
      </c>
      <c r="FO329" s="607"/>
      <c r="FP329" s="607"/>
      <c r="FQ329" s="607"/>
      <c r="FR329" s="269">
        <f>'Detailed Budget'!$AC$257</f>
        <v>13636439388</v>
      </c>
      <c r="FS329" s="269">
        <f t="shared" si="950"/>
        <v>12491700</v>
      </c>
      <c r="FT329" s="269">
        <f t="shared" si="974"/>
        <v>12491700</v>
      </c>
      <c r="FU329" s="269"/>
      <c r="FV329" s="269"/>
      <c r="FW329" s="269"/>
      <c r="FX329" s="140">
        <f>'Detailed Budget'!$AC$278</f>
        <v>1114560000</v>
      </c>
      <c r="FY329" s="269">
        <f t="shared" si="951"/>
        <v>1440000</v>
      </c>
      <c r="FZ329" s="269">
        <f t="shared" si="975"/>
        <v>1440000</v>
      </c>
      <c r="GB329" s="269">
        <f t="shared" ref="GB329:GB392" si="983">SUM(CX329,DC329,DG329,DL329,DT329,DY329,ED329,EI329,FE329,FG329,FH329,FL329,FT329,FZ329,GA329)</f>
        <v>2923244861.2278934</v>
      </c>
      <c r="GC329" s="887">
        <f t="shared" si="914"/>
        <v>1827028.0382674334</v>
      </c>
      <c r="GD329" s="1078">
        <f t="shared" ref="GD329:GD392" si="984">GB329/1782113496426</f>
        <v>1.640324741993377E-3</v>
      </c>
    </row>
    <row r="330" spans="1:186" hidden="1" outlineLevel="1">
      <c r="A330" s="211" t="s">
        <v>803</v>
      </c>
      <c r="B330" s="212" t="s">
        <v>804</v>
      </c>
      <c r="C330" s="213" t="s">
        <v>215</v>
      </c>
      <c r="D330" s="214" t="s">
        <v>215</v>
      </c>
      <c r="E330" s="213"/>
      <c r="F330" s="213"/>
      <c r="G330" s="213"/>
      <c r="H330" s="213" t="s">
        <v>215</v>
      </c>
      <c r="I330" s="214" t="s">
        <v>215</v>
      </c>
      <c r="J330" s="214"/>
      <c r="K330" s="213" t="s">
        <v>215</v>
      </c>
      <c r="L330" s="213"/>
      <c r="M330" s="214"/>
      <c r="N330" s="213"/>
      <c r="O330" s="214"/>
      <c r="P330" s="213"/>
      <c r="Q330" s="214"/>
      <c r="R330" s="214" t="s">
        <v>215</v>
      </c>
      <c r="S330" s="214"/>
      <c r="T330" s="213"/>
      <c r="U330" s="215">
        <f t="shared" si="952"/>
        <v>6</v>
      </c>
      <c r="V330" s="845" t="s">
        <v>219</v>
      </c>
      <c r="W330" s="216">
        <v>278309</v>
      </c>
      <c r="X330" s="217">
        <v>3.36</v>
      </c>
      <c r="Y330" s="218">
        <f t="shared" si="826"/>
        <v>1.0336000000000001</v>
      </c>
      <c r="Z330" s="196">
        <v>19</v>
      </c>
      <c r="AA330" s="218">
        <f t="shared" si="827"/>
        <v>1.873689022502546</v>
      </c>
      <c r="AB330" s="196">
        <f t="shared" si="894"/>
        <v>521464.51816366107</v>
      </c>
      <c r="AC330">
        <v>19.3</v>
      </c>
      <c r="AD330" s="196">
        <f t="shared" si="895"/>
        <v>100642.65200558658</v>
      </c>
      <c r="AE330" s="196">
        <f t="shared" si="849"/>
        <v>95610.519405307248</v>
      </c>
      <c r="AF330" s="196">
        <f t="shared" si="953"/>
        <v>95610.519405307248</v>
      </c>
      <c r="AG330" s="606">
        <f t="shared" si="917"/>
        <v>4.4206106792564655E-3</v>
      </c>
      <c r="AH330" s="196">
        <f t="shared" si="967"/>
        <v>26073.225908183056</v>
      </c>
      <c r="AI330" s="248">
        <f t="shared" si="896"/>
        <v>2.0198533063110133E-3</v>
      </c>
      <c r="AJ330" s="196">
        <f t="shared" si="897"/>
        <v>126715.87791376964</v>
      </c>
      <c r="AK330" s="196">
        <f t="shared" si="926"/>
        <v>20858.580726546443</v>
      </c>
      <c r="AL330" s="196">
        <f t="shared" si="927"/>
        <v>20858.580726546443</v>
      </c>
      <c r="AM330" s="196">
        <f t="shared" si="898"/>
        <v>41717.161453092885</v>
      </c>
      <c r="AN330" s="627">
        <f t="shared" si="899"/>
        <v>2.0198533063110129E-3</v>
      </c>
      <c r="AO330" s="196">
        <f t="shared" si="900"/>
        <v>19815.651690219122</v>
      </c>
      <c r="AP330" s="589">
        <f t="shared" si="918"/>
        <v>2.0198533063110133E-3</v>
      </c>
      <c r="AQ330" s="196"/>
      <c r="AR330" s="589"/>
      <c r="AS330">
        <v>1</v>
      </c>
      <c r="AT330" s="589">
        <f t="shared" si="919"/>
        <v>1.2919896640826874E-3</v>
      </c>
      <c r="AU330" s="196">
        <v>11</v>
      </c>
      <c r="AV330" s="245">
        <f t="shared" si="901"/>
        <v>1.2498579706851495E-3</v>
      </c>
      <c r="AX330" s="245"/>
      <c r="AY330" s="245"/>
      <c r="AZ330" s="196">
        <v>53</v>
      </c>
      <c r="BA330" s="589">
        <f t="shared" si="977"/>
        <v>1.9420321717782418E-3</v>
      </c>
      <c r="BI330" s="196">
        <v>1</v>
      </c>
      <c r="BJ330" s="196">
        <f t="shared" si="954"/>
        <v>289702.50680166902</v>
      </c>
      <c r="BK330" s="246">
        <f t="shared" si="978"/>
        <v>5.5244520161285334E-3</v>
      </c>
      <c r="BL330" s="196">
        <f t="shared" si="968"/>
        <v>5794.0501360333801</v>
      </c>
      <c r="BM330" s="246">
        <f t="shared" si="979"/>
        <v>5.5244513840408049E-3</v>
      </c>
      <c r="BN330" s="196">
        <v>0</v>
      </c>
      <c r="BO330" s="196">
        <f t="shared" si="955"/>
        <v>36320.061245947836</v>
      </c>
      <c r="BP330" s="196">
        <f t="shared" si="902"/>
        <v>0</v>
      </c>
      <c r="BQ330" s="248">
        <f t="shared" si="980"/>
        <v>0</v>
      </c>
      <c r="BR330" s="248"/>
      <c r="BS330" s="248"/>
      <c r="BT330" s="276">
        <v>1</v>
      </c>
      <c r="BU330" s="196">
        <f t="shared" si="969"/>
        <v>76085.844916223461</v>
      </c>
      <c r="BV330" s="264">
        <f t="shared" si="981"/>
        <v>5.2774583219099003E-3</v>
      </c>
      <c r="BW330" s="196">
        <f t="shared" si="970"/>
        <v>325478.33658606699</v>
      </c>
      <c r="BX330" s="247">
        <f t="shared" si="982"/>
        <v>5.2774583694494464E-3</v>
      </c>
      <c r="BY330" s="196">
        <f t="shared" si="833"/>
        <v>401564.18150229042</v>
      </c>
      <c r="BZ330" s="620">
        <v>0</v>
      </c>
      <c r="CA330" s="196">
        <f t="shared" si="956"/>
        <v>159568.14255808029</v>
      </c>
      <c r="CB330" s="196">
        <f t="shared" si="957"/>
        <v>319136.28511616058</v>
      </c>
      <c r="CC330" s="196">
        <f t="shared" si="915"/>
        <v>478704.4276742409</v>
      </c>
      <c r="CD330" s="247">
        <f t="shared" si="903"/>
        <v>2.0198533063110133E-3</v>
      </c>
      <c r="CE330" s="196">
        <f t="shared" si="958"/>
        <v>40861.9230536658</v>
      </c>
      <c r="CF330" s="247">
        <f t="shared" si="904"/>
        <v>1.7645449158178003E-3</v>
      </c>
      <c r="CG330" s="196">
        <f t="shared" si="929"/>
        <v>79262.606760876486</v>
      </c>
      <c r="CH330" s="589">
        <f t="shared" si="920"/>
        <v>2.0198533063110133E-3</v>
      </c>
      <c r="CI330" s="196">
        <f t="shared" si="959"/>
        <v>163606.06196695805</v>
      </c>
      <c r="CJ330" s="248">
        <f t="shared" si="921"/>
        <v>2.6896832434496975E-3</v>
      </c>
      <c r="CK330" s="196">
        <f t="shared" si="960"/>
        <v>148964.86799849159</v>
      </c>
      <c r="CL330" s="589">
        <f t="shared" si="922"/>
        <v>2.141400618244413E-3</v>
      </c>
      <c r="CM330" s="196">
        <f t="shared" si="961"/>
        <v>14430.981023401788</v>
      </c>
      <c r="CN330" s="589">
        <f t="shared" si="923"/>
        <v>2.079668368535674E-3</v>
      </c>
      <c r="CO330" s="196">
        <f t="shared" si="962"/>
        <v>1154.4690088201194</v>
      </c>
      <c r="CP330" s="589">
        <f t="shared" si="924"/>
        <v>2.1771507296717485E-3</v>
      </c>
      <c r="CQ330" s="196">
        <f>'Detailed Budget'!$AC$12</f>
        <v>292876014141.44696</v>
      </c>
      <c r="CR330" s="269">
        <f t="shared" si="925"/>
        <v>1617979486.7994056</v>
      </c>
      <c r="CS330" s="269">
        <f>'Detailed Budget'!$AC$16</f>
        <v>10488008800.000002</v>
      </c>
      <c r="CT330" s="607">
        <f t="shared" si="931"/>
        <v>57940494.730992153</v>
      </c>
      <c r="CU330" s="269">
        <f>'Detailed Budget'!$AC$24</f>
        <v>30624985696</v>
      </c>
      <c r="CV330" s="269">
        <f t="shared" si="976"/>
        <v>169186263.9721747</v>
      </c>
      <c r="CW330" s="269"/>
      <c r="CX330" s="269">
        <f t="shared" si="916"/>
        <v>1845106245.5025723</v>
      </c>
      <c r="CY330" s="196">
        <f>'Detailed Budget'!$AC$97</f>
        <v>74629165494.837845</v>
      </c>
      <c r="CZ330" s="269">
        <f t="shared" si="932"/>
        <v>0</v>
      </c>
      <c r="DA330" s="269">
        <f>'Detailed Budget'!$AC$100</f>
        <v>14925833098.967569</v>
      </c>
      <c r="DB330" s="269">
        <f t="shared" si="933"/>
        <v>0</v>
      </c>
      <c r="DC330" s="269">
        <f t="shared" si="905"/>
        <v>0</v>
      </c>
      <c r="DD330" s="207">
        <v>0</v>
      </c>
      <c r="DE330" s="606">
        <v>0</v>
      </c>
      <c r="DF330" s="269">
        <f>'Detailed Budget'!$AC$147</f>
        <v>5913600671000</v>
      </c>
      <c r="DG330" s="269">
        <f t="shared" si="971"/>
        <v>0</v>
      </c>
      <c r="DH330" s="269">
        <f>'Detailed Budget'!$AC$153</f>
        <v>226428026880.00003</v>
      </c>
      <c r="DI330" s="269"/>
      <c r="DJ330" s="269">
        <f>'Detailed Budget'!$AC$156</f>
        <v>27713070000</v>
      </c>
      <c r="DK330" s="269"/>
      <c r="DL330" s="269"/>
      <c r="DM330" s="196">
        <f>'Detailed Budget'!$AC$178</f>
        <v>5622683761.6229038</v>
      </c>
      <c r="DN330" s="269">
        <f t="shared" si="963"/>
        <v>29673479.209244456</v>
      </c>
      <c r="DO330" s="196">
        <f>'Detailed Budget'!$AC$179</f>
        <v>26827890683.128094</v>
      </c>
      <c r="DP330" s="269">
        <f t="shared" si="964"/>
        <v>141583076.22034919</v>
      </c>
      <c r="DQ330" s="269">
        <f t="shared" si="870"/>
        <v>171256555.42959365</v>
      </c>
      <c r="DR330" s="269">
        <f>'Detailed Budget'!$AC$181</f>
        <v>50888946855.375237</v>
      </c>
      <c r="DS330" s="269">
        <f t="shared" si="965"/>
        <v>224960221.92498651</v>
      </c>
      <c r="DT330" s="269">
        <f t="shared" si="966"/>
        <v>396216777.35458016</v>
      </c>
      <c r="DU330" s="272">
        <f>'Detailed Budget'!$AC$192</f>
        <v>77498869683.252869</v>
      </c>
      <c r="DV330" s="269">
        <f t="shared" si="934"/>
        <v>0</v>
      </c>
      <c r="DW330" s="140">
        <f>'Detailed Budget'!$AC$194</f>
        <v>2684962805.4134097</v>
      </c>
      <c r="DX330" s="269">
        <f t="shared" si="935"/>
        <v>0</v>
      </c>
      <c r="DY330" s="607">
        <f t="shared" si="906"/>
        <v>0</v>
      </c>
      <c r="DZ330" s="196">
        <f>'Detailed Budget'!$AC$198</f>
        <v>18732540018.380611</v>
      </c>
      <c r="EA330" s="269">
        <f t="shared" si="936"/>
        <v>33054408.249786992</v>
      </c>
      <c r="EB330" s="196">
        <f>'Detailed Budget'!$AC$200</f>
        <v>4683135004.5951529</v>
      </c>
      <c r="EC330" s="269">
        <f t="shared" si="937"/>
        <v>8263602.0624467479</v>
      </c>
      <c r="ED330" s="269">
        <f t="shared" si="907"/>
        <v>41318010.312233739</v>
      </c>
      <c r="EE330" s="196">
        <f>'Detailed Budget'!$AC$161</f>
        <v>251147290106.36197</v>
      </c>
      <c r="EF330" s="269">
        <f t="shared" si="938"/>
        <v>507280684.29238647</v>
      </c>
      <c r="EG330" s="196">
        <f>'Detailed Budget'!$AC$163</f>
        <v>15696705631.647623</v>
      </c>
      <c r="EH330" s="269">
        <f t="shared" si="939"/>
        <v>31705042.768274155</v>
      </c>
      <c r="EI330" s="269">
        <f t="shared" si="908"/>
        <v>538985727.0606606</v>
      </c>
      <c r="EJ330" s="196">
        <f>'Detailed Budget'!$AC$204</f>
        <v>45012172507.531975</v>
      </c>
      <c r="EK330" s="269">
        <f t="shared" si="940"/>
        <v>121068486.1447759</v>
      </c>
      <c r="EL330" s="201">
        <f>'Detailed Budget'!$AC$206</f>
        <v>11253043126.882994</v>
      </c>
      <c r="EM330" s="269">
        <f t="shared" si="941"/>
        <v>30267121.536193974</v>
      </c>
      <c r="EN330" s="269">
        <f t="shared" si="909"/>
        <v>151335607.68096986</v>
      </c>
      <c r="EO330" s="140">
        <f>'Detailed Budget'!$AC$209</f>
        <v>135789361677.54817</v>
      </c>
      <c r="EP330" s="269">
        <f t="shared" si="942"/>
        <v>290779423.04731584</v>
      </c>
      <c r="EQ330" s="196">
        <f>'Detailed Budget'!$AC$211</f>
        <v>33947340419.387043</v>
      </c>
      <c r="ER330" s="269">
        <f t="shared" si="943"/>
        <v>72694855.761828959</v>
      </c>
      <c r="ES330" s="269">
        <f t="shared" si="910"/>
        <v>363474278.80914479</v>
      </c>
      <c r="ET330" s="196">
        <f>'Detailed Budget'!$AC$214</f>
        <v>22239745544.201103</v>
      </c>
      <c r="EU330" s="269">
        <f t="shared" si="944"/>
        <v>46251295.332557231</v>
      </c>
      <c r="EV330" s="140">
        <f>'Detailed Budget'!$AC$217</f>
        <v>5559936386.0502758</v>
      </c>
      <c r="EW330" s="269">
        <f t="shared" si="945"/>
        <v>11562823.833139308</v>
      </c>
      <c r="EX330" s="269">
        <f t="shared" si="911"/>
        <v>57814119.165696539</v>
      </c>
      <c r="EY330" s="196">
        <f>'Detailed Budget'!$AC$219</f>
        <v>372777004.58170313</v>
      </c>
      <c r="EZ330" s="269">
        <f t="shared" si="946"/>
        <v>811591.72752990364</v>
      </c>
      <c r="FA330" s="196">
        <f>'Detailed Budget'!$AC$222</f>
        <v>93194251.145425782</v>
      </c>
      <c r="FB330" s="269">
        <f t="shared" si="947"/>
        <v>202897.93188247591</v>
      </c>
      <c r="FC330" s="269">
        <f t="shared" si="912"/>
        <v>1014489.6594123796</v>
      </c>
      <c r="FD330" s="269"/>
      <c r="FE330" s="269">
        <f t="shared" si="913"/>
        <v>573638495.31522357</v>
      </c>
      <c r="FF330" s="140">
        <f>'Detailed Budget'!$AC$165</f>
        <v>14927760000</v>
      </c>
      <c r="FG330" s="1087">
        <f t="shared" si="972"/>
        <v>782480878.95244443</v>
      </c>
      <c r="FH330" s="269">
        <f t="shared" si="948"/>
        <v>18657579.820474949</v>
      </c>
      <c r="FJ330" s="140">
        <f>'Detailed Budget'!$AC$235</f>
        <v>3623696172</v>
      </c>
      <c r="FK330" s="269">
        <f t="shared" si="949"/>
        <v>4681778</v>
      </c>
      <c r="FL330" s="269">
        <f t="shared" si="973"/>
        <v>4681778</v>
      </c>
      <c r="FO330" s="607"/>
      <c r="FP330" s="607"/>
      <c r="FQ330" s="607"/>
      <c r="FR330" s="269">
        <f>'Detailed Budget'!$AC$257</f>
        <v>13636439388</v>
      </c>
      <c r="FS330" s="269">
        <f t="shared" si="950"/>
        <v>26482404</v>
      </c>
      <c r="FT330" s="269">
        <f t="shared" si="974"/>
        <v>26482404</v>
      </c>
      <c r="FU330" s="269"/>
      <c r="FV330" s="269"/>
      <c r="FW330" s="269"/>
      <c r="FX330" s="140">
        <f>'Detailed Budget'!$AC$278</f>
        <v>1114560000</v>
      </c>
      <c r="FY330" s="269">
        <f t="shared" si="951"/>
        <v>1440000</v>
      </c>
      <c r="FZ330" s="269">
        <f t="shared" si="975"/>
        <v>1440000</v>
      </c>
      <c r="GB330" s="269">
        <f t="shared" si="983"/>
        <v>4229007896.3181906</v>
      </c>
      <c r="GC330" s="887">
        <f t="shared" si="914"/>
        <v>2643129.9351988691</v>
      </c>
      <c r="GD330" s="1078">
        <f t="shared" si="984"/>
        <v>2.3730294982891934E-3</v>
      </c>
    </row>
    <row r="331" spans="1:186" hidden="1" outlineLevel="1">
      <c r="A331" s="211" t="s">
        <v>805</v>
      </c>
      <c r="B331" s="212" t="s">
        <v>806</v>
      </c>
      <c r="C331" s="213" t="s">
        <v>215</v>
      </c>
      <c r="D331" s="214" t="s">
        <v>215</v>
      </c>
      <c r="E331" s="213"/>
      <c r="F331" s="213"/>
      <c r="G331" s="213"/>
      <c r="H331" s="213" t="s">
        <v>215</v>
      </c>
      <c r="I331" s="214" t="s">
        <v>215</v>
      </c>
      <c r="J331" s="214"/>
      <c r="K331" s="213" t="s">
        <v>215</v>
      </c>
      <c r="L331" s="213"/>
      <c r="M331" s="214"/>
      <c r="N331" s="213"/>
      <c r="O331" s="214"/>
      <c r="P331" s="213"/>
      <c r="Q331" s="214"/>
      <c r="R331" s="214" t="s">
        <v>215</v>
      </c>
      <c r="S331" s="214"/>
      <c r="T331" s="213"/>
      <c r="U331" s="215">
        <f t="shared" si="952"/>
        <v>6</v>
      </c>
      <c r="V331" s="845" t="s">
        <v>219</v>
      </c>
      <c r="W331" s="216">
        <v>174467</v>
      </c>
      <c r="X331" s="217">
        <v>3.36</v>
      </c>
      <c r="Y331" s="218">
        <f t="shared" si="826"/>
        <v>1.0336000000000001</v>
      </c>
      <c r="Z331" s="196">
        <v>19</v>
      </c>
      <c r="AA331" s="218">
        <f t="shared" si="827"/>
        <v>1.873689022502546</v>
      </c>
      <c r="AB331" s="196">
        <f t="shared" si="894"/>
        <v>326896.9026889517</v>
      </c>
      <c r="AC331">
        <v>19.3</v>
      </c>
      <c r="AD331" s="196">
        <f t="shared" si="895"/>
        <v>63091.102218967673</v>
      </c>
      <c r="AE331" s="196">
        <f t="shared" si="849"/>
        <v>59936.547108019287</v>
      </c>
      <c r="AF331" s="196">
        <f t="shared" si="953"/>
        <v>59936.547108019287</v>
      </c>
      <c r="AG331" s="606">
        <f t="shared" si="917"/>
        <v>2.7712028119027329E-3</v>
      </c>
      <c r="AH331" s="196">
        <f t="shared" si="967"/>
        <v>16344.845134447585</v>
      </c>
      <c r="AI331" s="248">
        <f t="shared" si="896"/>
        <v>1.2662103877063391E-3</v>
      </c>
      <c r="AJ331" s="196">
        <f t="shared" si="897"/>
        <v>79435.947353415264</v>
      </c>
      <c r="AK331" s="196">
        <f t="shared" si="926"/>
        <v>13075.876107558068</v>
      </c>
      <c r="AL331" s="196">
        <f t="shared" si="927"/>
        <v>13075.876107558068</v>
      </c>
      <c r="AM331" s="196">
        <f t="shared" si="898"/>
        <v>26151.752215116136</v>
      </c>
      <c r="AN331" s="627">
        <f t="shared" si="899"/>
        <v>1.2662103877063391E-3</v>
      </c>
      <c r="AO331" s="196">
        <f t="shared" si="900"/>
        <v>12422.082302180164</v>
      </c>
      <c r="AP331" s="589">
        <f t="shared" si="918"/>
        <v>1.2662103877063391E-3</v>
      </c>
      <c r="AQ331" s="196"/>
      <c r="AR331" s="589"/>
      <c r="AS331">
        <v>1</v>
      </c>
      <c r="AT331" s="589">
        <f t="shared" si="919"/>
        <v>1.2919896640826874E-3</v>
      </c>
      <c r="AU331" s="196">
        <v>10</v>
      </c>
      <c r="AV331" s="245">
        <f t="shared" si="901"/>
        <v>1.1362345188046814E-3</v>
      </c>
      <c r="AX331" s="245"/>
      <c r="AY331" s="245"/>
      <c r="AZ331" s="196">
        <v>27</v>
      </c>
      <c r="BA331" s="589">
        <f t="shared" si="977"/>
        <v>9.8933714411344391E-4</v>
      </c>
      <c r="BI331" s="196">
        <v>1</v>
      </c>
      <c r="BJ331" s="196">
        <f t="shared" si="954"/>
        <v>181609.38832077579</v>
      </c>
      <c r="BK331" s="246">
        <f t="shared" si="978"/>
        <v>3.4631814634018192E-3</v>
      </c>
      <c r="BL331" s="196">
        <f t="shared" si="968"/>
        <v>3632.1877664155159</v>
      </c>
      <c r="BM331" s="246">
        <f t="shared" si="979"/>
        <v>3.4631810671571783E-3</v>
      </c>
      <c r="BN331" s="196">
        <v>0</v>
      </c>
      <c r="BO331" s="196">
        <f t="shared" si="955"/>
        <v>22768.405353031274</v>
      </c>
      <c r="BP331" s="196">
        <f t="shared" si="902"/>
        <v>0</v>
      </c>
      <c r="BQ331" s="248">
        <f t="shared" si="980"/>
        <v>0</v>
      </c>
      <c r="BR331" s="248"/>
      <c r="BS331" s="248"/>
      <c r="BT331" s="276">
        <v>1</v>
      </c>
      <c r="BU331" s="196">
        <f t="shared" si="969"/>
        <v>47696.873277539555</v>
      </c>
      <c r="BV331" s="264">
        <f t="shared" si="981"/>
        <v>3.3083454758870696E-3</v>
      </c>
      <c r="BW331" s="196">
        <f t="shared" si="970"/>
        <v>204036.62457614148</v>
      </c>
      <c r="BX331" s="247">
        <f t="shared" si="982"/>
        <v>3.3083455056887733E-3</v>
      </c>
      <c r="BY331" s="196">
        <f t="shared" si="833"/>
        <v>251733.49785368104</v>
      </c>
      <c r="BZ331" s="620">
        <v>0</v>
      </c>
      <c r="CA331" s="196">
        <f t="shared" si="956"/>
        <v>100030.45222281922</v>
      </c>
      <c r="CB331" s="196">
        <f t="shared" si="957"/>
        <v>200060.90444563844</v>
      </c>
      <c r="CC331" s="196">
        <f t="shared" si="915"/>
        <v>300091.35666845768</v>
      </c>
      <c r="CD331" s="247">
        <f t="shared" si="903"/>
        <v>1.2662103877063391E-3</v>
      </c>
      <c r="CE331" s="196">
        <f t="shared" si="958"/>
        <v>25615.618357307561</v>
      </c>
      <c r="CF331" s="247">
        <f t="shared" si="904"/>
        <v>1.1061620638498366E-3</v>
      </c>
      <c r="CG331" s="196">
        <f t="shared" si="929"/>
        <v>49688.329208720657</v>
      </c>
      <c r="CH331" s="589">
        <f t="shared" si="920"/>
        <v>1.2662103877063391E-3</v>
      </c>
      <c r="CI331" s="196">
        <f t="shared" si="959"/>
        <v>102561.75263174842</v>
      </c>
      <c r="CJ331" s="248">
        <f t="shared" si="921"/>
        <v>1.6861149529297952E-3</v>
      </c>
      <c r="CK331" s="196">
        <f t="shared" si="960"/>
        <v>93383.446547157422</v>
      </c>
      <c r="CL331" s="589">
        <f t="shared" si="922"/>
        <v>1.34240625227085E-3</v>
      </c>
      <c r="CM331" s="196">
        <f t="shared" si="961"/>
        <v>9046.5272995477681</v>
      </c>
      <c r="CN331" s="589">
        <f t="shared" si="923"/>
        <v>1.3037073944907043E-3</v>
      </c>
      <c r="CO331" s="196">
        <f t="shared" si="962"/>
        <v>723.71624547470526</v>
      </c>
      <c r="CP331" s="589">
        <f t="shared" si="924"/>
        <v>1.364817366142097E-3</v>
      </c>
      <c r="CQ331" s="196">
        <f>'Detailed Budget'!$AC$12</f>
        <v>292876014141.44696</v>
      </c>
      <c r="CR331" s="269">
        <f t="shared" si="925"/>
        <v>1014282783.2496681</v>
      </c>
      <c r="CS331" s="269">
        <f>'Detailed Budget'!$AC$16</f>
        <v>10488008800.000002</v>
      </c>
      <c r="CT331" s="607">
        <f t="shared" si="931"/>
        <v>36321873.508337885</v>
      </c>
      <c r="CU331" s="269">
        <f>'Detailed Budget'!$AC$24</f>
        <v>30624985696</v>
      </c>
      <c r="CV331" s="269">
        <f t="shared" si="976"/>
        <v>106059882.77933306</v>
      </c>
      <c r="CW331" s="269"/>
      <c r="CX331" s="269">
        <f t="shared" si="916"/>
        <v>1156664539.537339</v>
      </c>
      <c r="CY331" s="196">
        <f>'Detailed Budget'!$AC$97</f>
        <v>74629165494.837845</v>
      </c>
      <c r="CZ331" s="269">
        <f t="shared" si="932"/>
        <v>0</v>
      </c>
      <c r="DA331" s="269">
        <f>'Detailed Budget'!$AC$100</f>
        <v>14925833098.967569</v>
      </c>
      <c r="DB331" s="269">
        <f t="shared" si="933"/>
        <v>0</v>
      </c>
      <c r="DC331" s="269">
        <f t="shared" si="905"/>
        <v>0</v>
      </c>
      <c r="DD331" s="207">
        <v>0</v>
      </c>
      <c r="DE331" s="606">
        <v>0</v>
      </c>
      <c r="DF331" s="269">
        <f>'Detailed Budget'!$AC$147</f>
        <v>5913600671000</v>
      </c>
      <c r="DG331" s="269">
        <f t="shared" si="971"/>
        <v>0</v>
      </c>
      <c r="DH331" s="269">
        <f>'Detailed Budget'!$AC$153</f>
        <v>226428026880.00003</v>
      </c>
      <c r="DI331" s="269"/>
      <c r="DJ331" s="269">
        <f>'Detailed Budget'!$AC$156</f>
        <v>27713070000</v>
      </c>
      <c r="DK331" s="269"/>
      <c r="DL331" s="269"/>
      <c r="DM331" s="196">
        <f>'Detailed Budget'!$AC$178</f>
        <v>5622683761.6229038</v>
      </c>
      <c r="DN331" s="269">
        <f t="shared" si="963"/>
        <v>18601780.385108825</v>
      </c>
      <c r="DO331" s="196">
        <f>'Detailed Budget'!$AC$179</f>
        <v>26827890683.128094</v>
      </c>
      <c r="DP331" s="269">
        <f t="shared" si="964"/>
        <v>88755931.568636537</v>
      </c>
      <c r="DQ331" s="269">
        <f t="shared" si="870"/>
        <v>107357711.95374537</v>
      </c>
      <c r="DR331" s="269">
        <f>'Detailed Budget'!$AC$181</f>
        <v>50888946855.375237</v>
      </c>
      <c r="DS331" s="269">
        <f t="shared" si="965"/>
        <v>141023592.6203846</v>
      </c>
      <c r="DT331" s="269">
        <f t="shared" si="966"/>
        <v>248381304.57412997</v>
      </c>
      <c r="DU331" s="272">
        <f>'Detailed Budget'!$AC$192</f>
        <v>77498869683.252869</v>
      </c>
      <c r="DV331" s="269">
        <f t="shared" si="934"/>
        <v>0</v>
      </c>
      <c r="DW331" s="140">
        <f>'Detailed Budget'!$AC$194</f>
        <v>2684962805.4134097</v>
      </c>
      <c r="DX331" s="269">
        <f t="shared" si="935"/>
        <v>0</v>
      </c>
      <c r="DY331" s="607">
        <f t="shared" si="906"/>
        <v>0</v>
      </c>
      <c r="DZ331" s="196">
        <f>'Detailed Budget'!$AC$198</f>
        <v>18732540018.380611</v>
      </c>
      <c r="EA331" s="269">
        <f t="shared" si="936"/>
        <v>20721225.127881553</v>
      </c>
      <c r="EB331" s="196">
        <f>'Detailed Budget'!$AC$200</f>
        <v>4683135004.5951529</v>
      </c>
      <c r="EC331" s="269">
        <f t="shared" si="937"/>
        <v>5180306.2819703883</v>
      </c>
      <c r="ED331" s="269">
        <f t="shared" si="907"/>
        <v>25901531.409851942</v>
      </c>
      <c r="EE331" s="196">
        <f>'Detailed Budget'!$AC$161</f>
        <v>251147290106.36197</v>
      </c>
      <c r="EF331" s="269">
        <f t="shared" si="938"/>
        <v>318005307.57697302</v>
      </c>
      <c r="EG331" s="196">
        <f>'Detailed Budget'!$AC$163</f>
        <v>15696705631.647623</v>
      </c>
      <c r="EH331" s="269">
        <f t="shared" si="939"/>
        <v>19875331.723560814</v>
      </c>
      <c r="EI331" s="269">
        <f t="shared" si="908"/>
        <v>337880639.30053383</v>
      </c>
      <c r="EJ331" s="196">
        <f>'Detailed Budget'!$AC$204</f>
        <v>45012172507.531975</v>
      </c>
      <c r="EK331" s="269">
        <f t="shared" si="940"/>
        <v>75895697.128805101</v>
      </c>
      <c r="EL331" s="201">
        <f>'Detailed Budget'!$AC$206</f>
        <v>11253043126.882994</v>
      </c>
      <c r="EM331" s="269">
        <f t="shared" si="941"/>
        <v>18973924.282201275</v>
      </c>
      <c r="EN331" s="269">
        <f t="shared" si="909"/>
        <v>94869621.411006376</v>
      </c>
      <c r="EO331" s="140">
        <f>'Detailed Budget'!$AC$209</f>
        <v>135789361677.54817</v>
      </c>
      <c r="EP331" s="269">
        <f t="shared" si="942"/>
        <v>182284488.10780841</v>
      </c>
      <c r="EQ331" s="196">
        <f>'Detailed Budget'!$AC$211</f>
        <v>33947340419.387043</v>
      </c>
      <c r="ER331" s="269">
        <f t="shared" si="943"/>
        <v>45571122.026952103</v>
      </c>
      <c r="ES331" s="269">
        <f t="shared" si="910"/>
        <v>227855610.1347605</v>
      </c>
      <c r="ET331" s="196">
        <f>'Detailed Budget'!$AC$214</f>
        <v>22239745544.201103</v>
      </c>
      <c r="EU331" s="269">
        <f t="shared" si="944"/>
        <v>28994120.717566669</v>
      </c>
      <c r="EV331" s="140">
        <f>'Detailed Budget'!$AC$217</f>
        <v>5559936386.0502758</v>
      </c>
      <c r="EW331" s="269">
        <f t="shared" si="945"/>
        <v>7248530.1793916672</v>
      </c>
      <c r="EX331" s="269">
        <f t="shared" si="911"/>
        <v>36242650.896958336</v>
      </c>
      <c r="EY331" s="196">
        <f>'Detailed Budget'!$AC$219</f>
        <v>372777004.58170313</v>
      </c>
      <c r="EZ331" s="269">
        <f t="shared" si="946"/>
        <v>508772.5295515405</v>
      </c>
      <c r="FA331" s="196">
        <f>'Detailed Budget'!$AC$222</f>
        <v>93194251.145425782</v>
      </c>
      <c r="FB331" s="269">
        <f t="shared" si="947"/>
        <v>127193.13238788513</v>
      </c>
      <c r="FC331" s="269">
        <f t="shared" si="912"/>
        <v>635965.66193942563</v>
      </c>
      <c r="FD331" s="269"/>
      <c r="FE331" s="269">
        <f t="shared" si="913"/>
        <v>359603848.10466468</v>
      </c>
      <c r="FF331" s="140">
        <f>'Detailed Budget'!$AC$165</f>
        <v>14927760000</v>
      </c>
      <c r="FG331" s="1087">
        <f t="shared" si="972"/>
        <v>490523452.3791762</v>
      </c>
      <c r="FH331" s="269">
        <f t="shared" si="948"/>
        <v>16961436.200431772</v>
      </c>
      <c r="FJ331" s="140">
        <f>'Detailed Budget'!$AC$235</f>
        <v>3623696172</v>
      </c>
      <c r="FK331" s="269">
        <f t="shared" si="949"/>
        <v>4681778</v>
      </c>
      <c r="FL331" s="269">
        <f t="shared" si="973"/>
        <v>4681778</v>
      </c>
      <c r="FO331" s="607"/>
      <c r="FP331" s="607"/>
      <c r="FQ331" s="607"/>
      <c r="FR331" s="269">
        <f>'Detailed Budget'!$AC$257</f>
        <v>13636439388</v>
      </c>
      <c r="FS331" s="269">
        <f t="shared" si="950"/>
        <v>13491035.999999998</v>
      </c>
      <c r="FT331" s="269">
        <f t="shared" si="974"/>
        <v>13491035.999999998</v>
      </c>
      <c r="FU331" s="269"/>
      <c r="FV331" s="269"/>
      <c r="FW331" s="269"/>
      <c r="FX331" s="140">
        <f>'Detailed Budget'!$AC$278</f>
        <v>1114560000</v>
      </c>
      <c r="FY331" s="269">
        <f t="shared" si="951"/>
        <v>1440000</v>
      </c>
      <c r="FZ331" s="269">
        <f t="shared" si="975"/>
        <v>1440000</v>
      </c>
      <c r="GB331" s="269">
        <f t="shared" si="983"/>
        <v>2655529565.5061274</v>
      </c>
      <c r="GC331" s="887">
        <f t="shared" si="914"/>
        <v>1659705.9784413297</v>
      </c>
      <c r="GD331" s="1078">
        <f t="shared" si="984"/>
        <v>1.4901012594493836E-3</v>
      </c>
    </row>
    <row r="332" spans="1:186" hidden="1" outlineLevel="1">
      <c r="A332" s="211" t="s">
        <v>807</v>
      </c>
      <c r="B332" s="212" t="s">
        <v>808</v>
      </c>
      <c r="C332" s="213" t="s">
        <v>215</v>
      </c>
      <c r="D332" s="214" t="s">
        <v>215</v>
      </c>
      <c r="E332" s="213"/>
      <c r="F332" s="213"/>
      <c r="G332" s="213"/>
      <c r="H332" s="213" t="s">
        <v>215</v>
      </c>
      <c r="I332" s="214" t="s">
        <v>215</v>
      </c>
      <c r="J332" s="214"/>
      <c r="K332" s="213"/>
      <c r="L332" s="213"/>
      <c r="M332" s="214" t="s">
        <v>215</v>
      </c>
      <c r="N332" s="213"/>
      <c r="O332" s="214"/>
      <c r="P332" s="213"/>
      <c r="Q332" s="214" t="s">
        <v>215</v>
      </c>
      <c r="R332" s="214"/>
      <c r="S332" s="214"/>
      <c r="T332" s="213"/>
      <c r="U332" s="215">
        <f t="shared" si="952"/>
        <v>6</v>
      </c>
      <c r="V332" s="845" t="s">
        <v>265</v>
      </c>
      <c r="W332" s="216">
        <v>418759</v>
      </c>
      <c r="X332" s="217">
        <v>3.36</v>
      </c>
      <c r="Y332" s="218">
        <f t="shared" si="826"/>
        <v>1.0336000000000001</v>
      </c>
      <c r="Z332" s="196">
        <v>19</v>
      </c>
      <c r="AA332" s="218">
        <f t="shared" si="827"/>
        <v>1.873689022502546</v>
      </c>
      <c r="AB332" s="196">
        <f t="shared" si="894"/>
        <v>784624.14137414366</v>
      </c>
      <c r="AC332">
        <v>19.3</v>
      </c>
      <c r="AD332" s="196">
        <f t="shared" si="895"/>
        <v>151432.45928520974</v>
      </c>
      <c r="AE332" s="196">
        <f t="shared" si="849"/>
        <v>143860.83632094925</v>
      </c>
      <c r="AF332" s="196">
        <f t="shared" si="953"/>
        <v>143860.83632094925</v>
      </c>
      <c r="AG332" s="606">
        <f t="shared" si="917"/>
        <v>6.651493510575506E-3</v>
      </c>
      <c r="AH332" s="196">
        <f t="shared" si="967"/>
        <v>39231.207068707183</v>
      </c>
      <c r="AI332" s="248">
        <f t="shared" si="896"/>
        <v>3.0391821705280588E-3</v>
      </c>
      <c r="AJ332" s="196">
        <f t="shared" si="897"/>
        <v>190663.66635391692</v>
      </c>
      <c r="AK332" s="196">
        <f t="shared" si="926"/>
        <v>31384.965654965748</v>
      </c>
      <c r="AL332" s="196">
        <f t="shared" si="927"/>
        <v>31384.965654965748</v>
      </c>
      <c r="AM332" s="196">
        <f t="shared" si="898"/>
        <v>62769.931309931497</v>
      </c>
      <c r="AN332" s="627">
        <f t="shared" si="899"/>
        <v>3.0391821705280588E-3</v>
      </c>
      <c r="AO332" s="196">
        <f t="shared" si="900"/>
        <v>29815.717372217459</v>
      </c>
      <c r="AP332" s="589">
        <f t="shared" si="918"/>
        <v>3.0391821705280588E-3</v>
      </c>
      <c r="AQ332" s="196"/>
      <c r="AR332" s="589"/>
      <c r="AS332">
        <v>1</v>
      </c>
      <c r="AT332" s="589">
        <f t="shared" si="919"/>
        <v>1.2919896640826874E-3</v>
      </c>
      <c r="AU332" s="196">
        <v>12</v>
      </c>
      <c r="AV332" s="245">
        <f t="shared" si="901"/>
        <v>1.3634814225656176E-3</v>
      </c>
      <c r="AX332" s="245"/>
      <c r="AY332" s="245"/>
      <c r="AZ332" s="196">
        <v>21</v>
      </c>
      <c r="BA332" s="589">
        <f t="shared" si="977"/>
        <v>7.6948444542156754E-4</v>
      </c>
      <c r="BI332" s="196">
        <v>1</v>
      </c>
      <c r="BJ332" s="196">
        <f t="shared" si="954"/>
        <v>435902.29581422126</v>
      </c>
      <c r="BK332" s="246">
        <f t="shared" si="978"/>
        <v>8.3123937846852538E-3</v>
      </c>
      <c r="BL332" s="196">
        <f t="shared" si="968"/>
        <v>8718.0459162844254</v>
      </c>
      <c r="BM332" s="246">
        <f t="shared" si="979"/>
        <v>8.3123928336113571E-3</v>
      </c>
      <c r="BN332" s="196">
        <v>0</v>
      </c>
      <c r="BO332" s="196">
        <f t="shared" si="955"/>
        <v>54649.158048398967</v>
      </c>
      <c r="BP332" s="196">
        <f t="shared" si="902"/>
        <v>0</v>
      </c>
      <c r="BQ332" s="248">
        <f t="shared" si="980"/>
        <v>0</v>
      </c>
      <c r="BR332" s="248"/>
      <c r="BS332" s="248"/>
      <c r="BT332" s="276">
        <v>1</v>
      </c>
      <c r="BU332" s="196">
        <f t="shared" si="969"/>
        <v>114482.93921961857</v>
      </c>
      <c r="BV332" s="264">
        <f t="shared" si="981"/>
        <v>7.9407535129107157E-3</v>
      </c>
      <c r="BW332" s="196">
        <f t="shared" si="970"/>
        <v>489732.57332836831</v>
      </c>
      <c r="BX332" s="247">
        <f t="shared" si="982"/>
        <v>7.940753584441327E-3</v>
      </c>
      <c r="BY332" s="196">
        <f t="shared" si="833"/>
        <v>604215.51254798681</v>
      </c>
      <c r="BZ332" s="620">
        <v>0</v>
      </c>
      <c r="CA332" s="196">
        <f t="shared" si="956"/>
        <v>240094.98726048798</v>
      </c>
      <c r="CB332" s="196">
        <f t="shared" si="957"/>
        <v>480189.97452097596</v>
      </c>
      <c r="CC332" s="196">
        <f t="shared" si="915"/>
        <v>720284.96178146394</v>
      </c>
      <c r="CD332" s="247">
        <f t="shared" si="903"/>
        <v>3.0391821705280588E-3</v>
      </c>
      <c r="CE332" s="196">
        <f t="shared" si="958"/>
        <v>61483.092663298827</v>
      </c>
      <c r="CF332" s="247">
        <f t="shared" si="904"/>
        <v>2.6550311502788128E-3</v>
      </c>
      <c r="CG332" s="196">
        <f t="shared" si="929"/>
        <v>119262.86948886984</v>
      </c>
      <c r="CH332" s="589">
        <f t="shared" si="920"/>
        <v>3.0391821705280588E-3</v>
      </c>
      <c r="CI332" s="196">
        <f t="shared" si="959"/>
        <v>246170.66247667666</v>
      </c>
      <c r="CJ332" s="248">
        <f t="shared" si="921"/>
        <v>4.0470450662528062E-3</v>
      </c>
      <c r="CK332" s="196">
        <f t="shared" si="960"/>
        <v>224140.71825984915</v>
      </c>
      <c r="CL332" s="589">
        <f t="shared" si="922"/>
        <v>3.2220689287641158E-3</v>
      </c>
      <c r="CM332" s="196">
        <f t="shared" si="961"/>
        <v>21713.646279418597</v>
      </c>
      <c r="CN332" s="589">
        <f t="shared" si="923"/>
        <v>3.129183196876962E-3</v>
      </c>
      <c r="CO332" s="196">
        <f t="shared" si="962"/>
        <v>1737.0774486793616</v>
      </c>
      <c r="CP332" s="589">
        <f t="shared" si="924"/>
        <v>3.2758605090263408E-3</v>
      </c>
      <c r="CQ332" s="196">
        <f>'Detailed Budget'!$AC$12</f>
        <v>292876014141.44696</v>
      </c>
      <c r="CR332" s="269">
        <f t="shared" si="925"/>
        <v>2434500759.6327543</v>
      </c>
      <c r="CS332" s="269">
        <f>'Detailed Budget'!$AC$16</f>
        <v>10488008800.000002</v>
      </c>
      <c r="CT332" s="607">
        <f t="shared" si="931"/>
        <v>87180449.187972859</v>
      </c>
      <c r="CU332" s="269">
        <f>'Detailed Budget'!$AC$24</f>
        <v>30624985696</v>
      </c>
      <c r="CV332" s="269">
        <f t="shared" si="976"/>
        <v>254566940.7555052</v>
      </c>
      <c r="CW332" s="269"/>
      <c r="CX332" s="269">
        <f t="shared" si="916"/>
        <v>2776248149.5762324</v>
      </c>
      <c r="CY332" s="196">
        <f>'Detailed Budget'!$AC$97</f>
        <v>74629165494.837845</v>
      </c>
      <c r="CZ332" s="269">
        <f t="shared" si="932"/>
        <v>0</v>
      </c>
      <c r="DA332" s="269">
        <f>'Detailed Budget'!$AC$100</f>
        <v>14925833098.967569</v>
      </c>
      <c r="DB332" s="269">
        <f t="shared" si="933"/>
        <v>0</v>
      </c>
      <c r="DC332" s="269">
        <f t="shared" si="905"/>
        <v>0</v>
      </c>
      <c r="DD332" s="207">
        <v>0</v>
      </c>
      <c r="DE332" s="606">
        <v>0</v>
      </c>
      <c r="DF332" s="269">
        <f>'Detailed Budget'!$AC$147</f>
        <v>5913600671000</v>
      </c>
      <c r="DG332" s="269">
        <f t="shared" si="971"/>
        <v>0</v>
      </c>
      <c r="DH332" s="269">
        <f>'Detailed Budget'!$AC$153</f>
        <v>226428026880.00003</v>
      </c>
      <c r="DI332" s="269"/>
      <c r="DJ332" s="269">
        <f>'Detailed Budget'!$AC$156</f>
        <v>27713070000</v>
      </c>
      <c r="DK332" s="269"/>
      <c r="DL332" s="269"/>
      <c r="DM332" s="196">
        <f>'Detailed Budget'!$AC$178</f>
        <v>5622683761.6229038</v>
      </c>
      <c r="DN332" s="269">
        <f t="shared" si="963"/>
        <v>44648345.832093112</v>
      </c>
      <c r="DO332" s="196">
        <f>'Detailed Budget'!$AC$179</f>
        <v>26827890683.128094</v>
      </c>
      <c r="DP332" s="269">
        <f t="shared" si="964"/>
        <v>213033669.10504949</v>
      </c>
      <c r="DQ332" s="269">
        <f t="shared" si="870"/>
        <v>257682014.93714261</v>
      </c>
      <c r="DR332" s="269">
        <f>'Detailed Budget'!$AC$181</f>
        <v>50888946855.375237</v>
      </c>
      <c r="DS332" s="269">
        <f t="shared" si="965"/>
        <v>338487499.76855022</v>
      </c>
      <c r="DT332" s="269">
        <f t="shared" si="966"/>
        <v>596169514.70569277</v>
      </c>
      <c r="DU332" s="272">
        <f>'Detailed Budget'!$AC$192</f>
        <v>77498869683.252869</v>
      </c>
      <c r="DV332" s="269">
        <f t="shared" si="934"/>
        <v>0</v>
      </c>
      <c r="DW332" s="140">
        <f>'Detailed Budget'!$AC$194</f>
        <v>2684962805.4134097</v>
      </c>
      <c r="DX332" s="269">
        <f t="shared" si="935"/>
        <v>0</v>
      </c>
      <c r="DY332" s="607">
        <f t="shared" si="906"/>
        <v>0</v>
      </c>
      <c r="DZ332" s="196">
        <f>'Detailed Budget'!$AC$198</f>
        <v>18732540018.380611</v>
      </c>
      <c r="EA332" s="269">
        <f t="shared" si="936"/>
        <v>49735477.272644967</v>
      </c>
      <c r="EB332" s="196">
        <f>'Detailed Budget'!$AC$200</f>
        <v>4683135004.5951529</v>
      </c>
      <c r="EC332" s="269">
        <f t="shared" si="937"/>
        <v>12433869.318161242</v>
      </c>
      <c r="ED332" s="269">
        <f t="shared" si="907"/>
        <v>62169346.590806209</v>
      </c>
      <c r="EE332" s="196">
        <f>'Detailed Budget'!$AC$161</f>
        <v>251147290106.36197</v>
      </c>
      <c r="EF332" s="269">
        <f t="shared" si="938"/>
        <v>763282366.26769328</v>
      </c>
      <c r="EG332" s="196">
        <f>'Detailed Budget'!$AC$163</f>
        <v>15696705631.647623</v>
      </c>
      <c r="EH332" s="269">
        <f t="shared" si="939"/>
        <v>47705147.89173083</v>
      </c>
      <c r="EI332" s="269">
        <f t="shared" si="908"/>
        <v>810987514.15942407</v>
      </c>
      <c r="EJ332" s="196">
        <f>'Detailed Budget'!$AC$204</f>
        <v>45012172507.531975</v>
      </c>
      <c r="EK332" s="269">
        <f t="shared" si="940"/>
        <v>182166290.66792747</v>
      </c>
      <c r="EL332" s="201">
        <f>'Detailed Budget'!$AC$206</f>
        <v>11253043126.882994</v>
      </c>
      <c r="EM332" s="269">
        <f t="shared" si="941"/>
        <v>45541572.666981868</v>
      </c>
      <c r="EN332" s="269">
        <f t="shared" si="909"/>
        <v>227707863.33490935</v>
      </c>
      <c r="EO332" s="140">
        <f>'Detailed Budget'!$AC$209</f>
        <v>135789361677.54817</v>
      </c>
      <c r="EP332" s="269">
        <f t="shared" si="942"/>
        <v>437522683.11794072</v>
      </c>
      <c r="EQ332" s="196">
        <f>'Detailed Budget'!$AC$211</f>
        <v>33947340419.387043</v>
      </c>
      <c r="ER332" s="269">
        <f t="shared" si="943"/>
        <v>109380670.77948518</v>
      </c>
      <c r="ES332" s="269">
        <f t="shared" si="910"/>
        <v>546903353.89742589</v>
      </c>
      <c r="ET332" s="196">
        <f>'Detailed Budget'!$AC$214</f>
        <v>22239745544.201103</v>
      </c>
      <c r="EU332" s="269">
        <f t="shared" si="944"/>
        <v>69592238.059733376</v>
      </c>
      <c r="EV332" s="140">
        <f>'Detailed Budget'!$AC$217</f>
        <v>5559936386.0502758</v>
      </c>
      <c r="EW332" s="269">
        <f t="shared" si="945"/>
        <v>17398059.514933344</v>
      </c>
      <c r="EX332" s="269">
        <f t="shared" si="911"/>
        <v>86990297.574666724</v>
      </c>
      <c r="EY332" s="196">
        <f>'Detailed Budget'!$AC$219</f>
        <v>372777004.58170313</v>
      </c>
      <c r="EZ332" s="269">
        <f t="shared" si="946"/>
        <v>1221165.4679823327</v>
      </c>
      <c r="FA332" s="196">
        <f>'Detailed Budget'!$AC$222</f>
        <v>93194251.145425782</v>
      </c>
      <c r="FB332" s="269">
        <f t="shared" si="947"/>
        <v>305291.36699558317</v>
      </c>
      <c r="FC332" s="269">
        <f t="shared" si="912"/>
        <v>1526456.834977916</v>
      </c>
      <c r="FD332" s="269"/>
      <c r="FE332" s="269">
        <f t="shared" si="913"/>
        <v>863127971.64197981</v>
      </c>
      <c r="FF332" s="140">
        <f>'Detailed Budget'!$AC$165</f>
        <v>14927760000</v>
      </c>
      <c r="FG332" s="1087">
        <f t="shared" si="972"/>
        <v>1177363687.0861049</v>
      </c>
      <c r="FH332" s="269">
        <f t="shared" si="948"/>
        <v>20353723.440518126</v>
      </c>
      <c r="FJ332" s="140">
        <f>'Detailed Budget'!$AC$235</f>
        <v>3623696172</v>
      </c>
      <c r="FK332" s="269">
        <f t="shared" si="949"/>
        <v>4681778</v>
      </c>
      <c r="FL332" s="269">
        <f t="shared" si="973"/>
        <v>4681778</v>
      </c>
      <c r="FO332" s="607"/>
      <c r="FP332" s="607"/>
      <c r="FQ332" s="607"/>
      <c r="FR332" s="269">
        <f>'Detailed Budget'!$AC$257</f>
        <v>13636439388</v>
      </c>
      <c r="FS332" s="269">
        <f t="shared" si="950"/>
        <v>10493028</v>
      </c>
      <c r="FT332" s="269">
        <f t="shared" si="974"/>
        <v>10493028</v>
      </c>
      <c r="FU332" s="269"/>
      <c r="FV332" s="269"/>
      <c r="FW332" s="269"/>
      <c r="FX332" s="140">
        <f>'Detailed Budget'!$AC$278</f>
        <v>1114560000</v>
      </c>
      <c r="FY332" s="269">
        <f t="shared" si="951"/>
        <v>1440000</v>
      </c>
      <c r="FZ332" s="269">
        <f t="shared" si="975"/>
        <v>1440000</v>
      </c>
      <c r="GB332" s="269">
        <f t="shared" si="983"/>
        <v>6323034713.2007589</v>
      </c>
      <c r="GC332" s="887">
        <f t="shared" si="914"/>
        <v>3951896.6957504745</v>
      </c>
      <c r="GD332" s="1078">
        <f t="shared" si="984"/>
        <v>3.5480538842680353E-3</v>
      </c>
    </row>
    <row r="333" spans="1:186" hidden="1" outlineLevel="1">
      <c r="A333" s="211" t="s">
        <v>809</v>
      </c>
      <c r="B333" s="212" t="s">
        <v>810</v>
      </c>
      <c r="C333" s="213" t="s">
        <v>215</v>
      </c>
      <c r="D333" s="214" t="s">
        <v>215</v>
      </c>
      <c r="E333" s="213"/>
      <c r="F333" s="213"/>
      <c r="G333" s="213"/>
      <c r="H333" s="213" t="s">
        <v>215</v>
      </c>
      <c r="I333" s="214" t="s">
        <v>215</v>
      </c>
      <c r="J333" s="214"/>
      <c r="K333" s="213" t="s">
        <v>215</v>
      </c>
      <c r="L333" s="213"/>
      <c r="M333" s="214"/>
      <c r="N333" s="213"/>
      <c r="O333" s="214"/>
      <c r="P333" s="213"/>
      <c r="Q333" s="214"/>
      <c r="R333" s="214" t="s">
        <v>215</v>
      </c>
      <c r="S333" s="214"/>
      <c r="T333" s="213"/>
      <c r="U333" s="215">
        <f t="shared" si="952"/>
        <v>6</v>
      </c>
      <c r="V333" s="845" t="s">
        <v>219</v>
      </c>
      <c r="W333" s="216">
        <v>210474</v>
      </c>
      <c r="X333" s="217">
        <v>3.36</v>
      </c>
      <c r="Y333" s="218">
        <f t="shared" si="826"/>
        <v>1.0336000000000001</v>
      </c>
      <c r="Z333" s="196">
        <v>19</v>
      </c>
      <c r="AA333" s="218">
        <f t="shared" si="827"/>
        <v>1.873689022502546</v>
      </c>
      <c r="AB333" s="196">
        <f t="shared" si="894"/>
        <v>394362.82332220086</v>
      </c>
      <c r="AC333">
        <v>19.3</v>
      </c>
      <c r="AD333" s="196">
        <f t="shared" si="895"/>
        <v>76112.024901184763</v>
      </c>
      <c r="AE333" s="196">
        <f t="shared" si="849"/>
        <v>72306.423656125524</v>
      </c>
      <c r="AF333" s="196">
        <f t="shared" si="953"/>
        <v>72306.423656125524</v>
      </c>
      <c r="AG333" s="606">
        <f t="shared" si="917"/>
        <v>3.3431315987115951E-3</v>
      </c>
      <c r="AH333" s="196">
        <f t="shared" si="967"/>
        <v>19718.141166110043</v>
      </c>
      <c r="AI333" s="248">
        <f t="shared" si="896"/>
        <v>1.5275345202365146E-3</v>
      </c>
      <c r="AJ333" s="196">
        <f t="shared" si="897"/>
        <v>95830.166067294806</v>
      </c>
      <c r="AK333" s="196">
        <f t="shared" si="926"/>
        <v>15774.512932888034</v>
      </c>
      <c r="AL333" s="196">
        <f t="shared" si="927"/>
        <v>15774.512932888034</v>
      </c>
      <c r="AM333" s="196">
        <f t="shared" si="898"/>
        <v>31549.025865776068</v>
      </c>
      <c r="AN333" s="627">
        <f t="shared" si="899"/>
        <v>1.5275345202365146E-3</v>
      </c>
      <c r="AO333" s="196">
        <f t="shared" si="900"/>
        <v>14985.787286243632</v>
      </c>
      <c r="AP333" s="589">
        <f t="shared" si="918"/>
        <v>1.5275345202365146E-3</v>
      </c>
      <c r="AQ333" s="196"/>
      <c r="AR333" s="589"/>
      <c r="AS333">
        <v>1</v>
      </c>
      <c r="AT333" s="589">
        <f t="shared" si="919"/>
        <v>1.2919896640826874E-3</v>
      </c>
      <c r="AU333" s="196">
        <v>10</v>
      </c>
      <c r="AV333" s="245">
        <f t="shared" si="901"/>
        <v>1.1362345188046814E-3</v>
      </c>
      <c r="AX333" s="245"/>
      <c r="AY333" s="245"/>
      <c r="AZ333" s="196">
        <v>41</v>
      </c>
      <c r="BA333" s="589">
        <f t="shared" si="977"/>
        <v>1.5023267743944891E-3</v>
      </c>
      <c r="BI333" s="196">
        <v>1</v>
      </c>
      <c r="BJ333" s="196">
        <f t="shared" si="954"/>
        <v>219090.45491369118</v>
      </c>
      <c r="BK333" s="246">
        <f t="shared" si="978"/>
        <v>4.1779227895707175E-3</v>
      </c>
      <c r="BL333" s="196">
        <f t="shared" si="968"/>
        <v>4381.809098273824</v>
      </c>
      <c r="BM333" s="246">
        <f t="shared" si="979"/>
        <v>4.1779223115479712E-3</v>
      </c>
      <c r="BN333" s="196">
        <v>0</v>
      </c>
      <c r="BO333" s="196">
        <f t="shared" si="955"/>
        <v>27467.414171584904</v>
      </c>
      <c r="BP333" s="196">
        <f t="shared" si="902"/>
        <v>0</v>
      </c>
      <c r="BQ333" s="248">
        <f t="shared" si="980"/>
        <v>0</v>
      </c>
      <c r="BR333" s="248"/>
      <c r="BS333" s="248"/>
      <c r="BT333" s="276">
        <v>1</v>
      </c>
      <c r="BU333" s="196">
        <f t="shared" si="969"/>
        <v>57540.690825295678</v>
      </c>
      <c r="BV333" s="264">
        <f t="shared" si="981"/>
        <v>3.991131306733395E-3</v>
      </c>
      <c r="BW333" s="196">
        <f t="shared" si="970"/>
        <v>246146.28853043151</v>
      </c>
      <c r="BX333" s="247">
        <f t="shared" si="982"/>
        <v>3.9911313426856578E-3</v>
      </c>
      <c r="BY333" s="196">
        <f t="shared" si="833"/>
        <v>303686.97935572721</v>
      </c>
      <c r="BZ333" s="620">
        <v>0</v>
      </c>
      <c r="CA333" s="196">
        <f t="shared" si="956"/>
        <v>120675.02393659344</v>
      </c>
      <c r="CB333" s="196">
        <f t="shared" si="957"/>
        <v>241350.04787318688</v>
      </c>
      <c r="CC333" s="196">
        <f t="shared" si="915"/>
        <v>362025.07180978032</v>
      </c>
      <c r="CD333" s="247">
        <f t="shared" si="903"/>
        <v>1.5275345202365143E-3</v>
      </c>
      <c r="CE333" s="196">
        <f t="shared" si="958"/>
        <v>30902.243164242816</v>
      </c>
      <c r="CF333" s="247">
        <f t="shared" si="904"/>
        <v>1.3344549641292078E-3</v>
      </c>
      <c r="CG333" s="196">
        <f t="shared" si="929"/>
        <v>59943.14914497453</v>
      </c>
      <c r="CH333" s="589">
        <f t="shared" si="920"/>
        <v>1.5275345202365146E-3</v>
      </c>
      <c r="CI333" s="196">
        <f t="shared" si="959"/>
        <v>123728.74138613386</v>
      </c>
      <c r="CJ333" s="248">
        <f t="shared" si="921"/>
        <v>2.0341001943229705E-3</v>
      </c>
      <c r="CK333" s="196">
        <f t="shared" si="960"/>
        <v>112656.19015955116</v>
      </c>
      <c r="CL333" s="589">
        <f t="shared" si="922"/>
        <v>1.6194559059332419E-3</v>
      </c>
      <c r="CM333" s="196">
        <f t="shared" si="961"/>
        <v>10913.575557813323</v>
      </c>
      <c r="CN333" s="589">
        <f t="shared" si="923"/>
        <v>1.5727702668586984E-3</v>
      </c>
      <c r="CO333" s="196">
        <f t="shared" si="962"/>
        <v>873.07888053352849</v>
      </c>
      <c r="CP333" s="589">
        <f t="shared" si="924"/>
        <v>1.6464922897819745E-3</v>
      </c>
      <c r="CQ333" s="196">
        <f>'Detailed Budget'!$AC$12</f>
        <v>292876014141.44696</v>
      </c>
      <c r="CR333" s="269">
        <f t="shared" si="925"/>
        <v>1223613374.0001869</v>
      </c>
      <c r="CS333" s="269">
        <f>'Detailed Budget'!$AC$16</f>
        <v>10488008800.000002</v>
      </c>
      <c r="CT333" s="607">
        <f t="shared" si="931"/>
        <v>43818085.969231471</v>
      </c>
      <c r="CU333" s="269">
        <f>'Detailed Budget'!$AC$24</f>
        <v>30624985696</v>
      </c>
      <c r="CV333" s="269">
        <f t="shared" si="976"/>
        <v>127948825.66959564</v>
      </c>
      <c r="CW333" s="269"/>
      <c r="CX333" s="269">
        <f t="shared" si="916"/>
        <v>1395380285.639014</v>
      </c>
      <c r="CY333" s="196">
        <f>'Detailed Budget'!$AC$97</f>
        <v>74629165494.837845</v>
      </c>
      <c r="CZ333" s="269">
        <f t="shared" si="932"/>
        <v>0</v>
      </c>
      <c r="DA333" s="269">
        <f>'Detailed Budget'!$AC$100</f>
        <v>14925833098.967569</v>
      </c>
      <c r="DB333" s="269">
        <f t="shared" si="933"/>
        <v>0</v>
      </c>
      <c r="DC333" s="269">
        <f t="shared" si="905"/>
        <v>0</v>
      </c>
      <c r="DD333" s="207">
        <v>0</v>
      </c>
      <c r="DE333" s="606">
        <v>0</v>
      </c>
      <c r="DF333" s="269">
        <f>'Detailed Budget'!$AC$147</f>
        <v>5913600671000</v>
      </c>
      <c r="DG333" s="269">
        <f t="shared" si="971"/>
        <v>0</v>
      </c>
      <c r="DH333" s="269">
        <f>'Detailed Budget'!$AC$153</f>
        <v>226428026880.00003</v>
      </c>
      <c r="DI333" s="269"/>
      <c r="DJ333" s="269">
        <f>'Detailed Budget'!$AC$156</f>
        <v>27713070000</v>
      </c>
      <c r="DK333" s="269"/>
      <c r="DL333" s="269"/>
      <c r="DM333" s="196">
        <f>'Detailed Budget'!$AC$178</f>
        <v>5622683761.6229038</v>
      </c>
      <c r="DN333" s="269">
        <f t="shared" si="963"/>
        <v>22440869.188874662</v>
      </c>
      <c r="DO333" s="196">
        <f>'Detailed Budget'!$AC$179</f>
        <v>26827890683.128094</v>
      </c>
      <c r="DP333" s="269">
        <f t="shared" si="964"/>
        <v>107073635.36357708</v>
      </c>
      <c r="DQ333" s="269">
        <f t="shared" si="870"/>
        <v>129514504.55245174</v>
      </c>
      <c r="DR333" s="269">
        <f>'Detailed Budget'!$AC$181</f>
        <v>50888946855.375237</v>
      </c>
      <c r="DS333" s="269">
        <f t="shared" si="965"/>
        <v>170128446.25736001</v>
      </c>
      <c r="DT333" s="269">
        <f t="shared" si="966"/>
        <v>299642950.80981177</v>
      </c>
      <c r="DU333" s="272">
        <f>'Detailed Budget'!$AC$192</f>
        <v>77498869683.252869</v>
      </c>
      <c r="DV333" s="269">
        <f t="shared" si="934"/>
        <v>0</v>
      </c>
      <c r="DW333" s="140">
        <f>'Detailed Budget'!$AC$194</f>
        <v>2684962805.4134097</v>
      </c>
      <c r="DX333" s="269">
        <f t="shared" si="935"/>
        <v>0</v>
      </c>
      <c r="DY333" s="607">
        <f t="shared" si="906"/>
        <v>0</v>
      </c>
      <c r="DZ333" s="196">
        <f>'Detailed Budget'!$AC$198</f>
        <v>18732540018.380611</v>
      </c>
      <c r="EA333" s="269">
        <f t="shared" si="936"/>
        <v>24997731.018277049</v>
      </c>
      <c r="EB333" s="196">
        <f>'Detailed Budget'!$AC$200</f>
        <v>4683135004.5951529</v>
      </c>
      <c r="EC333" s="269">
        <f t="shared" si="937"/>
        <v>6249432.7545692623</v>
      </c>
      <c r="ED333" s="269">
        <f t="shared" si="907"/>
        <v>31247163.772846311</v>
      </c>
      <c r="EE333" s="196">
        <f>'Detailed Budget'!$AC$161</f>
        <v>251147290106.36197</v>
      </c>
      <c r="EF333" s="269">
        <f t="shared" si="938"/>
        <v>383636155.30132234</v>
      </c>
      <c r="EG333" s="196">
        <f>'Detailed Budget'!$AC$163</f>
        <v>15696705631.647623</v>
      </c>
      <c r="EH333" s="269">
        <f t="shared" si="939"/>
        <v>23977259.706332646</v>
      </c>
      <c r="EI333" s="269">
        <f t="shared" si="908"/>
        <v>407613415.00765496</v>
      </c>
      <c r="EJ333" s="196">
        <f>'Detailed Budget'!$AC$204</f>
        <v>45012172507.531975</v>
      </c>
      <c r="EK333" s="269">
        <f t="shared" si="940"/>
        <v>91559268.84446986</v>
      </c>
      <c r="EL333" s="201">
        <f>'Detailed Budget'!$AC$206</f>
        <v>11253043126.882994</v>
      </c>
      <c r="EM333" s="269">
        <f t="shared" si="941"/>
        <v>22889817.211117465</v>
      </c>
      <c r="EN333" s="269">
        <f t="shared" si="909"/>
        <v>114449086.05558732</v>
      </c>
      <c r="EO333" s="140">
        <f>'Detailed Budget'!$AC$209</f>
        <v>135789361677.54817</v>
      </c>
      <c r="EP333" s="269">
        <f t="shared" si="942"/>
        <v>219904883.73161042</v>
      </c>
      <c r="EQ333" s="196">
        <f>'Detailed Budget'!$AC$211</f>
        <v>33947340419.387043</v>
      </c>
      <c r="ER333" s="269">
        <f t="shared" si="943"/>
        <v>54976220.932902604</v>
      </c>
      <c r="ES333" s="269">
        <f t="shared" si="910"/>
        <v>274881104.66451299</v>
      </c>
      <c r="ET333" s="196">
        <f>'Detailed Budget'!$AC$214</f>
        <v>22239745544.201103</v>
      </c>
      <c r="EU333" s="269">
        <f t="shared" si="944"/>
        <v>34978010.534422718</v>
      </c>
      <c r="EV333" s="140">
        <f>'Detailed Budget'!$AC$217</f>
        <v>5559936386.0502758</v>
      </c>
      <c r="EW333" s="269">
        <f t="shared" si="945"/>
        <v>8744502.6336056795</v>
      </c>
      <c r="EX333" s="269">
        <f t="shared" si="911"/>
        <v>43722513.168028399</v>
      </c>
      <c r="EY333" s="196">
        <f>'Detailed Budget'!$AC$219</f>
        <v>372777004.58170313</v>
      </c>
      <c r="EZ333" s="269">
        <f t="shared" si="946"/>
        <v>613774.46385179402</v>
      </c>
      <c r="FA333" s="196">
        <f>'Detailed Budget'!$AC$222</f>
        <v>93194251.145425782</v>
      </c>
      <c r="FB333" s="269">
        <f t="shared" si="947"/>
        <v>153443.6159629485</v>
      </c>
      <c r="FC333" s="269">
        <f t="shared" si="912"/>
        <v>767218.07981474255</v>
      </c>
      <c r="FD333" s="269"/>
      <c r="FE333" s="269">
        <f t="shared" si="913"/>
        <v>433819921.96794343</v>
      </c>
      <c r="FF333" s="140">
        <f>'Detailed Budget'!$AC$165</f>
        <v>14927760000</v>
      </c>
      <c r="FG333" s="1087">
        <f t="shared" si="972"/>
        <v>591759089.7766037</v>
      </c>
      <c r="FH333" s="269">
        <f t="shared" si="948"/>
        <v>16961436.200431772</v>
      </c>
      <c r="FJ333" s="140">
        <f>'Detailed Budget'!$AC$235</f>
        <v>3623696172</v>
      </c>
      <c r="FK333" s="269">
        <f t="shared" si="949"/>
        <v>4681778</v>
      </c>
      <c r="FL333" s="269">
        <f t="shared" si="973"/>
        <v>4681778</v>
      </c>
      <c r="FO333" s="607"/>
      <c r="FP333" s="607"/>
      <c r="FQ333" s="607"/>
      <c r="FR333" s="269">
        <f>'Detailed Budget'!$AC$257</f>
        <v>13636439388</v>
      </c>
      <c r="FS333" s="269">
        <f t="shared" si="950"/>
        <v>20486388</v>
      </c>
      <c r="FT333" s="269">
        <f t="shared" si="974"/>
        <v>20486388</v>
      </c>
      <c r="FU333" s="269"/>
      <c r="FV333" s="269"/>
      <c r="FW333" s="269"/>
      <c r="FX333" s="140">
        <f>'Detailed Budget'!$AC$278</f>
        <v>1114560000</v>
      </c>
      <c r="FY333" s="269">
        <f t="shared" si="951"/>
        <v>1440000</v>
      </c>
      <c r="FZ333" s="269">
        <f t="shared" si="975"/>
        <v>1440000</v>
      </c>
      <c r="GB333" s="269">
        <f t="shared" si="983"/>
        <v>3203032429.1743059</v>
      </c>
      <c r="GC333" s="887">
        <f t="shared" si="914"/>
        <v>2001895.2682339412</v>
      </c>
      <c r="GD333" s="1078">
        <f t="shared" si="984"/>
        <v>1.7973223566276424E-3</v>
      </c>
    </row>
    <row r="334" spans="1:186" hidden="1" outlineLevel="1">
      <c r="A334" s="211" t="s">
        <v>811</v>
      </c>
      <c r="B334" s="212" t="s">
        <v>812</v>
      </c>
      <c r="C334" s="213" t="s">
        <v>215</v>
      </c>
      <c r="D334" s="214" t="s">
        <v>215</v>
      </c>
      <c r="E334" s="213"/>
      <c r="F334" s="213"/>
      <c r="G334" s="213"/>
      <c r="H334" s="213" t="s">
        <v>215</v>
      </c>
      <c r="I334" s="214" t="s">
        <v>215</v>
      </c>
      <c r="J334" s="214"/>
      <c r="K334" s="213" t="s">
        <v>215</v>
      </c>
      <c r="L334" s="213"/>
      <c r="M334" s="214"/>
      <c r="N334" s="213"/>
      <c r="O334" s="214"/>
      <c r="P334" s="213"/>
      <c r="Q334" s="214"/>
      <c r="R334" s="214" t="s">
        <v>215</v>
      </c>
      <c r="S334" s="214"/>
      <c r="T334" s="213"/>
      <c r="U334" s="215">
        <f t="shared" si="952"/>
        <v>6</v>
      </c>
      <c r="V334" s="845" t="s">
        <v>219</v>
      </c>
      <c r="W334" s="216">
        <v>225497</v>
      </c>
      <c r="X334" s="217">
        <v>3.36</v>
      </c>
      <c r="Y334" s="218">
        <f t="shared" si="826"/>
        <v>1.0336000000000001</v>
      </c>
      <c r="Z334" s="196">
        <v>19</v>
      </c>
      <c r="AA334" s="218">
        <f t="shared" si="827"/>
        <v>1.873689022502546</v>
      </c>
      <c r="AB334" s="196">
        <f t="shared" si="894"/>
        <v>422511.25350725662</v>
      </c>
      <c r="AC334">
        <v>19.3</v>
      </c>
      <c r="AD334" s="196">
        <f t="shared" si="895"/>
        <v>81544.671926900526</v>
      </c>
      <c r="AE334" s="196">
        <f t="shared" si="849"/>
        <v>77467.438330555495</v>
      </c>
      <c r="AF334" s="196">
        <f t="shared" si="953"/>
        <v>77467.438330555495</v>
      </c>
      <c r="AG334" s="606">
        <f t="shared" si="917"/>
        <v>3.5817542599782802E-3</v>
      </c>
      <c r="AH334" s="196">
        <f t="shared" si="967"/>
        <v>21125.562675362831</v>
      </c>
      <c r="AI334" s="248">
        <f t="shared" si="896"/>
        <v>1.6365653321064519E-3</v>
      </c>
      <c r="AJ334" s="196">
        <f t="shared" si="897"/>
        <v>102670.23460226336</v>
      </c>
      <c r="AK334" s="196">
        <f t="shared" si="926"/>
        <v>16900.450140290264</v>
      </c>
      <c r="AL334" s="196">
        <f t="shared" si="927"/>
        <v>16900.450140290264</v>
      </c>
      <c r="AM334" s="196">
        <f t="shared" si="898"/>
        <v>33800.900280580528</v>
      </c>
      <c r="AN334" s="627">
        <f t="shared" si="899"/>
        <v>1.6365653321064517E-3</v>
      </c>
      <c r="AO334" s="196">
        <f t="shared" si="900"/>
        <v>16055.427633275751</v>
      </c>
      <c r="AP334" s="589">
        <f t="shared" si="918"/>
        <v>1.6365653321064517E-3</v>
      </c>
      <c r="AQ334" s="196"/>
      <c r="AR334" s="589"/>
      <c r="AS334">
        <v>1</v>
      </c>
      <c r="AT334" s="589">
        <f t="shared" si="919"/>
        <v>1.2919896640826874E-3</v>
      </c>
      <c r="AU334" s="196">
        <v>15</v>
      </c>
      <c r="AV334" s="245">
        <f t="shared" si="901"/>
        <v>1.7043517782070218E-3</v>
      </c>
      <c r="AX334" s="245"/>
      <c r="AY334" s="245"/>
      <c r="AZ334" s="196">
        <v>23</v>
      </c>
      <c r="BA334" s="589">
        <f t="shared" si="977"/>
        <v>8.4276867831885966E-4</v>
      </c>
      <c r="BI334" s="196">
        <v>1</v>
      </c>
      <c r="BJ334" s="196">
        <f t="shared" si="954"/>
        <v>234728.47150561411</v>
      </c>
      <c r="BK334" s="246">
        <f t="shared" si="978"/>
        <v>4.4761303309664296E-3</v>
      </c>
      <c r="BL334" s="196">
        <f t="shared" si="968"/>
        <v>4694.5694301122821</v>
      </c>
      <c r="BM334" s="246">
        <f t="shared" si="979"/>
        <v>4.4761298188238591E-3</v>
      </c>
      <c r="BN334" s="196">
        <v>0</v>
      </c>
      <c r="BO334" s="196">
        <f t="shared" si="955"/>
        <v>29427.955440813981</v>
      </c>
      <c r="BP334" s="196">
        <f t="shared" si="902"/>
        <v>0</v>
      </c>
      <c r="BQ334" s="248">
        <f t="shared" si="980"/>
        <v>0</v>
      </c>
      <c r="BR334" s="248"/>
      <c r="BS334" s="248"/>
      <c r="BT334" s="276">
        <v>1</v>
      </c>
      <c r="BU334" s="196">
        <f t="shared" si="969"/>
        <v>61647.771976736803</v>
      </c>
      <c r="BV334" s="264">
        <f t="shared" si="981"/>
        <v>4.2760062348530482E-3</v>
      </c>
      <c r="BW334" s="196">
        <f t="shared" si="970"/>
        <v>263715.46901159629</v>
      </c>
      <c r="BX334" s="247">
        <f t="shared" si="982"/>
        <v>4.2760062733714754E-3</v>
      </c>
      <c r="BY334" s="196">
        <f t="shared" si="833"/>
        <v>325363.24098833307</v>
      </c>
      <c r="BZ334" s="620">
        <v>0</v>
      </c>
      <c r="CA334" s="196">
        <f t="shared" si="956"/>
        <v>129288.44357322052</v>
      </c>
      <c r="CB334" s="196">
        <f t="shared" si="957"/>
        <v>258576.88714644103</v>
      </c>
      <c r="CC334" s="196">
        <f t="shared" si="915"/>
        <v>387865.33071966155</v>
      </c>
      <c r="CD334" s="247">
        <f t="shared" si="903"/>
        <v>1.6365653321064517E-3</v>
      </c>
      <c r="CE334" s="196">
        <f t="shared" si="958"/>
        <v>33107.95217845084</v>
      </c>
      <c r="CF334" s="247">
        <f t="shared" si="904"/>
        <v>1.4297043389978996E-3</v>
      </c>
      <c r="CG334" s="196">
        <f t="shared" si="929"/>
        <v>64221.710533103003</v>
      </c>
      <c r="CH334" s="589">
        <f t="shared" si="920"/>
        <v>1.6365653321064517E-3</v>
      </c>
      <c r="CI334" s="196">
        <f t="shared" si="959"/>
        <v>132560.12617401211</v>
      </c>
      <c r="CJ334" s="248">
        <f t="shared" si="921"/>
        <v>2.1792881378186707E-3</v>
      </c>
      <c r="CK334" s="196">
        <f t="shared" si="960"/>
        <v>120697.24960046518</v>
      </c>
      <c r="CL334" s="589">
        <f t="shared" si="922"/>
        <v>1.7350477893717431E-3</v>
      </c>
      <c r="CM334" s="196">
        <f t="shared" si="961"/>
        <v>11692.553700505672</v>
      </c>
      <c r="CN334" s="589">
        <f t="shared" si="923"/>
        <v>1.6850298700354243E-3</v>
      </c>
      <c r="CO334" s="196">
        <f t="shared" si="962"/>
        <v>935.39662059764669</v>
      </c>
      <c r="CP334" s="589">
        <f t="shared" si="924"/>
        <v>1.7640139488438759E-3</v>
      </c>
      <c r="CQ334" s="196">
        <f>'Detailed Budget'!$AC$12</f>
        <v>292876014141.44696</v>
      </c>
      <c r="CR334" s="269">
        <f t="shared" si="925"/>
        <v>1310951210.1110837</v>
      </c>
      <c r="CS334" s="269">
        <f>'Detailed Budget'!$AC$16</f>
        <v>10488008800.000002</v>
      </c>
      <c r="CT334" s="607">
        <f t="shared" si="931"/>
        <v>46945688.92976705</v>
      </c>
      <c r="CU334" s="269">
        <f>'Detailed Budget'!$AC$24</f>
        <v>30624985696</v>
      </c>
      <c r="CV334" s="269">
        <f t="shared" si="976"/>
        <v>137081427.35927865</v>
      </c>
      <c r="CW334" s="269"/>
      <c r="CX334" s="269">
        <f t="shared" si="916"/>
        <v>1494978326.4001296</v>
      </c>
      <c r="CY334" s="196">
        <f>'Detailed Budget'!$AC$97</f>
        <v>74629165494.837845</v>
      </c>
      <c r="CZ334" s="269">
        <f t="shared" si="932"/>
        <v>0</v>
      </c>
      <c r="DA334" s="269">
        <f>'Detailed Budget'!$AC$100</f>
        <v>14925833098.967569</v>
      </c>
      <c r="DB334" s="269">
        <f t="shared" si="933"/>
        <v>0</v>
      </c>
      <c r="DC334" s="269">
        <f t="shared" si="905"/>
        <v>0</v>
      </c>
      <c r="DD334" s="207">
        <v>0</v>
      </c>
      <c r="DE334" s="606">
        <v>0</v>
      </c>
      <c r="DF334" s="269">
        <f>'Detailed Budget'!$AC$147</f>
        <v>5913600671000</v>
      </c>
      <c r="DG334" s="269">
        <f t="shared" si="971"/>
        <v>0</v>
      </c>
      <c r="DH334" s="269">
        <f>'Detailed Budget'!$AC$153</f>
        <v>226428026880.00003</v>
      </c>
      <c r="DI334" s="269"/>
      <c r="DJ334" s="269">
        <f>'Detailed Budget'!$AC$156</f>
        <v>27713070000</v>
      </c>
      <c r="DK334" s="269"/>
      <c r="DL334" s="269"/>
      <c r="DM334" s="196">
        <f>'Detailed Budget'!$AC$178</f>
        <v>5622683761.6229038</v>
      </c>
      <c r="DN334" s="269">
        <f t="shared" si="963"/>
        <v>24042630.821306527</v>
      </c>
      <c r="DO334" s="196">
        <f>'Detailed Budget'!$AC$179</f>
        <v>26827890683.128094</v>
      </c>
      <c r="DP334" s="269">
        <f t="shared" si="964"/>
        <v>114716228.86237988</v>
      </c>
      <c r="DQ334" s="269">
        <f t="shared" si="870"/>
        <v>138758859.68368641</v>
      </c>
      <c r="DR334" s="269">
        <f>'Detailed Budget'!$AC$181</f>
        <v>50888946855.375237</v>
      </c>
      <c r="DS334" s="269">
        <f t="shared" si="965"/>
        <v>182271702.18504855</v>
      </c>
      <c r="DT334" s="269">
        <f t="shared" si="966"/>
        <v>321030561.86873496</v>
      </c>
      <c r="DU334" s="272">
        <f>'Detailed Budget'!$AC$192</f>
        <v>77498869683.252869</v>
      </c>
      <c r="DV334" s="269">
        <f t="shared" si="934"/>
        <v>0</v>
      </c>
      <c r="DW334" s="140">
        <f>'Detailed Budget'!$AC$194</f>
        <v>2684962805.4134097</v>
      </c>
      <c r="DX334" s="269">
        <f t="shared" si="935"/>
        <v>0</v>
      </c>
      <c r="DY334" s="607">
        <f t="shared" si="906"/>
        <v>0</v>
      </c>
      <c r="DZ334" s="196">
        <f>'Detailed Budget'!$AC$198</f>
        <v>18732540018.380611</v>
      </c>
      <c r="EA334" s="269">
        <f t="shared" si="936"/>
        <v>26781993.744730555</v>
      </c>
      <c r="EB334" s="196">
        <f>'Detailed Budget'!$AC$200</f>
        <v>4683135004.5951529</v>
      </c>
      <c r="EC334" s="269">
        <f t="shared" si="937"/>
        <v>6695498.4361826386</v>
      </c>
      <c r="ED334" s="269">
        <f t="shared" si="907"/>
        <v>33477492.180913195</v>
      </c>
      <c r="EE334" s="196">
        <f>'Detailed Budget'!$AC$161</f>
        <v>251147290106.36197</v>
      </c>
      <c r="EF334" s="269">
        <f t="shared" si="938"/>
        <v>411018948.24055362</v>
      </c>
      <c r="EG334" s="196">
        <f>'Detailed Budget'!$AC$163</f>
        <v>15696705631.647623</v>
      </c>
      <c r="EH334" s="269">
        <f t="shared" si="939"/>
        <v>25688684.265034601</v>
      </c>
      <c r="EI334" s="269">
        <f t="shared" si="908"/>
        <v>436707632.50558823</v>
      </c>
      <c r="EJ334" s="196">
        <f>'Detailed Budget'!$AC$204</f>
        <v>45012172507.531975</v>
      </c>
      <c r="EK334" s="269">
        <f t="shared" si="940"/>
        <v>98094493.603112116</v>
      </c>
      <c r="EL334" s="201">
        <f>'Detailed Budget'!$AC$206</f>
        <v>11253043126.882994</v>
      </c>
      <c r="EM334" s="269">
        <f t="shared" si="941"/>
        <v>24523623.400778029</v>
      </c>
      <c r="EN334" s="269">
        <f t="shared" si="909"/>
        <v>122618117.00389014</v>
      </c>
      <c r="EO334" s="140">
        <f>'Detailed Budget'!$AC$209</f>
        <v>135789361677.54817</v>
      </c>
      <c r="EP334" s="269">
        <f t="shared" si="942"/>
        <v>235601031.79883003</v>
      </c>
      <c r="EQ334" s="196">
        <f>'Detailed Budget'!$AC$211</f>
        <v>33947340419.387043</v>
      </c>
      <c r="ER334" s="269">
        <f t="shared" si="943"/>
        <v>58900257.949707508</v>
      </c>
      <c r="ES334" s="269">
        <f t="shared" si="910"/>
        <v>294501289.74853754</v>
      </c>
      <c r="ET334" s="196">
        <f>'Detailed Budget'!$AC$214</f>
        <v>22239745544.201103</v>
      </c>
      <c r="EU334" s="269">
        <f t="shared" si="944"/>
        <v>37474635.543966092</v>
      </c>
      <c r="EV334" s="140">
        <f>'Detailed Budget'!$AC$217</f>
        <v>5559936386.0502758</v>
      </c>
      <c r="EW334" s="269">
        <f t="shared" si="945"/>
        <v>9368658.885991523</v>
      </c>
      <c r="EX334" s="269">
        <f t="shared" si="911"/>
        <v>46843294.429957613</v>
      </c>
      <c r="EY334" s="196">
        <f>'Detailed Budget'!$AC$219</f>
        <v>372777004.58170313</v>
      </c>
      <c r="EZ334" s="269">
        <f t="shared" si="946"/>
        <v>657583.83589036181</v>
      </c>
      <c r="FA334" s="196">
        <f>'Detailed Budget'!$AC$222</f>
        <v>93194251.145425782</v>
      </c>
      <c r="FB334" s="269">
        <f t="shared" si="947"/>
        <v>164395.95897259045</v>
      </c>
      <c r="FC334" s="269">
        <f t="shared" si="912"/>
        <v>821979.79486295232</v>
      </c>
      <c r="FD334" s="269"/>
      <c r="FE334" s="269">
        <f t="shared" si="913"/>
        <v>464784680.97724825</v>
      </c>
      <c r="FF334" s="140">
        <f>'Detailed Budget'!$AC$165</f>
        <v>14927760000</v>
      </c>
      <c r="FG334" s="1087">
        <f t="shared" si="972"/>
        <v>633997070.74201477</v>
      </c>
      <c r="FH334" s="269">
        <f t="shared" si="948"/>
        <v>25442154.300647654</v>
      </c>
      <c r="FJ334" s="140">
        <f>'Detailed Budget'!$AC$235</f>
        <v>3623696172</v>
      </c>
      <c r="FK334" s="269">
        <f t="shared" si="949"/>
        <v>4681778</v>
      </c>
      <c r="FL334" s="269">
        <f t="shared" si="973"/>
        <v>4681778</v>
      </c>
      <c r="FO334" s="607"/>
      <c r="FP334" s="607"/>
      <c r="FQ334" s="607"/>
      <c r="FR334" s="269">
        <f>'Detailed Budget'!$AC$257</f>
        <v>13636439388</v>
      </c>
      <c r="FS334" s="269">
        <f t="shared" si="950"/>
        <v>11492364</v>
      </c>
      <c r="FT334" s="269">
        <f t="shared" si="974"/>
        <v>11492364</v>
      </c>
      <c r="FU334" s="269"/>
      <c r="FV334" s="269"/>
      <c r="FW334" s="269"/>
      <c r="FX334" s="140">
        <f>'Detailed Budget'!$AC$278</f>
        <v>1114560000</v>
      </c>
      <c r="FY334" s="269">
        <f t="shared" si="951"/>
        <v>1440000</v>
      </c>
      <c r="FZ334" s="269">
        <f t="shared" si="975"/>
        <v>1440000</v>
      </c>
      <c r="GB334" s="269">
        <f t="shared" si="983"/>
        <v>3428032060.9752769</v>
      </c>
      <c r="GC334" s="887">
        <f t="shared" si="914"/>
        <v>2142520.0381095479</v>
      </c>
      <c r="GD334" s="1078">
        <f t="shared" si="984"/>
        <v>1.9235767350677384E-3</v>
      </c>
    </row>
    <row r="335" spans="1:186" hidden="1" outlineLevel="1">
      <c r="A335" s="211" t="s">
        <v>813</v>
      </c>
      <c r="B335" s="212" t="s">
        <v>814</v>
      </c>
      <c r="C335" s="213" t="s">
        <v>215</v>
      </c>
      <c r="D335" s="214" t="s">
        <v>215</v>
      </c>
      <c r="E335" s="213"/>
      <c r="F335" s="213"/>
      <c r="G335" s="213"/>
      <c r="H335" s="213" t="s">
        <v>215</v>
      </c>
      <c r="I335" s="214" t="s">
        <v>215</v>
      </c>
      <c r="J335" s="214"/>
      <c r="K335" s="213" t="s">
        <v>215</v>
      </c>
      <c r="L335" s="213"/>
      <c r="M335" s="214"/>
      <c r="N335" s="213"/>
      <c r="O335" s="214"/>
      <c r="P335" s="213"/>
      <c r="Q335" s="214"/>
      <c r="R335" s="214" t="s">
        <v>215</v>
      </c>
      <c r="S335" s="214"/>
      <c r="T335" s="213"/>
      <c r="U335" s="215">
        <f t="shared" si="952"/>
        <v>6</v>
      </c>
      <c r="V335" s="845" t="s">
        <v>219</v>
      </c>
      <c r="W335" s="216">
        <v>246197</v>
      </c>
      <c r="X335" s="217">
        <v>3.36</v>
      </c>
      <c r="Y335" s="218">
        <f t="shared" si="826"/>
        <v>1.0336000000000001</v>
      </c>
      <c r="Z335" s="196">
        <v>19</v>
      </c>
      <c r="AA335" s="218">
        <f t="shared" si="827"/>
        <v>1.873689022502546</v>
      </c>
      <c r="AB335" s="196">
        <f t="shared" si="894"/>
        <v>461296.61627305934</v>
      </c>
      <c r="AC335">
        <v>19.3</v>
      </c>
      <c r="AD335" s="196">
        <f t="shared" si="895"/>
        <v>89030.246940700454</v>
      </c>
      <c r="AE335" s="196">
        <f t="shared" si="849"/>
        <v>84578.734593665431</v>
      </c>
      <c r="AF335" s="196">
        <f t="shared" si="953"/>
        <v>84578.734593665431</v>
      </c>
      <c r="AG335" s="606">
        <f t="shared" si="917"/>
        <v>3.9105493800089255E-3</v>
      </c>
      <c r="AH335" s="196">
        <f t="shared" si="967"/>
        <v>23064.830813652967</v>
      </c>
      <c r="AI335" s="248">
        <f t="shared" si="896"/>
        <v>1.7867974965015594E-3</v>
      </c>
      <c r="AJ335" s="196">
        <f t="shared" si="897"/>
        <v>112095.07775435342</v>
      </c>
      <c r="AK335" s="196">
        <f t="shared" si="926"/>
        <v>18451.864650922373</v>
      </c>
      <c r="AL335" s="196">
        <f t="shared" si="927"/>
        <v>18451.864650922373</v>
      </c>
      <c r="AM335" s="196">
        <f t="shared" si="898"/>
        <v>36903.729301844745</v>
      </c>
      <c r="AN335" s="627">
        <f t="shared" si="899"/>
        <v>1.7867974965015594E-3</v>
      </c>
      <c r="AO335" s="196">
        <f t="shared" si="900"/>
        <v>17529.271418376255</v>
      </c>
      <c r="AP335" s="589">
        <f t="shared" si="918"/>
        <v>1.7867974965015594E-3</v>
      </c>
      <c r="AQ335" s="196"/>
      <c r="AR335" s="589"/>
      <c r="AS335">
        <v>1</v>
      </c>
      <c r="AT335" s="589">
        <f t="shared" si="919"/>
        <v>1.2919896640826874E-3</v>
      </c>
      <c r="AU335" s="196">
        <v>11</v>
      </c>
      <c r="AV335" s="245">
        <f t="shared" si="901"/>
        <v>1.2498579706851495E-3</v>
      </c>
      <c r="AX335" s="245"/>
      <c r="AY335" s="245"/>
      <c r="AZ335" s="196">
        <v>46</v>
      </c>
      <c r="BA335" s="589">
        <f t="shared" si="977"/>
        <v>1.6855373566377193E-3</v>
      </c>
      <c r="BI335" s="196">
        <v>1</v>
      </c>
      <c r="BJ335" s="196">
        <f t="shared" si="954"/>
        <v>256275.89501974607</v>
      </c>
      <c r="BK335" s="246">
        <f t="shared" si="978"/>
        <v>4.887026696997929E-3</v>
      </c>
      <c r="BL335" s="196">
        <f t="shared" si="968"/>
        <v>5125.5179003949215</v>
      </c>
      <c r="BM335" s="246">
        <f t="shared" si="979"/>
        <v>4.8870261378420893E-3</v>
      </c>
      <c r="BN335" s="196">
        <v>0</v>
      </c>
      <c r="BO335" s="196">
        <f t="shared" si="955"/>
        <v>32129.360238327248</v>
      </c>
      <c r="BP335" s="196">
        <f t="shared" si="902"/>
        <v>0</v>
      </c>
      <c r="BQ335" s="248">
        <f t="shared" si="980"/>
        <v>0</v>
      </c>
      <c r="BR335" s="248"/>
      <c r="BS335" s="248"/>
      <c r="BT335" s="276">
        <v>1</v>
      </c>
      <c r="BU335" s="196">
        <f t="shared" si="969"/>
        <v>67306.866687169546</v>
      </c>
      <c r="BV335" s="264">
        <f t="shared" si="981"/>
        <v>4.6685317631813992E-3</v>
      </c>
      <c r="BW335" s="196">
        <f t="shared" si="970"/>
        <v>287923.81860622531</v>
      </c>
      <c r="BX335" s="247">
        <f t="shared" si="982"/>
        <v>4.6685318052357124E-3</v>
      </c>
      <c r="BY335" s="196">
        <f t="shared" si="833"/>
        <v>355230.68529339484</v>
      </c>
      <c r="BZ335" s="620">
        <v>0</v>
      </c>
      <c r="CA335" s="196">
        <f t="shared" si="956"/>
        <v>141156.76457955615</v>
      </c>
      <c r="CB335" s="196">
        <f t="shared" si="957"/>
        <v>282313.52915911231</v>
      </c>
      <c r="CC335" s="196">
        <f t="shared" si="915"/>
        <v>423470.29373866844</v>
      </c>
      <c r="CD335" s="247">
        <f t="shared" si="903"/>
        <v>1.7867974965015592E-3</v>
      </c>
      <c r="CE335" s="196">
        <f t="shared" si="958"/>
        <v>36147.170483323782</v>
      </c>
      <c r="CF335" s="247">
        <f t="shared" si="904"/>
        <v>1.560947237206109E-3</v>
      </c>
      <c r="CG335" s="196">
        <f t="shared" si="929"/>
        <v>70117.085673505018</v>
      </c>
      <c r="CH335" s="589">
        <f t="shared" si="920"/>
        <v>1.7867974965015594E-3</v>
      </c>
      <c r="CI335" s="196">
        <f t="shared" si="959"/>
        <v>144728.77858092685</v>
      </c>
      <c r="CJ335" s="248">
        <f t="shared" si="921"/>
        <v>2.3793407525002251E-3</v>
      </c>
      <c r="CK335" s="196">
        <f t="shared" si="960"/>
        <v>131776.92279669232</v>
      </c>
      <c r="CL335" s="589">
        <f t="shared" si="922"/>
        <v>1.8943203705590543E-3</v>
      </c>
      <c r="CM335" s="196">
        <f t="shared" si="961"/>
        <v>12765.897743222284</v>
      </c>
      <c r="CN335" s="589">
        <f t="shared" si="923"/>
        <v>1.8397109447713779E-3</v>
      </c>
      <c r="CO335" s="196">
        <f t="shared" si="962"/>
        <v>1021.2634394305859</v>
      </c>
      <c r="CP335" s="589">
        <f t="shared" si="924"/>
        <v>1.9259455432378955E-3</v>
      </c>
      <c r="CQ335" s="196">
        <f>'Detailed Budget'!$AC$12</f>
        <v>292876014141.44696</v>
      </c>
      <c r="CR335" s="269">
        <f t="shared" si="925"/>
        <v>1431292900.0195942</v>
      </c>
      <c r="CS335" s="269">
        <f>'Detailed Budget'!$AC$16</f>
        <v>10488008800.000002</v>
      </c>
      <c r="CT335" s="607">
        <f t="shared" si="931"/>
        <v>51255173.139517859</v>
      </c>
      <c r="CU335" s="269">
        <f>'Detailed Budget'!$AC$24</f>
        <v>30624985696</v>
      </c>
      <c r="CV335" s="269">
        <f t="shared" si="976"/>
        <v>149665122.69153169</v>
      </c>
      <c r="CW335" s="269"/>
      <c r="CX335" s="269">
        <f t="shared" si="916"/>
        <v>1632213195.8506436</v>
      </c>
      <c r="CY335" s="196">
        <f>'Detailed Budget'!$AC$97</f>
        <v>74629165494.837845</v>
      </c>
      <c r="CZ335" s="269">
        <f t="shared" si="932"/>
        <v>0</v>
      </c>
      <c r="DA335" s="269">
        <f>'Detailed Budget'!$AC$100</f>
        <v>14925833098.967569</v>
      </c>
      <c r="DB335" s="269">
        <f t="shared" si="933"/>
        <v>0</v>
      </c>
      <c r="DC335" s="269">
        <f t="shared" si="905"/>
        <v>0</v>
      </c>
      <c r="DD335" s="207">
        <v>0</v>
      </c>
      <c r="DE335" s="606">
        <v>0</v>
      </c>
      <c r="DF335" s="269">
        <f>'Detailed Budget'!$AC$147</f>
        <v>5913600671000</v>
      </c>
      <c r="DG335" s="269">
        <f t="shared" si="971"/>
        <v>0</v>
      </c>
      <c r="DH335" s="269">
        <f>'Detailed Budget'!$AC$153</f>
        <v>226428026880.00003</v>
      </c>
      <c r="DI335" s="269"/>
      <c r="DJ335" s="269">
        <f>'Detailed Budget'!$AC$156</f>
        <v>27713070000</v>
      </c>
      <c r="DK335" s="269"/>
      <c r="DL335" s="269"/>
      <c r="DM335" s="196">
        <f>'Detailed Budget'!$AC$178</f>
        <v>5622683761.6229038</v>
      </c>
      <c r="DN335" s="269">
        <f t="shared" si="963"/>
        <v>26249677.735460799</v>
      </c>
      <c r="DO335" s="196">
        <f>'Detailed Budget'!$AC$179</f>
        <v>26827890683.128094</v>
      </c>
      <c r="DP335" s="269">
        <f t="shared" si="964"/>
        <v>125246860.92157035</v>
      </c>
      <c r="DQ335" s="269">
        <f t="shared" si="870"/>
        <v>151496538.65703115</v>
      </c>
      <c r="DR335" s="269">
        <f>'Detailed Budget'!$AC$181</f>
        <v>50888946855.375237</v>
      </c>
      <c r="DS335" s="269">
        <f t="shared" si="965"/>
        <v>199003739.5745948</v>
      </c>
      <c r="DT335" s="269">
        <f t="shared" si="966"/>
        <v>350500278.23162591</v>
      </c>
      <c r="DU335" s="272">
        <f>'Detailed Budget'!$AC$192</f>
        <v>77498869683.252869</v>
      </c>
      <c r="DV335" s="269">
        <f t="shared" si="934"/>
        <v>0</v>
      </c>
      <c r="DW335" s="140">
        <f>'Detailed Budget'!$AC$194</f>
        <v>2684962805.4134097</v>
      </c>
      <c r="DX335" s="269">
        <f t="shared" si="935"/>
        <v>0</v>
      </c>
      <c r="DY335" s="607">
        <f t="shared" si="906"/>
        <v>0</v>
      </c>
      <c r="DZ335" s="196">
        <f>'Detailed Budget'!$AC$198</f>
        <v>18732540018.380611</v>
      </c>
      <c r="EA335" s="269">
        <f t="shared" si="936"/>
        <v>29240506.587544087</v>
      </c>
      <c r="EB335" s="196">
        <f>'Detailed Budget'!$AC$200</f>
        <v>4683135004.5951529</v>
      </c>
      <c r="EC335" s="269">
        <f t="shared" si="937"/>
        <v>7310126.6468860218</v>
      </c>
      <c r="ED335" s="269">
        <f t="shared" si="907"/>
        <v>36550633.234430112</v>
      </c>
      <c r="EE335" s="196">
        <f>'Detailed Budget'!$AC$161</f>
        <v>251147290106.36197</v>
      </c>
      <c r="EF335" s="269">
        <f t="shared" si="938"/>
        <v>448749349.2151984</v>
      </c>
      <c r="EG335" s="196">
        <f>'Detailed Budget'!$AC$163</f>
        <v>15696705631.647623</v>
      </c>
      <c r="EH335" s="269">
        <f t="shared" si="939"/>
        <v>28046834.3259499</v>
      </c>
      <c r="EI335" s="269">
        <f t="shared" si="908"/>
        <v>476796183.5411483</v>
      </c>
      <c r="EJ335" s="196">
        <f>'Detailed Budget'!$AC$204</f>
        <v>45012172507.531975</v>
      </c>
      <c r="EK335" s="269">
        <f t="shared" si="940"/>
        <v>107099296.40574107</v>
      </c>
      <c r="EL335" s="201">
        <f>'Detailed Budget'!$AC$206</f>
        <v>11253043126.882994</v>
      </c>
      <c r="EM335" s="269">
        <f t="shared" si="941"/>
        <v>26774824.101435266</v>
      </c>
      <c r="EN335" s="269">
        <f t="shared" si="909"/>
        <v>133874120.50717634</v>
      </c>
      <c r="EO335" s="140">
        <f>'Detailed Budget'!$AC$209</f>
        <v>135789361677.54817</v>
      </c>
      <c r="EP335" s="269">
        <f t="shared" si="942"/>
        <v>257228553.93099049</v>
      </c>
      <c r="EQ335" s="196">
        <f>'Detailed Budget'!$AC$211</f>
        <v>33947340419.387043</v>
      </c>
      <c r="ER335" s="269">
        <f t="shared" si="943"/>
        <v>64307138.482747622</v>
      </c>
      <c r="ES335" s="269">
        <f t="shared" si="910"/>
        <v>321535692.41373813</v>
      </c>
      <c r="ET335" s="196">
        <f>'Detailed Budget'!$AC$214</f>
        <v>22239745544.201103</v>
      </c>
      <c r="EU335" s="269">
        <f t="shared" si="944"/>
        <v>40914703.286597252</v>
      </c>
      <c r="EV335" s="140">
        <f>'Detailed Budget'!$AC$217</f>
        <v>5559936386.0502758</v>
      </c>
      <c r="EW335" s="269">
        <f t="shared" si="945"/>
        <v>10228675.821649313</v>
      </c>
      <c r="EX335" s="269">
        <f t="shared" si="911"/>
        <v>51143379.108246565</v>
      </c>
      <c r="EY335" s="196">
        <f>'Detailed Budget'!$AC$219</f>
        <v>372777004.58170313</v>
      </c>
      <c r="EZ335" s="269">
        <f t="shared" si="946"/>
        <v>717948.21059570368</v>
      </c>
      <c r="FA335" s="196">
        <f>'Detailed Budget'!$AC$222</f>
        <v>93194251.145425782</v>
      </c>
      <c r="FB335" s="269">
        <f t="shared" si="947"/>
        <v>179487.05264892592</v>
      </c>
      <c r="FC335" s="269">
        <f t="shared" si="912"/>
        <v>897435.2632446296</v>
      </c>
      <c r="FD335" s="269"/>
      <c r="FE335" s="269">
        <f t="shared" si="913"/>
        <v>507450627.29240566</v>
      </c>
      <c r="FF335" s="140">
        <f>'Detailed Budget'!$AC$165</f>
        <v>14927760000</v>
      </c>
      <c r="FG335" s="1087">
        <f t="shared" si="972"/>
        <v>692196245.7392863</v>
      </c>
      <c r="FH335" s="269">
        <f t="shared" si="948"/>
        <v>18657579.820474949</v>
      </c>
      <c r="FJ335" s="140">
        <f>'Detailed Budget'!$AC$235</f>
        <v>3623696172</v>
      </c>
      <c r="FK335" s="269">
        <f t="shared" si="949"/>
        <v>4681778</v>
      </c>
      <c r="FL335" s="269">
        <f t="shared" si="973"/>
        <v>4681778</v>
      </c>
      <c r="FO335" s="607"/>
      <c r="FP335" s="607"/>
      <c r="FQ335" s="607"/>
      <c r="FR335" s="269">
        <f>'Detailed Budget'!$AC$257</f>
        <v>13636439388</v>
      </c>
      <c r="FS335" s="269">
        <f t="shared" si="950"/>
        <v>22984728</v>
      </c>
      <c r="FT335" s="269">
        <f t="shared" si="974"/>
        <v>22984728</v>
      </c>
      <c r="FU335" s="269"/>
      <c r="FV335" s="269"/>
      <c r="FW335" s="269"/>
      <c r="FX335" s="140">
        <f>'Detailed Budget'!$AC$278</f>
        <v>1114560000</v>
      </c>
      <c r="FY335" s="269">
        <f t="shared" si="951"/>
        <v>1440000</v>
      </c>
      <c r="FZ335" s="269">
        <f t="shared" si="975"/>
        <v>1440000</v>
      </c>
      <c r="GB335" s="269">
        <f t="shared" si="983"/>
        <v>3743471249.7100153</v>
      </c>
      <c r="GC335" s="887">
        <f t="shared" si="914"/>
        <v>2339669.5310687595</v>
      </c>
      <c r="GD335" s="1078">
        <f t="shared" si="984"/>
        <v>2.1005795967638913E-3</v>
      </c>
    </row>
    <row r="336" spans="1:186" hidden="1" outlineLevel="1">
      <c r="A336" s="211" t="s">
        <v>815</v>
      </c>
      <c r="B336" s="212" t="s">
        <v>816</v>
      </c>
      <c r="C336" s="213" t="s">
        <v>215</v>
      </c>
      <c r="D336" s="214" t="s">
        <v>215</v>
      </c>
      <c r="E336" s="213"/>
      <c r="F336" s="213"/>
      <c r="G336" s="213"/>
      <c r="H336" s="213" t="s">
        <v>215</v>
      </c>
      <c r="I336" s="214" t="s">
        <v>215</v>
      </c>
      <c r="J336" s="214"/>
      <c r="K336" s="213" t="s">
        <v>215</v>
      </c>
      <c r="L336" s="213"/>
      <c r="M336" s="214"/>
      <c r="N336" s="213"/>
      <c r="O336" s="214"/>
      <c r="P336" s="213"/>
      <c r="Q336" s="214"/>
      <c r="R336" s="214" t="s">
        <v>215</v>
      </c>
      <c r="S336" s="214"/>
      <c r="T336" s="213"/>
      <c r="U336" s="215">
        <f t="shared" si="952"/>
        <v>6</v>
      </c>
      <c r="V336" s="845" t="s">
        <v>219</v>
      </c>
      <c r="W336" s="216">
        <v>150645</v>
      </c>
      <c r="X336" s="217">
        <v>3.36</v>
      </c>
      <c r="Y336" s="218">
        <f t="shared" si="826"/>
        <v>1.0336000000000001</v>
      </c>
      <c r="Z336" s="196">
        <v>19</v>
      </c>
      <c r="AA336" s="218">
        <f t="shared" si="827"/>
        <v>1.873689022502546</v>
      </c>
      <c r="AB336" s="196">
        <f t="shared" si="894"/>
        <v>282261.88279489602</v>
      </c>
      <c r="AC336">
        <v>19.3</v>
      </c>
      <c r="AD336" s="196">
        <f t="shared" si="895"/>
        <v>54476.543379414936</v>
      </c>
      <c r="AE336" s="196">
        <f t="shared" si="849"/>
        <v>51752.716210444189</v>
      </c>
      <c r="AF336" s="196">
        <f t="shared" si="953"/>
        <v>51752.716210444189</v>
      </c>
      <c r="AG336" s="606">
        <f t="shared" si="917"/>
        <v>2.3928183988896883E-3</v>
      </c>
      <c r="AH336" s="196">
        <f t="shared" si="967"/>
        <v>14113.094139744802</v>
      </c>
      <c r="AI336" s="248">
        <f t="shared" si="896"/>
        <v>1.0933200195797569E-3</v>
      </c>
      <c r="AJ336" s="196">
        <f t="shared" si="897"/>
        <v>68589.637519159733</v>
      </c>
      <c r="AK336" s="196">
        <f t="shared" si="926"/>
        <v>11290.475311795841</v>
      </c>
      <c r="AL336" s="196">
        <f t="shared" si="927"/>
        <v>11290.475311795841</v>
      </c>
      <c r="AM336" s="196">
        <f t="shared" si="898"/>
        <v>22580.950623591682</v>
      </c>
      <c r="AN336" s="627">
        <f t="shared" si="899"/>
        <v>1.0933200195797567E-3</v>
      </c>
      <c r="AO336" s="196">
        <f t="shared" si="900"/>
        <v>10725.951546206048</v>
      </c>
      <c r="AP336" s="589">
        <f t="shared" si="918"/>
        <v>1.0933200195797567E-3</v>
      </c>
      <c r="AQ336" s="196"/>
      <c r="AR336" s="589"/>
      <c r="AS336">
        <v>1</v>
      </c>
      <c r="AT336" s="589">
        <f t="shared" si="919"/>
        <v>1.2919896640826874E-3</v>
      </c>
      <c r="AU336" s="196">
        <v>10</v>
      </c>
      <c r="AV336" s="245">
        <f t="shared" si="901"/>
        <v>1.1362345188046814E-3</v>
      </c>
      <c r="AX336" s="245"/>
      <c r="AY336" s="245"/>
      <c r="AZ336" s="196">
        <v>25</v>
      </c>
      <c r="BA336" s="589">
        <f t="shared" si="977"/>
        <v>9.1605291121615189E-4</v>
      </c>
      <c r="BI336" s="196">
        <v>1</v>
      </c>
      <c r="BJ336" s="196">
        <f t="shared" si="954"/>
        <v>156812.15532784574</v>
      </c>
      <c r="BK336" s="246">
        <f t="shared" si="978"/>
        <v>2.9903131913437322E-3</v>
      </c>
      <c r="BL336" s="196">
        <f t="shared" si="968"/>
        <v>3136.2431065569149</v>
      </c>
      <c r="BM336" s="246">
        <f t="shared" si="979"/>
        <v>2.9903128492029612E-3</v>
      </c>
      <c r="BN336" s="196">
        <v>0</v>
      </c>
      <c r="BO336" s="196">
        <f t="shared" si="955"/>
        <v>19659.571290888227</v>
      </c>
      <c r="BP336" s="196">
        <f t="shared" si="902"/>
        <v>0</v>
      </c>
      <c r="BQ336" s="248">
        <f t="shared" si="980"/>
        <v>0</v>
      </c>
      <c r="BR336" s="248"/>
      <c r="BS336" s="248"/>
      <c r="BT336" s="276">
        <v>1</v>
      </c>
      <c r="BU336" s="196">
        <f t="shared" si="969"/>
        <v>41184.266794837691</v>
      </c>
      <c r="BV336" s="264">
        <f t="shared" si="981"/>
        <v>2.8566187543490038E-3</v>
      </c>
      <c r="BW336" s="196">
        <f t="shared" si="970"/>
        <v>176177.1412890279</v>
      </c>
      <c r="BX336" s="247">
        <f t="shared" si="982"/>
        <v>2.856618780081535E-3</v>
      </c>
      <c r="BY336" s="196">
        <f t="shared" ref="BY336:BY400" si="985">BU336+BW336</f>
        <v>217361.40808386559</v>
      </c>
      <c r="BZ336" s="620">
        <v>0</v>
      </c>
      <c r="CA336" s="196">
        <f t="shared" si="956"/>
        <v>86372.136135238194</v>
      </c>
      <c r="CB336" s="196">
        <f t="shared" si="957"/>
        <v>172744.27227047639</v>
      </c>
      <c r="CC336" s="196">
        <f t="shared" si="915"/>
        <v>259116.40840571458</v>
      </c>
      <c r="CD336" s="247">
        <f t="shared" si="903"/>
        <v>1.0933200195797569E-3</v>
      </c>
      <c r="CE336" s="196">
        <f t="shared" si="958"/>
        <v>22118.021330318039</v>
      </c>
      <c r="CF336" s="247">
        <f t="shared" si="904"/>
        <v>9.5512494688771289E-4</v>
      </c>
      <c r="CG336" s="196">
        <f t="shared" si="929"/>
        <v>42903.806184824192</v>
      </c>
      <c r="CH336" s="589">
        <f t="shared" si="920"/>
        <v>1.0933200195797567E-3</v>
      </c>
      <c r="CI336" s="196">
        <f t="shared" si="959"/>
        <v>88557.808784525099</v>
      </c>
      <c r="CJ336" s="248">
        <f t="shared" si="921"/>
        <v>1.4558901516281532E-3</v>
      </c>
      <c r="CK336" s="196">
        <f t="shared" si="960"/>
        <v>80632.723122977593</v>
      </c>
      <c r="CL336" s="589">
        <f t="shared" si="922"/>
        <v>1.1591119803363516E-3</v>
      </c>
      <c r="CM336" s="196">
        <f t="shared" si="961"/>
        <v>7811.3001601470396</v>
      </c>
      <c r="CN336" s="589">
        <f t="shared" si="923"/>
        <v>1.1256971257776666E-3</v>
      </c>
      <c r="CO336" s="196">
        <f t="shared" si="962"/>
        <v>624.89888517333929</v>
      </c>
      <c r="CP336" s="589">
        <f t="shared" si="924"/>
        <v>1.178463045289231E-3</v>
      </c>
      <c r="CQ336" s="196">
        <f>'Detailed Budget'!$AC$12</f>
        <v>292876014141.44696</v>
      </c>
      <c r="CR336" s="269">
        <f t="shared" si="925"/>
        <v>875791008.51534235</v>
      </c>
      <c r="CS336" s="269">
        <f>'Detailed Budget'!$AC$16</f>
        <v>10488008800.000002</v>
      </c>
      <c r="CT336" s="607">
        <f t="shared" si="931"/>
        <v>31362427.477193736</v>
      </c>
      <c r="CU336" s="269">
        <f>'Detailed Budget'!$AC$24</f>
        <v>30624985696</v>
      </c>
      <c r="CV336" s="269">
        <f t="shared" si="976"/>
        <v>91578298.711461902</v>
      </c>
      <c r="CW336" s="269"/>
      <c r="CX336" s="269">
        <f t="shared" si="916"/>
        <v>998731734.70399797</v>
      </c>
      <c r="CY336" s="196">
        <f>'Detailed Budget'!$AC$97</f>
        <v>74629165494.837845</v>
      </c>
      <c r="CZ336" s="269">
        <f t="shared" si="932"/>
        <v>0</v>
      </c>
      <c r="DA336" s="269">
        <f>'Detailed Budget'!$AC$100</f>
        <v>14925833098.967569</v>
      </c>
      <c r="DB336" s="269">
        <f t="shared" si="933"/>
        <v>0</v>
      </c>
      <c r="DC336" s="269">
        <f t="shared" si="905"/>
        <v>0</v>
      </c>
      <c r="DD336" s="207">
        <v>0</v>
      </c>
      <c r="DE336" s="606">
        <v>0</v>
      </c>
      <c r="DF336" s="269">
        <f>'Detailed Budget'!$AC$147</f>
        <v>5913600671000</v>
      </c>
      <c r="DG336" s="269">
        <f t="shared" si="971"/>
        <v>0</v>
      </c>
      <c r="DH336" s="269">
        <f>'Detailed Budget'!$AC$153</f>
        <v>226428026880.00003</v>
      </c>
      <c r="DI336" s="269"/>
      <c r="DJ336" s="269">
        <f>'Detailed Budget'!$AC$156</f>
        <v>27713070000</v>
      </c>
      <c r="DK336" s="269"/>
      <c r="DL336" s="269"/>
      <c r="DM336" s="196">
        <f>'Detailed Budget'!$AC$178</f>
        <v>5622683761.6229038</v>
      </c>
      <c r="DN336" s="269">
        <f t="shared" si="963"/>
        <v>16061863.88322559</v>
      </c>
      <c r="DO336" s="196">
        <f>'Detailed Budget'!$AC$179</f>
        <v>26827890683.128094</v>
      </c>
      <c r="DP336" s="269">
        <f t="shared" si="964"/>
        <v>76637056.355398148</v>
      </c>
      <c r="DQ336" s="269">
        <f t="shared" si="870"/>
        <v>92698920.238623738</v>
      </c>
      <c r="DR336" s="269">
        <f>'Detailed Budget'!$AC$181</f>
        <v>50888946855.375237</v>
      </c>
      <c r="DS336" s="269">
        <f t="shared" si="965"/>
        <v>121768008.33566141</v>
      </c>
      <c r="DT336" s="269">
        <f t="shared" si="966"/>
        <v>214466928.57428515</v>
      </c>
      <c r="DU336" s="272">
        <f>'Detailed Budget'!$AC$192</f>
        <v>77498869683.252869</v>
      </c>
      <c r="DV336" s="269">
        <f t="shared" si="934"/>
        <v>0</v>
      </c>
      <c r="DW336" s="140">
        <f>'Detailed Budget'!$AC$194</f>
        <v>2684962805.4134097</v>
      </c>
      <c r="DX336" s="269">
        <f t="shared" si="935"/>
        <v>0</v>
      </c>
      <c r="DY336" s="607">
        <f t="shared" si="906"/>
        <v>0</v>
      </c>
      <c r="DZ336" s="196">
        <f>'Detailed Budget'!$AC$198</f>
        <v>18732540018.380611</v>
      </c>
      <c r="EA336" s="269">
        <f t="shared" si="936"/>
        <v>17891916.290127739</v>
      </c>
      <c r="EB336" s="196">
        <f>'Detailed Budget'!$AC$200</f>
        <v>4683135004.5951529</v>
      </c>
      <c r="EC336" s="269">
        <f t="shared" si="937"/>
        <v>4472979.0725319348</v>
      </c>
      <c r="ED336" s="269">
        <f t="shared" si="907"/>
        <v>22364895.362659674</v>
      </c>
      <c r="EE336" s="196">
        <f>'Detailed Budget'!$AC$161</f>
        <v>251147290106.36197</v>
      </c>
      <c r="EF336" s="269">
        <f t="shared" si="938"/>
        <v>274584360.13649052</v>
      </c>
      <c r="EG336" s="196">
        <f>'Detailed Budget'!$AC$163</f>
        <v>15696705631.647623</v>
      </c>
      <c r="EH336" s="269">
        <f t="shared" si="939"/>
        <v>17161522.508530658</v>
      </c>
      <c r="EI336" s="269">
        <f t="shared" si="908"/>
        <v>291745882.6450212</v>
      </c>
      <c r="EJ336" s="196">
        <f>'Detailed Budget'!$AC$204</f>
        <v>45012172507.531975</v>
      </c>
      <c r="EK336" s="269">
        <f t="shared" si="940"/>
        <v>65532778.657103315</v>
      </c>
      <c r="EL336" s="201">
        <f>'Detailed Budget'!$AC$206</f>
        <v>11253043126.882994</v>
      </c>
      <c r="EM336" s="269">
        <f t="shared" si="941"/>
        <v>16383194.664275829</v>
      </c>
      <c r="EN336" s="269">
        <f t="shared" si="909"/>
        <v>81915973.32137914</v>
      </c>
      <c r="EO336" s="140">
        <f>'Detailed Budget'!$AC$209</f>
        <v>135789361677.54817</v>
      </c>
      <c r="EP336" s="269">
        <f t="shared" si="942"/>
        <v>157395075.92267194</v>
      </c>
      <c r="EQ336" s="196">
        <f>'Detailed Budget'!$AC$211</f>
        <v>33947340419.387043</v>
      </c>
      <c r="ER336" s="269">
        <f t="shared" si="943"/>
        <v>39348768.980667986</v>
      </c>
      <c r="ES336" s="269">
        <f t="shared" si="910"/>
        <v>196743844.90333992</v>
      </c>
      <c r="ET336" s="196">
        <f>'Detailed Budget'!$AC$214</f>
        <v>22239745544.201103</v>
      </c>
      <c r="EU336" s="269">
        <f t="shared" si="944"/>
        <v>25035217.637133852</v>
      </c>
      <c r="EV336" s="140">
        <f>'Detailed Budget'!$AC$217</f>
        <v>5559936386.0502758</v>
      </c>
      <c r="EW336" s="269">
        <f t="shared" si="945"/>
        <v>6258804.4092834629</v>
      </c>
      <c r="EX336" s="269">
        <f t="shared" si="911"/>
        <v>31294022.046417315</v>
      </c>
      <c r="EY336" s="196">
        <f>'Detailed Budget'!$AC$219</f>
        <v>372777004.58170313</v>
      </c>
      <c r="EZ336" s="269">
        <f t="shared" si="946"/>
        <v>439303.92403315147</v>
      </c>
      <c r="FA336" s="196">
        <f>'Detailed Budget'!$AC$222</f>
        <v>93194251.145425782</v>
      </c>
      <c r="FB336" s="269">
        <f t="shared" si="947"/>
        <v>109825.98100828787</v>
      </c>
      <c r="FC336" s="269">
        <f t="shared" si="912"/>
        <v>549129.90504143934</v>
      </c>
      <c r="FD336" s="269"/>
      <c r="FE336" s="269">
        <f t="shared" si="913"/>
        <v>310502970.1761778</v>
      </c>
      <c r="FF336" s="140">
        <f>'Detailed Budget'!$AC$165</f>
        <v>14927760000</v>
      </c>
      <c r="FG336" s="1087">
        <f t="shared" si="972"/>
        <v>423546604.70840323</v>
      </c>
      <c r="FH336" s="269">
        <f t="shared" si="948"/>
        <v>16961436.200431772</v>
      </c>
      <c r="FJ336" s="140">
        <f>'Detailed Budget'!$AC$235</f>
        <v>3623696172</v>
      </c>
      <c r="FK336" s="269">
        <f t="shared" si="949"/>
        <v>4681778</v>
      </c>
      <c r="FL336" s="269">
        <f t="shared" si="973"/>
        <v>4681778</v>
      </c>
      <c r="FO336" s="607"/>
      <c r="FP336" s="607"/>
      <c r="FQ336" s="607"/>
      <c r="FR336" s="269">
        <f>'Detailed Budget'!$AC$257</f>
        <v>13636439388</v>
      </c>
      <c r="FS336" s="269">
        <f t="shared" si="950"/>
        <v>12491700</v>
      </c>
      <c r="FT336" s="269">
        <f t="shared" si="974"/>
        <v>12491700</v>
      </c>
      <c r="FU336" s="269"/>
      <c r="FV336" s="269"/>
      <c r="FW336" s="269"/>
      <c r="FX336" s="140">
        <f>'Detailed Budget'!$AC$278</f>
        <v>1114560000</v>
      </c>
      <c r="FY336" s="269">
        <f t="shared" si="951"/>
        <v>1440000</v>
      </c>
      <c r="FZ336" s="269">
        <f t="shared" si="975"/>
        <v>1440000</v>
      </c>
      <c r="GB336" s="269">
        <f t="shared" si="983"/>
        <v>2296933930.3709769</v>
      </c>
      <c r="GC336" s="887">
        <f t="shared" si="914"/>
        <v>1435583.7064818605</v>
      </c>
      <c r="GD336" s="1078">
        <f t="shared" si="984"/>
        <v>1.2888819567201757E-3</v>
      </c>
    </row>
    <row r="337" spans="1:186" hidden="1" outlineLevel="1">
      <c r="A337" s="211" t="s">
        <v>817</v>
      </c>
      <c r="B337" s="212" t="s">
        <v>818</v>
      </c>
      <c r="C337" s="213" t="s">
        <v>215</v>
      </c>
      <c r="D337" s="214" t="s">
        <v>215</v>
      </c>
      <c r="E337" s="213"/>
      <c r="F337" s="213"/>
      <c r="G337" s="213"/>
      <c r="H337" s="213" t="s">
        <v>215</v>
      </c>
      <c r="I337" s="214" t="s">
        <v>215</v>
      </c>
      <c r="J337" s="214"/>
      <c r="K337" s="213"/>
      <c r="L337" s="213"/>
      <c r="M337" s="214" t="s">
        <v>215</v>
      </c>
      <c r="N337" s="213"/>
      <c r="O337" s="214"/>
      <c r="P337" s="213"/>
      <c r="Q337" s="214" t="s">
        <v>215</v>
      </c>
      <c r="R337" s="214"/>
      <c r="S337" s="214"/>
      <c r="T337" s="213"/>
      <c r="U337" s="215">
        <f t="shared" si="952"/>
        <v>6</v>
      </c>
      <c r="V337" s="845" t="s">
        <v>265</v>
      </c>
      <c r="W337" s="216">
        <v>200095</v>
      </c>
      <c r="X337" s="217">
        <v>3.36</v>
      </c>
      <c r="Y337" s="218">
        <f t="shared" ref="Y337:Y401" si="986">1+X337/100</f>
        <v>1.0336000000000001</v>
      </c>
      <c r="Z337" s="196">
        <v>19</v>
      </c>
      <c r="AA337" s="218">
        <f t="shared" ref="AA337:AA401" si="987">POWER(Y337,Z337)</f>
        <v>1.873689022502546</v>
      </c>
      <c r="AB337" s="196">
        <f t="shared" ref="AB337:AB368" si="988">W337*AA337</f>
        <v>374915.80495764693</v>
      </c>
      <c r="AC337">
        <v>19.3</v>
      </c>
      <c r="AD337" s="196">
        <f t="shared" ref="AD337:AD368" si="989">AB337*AC337/100</f>
        <v>72358.750356825854</v>
      </c>
      <c r="AE337" s="196">
        <f t="shared" si="849"/>
        <v>68740.812838984551</v>
      </c>
      <c r="AF337" s="196">
        <f t="shared" si="953"/>
        <v>68740.812838984551</v>
      </c>
      <c r="AG337" s="606">
        <f t="shared" si="917"/>
        <v>3.1782734078517846E-3</v>
      </c>
      <c r="AH337" s="196">
        <f t="shared" si="967"/>
        <v>18745.790247882349</v>
      </c>
      <c r="AI337" s="248">
        <f t="shared" si="896"/>
        <v>1.4522079678569583E-3</v>
      </c>
      <c r="AJ337" s="196">
        <f t="shared" si="897"/>
        <v>91104.540604708207</v>
      </c>
      <c r="AK337" s="196">
        <f t="shared" si="926"/>
        <v>14996.632198305877</v>
      </c>
      <c r="AL337" s="196">
        <f t="shared" si="927"/>
        <v>14996.632198305877</v>
      </c>
      <c r="AM337" s="196">
        <f t="shared" si="898"/>
        <v>29993.264396611754</v>
      </c>
      <c r="AN337" s="627">
        <f t="shared" si="899"/>
        <v>1.4522079678569581E-3</v>
      </c>
      <c r="AO337" s="196">
        <f t="shared" si="900"/>
        <v>14246.800588390583</v>
      </c>
      <c r="AP337" s="589">
        <f t="shared" si="918"/>
        <v>1.4522079678569581E-3</v>
      </c>
      <c r="AQ337" s="196"/>
      <c r="AR337" s="589"/>
      <c r="AS337">
        <v>1</v>
      </c>
      <c r="AT337" s="589">
        <f t="shared" si="919"/>
        <v>1.2919896640826874E-3</v>
      </c>
      <c r="AU337" s="196">
        <v>10</v>
      </c>
      <c r="AV337" s="245">
        <f t="shared" si="901"/>
        <v>1.1362345188046814E-3</v>
      </c>
      <c r="AX337" s="245"/>
      <c r="AY337" s="245"/>
      <c r="AZ337" s="196">
        <v>15</v>
      </c>
      <c r="BA337" s="589">
        <f t="shared" si="977"/>
        <v>5.4963174672969107E-4</v>
      </c>
      <c r="BI337" s="196">
        <v>1</v>
      </c>
      <c r="BJ337" s="196">
        <f t="shared" si="954"/>
        <v>208286.55594493877</v>
      </c>
      <c r="BK337" s="246">
        <f t="shared" si="978"/>
        <v>3.9718989546412044E-3</v>
      </c>
      <c r="BL337" s="196">
        <f t="shared" si="968"/>
        <v>4165.7311188987751</v>
      </c>
      <c r="BM337" s="246">
        <f t="shared" si="979"/>
        <v>3.9718985001909561E-3</v>
      </c>
      <c r="BN337" s="196">
        <v>0</v>
      </c>
      <c r="BO337" s="196">
        <f t="shared" si="955"/>
        <v>26112.927196058812</v>
      </c>
      <c r="BP337" s="196">
        <f t="shared" si="902"/>
        <v>0</v>
      </c>
      <c r="BQ337" s="248">
        <f t="shared" si="980"/>
        <v>0</v>
      </c>
      <c r="BR337" s="248"/>
      <c r="BS337" s="248"/>
      <c r="BT337" s="276">
        <v>1</v>
      </c>
      <c r="BU337" s="196">
        <f t="shared" si="969"/>
        <v>54703.215269760345</v>
      </c>
      <c r="BV337" s="264">
        <f t="shared" si="981"/>
        <v>3.7943186275778413E-3</v>
      </c>
      <c r="BW337" s="196">
        <f t="shared" si="970"/>
        <v>234008.19865397483</v>
      </c>
      <c r="BX337" s="247">
        <f t="shared" si="982"/>
        <v>3.794318661757209E-3</v>
      </c>
      <c r="BY337" s="196">
        <f t="shared" si="985"/>
        <v>288711.41392373515</v>
      </c>
      <c r="BZ337" s="620">
        <v>0</v>
      </c>
      <c r="CA337" s="196">
        <f t="shared" si="956"/>
        <v>114724.23631703996</v>
      </c>
      <c r="CB337" s="196">
        <f t="shared" si="957"/>
        <v>229448.47263407992</v>
      </c>
      <c r="CC337" s="196">
        <f t="shared" si="915"/>
        <v>344172.70895111992</v>
      </c>
      <c r="CD337" s="247">
        <f t="shared" si="903"/>
        <v>1.4522079678569583E-3</v>
      </c>
      <c r="CE337" s="196">
        <f t="shared" si="958"/>
        <v>29378.376169736723</v>
      </c>
      <c r="CF337" s="247">
        <f t="shared" si="904"/>
        <v>1.2686496481628792E-3</v>
      </c>
      <c r="CG337" s="196">
        <f t="shared" si="929"/>
        <v>56987.20235356233</v>
      </c>
      <c r="CH337" s="589">
        <f t="shared" si="920"/>
        <v>1.4522079678569581E-3</v>
      </c>
      <c r="CI337" s="196">
        <f t="shared" si="959"/>
        <v>117627.36731215473</v>
      </c>
      <c r="CJ337" s="248">
        <f t="shared" si="921"/>
        <v>1.9337936200340888E-3</v>
      </c>
      <c r="CK337" s="196">
        <f t="shared" si="960"/>
        <v>107100.83131396461</v>
      </c>
      <c r="CL337" s="589">
        <f t="shared" si="922"/>
        <v>1.5395964798393721E-3</v>
      </c>
      <c r="CM337" s="196">
        <f t="shared" si="961"/>
        <v>10375.39981774783</v>
      </c>
      <c r="CN337" s="589">
        <f t="shared" si="923"/>
        <v>1.4952130265357775E-3</v>
      </c>
      <c r="CO337" s="196">
        <f t="shared" si="962"/>
        <v>830.02517460758281</v>
      </c>
      <c r="CP337" s="589">
        <f t="shared" si="924"/>
        <v>1.5652996318971664E-3</v>
      </c>
      <c r="CQ337" s="196">
        <f>'Detailed Budget'!$AC$12</f>
        <v>292876014141.44696</v>
      </c>
      <c r="CR337" s="269">
        <f t="shared" si="925"/>
        <v>1163273934.4078958</v>
      </c>
      <c r="CS337" s="269">
        <f>'Detailed Budget'!$AC$16</f>
        <v>10488008800.000002</v>
      </c>
      <c r="CT337" s="607">
        <f t="shared" si="931"/>
        <v>41657306.422709554</v>
      </c>
      <c r="CU337" s="269">
        <f>'Detailed Budget'!$AC$24</f>
        <v>30624985696</v>
      </c>
      <c r="CV337" s="269">
        <f t="shared" si="976"/>
        <v>121639348.67184424</v>
      </c>
      <c r="CW337" s="269"/>
      <c r="CX337" s="269">
        <f t="shared" si="916"/>
        <v>1326570589.5024495</v>
      </c>
      <c r="CY337" s="196">
        <f>'Detailed Budget'!$AC$97</f>
        <v>74629165494.837845</v>
      </c>
      <c r="CZ337" s="269">
        <f t="shared" si="932"/>
        <v>0</v>
      </c>
      <c r="DA337" s="269">
        <f>'Detailed Budget'!$AC$100</f>
        <v>14925833098.967569</v>
      </c>
      <c r="DB337" s="269">
        <f t="shared" si="933"/>
        <v>0</v>
      </c>
      <c r="DC337" s="269">
        <f t="shared" si="905"/>
        <v>0</v>
      </c>
      <c r="DD337" s="207">
        <v>0</v>
      </c>
      <c r="DE337" s="606">
        <v>0</v>
      </c>
      <c r="DF337" s="269">
        <f>'Detailed Budget'!$AC$147</f>
        <v>5913600671000</v>
      </c>
      <c r="DG337" s="269">
        <f t="shared" si="971"/>
        <v>0</v>
      </c>
      <c r="DH337" s="269">
        <f>'Detailed Budget'!$AC$153</f>
        <v>226428026880.00003</v>
      </c>
      <c r="DI337" s="269"/>
      <c r="DJ337" s="269">
        <f>'Detailed Budget'!$AC$156</f>
        <v>27713070000</v>
      </c>
      <c r="DK337" s="269"/>
      <c r="DL337" s="269"/>
      <c r="DM337" s="196">
        <f>'Detailed Budget'!$AC$178</f>
        <v>5622683761.6229038</v>
      </c>
      <c r="DN337" s="269">
        <f t="shared" si="963"/>
        <v>21334253.73370523</v>
      </c>
      <c r="DO337" s="196">
        <f>'Detailed Budget'!$AC$179</f>
        <v>26827890683.128094</v>
      </c>
      <c r="DP337" s="269">
        <f t="shared" si="964"/>
        <v>101793566.27457528</v>
      </c>
      <c r="DQ337" s="269">
        <f t="shared" si="870"/>
        <v>123127820.00828052</v>
      </c>
      <c r="DR337" s="269">
        <f>'Detailed Budget'!$AC$181</f>
        <v>50888946855.375237</v>
      </c>
      <c r="DS337" s="269">
        <f t="shared" si="965"/>
        <v>161738986.54402182</v>
      </c>
      <c r="DT337" s="269">
        <f t="shared" si="966"/>
        <v>284866806.55230236</v>
      </c>
      <c r="DU337" s="272">
        <f>'Detailed Budget'!$AC$192</f>
        <v>77498869683.252869</v>
      </c>
      <c r="DV337" s="269">
        <f t="shared" si="934"/>
        <v>0</v>
      </c>
      <c r="DW337" s="140">
        <f>'Detailed Budget'!$AC$194</f>
        <v>2684962805.4134097</v>
      </c>
      <c r="DX337" s="269">
        <f t="shared" si="935"/>
        <v>0</v>
      </c>
      <c r="DY337" s="607">
        <f t="shared" si="906"/>
        <v>0</v>
      </c>
      <c r="DZ337" s="196">
        <f>'Detailed Budget'!$AC$198</f>
        <v>18732540018.380611</v>
      </c>
      <c r="EA337" s="269">
        <f t="shared" si="936"/>
        <v>23765030.303515617</v>
      </c>
      <c r="EB337" s="196">
        <f>'Detailed Budget'!$AC$200</f>
        <v>4683135004.5951529</v>
      </c>
      <c r="EC337" s="269">
        <f t="shared" si="937"/>
        <v>5941257.5758789042</v>
      </c>
      <c r="ED337" s="269">
        <f t="shared" si="907"/>
        <v>29706287.87939452</v>
      </c>
      <c r="EE337" s="196">
        <f>'Detailed Budget'!$AC$161</f>
        <v>251147290106.36197</v>
      </c>
      <c r="EF337" s="269">
        <f t="shared" si="938"/>
        <v>364718095.79814184</v>
      </c>
      <c r="EG337" s="196">
        <f>'Detailed Budget'!$AC$163</f>
        <v>15696705631.647623</v>
      </c>
      <c r="EH337" s="269">
        <f t="shared" si="939"/>
        <v>22794880.987383865</v>
      </c>
      <c r="EI337" s="269">
        <f t="shared" si="908"/>
        <v>387512976.78552568</v>
      </c>
      <c r="EJ337" s="196">
        <f>'Detailed Budget'!$AC$204</f>
        <v>45012172507.531975</v>
      </c>
      <c r="EK337" s="269">
        <f t="shared" si="940"/>
        <v>87044252.018939152</v>
      </c>
      <c r="EL337" s="201">
        <f>'Detailed Budget'!$AC$206</f>
        <v>11253043126.882994</v>
      </c>
      <c r="EM337" s="269">
        <f t="shared" si="941"/>
        <v>21761063.004734788</v>
      </c>
      <c r="EN337" s="269">
        <f t="shared" si="909"/>
        <v>108805315.02367394</v>
      </c>
      <c r="EO337" s="140">
        <f>'Detailed Budget'!$AC$209</f>
        <v>135789361677.54817</v>
      </c>
      <c r="EP337" s="269">
        <f t="shared" si="942"/>
        <v>209060823.23838851</v>
      </c>
      <c r="EQ337" s="196">
        <f>'Detailed Budget'!$AC$211</f>
        <v>33947340419.387043</v>
      </c>
      <c r="ER337" s="269">
        <f t="shared" si="943"/>
        <v>52265205.809597127</v>
      </c>
      <c r="ES337" s="269">
        <f t="shared" si="910"/>
        <v>261326029.04798564</v>
      </c>
      <c r="ET337" s="196">
        <f>'Detailed Budget'!$AC$214</f>
        <v>22239745544.201103</v>
      </c>
      <c r="EU337" s="269">
        <f t="shared" si="944"/>
        <v>33253157.244530503</v>
      </c>
      <c r="EV337" s="140">
        <f>'Detailed Budget'!$AC$217</f>
        <v>5559936386.0502758</v>
      </c>
      <c r="EW337" s="269">
        <f t="shared" si="945"/>
        <v>8313289.3111326257</v>
      </c>
      <c r="EX337" s="269">
        <f t="shared" si="911"/>
        <v>41566446.555663131</v>
      </c>
      <c r="EY337" s="196">
        <f>'Detailed Budget'!$AC$219</f>
        <v>372777004.58170313</v>
      </c>
      <c r="EZ337" s="269">
        <f t="shared" si="946"/>
        <v>583507.70805146825</v>
      </c>
      <c r="FA337" s="196">
        <f>'Detailed Budget'!$AC$222</f>
        <v>93194251.145425782</v>
      </c>
      <c r="FB337" s="269">
        <f t="shared" si="947"/>
        <v>145876.92701286706</v>
      </c>
      <c r="FC337" s="269">
        <f t="shared" si="912"/>
        <v>729384.63506433531</v>
      </c>
      <c r="FD337" s="269"/>
      <c r="FE337" s="269">
        <f t="shared" si="913"/>
        <v>412427175.26238704</v>
      </c>
      <c r="FF337" s="140">
        <f>'Detailed Budget'!$AC$165</f>
        <v>14927760000</v>
      </c>
      <c r="FG337" s="1087">
        <f t="shared" si="972"/>
        <v>562577967.20188487</v>
      </c>
      <c r="FH337" s="269">
        <f t="shared" si="948"/>
        <v>16961436.200431772</v>
      </c>
      <c r="FJ337" s="140">
        <f>'Detailed Budget'!$AC$235</f>
        <v>3623696172</v>
      </c>
      <c r="FK337" s="269">
        <f t="shared" si="949"/>
        <v>4681778</v>
      </c>
      <c r="FL337" s="269">
        <f t="shared" si="973"/>
        <v>4681778</v>
      </c>
      <c r="FO337" s="607"/>
      <c r="FP337" s="607"/>
      <c r="FQ337" s="607"/>
      <c r="FR337" s="269">
        <f>'Detailed Budget'!$AC$257</f>
        <v>13636439388</v>
      </c>
      <c r="FS337" s="269">
        <f t="shared" si="950"/>
        <v>7495019.9999999991</v>
      </c>
      <c r="FT337" s="269">
        <f t="shared" si="974"/>
        <v>7495019.9999999991</v>
      </c>
      <c r="FU337" s="269"/>
      <c r="FV337" s="269"/>
      <c r="FW337" s="269"/>
      <c r="FX337" s="140">
        <f>'Detailed Budget'!$AC$278</f>
        <v>1114560000</v>
      </c>
      <c r="FY337" s="269">
        <f t="shared" si="951"/>
        <v>1440000</v>
      </c>
      <c r="FZ337" s="269">
        <f t="shared" si="975"/>
        <v>1440000</v>
      </c>
      <c r="GB337" s="269">
        <f t="shared" si="983"/>
        <v>3034240037.384376</v>
      </c>
      <c r="GC337" s="887">
        <f t="shared" si="914"/>
        <v>1896400.023365235</v>
      </c>
      <c r="GD337" s="1078">
        <f t="shared" si="984"/>
        <v>1.7026076304733093E-3</v>
      </c>
    </row>
    <row r="338" spans="1:186" hidden="1" outlineLevel="1">
      <c r="A338" s="211" t="s">
        <v>819</v>
      </c>
      <c r="B338" s="212" t="s">
        <v>820</v>
      </c>
      <c r="C338" s="213" t="s">
        <v>215</v>
      </c>
      <c r="D338" s="214" t="s">
        <v>215</v>
      </c>
      <c r="E338" s="213"/>
      <c r="F338" s="213"/>
      <c r="G338" s="213"/>
      <c r="H338" s="213" t="s">
        <v>215</v>
      </c>
      <c r="I338" s="214" t="s">
        <v>215</v>
      </c>
      <c r="J338" s="214"/>
      <c r="K338" s="213" t="s">
        <v>215</v>
      </c>
      <c r="L338" s="213"/>
      <c r="M338" s="214"/>
      <c r="N338" s="213"/>
      <c r="O338" s="214"/>
      <c r="P338" s="213"/>
      <c r="Q338" s="214"/>
      <c r="R338" s="214" t="s">
        <v>215</v>
      </c>
      <c r="S338" s="214"/>
      <c r="T338" s="213"/>
      <c r="U338" s="215">
        <f t="shared" si="952"/>
        <v>6</v>
      </c>
      <c r="V338" s="845" t="s">
        <v>219</v>
      </c>
      <c r="W338" s="216">
        <v>211204</v>
      </c>
      <c r="X338" s="217">
        <v>3.36</v>
      </c>
      <c r="Y338" s="218">
        <f t="shared" si="986"/>
        <v>1.0336000000000001</v>
      </c>
      <c r="Z338" s="196">
        <v>19</v>
      </c>
      <c r="AA338" s="218">
        <f t="shared" si="987"/>
        <v>1.873689022502546</v>
      </c>
      <c r="AB338" s="196">
        <f t="shared" si="988"/>
        <v>395730.61630862771</v>
      </c>
      <c r="AC338">
        <v>19.3</v>
      </c>
      <c r="AD338" s="196">
        <f t="shared" si="989"/>
        <v>76376.008947565162</v>
      </c>
      <c r="AE338" s="196">
        <f t="shared" si="849"/>
        <v>72557.208500186898</v>
      </c>
      <c r="AF338" s="196">
        <f t="shared" si="953"/>
        <v>72557.208500186898</v>
      </c>
      <c r="AG338" s="606">
        <f t="shared" si="917"/>
        <v>3.3547267889348985E-3</v>
      </c>
      <c r="AH338" s="196">
        <f t="shared" si="967"/>
        <v>19786.530815431386</v>
      </c>
      <c r="AI338" s="248">
        <f t="shared" si="896"/>
        <v>1.5328325627489991E-3</v>
      </c>
      <c r="AJ338" s="196">
        <f t="shared" si="897"/>
        <v>96162.539762996545</v>
      </c>
      <c r="AK338" s="196">
        <f t="shared" si="926"/>
        <v>15829.224652345109</v>
      </c>
      <c r="AL338" s="196">
        <f t="shared" si="927"/>
        <v>15829.224652345109</v>
      </c>
      <c r="AM338" s="196">
        <f t="shared" si="898"/>
        <v>31658.449304690217</v>
      </c>
      <c r="AN338" s="627">
        <f t="shared" si="899"/>
        <v>1.5328325627489991E-3</v>
      </c>
      <c r="AO338" s="196">
        <f t="shared" si="900"/>
        <v>15037.763419727853</v>
      </c>
      <c r="AP338" s="589">
        <f t="shared" si="918"/>
        <v>1.5328325627489991E-3</v>
      </c>
      <c r="AQ338" s="196"/>
      <c r="AR338" s="589"/>
      <c r="AS338">
        <v>1</v>
      </c>
      <c r="AT338" s="589">
        <f t="shared" si="919"/>
        <v>1.2919896640826874E-3</v>
      </c>
      <c r="AU338" s="196">
        <v>11</v>
      </c>
      <c r="AV338" s="245">
        <f t="shared" si="901"/>
        <v>1.2498579706851495E-3</v>
      </c>
      <c r="AX338" s="245"/>
      <c r="AY338" s="245"/>
      <c r="AZ338" s="196">
        <v>31</v>
      </c>
      <c r="BA338" s="589">
        <f t="shared" si="977"/>
        <v>1.1359056099080284E-3</v>
      </c>
      <c r="BI338" s="196">
        <v>1</v>
      </c>
      <c r="BJ338" s="196">
        <f t="shared" si="954"/>
        <v>219850.33989752288</v>
      </c>
      <c r="BK338" s="246">
        <f t="shared" si="978"/>
        <v>4.1924133377447756E-3</v>
      </c>
      <c r="BL338" s="196">
        <f t="shared" si="968"/>
        <v>4397.0067979504574</v>
      </c>
      <c r="BM338" s="246">
        <f t="shared" si="979"/>
        <v>4.1924128580640724E-3</v>
      </c>
      <c r="BN338" s="196">
        <v>0</v>
      </c>
      <c r="BO338" s="196">
        <f t="shared" si="955"/>
        <v>27562.681104057599</v>
      </c>
      <c r="BP338" s="196">
        <f t="shared" si="902"/>
        <v>0</v>
      </c>
      <c r="BQ338" s="248">
        <f t="shared" si="980"/>
        <v>0</v>
      </c>
      <c r="BR338" s="248"/>
      <c r="BS338" s="248"/>
      <c r="BT338" s="276">
        <v>1</v>
      </c>
      <c r="BU338" s="196">
        <f t="shared" si="969"/>
        <v>57740.262764359264</v>
      </c>
      <c r="BV338" s="264">
        <f t="shared" si="981"/>
        <v>4.004973994447391E-3</v>
      </c>
      <c r="BW338" s="196">
        <f t="shared" si="970"/>
        <v>247000.01293642574</v>
      </c>
      <c r="BX338" s="247">
        <f t="shared" si="982"/>
        <v>4.0049740305243501E-3</v>
      </c>
      <c r="BY338" s="196">
        <f t="shared" si="985"/>
        <v>304740.27570078499</v>
      </c>
      <c r="BZ338" s="620">
        <v>0</v>
      </c>
      <c r="CA338" s="196">
        <f t="shared" si="956"/>
        <v>121093.56859044009</v>
      </c>
      <c r="CB338" s="196">
        <f t="shared" si="957"/>
        <v>242187.13718088018</v>
      </c>
      <c r="CC338" s="196">
        <f t="shared" si="915"/>
        <v>363280.70577132027</v>
      </c>
      <c r="CD338" s="247">
        <f t="shared" si="903"/>
        <v>1.5328325627489991E-3</v>
      </c>
      <c r="CE338" s="196">
        <f t="shared" si="958"/>
        <v>31009.423326685199</v>
      </c>
      <c r="CF338" s="247">
        <f t="shared" si="904"/>
        <v>1.3390833368679515E-3</v>
      </c>
      <c r="CG338" s="196">
        <f t="shared" si="929"/>
        <v>60151.053678911412</v>
      </c>
      <c r="CH338" s="589">
        <f t="shared" si="920"/>
        <v>1.5328325627489991E-3</v>
      </c>
      <c r="CI338" s="196">
        <f t="shared" si="959"/>
        <v>124157.87743719899</v>
      </c>
      <c r="CJ338" s="248">
        <f t="shared" si="921"/>
        <v>2.04115518991319E-3</v>
      </c>
      <c r="CK338" s="196">
        <f t="shared" si="960"/>
        <v>113046.92259593986</v>
      </c>
      <c r="CL338" s="589">
        <f t="shared" si="922"/>
        <v>1.6250727650765628E-3</v>
      </c>
      <c r="CM338" s="196">
        <f t="shared" si="961"/>
        <v>10951.42778733908</v>
      </c>
      <c r="CN338" s="589">
        <f t="shared" si="923"/>
        <v>1.5782252033107395E-3</v>
      </c>
      <c r="CO338" s="196">
        <f t="shared" si="962"/>
        <v>876.10703404792707</v>
      </c>
      <c r="CP338" s="589">
        <f t="shared" si="924"/>
        <v>1.652202920888624E-3</v>
      </c>
      <c r="CQ338" s="196">
        <f>'Detailed Budget'!$AC$12</f>
        <v>292876014141.44696</v>
      </c>
      <c r="CR338" s="269">
        <f t="shared" si="925"/>
        <v>1227857307.9921298</v>
      </c>
      <c r="CS338" s="269">
        <f>'Detailed Budget'!$AC$16</f>
        <v>10488008800.000002</v>
      </c>
      <c r="CT338" s="607">
        <f t="shared" si="931"/>
        <v>43970062.948609151</v>
      </c>
      <c r="CU338" s="269">
        <f>'Detailed Budget'!$AC$24</f>
        <v>30624985696</v>
      </c>
      <c r="CV338" s="269">
        <f t="shared" si="976"/>
        <v>128392598.50015336</v>
      </c>
      <c r="CW338" s="269"/>
      <c r="CX338" s="269">
        <f t="shared" si="916"/>
        <v>1400219969.4408922</v>
      </c>
      <c r="CY338" s="196">
        <f>'Detailed Budget'!$AC$97</f>
        <v>74629165494.837845</v>
      </c>
      <c r="CZ338" s="269">
        <f t="shared" si="932"/>
        <v>0</v>
      </c>
      <c r="DA338" s="269">
        <f>'Detailed Budget'!$AC$100</f>
        <v>14925833098.967569</v>
      </c>
      <c r="DB338" s="269">
        <f t="shared" si="933"/>
        <v>0</v>
      </c>
      <c r="DC338" s="269">
        <f t="shared" si="905"/>
        <v>0</v>
      </c>
      <c r="DD338" s="207">
        <v>0</v>
      </c>
      <c r="DE338" s="606">
        <v>0</v>
      </c>
      <c r="DF338" s="269">
        <f>'Detailed Budget'!$AC$147</f>
        <v>5913600671000</v>
      </c>
      <c r="DG338" s="269">
        <f t="shared" si="971"/>
        <v>0</v>
      </c>
      <c r="DH338" s="269">
        <f>'Detailed Budget'!$AC$153</f>
        <v>226428026880.00003</v>
      </c>
      <c r="DI338" s="269"/>
      <c r="DJ338" s="269">
        <f>'Detailed Budget'!$AC$156</f>
        <v>27713070000</v>
      </c>
      <c r="DK338" s="269"/>
      <c r="DL338" s="269"/>
      <c r="DM338" s="196">
        <f>'Detailed Budget'!$AC$178</f>
        <v>5622683761.6229038</v>
      </c>
      <c r="DN338" s="269">
        <f t="shared" si="963"/>
        <v>22518702.244301364</v>
      </c>
      <c r="DO338" s="196">
        <f>'Detailed Budget'!$AC$179</f>
        <v>26827890683.128094</v>
      </c>
      <c r="DP338" s="269">
        <f t="shared" si="964"/>
        <v>107445005.47967418</v>
      </c>
      <c r="DQ338" s="269">
        <f t="shared" si="870"/>
        <v>129963707.72397554</v>
      </c>
      <c r="DR338" s="269">
        <f>'Detailed Budget'!$AC$181</f>
        <v>50888946855.375237</v>
      </c>
      <c r="DS338" s="269">
        <f t="shared" si="965"/>
        <v>170718513.27641165</v>
      </c>
      <c r="DT338" s="269">
        <f t="shared" si="966"/>
        <v>300682221.00038719</v>
      </c>
      <c r="DU338" s="272">
        <f>'Detailed Budget'!$AC$192</f>
        <v>77498869683.252869</v>
      </c>
      <c r="DV338" s="269">
        <f t="shared" si="934"/>
        <v>0</v>
      </c>
      <c r="DW338" s="140">
        <f>'Detailed Budget'!$AC$194</f>
        <v>2684962805.4134097</v>
      </c>
      <c r="DX338" s="269">
        <f t="shared" si="935"/>
        <v>0</v>
      </c>
      <c r="DY338" s="607">
        <f t="shared" si="906"/>
        <v>0</v>
      </c>
      <c r="DZ338" s="196">
        <f>'Detailed Budget'!$AC$198</f>
        <v>18732540018.380611</v>
      </c>
      <c r="EA338" s="269">
        <f t="shared" si="936"/>
        <v>25084432.195825547</v>
      </c>
      <c r="EB338" s="196">
        <f>'Detailed Budget'!$AC$200</f>
        <v>4683135004.5951529</v>
      </c>
      <c r="EC338" s="269">
        <f t="shared" si="937"/>
        <v>6271108.0489563867</v>
      </c>
      <c r="ED338" s="269">
        <f t="shared" si="907"/>
        <v>31355540.244781934</v>
      </c>
      <c r="EE338" s="196">
        <f>'Detailed Budget'!$AC$161</f>
        <v>251147290106.36197</v>
      </c>
      <c r="EF338" s="269">
        <f t="shared" si="938"/>
        <v>384966744.32120115</v>
      </c>
      <c r="EG338" s="196">
        <f>'Detailed Budget'!$AC$163</f>
        <v>15696705631.647623</v>
      </c>
      <c r="EH338" s="269">
        <f t="shared" si="939"/>
        <v>24060421.520075072</v>
      </c>
      <c r="EI338" s="269">
        <f t="shared" si="908"/>
        <v>409027165.84127623</v>
      </c>
      <c r="EJ338" s="196">
        <f>'Detailed Budget'!$AC$204</f>
        <v>45012172507.531975</v>
      </c>
      <c r="EK338" s="269">
        <f t="shared" si="940"/>
        <v>91876829.523016691</v>
      </c>
      <c r="EL338" s="201">
        <f>'Detailed Budget'!$AC$206</f>
        <v>11253043126.882994</v>
      </c>
      <c r="EM338" s="269">
        <f t="shared" si="941"/>
        <v>22969207.380754173</v>
      </c>
      <c r="EN338" s="269">
        <f t="shared" si="909"/>
        <v>114846036.90377086</v>
      </c>
      <c r="EO338" s="140">
        <f>'Detailed Budget'!$AC$209</f>
        <v>135789361677.54817</v>
      </c>
      <c r="EP338" s="269">
        <f t="shared" si="942"/>
        <v>220667593.44931465</v>
      </c>
      <c r="EQ338" s="196">
        <f>'Detailed Budget'!$AC$211</f>
        <v>33947340419.387043</v>
      </c>
      <c r="ER338" s="269">
        <f t="shared" si="943"/>
        <v>55166898.362328663</v>
      </c>
      <c r="ES338" s="269">
        <f t="shared" si="910"/>
        <v>275834491.8116433</v>
      </c>
      <c r="ET338" s="196">
        <f>'Detailed Budget'!$AC$214</f>
        <v>22239745544.201103</v>
      </c>
      <c r="EU338" s="269">
        <f t="shared" si="944"/>
        <v>35099326.933075897</v>
      </c>
      <c r="EV338" s="140">
        <f>'Detailed Budget'!$AC$217</f>
        <v>5559936386.0502758</v>
      </c>
      <c r="EW338" s="269">
        <f t="shared" si="945"/>
        <v>8774831.7332689743</v>
      </c>
      <c r="EX338" s="269">
        <f t="shared" si="911"/>
        <v>43874158.666344874</v>
      </c>
      <c r="EY338" s="196">
        <f>'Detailed Budget'!$AC$219</f>
        <v>372777004.58170313</v>
      </c>
      <c r="EZ338" s="269">
        <f t="shared" si="946"/>
        <v>615903.25581000187</v>
      </c>
      <c r="FA338" s="196">
        <f>'Detailed Budget'!$AC$222</f>
        <v>93194251.145425782</v>
      </c>
      <c r="FB338" s="269">
        <f t="shared" si="947"/>
        <v>153975.81395250047</v>
      </c>
      <c r="FC338" s="269">
        <f t="shared" si="912"/>
        <v>769879.06976250233</v>
      </c>
      <c r="FD338" s="269"/>
      <c r="FE338" s="269">
        <f t="shared" si="913"/>
        <v>435324566.45152158</v>
      </c>
      <c r="FF338" s="140">
        <f>'Detailed Budget'!$AC$165</f>
        <v>14927760000</v>
      </c>
      <c r="FG338" s="1087">
        <f t="shared" si="972"/>
        <v>593811524.45042062</v>
      </c>
      <c r="FH338" s="269">
        <f t="shared" si="948"/>
        <v>18657579.820474949</v>
      </c>
      <c r="FJ338" s="140">
        <f>'Detailed Budget'!$AC$235</f>
        <v>3623696172</v>
      </c>
      <c r="FK338" s="269">
        <f t="shared" si="949"/>
        <v>4681778</v>
      </c>
      <c r="FL338" s="269">
        <f t="shared" si="973"/>
        <v>4681778</v>
      </c>
      <c r="FO338" s="607"/>
      <c r="FP338" s="607"/>
      <c r="FQ338" s="607"/>
      <c r="FR338" s="269">
        <f>'Detailed Budget'!$AC$257</f>
        <v>13636439388</v>
      </c>
      <c r="FS338" s="269">
        <f t="shared" si="950"/>
        <v>15489708.000000002</v>
      </c>
      <c r="FT338" s="269">
        <f t="shared" si="974"/>
        <v>15489708.000000002</v>
      </c>
      <c r="FU338" s="269"/>
      <c r="FV338" s="269"/>
      <c r="FW338" s="269"/>
      <c r="FX338" s="140">
        <f>'Detailed Budget'!$AC$278</f>
        <v>1114560000</v>
      </c>
      <c r="FY338" s="269">
        <f t="shared" si="951"/>
        <v>1440000</v>
      </c>
      <c r="FZ338" s="269">
        <f t="shared" si="975"/>
        <v>1440000</v>
      </c>
      <c r="GB338" s="269">
        <f t="shared" si="983"/>
        <v>3210690053.2497544</v>
      </c>
      <c r="GC338" s="887">
        <f t="shared" si="914"/>
        <v>2006681.2832810965</v>
      </c>
      <c r="GD338" s="1078">
        <f t="shared" si="984"/>
        <v>1.8016192906280895E-3</v>
      </c>
    </row>
    <row r="339" spans="1:186" hidden="1" outlineLevel="1">
      <c r="A339" s="211" t="s">
        <v>821</v>
      </c>
      <c r="B339" s="212" t="s">
        <v>822</v>
      </c>
      <c r="C339" s="213" t="s">
        <v>215</v>
      </c>
      <c r="D339" s="214" t="s">
        <v>215</v>
      </c>
      <c r="E339" s="213"/>
      <c r="F339" s="213"/>
      <c r="G339" s="213"/>
      <c r="H339" s="213" t="s">
        <v>215</v>
      </c>
      <c r="I339" s="214" t="s">
        <v>215</v>
      </c>
      <c r="J339" s="214"/>
      <c r="K339" s="213" t="s">
        <v>215</v>
      </c>
      <c r="L339" s="213"/>
      <c r="M339" s="214"/>
      <c r="N339" s="213"/>
      <c r="O339" s="214"/>
      <c r="P339" s="213"/>
      <c r="Q339" s="214"/>
      <c r="R339" s="214" t="s">
        <v>215</v>
      </c>
      <c r="S339" s="214"/>
      <c r="T339" s="213"/>
      <c r="U339" s="215">
        <f t="shared" si="952"/>
        <v>6</v>
      </c>
      <c r="V339" s="845" t="s">
        <v>219</v>
      </c>
      <c r="W339" s="216">
        <v>161966</v>
      </c>
      <c r="X339" s="217">
        <v>3.36</v>
      </c>
      <c r="Y339" s="218">
        <f t="shared" si="986"/>
        <v>1.0336000000000001</v>
      </c>
      <c r="Z339" s="196">
        <v>19</v>
      </c>
      <c r="AA339" s="218">
        <f t="shared" si="987"/>
        <v>1.873689022502546</v>
      </c>
      <c r="AB339" s="196">
        <f t="shared" si="988"/>
        <v>303473.91621864738</v>
      </c>
      <c r="AC339">
        <v>19.3</v>
      </c>
      <c r="AD339" s="196">
        <f t="shared" si="989"/>
        <v>58570.465830198948</v>
      </c>
      <c r="AE339" s="196">
        <f t="shared" si="849"/>
        <v>55641.942538689</v>
      </c>
      <c r="AF339" s="196">
        <f t="shared" si="953"/>
        <v>55641.942538689</v>
      </c>
      <c r="AG339" s="606">
        <f t="shared" si="917"/>
        <v>2.5726391502842263E-3</v>
      </c>
      <c r="AH339" s="196">
        <f t="shared" si="967"/>
        <v>15173.69581093237</v>
      </c>
      <c r="AI339" s="248">
        <f t="shared" si="896"/>
        <v>1.1754832240781633E-3</v>
      </c>
      <c r="AJ339" s="196">
        <f t="shared" si="897"/>
        <v>73744.161641131315</v>
      </c>
      <c r="AK339" s="196">
        <f t="shared" si="926"/>
        <v>12138.956648745896</v>
      </c>
      <c r="AL339" s="196">
        <f t="shared" si="927"/>
        <v>12138.956648745896</v>
      </c>
      <c r="AM339" s="196">
        <f t="shared" si="898"/>
        <v>24277.913297491792</v>
      </c>
      <c r="AN339" s="627">
        <f t="shared" si="899"/>
        <v>1.1754832240781633E-3</v>
      </c>
      <c r="AO339" s="196">
        <f t="shared" si="900"/>
        <v>11532.0088163086</v>
      </c>
      <c r="AP339" s="589">
        <f t="shared" si="918"/>
        <v>1.1754832240781633E-3</v>
      </c>
      <c r="AQ339" s="196"/>
      <c r="AR339" s="589"/>
      <c r="AS339">
        <v>1</v>
      </c>
      <c r="AT339" s="589">
        <f t="shared" si="919"/>
        <v>1.2919896640826874E-3</v>
      </c>
      <c r="AU339" s="196">
        <v>10</v>
      </c>
      <c r="AV339" s="245">
        <f t="shared" si="901"/>
        <v>1.1362345188046814E-3</v>
      </c>
      <c r="AX339" s="245"/>
      <c r="AY339" s="245"/>
      <c r="AZ339" s="196">
        <v>18</v>
      </c>
      <c r="BA339" s="589">
        <f t="shared" si="977"/>
        <v>6.5955809607562931E-4</v>
      </c>
      <c r="BI339" s="196">
        <v>1</v>
      </c>
      <c r="BJ339" s="196">
        <f t="shared" si="954"/>
        <v>168596.61820724132</v>
      </c>
      <c r="BK339" s="246">
        <f t="shared" si="978"/>
        <v>3.2150357884375789E-3</v>
      </c>
      <c r="BL339" s="196">
        <f t="shared" si="968"/>
        <v>3371.9323641448264</v>
      </c>
      <c r="BM339" s="246">
        <f t="shared" si="979"/>
        <v>3.2150354205848644E-3</v>
      </c>
      <c r="BN339" s="196">
        <v>0</v>
      </c>
      <c r="BO339" s="196">
        <f t="shared" si="955"/>
        <v>21136.991760098263</v>
      </c>
      <c r="BP339" s="196">
        <f t="shared" si="902"/>
        <v>0</v>
      </c>
      <c r="BQ339" s="248">
        <f t="shared" si="980"/>
        <v>0</v>
      </c>
      <c r="BR339" s="248"/>
      <c r="BS339" s="248"/>
      <c r="BT339" s="276">
        <v>1</v>
      </c>
      <c r="BU339" s="196">
        <f t="shared" si="969"/>
        <v>44279.272167630406</v>
      </c>
      <c r="BV339" s="264">
        <f t="shared" si="981"/>
        <v>3.0712941894313842E-3</v>
      </c>
      <c r="BW339" s="196">
        <f t="shared" si="970"/>
        <v>189416.8864948634</v>
      </c>
      <c r="BX339" s="247">
        <f t="shared" si="982"/>
        <v>3.0712942170977196E-3</v>
      </c>
      <c r="BY339" s="196">
        <f t="shared" si="985"/>
        <v>233696.15866249381</v>
      </c>
      <c r="BZ339" s="620">
        <v>0</v>
      </c>
      <c r="CA339" s="196">
        <f t="shared" si="956"/>
        <v>92863.018362906107</v>
      </c>
      <c r="CB339" s="196">
        <f t="shared" si="957"/>
        <v>185726.03672581221</v>
      </c>
      <c r="CC339" s="196">
        <f t="shared" si="915"/>
        <v>278589.05508871831</v>
      </c>
      <c r="CD339" s="247">
        <f t="shared" si="903"/>
        <v>1.1754832240781633E-3</v>
      </c>
      <c r="CE339" s="196">
        <f t="shared" si="958"/>
        <v>23780.194781016908</v>
      </c>
      <c r="CF339" s="247">
        <f t="shared" si="904"/>
        <v>1.0269027657580094E-3</v>
      </c>
      <c r="CG339" s="196">
        <f t="shared" si="929"/>
        <v>46128.035265234401</v>
      </c>
      <c r="CH339" s="589">
        <f t="shared" si="920"/>
        <v>1.1754832240781633E-3</v>
      </c>
      <c r="CI339" s="196">
        <f t="shared" si="959"/>
        <v>95212.944721659485</v>
      </c>
      <c r="CJ339" s="248">
        <f t="shared" si="921"/>
        <v>1.565300569541674E-3</v>
      </c>
      <c r="CK339" s="196">
        <f t="shared" si="960"/>
        <v>86692.287386479395</v>
      </c>
      <c r="CL339" s="589">
        <f t="shared" si="922"/>
        <v>1.2462194630233829E-3</v>
      </c>
      <c r="CM339" s="196">
        <f t="shared" si="961"/>
        <v>8398.3208320115209</v>
      </c>
      <c r="CN339" s="589">
        <f t="shared" si="923"/>
        <v>1.2102934758784266E-3</v>
      </c>
      <c r="CO339" s="196">
        <f t="shared" si="962"/>
        <v>671.86015357950862</v>
      </c>
      <c r="CP339" s="589">
        <f t="shared" si="924"/>
        <v>1.2670247641363176E-3</v>
      </c>
      <c r="CQ339" s="196">
        <f>'Detailed Budget'!$AC$12</f>
        <v>292876014141.44696</v>
      </c>
      <c r="CR339" s="269">
        <f t="shared" si="925"/>
        <v>941606867.03970242</v>
      </c>
      <c r="CS339" s="269">
        <f>'Detailed Budget'!$AC$16</f>
        <v>10488008800.000002</v>
      </c>
      <c r="CT339" s="607">
        <f t="shared" si="931"/>
        <v>33719319.783405766</v>
      </c>
      <c r="CU339" s="269">
        <f>'Detailed Budget'!$AC$24</f>
        <v>30624985696</v>
      </c>
      <c r="CV339" s="269">
        <f t="shared" si="976"/>
        <v>98460425.03302893</v>
      </c>
      <c r="CW339" s="269"/>
      <c r="CX339" s="269">
        <f t="shared" si="916"/>
        <v>1073786611.856137</v>
      </c>
      <c r="CY339" s="196">
        <f>'Detailed Budget'!$AC$97</f>
        <v>74629165494.837845</v>
      </c>
      <c r="CZ339" s="269">
        <f t="shared" si="932"/>
        <v>0</v>
      </c>
      <c r="DA339" s="269">
        <f>'Detailed Budget'!$AC$100</f>
        <v>14925833098.967569</v>
      </c>
      <c r="DB339" s="269">
        <f t="shared" si="933"/>
        <v>0</v>
      </c>
      <c r="DC339" s="269">
        <f t="shared" si="905"/>
        <v>0</v>
      </c>
      <c r="DD339" s="207">
        <v>0</v>
      </c>
      <c r="DE339" s="606">
        <v>0</v>
      </c>
      <c r="DF339" s="269">
        <f>'Detailed Budget'!$AC$147</f>
        <v>5913600671000</v>
      </c>
      <c r="DG339" s="269">
        <f t="shared" si="971"/>
        <v>0</v>
      </c>
      <c r="DH339" s="269">
        <f>'Detailed Budget'!$AC$153</f>
        <v>226428026880.00003</v>
      </c>
      <c r="DI339" s="269"/>
      <c r="DJ339" s="269">
        <f>'Detailed Budget'!$AC$156</f>
        <v>27713070000</v>
      </c>
      <c r="DK339" s="269"/>
      <c r="DL339" s="269"/>
      <c r="DM339" s="196">
        <f>'Detailed Budget'!$AC$178</f>
        <v>5622683761.6229038</v>
      </c>
      <c r="DN339" s="269">
        <f t="shared" si="963"/>
        <v>17268915.966082621</v>
      </c>
      <c r="DO339" s="196">
        <f>'Detailed Budget'!$AC$179</f>
        <v>26827890683.128094</v>
      </c>
      <c r="DP339" s="269">
        <f t="shared" si="964"/>
        <v>82396345.512021109</v>
      </c>
      <c r="DQ339" s="269">
        <f t="shared" si="870"/>
        <v>99665261.478103727</v>
      </c>
      <c r="DR339" s="269">
        <f>'Detailed Budget'!$AC$181</f>
        <v>50888946855.375237</v>
      </c>
      <c r="DS339" s="269">
        <f t="shared" si="965"/>
        <v>130918896.99687169</v>
      </c>
      <c r="DT339" s="269">
        <f t="shared" si="966"/>
        <v>230584158.47497541</v>
      </c>
      <c r="DU339" s="272">
        <f>'Detailed Budget'!$AC$192</f>
        <v>77498869683.252869</v>
      </c>
      <c r="DV339" s="269">
        <f t="shared" si="934"/>
        <v>0</v>
      </c>
      <c r="DW339" s="140">
        <f>'Detailed Budget'!$AC$194</f>
        <v>2684962805.4134097</v>
      </c>
      <c r="DX339" s="269">
        <f t="shared" si="935"/>
        <v>0</v>
      </c>
      <c r="DY339" s="607">
        <f t="shared" si="906"/>
        <v>0</v>
      </c>
      <c r="DZ339" s="196">
        <f>'Detailed Budget'!$AC$198</f>
        <v>18732540018.380611</v>
      </c>
      <c r="EA339" s="269">
        <f t="shared" si="936"/>
        <v>19236497.154547643</v>
      </c>
      <c r="EB339" s="196">
        <f>'Detailed Budget'!$AC$200</f>
        <v>4683135004.5951529</v>
      </c>
      <c r="EC339" s="269">
        <f t="shared" si="937"/>
        <v>4809124.2886369107</v>
      </c>
      <c r="ED339" s="269">
        <f t="shared" si="907"/>
        <v>24045621.443184555</v>
      </c>
      <c r="EE339" s="196">
        <f>'Detailed Budget'!$AC$161</f>
        <v>251147290106.36197</v>
      </c>
      <c r="EF339" s="269">
        <f t="shared" si="938"/>
        <v>295219426.2927202</v>
      </c>
      <c r="EG339" s="196">
        <f>'Detailed Budget'!$AC$163</f>
        <v>15696705631.647623</v>
      </c>
      <c r="EH339" s="269">
        <f t="shared" si="939"/>
        <v>18451214.143295012</v>
      </c>
      <c r="EI339" s="269">
        <f t="shared" si="908"/>
        <v>313670640.43601519</v>
      </c>
      <c r="EJ339" s="196">
        <f>'Detailed Budget'!$AC$204</f>
        <v>45012172507.531975</v>
      </c>
      <c r="EK339" s="269">
        <f t="shared" si="940"/>
        <v>70457579.262347877</v>
      </c>
      <c r="EL339" s="201">
        <f>'Detailed Budget'!$AC$206</f>
        <v>11253043126.882994</v>
      </c>
      <c r="EM339" s="269">
        <f t="shared" si="941"/>
        <v>17614394.815586969</v>
      </c>
      <c r="EN339" s="269">
        <f t="shared" si="909"/>
        <v>88071974.077934846</v>
      </c>
      <c r="EO339" s="140">
        <f>'Detailed Budget'!$AC$209</f>
        <v>135789361677.54817</v>
      </c>
      <c r="EP339" s="269">
        <f t="shared" si="942"/>
        <v>169223345.39408201</v>
      </c>
      <c r="EQ339" s="196">
        <f>'Detailed Budget'!$AC$211</f>
        <v>33947340419.387043</v>
      </c>
      <c r="ER339" s="269">
        <f t="shared" si="943"/>
        <v>42305836.348520502</v>
      </c>
      <c r="ES339" s="269">
        <f t="shared" si="910"/>
        <v>211529181.74260253</v>
      </c>
      <c r="ET339" s="196">
        <f>'Detailed Budget'!$AC$214</f>
        <v>22239745544.201103</v>
      </c>
      <c r="EU339" s="269">
        <f t="shared" si="944"/>
        <v>26916618.937342905</v>
      </c>
      <c r="EV339" s="140">
        <f>'Detailed Budget'!$AC$217</f>
        <v>5559936386.0502758</v>
      </c>
      <c r="EW339" s="269">
        <f t="shared" si="945"/>
        <v>6729154.7343357261</v>
      </c>
      <c r="EX339" s="269">
        <f t="shared" si="911"/>
        <v>33645773.671678632</v>
      </c>
      <c r="EY339" s="196">
        <f>'Detailed Budget'!$AC$219</f>
        <v>372777004.58170313</v>
      </c>
      <c r="EZ339" s="269">
        <f t="shared" si="946"/>
        <v>472317.69630557543</v>
      </c>
      <c r="FA339" s="196">
        <f>'Detailed Budget'!$AC$222</f>
        <v>93194251.145425782</v>
      </c>
      <c r="FB339" s="269">
        <f t="shared" si="947"/>
        <v>118079.42407639386</v>
      </c>
      <c r="FC339" s="269">
        <f t="shared" si="912"/>
        <v>590397.12038196926</v>
      </c>
      <c r="FD339" s="269"/>
      <c r="FE339" s="269">
        <f t="shared" si="913"/>
        <v>333837326.61259794</v>
      </c>
      <c r="FF339" s="140">
        <f>'Detailed Budget'!$AC$165</f>
        <v>14927760000</v>
      </c>
      <c r="FG339" s="1087">
        <f t="shared" si="972"/>
        <v>455376211.47865015</v>
      </c>
      <c r="FH339" s="269">
        <f t="shared" si="948"/>
        <v>16961436.200431772</v>
      </c>
      <c r="FJ339" s="140">
        <f>'Detailed Budget'!$AC$235</f>
        <v>3623696172</v>
      </c>
      <c r="FK339" s="269">
        <f t="shared" si="949"/>
        <v>4681778</v>
      </c>
      <c r="FL339" s="269">
        <f t="shared" si="973"/>
        <v>4681778</v>
      </c>
      <c r="FO339" s="607"/>
      <c r="FP339" s="607"/>
      <c r="FQ339" s="607"/>
      <c r="FR339" s="269">
        <f>'Detailed Budget'!$AC$257</f>
        <v>13636439388</v>
      </c>
      <c r="FS339" s="269">
        <f t="shared" si="950"/>
        <v>8994024</v>
      </c>
      <c r="FT339" s="269">
        <f t="shared" si="974"/>
        <v>8994024</v>
      </c>
      <c r="FU339" s="269"/>
      <c r="FV339" s="269"/>
      <c r="FW339" s="269"/>
      <c r="FX339" s="140">
        <f>'Detailed Budget'!$AC$278</f>
        <v>1114560000</v>
      </c>
      <c r="FY339" s="269">
        <f t="shared" si="951"/>
        <v>1440000</v>
      </c>
      <c r="FZ339" s="269">
        <f t="shared" si="975"/>
        <v>1440000</v>
      </c>
      <c r="GB339" s="269">
        <f t="shared" si="983"/>
        <v>2463377808.5019922</v>
      </c>
      <c r="GC339" s="887">
        <f t="shared" si="914"/>
        <v>1539611.1303137452</v>
      </c>
      <c r="GD339" s="1078">
        <f t="shared" si="984"/>
        <v>1.3822788579079036E-3</v>
      </c>
    </row>
    <row r="340" spans="1:186" hidden="1" outlineLevel="1">
      <c r="A340" s="211" t="s">
        <v>823</v>
      </c>
      <c r="B340" s="212" t="s">
        <v>824</v>
      </c>
      <c r="C340" s="213" t="s">
        <v>215</v>
      </c>
      <c r="D340" s="214" t="s">
        <v>215</v>
      </c>
      <c r="E340" s="213"/>
      <c r="F340" s="213"/>
      <c r="G340" s="213"/>
      <c r="H340" s="213" t="s">
        <v>215</v>
      </c>
      <c r="I340" s="214" t="s">
        <v>215</v>
      </c>
      <c r="J340" s="214"/>
      <c r="K340" s="213" t="s">
        <v>215</v>
      </c>
      <c r="L340" s="213"/>
      <c r="M340" s="214"/>
      <c r="N340" s="213"/>
      <c r="O340" s="214"/>
      <c r="P340" s="213"/>
      <c r="Q340" s="214"/>
      <c r="R340" s="214" t="s">
        <v>215</v>
      </c>
      <c r="S340" s="214"/>
      <c r="T340" s="213"/>
      <c r="U340" s="215">
        <f t="shared" si="952"/>
        <v>6</v>
      </c>
      <c r="V340" s="845" t="s">
        <v>219</v>
      </c>
      <c r="W340" s="216">
        <v>118622</v>
      </c>
      <c r="X340" s="217">
        <v>3.36</v>
      </c>
      <c r="Y340" s="218">
        <f t="shared" si="986"/>
        <v>1.0336000000000001</v>
      </c>
      <c r="Z340" s="196">
        <v>19</v>
      </c>
      <c r="AA340" s="218">
        <f t="shared" si="987"/>
        <v>1.873689022502546</v>
      </c>
      <c r="AB340" s="196">
        <f t="shared" si="988"/>
        <v>222260.73922729702</v>
      </c>
      <c r="AC340">
        <v>19.3</v>
      </c>
      <c r="AD340" s="196">
        <f t="shared" si="989"/>
        <v>42896.322670868329</v>
      </c>
      <c r="AE340" s="196">
        <f t="shared" si="849"/>
        <v>40751.506537324909</v>
      </c>
      <c r="AF340" s="196">
        <f t="shared" si="953"/>
        <v>40751.506537324909</v>
      </c>
      <c r="AG340" s="606">
        <f t="shared" si="917"/>
        <v>1.8841707598200579E-3</v>
      </c>
      <c r="AH340" s="196">
        <f t="shared" si="967"/>
        <v>11113.036961364851</v>
      </c>
      <c r="AI340" s="248">
        <f t="shared" si="896"/>
        <v>8.6091013550127729E-4</v>
      </c>
      <c r="AJ340" s="196">
        <f t="shared" si="897"/>
        <v>54009.35963223318</v>
      </c>
      <c r="AK340" s="196">
        <f t="shared" si="926"/>
        <v>8890.4295690918807</v>
      </c>
      <c r="AL340" s="196">
        <f t="shared" si="927"/>
        <v>8890.4295690918807</v>
      </c>
      <c r="AM340" s="196">
        <f t="shared" si="898"/>
        <v>17780.859138183761</v>
      </c>
      <c r="AN340" s="627">
        <f t="shared" si="899"/>
        <v>8.6091013550127729E-4</v>
      </c>
      <c r="AO340" s="196">
        <f t="shared" si="900"/>
        <v>8445.9080906372856</v>
      </c>
      <c r="AP340" s="589">
        <f t="shared" si="918"/>
        <v>8.6091013550127719E-4</v>
      </c>
      <c r="AQ340" s="196"/>
      <c r="AR340" s="589"/>
      <c r="AS340">
        <v>1</v>
      </c>
      <c r="AT340" s="589">
        <f t="shared" si="919"/>
        <v>1.2919896640826874E-3</v>
      </c>
      <c r="AU340" s="196">
        <v>10</v>
      </c>
      <c r="AV340" s="245">
        <f t="shared" si="901"/>
        <v>1.1362345188046814E-3</v>
      </c>
      <c r="AX340" s="245"/>
      <c r="AY340" s="245"/>
      <c r="AZ340" s="196">
        <v>28</v>
      </c>
      <c r="BA340" s="589">
        <f t="shared" si="977"/>
        <v>1.0259792605620901E-3</v>
      </c>
      <c r="BI340" s="196">
        <v>1</v>
      </c>
      <c r="BJ340" s="196">
        <f t="shared" si="954"/>
        <v>123478.18705765024</v>
      </c>
      <c r="BK340" s="246">
        <f t="shared" si="978"/>
        <v>2.3546545280864035E-3</v>
      </c>
      <c r="BL340" s="196">
        <f t="shared" si="968"/>
        <v>2469.5637411530047</v>
      </c>
      <c r="BM340" s="246">
        <f t="shared" si="979"/>
        <v>2.354654258675387E-3</v>
      </c>
      <c r="BN340" s="196">
        <v>0</v>
      </c>
      <c r="BO340" s="196">
        <f t="shared" si="955"/>
        <v>15480.485018870479</v>
      </c>
      <c r="BP340" s="196">
        <f t="shared" si="902"/>
        <v>0</v>
      </c>
      <c r="BQ340" s="248">
        <f t="shared" si="980"/>
        <v>0</v>
      </c>
      <c r="BR340" s="248"/>
      <c r="BS340" s="248"/>
      <c r="BT340" s="276">
        <v>1</v>
      </c>
      <c r="BU340" s="196">
        <f t="shared" si="969"/>
        <v>32429.619939176457</v>
      </c>
      <c r="BV340" s="264">
        <f t="shared" si="981"/>
        <v>2.2493798657664548E-3</v>
      </c>
      <c r="BW340" s="196">
        <f t="shared" si="970"/>
        <v>138726.70751758819</v>
      </c>
      <c r="BX340" s="247">
        <f t="shared" si="982"/>
        <v>2.2493798860289552E-3</v>
      </c>
      <c r="BY340" s="196">
        <f t="shared" si="985"/>
        <v>171156.32745676464</v>
      </c>
      <c r="BZ340" s="620">
        <v>0</v>
      </c>
      <c r="CA340" s="196">
        <f t="shared" si="956"/>
        <v>68011.786203552881</v>
      </c>
      <c r="CB340" s="196">
        <f t="shared" si="957"/>
        <v>136023.57240710576</v>
      </c>
      <c r="CC340" s="196">
        <f t="shared" si="915"/>
        <v>204035.35861065864</v>
      </c>
      <c r="CD340" s="247">
        <f t="shared" si="903"/>
        <v>8.6091013550127729E-4</v>
      </c>
      <c r="CE340" s="196">
        <f t="shared" si="958"/>
        <v>17416.335930465575</v>
      </c>
      <c r="CF340" s="247">
        <f t="shared" si="904"/>
        <v>7.5209154933595062E-4</v>
      </c>
      <c r="CG340" s="196">
        <f t="shared" si="929"/>
        <v>33783.632362549142</v>
      </c>
      <c r="CH340" s="589">
        <f t="shared" si="920"/>
        <v>8.6091013550127719E-4</v>
      </c>
      <c r="CI340" s="196">
        <f t="shared" si="959"/>
        <v>69732.844725267612</v>
      </c>
      <c r="CJ340" s="248">
        <f t="shared" si="921"/>
        <v>1.1464077902780367E-3</v>
      </c>
      <c r="CK340" s="196">
        <f t="shared" si="960"/>
        <v>63492.415163422942</v>
      </c>
      <c r="CL340" s="589">
        <f t="shared" si="922"/>
        <v>9.1271652780682206E-4</v>
      </c>
      <c r="CM340" s="196">
        <f t="shared" si="961"/>
        <v>6150.8317408275234</v>
      </c>
      <c r="CN340" s="589">
        <f t="shared" si="923"/>
        <v>8.8640475590957813E-4</v>
      </c>
      <c r="CO340" s="196">
        <f t="shared" si="962"/>
        <v>492.06250162323255</v>
      </c>
      <c r="CP340" s="589">
        <f t="shared" si="924"/>
        <v>9.2795408648344891E-4</v>
      </c>
      <c r="CQ340" s="196">
        <f>'Detailed Budget'!$AC$12</f>
        <v>292876014141.44696</v>
      </c>
      <c r="CR340" s="269">
        <f t="shared" si="925"/>
        <v>689621832.86605561</v>
      </c>
      <c r="CS340" s="269">
        <f>'Detailed Budget'!$AC$16</f>
        <v>10488008800.000002</v>
      </c>
      <c r="CT340" s="607">
        <f t="shared" si="931"/>
        <v>24695634.585944939</v>
      </c>
      <c r="CU340" s="269">
        <f>'Detailed Budget'!$AC$24</f>
        <v>30624985696</v>
      </c>
      <c r="CV340" s="269">
        <f t="shared" si="976"/>
        <v>72111261.241667733</v>
      </c>
      <c r="CW340" s="269"/>
      <c r="CX340" s="269">
        <f t="shared" si="916"/>
        <v>786428728.69366825</v>
      </c>
      <c r="CY340" s="196">
        <f>'Detailed Budget'!$AC$97</f>
        <v>74629165494.837845</v>
      </c>
      <c r="CZ340" s="269">
        <f t="shared" si="932"/>
        <v>0</v>
      </c>
      <c r="DA340" s="269">
        <f>'Detailed Budget'!$AC$100</f>
        <v>14925833098.967569</v>
      </c>
      <c r="DB340" s="269">
        <f t="shared" si="933"/>
        <v>0</v>
      </c>
      <c r="DC340" s="269">
        <f t="shared" si="905"/>
        <v>0</v>
      </c>
      <c r="DD340" s="207">
        <v>0</v>
      </c>
      <c r="DE340" s="606">
        <v>0</v>
      </c>
      <c r="DF340" s="269">
        <f>'Detailed Budget'!$AC$147</f>
        <v>5913600671000</v>
      </c>
      <c r="DG340" s="269">
        <f t="shared" si="971"/>
        <v>0</v>
      </c>
      <c r="DH340" s="269">
        <f>'Detailed Budget'!$AC$153</f>
        <v>226428026880.00003</v>
      </c>
      <c r="DI340" s="269"/>
      <c r="DJ340" s="269">
        <f>'Detailed Budget'!$AC$156</f>
        <v>27713070000</v>
      </c>
      <c r="DK340" s="269"/>
      <c r="DL340" s="269"/>
      <c r="DM340" s="196">
        <f>'Detailed Budget'!$AC$178</f>
        <v>5622683761.6229038</v>
      </c>
      <c r="DN340" s="269">
        <f t="shared" si="963"/>
        <v>12647551.644966552</v>
      </c>
      <c r="DO340" s="196">
        <f>'Detailed Budget'!$AC$179</f>
        <v>26827890683.128094</v>
      </c>
      <c r="DP340" s="269">
        <f t="shared" si="964"/>
        <v>60346117.687211938</v>
      </c>
      <c r="DQ340" s="269">
        <f t="shared" si="870"/>
        <v>72993669.332178488</v>
      </c>
      <c r="DR340" s="269">
        <f>'Detailed Budget'!$AC$181</f>
        <v>50888946855.375237</v>
      </c>
      <c r="DS340" s="269">
        <f t="shared" si="965"/>
        <v>95883465.662934899</v>
      </c>
      <c r="DT340" s="269">
        <f t="shared" si="966"/>
        <v>168877134.99511337</v>
      </c>
      <c r="DU340" s="272">
        <f>'Detailed Budget'!$AC$192</f>
        <v>77498869683.252869</v>
      </c>
      <c r="DV340" s="269">
        <f t="shared" si="934"/>
        <v>0</v>
      </c>
      <c r="DW340" s="140">
        <f>'Detailed Budget'!$AC$194</f>
        <v>2684962805.4134097</v>
      </c>
      <c r="DX340" s="269">
        <f t="shared" si="935"/>
        <v>0</v>
      </c>
      <c r="DY340" s="607">
        <f t="shared" si="906"/>
        <v>0</v>
      </c>
      <c r="DZ340" s="196">
        <f>'Detailed Budget'!$AC$198</f>
        <v>18732540018.380611</v>
      </c>
      <c r="EA340" s="269">
        <f t="shared" si="936"/>
        <v>14088585.045421571</v>
      </c>
      <c r="EB340" s="196">
        <f>'Detailed Budget'!$AC$200</f>
        <v>4683135004.5951529</v>
      </c>
      <c r="EC340" s="269">
        <f t="shared" si="937"/>
        <v>3522146.2613553926</v>
      </c>
      <c r="ED340" s="269">
        <f t="shared" si="907"/>
        <v>17610731.306776963</v>
      </c>
      <c r="EE340" s="196">
        <f>'Detailed Budget'!$AC$161</f>
        <v>251147290106.36197</v>
      </c>
      <c r="EF340" s="269">
        <f t="shared" si="938"/>
        <v>216215247.55624667</v>
      </c>
      <c r="EG340" s="196">
        <f>'Detailed Budget'!$AC$163</f>
        <v>15696705631.647623</v>
      </c>
      <c r="EH340" s="269">
        <f t="shared" si="939"/>
        <v>13513452.972265417</v>
      </c>
      <c r="EI340" s="269">
        <f t="shared" si="908"/>
        <v>229728700.52851209</v>
      </c>
      <c r="EJ340" s="196">
        <f>'Detailed Budget'!$AC$204</f>
        <v>45012172507.531975</v>
      </c>
      <c r="EK340" s="269">
        <f t="shared" si="940"/>
        <v>51602305.219973527</v>
      </c>
      <c r="EL340" s="201">
        <f>'Detailed Budget'!$AC$206</f>
        <v>11253043126.882994</v>
      </c>
      <c r="EM340" s="269">
        <f t="shared" si="941"/>
        <v>12900576.304993382</v>
      </c>
      <c r="EN340" s="269">
        <f t="shared" si="909"/>
        <v>64502881.52496691</v>
      </c>
      <c r="EO340" s="140">
        <f>'Detailed Budget'!$AC$209</f>
        <v>135789361677.54817</v>
      </c>
      <c r="EP340" s="269">
        <f t="shared" si="942"/>
        <v>123937194.70343651</v>
      </c>
      <c r="EQ340" s="196">
        <f>'Detailed Budget'!$AC$211</f>
        <v>33947340419.387043</v>
      </c>
      <c r="ER340" s="269">
        <f t="shared" si="943"/>
        <v>30984298.675859127</v>
      </c>
      <c r="ES340" s="269">
        <f t="shared" si="910"/>
        <v>154921493.37929565</v>
      </c>
      <c r="ET340" s="196">
        <f>'Detailed Budget'!$AC$214</f>
        <v>22239745544.201103</v>
      </c>
      <c r="EU340" s="269">
        <f t="shared" si="944"/>
        <v>19713416.220598705</v>
      </c>
      <c r="EV340" s="140">
        <f>'Detailed Budget'!$AC$217</f>
        <v>5559936386.0502758</v>
      </c>
      <c r="EW340" s="269">
        <f t="shared" si="945"/>
        <v>4928354.0551496763</v>
      </c>
      <c r="EX340" s="269">
        <f t="shared" si="911"/>
        <v>24641770.27574838</v>
      </c>
      <c r="EY340" s="196">
        <f>'Detailed Budget'!$AC$219</f>
        <v>372777004.58170313</v>
      </c>
      <c r="EZ340" s="269">
        <f t="shared" si="946"/>
        <v>345919.94474865077</v>
      </c>
      <c r="FA340" s="196">
        <f>'Detailed Budget'!$AC$222</f>
        <v>93194251.145425782</v>
      </c>
      <c r="FB340" s="269">
        <f t="shared" si="947"/>
        <v>86479.986187162693</v>
      </c>
      <c r="FC340" s="269">
        <f t="shared" si="912"/>
        <v>432399.93093581346</v>
      </c>
      <c r="FD340" s="269"/>
      <c r="FE340" s="269">
        <f t="shared" si="913"/>
        <v>244498545.11094671</v>
      </c>
      <c r="FF340" s="140">
        <f>'Detailed Budget'!$AC$165</f>
        <v>14927760000</v>
      </c>
      <c r="FG340" s="1087">
        <f t="shared" si="972"/>
        <v>333512199.83218974</v>
      </c>
      <c r="FH340" s="269">
        <f t="shared" si="948"/>
        <v>16961436.200431772</v>
      </c>
      <c r="FJ340" s="140">
        <f>'Detailed Budget'!$AC$235</f>
        <v>3623696172</v>
      </c>
      <c r="FK340" s="269">
        <f t="shared" si="949"/>
        <v>4681778</v>
      </c>
      <c r="FL340" s="269">
        <f t="shared" si="973"/>
        <v>4681778</v>
      </c>
      <c r="FO340" s="607"/>
      <c r="FP340" s="607"/>
      <c r="FQ340" s="607"/>
      <c r="FR340" s="269">
        <f>'Detailed Budget'!$AC$257</f>
        <v>13636439388</v>
      </c>
      <c r="FS340" s="269">
        <f t="shared" si="950"/>
        <v>13990704</v>
      </c>
      <c r="FT340" s="269">
        <f t="shared" si="974"/>
        <v>13990704</v>
      </c>
      <c r="FU340" s="269"/>
      <c r="FV340" s="269"/>
      <c r="FW340" s="269"/>
      <c r="FX340" s="140">
        <f>'Detailed Budget'!$AC$278</f>
        <v>1114560000</v>
      </c>
      <c r="FY340" s="269">
        <f t="shared" si="951"/>
        <v>1440000</v>
      </c>
      <c r="FZ340" s="269">
        <f t="shared" si="975"/>
        <v>1440000</v>
      </c>
      <c r="GB340" s="269">
        <f t="shared" si="983"/>
        <v>1817729958.667639</v>
      </c>
      <c r="GC340" s="887">
        <f t="shared" si="914"/>
        <v>1136081.2241672743</v>
      </c>
      <c r="GD340" s="1078">
        <f t="shared" si="984"/>
        <v>1.0199855184942301E-3</v>
      </c>
    </row>
    <row r="341" spans="1:186" hidden="1" outlineLevel="1">
      <c r="A341" s="211" t="s">
        <v>825</v>
      </c>
      <c r="B341" s="212" t="s">
        <v>826</v>
      </c>
      <c r="C341" s="213" t="s">
        <v>215</v>
      </c>
      <c r="D341" s="214" t="s">
        <v>215</v>
      </c>
      <c r="E341" s="213"/>
      <c r="F341" s="213"/>
      <c r="G341" s="213"/>
      <c r="H341" s="213" t="s">
        <v>215</v>
      </c>
      <c r="I341" s="214" t="s">
        <v>215</v>
      </c>
      <c r="J341" s="214"/>
      <c r="K341" s="213" t="s">
        <v>215</v>
      </c>
      <c r="L341" s="213"/>
      <c r="M341" s="214"/>
      <c r="N341" s="213"/>
      <c r="O341" s="214"/>
      <c r="P341" s="213"/>
      <c r="Q341" s="214"/>
      <c r="R341" s="214" t="s">
        <v>215</v>
      </c>
      <c r="S341" s="214"/>
      <c r="T341" s="213"/>
      <c r="U341" s="215">
        <f t="shared" si="952"/>
        <v>6</v>
      </c>
      <c r="V341" s="845" t="s">
        <v>219</v>
      </c>
      <c r="W341" s="216">
        <v>207419</v>
      </c>
      <c r="X341" s="217">
        <v>3.36</v>
      </c>
      <c r="Y341" s="218">
        <f t="shared" si="986"/>
        <v>1.0336000000000001</v>
      </c>
      <c r="Z341" s="196">
        <v>19</v>
      </c>
      <c r="AA341" s="218">
        <f t="shared" si="987"/>
        <v>1.873689022502546</v>
      </c>
      <c r="AB341" s="196">
        <f t="shared" si="988"/>
        <v>388638.70335845556</v>
      </c>
      <c r="AC341">
        <v>19.3</v>
      </c>
      <c r="AD341" s="196">
        <f t="shared" si="989"/>
        <v>75007.26974818192</v>
      </c>
      <c r="AE341" s="196">
        <f t="shared" si="849"/>
        <v>71256.906260772826</v>
      </c>
      <c r="AF341" s="196">
        <f t="shared" si="953"/>
        <v>71256.906260772826</v>
      </c>
      <c r="AG341" s="606">
        <f t="shared" si="917"/>
        <v>3.2946065218181831E-3</v>
      </c>
      <c r="AH341" s="196">
        <f t="shared" si="967"/>
        <v>19431.93516792278</v>
      </c>
      <c r="AI341" s="248">
        <f t="shared" si="896"/>
        <v>1.5053625752013914E-3</v>
      </c>
      <c r="AJ341" s="196">
        <f t="shared" si="897"/>
        <v>94439.204916104703</v>
      </c>
      <c r="AK341" s="196">
        <f t="shared" si="926"/>
        <v>15545.548134338223</v>
      </c>
      <c r="AL341" s="196">
        <f t="shared" si="927"/>
        <v>15545.548134338223</v>
      </c>
      <c r="AM341" s="196">
        <f t="shared" si="898"/>
        <v>31091.096268676447</v>
      </c>
      <c r="AN341" s="627">
        <f t="shared" si="899"/>
        <v>1.5053625752013912E-3</v>
      </c>
      <c r="AO341" s="196">
        <f t="shared" si="900"/>
        <v>14768.270727621311</v>
      </c>
      <c r="AP341" s="589">
        <f t="shared" si="918"/>
        <v>1.5053625752013912E-3</v>
      </c>
      <c r="AQ341" s="196"/>
      <c r="AR341" s="589"/>
      <c r="AS341">
        <v>1</v>
      </c>
      <c r="AT341" s="589">
        <f t="shared" si="919"/>
        <v>1.2919896640826874E-3</v>
      </c>
      <c r="AU341" s="196">
        <v>10</v>
      </c>
      <c r="AV341" s="245">
        <f t="shared" si="901"/>
        <v>1.1362345188046814E-3</v>
      </c>
      <c r="AX341" s="245"/>
      <c r="AY341" s="245"/>
      <c r="AZ341" s="196">
        <v>29</v>
      </c>
      <c r="BA341" s="589">
        <f t="shared" si="977"/>
        <v>1.0626213770107361E-3</v>
      </c>
      <c r="BI341" s="196">
        <v>1</v>
      </c>
      <c r="BJ341" s="196">
        <f t="shared" si="954"/>
        <v>215910.38830327216</v>
      </c>
      <c r="BK341" s="246">
        <f t="shared" si="978"/>
        <v>4.117280837965585E-3</v>
      </c>
      <c r="BL341" s="196">
        <f t="shared" si="968"/>
        <v>4318.2077660654431</v>
      </c>
      <c r="BM341" s="246">
        <f t="shared" si="979"/>
        <v>4.1172803668812702E-3</v>
      </c>
      <c r="BN341" s="196">
        <v>0</v>
      </c>
      <c r="BO341" s="196">
        <f t="shared" si="955"/>
        <v>27068.728584319058</v>
      </c>
      <c r="BP341" s="196">
        <f t="shared" si="902"/>
        <v>0</v>
      </c>
      <c r="BQ341" s="248">
        <f t="shared" si="980"/>
        <v>0</v>
      </c>
      <c r="BR341" s="248"/>
      <c r="BS341" s="248"/>
      <c r="BT341" s="276">
        <v>1</v>
      </c>
      <c r="BU341" s="196">
        <f t="shared" si="969"/>
        <v>56705.495929625533</v>
      </c>
      <c r="BV341" s="264">
        <f t="shared" si="981"/>
        <v>3.9332006067796209E-3</v>
      </c>
      <c r="BW341" s="196">
        <f t="shared" si="970"/>
        <v>242573.51036562034</v>
      </c>
      <c r="BX341" s="247">
        <f t="shared" si="982"/>
        <v>3.9332006422100425E-3</v>
      </c>
      <c r="BY341" s="196">
        <f t="shared" si="985"/>
        <v>299279.0062952459</v>
      </c>
      <c r="BZ341" s="620">
        <v>0</v>
      </c>
      <c r="CA341" s="196">
        <f t="shared" si="956"/>
        <v>118923.44322768741</v>
      </c>
      <c r="CB341" s="196">
        <f t="shared" si="957"/>
        <v>237846.88645537483</v>
      </c>
      <c r="CC341" s="196">
        <f t="shared" si="915"/>
        <v>356770.32968306227</v>
      </c>
      <c r="CD341" s="247">
        <f t="shared" si="903"/>
        <v>1.5053625752013914E-3</v>
      </c>
      <c r="CE341" s="196">
        <f t="shared" si="958"/>
        <v>30453.701525528479</v>
      </c>
      <c r="CF341" s="247">
        <f t="shared" si="904"/>
        <v>1.3150855412293971E-3</v>
      </c>
      <c r="CG341" s="196">
        <f t="shared" si="929"/>
        <v>59073.082910485246</v>
      </c>
      <c r="CH341" s="589">
        <f t="shared" si="920"/>
        <v>1.5053625752013912E-3</v>
      </c>
      <c r="CI341" s="196">
        <f t="shared" si="959"/>
        <v>121932.83640530659</v>
      </c>
      <c r="CJ341" s="248">
        <f t="shared" si="921"/>
        <v>2.0045755209967798E-3</v>
      </c>
      <c r="CK341" s="196">
        <f t="shared" si="960"/>
        <v>111021.00167576014</v>
      </c>
      <c r="CL341" s="589">
        <f t="shared" si="922"/>
        <v>1.5959497351348247E-3</v>
      </c>
      <c r="CM341" s="196">
        <f t="shared" si="961"/>
        <v>10755.166569866498</v>
      </c>
      <c r="CN341" s="589">
        <f t="shared" si="923"/>
        <v>1.5499417314326915E-3</v>
      </c>
      <c r="CO341" s="196">
        <f t="shared" si="962"/>
        <v>860.40626548354646</v>
      </c>
      <c r="CP341" s="589">
        <f t="shared" si="924"/>
        <v>1.6225936897397654E-3</v>
      </c>
      <c r="CQ341" s="196">
        <f>'Detailed Budget'!$AC$12</f>
        <v>292876014141.44696</v>
      </c>
      <c r="CR341" s="269">
        <f t="shared" si="925"/>
        <v>1205852800.9243174</v>
      </c>
      <c r="CS341" s="269">
        <f>'Detailed Budget'!$AC$16</f>
        <v>10488008800.000002</v>
      </c>
      <c r="CT341" s="607">
        <f t="shared" si="931"/>
        <v>43182072.719917998</v>
      </c>
      <c r="CU341" s="269">
        <f>'Detailed Budget'!$AC$24</f>
        <v>30624985696</v>
      </c>
      <c r="CV341" s="269">
        <f t="shared" si="976"/>
        <v>126091666.76911093</v>
      </c>
      <c r="CW341" s="269"/>
      <c r="CX341" s="269">
        <f t="shared" si="916"/>
        <v>1375126540.4133463</v>
      </c>
      <c r="CY341" s="196">
        <f>'Detailed Budget'!$AC$97</f>
        <v>74629165494.837845</v>
      </c>
      <c r="CZ341" s="269">
        <f t="shared" si="932"/>
        <v>0</v>
      </c>
      <c r="DA341" s="269">
        <f>'Detailed Budget'!$AC$100</f>
        <v>14925833098.967569</v>
      </c>
      <c r="DB341" s="269">
        <f t="shared" si="933"/>
        <v>0</v>
      </c>
      <c r="DC341" s="269">
        <f t="shared" si="905"/>
        <v>0</v>
      </c>
      <c r="DD341" s="207">
        <v>0</v>
      </c>
      <c r="DE341" s="606">
        <v>0</v>
      </c>
      <c r="DF341" s="269">
        <f>'Detailed Budget'!$AC$147</f>
        <v>5913600671000</v>
      </c>
      <c r="DG341" s="269">
        <f t="shared" si="971"/>
        <v>0</v>
      </c>
      <c r="DH341" s="269">
        <f>'Detailed Budget'!$AC$153</f>
        <v>226428026880.00003</v>
      </c>
      <c r="DI341" s="269"/>
      <c r="DJ341" s="269">
        <f>'Detailed Budget'!$AC$156</f>
        <v>27713070000</v>
      </c>
      <c r="DK341" s="269"/>
      <c r="DL341" s="269"/>
      <c r="DM341" s="196">
        <f>'Detailed Budget'!$AC$178</f>
        <v>5622683761.6229038</v>
      </c>
      <c r="DN341" s="269">
        <f t="shared" si="963"/>
        <v>22115143.182945125</v>
      </c>
      <c r="DO341" s="196">
        <f>'Detailed Budget'!$AC$179</f>
        <v>26827890683.128094</v>
      </c>
      <c r="DP341" s="269">
        <f t="shared" si="964"/>
        <v>105519476.86402023</v>
      </c>
      <c r="DQ341" s="269">
        <f t="shared" si="870"/>
        <v>127634620.04696536</v>
      </c>
      <c r="DR341" s="269">
        <f>'Detailed Budget'!$AC$181</f>
        <v>50888946855.375237</v>
      </c>
      <c r="DS341" s="269">
        <f t="shared" si="965"/>
        <v>167659056.19817817</v>
      </c>
      <c r="DT341" s="269">
        <f t="shared" si="966"/>
        <v>295293676.24514353</v>
      </c>
      <c r="DU341" s="272">
        <f>'Detailed Budget'!$AC$192</f>
        <v>77498869683.252869</v>
      </c>
      <c r="DV341" s="269">
        <f t="shared" si="934"/>
        <v>0</v>
      </c>
      <c r="DW341" s="140">
        <f>'Detailed Budget'!$AC$194</f>
        <v>2684962805.4134097</v>
      </c>
      <c r="DX341" s="269">
        <f t="shared" si="935"/>
        <v>0</v>
      </c>
      <c r="DY341" s="607">
        <f t="shared" si="906"/>
        <v>0</v>
      </c>
      <c r="DZ341" s="196">
        <f>'Detailed Budget'!$AC$198</f>
        <v>18732540018.380611</v>
      </c>
      <c r="EA341" s="269">
        <f t="shared" si="936"/>
        <v>24634892.528673407</v>
      </c>
      <c r="EB341" s="196">
        <f>'Detailed Budget'!$AC$200</f>
        <v>4683135004.5951529</v>
      </c>
      <c r="EC341" s="269">
        <f t="shared" si="937"/>
        <v>6158723.1321683517</v>
      </c>
      <c r="ED341" s="269">
        <f t="shared" si="907"/>
        <v>30793615.660841759</v>
      </c>
      <c r="EE341" s="196">
        <f>'Detailed Budget'!$AC$161</f>
        <v>251147290106.36197</v>
      </c>
      <c r="EF341" s="269">
        <f t="shared" si="938"/>
        <v>378067731.38936394</v>
      </c>
      <c r="EG341" s="196">
        <f>'Detailed Budget'!$AC$163</f>
        <v>15696705631.647623</v>
      </c>
      <c r="EH341" s="269">
        <f t="shared" si="939"/>
        <v>23629233.211835247</v>
      </c>
      <c r="EI341" s="269">
        <f t="shared" si="908"/>
        <v>401696964.60119921</v>
      </c>
      <c r="EJ341" s="196">
        <f>'Detailed Budget'!$AC$204</f>
        <v>45012172507.531975</v>
      </c>
      <c r="EK341" s="269">
        <f t="shared" si="940"/>
        <v>90230299.155482829</v>
      </c>
      <c r="EL341" s="201">
        <f>'Detailed Budget'!$AC$206</f>
        <v>11253043126.882994</v>
      </c>
      <c r="EM341" s="269">
        <f t="shared" si="941"/>
        <v>22557574.788870707</v>
      </c>
      <c r="EN341" s="269">
        <f t="shared" si="909"/>
        <v>112787873.94435354</v>
      </c>
      <c r="EO341" s="140">
        <f>'Detailed Budget'!$AC$209</f>
        <v>135789361677.54817</v>
      </c>
      <c r="EP341" s="269">
        <f t="shared" si="942"/>
        <v>216712995.80340993</v>
      </c>
      <c r="EQ341" s="196">
        <f>'Detailed Budget'!$AC$211</f>
        <v>33947340419.387043</v>
      </c>
      <c r="ER341" s="269">
        <f t="shared" si="943"/>
        <v>54178248.950852484</v>
      </c>
      <c r="ES341" s="269">
        <f t="shared" si="910"/>
        <v>270891244.75426245</v>
      </c>
      <c r="ET341" s="196">
        <f>'Detailed Budget'!$AC$214</f>
        <v>22239745544.201103</v>
      </c>
      <c r="EU341" s="269">
        <f t="shared" si="944"/>
        <v>34470309.715401545</v>
      </c>
      <c r="EV341" s="140">
        <f>'Detailed Budget'!$AC$217</f>
        <v>5559936386.0502758</v>
      </c>
      <c r="EW341" s="269">
        <f t="shared" si="945"/>
        <v>8617577.4288503863</v>
      </c>
      <c r="EX341" s="269">
        <f t="shared" si="911"/>
        <v>43087887.144251928</v>
      </c>
      <c r="EY341" s="196">
        <f>'Detailed Budget'!$AC$219</f>
        <v>372777004.58170313</v>
      </c>
      <c r="EZ341" s="269">
        <f t="shared" si="946"/>
        <v>604865.61531436315</v>
      </c>
      <c r="FA341" s="196">
        <f>'Detailed Budget'!$AC$222</f>
        <v>93194251.145425782</v>
      </c>
      <c r="FB341" s="269">
        <f t="shared" si="947"/>
        <v>151216.40382859079</v>
      </c>
      <c r="FC341" s="269">
        <f t="shared" si="912"/>
        <v>756082.01914295391</v>
      </c>
      <c r="FD341" s="269"/>
      <c r="FE341" s="269">
        <f t="shared" si="913"/>
        <v>427523087.86201084</v>
      </c>
      <c r="FF341" s="140">
        <f>'Detailed Budget'!$AC$165</f>
        <v>14927760000</v>
      </c>
      <c r="FG341" s="1087">
        <f t="shared" si="972"/>
        <v>583169791.24439776</v>
      </c>
      <c r="FH341" s="269">
        <f t="shared" si="948"/>
        <v>16961436.200431772</v>
      </c>
      <c r="FJ341" s="140">
        <f>'Detailed Budget'!$AC$235</f>
        <v>3623696172</v>
      </c>
      <c r="FK341" s="269">
        <f t="shared" si="949"/>
        <v>4681778</v>
      </c>
      <c r="FL341" s="269">
        <f t="shared" si="973"/>
        <v>4681778</v>
      </c>
      <c r="FO341" s="607"/>
      <c r="FP341" s="607"/>
      <c r="FQ341" s="607"/>
      <c r="FR341" s="269">
        <f>'Detailed Budget'!$AC$257</f>
        <v>13636439388</v>
      </c>
      <c r="FS341" s="269">
        <f t="shared" si="950"/>
        <v>14490372</v>
      </c>
      <c r="FT341" s="269">
        <f t="shared" si="974"/>
        <v>14490372</v>
      </c>
      <c r="FU341" s="269"/>
      <c r="FV341" s="269"/>
      <c r="FW341" s="269"/>
      <c r="FX341" s="140">
        <f>'Detailed Budget'!$AC$278</f>
        <v>1114560000</v>
      </c>
      <c r="FY341" s="269">
        <f t="shared" si="951"/>
        <v>1440000</v>
      </c>
      <c r="FZ341" s="269">
        <f t="shared" si="975"/>
        <v>1440000</v>
      </c>
      <c r="GB341" s="269">
        <f t="shared" si="983"/>
        <v>3151177262.2273707</v>
      </c>
      <c r="GC341" s="887">
        <f t="shared" si="914"/>
        <v>1969485.7888921066</v>
      </c>
      <c r="GD341" s="1078">
        <f t="shared" si="984"/>
        <v>1.7682247895810261E-3</v>
      </c>
    </row>
    <row r="342" spans="1:186" hidden="1" outlineLevel="1">
      <c r="A342" s="211" t="s">
        <v>827</v>
      </c>
      <c r="B342" s="212" t="s">
        <v>828</v>
      </c>
      <c r="C342" s="213" t="s">
        <v>215</v>
      </c>
      <c r="D342" s="214" t="s">
        <v>215</v>
      </c>
      <c r="E342" s="213"/>
      <c r="F342" s="213"/>
      <c r="G342" s="213"/>
      <c r="H342" s="213" t="s">
        <v>215</v>
      </c>
      <c r="I342" s="214" t="s">
        <v>215</v>
      </c>
      <c r="J342" s="214"/>
      <c r="K342" s="213" t="s">
        <v>215</v>
      </c>
      <c r="L342" s="213"/>
      <c r="M342" s="214"/>
      <c r="N342" s="213"/>
      <c r="O342" s="214"/>
      <c r="P342" s="213"/>
      <c r="Q342" s="214"/>
      <c r="R342" s="214" t="s">
        <v>215</v>
      </c>
      <c r="S342" s="214"/>
      <c r="T342" s="213"/>
      <c r="U342" s="215">
        <f t="shared" si="952"/>
        <v>6</v>
      </c>
      <c r="V342" s="845" t="s">
        <v>219</v>
      </c>
      <c r="W342" s="216">
        <v>282328</v>
      </c>
      <c r="X342" s="217">
        <v>3.36</v>
      </c>
      <c r="Y342" s="218">
        <f t="shared" si="986"/>
        <v>1.0336000000000001</v>
      </c>
      <c r="Z342" s="196">
        <v>19</v>
      </c>
      <c r="AA342" s="218">
        <f t="shared" si="987"/>
        <v>1.873689022502546</v>
      </c>
      <c r="AB342" s="196">
        <f t="shared" si="988"/>
        <v>528994.87434509885</v>
      </c>
      <c r="AC342">
        <v>19.3</v>
      </c>
      <c r="AD342" s="196">
        <f t="shared" si="989"/>
        <v>102096.01074860409</v>
      </c>
      <c r="AE342" s="196">
        <f t="shared" si="849"/>
        <v>96991.210211173879</v>
      </c>
      <c r="AF342" s="196">
        <f t="shared" si="953"/>
        <v>96991.210211173879</v>
      </c>
      <c r="AG342" s="606">
        <f t="shared" si="917"/>
        <v>4.4844477607735274E-3</v>
      </c>
      <c r="AH342" s="196">
        <f t="shared" si="967"/>
        <v>26449.743717254943</v>
      </c>
      <c r="AI342" s="248">
        <f t="shared" si="896"/>
        <v>2.0490215704996092E-3</v>
      </c>
      <c r="AJ342" s="196">
        <f t="shared" si="897"/>
        <v>128545.75446585903</v>
      </c>
      <c r="AK342" s="196">
        <f t="shared" si="926"/>
        <v>21159.794973803953</v>
      </c>
      <c r="AL342" s="196">
        <f t="shared" si="927"/>
        <v>21159.794973803953</v>
      </c>
      <c r="AM342" s="196">
        <f t="shared" si="898"/>
        <v>42319.589947607907</v>
      </c>
      <c r="AN342" s="627">
        <f t="shared" si="899"/>
        <v>2.0490215704996092E-3</v>
      </c>
      <c r="AO342" s="196">
        <f t="shared" si="900"/>
        <v>20101.805225113756</v>
      </c>
      <c r="AP342" s="589">
        <f t="shared" si="918"/>
        <v>2.0490215704996092E-3</v>
      </c>
      <c r="AQ342" s="196"/>
      <c r="AR342" s="589"/>
      <c r="AS342">
        <v>1</v>
      </c>
      <c r="AT342" s="589">
        <f t="shared" si="919"/>
        <v>1.2919896640826874E-3</v>
      </c>
      <c r="AU342" s="196">
        <v>11</v>
      </c>
      <c r="AV342" s="245">
        <f t="shared" si="901"/>
        <v>1.2498579706851495E-3</v>
      </c>
      <c r="AX342" s="245"/>
      <c r="AY342" s="245"/>
      <c r="AZ342" s="196">
        <v>27</v>
      </c>
      <c r="BA342" s="589">
        <f t="shared" si="977"/>
        <v>9.8933714411344391E-4</v>
      </c>
      <c r="BI342" s="196">
        <v>1</v>
      </c>
      <c r="BJ342" s="196">
        <f t="shared" si="954"/>
        <v>293886.03796607949</v>
      </c>
      <c r="BK342" s="246">
        <f t="shared" si="978"/>
        <v>5.6042294313498192E-3</v>
      </c>
      <c r="BL342" s="196">
        <f t="shared" si="968"/>
        <v>5877.7207593215899</v>
      </c>
      <c r="BM342" s="246">
        <f t="shared" si="979"/>
        <v>5.6042287901342481E-3</v>
      </c>
      <c r="BN342" s="196">
        <v>0</v>
      </c>
      <c r="BO342" s="196">
        <f t="shared" si="955"/>
        <v>36844.551385136525</v>
      </c>
      <c r="BP342" s="196">
        <f t="shared" si="902"/>
        <v>0</v>
      </c>
      <c r="BQ342" s="248">
        <f t="shared" si="980"/>
        <v>0</v>
      </c>
      <c r="BR342" s="248"/>
      <c r="BS342" s="248"/>
      <c r="BT342" s="276">
        <v>1</v>
      </c>
      <c r="BU342" s="196">
        <f t="shared" si="969"/>
        <v>77184.58412594469</v>
      </c>
      <c r="BV342" s="264">
        <f t="shared" si="981"/>
        <v>5.3536689546805124E-3</v>
      </c>
      <c r="BW342" s="196">
        <f t="shared" si="970"/>
        <v>330178.49876098568</v>
      </c>
      <c r="BX342" s="247">
        <f t="shared" si="982"/>
        <v>5.3536690029065684E-3</v>
      </c>
      <c r="BY342" s="196">
        <f t="shared" si="985"/>
        <v>407363.08288693038</v>
      </c>
      <c r="BZ342" s="620">
        <v>0</v>
      </c>
      <c r="CA342" s="196">
        <f t="shared" si="956"/>
        <v>161872.43154960027</v>
      </c>
      <c r="CB342" s="196">
        <f t="shared" si="957"/>
        <v>323744.86309920053</v>
      </c>
      <c r="CC342" s="196">
        <f t="shared" si="915"/>
        <v>485617.2946488008</v>
      </c>
      <c r="CD342" s="247">
        <f t="shared" si="903"/>
        <v>2.0490215704996096E-3</v>
      </c>
      <c r="CE342" s="196">
        <f t="shared" si="958"/>
        <v>41452.001235660209</v>
      </c>
      <c r="CF342" s="247">
        <f t="shared" si="904"/>
        <v>1.7900263268274038E-3</v>
      </c>
      <c r="CG342" s="196">
        <f t="shared" si="929"/>
        <v>80407.220900455024</v>
      </c>
      <c r="CH342" s="589">
        <f t="shared" si="920"/>
        <v>2.0490215704996092E-3</v>
      </c>
      <c r="CI342" s="196">
        <f t="shared" si="959"/>
        <v>165968.66167823298</v>
      </c>
      <c r="CJ342" s="248">
        <f t="shared" si="921"/>
        <v>2.7285243767059862E-3</v>
      </c>
      <c r="CK342" s="196">
        <f t="shared" si="960"/>
        <v>151116.03739828087</v>
      </c>
      <c r="CL342" s="589">
        <f t="shared" si="922"/>
        <v>2.1723241208430515E-3</v>
      </c>
      <c r="CM342" s="196">
        <f t="shared" si="961"/>
        <v>14639.375695270297</v>
      </c>
      <c r="CN342" s="589">
        <f t="shared" si="923"/>
        <v>2.1097004090846502E-3</v>
      </c>
      <c r="CO342" s="196">
        <f t="shared" si="962"/>
        <v>1171.1404457713072</v>
      </c>
      <c r="CP342" s="589">
        <f t="shared" si="924"/>
        <v>2.2085904918876698E-3</v>
      </c>
      <c r="CQ342" s="196">
        <f>'Detailed Budget'!$AC$12</f>
        <v>292876014141.44696</v>
      </c>
      <c r="CR342" s="269">
        <f t="shared" si="925"/>
        <v>1641344378.187923</v>
      </c>
      <c r="CS342" s="269">
        <f>'Detailed Budget'!$AC$16</f>
        <v>10488008800.000002</v>
      </c>
      <c r="CT342" s="607">
        <f t="shared" si="931"/>
        <v>58777200.868141361</v>
      </c>
      <c r="CU342" s="269">
        <f>'Detailed Budget'!$AC$24</f>
        <v>30624985696</v>
      </c>
      <c r="CV342" s="269">
        <f t="shared" si="976"/>
        <v>171629446.17219043</v>
      </c>
      <c r="CW342" s="269"/>
      <c r="CX342" s="269">
        <f t="shared" si="916"/>
        <v>1871751025.2282548</v>
      </c>
      <c r="CY342" s="196">
        <f>'Detailed Budget'!$AC$97</f>
        <v>74629165494.837845</v>
      </c>
      <c r="CZ342" s="269">
        <f t="shared" si="932"/>
        <v>0</v>
      </c>
      <c r="DA342" s="269">
        <f>'Detailed Budget'!$AC$100</f>
        <v>14925833098.967569</v>
      </c>
      <c r="DB342" s="269">
        <f t="shared" si="933"/>
        <v>0</v>
      </c>
      <c r="DC342" s="269">
        <f t="shared" si="905"/>
        <v>0</v>
      </c>
      <c r="DD342" s="207">
        <v>0</v>
      </c>
      <c r="DE342" s="606">
        <v>0</v>
      </c>
      <c r="DF342" s="269">
        <f>'Detailed Budget'!$AC$147</f>
        <v>5913600671000</v>
      </c>
      <c r="DG342" s="269">
        <f t="shared" si="971"/>
        <v>0</v>
      </c>
      <c r="DH342" s="269">
        <f>'Detailed Budget'!$AC$153</f>
        <v>226428026880.00003</v>
      </c>
      <c r="DI342" s="269"/>
      <c r="DJ342" s="269">
        <f>'Detailed Budget'!$AC$156</f>
        <v>27713070000</v>
      </c>
      <c r="DK342" s="269"/>
      <c r="DL342" s="269"/>
      <c r="DM342" s="196">
        <f>'Detailed Budget'!$AC$178</f>
        <v>5622683761.6229038</v>
      </c>
      <c r="DN342" s="269">
        <f t="shared" si="963"/>
        <v>30101987.496586781</v>
      </c>
      <c r="DO342" s="196">
        <f>'Detailed Budget'!$AC$179</f>
        <v>26827890683.128094</v>
      </c>
      <c r="DP342" s="269">
        <f t="shared" si="964"/>
        <v>143627646.76362881</v>
      </c>
      <c r="DQ342" s="269">
        <f t="shared" si="870"/>
        <v>173729634.26021558</v>
      </c>
      <c r="DR342" s="269">
        <f>'Detailed Budget'!$AC$181</f>
        <v>50888946855.375237</v>
      </c>
      <c r="DS342" s="269">
        <f t="shared" si="965"/>
        <v>228208823.77371052</v>
      </c>
      <c r="DT342" s="269">
        <f t="shared" si="966"/>
        <v>401938458.03392613</v>
      </c>
      <c r="DU342" s="272">
        <f>'Detailed Budget'!$AC$192</f>
        <v>77498869683.252869</v>
      </c>
      <c r="DV342" s="269">
        <f t="shared" si="934"/>
        <v>0</v>
      </c>
      <c r="DW342" s="140">
        <f>'Detailed Budget'!$AC$194</f>
        <v>2684962805.4134097</v>
      </c>
      <c r="DX342" s="269">
        <f t="shared" si="935"/>
        <v>0</v>
      </c>
      <c r="DY342" s="607">
        <f t="shared" si="906"/>
        <v>0</v>
      </c>
      <c r="DZ342" s="196">
        <f>'Detailed Budget'!$AC$198</f>
        <v>18732540018.380611</v>
      </c>
      <c r="EA342" s="269">
        <f t="shared" si="936"/>
        <v>33531739.801249195</v>
      </c>
      <c r="EB342" s="196">
        <f>'Detailed Budget'!$AC$200</f>
        <v>4683135004.5951529</v>
      </c>
      <c r="EC342" s="269">
        <f t="shared" si="937"/>
        <v>8382934.9503122987</v>
      </c>
      <c r="ED342" s="269">
        <f t="shared" si="907"/>
        <v>41914674.751561493</v>
      </c>
      <c r="EE342" s="196">
        <f>'Detailed Budget'!$AC$161</f>
        <v>251147290106.36197</v>
      </c>
      <c r="EF342" s="269">
        <f t="shared" si="938"/>
        <v>514606214.80045879</v>
      </c>
      <c r="EG342" s="196">
        <f>'Detailed Budget'!$AC$163</f>
        <v>15696705631.647623</v>
      </c>
      <c r="EH342" s="269">
        <f t="shared" si="939"/>
        <v>32162888.425028674</v>
      </c>
      <c r="EI342" s="269">
        <f t="shared" si="908"/>
        <v>546769103.22548747</v>
      </c>
      <c r="EJ342" s="196">
        <f>'Detailed Budget'!$AC$204</f>
        <v>45012172507.531975</v>
      </c>
      <c r="EK342" s="269">
        <f t="shared" si="940"/>
        <v>122816809.93529601</v>
      </c>
      <c r="EL342" s="201">
        <f>'Detailed Budget'!$AC$206</f>
        <v>11253043126.882994</v>
      </c>
      <c r="EM342" s="269">
        <f t="shared" si="941"/>
        <v>30704202.483824003</v>
      </c>
      <c r="EN342" s="269">
        <f t="shared" si="909"/>
        <v>153521012.41912001</v>
      </c>
      <c r="EO342" s="140">
        <f>'Detailed Budget'!$AC$209</f>
        <v>135789361677.54817</v>
      </c>
      <c r="EP342" s="269">
        <f t="shared" si="942"/>
        <v>294978505.72601897</v>
      </c>
      <c r="EQ342" s="196">
        <f>'Detailed Budget'!$AC$211</f>
        <v>33947340419.387043</v>
      </c>
      <c r="ER342" s="269">
        <f t="shared" si="943"/>
        <v>73744626.431504741</v>
      </c>
      <c r="ES342" s="269">
        <f t="shared" si="910"/>
        <v>368723132.15752369</v>
      </c>
      <c r="ET342" s="196">
        <f>'Detailed Budget'!$AC$214</f>
        <v>22239745544.201103</v>
      </c>
      <c r="EU342" s="269">
        <f t="shared" si="944"/>
        <v>46919200.272539593</v>
      </c>
      <c r="EV342" s="140">
        <f>'Detailed Budget'!$AC$217</f>
        <v>5559936386.0502758</v>
      </c>
      <c r="EW342" s="269">
        <f t="shared" si="945"/>
        <v>11729800.068134898</v>
      </c>
      <c r="EX342" s="269">
        <f t="shared" si="911"/>
        <v>58649000.34067449</v>
      </c>
      <c r="EY342" s="196">
        <f>'Detailed Budget'!$AC$219</f>
        <v>372777004.58170313</v>
      </c>
      <c r="EZ342" s="269">
        <f t="shared" si="946"/>
        <v>823311.74791351589</v>
      </c>
      <c r="FA342" s="196">
        <f>'Detailed Budget'!$AC$222</f>
        <v>93194251.145425782</v>
      </c>
      <c r="FB342" s="269">
        <f t="shared" si="947"/>
        <v>205827.93697837897</v>
      </c>
      <c r="FC342" s="269">
        <f t="shared" si="912"/>
        <v>1029139.6848918949</v>
      </c>
      <c r="FD342" s="269"/>
      <c r="FE342" s="269">
        <f t="shared" si="913"/>
        <v>581922284.60221016</v>
      </c>
      <c r="FF342" s="140">
        <f>'Detailed Budget'!$AC$165</f>
        <v>14927760000</v>
      </c>
      <c r="FG342" s="1087">
        <f t="shared" si="972"/>
        <v>793780515.87582803</v>
      </c>
      <c r="FH342" s="269">
        <f t="shared" si="948"/>
        <v>18657579.820474949</v>
      </c>
      <c r="FJ342" s="140">
        <f>'Detailed Budget'!$AC$235</f>
        <v>3623696172</v>
      </c>
      <c r="FK342" s="269">
        <f t="shared" si="949"/>
        <v>4681778</v>
      </c>
      <c r="FL342" s="269">
        <f t="shared" si="973"/>
        <v>4681778</v>
      </c>
      <c r="FO342" s="607"/>
      <c r="FP342" s="607"/>
      <c r="FQ342" s="607"/>
      <c r="FR342" s="269">
        <f>'Detailed Budget'!$AC$257</f>
        <v>13636439388</v>
      </c>
      <c r="FS342" s="269">
        <f t="shared" si="950"/>
        <v>13491035.999999998</v>
      </c>
      <c r="FT342" s="269">
        <f t="shared" si="974"/>
        <v>13491035.999999998</v>
      </c>
      <c r="FU342" s="269"/>
      <c r="FV342" s="269"/>
      <c r="FW342" s="269"/>
      <c r="FX342" s="140">
        <f>'Detailed Budget'!$AC$278</f>
        <v>1114560000</v>
      </c>
      <c r="FY342" s="269">
        <f t="shared" si="951"/>
        <v>1440000</v>
      </c>
      <c r="FZ342" s="269">
        <f t="shared" si="975"/>
        <v>1440000</v>
      </c>
      <c r="GB342" s="269">
        <f t="shared" si="983"/>
        <v>4276346455.5377431</v>
      </c>
      <c r="GC342" s="887">
        <f t="shared" si="914"/>
        <v>2672716.5347110895</v>
      </c>
      <c r="GD342" s="1078">
        <f t="shared" si="984"/>
        <v>2.3995926545160493E-3</v>
      </c>
    </row>
    <row r="343" spans="1:186" hidden="1" outlineLevel="1">
      <c r="A343" s="211" t="s">
        <v>829</v>
      </c>
      <c r="B343" s="212" t="s">
        <v>830</v>
      </c>
      <c r="C343" s="213" t="s">
        <v>215</v>
      </c>
      <c r="D343" s="214" t="s">
        <v>215</v>
      </c>
      <c r="E343" s="213"/>
      <c r="F343" s="213"/>
      <c r="G343" s="213"/>
      <c r="H343" s="213" t="s">
        <v>215</v>
      </c>
      <c r="I343" s="214" t="s">
        <v>215</v>
      </c>
      <c r="J343" s="214"/>
      <c r="K343" s="213" t="s">
        <v>215</v>
      </c>
      <c r="L343" s="213"/>
      <c r="M343" s="214"/>
      <c r="N343" s="213"/>
      <c r="O343" s="214"/>
      <c r="P343" s="213"/>
      <c r="Q343" s="214" t="s">
        <v>215</v>
      </c>
      <c r="R343" s="214"/>
      <c r="S343" s="214"/>
      <c r="T343" s="213"/>
      <c r="U343" s="215">
        <f t="shared" si="952"/>
        <v>6</v>
      </c>
      <c r="V343" s="845" t="s">
        <v>265</v>
      </c>
      <c r="W343" s="216">
        <v>357827</v>
      </c>
      <c r="X343" s="217">
        <v>3.36</v>
      </c>
      <c r="Y343" s="218">
        <f t="shared" si="986"/>
        <v>1.0336000000000001</v>
      </c>
      <c r="Z343" s="196">
        <v>19</v>
      </c>
      <c r="AA343" s="218">
        <f t="shared" si="987"/>
        <v>1.873689022502546</v>
      </c>
      <c r="AB343" s="196">
        <f t="shared" si="988"/>
        <v>670456.52185501857</v>
      </c>
      <c r="AC343">
        <v>19.3</v>
      </c>
      <c r="AD343" s="196">
        <f t="shared" si="989"/>
        <v>129398.10871801859</v>
      </c>
      <c r="AE343" s="196">
        <f t="shared" si="849"/>
        <v>122928.20328211765</v>
      </c>
      <c r="AF343" s="196">
        <f t="shared" si="953"/>
        <v>122928.20328211765</v>
      </c>
      <c r="AG343" s="606">
        <f t="shared" si="917"/>
        <v>5.6836604548408543E-3</v>
      </c>
      <c r="AH343" s="196">
        <f t="shared" si="967"/>
        <v>33522.826092750933</v>
      </c>
      <c r="AI343" s="248">
        <f t="shared" si="896"/>
        <v>2.596962545362712E-3</v>
      </c>
      <c r="AJ343" s="196">
        <f t="shared" si="897"/>
        <v>162920.93481076951</v>
      </c>
      <c r="AK343" s="196">
        <f t="shared" si="926"/>
        <v>26818.260874200743</v>
      </c>
      <c r="AL343" s="196">
        <f t="shared" si="927"/>
        <v>26818.260874200743</v>
      </c>
      <c r="AM343" s="196">
        <f t="shared" si="898"/>
        <v>53636.521748401487</v>
      </c>
      <c r="AN343" s="627">
        <f t="shared" si="899"/>
        <v>2.5969625453627116E-3</v>
      </c>
      <c r="AO343" s="196">
        <f t="shared" si="900"/>
        <v>25477.347830490704</v>
      </c>
      <c r="AP343" s="589">
        <f t="shared" si="918"/>
        <v>2.5969625453627116E-3</v>
      </c>
      <c r="AQ343" s="196"/>
      <c r="AR343" s="589"/>
      <c r="AS343">
        <v>1</v>
      </c>
      <c r="AT343" s="589">
        <f t="shared" si="919"/>
        <v>1.2919896640826874E-3</v>
      </c>
      <c r="AU343" s="196">
        <v>10</v>
      </c>
      <c r="AV343" s="245">
        <f t="shared" si="901"/>
        <v>1.1362345188046814E-3</v>
      </c>
      <c r="AX343" s="245"/>
      <c r="AY343" s="245"/>
      <c r="AZ343" s="196">
        <v>25</v>
      </c>
      <c r="BA343" s="589">
        <f t="shared" si="977"/>
        <v>9.1605291121615189E-4</v>
      </c>
      <c r="BI343" s="196">
        <v>1</v>
      </c>
      <c r="BJ343" s="196">
        <f t="shared" si="954"/>
        <v>372475.8412459562</v>
      </c>
      <c r="BK343" s="246">
        <f t="shared" si="978"/>
        <v>7.1028895636692487E-3</v>
      </c>
      <c r="BL343" s="196">
        <f t="shared" si="968"/>
        <v>7449.5168249191238</v>
      </c>
      <c r="BM343" s="246">
        <f t="shared" si="979"/>
        <v>7.1028887509824298E-3</v>
      </c>
      <c r="BN343" s="196">
        <v>0</v>
      </c>
      <c r="BO343" s="196">
        <f t="shared" si="955"/>
        <v>46697.370747815468</v>
      </c>
      <c r="BP343" s="196">
        <f t="shared" si="902"/>
        <v>0</v>
      </c>
      <c r="BQ343" s="248">
        <f t="shared" si="980"/>
        <v>0</v>
      </c>
      <c r="BR343" s="248"/>
      <c r="BS343" s="248"/>
      <c r="BT343" s="276">
        <v>1</v>
      </c>
      <c r="BU343" s="196">
        <f t="shared" si="969"/>
        <v>97824.970190822045</v>
      </c>
      <c r="BV343" s="264">
        <f t="shared" si="981"/>
        <v>6.7853252282680547E-3</v>
      </c>
      <c r="BW343" s="196">
        <f t="shared" si="970"/>
        <v>418473.48359407211</v>
      </c>
      <c r="BX343" s="247">
        <f t="shared" si="982"/>
        <v>6.7853252893905246E-3</v>
      </c>
      <c r="BY343" s="196">
        <f t="shared" si="985"/>
        <v>516298.45378489414</v>
      </c>
      <c r="BZ343" s="620">
        <v>0</v>
      </c>
      <c r="CA343" s="196">
        <f t="shared" si="956"/>
        <v>205159.69568763571</v>
      </c>
      <c r="CB343" s="196">
        <f t="shared" si="957"/>
        <v>410319.39137527143</v>
      </c>
      <c r="CC343" s="196">
        <f t="shared" si="915"/>
        <v>615479.08706290717</v>
      </c>
      <c r="CD343" s="247">
        <f t="shared" si="903"/>
        <v>2.596962545362712E-3</v>
      </c>
      <c r="CE343" s="196">
        <f t="shared" si="958"/>
        <v>52536.926008587841</v>
      </c>
      <c r="CF343" s="247">
        <f t="shared" si="904"/>
        <v>2.268707852036176E-3</v>
      </c>
      <c r="CG343" s="196">
        <f t="shared" si="929"/>
        <v>101909.39132196282</v>
      </c>
      <c r="CH343" s="589">
        <f t="shared" si="920"/>
        <v>2.5969625453627116E-3</v>
      </c>
      <c r="CI343" s="196">
        <f t="shared" si="959"/>
        <v>210351.32293763664</v>
      </c>
      <c r="CJ343" s="248">
        <f t="shared" si="921"/>
        <v>3.458175215152493E-3</v>
      </c>
      <c r="CK343" s="196">
        <f t="shared" si="960"/>
        <v>191526.87056938966</v>
      </c>
      <c r="CL343" s="589">
        <f t="shared" si="922"/>
        <v>2.753238159831496E-3</v>
      </c>
      <c r="CM343" s="196">
        <f t="shared" si="961"/>
        <v>18554.177718509975</v>
      </c>
      <c r="CN343" s="589">
        <f t="shared" si="923"/>
        <v>2.6738678709923675E-3</v>
      </c>
      <c r="CO343" s="196">
        <f t="shared" si="962"/>
        <v>1484.3220378035815</v>
      </c>
      <c r="CP343" s="589">
        <f t="shared" si="924"/>
        <v>2.7992027356149207E-3</v>
      </c>
      <c r="CQ343" s="196">
        <f>'Detailed Budget'!$AC$12</f>
        <v>292876014141.44696</v>
      </c>
      <c r="CR343" s="269">
        <f t="shared" si="925"/>
        <v>2080265984.2943308</v>
      </c>
      <c r="CS343" s="269">
        <f>'Detailed Budget'!$AC$16</f>
        <v>10488008800.000002</v>
      </c>
      <c r="CT343" s="607">
        <f t="shared" si="931"/>
        <v>74495159.725724742</v>
      </c>
      <c r="CU343" s="269">
        <f>'Detailed Budget'!$AC$24</f>
        <v>30624985696</v>
      </c>
      <c r="CV343" s="269">
        <f t="shared" si="976"/>
        <v>217525891.28763843</v>
      </c>
      <c r="CW343" s="269"/>
      <c r="CX343" s="269">
        <f t="shared" si="916"/>
        <v>2372287035.3076944</v>
      </c>
      <c r="CY343" s="196">
        <f>'Detailed Budget'!$AC$97</f>
        <v>74629165494.837845</v>
      </c>
      <c r="CZ343" s="269">
        <f t="shared" si="932"/>
        <v>0</v>
      </c>
      <c r="DA343" s="269">
        <f>'Detailed Budget'!$AC$100</f>
        <v>14925833098.967569</v>
      </c>
      <c r="DB343" s="269">
        <f t="shared" si="933"/>
        <v>0</v>
      </c>
      <c r="DC343" s="269">
        <f t="shared" si="905"/>
        <v>0</v>
      </c>
      <c r="DD343" s="207">
        <v>0</v>
      </c>
      <c r="DE343" s="606">
        <v>0</v>
      </c>
      <c r="DF343" s="269">
        <f>'Detailed Budget'!$AC$147</f>
        <v>5913600671000</v>
      </c>
      <c r="DG343" s="269">
        <f t="shared" si="971"/>
        <v>0</v>
      </c>
      <c r="DH343" s="269">
        <f>'Detailed Budget'!$AC$153</f>
        <v>226428026880.00003</v>
      </c>
      <c r="DI343" s="269"/>
      <c r="DJ343" s="269">
        <f>'Detailed Budget'!$AC$156</f>
        <v>27713070000</v>
      </c>
      <c r="DK343" s="269"/>
      <c r="DL343" s="269"/>
      <c r="DM343" s="196">
        <f>'Detailed Budget'!$AC$178</f>
        <v>5622683761.6229038</v>
      </c>
      <c r="DN343" s="269">
        <f t="shared" si="963"/>
        <v>38151737.978313014</v>
      </c>
      <c r="DO343" s="196">
        <f>'Detailed Budget'!$AC$179</f>
        <v>26827890683.128094</v>
      </c>
      <c r="DP343" s="269">
        <f t="shared" si="964"/>
        <v>182035965.11323348</v>
      </c>
      <c r="DQ343" s="269">
        <f t="shared" si="870"/>
        <v>220187703.09154648</v>
      </c>
      <c r="DR343" s="269">
        <f>'Detailed Budget'!$AC$181</f>
        <v>50888946855.375237</v>
      </c>
      <c r="DS343" s="269">
        <f t="shared" si="965"/>
        <v>289235494.83039409</v>
      </c>
      <c r="DT343" s="269">
        <f t="shared" si="966"/>
        <v>509423197.92194057</v>
      </c>
      <c r="DU343" s="272">
        <f>'Detailed Budget'!$AC$192</f>
        <v>77498869683.252869</v>
      </c>
      <c r="DV343" s="269">
        <f t="shared" si="934"/>
        <v>0</v>
      </c>
      <c r="DW343" s="140">
        <f>'Detailed Budget'!$AC$194</f>
        <v>2684962805.4134097</v>
      </c>
      <c r="DX343" s="269">
        <f t="shared" si="935"/>
        <v>0</v>
      </c>
      <c r="DY343" s="607">
        <f t="shared" si="906"/>
        <v>0</v>
      </c>
      <c r="DZ343" s="196">
        <f>'Detailed Budget'!$AC$198</f>
        <v>18732540018.380611</v>
      </c>
      <c r="EA343" s="269">
        <f t="shared" si="936"/>
        <v>42498660.628281988</v>
      </c>
      <c r="EB343" s="196">
        <f>'Detailed Budget'!$AC$200</f>
        <v>4683135004.5951529</v>
      </c>
      <c r="EC343" s="269">
        <f t="shared" si="937"/>
        <v>10624665.157070497</v>
      </c>
      <c r="ED343" s="269">
        <f t="shared" si="907"/>
        <v>53123325.785352483</v>
      </c>
      <c r="EE343" s="196">
        <f>'Detailed Budget'!$AC$161</f>
        <v>251147290106.36197</v>
      </c>
      <c r="EF343" s="269">
        <f t="shared" si="938"/>
        <v>652220105.77556515</v>
      </c>
      <c r="EG343" s="196">
        <f>'Detailed Budget'!$AC$163</f>
        <v>15696705631.647623</v>
      </c>
      <c r="EH343" s="269">
        <f t="shared" si="939"/>
        <v>40763756.610972822</v>
      </c>
      <c r="EI343" s="269">
        <f t="shared" si="908"/>
        <v>692983862.38653803</v>
      </c>
      <c r="EJ343" s="196">
        <f>'Detailed Budget'!$AC$204</f>
        <v>45012172507.531975</v>
      </c>
      <c r="EK343" s="269">
        <f t="shared" si="940"/>
        <v>155659979.34571552</v>
      </c>
      <c r="EL343" s="201">
        <f>'Detailed Budget'!$AC$206</f>
        <v>11253043126.882994</v>
      </c>
      <c r="EM343" s="269">
        <f t="shared" si="941"/>
        <v>38914994.836428881</v>
      </c>
      <c r="EN343" s="269">
        <f t="shared" si="909"/>
        <v>194574974.1821444</v>
      </c>
      <c r="EO343" s="140">
        <f>'Detailed Budget'!$AC$209</f>
        <v>135789361677.54817</v>
      </c>
      <c r="EP343" s="269">
        <f t="shared" si="942"/>
        <v>373860452.26978618</v>
      </c>
      <c r="EQ343" s="196">
        <f>'Detailed Budget'!$AC$211</f>
        <v>33947340419.387043</v>
      </c>
      <c r="ER343" s="269">
        <f t="shared" si="943"/>
        <v>93465113.067446545</v>
      </c>
      <c r="ES343" s="269">
        <f t="shared" si="910"/>
        <v>467325565.33723271</v>
      </c>
      <c r="ET343" s="196">
        <f>'Detailed Budget'!$AC$214</f>
        <v>22239745544.201103</v>
      </c>
      <c r="EU343" s="269">
        <f t="shared" si="944"/>
        <v>59466141.069684997</v>
      </c>
      <c r="EV343" s="140">
        <f>'Detailed Budget'!$AC$217</f>
        <v>5559936386.0502758</v>
      </c>
      <c r="EW343" s="269">
        <f t="shared" si="945"/>
        <v>14866535.267421249</v>
      </c>
      <c r="EX343" s="269">
        <f t="shared" si="911"/>
        <v>74332676.337106243</v>
      </c>
      <c r="EY343" s="196">
        <f>'Detailed Budget'!$AC$219</f>
        <v>372777004.58170313</v>
      </c>
      <c r="EZ343" s="269">
        <f t="shared" si="946"/>
        <v>1043478.4109994392</v>
      </c>
      <c r="FA343" s="196">
        <f>'Detailed Budget'!$AC$222</f>
        <v>93194251.145425782</v>
      </c>
      <c r="FB343" s="269">
        <f t="shared" si="947"/>
        <v>260869.6027498598</v>
      </c>
      <c r="FC343" s="269">
        <f t="shared" si="912"/>
        <v>1304348.0137492991</v>
      </c>
      <c r="FD343" s="269"/>
      <c r="FE343" s="269">
        <f t="shared" si="913"/>
        <v>737537563.87023258</v>
      </c>
      <c r="FF343" s="140">
        <f>'Detailed Budget'!$AC$165</f>
        <v>14927760000</v>
      </c>
      <c r="FG343" s="1087">
        <f t="shared" si="972"/>
        <v>1006050057.5723976</v>
      </c>
      <c r="FH343" s="269">
        <f t="shared" si="948"/>
        <v>16961436.200431772</v>
      </c>
      <c r="FJ343" s="140">
        <f>'Detailed Budget'!$AC$235</f>
        <v>3623696172</v>
      </c>
      <c r="FK343" s="269">
        <f t="shared" si="949"/>
        <v>4681778</v>
      </c>
      <c r="FL343" s="269">
        <f t="shared" si="973"/>
        <v>4681778</v>
      </c>
      <c r="FO343" s="607"/>
      <c r="FP343" s="607"/>
      <c r="FQ343" s="607"/>
      <c r="FR343" s="269">
        <f>'Detailed Budget'!$AC$257</f>
        <v>13636439388</v>
      </c>
      <c r="FS343" s="269">
        <f t="shared" si="950"/>
        <v>12491700</v>
      </c>
      <c r="FT343" s="269">
        <f t="shared" si="974"/>
        <v>12491700</v>
      </c>
      <c r="FU343" s="269"/>
      <c r="FV343" s="269"/>
      <c r="FW343" s="269"/>
      <c r="FX343" s="140">
        <f>'Detailed Budget'!$AC$278</f>
        <v>1114560000</v>
      </c>
      <c r="FY343" s="269">
        <f t="shared" si="951"/>
        <v>1440000</v>
      </c>
      <c r="FZ343" s="269">
        <f t="shared" si="975"/>
        <v>1440000</v>
      </c>
      <c r="GB343" s="269">
        <f t="shared" si="983"/>
        <v>5406979957.0445881</v>
      </c>
      <c r="GC343" s="887">
        <f t="shared" si="914"/>
        <v>3379362.4731528675</v>
      </c>
      <c r="GD343" s="1078">
        <f t="shared" si="984"/>
        <v>3.0340267148462764E-3</v>
      </c>
    </row>
    <row r="344" spans="1:186" hidden="1" outlineLevel="1">
      <c r="A344" s="211" t="s">
        <v>831</v>
      </c>
      <c r="B344" s="212" t="s">
        <v>832</v>
      </c>
      <c r="C344" s="213" t="s">
        <v>215</v>
      </c>
      <c r="D344" s="214" t="s">
        <v>215</v>
      </c>
      <c r="E344" s="213"/>
      <c r="F344" s="213"/>
      <c r="G344" s="213"/>
      <c r="H344" s="213" t="s">
        <v>215</v>
      </c>
      <c r="I344" s="214" t="s">
        <v>215</v>
      </c>
      <c r="J344" s="214"/>
      <c r="K344" s="213" t="s">
        <v>215</v>
      </c>
      <c r="L344" s="213"/>
      <c r="M344" s="214"/>
      <c r="N344" s="213"/>
      <c r="O344" s="214"/>
      <c r="P344" s="213"/>
      <c r="Q344" s="214"/>
      <c r="R344" s="214" t="s">
        <v>215</v>
      </c>
      <c r="S344" s="214"/>
      <c r="T344" s="213"/>
      <c r="U344" s="215">
        <f t="shared" si="952"/>
        <v>6</v>
      </c>
      <c r="V344" s="845" t="s">
        <v>219</v>
      </c>
      <c r="W344" s="216">
        <v>183624</v>
      </c>
      <c r="X344" s="217">
        <v>3.36</v>
      </c>
      <c r="Y344" s="218">
        <f t="shared" si="986"/>
        <v>1.0336000000000001</v>
      </c>
      <c r="Z344" s="196">
        <v>19</v>
      </c>
      <c r="AA344" s="218">
        <f t="shared" si="987"/>
        <v>1.873689022502546</v>
      </c>
      <c r="AB344" s="196">
        <f t="shared" si="988"/>
        <v>344054.27306800749</v>
      </c>
      <c r="AC344">
        <v>19.3</v>
      </c>
      <c r="AD344" s="196">
        <f t="shared" si="989"/>
        <v>66402.474702125459</v>
      </c>
      <c r="AE344" s="196">
        <f t="shared" ref="AE344:AE409" si="990">AD344*0.95</f>
        <v>63082.350967019185</v>
      </c>
      <c r="AF344" s="196">
        <f t="shared" si="953"/>
        <v>63082.350967019185</v>
      </c>
      <c r="AG344" s="606">
        <f t="shared" si="917"/>
        <v>2.9166509720051788E-3</v>
      </c>
      <c r="AH344" s="196">
        <f t="shared" si="967"/>
        <v>17202.713653400377</v>
      </c>
      <c r="AI344" s="248">
        <f t="shared" si="896"/>
        <v>1.3326681620718464E-3</v>
      </c>
      <c r="AJ344" s="196">
        <f t="shared" si="897"/>
        <v>83605.188355525839</v>
      </c>
      <c r="AK344" s="196">
        <f t="shared" si="926"/>
        <v>13762.170922720299</v>
      </c>
      <c r="AL344" s="196">
        <f t="shared" si="927"/>
        <v>13762.170922720299</v>
      </c>
      <c r="AM344" s="196">
        <f t="shared" si="898"/>
        <v>27524.341845440598</v>
      </c>
      <c r="AN344" s="627">
        <f t="shared" si="899"/>
        <v>1.3326681620718461E-3</v>
      </c>
      <c r="AO344" s="196">
        <f t="shared" si="900"/>
        <v>13074.062376584285</v>
      </c>
      <c r="AP344" s="589">
        <f t="shared" si="918"/>
        <v>1.3326681620718461E-3</v>
      </c>
      <c r="AQ344" s="196"/>
      <c r="AR344" s="589"/>
      <c r="AS344">
        <v>1</v>
      </c>
      <c r="AT344" s="589">
        <f t="shared" si="919"/>
        <v>1.2919896640826874E-3</v>
      </c>
      <c r="AU344" s="196">
        <v>10</v>
      </c>
      <c r="AV344" s="245">
        <f t="shared" si="901"/>
        <v>1.1362345188046814E-3</v>
      </c>
      <c r="AX344" s="245"/>
      <c r="AY344" s="245"/>
      <c r="AZ344" s="196">
        <v>32</v>
      </c>
      <c r="BA344" s="589">
        <f t="shared" si="977"/>
        <v>1.1725477263566744E-3</v>
      </c>
      <c r="BI344" s="196">
        <v>1</v>
      </c>
      <c r="BJ344" s="196">
        <f t="shared" si="954"/>
        <v>191141.2606453606</v>
      </c>
      <c r="BK344" s="246">
        <f t="shared" si="978"/>
        <v>3.6449485176892798E-3</v>
      </c>
      <c r="BL344" s="196">
        <f t="shared" si="968"/>
        <v>3822.8252129072121</v>
      </c>
      <c r="BM344" s="246">
        <f t="shared" si="979"/>
        <v>3.6449481006475127E-3</v>
      </c>
      <c r="BN344" s="196">
        <v>0</v>
      </c>
      <c r="BO344" s="196">
        <f t="shared" si="955"/>
        <v>23963.418093651035</v>
      </c>
      <c r="BP344" s="196">
        <f t="shared" si="902"/>
        <v>0</v>
      </c>
      <c r="BQ344" s="248">
        <f t="shared" si="980"/>
        <v>0</v>
      </c>
      <c r="BR344" s="248"/>
      <c r="BS344" s="248"/>
      <c r="BT344" s="276">
        <v>1</v>
      </c>
      <c r="BU344" s="196">
        <f t="shared" si="969"/>
        <v>50200.270874806847</v>
      </c>
      <c r="BV344" s="264">
        <f t="shared" si="981"/>
        <v>3.4819858750611147E-3</v>
      </c>
      <c r="BW344" s="196">
        <f t="shared" si="970"/>
        <v>214745.60318667375</v>
      </c>
      <c r="BX344" s="247">
        <f t="shared" si="982"/>
        <v>3.4819859064269768E-3</v>
      </c>
      <c r="BY344" s="196">
        <f t="shared" si="985"/>
        <v>264945.87406148057</v>
      </c>
      <c r="BZ344" s="620">
        <v>0</v>
      </c>
      <c r="CA344" s="196">
        <f t="shared" si="956"/>
        <v>105280.6075588103</v>
      </c>
      <c r="CB344" s="196">
        <f t="shared" si="957"/>
        <v>210561.2151176206</v>
      </c>
      <c r="CC344" s="196">
        <f t="shared" si="915"/>
        <v>315841.82267643092</v>
      </c>
      <c r="CD344" s="247">
        <f t="shared" si="903"/>
        <v>1.3326681620718464E-3</v>
      </c>
      <c r="CE344" s="196">
        <f t="shared" si="958"/>
        <v>26960.068696327922</v>
      </c>
      <c r="CF344" s="247">
        <f t="shared" si="904"/>
        <v>1.1642196106562408E-3</v>
      </c>
      <c r="CG344" s="196">
        <f t="shared" si="929"/>
        <v>52296.249506337139</v>
      </c>
      <c r="CH344" s="589">
        <f t="shared" si="920"/>
        <v>1.3326681620718461E-3</v>
      </c>
      <c r="CI344" s="196">
        <f t="shared" si="959"/>
        <v>107944.76471339667</v>
      </c>
      <c r="CJ344" s="248">
        <f t="shared" si="921"/>
        <v>1.7746116578882013E-3</v>
      </c>
      <c r="CK344" s="196">
        <f t="shared" si="960"/>
        <v>98284.72999922758</v>
      </c>
      <c r="CL344" s="589">
        <f t="shared" si="922"/>
        <v>1.4128632100453532E-3</v>
      </c>
      <c r="CM344" s="196">
        <f t="shared" si="961"/>
        <v>9521.339444434534</v>
      </c>
      <c r="CN344" s="589">
        <f t="shared" si="923"/>
        <v>1.3721332206432229E-3</v>
      </c>
      <c r="CO344" s="196">
        <f t="shared" si="962"/>
        <v>761.70090538065836</v>
      </c>
      <c r="CP344" s="589">
        <f t="shared" si="924"/>
        <v>1.4364505840100221E-3</v>
      </c>
      <c r="CQ344" s="196">
        <f>'Detailed Budget'!$AC$12</f>
        <v>292876014141.44696</v>
      </c>
      <c r="CR344" s="269">
        <f t="shared" si="925"/>
        <v>1067517993.6116116</v>
      </c>
      <c r="CS344" s="269">
        <f>'Detailed Budget'!$AC$16</f>
        <v>10488008800.000002</v>
      </c>
      <c r="CT344" s="607">
        <f t="shared" si="931"/>
        <v>38228247.755134404</v>
      </c>
      <c r="CU344" s="269">
        <f>'Detailed Budget'!$AC$24</f>
        <v>30624985696</v>
      </c>
      <c r="CV344" s="269">
        <f t="shared" si="976"/>
        <v>111626496.21689059</v>
      </c>
      <c r="CW344" s="269"/>
      <c r="CX344" s="269">
        <f t="shared" si="916"/>
        <v>1217372737.5836365</v>
      </c>
      <c r="CY344" s="196">
        <f>'Detailed Budget'!$AC$97</f>
        <v>74629165494.837845</v>
      </c>
      <c r="CZ344" s="269">
        <f t="shared" si="932"/>
        <v>0</v>
      </c>
      <c r="DA344" s="269">
        <f>'Detailed Budget'!$AC$100</f>
        <v>14925833098.967569</v>
      </c>
      <c r="DB344" s="269">
        <f t="shared" si="933"/>
        <v>0</v>
      </c>
      <c r="DC344" s="269">
        <f t="shared" si="905"/>
        <v>0</v>
      </c>
      <c r="DD344" s="207">
        <v>0</v>
      </c>
      <c r="DE344" s="606">
        <v>0</v>
      </c>
      <c r="DF344" s="269">
        <f>'Detailed Budget'!$AC$147</f>
        <v>5913600671000</v>
      </c>
      <c r="DG344" s="269">
        <f t="shared" si="971"/>
        <v>0</v>
      </c>
      <c r="DH344" s="269">
        <f>'Detailed Budget'!$AC$153</f>
        <v>226428026880.00003</v>
      </c>
      <c r="DI344" s="269"/>
      <c r="DJ344" s="269">
        <f>'Detailed Budget'!$AC$156</f>
        <v>27713070000</v>
      </c>
      <c r="DK344" s="269"/>
      <c r="DL344" s="269"/>
      <c r="DM344" s="196">
        <f>'Detailed Budget'!$AC$178</f>
        <v>5622683761.6229038</v>
      </c>
      <c r="DN344" s="269">
        <f t="shared" si="963"/>
        <v>19578105.437906448</v>
      </c>
      <c r="DO344" s="196">
        <f>'Detailed Budget'!$AC$179</f>
        <v>26827890683.128094</v>
      </c>
      <c r="DP344" s="269">
        <f t="shared" si="964"/>
        <v>93414337.257815629</v>
      </c>
      <c r="DQ344" s="269">
        <f t="shared" si="870"/>
        <v>112992442.69572207</v>
      </c>
      <c r="DR344" s="269">
        <f>'Detailed Budget'!$AC$181</f>
        <v>50888946855.375237</v>
      </c>
      <c r="DS344" s="269">
        <f t="shared" si="965"/>
        <v>148425296.31005007</v>
      </c>
      <c r="DT344" s="269">
        <f t="shared" si="966"/>
        <v>261417739.00577214</v>
      </c>
      <c r="DU344" s="272">
        <f>'Detailed Budget'!$AC$192</f>
        <v>77498869683.252869</v>
      </c>
      <c r="DV344" s="269">
        <f t="shared" si="934"/>
        <v>0</v>
      </c>
      <c r="DW344" s="140">
        <f>'Detailed Budget'!$AC$194</f>
        <v>2684962805.4134097</v>
      </c>
      <c r="DX344" s="269">
        <f t="shared" si="935"/>
        <v>0</v>
      </c>
      <c r="DY344" s="607">
        <f t="shared" si="906"/>
        <v>0</v>
      </c>
      <c r="DZ344" s="196">
        <f>'Detailed Budget'!$AC$198</f>
        <v>18732540018.380611</v>
      </c>
      <c r="EA344" s="269">
        <f t="shared" si="936"/>
        <v>21808790.446801525</v>
      </c>
      <c r="EB344" s="196">
        <f>'Detailed Budget'!$AC$200</f>
        <v>4683135004.5951529</v>
      </c>
      <c r="EC344" s="269">
        <f t="shared" si="937"/>
        <v>5452197.6117003812</v>
      </c>
      <c r="ED344" s="269">
        <f t="shared" si="907"/>
        <v>27260988.058501907</v>
      </c>
      <c r="EE344" s="196">
        <f>'Detailed Budget'!$AC$161</f>
        <v>251147290106.36197</v>
      </c>
      <c r="EF344" s="269">
        <f t="shared" si="938"/>
        <v>334695997.51537013</v>
      </c>
      <c r="EG344" s="196">
        <f>'Detailed Budget'!$AC$163</f>
        <v>15696705631.647623</v>
      </c>
      <c r="EH344" s="269">
        <f t="shared" si="939"/>
        <v>20918499.844710633</v>
      </c>
      <c r="EI344" s="269">
        <f t="shared" si="908"/>
        <v>355614497.36008078</v>
      </c>
      <c r="EJ344" s="196">
        <f>'Detailed Budget'!$AC$204</f>
        <v>45012172507.531975</v>
      </c>
      <c r="EK344" s="269">
        <f t="shared" si="940"/>
        <v>79879126.078741029</v>
      </c>
      <c r="EL344" s="201">
        <f>'Detailed Budget'!$AC$206</f>
        <v>11253043126.882994</v>
      </c>
      <c r="EM344" s="269">
        <f t="shared" si="941"/>
        <v>19969781.519685257</v>
      </c>
      <c r="EN344" s="269">
        <f t="shared" si="909"/>
        <v>99848907.598426282</v>
      </c>
      <c r="EO344" s="140">
        <f>'Detailed Budget'!$AC$209</f>
        <v>135789361677.54817</v>
      </c>
      <c r="EP344" s="269">
        <f t="shared" si="942"/>
        <v>191851793.42975017</v>
      </c>
      <c r="EQ344" s="196">
        <f>'Detailed Budget'!$AC$211</f>
        <v>33947340419.387043</v>
      </c>
      <c r="ER344" s="269">
        <f t="shared" si="943"/>
        <v>47962948.357437544</v>
      </c>
      <c r="ES344" s="269">
        <f t="shared" si="910"/>
        <v>239814741.78718773</v>
      </c>
      <c r="ET344" s="196">
        <f>'Detailed Budget'!$AC$214</f>
        <v>22239745544.201103</v>
      </c>
      <c r="EU344" s="269">
        <f t="shared" si="944"/>
        <v>30515893.679850426</v>
      </c>
      <c r="EV344" s="140">
        <f>'Detailed Budget'!$AC$217</f>
        <v>5559936386.0502758</v>
      </c>
      <c r="EW344" s="269">
        <f t="shared" si="945"/>
        <v>7628973.4199626064</v>
      </c>
      <c r="EX344" s="269">
        <f t="shared" si="911"/>
        <v>38144867.099813029</v>
      </c>
      <c r="EY344" s="196">
        <f>'Detailed Budget'!$AC$219</f>
        <v>372777004.58170313</v>
      </c>
      <c r="EZ344" s="269">
        <f t="shared" si="946"/>
        <v>535475.74593689409</v>
      </c>
      <c r="FA344" s="196">
        <f>'Detailed Budget'!$AC$222</f>
        <v>93194251.145425782</v>
      </c>
      <c r="FB344" s="269">
        <f t="shared" si="947"/>
        <v>133868.93648422352</v>
      </c>
      <c r="FC344" s="269">
        <f t="shared" si="912"/>
        <v>669344.68242111756</v>
      </c>
      <c r="FD344" s="269"/>
      <c r="FE344" s="269">
        <f t="shared" si="913"/>
        <v>378477861.16784817</v>
      </c>
      <c r="FF344" s="140">
        <f>'Detailed Budget'!$AC$165</f>
        <v>14927760000</v>
      </c>
      <c r="FG344" s="1087">
        <f t="shared" si="972"/>
        <v>516268855.54101276</v>
      </c>
      <c r="FH344" s="269">
        <f t="shared" si="948"/>
        <v>16961436.200431772</v>
      </c>
      <c r="FJ344" s="140">
        <f>'Detailed Budget'!$AC$235</f>
        <v>3623696172</v>
      </c>
      <c r="FK344" s="269">
        <f t="shared" si="949"/>
        <v>4681778</v>
      </c>
      <c r="FL344" s="269">
        <f t="shared" si="973"/>
        <v>4681778</v>
      </c>
      <c r="FO344" s="607"/>
      <c r="FP344" s="607"/>
      <c r="FQ344" s="607"/>
      <c r="FR344" s="269">
        <f>'Detailed Budget'!$AC$257</f>
        <v>13636439388</v>
      </c>
      <c r="FS344" s="269">
        <f t="shared" si="950"/>
        <v>15989376</v>
      </c>
      <c r="FT344" s="269">
        <f t="shared" si="974"/>
        <v>15989376</v>
      </c>
      <c r="FU344" s="269"/>
      <c r="FV344" s="269"/>
      <c r="FW344" s="269"/>
      <c r="FX344" s="140">
        <f>'Detailed Budget'!$AC$278</f>
        <v>1114560000</v>
      </c>
      <c r="FY344" s="269">
        <f t="shared" si="951"/>
        <v>1440000</v>
      </c>
      <c r="FZ344" s="269">
        <f t="shared" si="975"/>
        <v>1440000</v>
      </c>
      <c r="GB344" s="269">
        <f t="shared" si="983"/>
        <v>2795485268.917284</v>
      </c>
      <c r="GC344" s="887">
        <f t="shared" si="914"/>
        <v>1747178.2930733026</v>
      </c>
      <c r="GD344" s="1078">
        <f t="shared" si="984"/>
        <v>1.5686348117129379E-3</v>
      </c>
    </row>
    <row r="345" spans="1:186" hidden="1" outlineLevel="1">
      <c r="A345" s="211" t="s">
        <v>833</v>
      </c>
      <c r="B345" s="212" t="s">
        <v>834</v>
      </c>
      <c r="C345" s="213" t="s">
        <v>215</v>
      </c>
      <c r="D345" s="214" t="s">
        <v>215</v>
      </c>
      <c r="E345" s="213"/>
      <c r="F345" s="213"/>
      <c r="G345" s="213"/>
      <c r="H345" s="213" t="s">
        <v>215</v>
      </c>
      <c r="I345" s="214" t="s">
        <v>215</v>
      </c>
      <c r="J345" s="214"/>
      <c r="K345" s="213" t="s">
        <v>215</v>
      </c>
      <c r="L345" s="213"/>
      <c r="M345" s="214"/>
      <c r="N345" s="213"/>
      <c r="O345" s="214"/>
      <c r="P345" s="213"/>
      <c r="Q345" s="214"/>
      <c r="R345" s="214" t="s">
        <v>215</v>
      </c>
      <c r="S345" s="214"/>
      <c r="T345" s="213"/>
      <c r="U345" s="215">
        <f t="shared" si="952"/>
        <v>6</v>
      </c>
      <c r="V345" s="845" t="s">
        <v>219</v>
      </c>
      <c r="W345" s="216">
        <v>153158</v>
      </c>
      <c r="X345" s="217">
        <v>3.36</v>
      </c>
      <c r="Y345" s="218">
        <f t="shared" si="986"/>
        <v>1.0336000000000001</v>
      </c>
      <c r="Z345" s="196">
        <v>19</v>
      </c>
      <c r="AA345" s="218">
        <f t="shared" si="987"/>
        <v>1.873689022502546</v>
      </c>
      <c r="AB345" s="196">
        <f t="shared" si="988"/>
        <v>286970.46330844495</v>
      </c>
      <c r="AC345">
        <v>19.3</v>
      </c>
      <c r="AD345" s="196">
        <f t="shared" si="989"/>
        <v>55385.299418529874</v>
      </c>
      <c r="AE345" s="196">
        <f t="shared" si="990"/>
        <v>52616.034447603379</v>
      </c>
      <c r="AF345" s="196">
        <f t="shared" si="953"/>
        <v>52616.034447603379</v>
      </c>
      <c r="AG345" s="606">
        <f t="shared" si="917"/>
        <v>2.432734444137853E-3</v>
      </c>
      <c r="AH345" s="196">
        <f t="shared" si="967"/>
        <v>14348.523165422248</v>
      </c>
      <c r="AI345" s="248">
        <f t="shared" si="896"/>
        <v>1.1115583494891727E-3</v>
      </c>
      <c r="AJ345" s="196">
        <f t="shared" si="897"/>
        <v>69733.822583952118</v>
      </c>
      <c r="AK345" s="196">
        <f t="shared" si="926"/>
        <v>11478.818532337798</v>
      </c>
      <c r="AL345" s="196">
        <f t="shared" si="927"/>
        <v>11478.818532337798</v>
      </c>
      <c r="AM345" s="196">
        <f t="shared" si="898"/>
        <v>22957.637064675597</v>
      </c>
      <c r="AN345" s="627">
        <f t="shared" si="899"/>
        <v>1.1115583494891727E-3</v>
      </c>
      <c r="AO345" s="196">
        <f t="shared" si="900"/>
        <v>10904.877605720907</v>
      </c>
      <c r="AP345" s="589">
        <f t="shared" si="918"/>
        <v>1.1115583494891725E-3</v>
      </c>
      <c r="AQ345" s="196"/>
      <c r="AR345" s="589"/>
      <c r="AS345">
        <v>1</v>
      </c>
      <c r="AT345" s="589">
        <f t="shared" si="919"/>
        <v>1.2919896640826874E-3</v>
      </c>
      <c r="AU345" s="196">
        <v>10</v>
      </c>
      <c r="AV345" s="245">
        <f t="shared" si="901"/>
        <v>1.1362345188046814E-3</v>
      </c>
      <c r="AX345" s="245"/>
      <c r="AY345" s="245"/>
      <c r="AZ345" s="196">
        <v>33</v>
      </c>
      <c r="BA345" s="589">
        <f t="shared" si="977"/>
        <v>1.2091898428053204E-3</v>
      </c>
      <c r="BI345" s="196">
        <v>1</v>
      </c>
      <c r="BJ345" s="196">
        <f t="shared" si="954"/>
        <v>159428.03336122807</v>
      </c>
      <c r="BK345" s="246">
        <f t="shared" si="978"/>
        <v>3.0401964071812768E-3</v>
      </c>
      <c r="BL345" s="196">
        <f t="shared" si="968"/>
        <v>3188.5606672245613</v>
      </c>
      <c r="BM345" s="246">
        <f t="shared" si="979"/>
        <v>3.0401960593330491E-3</v>
      </c>
      <c r="BN345" s="196">
        <v>0</v>
      </c>
      <c r="BO345" s="196">
        <f t="shared" si="955"/>
        <v>19987.524443359282</v>
      </c>
      <c r="BP345" s="196">
        <f t="shared" si="902"/>
        <v>0</v>
      </c>
      <c r="BQ345" s="248">
        <f t="shared" si="980"/>
        <v>0</v>
      </c>
      <c r="BR345" s="248"/>
      <c r="BS345" s="248"/>
      <c r="BT345" s="276">
        <v>1</v>
      </c>
      <c r="BU345" s="196">
        <f t="shared" si="969"/>
        <v>41871.28636040858</v>
      </c>
      <c r="BV345" s="264">
        <f t="shared" si="981"/>
        <v>2.9042717327397837E-3</v>
      </c>
      <c r="BW345" s="196">
        <f t="shared" si="970"/>
        <v>179116.05831952562</v>
      </c>
      <c r="BX345" s="247">
        <f t="shared" si="982"/>
        <v>2.9042717589015752E-3</v>
      </c>
      <c r="BY345" s="196">
        <f t="shared" si="985"/>
        <v>220987.34467993421</v>
      </c>
      <c r="BZ345" s="620">
        <v>0</v>
      </c>
      <c r="CA345" s="196">
        <f t="shared" si="956"/>
        <v>87812.961772384151</v>
      </c>
      <c r="CB345" s="196">
        <f t="shared" si="957"/>
        <v>175625.9235447683</v>
      </c>
      <c r="CC345" s="196">
        <f t="shared" si="915"/>
        <v>263438.88531715248</v>
      </c>
      <c r="CD345" s="247">
        <f t="shared" si="903"/>
        <v>1.1115583494891727E-3</v>
      </c>
      <c r="CE345" s="196">
        <f t="shared" si="958"/>
        <v>22486.985368972422</v>
      </c>
      <c r="CF345" s="247">
        <f t="shared" si="904"/>
        <v>9.710579615349221E-4</v>
      </c>
      <c r="CG345" s="196">
        <f t="shared" si="929"/>
        <v>43619.510422883628</v>
      </c>
      <c r="CH345" s="589">
        <f t="shared" si="920"/>
        <v>1.1115583494891725E-3</v>
      </c>
      <c r="CI345" s="196">
        <f t="shared" si="959"/>
        <v>90035.09494387664</v>
      </c>
      <c r="CJ345" s="248">
        <f t="shared" si="921"/>
        <v>1.4801767323380445E-3</v>
      </c>
      <c r="CK345" s="196">
        <f t="shared" si="960"/>
        <v>81977.806153997823</v>
      </c>
      <c r="CL345" s="589">
        <f t="shared" si="922"/>
        <v>1.1784478255790428E-3</v>
      </c>
      <c r="CM345" s="196">
        <f t="shared" si="961"/>
        <v>7941.6051639802208</v>
      </c>
      <c r="CN345" s="589">
        <f t="shared" si="923"/>
        <v>1.1444755577009252E-3</v>
      </c>
      <c r="CO345" s="196">
        <f t="shared" si="962"/>
        <v>635.32319994276816</v>
      </c>
      <c r="CP345" s="589">
        <f t="shared" si="924"/>
        <v>1.1981216973043116E-3</v>
      </c>
      <c r="CQ345" s="196">
        <f>'Detailed Budget'!$AC$12</f>
        <v>292876014141.44696</v>
      </c>
      <c r="CR345" s="269">
        <f t="shared" si="925"/>
        <v>890400605.94239986</v>
      </c>
      <c r="CS345" s="269">
        <f>'Detailed Budget'!$AC$16</f>
        <v>10488008800.000002</v>
      </c>
      <c r="CT345" s="607">
        <f t="shared" si="931"/>
        <v>31885603.024010345</v>
      </c>
      <c r="CU345" s="269">
        <f>'Detailed Budget'!$AC$24</f>
        <v>30624985696</v>
      </c>
      <c r="CV345" s="269">
        <f t="shared" si="976"/>
        <v>93105971.482957199</v>
      </c>
      <c r="CW345" s="269"/>
      <c r="CX345" s="269">
        <f t="shared" si="916"/>
        <v>1015392180.4493674</v>
      </c>
      <c r="CY345" s="196">
        <f>'Detailed Budget'!$AC$97</f>
        <v>74629165494.837845</v>
      </c>
      <c r="CZ345" s="269">
        <f t="shared" si="932"/>
        <v>0</v>
      </c>
      <c r="DA345" s="269">
        <f>'Detailed Budget'!$AC$100</f>
        <v>14925833098.967569</v>
      </c>
      <c r="DB345" s="269">
        <f t="shared" si="933"/>
        <v>0</v>
      </c>
      <c r="DC345" s="269">
        <f t="shared" si="905"/>
        <v>0</v>
      </c>
      <c r="DD345" s="207">
        <v>0</v>
      </c>
      <c r="DE345" s="606">
        <v>0</v>
      </c>
      <c r="DF345" s="269">
        <f>'Detailed Budget'!$AC$147</f>
        <v>5913600671000</v>
      </c>
      <c r="DG345" s="269">
        <f t="shared" si="971"/>
        <v>0</v>
      </c>
      <c r="DH345" s="269">
        <f>'Detailed Budget'!$AC$153</f>
        <v>226428026880.00003</v>
      </c>
      <c r="DI345" s="269"/>
      <c r="DJ345" s="269">
        <f>'Detailed Budget'!$AC$156</f>
        <v>27713070000</v>
      </c>
      <c r="DK345" s="269"/>
      <c r="DL345" s="269"/>
      <c r="DM345" s="196">
        <f>'Detailed Budget'!$AC$178</f>
        <v>5622683761.6229038</v>
      </c>
      <c r="DN345" s="269">
        <f t="shared" si="963"/>
        <v>16329801.511016397</v>
      </c>
      <c r="DO345" s="196">
        <f>'Detailed Budget'!$AC$179</f>
        <v>26827890683.128094</v>
      </c>
      <c r="DP345" s="269">
        <f t="shared" si="964"/>
        <v>77915485.261907607</v>
      </c>
      <c r="DQ345" s="269">
        <f t="shared" si="870"/>
        <v>94245286.772924006</v>
      </c>
      <c r="DR345" s="269">
        <f>'Detailed Budget'!$AC$181</f>
        <v>50888946855.375237</v>
      </c>
      <c r="DS345" s="269">
        <f t="shared" si="965"/>
        <v>123799293.84097202</v>
      </c>
      <c r="DT345" s="269">
        <f t="shared" si="966"/>
        <v>218044580.61389601</v>
      </c>
      <c r="DU345" s="272">
        <f>'Detailed Budget'!$AC$192</f>
        <v>77498869683.252869</v>
      </c>
      <c r="DV345" s="269">
        <f t="shared" si="934"/>
        <v>0</v>
      </c>
      <c r="DW345" s="140">
        <f>'Detailed Budget'!$AC$194</f>
        <v>2684962805.4134097</v>
      </c>
      <c r="DX345" s="269">
        <f t="shared" si="935"/>
        <v>0</v>
      </c>
      <c r="DY345" s="607">
        <f t="shared" si="906"/>
        <v>0</v>
      </c>
      <c r="DZ345" s="196">
        <f>'Detailed Budget'!$AC$198</f>
        <v>18732540018.380611</v>
      </c>
      <c r="EA345" s="269">
        <f t="shared" si="936"/>
        <v>18190382.124620028</v>
      </c>
      <c r="EB345" s="196">
        <f>'Detailed Budget'!$AC$200</f>
        <v>4683135004.5951529</v>
      </c>
      <c r="EC345" s="269">
        <f t="shared" si="937"/>
        <v>4547595.531155007</v>
      </c>
      <c r="ED345" s="269">
        <f t="shared" si="907"/>
        <v>22737977.655775033</v>
      </c>
      <c r="EE345" s="196">
        <f>'Detailed Budget'!$AC$161</f>
        <v>251147290106.36197</v>
      </c>
      <c r="EF345" s="269">
        <f t="shared" si="938"/>
        <v>279164867.26930612</v>
      </c>
      <c r="EG345" s="196">
        <f>'Detailed Budget'!$AC$163</f>
        <v>15696705631.647623</v>
      </c>
      <c r="EH345" s="269">
        <f t="shared" si="939"/>
        <v>17447804.204331633</v>
      </c>
      <c r="EI345" s="269">
        <f t="shared" si="908"/>
        <v>296612671.47363776</v>
      </c>
      <c r="EJ345" s="196">
        <f>'Detailed Budget'!$AC$204</f>
        <v>45012172507.531975</v>
      </c>
      <c r="EK345" s="269">
        <f t="shared" si="940"/>
        <v>66625970.417635038</v>
      </c>
      <c r="EL345" s="201">
        <f>'Detailed Budget'!$AC$206</f>
        <v>11253043126.882994</v>
      </c>
      <c r="EM345" s="269">
        <f t="shared" si="941"/>
        <v>16656492.60440876</v>
      </c>
      <c r="EN345" s="269">
        <f t="shared" si="909"/>
        <v>83282463.022043794</v>
      </c>
      <c r="EO345" s="140">
        <f>'Detailed Budget'!$AC$209</f>
        <v>135789361677.54817</v>
      </c>
      <c r="EP345" s="269">
        <f t="shared" si="942"/>
        <v>160020678.00567284</v>
      </c>
      <c r="EQ345" s="196">
        <f>'Detailed Budget'!$AC$211</f>
        <v>33947340419.387043</v>
      </c>
      <c r="ER345" s="269">
        <f t="shared" si="943"/>
        <v>40005169.501418211</v>
      </c>
      <c r="ES345" s="269">
        <f t="shared" si="910"/>
        <v>200025847.50709105</v>
      </c>
      <c r="ET345" s="196">
        <f>'Detailed Budget'!$AC$214</f>
        <v>22239745544.201103</v>
      </c>
      <c r="EU345" s="269">
        <f t="shared" si="944"/>
        <v>25452845.184826225</v>
      </c>
      <c r="EV345" s="140">
        <f>'Detailed Budget'!$AC$217</f>
        <v>5559936386.0502758</v>
      </c>
      <c r="EW345" s="269">
        <f t="shared" si="945"/>
        <v>6363211.2962065563</v>
      </c>
      <c r="EX345" s="269">
        <f t="shared" si="911"/>
        <v>31816056.481032781</v>
      </c>
      <c r="EY345" s="196">
        <f>'Detailed Budget'!$AC$219</f>
        <v>372777004.58170313</v>
      </c>
      <c r="EZ345" s="269">
        <f t="shared" si="946"/>
        <v>446632.21744544728</v>
      </c>
      <c r="FA345" s="196">
        <f>'Detailed Budget'!$AC$222</f>
        <v>93194251.145425782</v>
      </c>
      <c r="FB345" s="269">
        <f t="shared" si="947"/>
        <v>111658.05436136182</v>
      </c>
      <c r="FC345" s="269">
        <f t="shared" si="912"/>
        <v>558290.27180680912</v>
      </c>
      <c r="FD345" s="269"/>
      <c r="FE345" s="269">
        <f t="shared" si="913"/>
        <v>315682657.28197449</v>
      </c>
      <c r="FF345" s="140">
        <f>'Detailed Budget'!$AC$165</f>
        <v>14927760000</v>
      </c>
      <c r="FG345" s="1087">
        <f t="shared" si="972"/>
        <v>430612040.78415906</v>
      </c>
      <c r="FH345" s="269">
        <f t="shared" si="948"/>
        <v>16961436.200431772</v>
      </c>
      <c r="FJ345" s="140">
        <f>'Detailed Budget'!$AC$235</f>
        <v>3623696172</v>
      </c>
      <c r="FK345" s="269">
        <f t="shared" si="949"/>
        <v>4681778</v>
      </c>
      <c r="FL345" s="269">
        <f t="shared" si="973"/>
        <v>4681778</v>
      </c>
      <c r="FO345" s="607"/>
      <c r="FP345" s="607"/>
      <c r="FQ345" s="607"/>
      <c r="FR345" s="269">
        <f>'Detailed Budget'!$AC$257</f>
        <v>13636439388</v>
      </c>
      <c r="FS345" s="269">
        <f t="shared" si="950"/>
        <v>16489044</v>
      </c>
      <c r="FT345" s="269">
        <f t="shared" si="974"/>
        <v>16489044</v>
      </c>
      <c r="FU345" s="269"/>
      <c r="FV345" s="269"/>
      <c r="FW345" s="269"/>
      <c r="FX345" s="140">
        <f>'Detailed Budget'!$AC$278</f>
        <v>1114560000</v>
      </c>
      <c r="FY345" s="269">
        <f t="shared" si="951"/>
        <v>1440000</v>
      </c>
      <c r="FZ345" s="269">
        <f t="shared" si="975"/>
        <v>1440000</v>
      </c>
      <c r="GB345" s="269">
        <f t="shared" si="983"/>
        <v>2338654366.4592419</v>
      </c>
      <c r="GC345" s="887">
        <f t="shared" si="914"/>
        <v>1461658.9790370262</v>
      </c>
      <c r="GD345" s="1078">
        <f t="shared" si="984"/>
        <v>1.3122926071484086E-3</v>
      </c>
    </row>
    <row r="346" spans="1:186" hidden="1" outlineLevel="1">
      <c r="A346" s="211" t="s">
        <v>835</v>
      </c>
      <c r="B346" s="212" t="s">
        <v>836</v>
      </c>
      <c r="C346" s="213" t="s">
        <v>215</v>
      </c>
      <c r="D346" s="214" t="s">
        <v>215</v>
      </c>
      <c r="E346" s="213"/>
      <c r="F346" s="213"/>
      <c r="G346" s="213"/>
      <c r="H346" s="213" t="s">
        <v>215</v>
      </c>
      <c r="I346" s="214" t="s">
        <v>215</v>
      </c>
      <c r="J346" s="214"/>
      <c r="K346" s="213" t="s">
        <v>215</v>
      </c>
      <c r="L346" s="213"/>
      <c r="M346" s="214"/>
      <c r="N346" s="213"/>
      <c r="O346" s="214"/>
      <c r="P346" s="213"/>
      <c r="Q346" s="214" t="s">
        <v>215</v>
      </c>
      <c r="R346" s="214"/>
      <c r="S346" s="214"/>
      <c r="T346" s="213"/>
      <c r="U346" s="215">
        <f t="shared" si="952"/>
        <v>6</v>
      </c>
      <c r="V346" s="845" t="s">
        <v>265</v>
      </c>
      <c r="W346" s="216">
        <v>371243</v>
      </c>
      <c r="X346" s="217">
        <v>3.36</v>
      </c>
      <c r="Y346" s="218">
        <f t="shared" si="986"/>
        <v>1.0336000000000001</v>
      </c>
      <c r="Z346" s="196">
        <v>19</v>
      </c>
      <c r="AA346" s="218">
        <f t="shared" si="987"/>
        <v>1.873689022502546</v>
      </c>
      <c r="AB346" s="196">
        <f t="shared" si="988"/>
        <v>695593.93378091266</v>
      </c>
      <c r="AC346">
        <v>19.3</v>
      </c>
      <c r="AD346" s="196">
        <f t="shared" si="989"/>
        <v>134249.62921971615</v>
      </c>
      <c r="AE346" s="196">
        <f t="shared" si="990"/>
        <v>127537.14775873034</v>
      </c>
      <c r="AF346" s="196">
        <f t="shared" si="953"/>
        <v>127537.14775873034</v>
      </c>
      <c r="AG346" s="606">
        <f t="shared" si="917"/>
        <v>5.8967578137940494E-3</v>
      </c>
      <c r="AH346" s="196">
        <f t="shared" si="967"/>
        <v>34779.696689045632</v>
      </c>
      <c r="AI346" s="248">
        <f t="shared" si="896"/>
        <v>2.6943304061126999E-3</v>
      </c>
      <c r="AJ346" s="196">
        <f t="shared" si="897"/>
        <v>169029.32590876179</v>
      </c>
      <c r="AK346" s="196">
        <f t="shared" si="926"/>
        <v>27823.757351236505</v>
      </c>
      <c r="AL346" s="196">
        <f t="shared" si="927"/>
        <v>27823.757351236505</v>
      </c>
      <c r="AM346" s="196">
        <f t="shared" si="898"/>
        <v>55647.51470247301</v>
      </c>
      <c r="AN346" s="627">
        <f t="shared" si="899"/>
        <v>2.6943304061126999E-3</v>
      </c>
      <c r="AO346" s="196">
        <f t="shared" si="900"/>
        <v>26432.569483674681</v>
      </c>
      <c r="AP346" s="589">
        <f t="shared" si="918"/>
        <v>2.6943304061126999E-3</v>
      </c>
      <c r="AQ346" s="196"/>
      <c r="AR346" s="589"/>
      <c r="AS346">
        <v>1</v>
      </c>
      <c r="AT346" s="589">
        <f t="shared" si="919"/>
        <v>1.2919896640826874E-3</v>
      </c>
      <c r="AU346" s="196">
        <v>13</v>
      </c>
      <c r="AV346" s="245">
        <f t="shared" si="901"/>
        <v>1.4771048744460858E-3</v>
      </c>
      <c r="AX346" s="245"/>
      <c r="AY346" s="245"/>
      <c r="AZ346" s="196">
        <v>19</v>
      </c>
      <c r="BA346" s="589">
        <f t="shared" si="977"/>
        <v>6.9620021252427542E-4</v>
      </c>
      <c r="BI346" s="196">
        <v>1</v>
      </c>
      <c r="BJ346" s="196">
        <f t="shared" si="954"/>
        <v>386441.06993511529</v>
      </c>
      <c r="BK346" s="246">
        <f t="shared" si="978"/>
        <v>7.3691980490160399E-3</v>
      </c>
      <c r="BL346" s="196">
        <f t="shared" si="968"/>
        <v>7728.8213987023055</v>
      </c>
      <c r="BM346" s="246">
        <f t="shared" si="979"/>
        <v>7.3691972058591718E-3</v>
      </c>
      <c r="BN346" s="196">
        <v>0</v>
      </c>
      <c r="BO346" s="196">
        <f t="shared" si="955"/>
        <v>48448.194262957404</v>
      </c>
      <c r="BP346" s="196">
        <f t="shared" si="902"/>
        <v>0</v>
      </c>
      <c r="BQ346" s="248">
        <f t="shared" si="980"/>
        <v>0</v>
      </c>
      <c r="BR346" s="248"/>
      <c r="BS346" s="248"/>
      <c r="BT346" s="276">
        <v>1</v>
      </c>
      <c r="BU346" s="196">
        <f t="shared" si="969"/>
        <v>101492.71969010541</v>
      </c>
      <c r="BV346" s="264">
        <f t="shared" si="981"/>
        <v>7.0397272808310095E-3</v>
      </c>
      <c r="BW346" s="196">
        <f t="shared" si="970"/>
        <v>434163.30089656205</v>
      </c>
      <c r="BX346" s="247">
        <f t="shared" si="982"/>
        <v>7.0397273442451419E-3</v>
      </c>
      <c r="BY346" s="196">
        <f t="shared" si="985"/>
        <v>535656.02058666747</v>
      </c>
      <c r="BZ346" s="620">
        <v>0</v>
      </c>
      <c r="CA346" s="196">
        <f t="shared" si="956"/>
        <v>212851.74373695924</v>
      </c>
      <c r="CB346" s="196">
        <f t="shared" si="957"/>
        <v>425703.48747391847</v>
      </c>
      <c r="CC346" s="196">
        <f t="shared" si="915"/>
        <v>638555.23121087765</v>
      </c>
      <c r="CD346" s="247">
        <f t="shared" si="903"/>
        <v>2.694330406112699E-3</v>
      </c>
      <c r="CE346" s="196">
        <f t="shared" si="958"/>
        <v>54506.691843282286</v>
      </c>
      <c r="CF346" s="247">
        <f t="shared" si="904"/>
        <v>2.3537684666430033E-3</v>
      </c>
      <c r="CG346" s="196">
        <f t="shared" si="929"/>
        <v>105730.27793469872</v>
      </c>
      <c r="CH346" s="589">
        <f t="shared" si="920"/>
        <v>2.6943304061126999E-3</v>
      </c>
      <c r="CI346" s="196">
        <f t="shared" si="959"/>
        <v>218238.02055556743</v>
      </c>
      <c r="CJ346" s="248">
        <f t="shared" si="921"/>
        <v>3.5878325039721899E-3</v>
      </c>
      <c r="CK346" s="196">
        <f t="shared" si="960"/>
        <v>198707.7834003357</v>
      </c>
      <c r="CL346" s="589">
        <f t="shared" si="922"/>
        <v>2.8564652588270981E-3</v>
      </c>
      <c r="CM346" s="196">
        <f t="shared" si="961"/>
        <v>19249.829103876451</v>
      </c>
      <c r="CN346" s="589">
        <f t="shared" si="923"/>
        <v>2.774119141458916E-3</v>
      </c>
      <c r="CO346" s="196">
        <f t="shared" si="962"/>
        <v>1539.9736919805239</v>
      </c>
      <c r="CP346" s="589">
        <f t="shared" si="924"/>
        <v>2.9041531834598558E-3</v>
      </c>
      <c r="CQ346" s="196">
        <f>'Detailed Budget'!$AC$12</f>
        <v>292876014141.44696</v>
      </c>
      <c r="CR346" s="269">
        <f t="shared" si="925"/>
        <v>2158261352.0147452</v>
      </c>
      <c r="CS346" s="269">
        <f>'Detailed Budget'!$AC$16</f>
        <v>10488008800.000002</v>
      </c>
      <c r="CT346" s="607">
        <f t="shared" si="931"/>
        <v>77288205.143986419</v>
      </c>
      <c r="CU346" s="269">
        <f>'Detailed Budget'!$AC$24</f>
        <v>30624985696</v>
      </c>
      <c r="CV346" s="269">
        <f t="shared" si="976"/>
        <v>225681584.84210733</v>
      </c>
      <c r="CW346" s="269"/>
      <c r="CX346" s="269">
        <f t="shared" si="916"/>
        <v>2461231142.0008388</v>
      </c>
      <c r="CY346" s="196">
        <f>'Detailed Budget'!$AC$97</f>
        <v>74629165494.837845</v>
      </c>
      <c r="CZ346" s="269">
        <f t="shared" si="932"/>
        <v>0</v>
      </c>
      <c r="DA346" s="269">
        <f>'Detailed Budget'!$AC$100</f>
        <v>14925833098.967569</v>
      </c>
      <c r="DB346" s="269">
        <f t="shared" si="933"/>
        <v>0</v>
      </c>
      <c r="DC346" s="269">
        <f t="shared" si="905"/>
        <v>0</v>
      </c>
      <c r="DD346" s="207">
        <v>0</v>
      </c>
      <c r="DE346" s="606">
        <v>0</v>
      </c>
      <c r="DF346" s="269">
        <f>'Detailed Budget'!$AC$147</f>
        <v>5913600671000</v>
      </c>
      <c r="DG346" s="269">
        <f t="shared" si="971"/>
        <v>0</v>
      </c>
      <c r="DH346" s="269">
        <f>'Detailed Budget'!$AC$153</f>
        <v>226428026880.00003</v>
      </c>
      <c r="DI346" s="269"/>
      <c r="DJ346" s="269">
        <f>'Detailed Budget'!$AC$156</f>
        <v>27713070000</v>
      </c>
      <c r="DK346" s="269"/>
      <c r="DL346" s="269"/>
      <c r="DM346" s="196">
        <f>'Detailed Budget'!$AC$178</f>
        <v>5622683761.6229038</v>
      </c>
      <c r="DN346" s="269">
        <f t="shared" si="963"/>
        <v>39582160.268182278</v>
      </c>
      <c r="DO346" s="196">
        <f>'Detailed Budget'!$AC$179</f>
        <v>26827890683.128094</v>
      </c>
      <c r="DP346" s="269">
        <f t="shared" si="964"/>
        <v>188861035.63043633</v>
      </c>
      <c r="DQ346" s="269">
        <f t="shared" si="870"/>
        <v>228443195.89861861</v>
      </c>
      <c r="DR346" s="269">
        <f>'Detailed Budget'!$AC$181</f>
        <v>50888946855.375237</v>
      </c>
      <c r="DS346" s="269">
        <f t="shared" si="965"/>
        <v>300079795.00518405</v>
      </c>
      <c r="DT346" s="269">
        <f t="shared" si="966"/>
        <v>528522990.90380263</v>
      </c>
      <c r="DU346" s="272">
        <f>'Detailed Budget'!$AC$192</f>
        <v>77498869683.252869</v>
      </c>
      <c r="DV346" s="269">
        <f t="shared" si="934"/>
        <v>0</v>
      </c>
      <c r="DW346" s="140">
        <f>'Detailed Budget'!$AC$194</f>
        <v>2684962805.4134097</v>
      </c>
      <c r="DX346" s="269">
        <f t="shared" si="935"/>
        <v>0</v>
      </c>
      <c r="DY346" s="607">
        <f t="shared" si="906"/>
        <v>0</v>
      </c>
      <c r="DZ346" s="196">
        <f>'Detailed Budget'!$AC$198</f>
        <v>18732540018.380611</v>
      </c>
      <c r="EA346" s="269">
        <f t="shared" si="936"/>
        <v>44092061.995392427</v>
      </c>
      <c r="EB346" s="196">
        <f>'Detailed Budget'!$AC$200</f>
        <v>4683135004.5951529</v>
      </c>
      <c r="EC346" s="269">
        <f t="shared" si="937"/>
        <v>11023015.498848107</v>
      </c>
      <c r="ED346" s="269">
        <f t="shared" si="907"/>
        <v>55115077.494240537</v>
      </c>
      <c r="EE346" s="196">
        <f>'Detailed Budget'!$AC$161</f>
        <v>251147290106.36197</v>
      </c>
      <c r="EF346" s="269">
        <f t="shared" si="938"/>
        <v>676673780.14637828</v>
      </c>
      <c r="EG346" s="196">
        <f>'Detailed Budget'!$AC$163</f>
        <v>15696705631.647623</v>
      </c>
      <c r="EH346" s="269">
        <f t="shared" si="939"/>
        <v>42292111.259148642</v>
      </c>
      <c r="EI346" s="269">
        <f t="shared" si="908"/>
        <v>718965891.40552688</v>
      </c>
      <c r="EJ346" s="196">
        <f>'Detailed Budget'!$AC$204</f>
        <v>45012172507.531975</v>
      </c>
      <c r="EK346" s="269">
        <f t="shared" si="940"/>
        <v>161496135.5969266</v>
      </c>
      <c r="EL346" s="201">
        <f>'Detailed Budget'!$AC$206</f>
        <v>11253043126.882994</v>
      </c>
      <c r="EM346" s="269">
        <f t="shared" si="941"/>
        <v>40374033.89923165</v>
      </c>
      <c r="EN346" s="269">
        <f t="shared" si="909"/>
        <v>201870169.49615824</v>
      </c>
      <c r="EO346" s="140">
        <f>'Detailed Budget'!$AC$209</f>
        <v>135789361677.54817</v>
      </c>
      <c r="EP346" s="269">
        <f t="shared" si="942"/>
        <v>387877594.15022409</v>
      </c>
      <c r="EQ346" s="196">
        <f>'Detailed Budget'!$AC$211</f>
        <v>33947340419.387043</v>
      </c>
      <c r="ER346" s="269">
        <f t="shared" si="943"/>
        <v>96969398.537556022</v>
      </c>
      <c r="ES346" s="269">
        <f t="shared" si="910"/>
        <v>484846992.68778014</v>
      </c>
      <c r="ET346" s="196">
        <f>'Detailed Budget'!$AC$214</f>
        <v>22239745544.201103</v>
      </c>
      <c r="EU346" s="269">
        <f t="shared" si="944"/>
        <v>61695703.815343916</v>
      </c>
      <c r="EV346" s="140">
        <f>'Detailed Budget'!$AC$217</f>
        <v>5559936386.0502758</v>
      </c>
      <c r="EW346" s="269">
        <f t="shared" si="945"/>
        <v>15423925.953835979</v>
      </c>
      <c r="EX346" s="269">
        <f t="shared" si="911"/>
        <v>77119629.769179896</v>
      </c>
      <c r="EY346" s="196">
        <f>'Detailed Budget'!$AC$219</f>
        <v>372777004.58170313</v>
      </c>
      <c r="EZ346" s="269">
        <f t="shared" si="946"/>
        <v>1082601.5245765825</v>
      </c>
      <c r="FA346" s="196">
        <f>'Detailed Budget'!$AC$222</f>
        <v>93194251.145425782</v>
      </c>
      <c r="FB346" s="269">
        <f t="shared" si="947"/>
        <v>270650.38114414562</v>
      </c>
      <c r="FC346" s="269">
        <f t="shared" si="912"/>
        <v>1353251.905720728</v>
      </c>
      <c r="FD346" s="269"/>
      <c r="FE346" s="269">
        <f t="shared" si="913"/>
        <v>765190043.85883904</v>
      </c>
      <c r="FF346" s="140">
        <f>'Detailed Budget'!$AC$165</f>
        <v>14927760000</v>
      </c>
      <c r="FG346" s="1087">
        <f t="shared" si="972"/>
        <v>1043769870.701064</v>
      </c>
      <c r="FH346" s="269">
        <f t="shared" si="948"/>
        <v>22049867.060561303</v>
      </c>
      <c r="FJ346" s="140">
        <f>'Detailed Budget'!$AC$235</f>
        <v>3623696172</v>
      </c>
      <c r="FK346" s="269">
        <f t="shared" si="949"/>
        <v>4681778</v>
      </c>
      <c r="FL346" s="269">
        <f t="shared" si="973"/>
        <v>4681778</v>
      </c>
      <c r="FO346" s="607"/>
      <c r="FP346" s="607"/>
      <c r="FQ346" s="607"/>
      <c r="FR346" s="269">
        <f>'Detailed Budget'!$AC$257</f>
        <v>13636439388</v>
      </c>
      <c r="FS346" s="269">
        <f t="shared" si="950"/>
        <v>9493692</v>
      </c>
      <c r="FT346" s="269">
        <f t="shared" si="974"/>
        <v>9493692</v>
      </c>
      <c r="FU346" s="269"/>
      <c r="FV346" s="269"/>
      <c r="FW346" s="269"/>
      <c r="FX346" s="140">
        <f>'Detailed Budget'!$AC$278</f>
        <v>1114560000</v>
      </c>
      <c r="FY346" s="269">
        <f t="shared" si="951"/>
        <v>1440000</v>
      </c>
      <c r="FZ346" s="269">
        <f t="shared" si="975"/>
        <v>1440000</v>
      </c>
      <c r="GB346" s="269">
        <f t="shared" si="983"/>
        <v>5610460353.4248734</v>
      </c>
      <c r="GC346" s="887">
        <f t="shared" si="914"/>
        <v>3506537.7208905458</v>
      </c>
      <c r="GD346" s="1078">
        <f t="shared" si="984"/>
        <v>3.1482059726704059E-3</v>
      </c>
    </row>
    <row r="347" spans="1:186" hidden="1" outlineLevel="1">
      <c r="A347" s="211" t="s">
        <v>837</v>
      </c>
      <c r="B347" s="212" t="s">
        <v>838</v>
      </c>
      <c r="C347" s="213" t="s">
        <v>215</v>
      </c>
      <c r="D347" s="214" t="s">
        <v>215</v>
      </c>
      <c r="E347" s="213"/>
      <c r="F347" s="213"/>
      <c r="G347" s="213"/>
      <c r="H347" s="213" t="s">
        <v>215</v>
      </c>
      <c r="I347" s="214" t="s">
        <v>215</v>
      </c>
      <c r="J347" s="214"/>
      <c r="K347" s="213" t="s">
        <v>215</v>
      </c>
      <c r="L347" s="213"/>
      <c r="M347" s="214"/>
      <c r="N347" s="213"/>
      <c r="O347" s="214"/>
      <c r="P347" s="213"/>
      <c r="Q347" s="214"/>
      <c r="R347" s="214" t="s">
        <v>215</v>
      </c>
      <c r="S347" s="214"/>
      <c r="T347" s="213"/>
      <c r="U347" s="215">
        <f t="shared" si="952"/>
        <v>6</v>
      </c>
      <c r="V347" s="845" t="s">
        <v>219</v>
      </c>
      <c r="W347" s="216">
        <v>144045</v>
      </c>
      <c r="X347" s="217">
        <v>3.36</v>
      </c>
      <c r="Y347" s="218">
        <f t="shared" si="986"/>
        <v>1.0336000000000001</v>
      </c>
      <c r="Z347" s="196">
        <v>19</v>
      </c>
      <c r="AA347" s="218">
        <f t="shared" si="987"/>
        <v>1.873689022502546</v>
      </c>
      <c r="AB347" s="196">
        <f t="shared" si="988"/>
        <v>269895.53524637921</v>
      </c>
      <c r="AC347">
        <v>19.3</v>
      </c>
      <c r="AD347" s="196">
        <f t="shared" si="989"/>
        <v>52089.838302551194</v>
      </c>
      <c r="AE347" s="196">
        <f t="shared" si="990"/>
        <v>49485.346387423633</v>
      </c>
      <c r="AF347" s="196">
        <f t="shared" si="953"/>
        <v>49485.346387423633</v>
      </c>
      <c r="AG347" s="606">
        <f t="shared" si="917"/>
        <v>2.2879851722132508E-3</v>
      </c>
      <c r="AH347" s="196">
        <f t="shared" si="967"/>
        <v>13494.776762318961</v>
      </c>
      <c r="AI347" s="248">
        <f t="shared" si="896"/>
        <v>1.045419909192911E-3</v>
      </c>
      <c r="AJ347" s="196">
        <f t="shared" si="897"/>
        <v>65584.615064870159</v>
      </c>
      <c r="AK347" s="196">
        <f t="shared" si="926"/>
        <v>10795.821409855169</v>
      </c>
      <c r="AL347" s="196">
        <f t="shared" si="927"/>
        <v>10795.821409855169</v>
      </c>
      <c r="AM347" s="196">
        <f t="shared" si="898"/>
        <v>21591.642819710338</v>
      </c>
      <c r="AN347" s="627">
        <f t="shared" si="899"/>
        <v>1.045419909192911E-3</v>
      </c>
      <c r="AO347" s="196">
        <f t="shared" si="900"/>
        <v>10256.030339362409</v>
      </c>
      <c r="AP347" s="589">
        <f t="shared" si="918"/>
        <v>1.0454199091929108E-3</v>
      </c>
      <c r="AQ347" s="196"/>
      <c r="AR347" s="589"/>
      <c r="AS347">
        <v>1</v>
      </c>
      <c r="AT347" s="589">
        <f t="shared" si="919"/>
        <v>1.2919896640826874E-3</v>
      </c>
      <c r="AU347" s="196">
        <v>10</v>
      </c>
      <c r="AV347" s="245">
        <f t="shared" si="901"/>
        <v>1.1362345188046814E-3</v>
      </c>
      <c r="AX347" s="245"/>
      <c r="AY347" s="245"/>
      <c r="AZ347" s="196">
        <v>23</v>
      </c>
      <c r="BA347" s="589">
        <f t="shared" si="977"/>
        <v>8.4276867831885966E-4</v>
      </c>
      <c r="BI347" s="196">
        <v>1</v>
      </c>
      <c r="BJ347" s="196">
        <f t="shared" si="954"/>
        <v>149941.96232333992</v>
      </c>
      <c r="BK347" s="246">
        <f t="shared" si="978"/>
        <v>2.8593027557974574E-3</v>
      </c>
      <c r="BL347" s="196">
        <f t="shared" si="968"/>
        <v>2998.8392464667982</v>
      </c>
      <c r="BM347" s="246">
        <f t="shared" si="979"/>
        <v>2.8593024286464241E-3</v>
      </c>
      <c r="BN347" s="196">
        <v>0</v>
      </c>
      <c r="BO347" s="196">
        <f t="shared" si="955"/>
        <v>18798.253819217327</v>
      </c>
      <c r="BP347" s="196">
        <f t="shared" si="902"/>
        <v>0</v>
      </c>
      <c r="BQ347" s="248">
        <f t="shared" si="980"/>
        <v>0</v>
      </c>
      <c r="BR347" s="248"/>
      <c r="BS347" s="248"/>
      <c r="BT347" s="276">
        <v>1</v>
      </c>
      <c r="BU347" s="196">
        <f t="shared" si="969"/>
        <v>39379.917756728697</v>
      </c>
      <c r="BV347" s="264">
        <f t="shared" si="981"/>
        <v>2.7314656873457617E-3</v>
      </c>
      <c r="BW347" s="196">
        <f t="shared" si="970"/>
        <v>168458.53707045058</v>
      </c>
      <c r="BX347" s="247">
        <f t="shared" si="982"/>
        <v>2.7314657119509094E-3</v>
      </c>
      <c r="BY347" s="196">
        <f t="shared" si="985"/>
        <v>207838.45482717926</v>
      </c>
      <c r="BZ347" s="620">
        <v>0</v>
      </c>
      <c r="CA347" s="196">
        <f t="shared" si="956"/>
        <v>82588.033785392035</v>
      </c>
      <c r="CB347" s="196">
        <f t="shared" si="957"/>
        <v>165176.06757078407</v>
      </c>
      <c r="CC347" s="196">
        <f t="shared" si="915"/>
        <v>247764.10135617611</v>
      </c>
      <c r="CD347" s="247">
        <f t="shared" si="903"/>
        <v>1.045419909192911E-3</v>
      </c>
      <c r="CE347" s="196">
        <f t="shared" si="958"/>
        <v>21148.99520412667</v>
      </c>
      <c r="CF347" s="247">
        <f t="shared" si="904"/>
        <v>9.1327938514016804E-4</v>
      </c>
      <c r="CG347" s="196">
        <f t="shared" si="929"/>
        <v>41024.121357449636</v>
      </c>
      <c r="CH347" s="589">
        <f t="shared" si="920"/>
        <v>1.0454199091929108E-3</v>
      </c>
      <c r="CI347" s="196">
        <f t="shared" si="959"/>
        <v>84677.948596813163</v>
      </c>
      <c r="CJ347" s="248">
        <f t="shared" si="921"/>
        <v>1.3921052599905562E-3</v>
      </c>
      <c r="CK347" s="196">
        <f t="shared" si="960"/>
        <v>77100.073698093576</v>
      </c>
      <c r="CL347" s="589">
        <f t="shared" si="922"/>
        <v>1.1083294182186582E-3</v>
      </c>
      <c r="CM347" s="196">
        <f t="shared" si="961"/>
        <v>7469.0745233388461</v>
      </c>
      <c r="CN347" s="589">
        <f t="shared" si="923"/>
        <v>1.0763785222386673E-3</v>
      </c>
      <c r="CO347" s="196">
        <f t="shared" si="962"/>
        <v>597.52105887877906</v>
      </c>
      <c r="CP347" s="589">
        <f t="shared" si="924"/>
        <v>1.1268326818592539E-3</v>
      </c>
      <c r="CQ347" s="196">
        <f>'Detailed Budget'!$AC$12</f>
        <v>292876014141.44696</v>
      </c>
      <c r="CR347" s="269">
        <f t="shared" si="925"/>
        <v>837421194.34161437</v>
      </c>
      <c r="CS347" s="269">
        <f>'Detailed Budget'!$AC$16</f>
        <v>10488008800.000002</v>
      </c>
      <c r="CT347" s="607">
        <f t="shared" si="931"/>
        <v>29988389.033505075</v>
      </c>
      <c r="CU347" s="269">
        <f>'Detailed Budget'!$AC$24</f>
        <v>30624985696</v>
      </c>
      <c r="CV347" s="269">
        <f t="shared" si="976"/>
        <v>87566105.996830508</v>
      </c>
      <c r="CW347" s="269"/>
      <c r="CX347" s="269">
        <f t="shared" si="916"/>
        <v>954975689.37194991</v>
      </c>
      <c r="CY347" s="196">
        <f>'Detailed Budget'!$AC$97</f>
        <v>74629165494.837845</v>
      </c>
      <c r="CZ347" s="269">
        <f t="shared" si="932"/>
        <v>0</v>
      </c>
      <c r="DA347" s="269">
        <f>'Detailed Budget'!$AC$100</f>
        <v>14925833098.967569</v>
      </c>
      <c r="DB347" s="269">
        <f t="shared" si="933"/>
        <v>0</v>
      </c>
      <c r="DC347" s="269">
        <f t="shared" si="905"/>
        <v>0</v>
      </c>
      <c r="DD347" s="207">
        <v>0</v>
      </c>
      <c r="DE347" s="606">
        <v>0</v>
      </c>
      <c r="DF347" s="269">
        <f>'Detailed Budget'!$AC$147</f>
        <v>5913600671000</v>
      </c>
      <c r="DG347" s="269">
        <f t="shared" si="971"/>
        <v>0</v>
      </c>
      <c r="DH347" s="269">
        <f>'Detailed Budget'!$AC$153</f>
        <v>226428026880.00003</v>
      </c>
      <c r="DI347" s="269"/>
      <c r="DJ347" s="269">
        <f>'Detailed Budget'!$AC$156</f>
        <v>27713070000</v>
      </c>
      <c r="DK347" s="269"/>
      <c r="DL347" s="269"/>
      <c r="DM347" s="196">
        <f>'Detailed Budget'!$AC$178</f>
        <v>5622683761.6229038</v>
      </c>
      <c r="DN347" s="269">
        <f t="shared" si="963"/>
        <v>15358167.765669158</v>
      </c>
      <c r="DO347" s="196">
        <f>'Detailed Budget'!$AC$179</f>
        <v>26827890683.128094</v>
      </c>
      <c r="DP347" s="269">
        <f t="shared" si="964"/>
        <v>73279463.524931654</v>
      </c>
      <c r="DQ347" s="269">
        <f t="shared" si="870"/>
        <v>88637631.290600806</v>
      </c>
      <c r="DR347" s="269">
        <f>'Detailed Budget'!$AC$181</f>
        <v>50888946855.375237</v>
      </c>
      <c r="DS347" s="269">
        <f t="shared" si="965"/>
        <v>116433155.83464667</v>
      </c>
      <c r="DT347" s="269">
        <f t="shared" si="966"/>
        <v>205070787.12524748</v>
      </c>
      <c r="DU347" s="272">
        <f>'Detailed Budget'!$AC$192</f>
        <v>77498869683.252869</v>
      </c>
      <c r="DV347" s="269">
        <f t="shared" si="934"/>
        <v>0</v>
      </c>
      <c r="DW347" s="140">
        <f>'Detailed Budget'!$AC$194</f>
        <v>2684962805.4134097</v>
      </c>
      <c r="DX347" s="269">
        <f t="shared" si="935"/>
        <v>0</v>
      </c>
      <c r="DY347" s="607">
        <f t="shared" si="906"/>
        <v>0</v>
      </c>
      <c r="DZ347" s="196">
        <f>'Detailed Budget'!$AC$198</f>
        <v>18732540018.380611</v>
      </c>
      <c r="EA347" s="269">
        <f t="shared" si="936"/>
        <v>17108042.630100235</v>
      </c>
      <c r="EB347" s="196">
        <f>'Detailed Budget'!$AC$200</f>
        <v>4683135004.5951529</v>
      </c>
      <c r="EC347" s="269">
        <f t="shared" si="937"/>
        <v>4277010.6575250588</v>
      </c>
      <c r="ED347" s="269">
        <f t="shared" si="907"/>
        <v>21385053.287625294</v>
      </c>
      <c r="EE347" s="196">
        <f>'Detailed Budget'!$AC$161</f>
        <v>251147290106.36197</v>
      </c>
      <c r="EF347" s="269">
        <f t="shared" si="938"/>
        <v>262554377.21703854</v>
      </c>
      <c r="EG347" s="196">
        <f>'Detailed Budget'!$AC$163</f>
        <v>15696705631.647623</v>
      </c>
      <c r="EH347" s="269">
        <f t="shared" si="939"/>
        <v>16409648.576064909</v>
      </c>
      <c r="EI347" s="269">
        <f t="shared" si="908"/>
        <v>278964025.79310346</v>
      </c>
      <c r="EJ347" s="196">
        <f>'Detailed Budget'!$AC$204</f>
        <v>45012172507.531975</v>
      </c>
      <c r="EK347" s="269">
        <f t="shared" si="940"/>
        <v>62661682.111337565</v>
      </c>
      <c r="EL347" s="201">
        <f>'Detailed Budget'!$AC$206</f>
        <v>11253043126.882994</v>
      </c>
      <c r="EM347" s="269">
        <f t="shared" si="941"/>
        <v>15665420.527834391</v>
      </c>
      <c r="EN347" s="269">
        <f t="shared" si="909"/>
        <v>78327102.639171958</v>
      </c>
      <c r="EO347" s="140">
        <f>'Detailed Budget'!$AC$209</f>
        <v>135789361677.54817</v>
      </c>
      <c r="EP347" s="269">
        <f t="shared" si="942"/>
        <v>150499344.22835994</v>
      </c>
      <c r="EQ347" s="196">
        <f>'Detailed Budget'!$AC$211</f>
        <v>33947340419.387043</v>
      </c>
      <c r="ER347" s="269">
        <f t="shared" si="943"/>
        <v>37624836.057089984</v>
      </c>
      <c r="ES347" s="269">
        <f t="shared" si="910"/>
        <v>188124180.28544992</v>
      </c>
      <c r="ET347" s="196">
        <f>'Detailed Budget'!$AC$214</f>
        <v>22239745544.201103</v>
      </c>
      <c r="EU347" s="269">
        <f t="shared" si="944"/>
        <v>23938384.443831168</v>
      </c>
      <c r="EV347" s="140">
        <f>'Detailed Budget'!$AC$217</f>
        <v>5559936386.0502758</v>
      </c>
      <c r="EW347" s="269">
        <f t="shared" si="945"/>
        <v>5984596.110957792</v>
      </c>
      <c r="EX347" s="269">
        <f t="shared" si="911"/>
        <v>29922980.554788962</v>
      </c>
      <c r="EY347" s="196">
        <f>'Detailed Budget'!$AC$219</f>
        <v>372777004.58170313</v>
      </c>
      <c r="EZ347" s="269">
        <f t="shared" si="946"/>
        <v>420057.31180825992</v>
      </c>
      <c r="FA347" s="196">
        <f>'Detailed Budget'!$AC$222</f>
        <v>93194251.145425782</v>
      </c>
      <c r="FB347" s="269">
        <f t="shared" si="947"/>
        <v>105014.32795206498</v>
      </c>
      <c r="FC347" s="269">
        <f t="shared" si="912"/>
        <v>525071.63976032496</v>
      </c>
      <c r="FD347" s="269"/>
      <c r="FE347" s="269">
        <f t="shared" si="913"/>
        <v>296899335.11917114</v>
      </c>
      <c r="FF347" s="140">
        <f>'Detailed Budget'!$AC$165</f>
        <v>14927760000</v>
      </c>
      <c r="FG347" s="1087">
        <f t="shared" si="972"/>
        <v>404990346.01362115</v>
      </c>
      <c r="FH347" s="269">
        <f t="shared" si="948"/>
        <v>16961436.200431772</v>
      </c>
      <c r="FJ347" s="140">
        <f>'Detailed Budget'!$AC$235</f>
        <v>3623696172</v>
      </c>
      <c r="FK347" s="269">
        <f t="shared" si="949"/>
        <v>4681778</v>
      </c>
      <c r="FL347" s="269">
        <f t="shared" si="973"/>
        <v>4681778</v>
      </c>
      <c r="FO347" s="607"/>
      <c r="FP347" s="607"/>
      <c r="FQ347" s="607"/>
      <c r="FR347" s="269">
        <f>'Detailed Budget'!$AC$257</f>
        <v>13636439388</v>
      </c>
      <c r="FS347" s="269">
        <f t="shared" si="950"/>
        <v>11492364</v>
      </c>
      <c r="FT347" s="269">
        <f t="shared" si="974"/>
        <v>11492364</v>
      </c>
      <c r="FU347" s="269"/>
      <c r="FV347" s="269"/>
      <c r="FW347" s="269"/>
      <c r="FX347" s="140">
        <f>'Detailed Budget'!$AC$278</f>
        <v>1114560000</v>
      </c>
      <c r="FY347" s="269">
        <f t="shared" si="951"/>
        <v>1440000</v>
      </c>
      <c r="FZ347" s="269">
        <f t="shared" si="975"/>
        <v>1440000</v>
      </c>
      <c r="GB347" s="269">
        <f t="shared" si="983"/>
        <v>2196860814.9111505</v>
      </c>
      <c r="GC347" s="887">
        <f t="shared" si="914"/>
        <v>1373038.0093194691</v>
      </c>
      <c r="GD347" s="1078">
        <f t="shared" si="984"/>
        <v>1.2327277804230312E-3</v>
      </c>
    </row>
    <row r="348" spans="1:186" hidden="1" outlineLevel="1">
      <c r="A348" s="211" t="s">
        <v>839</v>
      </c>
      <c r="B348" s="212" t="s">
        <v>840</v>
      </c>
      <c r="C348" s="213" t="s">
        <v>215</v>
      </c>
      <c r="D348" s="214" t="s">
        <v>215</v>
      </c>
      <c r="E348" s="213"/>
      <c r="F348" s="213"/>
      <c r="G348" s="213"/>
      <c r="H348" s="213" t="s">
        <v>215</v>
      </c>
      <c r="I348" s="214" t="s">
        <v>215</v>
      </c>
      <c r="J348" s="214"/>
      <c r="K348" s="213" t="s">
        <v>215</v>
      </c>
      <c r="L348" s="213"/>
      <c r="M348" s="214"/>
      <c r="N348" s="213"/>
      <c r="O348" s="214"/>
      <c r="P348" s="213"/>
      <c r="Q348" s="214"/>
      <c r="R348" s="214" t="s">
        <v>215</v>
      </c>
      <c r="S348" s="214"/>
      <c r="T348" s="213"/>
      <c r="U348" s="215">
        <f t="shared" si="952"/>
        <v>6</v>
      </c>
      <c r="V348" s="845" t="s">
        <v>219</v>
      </c>
      <c r="W348" s="216">
        <v>138618</v>
      </c>
      <c r="X348" s="217">
        <v>3.36</v>
      </c>
      <c r="Y348" s="218">
        <f t="shared" si="986"/>
        <v>1.0336000000000001</v>
      </c>
      <c r="Z348" s="196">
        <v>19</v>
      </c>
      <c r="AA348" s="218">
        <f t="shared" si="987"/>
        <v>1.873689022502546</v>
      </c>
      <c r="AB348" s="196">
        <f t="shared" si="988"/>
        <v>259727.02492125792</v>
      </c>
      <c r="AC348">
        <v>19.3</v>
      </c>
      <c r="AD348" s="196">
        <f t="shared" si="989"/>
        <v>50127.315809802778</v>
      </c>
      <c r="AE348" s="196">
        <f t="shared" si="990"/>
        <v>47620.950019312637</v>
      </c>
      <c r="AF348" s="196">
        <f t="shared" si="953"/>
        <v>47620.950019312637</v>
      </c>
      <c r="AG348" s="606">
        <f t="shared" si="917"/>
        <v>2.2017836690052164E-3</v>
      </c>
      <c r="AH348" s="196">
        <f t="shared" si="967"/>
        <v>12986.351246062897</v>
      </c>
      <c r="AI348" s="248">
        <f t="shared" si="896"/>
        <v>1.0060329547884547E-3</v>
      </c>
      <c r="AJ348" s="196">
        <f t="shared" si="897"/>
        <v>63113.667055865677</v>
      </c>
      <c r="AK348" s="196">
        <f t="shared" si="926"/>
        <v>10389.080996850316</v>
      </c>
      <c r="AL348" s="196">
        <f t="shared" si="927"/>
        <v>10389.080996850316</v>
      </c>
      <c r="AM348" s="196">
        <f t="shared" si="898"/>
        <v>20778.161993700633</v>
      </c>
      <c r="AN348" s="627">
        <f t="shared" si="899"/>
        <v>1.0060329547884545E-3</v>
      </c>
      <c r="AO348" s="196">
        <f t="shared" si="900"/>
        <v>9869.6269470078005</v>
      </c>
      <c r="AP348" s="589">
        <f t="shared" si="918"/>
        <v>1.0060329547884545E-3</v>
      </c>
      <c r="AQ348" s="196"/>
      <c r="AR348" s="589"/>
      <c r="AS348">
        <v>1</v>
      </c>
      <c r="AT348" s="589">
        <f t="shared" si="919"/>
        <v>1.2919896640826874E-3</v>
      </c>
      <c r="AU348" s="196">
        <v>10</v>
      </c>
      <c r="AV348" s="245">
        <f t="shared" si="901"/>
        <v>1.1362345188046814E-3</v>
      </c>
      <c r="AX348" s="245"/>
      <c r="AY348" s="245"/>
      <c r="AZ348" s="196">
        <v>23</v>
      </c>
      <c r="BA348" s="589">
        <f t="shared" si="977"/>
        <v>8.4276867831885966E-4</v>
      </c>
      <c r="BI348" s="196">
        <v>1</v>
      </c>
      <c r="BJ348" s="196">
        <f t="shared" si="954"/>
        <v>144292.7899846349</v>
      </c>
      <c r="BK348" s="246">
        <f t="shared" si="978"/>
        <v>2.7515764476596341E-3</v>
      </c>
      <c r="BL348" s="196">
        <f t="shared" si="968"/>
        <v>2885.8557996926979</v>
      </c>
      <c r="BM348" s="246">
        <f t="shared" si="979"/>
        <v>2.7515761328342535E-3</v>
      </c>
      <c r="BN348" s="196">
        <v>0</v>
      </c>
      <c r="BO348" s="196">
        <f t="shared" si="955"/>
        <v>18090.01595273885</v>
      </c>
      <c r="BP348" s="196">
        <f t="shared" si="902"/>
        <v>0</v>
      </c>
      <c r="BQ348" s="248">
        <f t="shared" si="980"/>
        <v>0</v>
      </c>
      <c r="BR348" s="248"/>
      <c r="BS348" s="248"/>
      <c r="BT348" s="276">
        <v>1</v>
      </c>
      <c r="BU348" s="196">
        <f t="shared" si="969"/>
        <v>37896.250752210901</v>
      </c>
      <c r="BV348" s="264">
        <f t="shared" si="981"/>
        <v>2.6285557336144594E-3</v>
      </c>
      <c r="BW348" s="196">
        <f t="shared" si="970"/>
        <v>162111.73932890219</v>
      </c>
      <c r="BX348" s="247">
        <f t="shared" si="982"/>
        <v>2.62855575729259E-3</v>
      </c>
      <c r="BY348" s="196">
        <f t="shared" si="985"/>
        <v>200007.99008111309</v>
      </c>
      <c r="BZ348" s="620">
        <v>0</v>
      </c>
      <c r="CA348" s="196">
        <f t="shared" si="956"/>
        <v>79476.469625904923</v>
      </c>
      <c r="CB348" s="196">
        <f t="shared" si="957"/>
        <v>158952.93925180985</v>
      </c>
      <c r="CC348" s="196">
        <f t="shared" si="915"/>
        <v>238429.40887771477</v>
      </c>
      <c r="CD348" s="247">
        <f t="shared" si="903"/>
        <v>1.0060329547884545E-3</v>
      </c>
      <c r="CE348" s="196">
        <f t="shared" si="958"/>
        <v>20352.191448544767</v>
      </c>
      <c r="CF348" s="247">
        <f t="shared" si="904"/>
        <v>8.7887092095775506E-4</v>
      </c>
      <c r="CG348" s="196">
        <f t="shared" si="929"/>
        <v>39478.507788031202</v>
      </c>
      <c r="CH348" s="589">
        <f t="shared" si="920"/>
        <v>1.0060329547884545E-3</v>
      </c>
      <c r="CI348" s="196">
        <f t="shared" si="959"/>
        <v>81487.64537882639</v>
      </c>
      <c r="CJ348" s="248">
        <f t="shared" si="921"/>
        <v>1.3396566831849139E-3</v>
      </c>
      <c r="CK348" s="196">
        <f t="shared" si="960"/>
        <v>74195.272420995767</v>
      </c>
      <c r="CL348" s="589">
        <f t="shared" si="922"/>
        <v>1.0665723023682457E-3</v>
      </c>
      <c r="CM348" s="196">
        <f t="shared" si="961"/>
        <v>7187.6717156179257</v>
      </c>
      <c r="CN348" s="589">
        <f t="shared" si="923"/>
        <v>1.0358251796013715E-3</v>
      </c>
      <c r="CO348" s="196">
        <f t="shared" si="962"/>
        <v>575.00901898475195</v>
      </c>
      <c r="CP348" s="589">
        <f t="shared" si="924"/>
        <v>1.0843784421116043E-3</v>
      </c>
      <c r="CQ348" s="196">
        <f>'Detailed Budget'!$AC$12</f>
        <v>292876014141.44696</v>
      </c>
      <c r="CR348" s="269">
        <f t="shared" si="925"/>
        <v>805870742.59603536</v>
      </c>
      <c r="CS348" s="269">
        <f>'Detailed Budget'!$AC$16</f>
        <v>10488008800.000002</v>
      </c>
      <c r="CT348" s="607">
        <f t="shared" si="931"/>
        <v>28858554.695035625</v>
      </c>
      <c r="CU348" s="269">
        <f>'Detailed Budget'!$AC$24</f>
        <v>30624985696</v>
      </c>
      <c r="CV348" s="269">
        <f t="shared" si="976"/>
        <v>84266989.351026788</v>
      </c>
      <c r="CW348" s="269"/>
      <c r="CX348" s="269">
        <f t="shared" si="916"/>
        <v>918996286.64209771</v>
      </c>
      <c r="CY348" s="196">
        <f>'Detailed Budget'!$AC$97</f>
        <v>74629165494.837845</v>
      </c>
      <c r="CZ348" s="269">
        <f t="shared" si="932"/>
        <v>0</v>
      </c>
      <c r="DA348" s="269">
        <f>'Detailed Budget'!$AC$100</f>
        <v>14925833098.967569</v>
      </c>
      <c r="DB348" s="269">
        <f t="shared" si="933"/>
        <v>0</v>
      </c>
      <c r="DC348" s="269">
        <f t="shared" si="905"/>
        <v>0</v>
      </c>
      <c r="DD348" s="207">
        <v>0</v>
      </c>
      <c r="DE348" s="606">
        <v>0</v>
      </c>
      <c r="DF348" s="269">
        <f>'Detailed Budget'!$AC$147</f>
        <v>5913600671000</v>
      </c>
      <c r="DG348" s="269">
        <f t="shared" si="971"/>
        <v>0</v>
      </c>
      <c r="DH348" s="269">
        <f>'Detailed Budget'!$AC$153</f>
        <v>226428026880.00003</v>
      </c>
      <c r="DI348" s="269"/>
      <c r="DJ348" s="269">
        <f>'Detailed Budget'!$AC$156</f>
        <v>27713070000</v>
      </c>
      <c r="DK348" s="269"/>
      <c r="DL348" s="269"/>
      <c r="DM348" s="196">
        <f>'Detailed Budget'!$AC$178</f>
        <v>5622683761.6229038</v>
      </c>
      <c r="DN348" s="269">
        <f t="shared" si="963"/>
        <v>14779537.639914799</v>
      </c>
      <c r="DO348" s="196">
        <f>'Detailed Budget'!$AC$179</f>
        <v>26827890683.128094</v>
      </c>
      <c r="DP348" s="269">
        <f t="shared" si="964"/>
        <v>70518606.51115258</v>
      </c>
      <c r="DQ348" s="269">
        <f t="shared" si="870"/>
        <v>85298144.151067376</v>
      </c>
      <c r="DR348" s="269">
        <f>'Detailed Budget'!$AC$181</f>
        <v>50888946855.375237</v>
      </c>
      <c r="DS348" s="269">
        <f t="shared" si="965"/>
        <v>112046452.11903955</v>
      </c>
      <c r="DT348" s="269">
        <f t="shared" si="966"/>
        <v>197344596.27010691</v>
      </c>
      <c r="DU348" s="272">
        <f>'Detailed Budget'!$AC$192</f>
        <v>77498869683.252869</v>
      </c>
      <c r="DV348" s="269">
        <f t="shared" si="934"/>
        <v>0</v>
      </c>
      <c r="DW348" s="140">
        <f>'Detailed Budget'!$AC$194</f>
        <v>2684962805.4134097</v>
      </c>
      <c r="DX348" s="269">
        <f t="shared" si="935"/>
        <v>0</v>
      </c>
      <c r="DY348" s="607">
        <f t="shared" si="906"/>
        <v>0</v>
      </c>
      <c r="DZ348" s="196">
        <f>'Detailed Budget'!$AC$198</f>
        <v>18732540018.380611</v>
      </c>
      <c r="EA348" s="269">
        <f t="shared" si="936"/>
        <v>16463484.697832169</v>
      </c>
      <c r="EB348" s="196">
        <f>'Detailed Budget'!$AC$200</f>
        <v>4683135004.5951529</v>
      </c>
      <c r="EC348" s="269">
        <f t="shared" si="937"/>
        <v>4115871.1744580423</v>
      </c>
      <c r="ED348" s="269">
        <f t="shared" si="907"/>
        <v>20579355.872290213</v>
      </c>
      <c r="EE348" s="196">
        <f>'Detailed Budget'!$AC$161</f>
        <v>251147290106.36197</v>
      </c>
      <c r="EF348" s="269">
        <f t="shared" si="938"/>
        <v>252662450.35281652</v>
      </c>
      <c r="EG348" s="196">
        <f>'Detailed Budget'!$AC$163</f>
        <v>15696705631.647623</v>
      </c>
      <c r="EH348" s="269">
        <f t="shared" si="939"/>
        <v>15791403.147051033</v>
      </c>
      <c r="EI348" s="269">
        <f t="shared" si="908"/>
        <v>268453853.49986756</v>
      </c>
      <c r="EJ348" s="196">
        <f>'Detailed Budget'!$AC$204</f>
        <v>45012172507.531975</v>
      </c>
      <c r="EK348" s="269">
        <f t="shared" si="940"/>
        <v>60300857.724387452</v>
      </c>
      <c r="EL348" s="201">
        <f>'Detailed Budget'!$AC$206</f>
        <v>11253043126.882994</v>
      </c>
      <c r="EM348" s="269">
        <f t="shared" si="941"/>
        <v>15075214.431096863</v>
      </c>
      <c r="EN348" s="269">
        <f t="shared" si="909"/>
        <v>75376072.155484319</v>
      </c>
      <c r="EO348" s="140">
        <f>'Detailed Budget'!$AC$209</f>
        <v>135789361677.54817</v>
      </c>
      <c r="EP348" s="269">
        <f t="shared" si="942"/>
        <v>144829172.12153697</v>
      </c>
      <c r="EQ348" s="196">
        <f>'Detailed Budget'!$AC$211</f>
        <v>33947340419.387043</v>
      </c>
      <c r="ER348" s="269">
        <f t="shared" si="943"/>
        <v>36207293.030384243</v>
      </c>
      <c r="ES348" s="269">
        <f t="shared" si="910"/>
        <v>181036465.15192121</v>
      </c>
      <c r="ET348" s="196">
        <f>'Detailed Budget'!$AC$214</f>
        <v>22239745544.201103</v>
      </c>
      <c r="EU348" s="269">
        <f t="shared" si="944"/>
        <v>23036488.422610909</v>
      </c>
      <c r="EV348" s="140">
        <f>'Detailed Budget'!$AC$217</f>
        <v>5559936386.0502758</v>
      </c>
      <c r="EW348" s="269">
        <f t="shared" si="945"/>
        <v>5759122.1056527272</v>
      </c>
      <c r="EX348" s="269">
        <f t="shared" si="911"/>
        <v>28795610.528263636</v>
      </c>
      <c r="EY348" s="196">
        <f>'Detailed Budget'!$AC$219</f>
        <v>372777004.58170313</v>
      </c>
      <c r="EZ348" s="269">
        <f t="shared" si="946"/>
        <v>404231.34748333762</v>
      </c>
      <c r="FA348" s="196">
        <f>'Detailed Budget'!$AC$222</f>
        <v>93194251.145425782</v>
      </c>
      <c r="FB348" s="269">
        <f t="shared" si="947"/>
        <v>101057.83687083441</v>
      </c>
      <c r="FC348" s="269">
        <f t="shared" si="912"/>
        <v>505289.18435417203</v>
      </c>
      <c r="FD348" s="269"/>
      <c r="FE348" s="269">
        <f t="shared" si="913"/>
        <v>285713437.02002335</v>
      </c>
      <c r="FF348" s="140">
        <f>'Detailed Budget'!$AC$165</f>
        <v>14927760000</v>
      </c>
      <c r="FG348" s="1087">
        <f t="shared" si="972"/>
        <v>389732040.56868428</v>
      </c>
      <c r="FH348" s="269">
        <f t="shared" si="948"/>
        <v>16961436.200431772</v>
      </c>
      <c r="FJ348" s="140">
        <f>'Detailed Budget'!$AC$235</f>
        <v>3623696172</v>
      </c>
      <c r="FK348" s="269">
        <f t="shared" si="949"/>
        <v>4681778</v>
      </c>
      <c r="FL348" s="269">
        <f t="shared" si="973"/>
        <v>4681778</v>
      </c>
      <c r="FO348" s="607"/>
      <c r="FP348" s="607"/>
      <c r="FQ348" s="607"/>
      <c r="FR348" s="269">
        <f>'Detailed Budget'!$AC$257</f>
        <v>13636439388</v>
      </c>
      <c r="FS348" s="269">
        <f t="shared" si="950"/>
        <v>11492364</v>
      </c>
      <c r="FT348" s="269">
        <f t="shared" si="974"/>
        <v>11492364</v>
      </c>
      <c r="FU348" s="269"/>
      <c r="FV348" s="269"/>
      <c r="FW348" s="269"/>
      <c r="FX348" s="140">
        <f>'Detailed Budget'!$AC$278</f>
        <v>1114560000</v>
      </c>
      <c r="FY348" s="269">
        <f t="shared" si="951"/>
        <v>1440000</v>
      </c>
      <c r="FZ348" s="269">
        <f t="shared" si="975"/>
        <v>1440000</v>
      </c>
      <c r="GB348" s="269">
        <f t="shared" si="983"/>
        <v>2115395148.0735018</v>
      </c>
      <c r="GC348" s="887">
        <f t="shared" si="914"/>
        <v>1322121.9675459387</v>
      </c>
      <c r="GD348" s="1078">
        <f t="shared" si="984"/>
        <v>1.1870148294796559E-3</v>
      </c>
    </row>
    <row r="349" spans="1:186" hidden="1" outlineLevel="1">
      <c r="A349" s="211" t="s">
        <v>841</v>
      </c>
      <c r="B349" s="212" t="s">
        <v>842</v>
      </c>
      <c r="C349" s="213" t="s">
        <v>215</v>
      </c>
      <c r="D349" s="214" t="s">
        <v>215</v>
      </c>
      <c r="E349" s="213"/>
      <c r="F349" s="213"/>
      <c r="G349" s="213"/>
      <c r="H349" s="213" t="s">
        <v>215</v>
      </c>
      <c r="I349" s="214" t="s">
        <v>215</v>
      </c>
      <c r="J349" s="214"/>
      <c r="K349" s="213" t="s">
        <v>215</v>
      </c>
      <c r="L349" s="213"/>
      <c r="M349" s="214"/>
      <c r="N349" s="213"/>
      <c r="O349" s="214"/>
      <c r="P349" s="213"/>
      <c r="Q349" s="214"/>
      <c r="R349" s="214" t="s">
        <v>215</v>
      </c>
      <c r="S349" s="214"/>
      <c r="T349" s="213"/>
      <c r="U349" s="215">
        <f t="shared" si="952"/>
        <v>6</v>
      </c>
      <c r="V349" s="845" t="s">
        <v>219</v>
      </c>
      <c r="W349" s="216">
        <v>267168</v>
      </c>
      <c r="X349" s="217">
        <v>3.36</v>
      </c>
      <c r="Y349" s="218">
        <f t="shared" si="986"/>
        <v>1.0336000000000001</v>
      </c>
      <c r="Z349" s="196">
        <v>19</v>
      </c>
      <c r="AA349" s="218">
        <f t="shared" si="987"/>
        <v>1.873689022502546</v>
      </c>
      <c r="AB349" s="196">
        <f t="shared" si="988"/>
        <v>500589.7487639602</v>
      </c>
      <c r="AC349">
        <v>19.3</v>
      </c>
      <c r="AD349" s="196">
        <f t="shared" si="989"/>
        <v>96613.821511444316</v>
      </c>
      <c r="AE349" s="196">
        <f t="shared" si="990"/>
        <v>91783.130435872095</v>
      </c>
      <c r="AF349" s="196">
        <f t="shared" si="953"/>
        <v>91783.130435872095</v>
      </c>
      <c r="AG349" s="606">
        <f t="shared" si="917"/>
        <v>4.2436490158621939E-3</v>
      </c>
      <c r="AH349" s="196">
        <f t="shared" si="967"/>
        <v>25029.487438198012</v>
      </c>
      <c r="AI349" s="248">
        <f t="shared" si="896"/>
        <v>1.9389964684595206E-3</v>
      </c>
      <c r="AJ349" s="196">
        <f t="shared" si="897"/>
        <v>121643.30894964232</v>
      </c>
      <c r="AK349" s="196">
        <f t="shared" si="926"/>
        <v>20023.589950558409</v>
      </c>
      <c r="AL349" s="196">
        <f t="shared" si="927"/>
        <v>20023.589950558409</v>
      </c>
      <c r="AM349" s="196">
        <f t="shared" si="898"/>
        <v>40047.179901116819</v>
      </c>
      <c r="AN349" s="627">
        <f t="shared" si="899"/>
        <v>1.9389964684595206E-3</v>
      </c>
      <c r="AO349" s="196">
        <f t="shared" si="900"/>
        <v>19022.410453030487</v>
      </c>
      <c r="AP349" s="589">
        <f t="shared" si="918"/>
        <v>1.9389964684595204E-3</v>
      </c>
      <c r="AQ349" s="196"/>
      <c r="AR349" s="589"/>
      <c r="AS349">
        <v>1</v>
      </c>
      <c r="AT349" s="589">
        <f t="shared" si="919"/>
        <v>1.2919896640826874E-3</v>
      </c>
      <c r="AU349" s="196">
        <v>15</v>
      </c>
      <c r="AV349" s="245">
        <f t="shared" si="901"/>
        <v>1.7043517782070218E-3</v>
      </c>
      <c r="AX349" s="245"/>
      <c r="AY349" s="245"/>
      <c r="AZ349" s="196">
        <v>36</v>
      </c>
      <c r="BA349" s="589">
        <f t="shared" si="977"/>
        <v>1.3191161921512586E-3</v>
      </c>
      <c r="BI349" s="196">
        <v>1</v>
      </c>
      <c r="BJ349" s="196">
        <f t="shared" si="954"/>
        <v>278105.41282239638</v>
      </c>
      <c r="BK349" s="246">
        <f t="shared" si="978"/>
        <v>5.3033024309132228E-3</v>
      </c>
      <c r="BL349" s="196">
        <f t="shared" si="968"/>
        <v>5562.1082564479275</v>
      </c>
      <c r="BM349" s="246">
        <f t="shared" si="979"/>
        <v>5.3033018241286263E-3</v>
      </c>
      <c r="BN349" s="196">
        <v>0</v>
      </c>
      <c r="BO349" s="196">
        <f t="shared" si="955"/>
        <v>34866.131253237909</v>
      </c>
      <c r="BP349" s="196">
        <f t="shared" si="902"/>
        <v>0</v>
      </c>
      <c r="BQ349" s="248">
        <f t="shared" si="980"/>
        <v>0</v>
      </c>
      <c r="BR349" s="248"/>
      <c r="BS349" s="248"/>
      <c r="BT349" s="276">
        <v>1</v>
      </c>
      <c r="BU349" s="196">
        <f t="shared" si="969"/>
        <v>73040.049062651902</v>
      </c>
      <c r="BV349" s="264">
        <f t="shared" si="981"/>
        <v>5.0661961522912458E-3</v>
      </c>
      <c r="BW349" s="196">
        <f t="shared" si="970"/>
        <v>312449.09876801097</v>
      </c>
      <c r="BX349" s="247">
        <f t="shared" si="982"/>
        <v>5.0661961979277352E-3</v>
      </c>
      <c r="BY349" s="196">
        <f t="shared" si="985"/>
        <v>385489.1478306629</v>
      </c>
      <c r="BZ349" s="620">
        <v>0</v>
      </c>
      <c r="CA349" s="196">
        <f t="shared" si="956"/>
        <v>153180.46312177181</v>
      </c>
      <c r="CB349" s="196">
        <f t="shared" si="957"/>
        <v>306360.92624354362</v>
      </c>
      <c r="CC349" s="196">
        <f t="shared" si="915"/>
        <v>459541.38936531544</v>
      </c>
      <c r="CD349" s="247">
        <f t="shared" si="903"/>
        <v>1.9389964684595204E-3</v>
      </c>
      <c r="CE349" s="196">
        <f t="shared" si="958"/>
        <v>39226.177588226696</v>
      </c>
      <c r="CF349" s="247">
        <f t="shared" si="904"/>
        <v>1.6939083395406188E-3</v>
      </c>
      <c r="CG349" s="196">
        <f t="shared" si="929"/>
        <v>76089.641812121947</v>
      </c>
      <c r="CH349" s="589">
        <f t="shared" si="920"/>
        <v>1.9389964684595204E-3</v>
      </c>
      <c r="CI349" s="196">
        <f t="shared" si="959"/>
        <v>157056.74039857945</v>
      </c>
      <c r="CJ349" s="248">
        <f t="shared" si="921"/>
        <v>2.5820124134899296E-3</v>
      </c>
      <c r="CK349" s="196">
        <f t="shared" si="960"/>
        <v>143001.64871930482</v>
      </c>
      <c r="CL349" s="589">
        <f t="shared" si="922"/>
        <v>2.0556781145242282E-3</v>
      </c>
      <c r="CM349" s="196">
        <f t="shared" si="961"/>
        <v>13853.293777995714</v>
      </c>
      <c r="CN349" s="589">
        <f t="shared" si="923"/>
        <v>1.9964170712587054E-3</v>
      </c>
      <c r="CO349" s="196">
        <f t="shared" si="962"/>
        <v>1108.2544084038018</v>
      </c>
      <c r="CP349" s="589">
        <f t="shared" si="924"/>
        <v>2.0899971116454794E-3</v>
      </c>
      <c r="CQ349" s="196">
        <f>'Detailed Budget'!$AC$12</f>
        <v>292876014141.44696</v>
      </c>
      <c r="CR349" s="269">
        <f t="shared" si="925"/>
        <v>1553210077.752511</v>
      </c>
      <c r="CS349" s="269">
        <f>'Detailed Budget'!$AC$16</f>
        <v>10488008800.000002</v>
      </c>
      <c r="CT349" s="607">
        <f t="shared" si="931"/>
        <v>55621076.200517096</v>
      </c>
      <c r="CU349" s="269">
        <f>'Detailed Budget'!$AC$24</f>
        <v>30624985696</v>
      </c>
      <c r="CV349" s="269">
        <f t="shared" si="976"/>
        <v>162413561.08827949</v>
      </c>
      <c r="CW349" s="269"/>
      <c r="CX349" s="269">
        <f t="shared" si="916"/>
        <v>1771244715.0413077</v>
      </c>
      <c r="CY349" s="196">
        <f>'Detailed Budget'!$AC$97</f>
        <v>74629165494.837845</v>
      </c>
      <c r="CZ349" s="269">
        <f t="shared" si="932"/>
        <v>0</v>
      </c>
      <c r="DA349" s="269">
        <f>'Detailed Budget'!$AC$100</f>
        <v>14925833098.967569</v>
      </c>
      <c r="DB349" s="269">
        <f t="shared" si="933"/>
        <v>0</v>
      </c>
      <c r="DC349" s="269">
        <f t="shared" si="905"/>
        <v>0</v>
      </c>
      <c r="DD349" s="207">
        <v>0</v>
      </c>
      <c r="DE349" s="606">
        <v>0</v>
      </c>
      <c r="DF349" s="269">
        <f>'Detailed Budget'!$AC$147</f>
        <v>5913600671000</v>
      </c>
      <c r="DG349" s="269">
        <f t="shared" si="971"/>
        <v>0</v>
      </c>
      <c r="DH349" s="269">
        <f>'Detailed Budget'!$AC$153</f>
        <v>226428026880.00003</v>
      </c>
      <c r="DI349" s="269"/>
      <c r="DJ349" s="269">
        <f>'Detailed Budget'!$AC$156</f>
        <v>27713070000</v>
      </c>
      <c r="DK349" s="269"/>
      <c r="DL349" s="269"/>
      <c r="DM349" s="196">
        <f>'Detailed Budget'!$AC$178</f>
        <v>5622683761.6229038</v>
      </c>
      <c r="DN349" s="269">
        <f t="shared" si="963"/>
        <v>28485618.838684425</v>
      </c>
      <c r="DO349" s="196">
        <f>'Detailed Budget'!$AC$179</f>
        <v>26827890683.128094</v>
      </c>
      <c r="DP349" s="269">
        <f t="shared" si="964"/>
        <v>135915357.77728447</v>
      </c>
      <c r="DQ349" s="269">
        <f t="shared" si="870"/>
        <v>164400976.61596888</v>
      </c>
      <c r="DR349" s="269">
        <f>'Detailed Budget'!$AC$181</f>
        <v>50888946855.375237</v>
      </c>
      <c r="DS349" s="269">
        <f t="shared" si="965"/>
        <v>215954829.24107662</v>
      </c>
      <c r="DT349" s="269">
        <f t="shared" si="966"/>
        <v>380355805.85704553</v>
      </c>
      <c r="DU349" s="272">
        <f>'Detailed Budget'!$AC$192</f>
        <v>77498869683.252869</v>
      </c>
      <c r="DV349" s="269">
        <f t="shared" si="934"/>
        <v>0</v>
      </c>
      <c r="DW349" s="140">
        <f>'Detailed Budget'!$AC$194</f>
        <v>2684962805.4134097</v>
      </c>
      <c r="DX349" s="269">
        <f t="shared" si="935"/>
        <v>0</v>
      </c>
      <c r="DY349" s="607">
        <f t="shared" si="906"/>
        <v>0</v>
      </c>
      <c r="DZ349" s="196">
        <f>'Detailed Budget'!$AC$198</f>
        <v>18732540018.380611</v>
      </c>
      <c r="EA349" s="269">
        <f t="shared" si="936"/>
        <v>31731205.757913295</v>
      </c>
      <c r="EB349" s="196">
        <f>'Detailed Budget'!$AC$200</f>
        <v>4683135004.5951529</v>
      </c>
      <c r="EC349" s="269">
        <f t="shared" si="937"/>
        <v>7932801.4394783238</v>
      </c>
      <c r="ED349" s="269">
        <f t="shared" si="907"/>
        <v>39664007.197391622</v>
      </c>
      <c r="EE349" s="196">
        <f>'Detailed Budget'!$AC$161</f>
        <v>251147290106.36197</v>
      </c>
      <c r="EF349" s="269">
        <f t="shared" si="938"/>
        <v>486973708.57941449</v>
      </c>
      <c r="EG349" s="196">
        <f>'Detailed Budget'!$AC$163</f>
        <v>15696705631.647623</v>
      </c>
      <c r="EH349" s="269">
        <f t="shared" si="939"/>
        <v>30435856.786213405</v>
      </c>
      <c r="EI349" s="269">
        <f t="shared" si="908"/>
        <v>517409565.36562788</v>
      </c>
      <c r="EJ349" s="196">
        <f>'Detailed Budget'!$AC$204</f>
        <v>45012172507.531975</v>
      </c>
      <c r="EK349" s="269">
        <f t="shared" si="940"/>
        <v>116221988.17259769</v>
      </c>
      <c r="EL349" s="201">
        <f>'Detailed Budget'!$AC$206</f>
        <v>11253043126.882994</v>
      </c>
      <c r="EM349" s="269">
        <f t="shared" si="941"/>
        <v>29055497.043149423</v>
      </c>
      <c r="EN349" s="269">
        <f t="shared" si="909"/>
        <v>145277485.21574712</v>
      </c>
      <c r="EO349" s="140">
        <f>'Detailed Budget'!$AC$209</f>
        <v>135789361677.54817</v>
      </c>
      <c r="EP349" s="269">
        <f t="shared" si="942"/>
        <v>279139218.98575073</v>
      </c>
      <c r="EQ349" s="196">
        <f>'Detailed Budget'!$AC$211</f>
        <v>33947340419.387043</v>
      </c>
      <c r="ER349" s="269">
        <f t="shared" si="943"/>
        <v>69784804.746437684</v>
      </c>
      <c r="ES349" s="269">
        <f t="shared" si="910"/>
        <v>348924023.7321884</v>
      </c>
      <c r="ET349" s="196">
        <f>'Detailed Budget'!$AC$214</f>
        <v>22239745544.201103</v>
      </c>
      <c r="EU349" s="269">
        <f t="shared" si="944"/>
        <v>44399807.664892808</v>
      </c>
      <c r="EV349" s="140">
        <f>'Detailed Budget'!$AC$217</f>
        <v>5559936386.0502758</v>
      </c>
      <c r="EW349" s="269">
        <f t="shared" si="945"/>
        <v>11099951.916223202</v>
      </c>
      <c r="EX349" s="269">
        <f t="shared" si="911"/>
        <v>55499759.581116006</v>
      </c>
      <c r="EY349" s="196">
        <f>'Detailed Budget'!$AC$219</f>
        <v>372777004.58170313</v>
      </c>
      <c r="EZ349" s="269">
        <f t="shared" si="946"/>
        <v>779102.86286361318</v>
      </c>
      <c r="FA349" s="196">
        <f>'Detailed Budget'!$AC$222</f>
        <v>93194251.145425782</v>
      </c>
      <c r="FB349" s="269">
        <f t="shared" si="947"/>
        <v>194775.71571590329</v>
      </c>
      <c r="FC349" s="269">
        <f t="shared" si="912"/>
        <v>973878.5785795165</v>
      </c>
      <c r="FD349" s="269"/>
      <c r="FE349" s="269">
        <f t="shared" si="913"/>
        <v>550675147.10763109</v>
      </c>
      <c r="FF349" s="140">
        <f>'Detailed Budget'!$AC$165</f>
        <v>14927760000</v>
      </c>
      <c r="FG349" s="1087">
        <f t="shared" si="972"/>
        <v>751157351.96478283</v>
      </c>
      <c r="FH349" s="269">
        <f t="shared" si="948"/>
        <v>25442154.300647654</v>
      </c>
      <c r="FJ349" s="140">
        <f>'Detailed Budget'!$AC$235</f>
        <v>3623696172</v>
      </c>
      <c r="FK349" s="269">
        <f t="shared" si="949"/>
        <v>4681778</v>
      </c>
      <c r="FL349" s="269">
        <f t="shared" si="973"/>
        <v>4681778</v>
      </c>
      <c r="FO349" s="607"/>
      <c r="FP349" s="607"/>
      <c r="FQ349" s="607"/>
      <c r="FR349" s="269">
        <f>'Detailed Budget'!$AC$257</f>
        <v>13636439388</v>
      </c>
      <c r="FS349" s="269">
        <f t="shared" si="950"/>
        <v>17988048</v>
      </c>
      <c r="FT349" s="269">
        <f t="shared" si="974"/>
        <v>17988048</v>
      </c>
      <c r="FU349" s="269"/>
      <c r="FV349" s="269"/>
      <c r="FW349" s="269"/>
      <c r="FX349" s="140">
        <f>'Detailed Budget'!$AC$278</f>
        <v>1114560000</v>
      </c>
      <c r="FY349" s="269">
        <f t="shared" si="951"/>
        <v>1440000</v>
      </c>
      <c r="FZ349" s="269">
        <f t="shared" si="975"/>
        <v>1440000</v>
      </c>
      <c r="GB349" s="269">
        <f t="shared" si="983"/>
        <v>4060058572.834434</v>
      </c>
      <c r="GC349" s="887">
        <f t="shared" si="914"/>
        <v>2537536.6080215215</v>
      </c>
      <c r="GD349" s="1078">
        <f t="shared" si="984"/>
        <v>2.2782267128198157E-3</v>
      </c>
    </row>
    <row r="350" spans="1:186" hidden="1" outlineLevel="1">
      <c r="A350" s="211" t="s">
        <v>843</v>
      </c>
      <c r="B350" s="212" t="s">
        <v>844</v>
      </c>
      <c r="C350" s="213" t="s">
        <v>215</v>
      </c>
      <c r="D350" s="214" t="s">
        <v>215</v>
      </c>
      <c r="E350" s="213"/>
      <c r="F350" s="213"/>
      <c r="G350" s="213"/>
      <c r="H350" s="213" t="s">
        <v>215</v>
      </c>
      <c r="I350" s="214" t="s">
        <v>215</v>
      </c>
      <c r="J350" s="214"/>
      <c r="K350" s="213" t="s">
        <v>215</v>
      </c>
      <c r="L350" s="213"/>
      <c r="M350" s="214"/>
      <c r="N350" s="213"/>
      <c r="O350" s="214"/>
      <c r="P350" s="213"/>
      <c r="Q350" s="214" t="s">
        <v>215</v>
      </c>
      <c r="R350" s="214"/>
      <c r="S350" s="214"/>
      <c r="T350" s="213"/>
      <c r="U350" s="215">
        <f t="shared" si="952"/>
        <v>6</v>
      </c>
      <c r="V350" s="845" t="s">
        <v>265</v>
      </c>
      <c r="W350" s="216">
        <v>294391</v>
      </c>
      <c r="X350" s="217">
        <v>3.36</v>
      </c>
      <c r="Y350" s="218">
        <f t="shared" si="986"/>
        <v>1.0336000000000001</v>
      </c>
      <c r="Z350" s="196">
        <v>19</v>
      </c>
      <c r="AA350" s="218">
        <f t="shared" si="987"/>
        <v>1.873689022502546</v>
      </c>
      <c r="AB350" s="196">
        <f t="shared" si="988"/>
        <v>551597.18502354703</v>
      </c>
      <c r="AC350">
        <v>19.3</v>
      </c>
      <c r="AD350" s="196">
        <f t="shared" si="989"/>
        <v>106458.25670954458</v>
      </c>
      <c r="AE350" s="196">
        <f t="shared" si="990"/>
        <v>101135.34387406734</v>
      </c>
      <c r="AF350" s="196">
        <f t="shared" si="953"/>
        <v>101135.34387406734</v>
      </c>
      <c r="AG350" s="606">
        <f t="shared" si="917"/>
        <v>4.6760543082580517E-3</v>
      </c>
      <c r="AH350" s="196">
        <f t="shared" si="967"/>
        <v>27579.859251177353</v>
      </c>
      <c r="AI350" s="248">
        <f t="shared" si="896"/>
        <v>2.1365699086202941E-3</v>
      </c>
      <c r="AJ350" s="196">
        <f t="shared" si="897"/>
        <v>134038.11596072195</v>
      </c>
      <c r="AK350" s="196">
        <f t="shared" si="926"/>
        <v>22063.887400941883</v>
      </c>
      <c r="AL350" s="196">
        <f t="shared" si="927"/>
        <v>22063.887400941883</v>
      </c>
      <c r="AM350" s="196">
        <f t="shared" si="898"/>
        <v>44127.774801883766</v>
      </c>
      <c r="AN350" s="627">
        <f t="shared" si="899"/>
        <v>2.1365699086202945E-3</v>
      </c>
      <c r="AO350" s="196">
        <f t="shared" si="900"/>
        <v>20960.693030894789</v>
      </c>
      <c r="AP350" s="589">
        <f t="shared" si="918"/>
        <v>2.1365699086202941E-3</v>
      </c>
      <c r="AQ350" s="196"/>
      <c r="AR350" s="589"/>
      <c r="AS350">
        <v>1</v>
      </c>
      <c r="AT350" s="589">
        <f t="shared" si="919"/>
        <v>1.2919896640826874E-3</v>
      </c>
      <c r="AU350" s="196">
        <v>11</v>
      </c>
      <c r="AV350" s="245">
        <f t="shared" si="901"/>
        <v>1.2498579706851495E-3</v>
      </c>
      <c r="AX350" s="245"/>
      <c r="AY350" s="245"/>
      <c r="AZ350" s="196">
        <v>29</v>
      </c>
      <c r="BA350" s="589">
        <f t="shared" si="977"/>
        <v>1.0626213770107361E-3</v>
      </c>
      <c r="BI350" s="196">
        <v>1</v>
      </c>
      <c r="BJ350" s="196">
        <f t="shared" si="954"/>
        <v>306442.87708931486</v>
      </c>
      <c r="BK350" s="246">
        <f t="shared" si="978"/>
        <v>5.8436807774096232E-3</v>
      </c>
      <c r="BL350" s="196">
        <f t="shared" si="968"/>
        <v>6128.8575417862976</v>
      </c>
      <c r="BM350" s="246">
        <f t="shared" si="979"/>
        <v>5.8436801087968998E-3</v>
      </c>
      <c r="BN350" s="196">
        <v>0</v>
      </c>
      <c r="BO350" s="196">
        <f t="shared" si="955"/>
        <v>38418.804818585922</v>
      </c>
      <c r="BP350" s="196">
        <f t="shared" si="902"/>
        <v>0</v>
      </c>
      <c r="BQ350" s="248">
        <f t="shared" si="980"/>
        <v>0</v>
      </c>
      <c r="BR350" s="248"/>
      <c r="BS350" s="248"/>
      <c r="BT350" s="276">
        <v>1</v>
      </c>
      <c r="BU350" s="196">
        <f t="shared" si="969"/>
        <v>80482.44207241571</v>
      </c>
      <c r="BV350" s="264">
        <f t="shared" si="981"/>
        <v>5.5824146285078013E-3</v>
      </c>
      <c r="BW350" s="196">
        <f t="shared" si="970"/>
        <v>344286.00219866721</v>
      </c>
      <c r="BX350" s="247">
        <f t="shared" si="982"/>
        <v>5.5824146787944061E-3</v>
      </c>
      <c r="BY350" s="196">
        <f t="shared" si="985"/>
        <v>424768.44427108293</v>
      </c>
      <c r="BZ350" s="620">
        <v>0</v>
      </c>
      <c r="CA350" s="196">
        <f t="shared" si="956"/>
        <v>168788.73861720538</v>
      </c>
      <c r="CB350" s="196">
        <f t="shared" si="957"/>
        <v>337577.47723441076</v>
      </c>
      <c r="CC350" s="196">
        <f t="shared" si="915"/>
        <v>506366.21585161611</v>
      </c>
      <c r="CD350" s="247">
        <f t="shared" si="903"/>
        <v>2.1365699086202941E-3</v>
      </c>
      <c r="CE350" s="196">
        <f t="shared" si="958"/>
        <v>43223.116714485441</v>
      </c>
      <c r="CF350" s="247">
        <f t="shared" si="904"/>
        <v>1.866508601275985E-3</v>
      </c>
      <c r="CG350" s="196">
        <f t="shared" si="929"/>
        <v>83842.772123579154</v>
      </c>
      <c r="CH350" s="589">
        <f t="shared" si="920"/>
        <v>2.1365699086202941E-3</v>
      </c>
      <c r="CI350" s="196">
        <f t="shared" si="959"/>
        <v>173059.98795768287</v>
      </c>
      <c r="CJ350" s="248">
        <f t="shared" si="921"/>
        <v>2.8451057627399768E-3</v>
      </c>
      <c r="CK350" s="196">
        <f t="shared" si="960"/>
        <v>157572.75709712569</v>
      </c>
      <c r="CL350" s="589">
        <f t="shared" si="922"/>
        <v>2.2651407946045268E-3</v>
      </c>
      <c r="CM350" s="196">
        <f t="shared" si="961"/>
        <v>15264.870825091093</v>
      </c>
      <c r="CN350" s="589">
        <f t="shared" si="923"/>
        <v>2.1998413658257036E-3</v>
      </c>
      <c r="CO350" s="196">
        <f t="shared" si="962"/>
        <v>1221.1796455578649</v>
      </c>
      <c r="CP350" s="589">
        <f t="shared" si="924"/>
        <v>2.30295671522946E-3</v>
      </c>
      <c r="CQ350" s="196">
        <f>'Detailed Budget'!$AC$12</f>
        <v>292876014141.44696</v>
      </c>
      <c r="CR350" s="269">
        <f t="shared" si="925"/>
        <v>1711473934.0027225</v>
      </c>
      <c r="CS350" s="269">
        <f>'Detailed Budget'!$AC$16</f>
        <v>10488008800.000002</v>
      </c>
      <c r="CT350" s="607">
        <f t="shared" si="931"/>
        <v>61288568.405446857</v>
      </c>
      <c r="CU350" s="269">
        <f>'Detailed Budget'!$AC$24</f>
        <v>30624985696</v>
      </c>
      <c r="CV350" s="269">
        <f t="shared" si="976"/>
        <v>178962640.22015986</v>
      </c>
      <c r="CW350" s="269"/>
      <c r="CX350" s="269">
        <f t="shared" si="916"/>
        <v>1951725142.628329</v>
      </c>
      <c r="CY350" s="196">
        <f>'Detailed Budget'!$AC$97</f>
        <v>74629165494.837845</v>
      </c>
      <c r="CZ350" s="269">
        <f t="shared" si="932"/>
        <v>0</v>
      </c>
      <c r="DA350" s="269">
        <f>'Detailed Budget'!$AC$100</f>
        <v>14925833098.967569</v>
      </c>
      <c r="DB350" s="269">
        <f t="shared" si="933"/>
        <v>0</v>
      </c>
      <c r="DC350" s="269">
        <f t="shared" si="905"/>
        <v>0</v>
      </c>
      <c r="DD350" s="207">
        <v>0</v>
      </c>
      <c r="DE350" s="606">
        <v>0</v>
      </c>
      <c r="DF350" s="269">
        <f>'Detailed Budget'!$AC$147</f>
        <v>5913600671000</v>
      </c>
      <c r="DG350" s="269">
        <f t="shared" si="971"/>
        <v>0</v>
      </c>
      <c r="DH350" s="269">
        <f>'Detailed Budget'!$AC$153</f>
        <v>226428026880.00003</v>
      </c>
      <c r="DI350" s="269"/>
      <c r="DJ350" s="269">
        <f>'Detailed Budget'!$AC$156</f>
        <v>27713070000</v>
      </c>
      <c r="DK350" s="269"/>
      <c r="DL350" s="269"/>
      <c r="DM350" s="196">
        <f>'Detailed Budget'!$AC$178</f>
        <v>5622683761.6229038</v>
      </c>
      <c r="DN350" s="269">
        <f t="shared" si="963"/>
        <v>31388152.082356971</v>
      </c>
      <c r="DO350" s="196">
        <f>'Detailed Budget'!$AC$179</f>
        <v>26827890683.128094</v>
      </c>
      <c r="DP350" s="269">
        <f t="shared" si="964"/>
        <v>149764410.75058594</v>
      </c>
      <c r="DQ350" s="269">
        <f t="shared" si="870"/>
        <v>181152562.8329429</v>
      </c>
      <c r="DR350" s="269">
        <f>'Detailed Budget'!$AC$181</f>
        <v>50888946855.375237</v>
      </c>
      <c r="DS350" s="269">
        <f t="shared" si="965"/>
        <v>237959479.18579242</v>
      </c>
      <c r="DT350" s="269">
        <f t="shared" si="966"/>
        <v>419112042.01873529</v>
      </c>
      <c r="DU350" s="272">
        <f>'Detailed Budget'!$AC$192</f>
        <v>77498869683.252869</v>
      </c>
      <c r="DV350" s="269">
        <f t="shared" si="934"/>
        <v>0</v>
      </c>
      <c r="DW350" s="140">
        <f>'Detailed Budget'!$AC$194</f>
        <v>2684962805.4134097</v>
      </c>
      <c r="DX350" s="269">
        <f t="shared" si="935"/>
        <v>0</v>
      </c>
      <c r="DY350" s="607">
        <f t="shared" si="906"/>
        <v>0</v>
      </c>
      <c r="DZ350" s="196">
        <f>'Detailed Budget'!$AC$198</f>
        <v>18732540018.380611</v>
      </c>
      <c r="EA350" s="269">
        <f t="shared" si="936"/>
        <v>34964447.068054006</v>
      </c>
      <c r="EB350" s="196">
        <f>'Detailed Budget'!$AC$200</f>
        <v>4683135004.5951529</v>
      </c>
      <c r="EC350" s="269">
        <f t="shared" si="937"/>
        <v>8741111.7670135014</v>
      </c>
      <c r="ED350" s="269">
        <f t="shared" si="907"/>
        <v>43705558.835067511</v>
      </c>
      <c r="EE350" s="196">
        <f>'Detailed Budget'!$AC$161</f>
        <v>251147290106.36197</v>
      </c>
      <c r="EF350" s="269">
        <f t="shared" si="938"/>
        <v>536593742.67278427</v>
      </c>
      <c r="EG350" s="196">
        <f>'Detailed Budget'!$AC$163</f>
        <v>15696705631.647623</v>
      </c>
      <c r="EH350" s="269">
        <f t="shared" si="939"/>
        <v>33537108.917049017</v>
      </c>
      <c r="EI350" s="269">
        <f t="shared" si="908"/>
        <v>570130851.58983326</v>
      </c>
      <c r="EJ350" s="196">
        <f>'Detailed Budget'!$AC$204</f>
        <v>45012172507.531975</v>
      </c>
      <c r="EK350" s="269">
        <f t="shared" si="940"/>
        <v>128064391.39462517</v>
      </c>
      <c r="EL350" s="201">
        <f>'Detailed Budget'!$AC$206</f>
        <v>11253043126.882994</v>
      </c>
      <c r="EM350" s="269">
        <f t="shared" si="941"/>
        <v>32016097.848656293</v>
      </c>
      <c r="EN350" s="269">
        <f t="shared" si="909"/>
        <v>160080489.24328145</v>
      </c>
      <c r="EO350" s="140">
        <f>'Detailed Budget'!$AC$209</f>
        <v>135789361677.54817</v>
      </c>
      <c r="EP350" s="269">
        <f t="shared" si="942"/>
        <v>307582022.60912293</v>
      </c>
      <c r="EQ350" s="196">
        <f>'Detailed Budget'!$AC$211</f>
        <v>33947340419.387043</v>
      </c>
      <c r="ER350" s="269">
        <f t="shared" si="943"/>
        <v>76895505.652280733</v>
      </c>
      <c r="ES350" s="269">
        <f t="shared" si="910"/>
        <v>384477528.26140368</v>
      </c>
      <c r="ET350" s="196">
        <f>'Detailed Budget'!$AC$214</f>
        <v>22239745544.201103</v>
      </c>
      <c r="EU350" s="269">
        <f t="shared" si="944"/>
        <v>48923912.213571459</v>
      </c>
      <c r="EV350" s="140">
        <f>'Detailed Budget'!$AC$217</f>
        <v>5559936386.0502758</v>
      </c>
      <c r="EW350" s="269">
        <f t="shared" si="945"/>
        <v>12230978.053392865</v>
      </c>
      <c r="EX350" s="269">
        <f t="shared" si="911"/>
        <v>61154890.266964324</v>
      </c>
      <c r="EY350" s="196">
        <f>'Detailed Budget'!$AC$219</f>
        <v>372777004.58170313</v>
      </c>
      <c r="EZ350" s="269">
        <f t="shared" si="946"/>
        <v>858489.30598455633</v>
      </c>
      <c r="FA350" s="196">
        <f>'Detailed Budget'!$AC$222</f>
        <v>93194251.145425782</v>
      </c>
      <c r="FB350" s="269">
        <f t="shared" si="947"/>
        <v>214622.32649613908</v>
      </c>
      <c r="FC350" s="269">
        <f t="shared" si="912"/>
        <v>1073111.6324806954</v>
      </c>
      <c r="FD350" s="269"/>
      <c r="FE350" s="269">
        <f t="shared" si="913"/>
        <v>606786019.40413022</v>
      </c>
      <c r="FF350" s="140">
        <f>'Detailed Budget'!$AC$165</f>
        <v>14927760000</v>
      </c>
      <c r="FG350" s="1087">
        <f t="shared" si="972"/>
        <v>827696295.97206414</v>
      </c>
      <c r="FH350" s="269">
        <f t="shared" si="948"/>
        <v>18657579.820474949</v>
      </c>
      <c r="FJ350" s="140">
        <f>'Detailed Budget'!$AC$235</f>
        <v>3623696172</v>
      </c>
      <c r="FK350" s="269">
        <f t="shared" si="949"/>
        <v>4681778</v>
      </c>
      <c r="FL350" s="269">
        <f t="shared" si="973"/>
        <v>4681778</v>
      </c>
      <c r="FO350" s="607"/>
      <c r="FP350" s="607"/>
      <c r="FQ350" s="607"/>
      <c r="FR350" s="269">
        <f>'Detailed Budget'!$AC$257</f>
        <v>13636439388</v>
      </c>
      <c r="FS350" s="269">
        <f t="shared" si="950"/>
        <v>14490372</v>
      </c>
      <c r="FT350" s="269">
        <f t="shared" si="974"/>
        <v>14490372</v>
      </c>
      <c r="FU350" s="269"/>
      <c r="FV350" s="269"/>
      <c r="FW350" s="269"/>
      <c r="FX350" s="140">
        <f>'Detailed Budget'!$AC$278</f>
        <v>1114560000</v>
      </c>
      <c r="FY350" s="269">
        <f t="shared" si="951"/>
        <v>1440000</v>
      </c>
      <c r="FZ350" s="269">
        <f t="shared" si="975"/>
        <v>1440000</v>
      </c>
      <c r="GB350" s="269">
        <f t="shared" si="983"/>
        <v>4458425640.2686338</v>
      </c>
      <c r="GC350" s="887">
        <f t="shared" si="914"/>
        <v>2786516.0251678959</v>
      </c>
      <c r="GD350" s="1078">
        <f t="shared" si="984"/>
        <v>2.5017630185787463E-3</v>
      </c>
    </row>
    <row r="351" spans="1:186" hidden="1" outlineLevel="1">
      <c r="A351" s="211" t="s">
        <v>845</v>
      </c>
      <c r="B351" s="212" t="s">
        <v>846</v>
      </c>
      <c r="C351" s="213" t="s">
        <v>215</v>
      </c>
      <c r="D351" s="214" t="s">
        <v>215</v>
      </c>
      <c r="E351" s="213"/>
      <c r="F351" s="213"/>
      <c r="G351" s="213"/>
      <c r="H351" s="213" t="s">
        <v>215</v>
      </c>
      <c r="I351" s="214" t="s">
        <v>215</v>
      </c>
      <c r="J351" s="214"/>
      <c r="K351" s="213" t="s">
        <v>215</v>
      </c>
      <c r="L351" s="213"/>
      <c r="M351" s="214"/>
      <c r="N351" s="213"/>
      <c r="O351" s="214"/>
      <c r="P351" s="213"/>
      <c r="Q351" s="214"/>
      <c r="R351" s="214" t="s">
        <v>215</v>
      </c>
      <c r="S351" s="214"/>
      <c r="T351" s="213"/>
      <c r="U351" s="215">
        <f t="shared" si="952"/>
        <v>6</v>
      </c>
      <c r="V351" s="845" t="s">
        <v>219</v>
      </c>
      <c r="W351" s="216">
        <v>110170</v>
      </c>
      <c r="X351" s="217">
        <v>3.36</v>
      </c>
      <c r="Y351" s="218">
        <f t="shared" si="986"/>
        <v>1.0336000000000001</v>
      </c>
      <c r="Z351" s="196">
        <v>19</v>
      </c>
      <c r="AA351" s="218">
        <f t="shared" si="987"/>
        <v>1.873689022502546</v>
      </c>
      <c r="AB351" s="196">
        <f t="shared" si="988"/>
        <v>206424.3196091055</v>
      </c>
      <c r="AC351">
        <v>19.3</v>
      </c>
      <c r="AD351" s="196">
        <f t="shared" si="989"/>
        <v>39839.893684557363</v>
      </c>
      <c r="AE351" s="196">
        <f t="shared" si="990"/>
        <v>37847.899000329489</v>
      </c>
      <c r="AF351" s="196">
        <f t="shared" si="953"/>
        <v>37847.899000329489</v>
      </c>
      <c r="AG351" s="606">
        <f t="shared" si="917"/>
        <v>1.7499206943853228E-3</v>
      </c>
      <c r="AH351" s="196">
        <f t="shared" si="967"/>
        <v>10321.215980455276</v>
      </c>
      <c r="AI351" s="248">
        <f t="shared" si="896"/>
        <v>7.9956896383618324E-4</v>
      </c>
      <c r="AJ351" s="196">
        <f t="shared" si="897"/>
        <v>50161.109665012642</v>
      </c>
      <c r="AK351" s="196">
        <f t="shared" si="926"/>
        <v>8256.9727843642195</v>
      </c>
      <c r="AL351" s="196">
        <f t="shared" si="927"/>
        <v>8256.9727843642195</v>
      </c>
      <c r="AM351" s="196">
        <f t="shared" si="898"/>
        <v>16513.945568728439</v>
      </c>
      <c r="AN351" s="627">
        <f t="shared" si="899"/>
        <v>7.9956896383618313E-4</v>
      </c>
      <c r="AO351" s="196">
        <f t="shared" si="900"/>
        <v>7844.1241451460091</v>
      </c>
      <c r="AP351" s="589">
        <f t="shared" si="918"/>
        <v>7.9956896383618324E-4</v>
      </c>
      <c r="AQ351" s="196"/>
      <c r="AR351" s="589"/>
      <c r="AS351">
        <v>1</v>
      </c>
      <c r="AT351" s="589">
        <f t="shared" si="919"/>
        <v>1.2919896640826874E-3</v>
      </c>
      <c r="AU351" s="196">
        <v>10</v>
      </c>
      <c r="AV351" s="245">
        <f t="shared" si="901"/>
        <v>1.1362345188046814E-3</v>
      </c>
      <c r="AX351" s="245"/>
      <c r="AY351" s="245"/>
      <c r="AZ351" s="196">
        <v>33</v>
      </c>
      <c r="BA351" s="589">
        <f t="shared" si="977"/>
        <v>1.2091898428053204E-3</v>
      </c>
      <c r="BI351" s="196">
        <v>1</v>
      </c>
      <c r="BJ351" s="196">
        <f t="shared" si="954"/>
        <v>114680.17625854671</v>
      </c>
      <c r="BK351" s="246">
        <f t="shared" si="978"/>
        <v>2.186881770323204E-3</v>
      </c>
      <c r="BL351" s="196">
        <f t="shared" si="968"/>
        <v>2293.6035251709341</v>
      </c>
      <c r="BM351" s="246">
        <f t="shared" si="979"/>
        <v>2.186881520108137E-3</v>
      </c>
      <c r="BN351" s="196">
        <v>0</v>
      </c>
      <c r="BO351" s="196">
        <f t="shared" si="955"/>
        <v>14377.476644542841</v>
      </c>
      <c r="BP351" s="196">
        <f t="shared" si="902"/>
        <v>0</v>
      </c>
      <c r="BQ351" s="248">
        <f t="shared" si="980"/>
        <v>0</v>
      </c>
      <c r="BR351" s="248"/>
      <c r="BS351" s="248"/>
      <c r="BT351" s="276">
        <v>1</v>
      </c>
      <c r="BU351" s="196">
        <f t="shared" si="969"/>
        <v>30118.959625525364</v>
      </c>
      <c r="BV351" s="264">
        <f t="shared" si="981"/>
        <v>2.089108089658666E-3</v>
      </c>
      <c r="BW351" s="196">
        <f t="shared" si="970"/>
        <v>128842.21617585851</v>
      </c>
      <c r="BX351" s="247">
        <f t="shared" si="982"/>
        <v>2.089108108477432E-3</v>
      </c>
      <c r="BY351" s="196">
        <f t="shared" si="985"/>
        <v>158961.17580138388</v>
      </c>
      <c r="BZ351" s="620">
        <v>0</v>
      </c>
      <c r="CA351" s="196">
        <f t="shared" si="956"/>
        <v>63165.841800386283</v>
      </c>
      <c r="CB351" s="196">
        <f t="shared" si="957"/>
        <v>126331.68360077257</v>
      </c>
      <c r="CC351" s="196">
        <f t="shared" si="915"/>
        <v>189497.52540115884</v>
      </c>
      <c r="CD351" s="247">
        <f t="shared" si="903"/>
        <v>7.9956896383618313E-4</v>
      </c>
      <c r="CE351" s="196">
        <f t="shared" si="958"/>
        <v>16175.395200379295</v>
      </c>
      <c r="CF351" s="247">
        <f t="shared" si="904"/>
        <v>6.9850386935257957E-4</v>
      </c>
      <c r="CG351" s="196">
        <f t="shared" si="929"/>
        <v>31376.496580584037</v>
      </c>
      <c r="CH351" s="589">
        <f t="shared" si="920"/>
        <v>7.9956896383618324E-4</v>
      </c>
      <c r="CI351" s="196">
        <f t="shared" si="959"/>
        <v>64764.272254579511</v>
      </c>
      <c r="CJ351" s="248">
        <f t="shared" si="921"/>
        <v>1.0647244714718288E-3</v>
      </c>
      <c r="CK351" s="196">
        <f t="shared" si="960"/>
        <v>58968.482899919945</v>
      </c>
      <c r="CL351" s="589">
        <f t="shared" si="922"/>
        <v>8.4768407098579994E-4</v>
      </c>
      <c r="CM351" s="196">
        <f t="shared" si="961"/>
        <v>5712.5755162361802</v>
      </c>
      <c r="CN351" s="589">
        <f t="shared" si="923"/>
        <v>8.2324705331690757E-4</v>
      </c>
      <c r="CO351" s="196">
        <f t="shared" si="962"/>
        <v>457.00229134419857</v>
      </c>
      <c r="CP351" s="589">
        <f t="shared" si="924"/>
        <v>8.6183593016372646E-4</v>
      </c>
      <c r="CQ351" s="196">
        <f>'Detailed Budget'!$AC$12</f>
        <v>292876014141.44696</v>
      </c>
      <c r="CR351" s="269">
        <f t="shared" si="925"/>
        <v>640485216.29085124</v>
      </c>
      <c r="CS351" s="269">
        <f>'Detailed Budget'!$AC$16</f>
        <v>10488008800.000002</v>
      </c>
      <c r="CT351" s="607">
        <f t="shared" si="931"/>
        <v>22936032.62745152</v>
      </c>
      <c r="CU351" s="269">
        <f>'Detailed Budget'!$AC$24</f>
        <v>30624985696</v>
      </c>
      <c r="CV351" s="269">
        <f t="shared" si="976"/>
        <v>66973222.934991278</v>
      </c>
      <c r="CW351" s="269"/>
      <c r="CX351" s="269">
        <f t="shared" si="916"/>
        <v>730394471.85329401</v>
      </c>
      <c r="CY351" s="196">
        <f>'Detailed Budget'!$AC$97</f>
        <v>74629165494.837845</v>
      </c>
      <c r="CZ351" s="269">
        <f t="shared" si="932"/>
        <v>0</v>
      </c>
      <c r="DA351" s="269">
        <f>'Detailed Budget'!$AC$100</f>
        <v>14925833098.967569</v>
      </c>
      <c r="DB351" s="269">
        <f t="shared" si="933"/>
        <v>0</v>
      </c>
      <c r="DC351" s="269">
        <f t="shared" si="905"/>
        <v>0</v>
      </c>
      <c r="DD351" s="207">
        <v>0</v>
      </c>
      <c r="DE351" s="606">
        <v>0</v>
      </c>
      <c r="DF351" s="269">
        <f>'Detailed Budget'!$AC$147</f>
        <v>5913600671000</v>
      </c>
      <c r="DG351" s="269">
        <f t="shared" si="971"/>
        <v>0</v>
      </c>
      <c r="DH351" s="269">
        <f>'Detailed Budget'!$AC$153</f>
        <v>226428026880.00003</v>
      </c>
      <c r="DI351" s="269"/>
      <c r="DJ351" s="269">
        <f>'Detailed Budget'!$AC$156</f>
        <v>27713070000</v>
      </c>
      <c r="DK351" s="269"/>
      <c r="DL351" s="269"/>
      <c r="DM351" s="196">
        <f>'Detailed Budget'!$AC$178</f>
        <v>5622683761.6229038</v>
      </c>
      <c r="DN351" s="269">
        <f t="shared" si="963"/>
        <v>11746394.131998828</v>
      </c>
      <c r="DO351" s="196">
        <f>'Detailed Budget'!$AC$179</f>
        <v>26827890683.128094</v>
      </c>
      <c r="DP351" s="269">
        <f t="shared" si="964"/>
        <v>56046363.95946905</v>
      </c>
      <c r="DQ351" s="269">
        <f t="shared" si="870"/>
        <v>67792758.091467872</v>
      </c>
      <c r="DR351" s="269">
        <f>'Detailed Budget'!$AC$181</f>
        <v>50888946855.375237</v>
      </c>
      <c r="DS351" s="269">
        <f t="shared" si="965"/>
        <v>89051621.217696026</v>
      </c>
      <c r="DT351" s="269">
        <f t="shared" si="966"/>
        <v>156844379.3091639</v>
      </c>
      <c r="DU351" s="272">
        <f>'Detailed Budget'!$AC$192</f>
        <v>77498869683.252869</v>
      </c>
      <c r="DV351" s="269">
        <f t="shared" si="934"/>
        <v>0</v>
      </c>
      <c r="DW351" s="140">
        <f>'Detailed Budget'!$AC$194</f>
        <v>2684962805.4134097</v>
      </c>
      <c r="DX351" s="269">
        <f t="shared" si="935"/>
        <v>0</v>
      </c>
      <c r="DY351" s="607">
        <f t="shared" si="906"/>
        <v>0</v>
      </c>
      <c r="DZ351" s="196">
        <f>'Detailed Budget'!$AC$198</f>
        <v>18732540018.380611</v>
      </c>
      <c r="EA351" s="269">
        <f t="shared" si="936"/>
        <v>13084751.685640899</v>
      </c>
      <c r="EB351" s="196">
        <f>'Detailed Budget'!$AC$200</f>
        <v>4683135004.5951529</v>
      </c>
      <c r="EC351" s="269">
        <f t="shared" si="937"/>
        <v>3271187.9214102249</v>
      </c>
      <c r="ED351" s="269">
        <f t="shared" si="907"/>
        <v>16355939.607051125</v>
      </c>
      <c r="EE351" s="196">
        <f>'Detailed Budget'!$AC$161</f>
        <v>251147290106.36197</v>
      </c>
      <c r="EF351" s="269">
        <f t="shared" si="938"/>
        <v>200809578.52060914</v>
      </c>
      <c r="EG351" s="196">
        <f>'Detailed Budget'!$AC$163</f>
        <v>15696705631.647623</v>
      </c>
      <c r="EH351" s="269">
        <f t="shared" si="939"/>
        <v>12550598.657538071</v>
      </c>
      <c r="EI351" s="269">
        <f t="shared" si="908"/>
        <v>213360177.1781472</v>
      </c>
      <c r="EJ351" s="196">
        <f>'Detailed Budget'!$AC$204</f>
        <v>45012172507.531975</v>
      </c>
      <c r="EK351" s="269">
        <f t="shared" si="940"/>
        <v>47925561.582880765</v>
      </c>
      <c r="EL351" s="201">
        <f>'Detailed Budget'!$AC$206</f>
        <v>11253043126.882994</v>
      </c>
      <c r="EM351" s="269">
        <f t="shared" si="941"/>
        <v>11981390.395720191</v>
      </c>
      <c r="EN351" s="269">
        <f t="shared" si="909"/>
        <v>59906951.978600956</v>
      </c>
      <c r="EO351" s="140">
        <f>'Detailed Budget'!$AC$209</f>
        <v>135789361677.54817</v>
      </c>
      <c r="EP351" s="269">
        <f t="shared" si="942"/>
        <v>115106478.9033872</v>
      </c>
      <c r="EQ351" s="196">
        <f>'Detailed Budget'!$AC$211</f>
        <v>33947340419.387043</v>
      </c>
      <c r="ER351" s="269">
        <f t="shared" si="943"/>
        <v>28776619.725846801</v>
      </c>
      <c r="ES351" s="269">
        <f t="shared" si="910"/>
        <v>143883098.62923402</v>
      </c>
      <c r="ET351" s="196">
        <f>'Detailed Budget'!$AC$214</f>
        <v>22239745544.201103</v>
      </c>
      <c r="EU351" s="269">
        <f t="shared" si="944"/>
        <v>18308804.985781383</v>
      </c>
      <c r="EV351" s="140">
        <f>'Detailed Budget'!$AC$217</f>
        <v>5559936386.0502758</v>
      </c>
      <c r="EW351" s="269">
        <f t="shared" si="945"/>
        <v>4577201.2464453457</v>
      </c>
      <c r="EX351" s="269">
        <f t="shared" si="911"/>
        <v>22886006.232226729</v>
      </c>
      <c r="EY351" s="196">
        <f>'Detailed Budget'!$AC$219</f>
        <v>372777004.58170313</v>
      </c>
      <c r="EZ351" s="269">
        <f t="shared" si="946"/>
        <v>321272.61648731981</v>
      </c>
      <c r="FA351" s="196">
        <f>'Detailed Budget'!$AC$222</f>
        <v>93194251.145425782</v>
      </c>
      <c r="FB351" s="269">
        <f t="shared" si="947"/>
        <v>80318.154121829954</v>
      </c>
      <c r="FC351" s="269">
        <f t="shared" si="912"/>
        <v>401590.77060914977</v>
      </c>
      <c r="FD351" s="269"/>
      <c r="FE351" s="269">
        <f t="shared" si="913"/>
        <v>227077647.61067083</v>
      </c>
      <c r="FF351" s="140">
        <f>'Detailed Budget'!$AC$165</f>
        <v>14927760000</v>
      </c>
      <c r="FG351" s="1087">
        <f t="shared" si="972"/>
        <v>309748942.48547769</v>
      </c>
      <c r="FH351" s="269">
        <f t="shared" si="948"/>
        <v>16961436.200431772</v>
      </c>
      <c r="FJ351" s="140">
        <f>'Detailed Budget'!$AC$235</f>
        <v>3623696172</v>
      </c>
      <c r="FK351" s="269">
        <f t="shared" si="949"/>
        <v>4681778</v>
      </c>
      <c r="FL351" s="269">
        <f t="shared" si="973"/>
        <v>4681778</v>
      </c>
      <c r="FO351" s="607"/>
      <c r="FP351" s="607"/>
      <c r="FQ351" s="607"/>
      <c r="FR351" s="269">
        <f>'Detailed Budget'!$AC$257</f>
        <v>13636439388</v>
      </c>
      <c r="FS351" s="269">
        <f t="shared" si="950"/>
        <v>16489044</v>
      </c>
      <c r="FT351" s="269">
        <f t="shared" si="974"/>
        <v>16489044</v>
      </c>
      <c r="FU351" s="269"/>
      <c r="FV351" s="269"/>
      <c r="FW351" s="269"/>
      <c r="FX351" s="140">
        <f>'Detailed Budget'!$AC$278</f>
        <v>1114560000</v>
      </c>
      <c r="FY351" s="269">
        <f t="shared" si="951"/>
        <v>1440000</v>
      </c>
      <c r="FZ351" s="269">
        <f t="shared" si="975"/>
        <v>1440000</v>
      </c>
      <c r="GB351" s="269">
        <f t="shared" si="983"/>
        <v>1693353816.2442365</v>
      </c>
      <c r="GC351" s="887">
        <f t="shared" si="914"/>
        <v>1058346.1351526477</v>
      </c>
      <c r="GD351" s="1078">
        <f t="shared" si="984"/>
        <v>9.5019414848730472E-4</v>
      </c>
    </row>
    <row r="352" spans="1:186" hidden="1" outlineLevel="1">
      <c r="A352" s="211" t="s">
        <v>847</v>
      </c>
      <c r="B352" s="212" t="s">
        <v>848</v>
      </c>
      <c r="C352" s="213" t="s">
        <v>215</v>
      </c>
      <c r="D352" s="214" t="s">
        <v>215</v>
      </c>
      <c r="E352" s="213"/>
      <c r="F352" s="213"/>
      <c r="G352" s="213"/>
      <c r="H352" s="213" t="s">
        <v>215</v>
      </c>
      <c r="I352" s="214" t="s">
        <v>215</v>
      </c>
      <c r="J352" s="214"/>
      <c r="K352" s="213" t="s">
        <v>215</v>
      </c>
      <c r="L352" s="213"/>
      <c r="M352" s="214"/>
      <c r="N352" s="213"/>
      <c r="O352" s="214"/>
      <c r="P352" s="213"/>
      <c r="Q352" s="214"/>
      <c r="R352" s="214" t="s">
        <v>215</v>
      </c>
      <c r="S352" s="214"/>
      <c r="T352" s="213"/>
      <c r="U352" s="215">
        <f t="shared" si="952"/>
        <v>6</v>
      </c>
      <c r="V352" s="845" t="s">
        <v>219</v>
      </c>
      <c r="W352" s="216">
        <v>143094</v>
      </c>
      <c r="X352" s="217">
        <v>3.36</v>
      </c>
      <c r="Y352" s="218">
        <f t="shared" si="986"/>
        <v>1.0336000000000001</v>
      </c>
      <c r="Z352" s="196">
        <v>19</v>
      </c>
      <c r="AA352" s="218">
        <f t="shared" si="987"/>
        <v>1.873689022502546</v>
      </c>
      <c r="AB352" s="196">
        <f t="shared" si="988"/>
        <v>268113.65698597929</v>
      </c>
      <c r="AC352">
        <v>19.3</v>
      </c>
      <c r="AD352" s="196">
        <f t="shared" si="989"/>
        <v>51745.935798294006</v>
      </c>
      <c r="AE352" s="196">
        <f t="shared" si="990"/>
        <v>49158.639008379301</v>
      </c>
      <c r="AF352" s="196">
        <f t="shared" si="953"/>
        <v>49158.639008379301</v>
      </c>
      <c r="AG352" s="606">
        <f t="shared" si="917"/>
        <v>2.2728796572785092E-3</v>
      </c>
      <c r="AH352" s="196">
        <f t="shared" si="967"/>
        <v>13405.682849298966</v>
      </c>
      <c r="AI352" s="248">
        <f t="shared" si="896"/>
        <v>1.0385179387417155E-3</v>
      </c>
      <c r="AJ352" s="196">
        <f t="shared" si="897"/>
        <v>65151.618647592972</v>
      </c>
      <c r="AK352" s="196">
        <f t="shared" si="926"/>
        <v>10724.546279439171</v>
      </c>
      <c r="AL352" s="196">
        <f t="shared" si="927"/>
        <v>10724.546279439171</v>
      </c>
      <c r="AM352" s="196">
        <f t="shared" si="898"/>
        <v>21449.092558878343</v>
      </c>
      <c r="AN352" s="627">
        <f t="shared" si="899"/>
        <v>1.0385179387417153E-3</v>
      </c>
      <c r="AO352" s="196">
        <f t="shared" si="900"/>
        <v>10188.318965467213</v>
      </c>
      <c r="AP352" s="589">
        <f t="shared" si="918"/>
        <v>1.0385179387417153E-3</v>
      </c>
      <c r="AQ352" s="196"/>
      <c r="AR352" s="589"/>
      <c r="AS352">
        <v>1</v>
      </c>
      <c r="AT352" s="589">
        <f t="shared" si="919"/>
        <v>1.2919896640826874E-3</v>
      </c>
      <c r="AU352" s="196">
        <v>10</v>
      </c>
      <c r="AV352" s="245">
        <f t="shared" si="901"/>
        <v>1.1362345188046814E-3</v>
      </c>
      <c r="AX352" s="245"/>
      <c r="AY352" s="245"/>
      <c r="AZ352" s="196">
        <v>28</v>
      </c>
      <c r="BA352" s="589">
        <f t="shared" si="977"/>
        <v>1.0259792605620901E-3</v>
      </c>
      <c r="BI352" s="196">
        <v>1</v>
      </c>
      <c r="BJ352" s="196">
        <f t="shared" si="954"/>
        <v>148952.02996769064</v>
      </c>
      <c r="BK352" s="246">
        <f t="shared" si="978"/>
        <v>2.8404253430391983E-3</v>
      </c>
      <c r="BL352" s="196">
        <f t="shared" si="968"/>
        <v>2979.0405993538129</v>
      </c>
      <c r="BM352" s="246">
        <f t="shared" si="979"/>
        <v>2.8404250180480502E-3</v>
      </c>
      <c r="BN352" s="196">
        <v>0</v>
      </c>
      <c r="BO352" s="196">
        <f t="shared" si="955"/>
        <v>18674.145801708386</v>
      </c>
      <c r="BP352" s="196">
        <f t="shared" si="902"/>
        <v>0</v>
      </c>
      <c r="BQ352" s="248">
        <f t="shared" si="980"/>
        <v>0</v>
      </c>
      <c r="BR352" s="248"/>
      <c r="BS352" s="248"/>
      <c r="BT352" s="276">
        <v>1</v>
      </c>
      <c r="BU352" s="196">
        <f t="shared" si="969"/>
        <v>39119.92746351027</v>
      </c>
      <c r="BV352" s="264">
        <f t="shared" si="981"/>
        <v>2.7134322681457491E-3</v>
      </c>
      <c r="BW352" s="196">
        <f t="shared" si="970"/>
        <v>167346.35637168281</v>
      </c>
      <c r="BX352" s="247">
        <f t="shared" si="982"/>
        <v>2.7134322925884509E-3</v>
      </c>
      <c r="BY352" s="196">
        <f t="shared" si="985"/>
        <v>206466.28383519308</v>
      </c>
      <c r="BZ352" s="620">
        <v>0</v>
      </c>
      <c r="CA352" s="196">
        <f t="shared" si="956"/>
        <v>82042.779037709668</v>
      </c>
      <c r="CB352" s="196">
        <f t="shared" si="957"/>
        <v>164085.55807541934</v>
      </c>
      <c r="CC352" s="196">
        <f t="shared" si="915"/>
        <v>246128.337113129</v>
      </c>
      <c r="CD352" s="247">
        <f t="shared" si="903"/>
        <v>1.0385179387417155E-3</v>
      </c>
      <c r="CE352" s="196">
        <f t="shared" si="958"/>
        <v>21009.367348670912</v>
      </c>
      <c r="CF352" s="247">
        <f t="shared" si="904"/>
        <v>9.0724982010654447E-4</v>
      </c>
      <c r="CG352" s="196">
        <f t="shared" si="929"/>
        <v>40753.275861868853</v>
      </c>
      <c r="CH352" s="589">
        <f t="shared" si="920"/>
        <v>1.0385179387417153E-3</v>
      </c>
      <c r="CI352" s="196">
        <f t="shared" si="959"/>
        <v>84118.896015220118</v>
      </c>
      <c r="CJ352" s="248">
        <f t="shared" si="921"/>
        <v>1.3829144369682297E-3</v>
      </c>
      <c r="CK352" s="196">
        <f t="shared" si="960"/>
        <v>76591.051030962553</v>
      </c>
      <c r="CL352" s="589">
        <f t="shared" si="922"/>
        <v>1.101012112677154E-3</v>
      </c>
      <c r="CM352" s="196">
        <f t="shared" si="961"/>
        <v>7419.7629202169364</v>
      </c>
      <c r="CN352" s="589">
        <f t="shared" si="923"/>
        <v>1.0692721598196384E-3</v>
      </c>
      <c r="CO352" s="196">
        <f t="shared" si="962"/>
        <v>593.57616299906272</v>
      </c>
      <c r="CP352" s="589">
        <f t="shared" si="924"/>
        <v>1.119393215855934E-3</v>
      </c>
      <c r="CQ352" s="196">
        <f>'Detailed Budget'!$AC$12</f>
        <v>292876014141.44696</v>
      </c>
      <c r="CR352" s="269">
        <f t="shared" si="925"/>
        <v>831892452.93567264</v>
      </c>
      <c r="CS352" s="269">
        <f>'Detailed Budget'!$AC$16</f>
        <v>10488008800.000002</v>
      </c>
      <c r="CT352" s="607">
        <f t="shared" si="931"/>
        <v>29790402.585028116</v>
      </c>
      <c r="CU352" s="269">
        <f>'Detailed Budget'!$AC$24</f>
        <v>30624985696</v>
      </c>
      <c r="CV352" s="269">
        <f t="shared" si="976"/>
        <v>86987985.501131341</v>
      </c>
      <c r="CW352" s="269"/>
      <c r="CX352" s="269">
        <f t="shared" si="916"/>
        <v>948670841.02183211</v>
      </c>
      <c r="CY352" s="196">
        <f>'Detailed Budget'!$AC$97</f>
        <v>74629165494.837845</v>
      </c>
      <c r="CZ352" s="269">
        <f t="shared" si="932"/>
        <v>0</v>
      </c>
      <c r="DA352" s="269">
        <f>'Detailed Budget'!$AC$100</f>
        <v>14925833098.967569</v>
      </c>
      <c r="DB352" s="269">
        <f t="shared" si="933"/>
        <v>0</v>
      </c>
      <c r="DC352" s="269">
        <f t="shared" si="905"/>
        <v>0</v>
      </c>
      <c r="DD352" s="207">
        <v>0</v>
      </c>
      <c r="DE352" s="606">
        <v>0</v>
      </c>
      <c r="DF352" s="269">
        <f>'Detailed Budget'!$AC$147</f>
        <v>5913600671000</v>
      </c>
      <c r="DG352" s="269">
        <f t="shared" si="971"/>
        <v>0</v>
      </c>
      <c r="DH352" s="269">
        <f>'Detailed Budget'!$AC$153</f>
        <v>226428026880.00003</v>
      </c>
      <c r="DI352" s="269"/>
      <c r="DJ352" s="269">
        <f>'Detailed Budget'!$AC$156</f>
        <v>27713070000</v>
      </c>
      <c r="DK352" s="269"/>
      <c r="DL352" s="269"/>
      <c r="DM352" s="196">
        <f>'Detailed Budget'!$AC$178</f>
        <v>5622683761.6229038</v>
      </c>
      <c r="DN352" s="269">
        <f t="shared" si="963"/>
        <v>15256771.552366707</v>
      </c>
      <c r="DO352" s="196">
        <f>'Detailed Budget'!$AC$179</f>
        <v>26827890683.128094</v>
      </c>
      <c r="DP352" s="269">
        <f t="shared" si="964"/>
        <v>72795664.921632603</v>
      </c>
      <c r="DQ352" s="269">
        <f t="shared" si="870"/>
        <v>88052436.473999307</v>
      </c>
      <c r="DR352" s="269">
        <f>'Detailed Budget'!$AC$181</f>
        <v>50888946855.375237</v>
      </c>
      <c r="DS352" s="269">
        <f t="shared" si="965"/>
        <v>115664452.08790953</v>
      </c>
      <c r="DT352" s="269">
        <f t="shared" si="966"/>
        <v>203716888.56190884</v>
      </c>
      <c r="DU352" s="272">
        <f>'Detailed Budget'!$AC$192</f>
        <v>77498869683.252869</v>
      </c>
      <c r="DV352" s="269">
        <f t="shared" si="934"/>
        <v>0</v>
      </c>
      <c r="DW352" s="140">
        <f>'Detailed Budget'!$AC$194</f>
        <v>2684962805.4134097</v>
      </c>
      <c r="DX352" s="269">
        <f t="shared" si="935"/>
        <v>0</v>
      </c>
      <c r="DY352" s="607">
        <f t="shared" si="906"/>
        <v>0</v>
      </c>
      <c r="DZ352" s="196">
        <f>'Detailed Budget'!$AC$198</f>
        <v>18732540018.380611</v>
      </c>
      <c r="EA352" s="269">
        <f t="shared" si="936"/>
        <v>16995093.561814453</v>
      </c>
      <c r="EB352" s="196">
        <f>'Detailed Budget'!$AC$200</f>
        <v>4683135004.5951529</v>
      </c>
      <c r="EC352" s="269">
        <f t="shared" si="937"/>
        <v>4248773.3904536134</v>
      </c>
      <c r="ED352" s="269">
        <f t="shared" si="907"/>
        <v>21243866.952268068</v>
      </c>
      <c r="EE352" s="196">
        <f>'Detailed Budget'!$AC$161</f>
        <v>251147290106.36197</v>
      </c>
      <c r="EF352" s="269">
        <f t="shared" si="938"/>
        <v>260820966.04182664</v>
      </c>
      <c r="EG352" s="196">
        <f>'Detailed Budget'!$AC$163</f>
        <v>15696705631.647623</v>
      </c>
      <c r="EH352" s="269">
        <f t="shared" si="939"/>
        <v>16301310.377614165</v>
      </c>
      <c r="EI352" s="269">
        <f t="shared" si="908"/>
        <v>277122276.41944081</v>
      </c>
      <c r="EJ352" s="196">
        <f>'Detailed Budget'!$AC$204</f>
        <v>45012172507.531975</v>
      </c>
      <c r="EK352" s="269">
        <f t="shared" si="940"/>
        <v>62247983.199970409</v>
      </c>
      <c r="EL352" s="201">
        <f>'Detailed Budget'!$AC$206</f>
        <v>11253043126.882994</v>
      </c>
      <c r="EM352" s="269">
        <f t="shared" si="941"/>
        <v>15561995.799992602</v>
      </c>
      <c r="EN352" s="269">
        <f t="shared" si="909"/>
        <v>77809978.999963015</v>
      </c>
      <c r="EO352" s="140">
        <f>'Detailed Budget'!$AC$209</f>
        <v>135789361677.54817</v>
      </c>
      <c r="EP352" s="269">
        <f t="shared" si="942"/>
        <v>149505731.9796795</v>
      </c>
      <c r="EQ352" s="196">
        <f>'Detailed Budget'!$AC$211</f>
        <v>33947340419.387043</v>
      </c>
      <c r="ER352" s="269">
        <f t="shared" si="943"/>
        <v>37376432.994919874</v>
      </c>
      <c r="ES352" s="269">
        <f t="shared" si="910"/>
        <v>186882164.97459936</v>
      </c>
      <c r="ET352" s="196">
        <f>'Detailed Budget'!$AC$214</f>
        <v>22239745544.201103</v>
      </c>
      <c r="EU352" s="269">
        <f t="shared" si="944"/>
        <v>23780340.751887094</v>
      </c>
      <c r="EV352" s="140">
        <f>'Detailed Budget'!$AC$217</f>
        <v>5559936386.0502758</v>
      </c>
      <c r="EW352" s="269">
        <f t="shared" si="945"/>
        <v>5945085.1879717736</v>
      </c>
      <c r="EX352" s="269">
        <f t="shared" si="911"/>
        <v>29725425.939858869</v>
      </c>
      <c r="EY352" s="196">
        <f>'Detailed Budget'!$AC$219</f>
        <v>372777004.58170313</v>
      </c>
      <c r="EZ352" s="269">
        <f t="shared" si="946"/>
        <v>417284.04995585489</v>
      </c>
      <c r="FA352" s="196">
        <f>'Detailed Budget'!$AC$222</f>
        <v>93194251.145425782</v>
      </c>
      <c r="FB352" s="269">
        <f t="shared" si="947"/>
        <v>104321.01248896372</v>
      </c>
      <c r="FC352" s="269">
        <f t="shared" si="912"/>
        <v>521605.06244481861</v>
      </c>
      <c r="FD352" s="269"/>
      <c r="FE352" s="269">
        <f t="shared" si="913"/>
        <v>294939174.97686607</v>
      </c>
      <c r="FF352" s="140">
        <f>'Detailed Budget'!$AC$165</f>
        <v>14927760000</v>
      </c>
      <c r="FG352" s="1087">
        <f t="shared" si="972"/>
        <v>402316557.82896388</v>
      </c>
      <c r="FH352" s="269">
        <f t="shared" si="948"/>
        <v>16961436.200431772</v>
      </c>
      <c r="FJ352" s="140">
        <f>'Detailed Budget'!$AC$235</f>
        <v>3623696172</v>
      </c>
      <c r="FK352" s="269">
        <f t="shared" si="949"/>
        <v>4681778</v>
      </c>
      <c r="FL352" s="269">
        <f t="shared" si="973"/>
        <v>4681778</v>
      </c>
      <c r="FO352" s="607"/>
      <c r="FP352" s="607"/>
      <c r="FQ352" s="607"/>
      <c r="FR352" s="269">
        <f>'Detailed Budget'!$AC$257</f>
        <v>13636439388</v>
      </c>
      <c r="FS352" s="269">
        <f t="shared" si="950"/>
        <v>13990704</v>
      </c>
      <c r="FT352" s="269">
        <f t="shared" si="974"/>
        <v>13990704</v>
      </c>
      <c r="FU352" s="269"/>
      <c r="FV352" s="269"/>
      <c r="FW352" s="269"/>
      <c r="FX352" s="140">
        <f>'Detailed Budget'!$AC$278</f>
        <v>1114560000</v>
      </c>
      <c r="FY352" s="269">
        <f t="shared" si="951"/>
        <v>1440000</v>
      </c>
      <c r="FZ352" s="269">
        <f t="shared" si="975"/>
        <v>1440000</v>
      </c>
      <c r="GB352" s="269">
        <f t="shared" si="983"/>
        <v>2185083523.9617114</v>
      </c>
      <c r="GC352" s="887">
        <f t="shared" si="914"/>
        <v>1365677.2024760696</v>
      </c>
      <c r="GD352" s="1078">
        <f t="shared" si="984"/>
        <v>1.2261191716149737E-3</v>
      </c>
    </row>
    <row r="353" spans="1:186" hidden="1" outlineLevel="1">
      <c r="A353" s="211" t="s">
        <v>849</v>
      </c>
      <c r="B353" s="212" t="s">
        <v>850</v>
      </c>
      <c r="C353" s="213" t="s">
        <v>215</v>
      </c>
      <c r="D353" s="214" t="s">
        <v>215</v>
      </c>
      <c r="E353" s="213"/>
      <c r="F353" s="213"/>
      <c r="G353" s="213"/>
      <c r="H353" s="213" t="s">
        <v>215</v>
      </c>
      <c r="I353" s="214" t="s">
        <v>215</v>
      </c>
      <c r="J353" s="214"/>
      <c r="K353" s="213" t="s">
        <v>215</v>
      </c>
      <c r="L353" s="213"/>
      <c r="M353" s="214"/>
      <c r="N353" s="213"/>
      <c r="O353" s="214"/>
      <c r="P353" s="213"/>
      <c r="Q353" s="214"/>
      <c r="R353" s="214" t="s">
        <v>215</v>
      </c>
      <c r="S353" s="214"/>
      <c r="T353" s="213"/>
      <c r="U353" s="215">
        <f t="shared" si="952"/>
        <v>6</v>
      </c>
      <c r="V353" s="845" t="s">
        <v>219</v>
      </c>
      <c r="W353" s="216">
        <v>137685</v>
      </c>
      <c r="X353" s="217">
        <v>3.36</v>
      </c>
      <c r="Y353" s="218">
        <f t="shared" si="986"/>
        <v>1.0336000000000001</v>
      </c>
      <c r="Z353" s="196">
        <v>19</v>
      </c>
      <c r="AA353" s="218">
        <f t="shared" si="987"/>
        <v>1.873689022502546</v>
      </c>
      <c r="AB353" s="196">
        <f t="shared" si="988"/>
        <v>257978.87306326305</v>
      </c>
      <c r="AC353">
        <v>19.3</v>
      </c>
      <c r="AD353" s="196">
        <f t="shared" si="989"/>
        <v>49789.922501209767</v>
      </c>
      <c r="AE353" s="196">
        <f t="shared" si="990"/>
        <v>47300.426376149277</v>
      </c>
      <c r="AF353" s="196">
        <f t="shared" si="953"/>
        <v>47300.426376149277</v>
      </c>
      <c r="AG353" s="606">
        <f t="shared" si="917"/>
        <v>2.1869640628705018E-3</v>
      </c>
      <c r="AH353" s="196">
        <f t="shared" si="967"/>
        <v>12898.943653163153</v>
      </c>
      <c r="AI353" s="248">
        <f t="shared" si="896"/>
        <v>9.9926162100195059E-4</v>
      </c>
      <c r="AJ353" s="196">
        <f t="shared" si="897"/>
        <v>62688.866154372918</v>
      </c>
      <c r="AK353" s="196">
        <f t="shared" si="926"/>
        <v>10319.154922530523</v>
      </c>
      <c r="AL353" s="196">
        <f t="shared" si="927"/>
        <v>10319.154922530523</v>
      </c>
      <c r="AM353" s="196">
        <f t="shared" si="898"/>
        <v>20638.309845061045</v>
      </c>
      <c r="AN353" s="627">
        <f t="shared" si="899"/>
        <v>9.9926162100195059E-4</v>
      </c>
      <c r="AO353" s="196">
        <f t="shared" si="900"/>
        <v>9803.1971764039954</v>
      </c>
      <c r="AP353" s="589">
        <f t="shared" si="918"/>
        <v>9.9926162100195037E-4</v>
      </c>
      <c r="AQ353" s="196"/>
      <c r="AR353" s="589"/>
      <c r="AS353">
        <v>1</v>
      </c>
      <c r="AT353" s="589">
        <f t="shared" si="919"/>
        <v>1.2919896640826874E-3</v>
      </c>
      <c r="AU353" s="196">
        <v>12</v>
      </c>
      <c r="AV353" s="245">
        <f t="shared" si="901"/>
        <v>1.3634814225656176E-3</v>
      </c>
      <c r="AX353" s="245"/>
      <c r="AY353" s="245"/>
      <c r="AZ353" s="196">
        <v>23</v>
      </c>
      <c r="BA353" s="589">
        <f t="shared" si="977"/>
        <v>8.4276867831885966E-4</v>
      </c>
      <c r="BI353" s="196">
        <v>1</v>
      </c>
      <c r="BJ353" s="196">
        <f t="shared" si="954"/>
        <v>143321.59451899794</v>
      </c>
      <c r="BK353" s="246">
        <f t="shared" si="978"/>
        <v>2.7330563360892287E-3</v>
      </c>
      <c r="BL353" s="196">
        <f t="shared" si="968"/>
        <v>2866.431890379959</v>
      </c>
      <c r="BM353" s="246">
        <f t="shared" si="979"/>
        <v>2.7330560233828523E-3</v>
      </c>
      <c r="BN353" s="196">
        <v>0</v>
      </c>
      <c r="BO353" s="196">
        <f t="shared" si="955"/>
        <v>17968.256982879917</v>
      </c>
      <c r="BP353" s="196">
        <f t="shared" si="902"/>
        <v>0</v>
      </c>
      <c r="BQ353" s="248">
        <f t="shared" si="980"/>
        <v>0</v>
      </c>
      <c r="BR353" s="248"/>
      <c r="BS353" s="248"/>
      <c r="BT353" s="276">
        <v>1</v>
      </c>
      <c r="BU353" s="196">
        <f t="shared" si="969"/>
        <v>37641.181410914578</v>
      </c>
      <c r="BV353" s="264">
        <f t="shared" si="981"/>
        <v>2.6108636409608189E-3</v>
      </c>
      <c r="BW353" s="196">
        <f t="shared" si="970"/>
        <v>161020.60936891238</v>
      </c>
      <c r="BX353" s="247">
        <f t="shared" si="982"/>
        <v>2.6108636644795787E-3</v>
      </c>
      <c r="BY353" s="196">
        <f t="shared" si="985"/>
        <v>198661.79077982696</v>
      </c>
      <c r="BZ353" s="620">
        <v>0</v>
      </c>
      <c r="CA353" s="196">
        <f t="shared" si="956"/>
        <v>78941.535157358507</v>
      </c>
      <c r="CB353" s="196">
        <f t="shared" si="957"/>
        <v>157883.07031471701</v>
      </c>
      <c r="CC353" s="196">
        <f t="shared" si="915"/>
        <v>236824.60547207552</v>
      </c>
      <c r="CD353" s="247">
        <f t="shared" si="903"/>
        <v>9.9926162100195059E-4</v>
      </c>
      <c r="CE353" s="196">
        <f t="shared" si="958"/>
        <v>20215.206391614985</v>
      </c>
      <c r="CF353" s="247">
        <f t="shared" si="904"/>
        <v>8.7295548018344294E-4</v>
      </c>
      <c r="CG353" s="196">
        <f t="shared" si="929"/>
        <v>39212.788705615982</v>
      </c>
      <c r="CH353" s="589">
        <f t="shared" si="920"/>
        <v>9.9926162100195037E-4</v>
      </c>
      <c r="CI353" s="196">
        <f t="shared" si="959"/>
        <v>80939.174234108927</v>
      </c>
      <c r="CJ353" s="248">
        <f t="shared" si="921"/>
        <v>1.3306398189579626E-3</v>
      </c>
      <c r="CK353" s="196">
        <f t="shared" si="960"/>
        <v>73695.884252296251</v>
      </c>
      <c r="CL353" s="589">
        <f t="shared" si="922"/>
        <v>1.0593934947234263E-3</v>
      </c>
      <c r="CM353" s="196">
        <f t="shared" si="961"/>
        <v>7139.2934551418575</v>
      </c>
      <c r="CN353" s="589">
        <f t="shared" si="923"/>
        <v>1.028853322464722E-3</v>
      </c>
      <c r="CO353" s="196">
        <f t="shared" si="962"/>
        <v>571.13878990402088</v>
      </c>
      <c r="CP353" s="589">
        <f t="shared" si="924"/>
        <v>1.0770797861903666E-3</v>
      </c>
      <c r="CQ353" s="196">
        <f>'Detailed Budget'!$AC$12</f>
        <v>292876014141.44696</v>
      </c>
      <c r="CR353" s="269">
        <f t="shared" si="925"/>
        <v>800446646.13784015</v>
      </c>
      <c r="CS353" s="269">
        <f>'Detailed Budget'!$AC$16</f>
        <v>10488008800.000002</v>
      </c>
      <c r="CT353" s="607">
        <f t="shared" si="931"/>
        <v>28664315.624132365</v>
      </c>
      <c r="CU353" s="269">
        <f>'Detailed Budget'!$AC$24</f>
        <v>30624985696</v>
      </c>
      <c r="CV353" s="269">
        <f t="shared" si="976"/>
        <v>83699811.199094802</v>
      </c>
      <c r="CW353" s="269"/>
      <c r="CX353" s="269">
        <f t="shared" si="916"/>
        <v>912810772.96106732</v>
      </c>
      <c r="CY353" s="196">
        <f>'Detailed Budget'!$AC$97</f>
        <v>74629165494.837845</v>
      </c>
      <c r="CZ353" s="269">
        <f t="shared" si="932"/>
        <v>0</v>
      </c>
      <c r="DA353" s="269">
        <f>'Detailed Budget'!$AC$100</f>
        <v>14925833098.967569</v>
      </c>
      <c r="DB353" s="269">
        <f t="shared" si="933"/>
        <v>0</v>
      </c>
      <c r="DC353" s="269">
        <f t="shared" si="905"/>
        <v>0</v>
      </c>
      <c r="DD353" s="207">
        <v>0</v>
      </c>
      <c r="DE353" s="606">
        <v>0</v>
      </c>
      <c r="DF353" s="269">
        <f>'Detailed Budget'!$AC$147</f>
        <v>5913600671000</v>
      </c>
      <c r="DG353" s="269">
        <f t="shared" si="971"/>
        <v>0</v>
      </c>
      <c r="DH353" s="269">
        <f>'Detailed Budget'!$AC$153</f>
        <v>226428026880.00003</v>
      </c>
      <c r="DI353" s="269"/>
      <c r="DJ353" s="269">
        <f>'Detailed Budget'!$AC$156</f>
        <v>27713070000</v>
      </c>
      <c r="DK353" s="269"/>
      <c r="DL353" s="269"/>
      <c r="DM353" s="196">
        <f>'Detailed Budget'!$AC$178</f>
        <v>5622683761.6229038</v>
      </c>
      <c r="DN353" s="269">
        <f t="shared" si="963"/>
        <v>14680060.597842047</v>
      </c>
      <c r="DO353" s="196">
        <f>'Detailed Budget'!$AC$179</f>
        <v>26827890683.128094</v>
      </c>
      <c r="DP353" s="269">
        <f t="shared" si="964"/>
        <v>70043964.979209363</v>
      </c>
      <c r="DQ353" s="269">
        <f t="shared" si="870"/>
        <v>84724025.577051416</v>
      </c>
      <c r="DR353" s="269">
        <f>'Detailed Budget'!$AC$181</f>
        <v>50888946855.375237</v>
      </c>
      <c r="DS353" s="269">
        <f t="shared" si="965"/>
        <v>111292297.97003247</v>
      </c>
      <c r="DT353" s="269">
        <f t="shared" si="966"/>
        <v>196016323.54708388</v>
      </c>
      <c r="DU353" s="272">
        <f>'Detailed Budget'!$AC$192</f>
        <v>77498869683.252869</v>
      </c>
      <c r="DV353" s="269">
        <f t="shared" si="934"/>
        <v>0</v>
      </c>
      <c r="DW353" s="140">
        <f>'Detailed Budget'!$AC$194</f>
        <v>2684962805.4134097</v>
      </c>
      <c r="DX353" s="269">
        <f t="shared" si="935"/>
        <v>0</v>
      </c>
      <c r="DY353" s="607">
        <f t="shared" si="906"/>
        <v>0</v>
      </c>
      <c r="DZ353" s="196">
        <f>'Detailed Budget'!$AC$198</f>
        <v>18732540018.380611</v>
      </c>
      <c r="EA353" s="269">
        <f t="shared" si="936"/>
        <v>16352673.466801008</v>
      </c>
      <c r="EB353" s="196">
        <f>'Detailed Budget'!$AC$200</f>
        <v>4683135004.5951529</v>
      </c>
      <c r="EC353" s="269">
        <f t="shared" si="937"/>
        <v>4088168.3667002521</v>
      </c>
      <c r="ED353" s="269">
        <f t="shared" si="907"/>
        <v>20440841.833501261</v>
      </c>
      <c r="EE353" s="196">
        <f>'Detailed Budget'!$AC$161</f>
        <v>251147290106.36197</v>
      </c>
      <c r="EF353" s="269">
        <f t="shared" si="938"/>
        <v>250961848.22193035</v>
      </c>
      <c r="EG353" s="196">
        <f>'Detailed Budget'!$AC$163</f>
        <v>15696705631.647623</v>
      </c>
      <c r="EH353" s="269">
        <f t="shared" si="939"/>
        <v>15685115.513870647</v>
      </c>
      <c r="EI353" s="269">
        <f t="shared" si="908"/>
        <v>266646963.73580101</v>
      </c>
      <c r="EJ353" s="196">
        <f>'Detailed Budget'!$AC$204</f>
        <v>45012172507.531975</v>
      </c>
      <c r="EK353" s="269">
        <f t="shared" si="940"/>
        <v>59894989.076326929</v>
      </c>
      <c r="EL353" s="201">
        <f>'Detailed Budget'!$AC$206</f>
        <v>11253043126.882994</v>
      </c>
      <c r="EM353" s="269">
        <f t="shared" si="941"/>
        <v>14973747.269081732</v>
      </c>
      <c r="EN353" s="269">
        <f t="shared" si="909"/>
        <v>74868736.345408663</v>
      </c>
      <c r="EO353" s="140">
        <f>'Detailed Budget'!$AC$209</f>
        <v>135789361677.54817</v>
      </c>
      <c r="EP353" s="269">
        <f t="shared" si="942"/>
        <v>143854366.41384107</v>
      </c>
      <c r="EQ353" s="196">
        <f>'Detailed Budget'!$AC$211</f>
        <v>33947340419.387043</v>
      </c>
      <c r="ER353" s="269">
        <f t="shared" si="943"/>
        <v>35963591.603460267</v>
      </c>
      <c r="ES353" s="269">
        <f t="shared" si="910"/>
        <v>179817958.01730132</v>
      </c>
      <c r="ET353" s="196">
        <f>'Detailed Budget'!$AC$214</f>
        <v>22239745544.201103</v>
      </c>
      <c r="EU353" s="269">
        <f t="shared" si="944"/>
        <v>22881436.0939213</v>
      </c>
      <c r="EV353" s="140">
        <f>'Detailed Budget'!$AC$217</f>
        <v>5559936386.0502758</v>
      </c>
      <c r="EW353" s="269">
        <f t="shared" si="945"/>
        <v>5720359.023480325</v>
      </c>
      <c r="EX353" s="269">
        <f t="shared" si="911"/>
        <v>28601795.117401626</v>
      </c>
      <c r="EY353" s="196">
        <f>'Detailed Budget'!$AC$219</f>
        <v>372777004.58170313</v>
      </c>
      <c r="EZ353" s="269">
        <f t="shared" si="946"/>
        <v>401510.57639154611</v>
      </c>
      <c r="FA353" s="196">
        <f>'Detailed Budget'!$AC$222</f>
        <v>93194251.145425782</v>
      </c>
      <c r="FB353" s="269">
        <f t="shared" si="947"/>
        <v>100377.64409788653</v>
      </c>
      <c r="FC353" s="269">
        <f t="shared" si="912"/>
        <v>501888.22048943263</v>
      </c>
      <c r="FD353" s="269"/>
      <c r="FE353" s="269">
        <f t="shared" si="913"/>
        <v>283790377.70060104</v>
      </c>
      <c r="FF353" s="140">
        <f>'Detailed Budget'!$AC$165</f>
        <v>14927760000</v>
      </c>
      <c r="FG353" s="1087">
        <f t="shared" si="972"/>
        <v>387108860.36228555</v>
      </c>
      <c r="FH353" s="269">
        <f t="shared" si="948"/>
        <v>20353723.440518126</v>
      </c>
      <c r="FJ353" s="140">
        <f>'Detailed Budget'!$AC$235</f>
        <v>3623696172</v>
      </c>
      <c r="FK353" s="269">
        <f t="shared" si="949"/>
        <v>4681778</v>
      </c>
      <c r="FL353" s="269">
        <f t="shared" si="973"/>
        <v>4681778</v>
      </c>
      <c r="FO353" s="607"/>
      <c r="FP353" s="607"/>
      <c r="FQ353" s="607"/>
      <c r="FR353" s="269">
        <f>'Detailed Budget'!$AC$257</f>
        <v>13636439388</v>
      </c>
      <c r="FS353" s="269">
        <f t="shared" si="950"/>
        <v>11492364</v>
      </c>
      <c r="FT353" s="269">
        <f t="shared" si="974"/>
        <v>11492364</v>
      </c>
      <c r="FU353" s="269"/>
      <c r="FV353" s="269"/>
      <c r="FW353" s="269"/>
      <c r="FX353" s="140">
        <f>'Detailed Budget'!$AC$278</f>
        <v>1114560000</v>
      </c>
      <c r="FY353" s="269">
        <f t="shared" si="951"/>
        <v>1440000</v>
      </c>
      <c r="FZ353" s="269">
        <f t="shared" si="975"/>
        <v>1440000</v>
      </c>
      <c r="GB353" s="269">
        <f t="shared" si="983"/>
        <v>2104782005.5808585</v>
      </c>
      <c r="GC353" s="887">
        <f t="shared" si="914"/>
        <v>1315488.7534880366</v>
      </c>
      <c r="GD353" s="1078">
        <f t="shared" si="984"/>
        <v>1.1810594610286971E-3</v>
      </c>
    </row>
    <row r="354" spans="1:186" hidden="1" outlineLevel="1">
      <c r="A354" s="211" t="s">
        <v>851</v>
      </c>
      <c r="B354" s="212" t="s">
        <v>852</v>
      </c>
      <c r="C354" s="213" t="s">
        <v>215</v>
      </c>
      <c r="D354" s="214" t="s">
        <v>215</v>
      </c>
      <c r="E354" s="213"/>
      <c r="F354" s="213"/>
      <c r="G354" s="213"/>
      <c r="H354" s="213" t="s">
        <v>215</v>
      </c>
      <c r="I354" s="214" t="s">
        <v>215</v>
      </c>
      <c r="J354" s="214"/>
      <c r="K354" s="213" t="s">
        <v>215</v>
      </c>
      <c r="L354" s="213"/>
      <c r="M354" s="214"/>
      <c r="N354" s="213"/>
      <c r="O354" s="214"/>
      <c r="P354" s="213"/>
      <c r="Q354" s="214"/>
      <c r="R354" s="214" t="s">
        <v>215</v>
      </c>
      <c r="S354" s="214"/>
      <c r="T354" s="213"/>
      <c r="U354" s="215">
        <f t="shared" si="952"/>
        <v>6</v>
      </c>
      <c r="V354" s="845" t="s">
        <v>219</v>
      </c>
      <c r="W354" s="216">
        <v>220094</v>
      </c>
      <c r="X354" s="217">
        <v>3.36</v>
      </c>
      <c r="Y354" s="218">
        <f t="shared" si="986"/>
        <v>1.0336000000000001</v>
      </c>
      <c r="Z354" s="196">
        <v>19</v>
      </c>
      <c r="AA354" s="218">
        <f t="shared" si="987"/>
        <v>1.873689022502546</v>
      </c>
      <c r="AB354" s="196">
        <f t="shared" si="988"/>
        <v>412387.71171867533</v>
      </c>
      <c r="AC354">
        <v>19.3</v>
      </c>
      <c r="AD354" s="196">
        <f t="shared" si="989"/>
        <v>79590.828361704334</v>
      </c>
      <c r="AE354" s="196">
        <f t="shared" si="990"/>
        <v>75611.28694361911</v>
      </c>
      <c r="AF354" s="196">
        <f t="shared" si="953"/>
        <v>75611.28694361911</v>
      </c>
      <c r="AG354" s="606">
        <f t="shared" si="917"/>
        <v>3.4959339685036142E-3</v>
      </c>
      <c r="AH354" s="196">
        <f t="shared" si="967"/>
        <v>20619.385585933767</v>
      </c>
      <c r="AI354" s="248">
        <f t="shared" si="896"/>
        <v>1.5973525599215839E-3</v>
      </c>
      <c r="AJ354" s="196">
        <f t="shared" si="897"/>
        <v>100210.2139476381</v>
      </c>
      <c r="AK354" s="196">
        <f t="shared" si="926"/>
        <v>16495.508468747015</v>
      </c>
      <c r="AL354" s="196">
        <f t="shared" si="927"/>
        <v>16495.508468747015</v>
      </c>
      <c r="AM354" s="196">
        <f t="shared" si="898"/>
        <v>32991.016937494031</v>
      </c>
      <c r="AN354" s="627">
        <f t="shared" si="899"/>
        <v>1.5973525599215839E-3</v>
      </c>
      <c r="AO354" s="196">
        <f t="shared" si="900"/>
        <v>15670.733045309662</v>
      </c>
      <c r="AP354" s="589">
        <f t="shared" si="918"/>
        <v>1.5973525599215837E-3</v>
      </c>
      <c r="AQ354" s="196"/>
      <c r="AR354" s="589"/>
      <c r="AS354">
        <v>1</v>
      </c>
      <c r="AT354" s="589">
        <f t="shared" si="919"/>
        <v>1.2919896640826874E-3</v>
      </c>
      <c r="AU354" s="196">
        <v>11</v>
      </c>
      <c r="AV354" s="245">
        <f t="shared" si="901"/>
        <v>1.2498579706851495E-3</v>
      </c>
      <c r="AX354" s="245"/>
      <c r="AY354" s="245"/>
      <c r="AZ354" s="196">
        <v>32</v>
      </c>
      <c r="BA354" s="589">
        <f t="shared" si="977"/>
        <v>1.1725477263566744E-3</v>
      </c>
      <c r="BI354" s="196">
        <v>1</v>
      </c>
      <c r="BJ354" s="196">
        <f t="shared" si="954"/>
        <v>229104.28168692545</v>
      </c>
      <c r="BK354" s="246">
        <f t="shared" si="978"/>
        <v>4.3688804244124101E-3</v>
      </c>
      <c r="BL354" s="196">
        <f t="shared" si="968"/>
        <v>4582.0856337385085</v>
      </c>
      <c r="BM354" s="246">
        <f t="shared" si="979"/>
        <v>4.3688799245409837E-3</v>
      </c>
      <c r="BN354" s="196">
        <v>0</v>
      </c>
      <c r="BO354" s="196">
        <f t="shared" si="955"/>
        <v>28722.849637868847</v>
      </c>
      <c r="BP354" s="196">
        <f t="shared" si="902"/>
        <v>0</v>
      </c>
      <c r="BQ354" s="248">
        <f t="shared" si="980"/>
        <v>0</v>
      </c>
      <c r="BR354" s="248"/>
      <c r="BS354" s="248"/>
      <c r="BT354" s="276">
        <v>1</v>
      </c>
      <c r="BU354" s="196">
        <f t="shared" si="969"/>
        <v>60170.666241448474</v>
      </c>
      <c r="BV354" s="264">
        <f t="shared" si="981"/>
        <v>4.1735513831835745E-3</v>
      </c>
      <c r="BW354" s="196">
        <f t="shared" si="970"/>
        <v>257396.73892175185</v>
      </c>
      <c r="BX354" s="247">
        <f t="shared" si="982"/>
        <v>4.1735514207790862E-3</v>
      </c>
      <c r="BY354" s="196">
        <f t="shared" si="985"/>
        <v>317567.40516320034</v>
      </c>
      <c r="BZ354" s="620">
        <v>0</v>
      </c>
      <c r="CA354" s="196">
        <f t="shared" si="956"/>
        <v>126190.63978591465</v>
      </c>
      <c r="CB354" s="196">
        <f t="shared" si="957"/>
        <v>252381.27957182931</v>
      </c>
      <c r="CC354" s="196">
        <f t="shared" si="915"/>
        <v>378571.91935774393</v>
      </c>
      <c r="CD354" s="247">
        <f t="shared" si="903"/>
        <v>1.5973525599215837E-3</v>
      </c>
      <c r="CE354" s="196">
        <f t="shared" si="958"/>
        <v>32314.672154236909</v>
      </c>
      <c r="CF354" s="247">
        <f t="shared" si="904"/>
        <v>1.3954480404945687E-3</v>
      </c>
      <c r="CG354" s="196">
        <f t="shared" si="929"/>
        <v>62682.932181238648</v>
      </c>
      <c r="CH354" s="589">
        <f t="shared" si="920"/>
        <v>1.5973525599215837E-3</v>
      </c>
      <c r="CI354" s="196">
        <f t="shared" si="959"/>
        <v>129383.93153852611</v>
      </c>
      <c r="CJ354" s="248">
        <f t="shared" si="921"/>
        <v>2.1270715060735289E-3</v>
      </c>
      <c r="CK354" s="196">
        <f t="shared" si="960"/>
        <v>117805.29432127603</v>
      </c>
      <c r="CL354" s="589">
        <f t="shared" si="922"/>
        <v>1.6934753373835766E-3</v>
      </c>
      <c r="CM354" s="196">
        <f t="shared" si="961"/>
        <v>11412.395349645873</v>
      </c>
      <c r="CN354" s="589">
        <f t="shared" si="923"/>
        <v>1.6446558677746341E-3</v>
      </c>
      <c r="CO354" s="196">
        <f t="shared" si="962"/>
        <v>912.98413643559968</v>
      </c>
      <c r="CP354" s="589">
        <f t="shared" si="924"/>
        <v>1.7217474558723351E-3</v>
      </c>
      <c r="CQ354" s="196">
        <f>'Detailed Budget'!$AC$12</f>
        <v>292876014141.44696</v>
      </c>
      <c r="CR354" s="269">
        <f t="shared" si="925"/>
        <v>1279540284.9624999</v>
      </c>
      <c r="CS354" s="269">
        <f>'Detailed Budget'!$AC$16</f>
        <v>10488008800.000002</v>
      </c>
      <c r="CT354" s="607">
        <f t="shared" si="931"/>
        <v>45820851.094729178</v>
      </c>
      <c r="CU354" s="269">
        <f>'Detailed Budget'!$AC$24</f>
        <v>30624985696</v>
      </c>
      <c r="CV354" s="269">
        <f t="shared" si="976"/>
        <v>133796900.50516447</v>
      </c>
      <c r="CW354" s="269"/>
      <c r="CX354" s="269">
        <f t="shared" si="916"/>
        <v>1459158036.5623934</v>
      </c>
      <c r="CY354" s="196">
        <f>'Detailed Budget'!$AC$97</f>
        <v>74629165494.837845</v>
      </c>
      <c r="CZ354" s="269">
        <f t="shared" si="932"/>
        <v>0</v>
      </c>
      <c r="DA354" s="269">
        <f>'Detailed Budget'!$AC$100</f>
        <v>14925833098.967569</v>
      </c>
      <c r="DB354" s="269">
        <f t="shared" si="933"/>
        <v>0</v>
      </c>
      <c r="DC354" s="269">
        <f t="shared" si="905"/>
        <v>0</v>
      </c>
      <c r="DD354" s="207">
        <v>0</v>
      </c>
      <c r="DE354" s="606">
        <v>0</v>
      </c>
      <c r="DF354" s="269">
        <f>'Detailed Budget'!$AC$147</f>
        <v>5913600671000</v>
      </c>
      <c r="DG354" s="269">
        <f t="shared" si="971"/>
        <v>0</v>
      </c>
      <c r="DH354" s="269">
        <f>'Detailed Budget'!$AC$153</f>
        <v>226428026880.00003</v>
      </c>
      <c r="DI354" s="269"/>
      <c r="DJ354" s="269">
        <f>'Detailed Budget'!$AC$156</f>
        <v>27713070000</v>
      </c>
      <c r="DK354" s="269"/>
      <c r="DL354" s="269"/>
      <c r="DM354" s="196">
        <f>'Detailed Budget'!$AC$178</f>
        <v>5622683761.6229038</v>
      </c>
      <c r="DN354" s="269">
        <f t="shared" si="963"/>
        <v>23466559.590525094</v>
      </c>
      <c r="DO354" s="196">
        <f>'Detailed Budget'!$AC$179</f>
        <v>26827890683.128094</v>
      </c>
      <c r="DP354" s="269">
        <f t="shared" si="964"/>
        <v>111967581.27707526</v>
      </c>
      <c r="DQ354" s="269">
        <f t="shared" si="870"/>
        <v>135434140.86760035</v>
      </c>
      <c r="DR354" s="269">
        <f>'Detailed Budget'!$AC$181</f>
        <v>50888946855.375237</v>
      </c>
      <c r="DS354" s="269">
        <f t="shared" si="965"/>
        <v>177904397.93308148</v>
      </c>
      <c r="DT354" s="269">
        <f t="shared" si="966"/>
        <v>313338538.80068183</v>
      </c>
      <c r="DU354" s="272">
        <f>'Detailed Budget'!$AC$192</f>
        <v>77498869683.252869</v>
      </c>
      <c r="DV354" s="269">
        <f t="shared" si="934"/>
        <v>0</v>
      </c>
      <c r="DW354" s="140">
        <f>'Detailed Budget'!$AC$194</f>
        <v>2684962805.4134097</v>
      </c>
      <c r="DX354" s="269">
        <f t="shared" si="935"/>
        <v>0</v>
      </c>
      <c r="DY354" s="607">
        <f t="shared" si="906"/>
        <v>0</v>
      </c>
      <c r="DZ354" s="196">
        <f>'Detailed Budget'!$AC$198</f>
        <v>18732540018.380611</v>
      </c>
      <c r="EA354" s="269">
        <f t="shared" si="936"/>
        <v>26140286.262135316</v>
      </c>
      <c r="EB354" s="196">
        <f>'Detailed Budget'!$AC$200</f>
        <v>4683135004.5951529</v>
      </c>
      <c r="EC354" s="269">
        <f t="shared" si="937"/>
        <v>6535071.5655338289</v>
      </c>
      <c r="ED354" s="269">
        <f t="shared" si="907"/>
        <v>32675357.827669144</v>
      </c>
      <c r="EE354" s="196">
        <f>'Detailed Budget'!$AC$161</f>
        <v>251147290106.36197</v>
      </c>
      <c r="EF354" s="269">
        <f t="shared" si="938"/>
        <v>401170766.76876593</v>
      </c>
      <c r="EG354" s="196">
        <f>'Detailed Budget'!$AC$163</f>
        <v>15696705631.647623</v>
      </c>
      <c r="EH354" s="269">
        <f t="shared" si="939"/>
        <v>25073172.92304787</v>
      </c>
      <c r="EI354" s="269">
        <f t="shared" si="908"/>
        <v>426243939.69181383</v>
      </c>
      <c r="EJ354" s="196">
        <f>'Detailed Budget'!$AC$204</f>
        <v>45012172507.531975</v>
      </c>
      <c r="EK354" s="269">
        <f t="shared" si="940"/>
        <v>95744109.567237526</v>
      </c>
      <c r="EL354" s="201">
        <f>'Detailed Budget'!$AC$206</f>
        <v>11253043126.882994</v>
      </c>
      <c r="EM354" s="269">
        <f t="shared" si="941"/>
        <v>23936027.391809382</v>
      </c>
      <c r="EN354" s="269">
        <f t="shared" si="909"/>
        <v>119680136.9590469</v>
      </c>
      <c r="EO354" s="140">
        <f>'Detailed Budget'!$AC$209</f>
        <v>135789361677.54817</v>
      </c>
      <c r="EP354" s="269">
        <f t="shared" si="942"/>
        <v>229955935.07998639</v>
      </c>
      <c r="EQ354" s="196">
        <f>'Detailed Budget'!$AC$211</f>
        <v>33947340419.387043</v>
      </c>
      <c r="ER354" s="269">
        <f t="shared" si="943"/>
        <v>57488983.769996598</v>
      </c>
      <c r="ES354" s="269">
        <f t="shared" si="910"/>
        <v>287444918.84998298</v>
      </c>
      <c r="ET354" s="196">
        <f>'Detailed Budget'!$AC$214</f>
        <v>22239745544.201103</v>
      </c>
      <c r="EU354" s="269">
        <f t="shared" si="944"/>
        <v>36576728.007085115</v>
      </c>
      <c r="EV354" s="140">
        <f>'Detailed Budget'!$AC$217</f>
        <v>5559936386.0502758</v>
      </c>
      <c r="EW354" s="269">
        <f t="shared" si="945"/>
        <v>9144182.0017712787</v>
      </c>
      <c r="EX354" s="269">
        <f t="shared" si="911"/>
        <v>45720910.008856393</v>
      </c>
      <c r="EY354" s="196">
        <f>'Detailed Budget'!$AC$219</f>
        <v>372777004.58170313</v>
      </c>
      <c r="EZ354" s="269">
        <f t="shared" si="946"/>
        <v>641827.85924625723</v>
      </c>
      <c r="FA354" s="196">
        <f>'Detailed Budget'!$AC$222</f>
        <v>93194251.145425782</v>
      </c>
      <c r="FB354" s="269">
        <f t="shared" si="947"/>
        <v>160456.96481156431</v>
      </c>
      <c r="FC354" s="269">
        <f t="shared" si="912"/>
        <v>802284.82405782153</v>
      </c>
      <c r="FD354" s="269"/>
      <c r="FE354" s="269">
        <f t="shared" si="913"/>
        <v>453648250.64194411</v>
      </c>
      <c r="FF354" s="140">
        <f>'Detailed Budget'!$AC$165</f>
        <v>14927760000</v>
      </c>
      <c r="FG354" s="1087">
        <f t="shared" si="972"/>
        <v>618806242.60142255</v>
      </c>
      <c r="FH354" s="269">
        <f t="shared" si="948"/>
        <v>18657579.820474949</v>
      </c>
      <c r="FJ354" s="140">
        <f>'Detailed Budget'!$AC$235</f>
        <v>3623696172</v>
      </c>
      <c r="FK354" s="269">
        <f t="shared" si="949"/>
        <v>4681778</v>
      </c>
      <c r="FL354" s="269">
        <f t="shared" si="973"/>
        <v>4681778</v>
      </c>
      <c r="FO354" s="607"/>
      <c r="FP354" s="607"/>
      <c r="FQ354" s="607"/>
      <c r="FR354" s="269">
        <f>'Detailed Budget'!$AC$257</f>
        <v>13636439388</v>
      </c>
      <c r="FS354" s="269">
        <f t="shared" si="950"/>
        <v>15989376</v>
      </c>
      <c r="FT354" s="269">
        <f t="shared" si="974"/>
        <v>15989376</v>
      </c>
      <c r="FU354" s="269"/>
      <c r="FV354" s="269"/>
      <c r="FW354" s="269"/>
      <c r="FX354" s="140">
        <f>'Detailed Budget'!$AC$278</f>
        <v>1114560000</v>
      </c>
      <c r="FY354" s="269">
        <f t="shared" si="951"/>
        <v>1440000</v>
      </c>
      <c r="FZ354" s="269">
        <f t="shared" si="975"/>
        <v>1440000</v>
      </c>
      <c r="GB354" s="269">
        <f t="shared" si="983"/>
        <v>3344639099.9464002</v>
      </c>
      <c r="GC354" s="887">
        <f t="shared" si="914"/>
        <v>2090399.4374665001</v>
      </c>
      <c r="GD354" s="1078">
        <f t="shared" si="984"/>
        <v>1.8767823186649E-3</v>
      </c>
    </row>
    <row r="355" spans="1:186" hidden="1" outlineLevel="1">
      <c r="A355" s="211" t="s">
        <v>853</v>
      </c>
      <c r="B355" s="212" t="s">
        <v>854</v>
      </c>
      <c r="C355" s="213" t="s">
        <v>215</v>
      </c>
      <c r="D355" s="214" t="s">
        <v>215</v>
      </c>
      <c r="E355" s="213"/>
      <c r="F355" s="213"/>
      <c r="G355" s="213"/>
      <c r="H355" s="213" t="s">
        <v>215</v>
      </c>
      <c r="I355" s="214" t="s">
        <v>215</v>
      </c>
      <c r="J355" s="214"/>
      <c r="K355" s="213" t="s">
        <v>215</v>
      </c>
      <c r="L355" s="213"/>
      <c r="M355" s="214"/>
      <c r="N355" s="213"/>
      <c r="O355" s="214"/>
      <c r="P355" s="213"/>
      <c r="Q355" s="214"/>
      <c r="R355" s="214" t="s">
        <v>215</v>
      </c>
      <c r="S355" s="214"/>
      <c r="T355" s="213"/>
      <c r="U355" s="215">
        <f t="shared" si="952"/>
        <v>6</v>
      </c>
      <c r="V355" s="845" t="s">
        <v>219</v>
      </c>
      <c r="W355" s="216">
        <v>219611</v>
      </c>
      <c r="X355" s="217">
        <v>3.36</v>
      </c>
      <c r="Y355" s="218">
        <f t="shared" si="986"/>
        <v>1.0336000000000001</v>
      </c>
      <c r="Z355" s="196">
        <v>19</v>
      </c>
      <c r="AA355" s="218">
        <f t="shared" si="987"/>
        <v>1.873689022502546</v>
      </c>
      <c r="AB355" s="196">
        <f t="shared" si="988"/>
        <v>411482.71992080664</v>
      </c>
      <c r="AC355">
        <v>19.3</v>
      </c>
      <c r="AD355" s="196">
        <f t="shared" si="989"/>
        <v>79416.164944715681</v>
      </c>
      <c r="AE355" s="196">
        <f t="shared" si="990"/>
        <v>75445.356697479889</v>
      </c>
      <c r="AF355" s="196">
        <f t="shared" si="953"/>
        <v>75445.356697479889</v>
      </c>
      <c r="AG355" s="606">
        <f t="shared" si="917"/>
        <v>3.4882620823695662E-3</v>
      </c>
      <c r="AH355" s="196">
        <f t="shared" si="967"/>
        <v>20574.135996040335</v>
      </c>
      <c r="AI355" s="248">
        <f t="shared" si="896"/>
        <v>1.5938471427523651E-3</v>
      </c>
      <c r="AJ355" s="196">
        <f t="shared" si="897"/>
        <v>99990.300940756017</v>
      </c>
      <c r="AK355" s="196">
        <f t="shared" si="926"/>
        <v>16459.308796832265</v>
      </c>
      <c r="AL355" s="196">
        <f t="shared" si="927"/>
        <v>16459.308796832265</v>
      </c>
      <c r="AM355" s="196">
        <f t="shared" si="898"/>
        <v>32918.61759366453</v>
      </c>
      <c r="AN355" s="627">
        <f t="shared" si="899"/>
        <v>1.5938471427523648E-3</v>
      </c>
      <c r="AO355" s="196">
        <f t="shared" si="900"/>
        <v>15636.343356990652</v>
      </c>
      <c r="AP355" s="589">
        <f t="shared" si="918"/>
        <v>1.5938471427523648E-3</v>
      </c>
      <c r="AQ355" s="196"/>
      <c r="AR355" s="589"/>
      <c r="AS355">
        <v>1</v>
      </c>
      <c r="AT355" s="589">
        <f t="shared" si="919"/>
        <v>1.2919896640826874E-3</v>
      </c>
      <c r="AU355" s="196">
        <v>11</v>
      </c>
      <c r="AV355" s="245">
        <f t="shared" si="901"/>
        <v>1.2498579706851495E-3</v>
      </c>
      <c r="AX355" s="245"/>
      <c r="AY355" s="245"/>
      <c r="AZ355" s="196">
        <v>28</v>
      </c>
      <c r="BA355" s="589">
        <f t="shared" si="977"/>
        <v>1.0259792605620901E-3</v>
      </c>
      <c r="BI355" s="196">
        <v>1</v>
      </c>
      <c r="BJ355" s="196">
        <f t="shared" si="954"/>
        <v>228601.50847159573</v>
      </c>
      <c r="BK355" s="246">
        <f t="shared" si="978"/>
        <v>4.3592928425383419E-3</v>
      </c>
      <c r="BL355" s="196">
        <f t="shared" si="968"/>
        <v>4572.0301694319151</v>
      </c>
      <c r="BM355" s="246">
        <f t="shared" si="979"/>
        <v>4.3592923437638931E-3</v>
      </c>
      <c r="BN355" s="196">
        <v>0</v>
      </c>
      <c r="BO355" s="196">
        <f t="shared" si="955"/>
        <v>28659.816859260209</v>
      </c>
      <c r="BP355" s="196">
        <f t="shared" si="902"/>
        <v>0</v>
      </c>
      <c r="BQ355" s="248">
        <f t="shared" si="980"/>
        <v>0</v>
      </c>
      <c r="BR355" s="248"/>
      <c r="BS355" s="248"/>
      <c r="BT355" s="276">
        <v>1</v>
      </c>
      <c r="BU355" s="196">
        <f t="shared" si="969"/>
        <v>60038.620698205057</v>
      </c>
      <c r="BV355" s="264">
        <f t="shared" si="981"/>
        <v>4.1643924541892472E-3</v>
      </c>
      <c r="BW355" s="196">
        <f t="shared" si="970"/>
        <v>256831.87743121051</v>
      </c>
      <c r="BX355" s="247">
        <f t="shared" si="982"/>
        <v>4.1643924917022538E-3</v>
      </c>
      <c r="BY355" s="196">
        <f t="shared" si="985"/>
        <v>316870.49812941556</v>
      </c>
      <c r="BZ355" s="620">
        <v>0</v>
      </c>
      <c r="CA355" s="196">
        <f t="shared" si="956"/>
        <v>125913.71229576682</v>
      </c>
      <c r="CB355" s="196">
        <f t="shared" si="957"/>
        <v>251827.42459153364</v>
      </c>
      <c r="CC355" s="196">
        <f t="shared" si="915"/>
        <v>377741.13688730047</v>
      </c>
      <c r="CD355" s="247">
        <f t="shared" si="903"/>
        <v>1.5938471427523646E-3</v>
      </c>
      <c r="CE355" s="196">
        <f t="shared" si="958"/>
        <v>32243.757060456544</v>
      </c>
      <c r="CF355" s="247">
        <f t="shared" si="904"/>
        <v>1.3923857062030441E-3</v>
      </c>
      <c r="CG355" s="196">
        <f t="shared" si="929"/>
        <v>62545.373427962608</v>
      </c>
      <c r="CH355" s="589">
        <f t="shared" si="920"/>
        <v>1.5938471427523648E-3</v>
      </c>
      <c r="CI355" s="196">
        <f t="shared" si="959"/>
        <v>129099.99631569811</v>
      </c>
      <c r="CJ355" s="248">
        <f t="shared" si="921"/>
        <v>2.1224036117309594E-3</v>
      </c>
      <c r="CK355" s="196">
        <f t="shared" si="960"/>
        <v>117546.76861336407</v>
      </c>
      <c r="CL355" s="589">
        <f t="shared" si="922"/>
        <v>1.6897589771558729E-3</v>
      </c>
      <c r="CM355" s="196">
        <f t="shared" si="961"/>
        <v>11387.350655315819</v>
      </c>
      <c r="CN355" s="589">
        <f t="shared" si="923"/>
        <v>1.6410466426974618E-3</v>
      </c>
      <c r="CO355" s="196">
        <f t="shared" si="962"/>
        <v>910.98057732949792</v>
      </c>
      <c r="CP355" s="589">
        <f t="shared" si="924"/>
        <v>1.7179690520031418E-3</v>
      </c>
      <c r="CQ355" s="196">
        <f>'Detailed Budget'!$AC$12</f>
        <v>292876014141.44696</v>
      </c>
      <c r="CR355" s="269">
        <f t="shared" si="925"/>
        <v>1276732312.197968</v>
      </c>
      <c r="CS355" s="269">
        <f>'Detailed Budget'!$AC$16</f>
        <v>10488008800.000002</v>
      </c>
      <c r="CT355" s="607">
        <f t="shared" si="931"/>
        <v>45720296.463168345</v>
      </c>
      <c r="CU355" s="269">
        <f>'Detailed Budget'!$AC$24</f>
        <v>30624985696</v>
      </c>
      <c r="CV355" s="269">
        <f t="shared" si="976"/>
        <v>133503280.94741189</v>
      </c>
      <c r="CW355" s="269"/>
      <c r="CX355" s="269">
        <f t="shared" si="916"/>
        <v>1455955889.6085482</v>
      </c>
      <c r="CY355" s="196">
        <f>'Detailed Budget'!$AC$97</f>
        <v>74629165494.837845</v>
      </c>
      <c r="CZ355" s="269">
        <f t="shared" si="932"/>
        <v>0</v>
      </c>
      <c r="DA355" s="269">
        <f>'Detailed Budget'!$AC$100</f>
        <v>14925833098.967569</v>
      </c>
      <c r="DB355" s="269">
        <f t="shared" si="933"/>
        <v>0</v>
      </c>
      <c r="DC355" s="269">
        <f t="shared" si="905"/>
        <v>0</v>
      </c>
      <c r="DD355" s="207">
        <v>0</v>
      </c>
      <c r="DE355" s="606">
        <v>0</v>
      </c>
      <c r="DF355" s="269">
        <f>'Detailed Budget'!$AC$147</f>
        <v>5913600671000</v>
      </c>
      <c r="DG355" s="269">
        <f t="shared" si="971"/>
        <v>0</v>
      </c>
      <c r="DH355" s="269">
        <f>'Detailed Budget'!$AC$153</f>
        <v>226428026880.00003</v>
      </c>
      <c r="DI355" s="269"/>
      <c r="DJ355" s="269">
        <f>'Detailed Budget'!$AC$156</f>
        <v>27713070000</v>
      </c>
      <c r="DK355" s="269"/>
      <c r="DL355" s="269"/>
      <c r="DM355" s="196">
        <f>'Detailed Budget'!$AC$178</f>
        <v>5622683761.6229038</v>
      </c>
      <c r="DN355" s="269">
        <f t="shared" si="963"/>
        <v>23415061.829194833</v>
      </c>
      <c r="DO355" s="196">
        <f>'Detailed Budget'!$AC$179</f>
        <v>26827890683.128094</v>
      </c>
      <c r="DP355" s="269">
        <f t="shared" si="964"/>
        <v>111721866.52902748</v>
      </c>
      <c r="DQ355" s="269">
        <f t="shared" si="870"/>
        <v>135136928.35822231</v>
      </c>
      <c r="DR355" s="269">
        <f>'Detailed Budget'!$AC$181</f>
        <v>50888946855.375237</v>
      </c>
      <c r="DS355" s="269">
        <f t="shared" si="965"/>
        <v>177513983.72732541</v>
      </c>
      <c r="DT355" s="269">
        <f t="shared" si="966"/>
        <v>312650912.08554769</v>
      </c>
      <c r="DU355" s="272">
        <f>'Detailed Budget'!$AC$192</f>
        <v>77498869683.252869</v>
      </c>
      <c r="DV355" s="269">
        <f t="shared" si="934"/>
        <v>0</v>
      </c>
      <c r="DW355" s="140">
        <f>'Detailed Budget'!$AC$194</f>
        <v>2684962805.4134097</v>
      </c>
      <c r="DX355" s="269">
        <f t="shared" si="935"/>
        <v>0</v>
      </c>
      <c r="DY355" s="607">
        <f t="shared" si="906"/>
        <v>0</v>
      </c>
      <c r="DZ355" s="196">
        <f>'Detailed Budget'!$AC$198</f>
        <v>18732540018.380611</v>
      </c>
      <c r="EA355" s="269">
        <f t="shared" si="936"/>
        <v>26082920.962469671</v>
      </c>
      <c r="EB355" s="196">
        <f>'Detailed Budget'!$AC$200</f>
        <v>4683135004.5951529</v>
      </c>
      <c r="EC355" s="269">
        <f t="shared" si="937"/>
        <v>6520730.2406174177</v>
      </c>
      <c r="ED355" s="269">
        <f t="shared" si="907"/>
        <v>32603651.203087088</v>
      </c>
      <c r="EE355" s="196">
        <f>'Detailed Budget'!$AC$161</f>
        <v>251147290106.36197</v>
      </c>
      <c r="EF355" s="269">
        <f t="shared" si="938"/>
        <v>400290390.74602431</v>
      </c>
      <c r="EG355" s="196">
        <f>'Detailed Budget'!$AC$163</f>
        <v>15696705631.647623</v>
      </c>
      <c r="EH355" s="269">
        <f t="shared" si="939"/>
        <v>25018149.421626519</v>
      </c>
      <c r="EI355" s="269">
        <f t="shared" si="908"/>
        <v>425308540.16765082</v>
      </c>
      <c r="EJ355" s="196">
        <f>'Detailed Budget'!$AC$204</f>
        <v>45012172507.531975</v>
      </c>
      <c r="EK355" s="269">
        <f t="shared" si="940"/>
        <v>95533997.501842856</v>
      </c>
      <c r="EL355" s="201">
        <f>'Detailed Budget'!$AC$206</f>
        <v>11253043126.882994</v>
      </c>
      <c r="EM355" s="269">
        <f t="shared" si="941"/>
        <v>23883499.375460714</v>
      </c>
      <c r="EN355" s="269">
        <f t="shared" si="909"/>
        <v>119417496.87730357</v>
      </c>
      <c r="EO355" s="140">
        <f>'Detailed Budget'!$AC$209</f>
        <v>135789361677.54817</v>
      </c>
      <c r="EP355" s="269">
        <f t="shared" si="942"/>
        <v>229451292.89690268</v>
      </c>
      <c r="EQ355" s="196">
        <f>'Detailed Budget'!$AC$211</f>
        <v>33947340419.387043</v>
      </c>
      <c r="ER355" s="269">
        <f t="shared" si="943"/>
        <v>57362823.22422567</v>
      </c>
      <c r="ES355" s="269">
        <f t="shared" si="910"/>
        <v>286814116.12112832</v>
      </c>
      <c r="ET355" s="196">
        <f>'Detailed Budget'!$AC$214</f>
        <v>22239745544.201103</v>
      </c>
      <c r="EU355" s="269">
        <f t="shared" si="944"/>
        <v>36496459.759757057</v>
      </c>
      <c r="EV355" s="140">
        <f>'Detailed Budget'!$AC$217</f>
        <v>5559936386.0502758</v>
      </c>
      <c r="EW355" s="269">
        <f t="shared" si="945"/>
        <v>9124114.9399392642</v>
      </c>
      <c r="EX355" s="269">
        <f t="shared" si="911"/>
        <v>45620574.699696317</v>
      </c>
      <c r="EY355" s="196">
        <f>'Detailed Budget'!$AC$219</f>
        <v>372777004.58170313</v>
      </c>
      <c r="EZ355" s="269">
        <f t="shared" si="946"/>
        <v>640419.35716979939</v>
      </c>
      <c r="FA355" s="196">
        <f>'Detailed Budget'!$AC$222</f>
        <v>93194251.145425782</v>
      </c>
      <c r="FB355" s="269">
        <f t="shared" si="947"/>
        <v>160104.83929244985</v>
      </c>
      <c r="FC355" s="269">
        <f t="shared" si="912"/>
        <v>800524.19646224927</v>
      </c>
      <c r="FD355" s="269"/>
      <c r="FE355" s="269">
        <f t="shared" si="913"/>
        <v>452652711.8945905</v>
      </c>
      <c r="FF355" s="140">
        <f>'Detailed Budget'!$AC$165</f>
        <v>14927760000</v>
      </c>
      <c r="FG355" s="1087">
        <f t="shared" si="972"/>
        <v>617448261.85148633</v>
      </c>
      <c r="FH355" s="269">
        <f t="shared" si="948"/>
        <v>18657579.820474949</v>
      </c>
      <c r="FJ355" s="140">
        <f>'Detailed Budget'!$AC$235</f>
        <v>3623696172</v>
      </c>
      <c r="FK355" s="269">
        <f t="shared" si="949"/>
        <v>4681778</v>
      </c>
      <c r="FL355" s="269">
        <f t="shared" si="973"/>
        <v>4681778</v>
      </c>
      <c r="FO355" s="607"/>
      <c r="FP355" s="607"/>
      <c r="FQ355" s="607"/>
      <c r="FR355" s="269">
        <f>'Detailed Budget'!$AC$257</f>
        <v>13636439388</v>
      </c>
      <c r="FS355" s="269">
        <f t="shared" si="950"/>
        <v>13990704</v>
      </c>
      <c r="FT355" s="269">
        <f t="shared" si="974"/>
        <v>13990704</v>
      </c>
      <c r="FU355" s="269"/>
      <c r="FV355" s="269"/>
      <c r="FW355" s="269"/>
      <c r="FX355" s="140">
        <f>'Detailed Budget'!$AC$278</f>
        <v>1114560000</v>
      </c>
      <c r="FY355" s="269">
        <f t="shared" si="951"/>
        <v>1440000</v>
      </c>
      <c r="FZ355" s="269">
        <f t="shared" si="975"/>
        <v>1440000</v>
      </c>
      <c r="GB355" s="269">
        <f t="shared" si="983"/>
        <v>3335390028.6313853</v>
      </c>
      <c r="GC355" s="887">
        <f t="shared" si="914"/>
        <v>2084618.7678946159</v>
      </c>
      <c r="GD355" s="1078">
        <f t="shared" si="984"/>
        <v>1.8715923735050863E-3</v>
      </c>
    </row>
    <row r="356" spans="1:186" hidden="1" outlineLevel="1">
      <c r="A356" s="211" t="s">
        <v>855</v>
      </c>
      <c r="B356" s="212" t="s">
        <v>856</v>
      </c>
      <c r="C356" s="213" t="s">
        <v>215</v>
      </c>
      <c r="D356" s="214" t="s">
        <v>215</v>
      </c>
      <c r="E356" s="213"/>
      <c r="F356" s="213"/>
      <c r="G356" s="213"/>
      <c r="H356" s="213" t="s">
        <v>215</v>
      </c>
      <c r="I356" s="214" t="s">
        <v>215</v>
      </c>
      <c r="J356" s="214"/>
      <c r="K356" s="213" t="s">
        <v>215</v>
      </c>
      <c r="L356" s="213"/>
      <c r="M356" s="214"/>
      <c r="N356" s="213"/>
      <c r="O356" s="214"/>
      <c r="P356" s="213"/>
      <c r="Q356" s="214" t="s">
        <v>215</v>
      </c>
      <c r="R356" s="214"/>
      <c r="S356" s="214"/>
      <c r="T356" s="213"/>
      <c r="U356" s="215">
        <f t="shared" si="952"/>
        <v>6</v>
      </c>
      <c r="V356" s="845" t="s">
        <v>265</v>
      </c>
      <c r="W356" s="216">
        <v>596411</v>
      </c>
      <c r="X356" s="217">
        <v>3.36</v>
      </c>
      <c r="Y356" s="218">
        <f t="shared" si="986"/>
        <v>1.0336000000000001</v>
      </c>
      <c r="Z356" s="196">
        <v>19</v>
      </c>
      <c r="AA356" s="218">
        <f t="shared" si="987"/>
        <v>1.873689022502546</v>
      </c>
      <c r="AB356" s="196">
        <f t="shared" si="988"/>
        <v>1117488.7435997659</v>
      </c>
      <c r="AC356">
        <v>19.3</v>
      </c>
      <c r="AD356" s="196">
        <f t="shared" si="989"/>
        <v>215675.32751475484</v>
      </c>
      <c r="AE356" s="196">
        <f t="shared" si="990"/>
        <v>204891.56113901708</v>
      </c>
      <c r="AF356" s="196">
        <f t="shared" si="953"/>
        <v>204891.56113901708</v>
      </c>
      <c r="AG356" s="606">
        <f t="shared" si="917"/>
        <v>9.4732862962607304E-3</v>
      </c>
      <c r="AH356" s="196">
        <f t="shared" si="967"/>
        <v>55874.437179988301</v>
      </c>
      <c r="AI356" s="248">
        <f t="shared" si="896"/>
        <v>4.3285079902922923E-3</v>
      </c>
      <c r="AJ356" s="196">
        <f t="shared" si="897"/>
        <v>271549.76469474315</v>
      </c>
      <c r="AK356" s="196">
        <f t="shared" si="926"/>
        <v>44699.549743990639</v>
      </c>
      <c r="AL356" s="196">
        <f t="shared" si="927"/>
        <v>44699.549743990639</v>
      </c>
      <c r="AM356" s="196">
        <f t="shared" si="898"/>
        <v>89399.099487981279</v>
      </c>
      <c r="AN356" s="627">
        <f t="shared" si="899"/>
        <v>4.3285079902922923E-3</v>
      </c>
      <c r="AO356" s="196">
        <f t="shared" si="900"/>
        <v>42464.572256791107</v>
      </c>
      <c r="AP356" s="589">
        <f t="shared" si="918"/>
        <v>4.3285079902922923E-3</v>
      </c>
      <c r="AQ356" s="196"/>
      <c r="AR356" s="589"/>
      <c r="AS356">
        <v>1</v>
      </c>
      <c r="AT356" s="589">
        <f t="shared" si="919"/>
        <v>1.2919896640826874E-3</v>
      </c>
      <c r="AU356" s="196">
        <v>11</v>
      </c>
      <c r="AV356" s="245">
        <f t="shared" si="901"/>
        <v>1.2498579706851495E-3</v>
      </c>
      <c r="AX356" s="245"/>
      <c r="AY356" s="245"/>
      <c r="AZ356" s="196">
        <v>23</v>
      </c>
      <c r="BA356" s="589">
        <f t="shared" si="977"/>
        <v>8.4276867831885966E-4</v>
      </c>
      <c r="BI356" s="196">
        <v>1</v>
      </c>
      <c r="BJ356" s="196">
        <f t="shared" si="954"/>
        <v>620827.07272883819</v>
      </c>
      <c r="BK356" s="246">
        <f t="shared" si="978"/>
        <v>1.1838797708271148E-2</v>
      </c>
      <c r="BL356" s="196">
        <f t="shared" si="968"/>
        <v>12416.541454576763</v>
      </c>
      <c r="BM356" s="246">
        <f t="shared" si="979"/>
        <v>1.1838796353718926E-2</v>
      </c>
      <c r="BN356" s="196">
        <v>0</v>
      </c>
      <c r="BO356" s="196">
        <f t="shared" si="955"/>
        <v>77833.214332835065</v>
      </c>
      <c r="BP356" s="196">
        <f t="shared" si="902"/>
        <v>0</v>
      </c>
      <c r="BQ356" s="248">
        <f t="shared" si="980"/>
        <v>0</v>
      </c>
      <c r="BR356" s="248"/>
      <c r="BS356" s="248"/>
      <c r="BT356" s="276">
        <v>1</v>
      </c>
      <c r="BU356" s="196">
        <f t="shared" si="969"/>
        <v>163050.54760115466</v>
      </c>
      <c r="BV356" s="264">
        <f t="shared" si="981"/>
        <v>1.1309494824919804E-2</v>
      </c>
      <c r="BW356" s="196">
        <f t="shared" si="970"/>
        <v>697494.00918271719</v>
      </c>
      <c r="BX356" s="247">
        <f t="shared" si="982"/>
        <v>1.1309494926796167E-2</v>
      </c>
      <c r="BY356" s="196">
        <f t="shared" si="985"/>
        <v>860544.55678387184</v>
      </c>
      <c r="BZ356" s="620">
        <v>0</v>
      </c>
      <c r="CA356" s="196">
        <f t="shared" si="956"/>
        <v>341951.55554152839</v>
      </c>
      <c r="CB356" s="196">
        <f t="shared" si="957"/>
        <v>683903.11108305678</v>
      </c>
      <c r="CC356" s="196">
        <f t="shared" si="915"/>
        <v>1025854.6666245852</v>
      </c>
      <c r="CD356" s="247">
        <f t="shared" si="903"/>
        <v>4.3285079902922923E-3</v>
      </c>
      <c r="CE356" s="196">
        <f t="shared" si="958"/>
        <v>87566.339537563908</v>
      </c>
      <c r="CF356" s="247">
        <f t="shared" si="904"/>
        <v>3.7813868677901547E-3</v>
      </c>
      <c r="CG356" s="196">
        <f t="shared" si="929"/>
        <v>169858.28902716443</v>
      </c>
      <c r="CH356" s="589">
        <f t="shared" si="920"/>
        <v>4.3285079902922923E-3</v>
      </c>
      <c r="CI356" s="196">
        <f t="shared" si="959"/>
        <v>350604.74157779815</v>
      </c>
      <c r="CJ356" s="248">
        <f t="shared" si="921"/>
        <v>5.7639410615865014E-3</v>
      </c>
      <c r="CK356" s="196">
        <f t="shared" si="960"/>
        <v>319228.9357794695</v>
      </c>
      <c r="CL356" s="589">
        <f t="shared" si="922"/>
        <v>4.588981614420549E-3</v>
      </c>
      <c r="CM356" s="196">
        <f t="shared" si="961"/>
        <v>30925.323374910924</v>
      </c>
      <c r="CN356" s="589">
        <f t="shared" si="923"/>
        <v>4.4566905538330776E-3</v>
      </c>
      <c r="CO356" s="196">
        <f t="shared" si="962"/>
        <v>2474.0055694189418</v>
      </c>
      <c r="CP356" s="589">
        <f t="shared" si="924"/>
        <v>4.6655934369145705E-3</v>
      </c>
      <c r="CQ356" s="196">
        <f>'Detailed Budget'!$AC$12</f>
        <v>292876014141.44696</v>
      </c>
      <c r="CR356" s="269">
        <f t="shared" si="925"/>
        <v>3467299885.0253506</v>
      </c>
      <c r="CS356" s="269">
        <f>'Detailed Budget'!$AC$16</f>
        <v>10488008800.000002</v>
      </c>
      <c r="CT356" s="607">
        <f t="shared" si="931"/>
        <v>124165400.33921203</v>
      </c>
      <c r="CU356" s="269">
        <f>'Detailed Budget'!$AC$24</f>
        <v>30624985696</v>
      </c>
      <c r="CV356" s="269">
        <f t="shared" si="976"/>
        <v>362563010.47364151</v>
      </c>
      <c r="CW356" s="269"/>
      <c r="CX356" s="269">
        <f t="shared" si="916"/>
        <v>3954028295.8382039</v>
      </c>
      <c r="CY356" s="196">
        <f>'Detailed Budget'!$AC$97</f>
        <v>74629165494.837845</v>
      </c>
      <c r="CZ356" s="269">
        <f t="shared" si="932"/>
        <v>0</v>
      </c>
      <c r="DA356" s="269">
        <f>'Detailed Budget'!$AC$100</f>
        <v>14925833098.967569</v>
      </c>
      <c r="DB356" s="269">
        <f t="shared" si="933"/>
        <v>0</v>
      </c>
      <c r="DC356" s="269">
        <f t="shared" si="905"/>
        <v>0</v>
      </c>
      <c r="DD356" s="207">
        <v>0</v>
      </c>
      <c r="DE356" s="606">
        <v>0</v>
      </c>
      <c r="DF356" s="269">
        <f>'Detailed Budget'!$AC$147</f>
        <v>5913600671000</v>
      </c>
      <c r="DG356" s="269">
        <f t="shared" si="971"/>
        <v>0</v>
      </c>
      <c r="DH356" s="269">
        <f>'Detailed Budget'!$AC$153</f>
        <v>226428026880.00003</v>
      </c>
      <c r="DI356" s="269"/>
      <c r="DJ356" s="269">
        <f>'Detailed Budget'!$AC$156</f>
        <v>27713070000</v>
      </c>
      <c r="DK356" s="269"/>
      <c r="DL356" s="269"/>
      <c r="DM356" s="196">
        <f>'Detailed Budget'!$AC$178</f>
        <v>5622683761.6229038</v>
      </c>
      <c r="DN356" s="269">
        <f t="shared" si="963"/>
        <v>63589712.904234849</v>
      </c>
      <c r="DO356" s="196">
        <f>'Detailed Budget'!$AC$179</f>
        <v>26827890683.128094</v>
      </c>
      <c r="DP356" s="269">
        <f t="shared" si="964"/>
        <v>303409893.57747936</v>
      </c>
      <c r="DQ356" s="269">
        <f t="shared" si="870"/>
        <v>366999606.48171419</v>
      </c>
      <c r="DR356" s="269">
        <f>'Detailed Budget'!$AC$181</f>
        <v>50888946855.375237</v>
      </c>
      <c r="DS356" s="269">
        <f t="shared" si="965"/>
        <v>482085562.87616682</v>
      </c>
      <c r="DT356" s="269">
        <f t="shared" si="966"/>
        <v>849085169.35788107</v>
      </c>
      <c r="DU356" s="272">
        <f>'Detailed Budget'!$AC$192</f>
        <v>77498869683.252869</v>
      </c>
      <c r="DV356" s="269">
        <f t="shared" si="934"/>
        <v>0</v>
      </c>
      <c r="DW356" s="140">
        <f>'Detailed Budget'!$AC$194</f>
        <v>2684962805.4134097</v>
      </c>
      <c r="DX356" s="269">
        <f t="shared" si="935"/>
        <v>0</v>
      </c>
      <c r="DY356" s="607">
        <f t="shared" si="906"/>
        <v>0</v>
      </c>
      <c r="DZ356" s="196">
        <f>'Detailed Budget'!$AC$198</f>
        <v>18732540018.380611</v>
      </c>
      <c r="EA356" s="269">
        <f t="shared" si="936"/>
        <v>70834980.825857982</v>
      </c>
      <c r="EB356" s="196">
        <f>'Detailed Budget'!$AC$200</f>
        <v>4683135004.5951529</v>
      </c>
      <c r="EC356" s="269">
        <f t="shared" si="937"/>
        <v>17708745.206464496</v>
      </c>
      <c r="ED356" s="269">
        <f t="shared" si="907"/>
        <v>88543726.032322481</v>
      </c>
      <c r="EE356" s="196">
        <f>'Detailed Budget'!$AC$161</f>
        <v>251147290106.36197</v>
      </c>
      <c r="EF356" s="269">
        <f t="shared" si="938"/>
        <v>1087093051.9656441</v>
      </c>
      <c r="EG356" s="196">
        <f>'Detailed Budget'!$AC$163</f>
        <v>15696705631.647623</v>
      </c>
      <c r="EH356" s="269">
        <f t="shared" si="939"/>
        <v>67943315.747852758</v>
      </c>
      <c r="EI356" s="269">
        <f t="shared" si="908"/>
        <v>1155036367.7134969</v>
      </c>
      <c r="EJ356" s="196">
        <f>'Detailed Budget'!$AC$204</f>
        <v>45012172507.531975</v>
      </c>
      <c r="EK356" s="269">
        <f t="shared" si="940"/>
        <v>259447509.38737857</v>
      </c>
      <c r="EL356" s="201">
        <f>'Detailed Budget'!$AC$206</f>
        <v>11253043126.882994</v>
      </c>
      <c r="EM356" s="269">
        <f t="shared" si="941"/>
        <v>64861877.346844643</v>
      </c>
      <c r="EN356" s="269">
        <f t="shared" si="909"/>
        <v>324309386.73422325</v>
      </c>
      <c r="EO356" s="140">
        <f>'Detailed Budget'!$AC$209</f>
        <v>135789361677.54817</v>
      </c>
      <c r="EP356" s="269">
        <f t="shared" si="942"/>
        <v>623134884.17217088</v>
      </c>
      <c r="EQ356" s="196">
        <f>'Detailed Budget'!$AC$211</f>
        <v>33947340419.387043</v>
      </c>
      <c r="ER356" s="269">
        <f t="shared" si="943"/>
        <v>155783721.04304272</v>
      </c>
      <c r="ES356" s="269">
        <f t="shared" si="910"/>
        <v>778918605.21521354</v>
      </c>
      <c r="ET356" s="196">
        <f>'Detailed Budget'!$AC$214</f>
        <v>22239745544.201103</v>
      </c>
      <c r="EU356" s="269">
        <f t="shared" si="944"/>
        <v>99115663.886492342</v>
      </c>
      <c r="EV356" s="140">
        <f>'Detailed Budget'!$AC$217</f>
        <v>5559936386.0502758</v>
      </c>
      <c r="EW356" s="269">
        <f t="shared" si="945"/>
        <v>24778915.971623085</v>
      </c>
      <c r="EX356" s="269">
        <f t="shared" si="911"/>
        <v>123894579.85811543</v>
      </c>
      <c r="EY356" s="196">
        <f>'Detailed Budget'!$AC$219</f>
        <v>372777004.58170313</v>
      </c>
      <c r="EZ356" s="269">
        <f t="shared" si="946"/>
        <v>1739225.9460090669</v>
      </c>
      <c r="FA356" s="196">
        <f>'Detailed Budget'!$AC$222</f>
        <v>93194251.145425782</v>
      </c>
      <c r="FB356" s="269">
        <f t="shared" si="947"/>
        <v>434806.48650226672</v>
      </c>
      <c r="FC356" s="269">
        <f t="shared" si="912"/>
        <v>2174032.4325113334</v>
      </c>
      <c r="FD356" s="269"/>
      <c r="FE356" s="269">
        <f t="shared" si="913"/>
        <v>1229296604.2400634</v>
      </c>
      <c r="FF356" s="140">
        <f>'Detailed Budget'!$AC$165</f>
        <v>14927760000</v>
      </c>
      <c r="FG356" s="1087">
        <f t="shared" si="972"/>
        <v>1676841940.0626869</v>
      </c>
      <c r="FH356" s="269">
        <f t="shared" si="948"/>
        <v>18657579.820474949</v>
      </c>
      <c r="FJ356" s="140">
        <f>'Detailed Budget'!$AC$235</f>
        <v>3623696172</v>
      </c>
      <c r="FK356" s="269">
        <f t="shared" si="949"/>
        <v>4681778</v>
      </c>
      <c r="FL356" s="269">
        <f t="shared" si="973"/>
        <v>4681778</v>
      </c>
      <c r="FO356" s="607"/>
      <c r="FP356" s="607"/>
      <c r="FQ356" s="607"/>
      <c r="FR356" s="269">
        <f>'Detailed Budget'!$AC$257</f>
        <v>13636439388</v>
      </c>
      <c r="FS356" s="269">
        <f t="shared" si="950"/>
        <v>11492364</v>
      </c>
      <c r="FT356" s="269">
        <f t="shared" si="974"/>
        <v>11492364</v>
      </c>
      <c r="FU356" s="269"/>
      <c r="FV356" s="269"/>
      <c r="FW356" s="269"/>
      <c r="FX356" s="140">
        <f>'Detailed Budget'!$AC$278</f>
        <v>1114560000</v>
      </c>
      <c r="FY356" s="269">
        <f t="shared" si="951"/>
        <v>1440000</v>
      </c>
      <c r="FZ356" s="269">
        <f t="shared" si="975"/>
        <v>1440000</v>
      </c>
      <c r="GB356" s="269">
        <f t="shared" si="983"/>
        <v>8989103825.0651302</v>
      </c>
      <c r="GC356" s="887">
        <f t="shared" si="914"/>
        <v>5618189.8906657062</v>
      </c>
      <c r="GD356" s="1078">
        <f t="shared" si="984"/>
        <v>5.04406921505989E-3</v>
      </c>
    </row>
    <row r="357" spans="1:186" hidden="1" outlineLevel="1">
      <c r="A357" s="211" t="s">
        <v>857</v>
      </c>
      <c r="B357" s="212" t="s">
        <v>858</v>
      </c>
      <c r="C357" s="213" t="s">
        <v>215</v>
      </c>
      <c r="D357" s="214" t="s">
        <v>215</v>
      </c>
      <c r="E357" s="213"/>
      <c r="F357" s="213"/>
      <c r="G357" s="213"/>
      <c r="H357" s="213" t="s">
        <v>215</v>
      </c>
      <c r="I357" s="214" t="s">
        <v>215</v>
      </c>
      <c r="J357" s="214"/>
      <c r="K357" s="213" t="s">
        <v>215</v>
      </c>
      <c r="L357" s="213"/>
      <c r="M357" s="214"/>
      <c r="N357" s="213"/>
      <c r="O357" s="214"/>
      <c r="P357" s="213"/>
      <c r="Q357" s="214"/>
      <c r="R357" s="214" t="s">
        <v>215</v>
      </c>
      <c r="S357" s="214"/>
      <c r="T357" s="213"/>
      <c r="U357" s="215">
        <f t="shared" si="952"/>
        <v>6</v>
      </c>
      <c r="V357" s="845" t="s">
        <v>219</v>
      </c>
      <c r="W357" s="216">
        <v>148276</v>
      </c>
      <c r="X357" s="217">
        <v>3.36</v>
      </c>
      <c r="Y357" s="218">
        <f t="shared" si="986"/>
        <v>1.0336000000000001</v>
      </c>
      <c r="Z357" s="196">
        <v>19</v>
      </c>
      <c r="AA357" s="218">
        <f t="shared" si="987"/>
        <v>1.873689022502546</v>
      </c>
      <c r="AB357" s="196">
        <f t="shared" si="988"/>
        <v>277823.11350058753</v>
      </c>
      <c r="AC357">
        <v>19.3</v>
      </c>
      <c r="AD357" s="196">
        <f t="shared" si="989"/>
        <v>53619.860905613394</v>
      </c>
      <c r="AE357" s="196">
        <f t="shared" si="990"/>
        <v>50938.867860332721</v>
      </c>
      <c r="AF357" s="196">
        <f t="shared" si="953"/>
        <v>50938.867860332721</v>
      </c>
      <c r="AG357" s="606">
        <f t="shared" si="917"/>
        <v>2.3551896240417368E-3</v>
      </c>
      <c r="AH357" s="196">
        <f t="shared" si="967"/>
        <v>13891.155675029377</v>
      </c>
      <c r="AI357" s="248">
        <f t="shared" si="896"/>
        <v>1.0761267829878724E-3</v>
      </c>
      <c r="AJ357" s="196">
        <f t="shared" si="897"/>
        <v>67511.016580642769</v>
      </c>
      <c r="AK357" s="196">
        <f t="shared" si="926"/>
        <v>11112.924540023501</v>
      </c>
      <c r="AL357" s="196">
        <f t="shared" si="927"/>
        <v>11112.924540023501</v>
      </c>
      <c r="AM357" s="196">
        <f t="shared" si="898"/>
        <v>22225.849080047003</v>
      </c>
      <c r="AN357" s="627">
        <f t="shared" si="899"/>
        <v>1.0761267829878724E-3</v>
      </c>
      <c r="AO357" s="196">
        <f t="shared" si="900"/>
        <v>10557.278313022325</v>
      </c>
      <c r="AP357" s="589">
        <f t="shared" si="918"/>
        <v>1.0761267829878724E-3</v>
      </c>
      <c r="AQ357" s="196"/>
      <c r="AR357" s="589"/>
      <c r="AS357">
        <v>1</v>
      </c>
      <c r="AT357" s="589">
        <f t="shared" si="919"/>
        <v>1.2919896640826874E-3</v>
      </c>
      <c r="AU357" s="196">
        <v>10</v>
      </c>
      <c r="AV357" s="245">
        <f t="shared" si="901"/>
        <v>1.1362345188046814E-3</v>
      </c>
      <c r="AX357" s="245"/>
      <c r="AY357" s="245"/>
      <c r="AZ357" s="196">
        <v>18</v>
      </c>
      <c r="BA357" s="589">
        <f t="shared" si="977"/>
        <v>6.5955809607562931E-4</v>
      </c>
      <c r="BI357" s="196">
        <v>1</v>
      </c>
      <c r="BJ357" s="196">
        <f t="shared" si="954"/>
        <v>154346.17241456179</v>
      </c>
      <c r="BK357" s="246">
        <f t="shared" si="978"/>
        <v>2.9432883850090169E-3</v>
      </c>
      <c r="BL357" s="196">
        <f t="shared" si="968"/>
        <v>3086.9234482912357</v>
      </c>
      <c r="BM357" s="246">
        <f t="shared" si="979"/>
        <v>2.943288048248653E-3</v>
      </c>
      <c r="BN357" s="196">
        <v>0</v>
      </c>
      <c r="BO357" s="196">
        <f t="shared" si="955"/>
        <v>19350.41051961726</v>
      </c>
      <c r="BP357" s="196">
        <f t="shared" si="902"/>
        <v>0</v>
      </c>
      <c r="BQ357" s="248">
        <f t="shared" si="980"/>
        <v>0</v>
      </c>
      <c r="BR357" s="248"/>
      <c r="BS357" s="248"/>
      <c r="BT357" s="276">
        <v>1</v>
      </c>
      <c r="BU357" s="196">
        <f t="shared" si="969"/>
        <v>40536.614844643729</v>
      </c>
      <c r="BV357" s="264">
        <f t="shared" si="981"/>
        <v>2.8116963883292045E-3</v>
      </c>
      <c r="BW357" s="196">
        <f t="shared" si="970"/>
        <v>173406.63016875373</v>
      </c>
      <c r="BX357" s="247">
        <f t="shared" si="982"/>
        <v>2.8116964136570733E-3</v>
      </c>
      <c r="BY357" s="196">
        <f t="shared" si="985"/>
        <v>213943.24501339748</v>
      </c>
      <c r="BZ357" s="620">
        <v>0</v>
      </c>
      <c r="CA357" s="196">
        <f t="shared" si="956"/>
        <v>85013.872731179785</v>
      </c>
      <c r="CB357" s="196">
        <f t="shared" si="957"/>
        <v>170027.74546235957</v>
      </c>
      <c r="CC357" s="196">
        <f t="shared" si="915"/>
        <v>255041.61819353935</v>
      </c>
      <c r="CD357" s="247">
        <f t="shared" si="903"/>
        <v>1.0761267829878724E-3</v>
      </c>
      <c r="CE357" s="196">
        <f t="shared" si="958"/>
        <v>21770.199679871472</v>
      </c>
      <c r="CF357" s="247">
        <f t="shared" si="904"/>
        <v>9.4010492631499572E-4</v>
      </c>
      <c r="CG357" s="196">
        <f t="shared" ref="CG357:CG388" si="991">AO357*4</f>
        <v>42229.113252089301</v>
      </c>
      <c r="CH357" s="589">
        <f t="shared" si="920"/>
        <v>1.0761267829878724E-3</v>
      </c>
      <c r="CI357" s="196">
        <f t="shared" si="959"/>
        <v>87165.174120178199</v>
      </c>
      <c r="CJ357" s="248">
        <f t="shared" si="921"/>
        <v>1.4329952412812643E-3</v>
      </c>
      <c r="CK357" s="196">
        <f t="shared" si="960"/>
        <v>79364.716079409365</v>
      </c>
      <c r="CL357" s="589">
        <f t="shared" si="922"/>
        <v>1.140884118267137E-3</v>
      </c>
      <c r="CM357" s="196">
        <f t="shared" si="961"/>
        <v>7688.4618974805835</v>
      </c>
      <c r="CN357" s="589">
        <f t="shared" si="923"/>
        <v>1.107994736113441E-3</v>
      </c>
      <c r="CO357" s="196">
        <f t="shared" si="962"/>
        <v>615.07190479579174</v>
      </c>
      <c r="CP357" s="589">
        <f t="shared" si="924"/>
        <v>1.159930873930804E-3</v>
      </c>
      <c r="CQ357" s="196">
        <f>'Detailed Budget'!$AC$12</f>
        <v>292876014141.44696</v>
      </c>
      <c r="CR357" s="269">
        <f t="shared" si="925"/>
        <v>862018570.67025745</v>
      </c>
      <c r="CS357" s="269">
        <f>'Detailed Budget'!$AC$16</f>
        <v>10488008800.000002</v>
      </c>
      <c r="CT357" s="607">
        <f t="shared" ref="CT357:CT388" si="992">BM357*CS357</f>
        <v>30869230.950966701</v>
      </c>
      <c r="CU357" s="269">
        <f>'Detailed Budget'!$AC$24</f>
        <v>30624985696</v>
      </c>
      <c r="CV357" s="269">
        <f t="shared" si="976"/>
        <v>90138164.690104082</v>
      </c>
      <c r="CW357" s="269"/>
      <c r="CX357" s="269">
        <f t="shared" si="916"/>
        <v>983025966.31132829</v>
      </c>
      <c r="CY357" s="196">
        <f>'Detailed Budget'!$AC$97</f>
        <v>74629165494.837845</v>
      </c>
      <c r="CZ357" s="269">
        <f t="shared" ref="CZ357:CZ388" si="993">BQ357*CY357</f>
        <v>0</v>
      </c>
      <c r="DA357" s="269">
        <f>'Detailed Budget'!$AC$100</f>
        <v>14925833098.967569</v>
      </c>
      <c r="DB357" s="269">
        <f t="shared" ref="DB357:DB388" si="994">BQ357*DA357</f>
        <v>0</v>
      </c>
      <c r="DC357" s="269">
        <f t="shared" si="905"/>
        <v>0</v>
      </c>
      <c r="DD357" s="207">
        <v>0</v>
      </c>
      <c r="DE357" s="606">
        <v>0</v>
      </c>
      <c r="DF357" s="269">
        <f>'Detailed Budget'!$AC$147</f>
        <v>5913600671000</v>
      </c>
      <c r="DG357" s="269">
        <f t="shared" si="971"/>
        <v>0</v>
      </c>
      <c r="DH357" s="269">
        <f>'Detailed Budget'!$AC$153</f>
        <v>226428026880.00003</v>
      </c>
      <c r="DI357" s="269"/>
      <c r="DJ357" s="269">
        <f>'Detailed Budget'!$AC$156</f>
        <v>27713070000</v>
      </c>
      <c r="DK357" s="269"/>
      <c r="DL357" s="269"/>
      <c r="DM357" s="196">
        <f>'Detailed Budget'!$AC$178</f>
        <v>5622683761.6229038</v>
      </c>
      <c r="DN357" s="269">
        <f t="shared" si="963"/>
        <v>15809279.625272384</v>
      </c>
      <c r="DO357" s="196">
        <f>'Detailed Budget'!$AC$179</f>
        <v>26827890683.128094</v>
      </c>
      <c r="DP357" s="269">
        <f t="shared" si="964"/>
        <v>75431884.019735277</v>
      </c>
      <c r="DQ357" s="269">
        <f t="shared" si="870"/>
        <v>91241163.645007655</v>
      </c>
      <c r="DR357" s="269">
        <f>'Detailed Budget'!$AC$181</f>
        <v>50888946855.375237</v>
      </c>
      <c r="DS357" s="269">
        <f t="shared" si="965"/>
        <v>119853119.61219113</v>
      </c>
      <c r="DT357" s="269">
        <f t="shared" si="966"/>
        <v>211094283.25719878</v>
      </c>
      <c r="DU357" s="272">
        <f>'Detailed Budget'!$AC$192</f>
        <v>77498869683.252869</v>
      </c>
      <c r="DV357" s="269">
        <f t="shared" ref="DV357:DV388" si="995">BZ357*CD357*DU357</f>
        <v>0</v>
      </c>
      <c r="DW357" s="140">
        <f>'Detailed Budget'!$AC$194</f>
        <v>2684962805.4134097</v>
      </c>
      <c r="DX357" s="269">
        <f t="shared" ref="DX357:DX388" si="996">BZ357*AN357*DW357</f>
        <v>0</v>
      </c>
      <c r="DY357" s="607">
        <f t="shared" si="906"/>
        <v>0</v>
      </c>
      <c r="DZ357" s="196">
        <f>'Detailed Budget'!$AC$198</f>
        <v>18732540018.380611</v>
      </c>
      <c r="EA357" s="269">
        <f t="shared" si="936"/>
        <v>17610553.153672412</v>
      </c>
      <c r="EB357" s="196">
        <f>'Detailed Budget'!$AC$200</f>
        <v>4683135004.5951529</v>
      </c>
      <c r="EC357" s="269">
        <f t="shared" ref="EC357:EC388" si="997">CF357*EB357</f>
        <v>4402638.288418103</v>
      </c>
      <c r="ED357" s="269">
        <f t="shared" si="907"/>
        <v>22013191.442090515</v>
      </c>
      <c r="EE357" s="196">
        <f>'Detailed Budget'!$AC$161</f>
        <v>251147290106.36197</v>
      </c>
      <c r="EF357" s="269">
        <f t="shared" ref="EF357:EF388" si="998">CH357*EE357</f>
        <v>270266325.3582812</v>
      </c>
      <c r="EG357" s="196">
        <f>'Detailed Budget'!$AC$163</f>
        <v>15696705631.647623</v>
      </c>
      <c r="EH357" s="269">
        <f t="shared" ref="EH357:EH388" si="999">AP357*EG357</f>
        <v>16891645.334892575</v>
      </c>
      <c r="EI357" s="269">
        <f t="shared" si="908"/>
        <v>287157970.69317377</v>
      </c>
      <c r="EJ357" s="196">
        <f>'Detailed Budget'!$AC$204</f>
        <v>45012172507.531975</v>
      </c>
      <c r="EK357" s="269">
        <f t="shared" ref="EK357:EK388" si="1000">CJ357*EJ357</f>
        <v>64502229.003024675</v>
      </c>
      <c r="EL357" s="201">
        <f>'Detailed Budget'!$AC$206</f>
        <v>11253043126.882994</v>
      </c>
      <c r="EM357" s="269">
        <f t="shared" ref="EM357:EM388" si="1001">CJ357*EL357</f>
        <v>16125557.250756169</v>
      </c>
      <c r="EN357" s="269">
        <f t="shared" si="909"/>
        <v>80627786.253780842</v>
      </c>
      <c r="EO357" s="140">
        <f>'Detailed Budget'!$AC$209</f>
        <v>135789361677.54817</v>
      </c>
      <c r="EP357" s="269">
        <f t="shared" ref="EP357:EP388" si="1002">CL357*EO357</f>
        <v>154919926.1675469</v>
      </c>
      <c r="EQ357" s="196">
        <f>'Detailed Budget'!$AC$211</f>
        <v>33947340419.387043</v>
      </c>
      <c r="ER357" s="269">
        <f t="shared" ref="ER357:ER388" si="1003">CL357*EQ357</f>
        <v>38729981.541886725</v>
      </c>
      <c r="ES357" s="269">
        <f t="shared" si="910"/>
        <v>193649907.70943362</v>
      </c>
      <c r="ET357" s="196">
        <f>'Detailed Budget'!$AC$214</f>
        <v>22239745544.201103</v>
      </c>
      <c r="EU357" s="269">
        <f t="shared" ref="EU357:EU388" si="1004">CN357*ET357</f>
        <v>24641520.995477177</v>
      </c>
      <c r="EV357" s="140">
        <f>'Detailed Budget'!$AC$217</f>
        <v>5559936386.0502758</v>
      </c>
      <c r="EW357" s="269">
        <f t="shared" ref="EW357:EW388" si="1005">CN357*EV357</f>
        <v>6160380.2488692943</v>
      </c>
      <c r="EX357" s="269">
        <f t="shared" si="911"/>
        <v>30801901.24434647</v>
      </c>
      <c r="EY357" s="196">
        <f>'Detailed Budget'!$AC$219</f>
        <v>372777004.58170313</v>
      </c>
      <c r="EZ357" s="269">
        <f t="shared" ref="EZ357:EZ388" si="1006">CP357*EY357</f>
        <v>432395.55670576222</v>
      </c>
      <c r="FA357" s="196">
        <f>'Detailed Budget'!$AC$222</f>
        <v>93194251.145425782</v>
      </c>
      <c r="FB357" s="269">
        <f t="shared" ref="FB357:FB388" si="1007">CP357*FA357</f>
        <v>108098.88917644056</v>
      </c>
      <c r="FC357" s="269">
        <f t="shared" si="912"/>
        <v>540494.44588220282</v>
      </c>
      <c r="FD357" s="269"/>
      <c r="FE357" s="269">
        <f t="shared" si="913"/>
        <v>305620089.6534431</v>
      </c>
      <c r="FF357" s="140">
        <f>'Detailed Budget'!$AC$165</f>
        <v>14927760000</v>
      </c>
      <c r="FG357" s="1087">
        <f t="shared" si="972"/>
        <v>416886032.4587155</v>
      </c>
      <c r="FH357" s="269">
        <f t="shared" si="948"/>
        <v>16961436.200431772</v>
      </c>
      <c r="FJ357" s="140">
        <f>'Detailed Budget'!$AC$235</f>
        <v>3623696172</v>
      </c>
      <c r="FK357" s="269">
        <f t="shared" si="949"/>
        <v>4681778</v>
      </c>
      <c r="FL357" s="269">
        <f t="shared" si="973"/>
        <v>4681778</v>
      </c>
      <c r="FO357" s="607"/>
      <c r="FP357" s="607"/>
      <c r="FQ357" s="607"/>
      <c r="FR357" s="269">
        <f>'Detailed Budget'!$AC$257</f>
        <v>13636439388</v>
      </c>
      <c r="FS357" s="269">
        <f t="shared" si="950"/>
        <v>8994024</v>
      </c>
      <c r="FT357" s="269">
        <f t="shared" si="974"/>
        <v>8994024</v>
      </c>
      <c r="FU357" s="269"/>
      <c r="FV357" s="269"/>
      <c r="FW357" s="269"/>
      <c r="FX357" s="140">
        <f>'Detailed Budget'!$AC$278</f>
        <v>1114560000</v>
      </c>
      <c r="FY357" s="269">
        <f t="shared" si="951"/>
        <v>1440000</v>
      </c>
      <c r="FZ357" s="269">
        <f t="shared" si="975"/>
        <v>1440000</v>
      </c>
      <c r="GB357" s="269">
        <f t="shared" si="983"/>
        <v>2257874772.0163817</v>
      </c>
      <c r="GC357" s="887">
        <f t="shared" si="914"/>
        <v>1411171.7325102387</v>
      </c>
      <c r="GD357" s="1078">
        <f t="shared" si="984"/>
        <v>1.2669646330295537E-3</v>
      </c>
    </row>
    <row r="358" spans="1:186" hidden="1" outlineLevel="1">
      <c r="A358" s="211" t="s">
        <v>859</v>
      </c>
      <c r="B358" s="212" t="s">
        <v>860</v>
      </c>
      <c r="C358" s="213" t="s">
        <v>215</v>
      </c>
      <c r="D358" s="214" t="s">
        <v>215</v>
      </c>
      <c r="E358" s="213"/>
      <c r="F358" s="213"/>
      <c r="G358" s="213"/>
      <c r="H358" s="213" t="s">
        <v>215</v>
      </c>
      <c r="I358" s="214" t="s">
        <v>215</v>
      </c>
      <c r="J358" s="214"/>
      <c r="K358" s="213" t="s">
        <v>215</v>
      </c>
      <c r="L358" s="213"/>
      <c r="M358" s="214"/>
      <c r="N358" s="213"/>
      <c r="O358" s="214"/>
      <c r="P358" s="213"/>
      <c r="Q358" s="214"/>
      <c r="R358" s="214" t="s">
        <v>215</v>
      </c>
      <c r="S358" s="214"/>
      <c r="T358" s="213"/>
      <c r="U358" s="215">
        <f t="shared" si="952"/>
        <v>6</v>
      </c>
      <c r="V358" s="845" t="s">
        <v>219</v>
      </c>
      <c r="W358" s="216">
        <v>103371</v>
      </c>
      <c r="X358" s="217">
        <v>3.36</v>
      </c>
      <c r="Y358" s="218">
        <f t="shared" si="986"/>
        <v>1.0336000000000001</v>
      </c>
      <c r="Z358" s="196">
        <v>19</v>
      </c>
      <c r="AA358" s="218">
        <f t="shared" si="987"/>
        <v>1.873689022502546</v>
      </c>
      <c r="AB358" s="196">
        <f t="shared" si="988"/>
        <v>193685.10794511068</v>
      </c>
      <c r="AC358">
        <v>19.3</v>
      </c>
      <c r="AD358" s="196">
        <f t="shared" si="989"/>
        <v>37381.225833406366</v>
      </c>
      <c r="AE358" s="196">
        <f t="shared" si="990"/>
        <v>35512.164541736049</v>
      </c>
      <c r="AF358" s="196">
        <f t="shared" si="953"/>
        <v>35512.164541736049</v>
      </c>
      <c r="AG358" s="606">
        <f t="shared" si="917"/>
        <v>1.6419265870863686E-3</v>
      </c>
      <c r="AH358" s="196">
        <f t="shared" si="967"/>
        <v>9684.2553972555343</v>
      </c>
      <c r="AI358" s="248">
        <f t="shared" si="896"/>
        <v>7.5022459254524905E-4</v>
      </c>
      <c r="AJ358" s="196">
        <f t="shared" si="897"/>
        <v>47065.481230661899</v>
      </c>
      <c r="AK358" s="196">
        <f t="shared" si="926"/>
        <v>7747.4043178044276</v>
      </c>
      <c r="AL358" s="196">
        <f t="shared" si="927"/>
        <v>7747.4043178044276</v>
      </c>
      <c r="AM358" s="196">
        <f t="shared" si="898"/>
        <v>15494.808635608855</v>
      </c>
      <c r="AN358" s="627">
        <f t="shared" si="899"/>
        <v>7.5022459254524916E-4</v>
      </c>
      <c r="AO358" s="196">
        <f t="shared" si="900"/>
        <v>7360.0341019142052</v>
      </c>
      <c r="AP358" s="589">
        <f t="shared" si="918"/>
        <v>7.5022459254524905E-4</v>
      </c>
      <c r="AQ358" s="196"/>
      <c r="AR358" s="589"/>
      <c r="AS358">
        <v>1</v>
      </c>
      <c r="AT358" s="589">
        <f t="shared" si="919"/>
        <v>1.2919896640826874E-3</v>
      </c>
      <c r="AU358" s="196">
        <v>12</v>
      </c>
      <c r="AV358" s="245">
        <f t="shared" si="901"/>
        <v>1.3634814225656176E-3</v>
      </c>
      <c r="AX358" s="245"/>
      <c r="AY358" s="245"/>
      <c r="AZ358" s="196">
        <v>22</v>
      </c>
      <c r="BA358" s="589">
        <f t="shared" si="977"/>
        <v>8.0612656187021366E-4</v>
      </c>
      <c r="BI358" s="196">
        <v>1</v>
      </c>
      <c r="BJ358" s="196">
        <f t="shared" si="954"/>
        <v>107602.83652557168</v>
      </c>
      <c r="BK358" s="246">
        <f t="shared" si="978"/>
        <v>2.0519211716445484E-3</v>
      </c>
      <c r="BL358" s="196">
        <f t="shared" si="968"/>
        <v>2152.0567305114337</v>
      </c>
      <c r="BM358" s="246">
        <f t="shared" si="979"/>
        <v>2.0519209368711831E-3</v>
      </c>
      <c r="BN358" s="196">
        <v>0</v>
      </c>
      <c r="BO358" s="196">
        <f t="shared" si="955"/>
        <v>13490.189146074592</v>
      </c>
      <c r="BP358" s="196">
        <f t="shared" si="902"/>
        <v>0</v>
      </c>
      <c r="BQ358" s="248">
        <f t="shared" si="980"/>
        <v>0</v>
      </c>
      <c r="BR358" s="248"/>
      <c r="BS358" s="248"/>
      <c r="BT358" s="276">
        <v>1</v>
      </c>
      <c r="BU358" s="196">
        <f t="shared" si="969"/>
        <v>28260.206730055212</v>
      </c>
      <c r="BV358" s="264">
        <f t="shared" si="981"/>
        <v>1.9601814680594173E-3</v>
      </c>
      <c r="BW358" s="196">
        <f t="shared" si="970"/>
        <v>120890.88434523621</v>
      </c>
      <c r="BX358" s="247">
        <f t="shared" si="982"/>
        <v>1.9601814857168076E-3</v>
      </c>
      <c r="BY358" s="196">
        <f t="shared" si="985"/>
        <v>149151.09107529142</v>
      </c>
      <c r="BZ358" s="620">
        <v>0</v>
      </c>
      <c r="CA358" s="196">
        <f t="shared" si="956"/>
        <v>59267.643031203865</v>
      </c>
      <c r="CB358" s="196">
        <f t="shared" si="957"/>
        <v>118535.28606240773</v>
      </c>
      <c r="CC358" s="196">
        <f t="shared" si="915"/>
        <v>177802.9290936116</v>
      </c>
      <c r="CD358" s="247">
        <f t="shared" si="903"/>
        <v>7.5022459254524905E-4</v>
      </c>
      <c r="CE358" s="196">
        <f t="shared" si="958"/>
        <v>15177.151468261849</v>
      </c>
      <c r="CF358" s="247">
        <f t="shared" si="904"/>
        <v>6.5539660051597986E-4</v>
      </c>
      <c r="CG358" s="196">
        <f t="shared" si="991"/>
        <v>29440.136407656821</v>
      </c>
      <c r="CH358" s="589">
        <f t="shared" si="920"/>
        <v>7.5022459254524905E-4</v>
      </c>
      <c r="CI358" s="196">
        <f t="shared" si="959"/>
        <v>60767.428403632017</v>
      </c>
      <c r="CJ358" s="248">
        <f t="shared" si="921"/>
        <v>9.9901636870758305E-4</v>
      </c>
      <c r="CK358" s="196">
        <f t="shared" si="960"/>
        <v>55329.318742376556</v>
      </c>
      <c r="CL358" s="589">
        <f t="shared" si="922"/>
        <v>7.9537033767698218E-4</v>
      </c>
      <c r="CM358" s="196">
        <f t="shared" si="961"/>
        <v>5360.0312579545271</v>
      </c>
      <c r="CN358" s="589">
        <f t="shared" si="923"/>
        <v>7.7244141915605027E-4</v>
      </c>
      <c r="CO358" s="196">
        <f t="shared" si="962"/>
        <v>428.79898210530229</v>
      </c>
      <c r="CP358" s="589">
        <f t="shared" si="924"/>
        <v>8.0864883304851204E-4</v>
      </c>
      <c r="CQ358" s="196">
        <f>'Detailed Budget'!$AC$12</f>
        <v>292876014141.44696</v>
      </c>
      <c r="CR358" s="269">
        <f t="shared" si="925"/>
        <v>600958494.08370316</v>
      </c>
      <c r="CS358" s="269">
        <f>'Detailed Budget'!$AC$16</f>
        <v>10488008800.000002</v>
      </c>
      <c r="CT358" s="607">
        <f t="shared" si="992"/>
        <v>21520564.842809215</v>
      </c>
      <c r="CU358" s="269">
        <f>'Detailed Budget'!$AC$24</f>
        <v>30624985696</v>
      </c>
      <c r="CV358" s="269">
        <f t="shared" si="976"/>
        <v>62840056.530933857</v>
      </c>
      <c r="CW358" s="269"/>
      <c r="CX358" s="269">
        <f t="shared" si="916"/>
        <v>685319115.45744622</v>
      </c>
      <c r="CY358" s="196">
        <f>'Detailed Budget'!$AC$97</f>
        <v>74629165494.837845</v>
      </c>
      <c r="CZ358" s="269">
        <f t="shared" si="993"/>
        <v>0</v>
      </c>
      <c r="DA358" s="269">
        <f>'Detailed Budget'!$AC$100</f>
        <v>14925833098.967569</v>
      </c>
      <c r="DB358" s="269">
        <f t="shared" si="994"/>
        <v>0</v>
      </c>
      <c r="DC358" s="269">
        <f t="shared" si="905"/>
        <v>0</v>
      </c>
      <c r="DD358" s="207">
        <v>0</v>
      </c>
      <c r="DE358" s="606">
        <v>0</v>
      </c>
      <c r="DF358" s="269">
        <f>'Detailed Budget'!$AC$147</f>
        <v>5913600671000</v>
      </c>
      <c r="DG358" s="269">
        <f t="shared" si="971"/>
        <v>0</v>
      </c>
      <c r="DH358" s="269">
        <f>'Detailed Budget'!$AC$153</f>
        <v>226428026880.00003</v>
      </c>
      <c r="DI358" s="269"/>
      <c r="DJ358" s="269">
        <f>'Detailed Budget'!$AC$156</f>
        <v>27713070000</v>
      </c>
      <c r="DK358" s="269"/>
      <c r="DL358" s="269"/>
      <c r="DM358" s="196">
        <f>'Detailed Budget'!$AC$178</f>
        <v>5622683761.6229038</v>
      </c>
      <c r="DN358" s="269">
        <f t="shared" si="963"/>
        <v>11021480.51029183</v>
      </c>
      <c r="DO358" s="196">
        <f>'Detailed Budget'!$AC$179</f>
        <v>26827890683.128094</v>
      </c>
      <c r="DP358" s="269">
        <f t="shared" si="964"/>
        <v>52587534.617902122</v>
      </c>
      <c r="DQ358" s="269">
        <f t="shared" si="870"/>
        <v>63609015.128193952</v>
      </c>
      <c r="DR358" s="269">
        <f>'Detailed Budget'!$AC$181</f>
        <v>50888946855.375237</v>
      </c>
      <c r="DS358" s="269">
        <f t="shared" si="965"/>
        <v>83555914.830665857</v>
      </c>
      <c r="DT358" s="269">
        <f t="shared" si="966"/>
        <v>147164929.9588598</v>
      </c>
      <c r="DU358" s="272">
        <f>'Detailed Budget'!$AC$192</f>
        <v>77498869683.252869</v>
      </c>
      <c r="DV358" s="269">
        <f t="shared" si="995"/>
        <v>0</v>
      </c>
      <c r="DW358" s="140">
        <f>'Detailed Budget'!$AC$194</f>
        <v>2684962805.4134097</v>
      </c>
      <c r="DX358" s="269">
        <f t="shared" si="996"/>
        <v>0</v>
      </c>
      <c r="DY358" s="607">
        <f t="shared" si="906"/>
        <v>0</v>
      </c>
      <c r="DZ358" s="196">
        <f>'Detailed Budget'!$AC$198</f>
        <v>18732540018.380611</v>
      </c>
      <c r="EA358" s="269">
        <f t="shared" si="936"/>
        <v>12277243.047076203</v>
      </c>
      <c r="EB358" s="196">
        <f>'Detailed Budget'!$AC$200</f>
        <v>4683135004.5951529</v>
      </c>
      <c r="EC358" s="269">
        <f t="shared" si="997"/>
        <v>3069310.7617690507</v>
      </c>
      <c r="ED358" s="269">
        <f t="shared" si="907"/>
        <v>15346553.808845254</v>
      </c>
      <c r="EE358" s="196">
        <f>'Detailed Budget'!$AC$161</f>
        <v>251147290106.36197</v>
      </c>
      <c r="EF358" s="269">
        <f t="shared" si="998"/>
        <v>188416873.38888887</v>
      </c>
      <c r="EG358" s="196">
        <f>'Detailed Budget'!$AC$163</f>
        <v>15696705631.647623</v>
      </c>
      <c r="EH358" s="269">
        <f t="shared" si="999"/>
        <v>11776054.586805554</v>
      </c>
      <c r="EI358" s="269">
        <f t="shared" si="908"/>
        <v>200192927.97569442</v>
      </c>
      <c r="EJ358" s="196">
        <f>'Detailed Budget'!$AC$204</f>
        <v>45012172507.531975</v>
      </c>
      <c r="EK358" s="269">
        <f t="shared" si="1000"/>
        <v>44967897.126113899</v>
      </c>
      <c r="EL358" s="201">
        <f>'Detailed Budget'!$AC$206</f>
        <v>11253043126.882994</v>
      </c>
      <c r="EM358" s="269">
        <f t="shared" si="1001"/>
        <v>11241974.281528475</v>
      </c>
      <c r="EN358" s="269">
        <f t="shared" si="909"/>
        <v>56209871.407642372</v>
      </c>
      <c r="EO358" s="140">
        <f>'Detailed Budget'!$AC$209</f>
        <v>135789361677.54817</v>
      </c>
      <c r="EP358" s="269">
        <f t="shared" si="1002"/>
        <v>108002830.45041335</v>
      </c>
      <c r="EQ358" s="196">
        <f>'Detailed Budget'!$AC$211</f>
        <v>33947340419.387043</v>
      </c>
      <c r="ER358" s="269">
        <f t="shared" si="1003"/>
        <v>27000707.612603337</v>
      </c>
      <c r="ES358" s="269">
        <f t="shared" si="910"/>
        <v>135003538.06301668</v>
      </c>
      <c r="ET358" s="196">
        <f>'Detailed Budget'!$AC$214</f>
        <v>22239745544.201103</v>
      </c>
      <c r="EU358" s="269">
        <f t="shared" si="1004"/>
        <v>17178900.609832145</v>
      </c>
      <c r="EV358" s="140">
        <f>'Detailed Budget'!$AC$217</f>
        <v>5559936386.0502758</v>
      </c>
      <c r="EW358" s="269">
        <f t="shared" si="1005"/>
        <v>4294725.1524580363</v>
      </c>
      <c r="EX358" s="269">
        <f t="shared" si="911"/>
        <v>21473625.76229018</v>
      </c>
      <c r="EY358" s="196">
        <f>'Detailed Budget'!$AC$219</f>
        <v>372777004.58170313</v>
      </c>
      <c r="EZ358" s="269">
        <f t="shared" si="1006"/>
        <v>301445.68974231405</v>
      </c>
      <c r="FA358" s="196">
        <f>'Detailed Budget'!$AC$222</f>
        <v>93194251.145425782</v>
      </c>
      <c r="FB358" s="269">
        <f t="shared" si="1007"/>
        <v>75361.422435578512</v>
      </c>
      <c r="FC358" s="269">
        <f t="shared" si="912"/>
        <v>376807.11217789259</v>
      </c>
      <c r="FD358" s="269"/>
      <c r="FE358" s="269">
        <f t="shared" si="913"/>
        <v>213063842.34512711</v>
      </c>
      <c r="FF358" s="140">
        <f>'Detailed Budget'!$AC$165</f>
        <v>14927760000</v>
      </c>
      <c r="FG358" s="1087">
        <f t="shared" si="972"/>
        <v>290633184.47550434</v>
      </c>
      <c r="FH358" s="269">
        <f t="shared" si="948"/>
        <v>20353723.440518126</v>
      </c>
      <c r="FJ358" s="140">
        <f>'Detailed Budget'!$AC$235</f>
        <v>3623696172</v>
      </c>
      <c r="FK358" s="269">
        <f t="shared" si="949"/>
        <v>4681778</v>
      </c>
      <c r="FL358" s="269">
        <f t="shared" si="973"/>
        <v>4681778</v>
      </c>
      <c r="FO358" s="607"/>
      <c r="FP358" s="607"/>
      <c r="FQ358" s="607"/>
      <c r="FR358" s="269">
        <f>'Detailed Budget'!$AC$257</f>
        <v>13636439388</v>
      </c>
      <c r="FS358" s="269">
        <f t="shared" si="950"/>
        <v>10992696</v>
      </c>
      <c r="FT358" s="269">
        <f t="shared" si="974"/>
        <v>10992696</v>
      </c>
      <c r="FU358" s="269"/>
      <c r="FV358" s="269"/>
      <c r="FW358" s="269"/>
      <c r="FX358" s="140">
        <f>'Detailed Budget'!$AC$278</f>
        <v>1114560000</v>
      </c>
      <c r="FY358" s="269">
        <f t="shared" si="951"/>
        <v>1440000</v>
      </c>
      <c r="FZ358" s="269">
        <f t="shared" si="975"/>
        <v>1440000</v>
      </c>
      <c r="GB358" s="269">
        <f t="shared" si="983"/>
        <v>1589188751.4619954</v>
      </c>
      <c r="GC358" s="887">
        <f t="shared" si="914"/>
        <v>993242.96966374712</v>
      </c>
      <c r="GD358" s="1078">
        <f t="shared" si="984"/>
        <v>8.9174385057353973E-4</v>
      </c>
    </row>
    <row r="359" spans="1:186" hidden="1" outlineLevel="1">
      <c r="A359" s="211" t="s">
        <v>861</v>
      </c>
      <c r="B359" s="212" t="s">
        <v>862</v>
      </c>
      <c r="C359" s="213" t="s">
        <v>215</v>
      </c>
      <c r="D359" s="214" t="s">
        <v>215</v>
      </c>
      <c r="E359" s="213"/>
      <c r="F359" s="213"/>
      <c r="G359" s="213"/>
      <c r="H359" s="213" t="s">
        <v>215</v>
      </c>
      <c r="I359" s="214" t="s">
        <v>215</v>
      </c>
      <c r="J359" s="214"/>
      <c r="K359" s="213" t="s">
        <v>215</v>
      </c>
      <c r="L359" s="213"/>
      <c r="M359" s="214"/>
      <c r="N359" s="213"/>
      <c r="O359" s="214"/>
      <c r="P359" s="213"/>
      <c r="Q359" s="214"/>
      <c r="R359" s="214" t="s">
        <v>215</v>
      </c>
      <c r="S359" s="214"/>
      <c r="T359" s="213"/>
      <c r="U359" s="215">
        <f t="shared" si="952"/>
        <v>6</v>
      </c>
      <c r="V359" s="845" t="s">
        <v>219</v>
      </c>
      <c r="W359" s="216">
        <v>227607</v>
      </c>
      <c r="X359" s="217">
        <v>3.36</v>
      </c>
      <c r="Y359" s="218">
        <f t="shared" si="986"/>
        <v>1.0336000000000001</v>
      </c>
      <c r="Z359" s="196">
        <v>19</v>
      </c>
      <c r="AA359" s="218">
        <f t="shared" si="987"/>
        <v>1.873689022502546</v>
      </c>
      <c r="AB359" s="196">
        <f t="shared" si="988"/>
        <v>426464.73734473699</v>
      </c>
      <c r="AC359">
        <v>19.3</v>
      </c>
      <c r="AD359" s="196">
        <f t="shared" si="989"/>
        <v>82307.694307534242</v>
      </c>
      <c r="AE359" s="196">
        <f t="shared" si="990"/>
        <v>78192.30959215753</v>
      </c>
      <c r="AF359" s="196">
        <f t="shared" si="953"/>
        <v>78192.30959215753</v>
      </c>
      <c r="AG359" s="606">
        <f t="shared" si="917"/>
        <v>3.6152691248702933E-3</v>
      </c>
      <c r="AH359" s="196">
        <f t="shared" si="967"/>
        <v>21323.23686723685</v>
      </c>
      <c r="AI359" s="248">
        <f t="shared" si="896"/>
        <v>1.6518788522452768E-3</v>
      </c>
      <c r="AJ359" s="196">
        <f t="shared" si="897"/>
        <v>103630.93117477109</v>
      </c>
      <c r="AK359" s="196">
        <f t="shared" si="926"/>
        <v>17058.589493789481</v>
      </c>
      <c r="AL359" s="196">
        <f t="shared" si="927"/>
        <v>17058.589493789481</v>
      </c>
      <c r="AM359" s="196">
        <f t="shared" si="898"/>
        <v>34117.178987578962</v>
      </c>
      <c r="AN359" s="627">
        <f t="shared" si="899"/>
        <v>1.651878852245277E-3</v>
      </c>
      <c r="AO359" s="196">
        <f t="shared" si="900"/>
        <v>16205.660019100005</v>
      </c>
      <c r="AP359" s="589">
        <f t="shared" si="918"/>
        <v>1.6518788522452768E-3</v>
      </c>
      <c r="AQ359" s="196"/>
      <c r="AR359" s="589"/>
      <c r="AS359">
        <v>1</v>
      </c>
      <c r="AT359" s="589">
        <f t="shared" si="919"/>
        <v>1.2919896640826874E-3</v>
      </c>
      <c r="AU359" s="196">
        <v>10</v>
      </c>
      <c r="AV359" s="245">
        <f t="shared" si="901"/>
        <v>1.1362345188046814E-3</v>
      </c>
      <c r="AX359" s="245"/>
      <c r="AY359" s="245"/>
      <c r="AZ359" s="196">
        <v>25</v>
      </c>
      <c r="BA359" s="589">
        <f t="shared" si="977"/>
        <v>9.1605291121615189E-4</v>
      </c>
      <c r="BI359" s="196">
        <v>1</v>
      </c>
      <c r="BJ359" s="196">
        <f t="shared" si="954"/>
        <v>236924.85139038795</v>
      </c>
      <c r="BK359" s="246">
        <f t="shared" si="978"/>
        <v>4.5180139702092536E-3</v>
      </c>
      <c r="BL359" s="196">
        <f t="shared" si="968"/>
        <v>4738.497027807759</v>
      </c>
      <c r="BM359" s="246">
        <f t="shared" si="979"/>
        <v>4.5180134532745095E-3</v>
      </c>
      <c r="BN359" s="196">
        <v>0</v>
      </c>
      <c r="BO359" s="196">
        <f t="shared" si="955"/>
        <v>29703.316026454224</v>
      </c>
      <c r="BP359" s="196">
        <f t="shared" si="902"/>
        <v>0</v>
      </c>
      <c r="BQ359" s="248">
        <f t="shared" si="980"/>
        <v>0</v>
      </c>
      <c r="BR359" s="248"/>
      <c r="BS359" s="248"/>
      <c r="BT359" s="276">
        <v>1</v>
      </c>
      <c r="BU359" s="196">
        <f t="shared" si="969"/>
        <v>62224.616896495885</v>
      </c>
      <c r="BV359" s="264">
        <f t="shared" si="981"/>
        <v>4.3160172911222662E-3</v>
      </c>
      <c r="BW359" s="196">
        <f t="shared" si="970"/>
        <v>266183.08339056576</v>
      </c>
      <c r="BX359" s="247">
        <f t="shared" si="982"/>
        <v>4.316017330001116E-3</v>
      </c>
      <c r="BY359" s="196">
        <f t="shared" si="985"/>
        <v>328407.70028706163</v>
      </c>
      <c r="BZ359" s="620">
        <v>0</v>
      </c>
      <c r="CA359" s="196">
        <f t="shared" si="956"/>
        <v>130498.20962748953</v>
      </c>
      <c r="CB359" s="196">
        <f t="shared" si="957"/>
        <v>260996.41925497906</v>
      </c>
      <c r="CC359" s="196">
        <f t="shared" si="915"/>
        <v>391494.62888246856</v>
      </c>
      <c r="CD359" s="247">
        <f t="shared" si="903"/>
        <v>1.6518788522452768E-3</v>
      </c>
      <c r="CE359" s="196">
        <f t="shared" si="958"/>
        <v>33417.746894551419</v>
      </c>
      <c r="CF359" s="247">
        <f t="shared" si="904"/>
        <v>1.4430822382838573E-3</v>
      </c>
      <c r="CG359" s="196">
        <f t="shared" si="991"/>
        <v>64822.640076400021</v>
      </c>
      <c r="CH359" s="589">
        <f t="shared" si="920"/>
        <v>1.6518788522452768E-3</v>
      </c>
      <c r="CI359" s="196">
        <f t="shared" si="959"/>
        <v>133800.50571887154</v>
      </c>
      <c r="CJ359" s="248">
        <f t="shared" si="921"/>
        <v>2.1996799743876599E-3</v>
      </c>
      <c r="CK359" s="196">
        <f t="shared" si="960"/>
        <v>121826.62691660234</v>
      </c>
      <c r="CL359" s="589">
        <f t="shared" si="922"/>
        <v>1.7512828205942178E-3</v>
      </c>
      <c r="CM359" s="196">
        <f t="shared" si="961"/>
        <v>11801.962199545869</v>
      </c>
      <c r="CN359" s="589">
        <f t="shared" si="923"/>
        <v>1.7007968781365291E-3</v>
      </c>
      <c r="CO359" s="196">
        <f t="shared" si="962"/>
        <v>944.14922870090766</v>
      </c>
      <c r="CP359" s="589">
        <f t="shared" si="924"/>
        <v>1.7805200195767929E-3</v>
      </c>
      <c r="CQ359" s="196">
        <f>'Detailed Budget'!$AC$12</f>
        <v>292876014141.44696</v>
      </c>
      <c r="CR359" s="269">
        <f t="shared" si="925"/>
        <v>1323217923.4302602</v>
      </c>
      <c r="CS359" s="269">
        <f>'Detailed Budget'!$AC$16</f>
        <v>10488008800.000002</v>
      </c>
      <c r="CT359" s="607">
        <f t="shared" si="992"/>
        <v>47384964.85646145</v>
      </c>
      <c r="CU359" s="269">
        <f>'Detailed Budget'!$AC$24</f>
        <v>30624985696</v>
      </c>
      <c r="CV359" s="269">
        <f t="shared" si="976"/>
        <v>138364113.21198657</v>
      </c>
      <c r="CW359" s="269"/>
      <c r="CX359" s="269">
        <f t="shared" si="916"/>
        <v>1508967001.4987082</v>
      </c>
      <c r="CY359" s="196">
        <f>'Detailed Budget'!$AC$97</f>
        <v>74629165494.837845</v>
      </c>
      <c r="CZ359" s="269">
        <f t="shared" si="993"/>
        <v>0</v>
      </c>
      <c r="DA359" s="269">
        <f>'Detailed Budget'!$AC$100</f>
        <v>14925833098.967569</v>
      </c>
      <c r="DB359" s="269">
        <f t="shared" si="994"/>
        <v>0</v>
      </c>
      <c r="DC359" s="269">
        <f t="shared" si="905"/>
        <v>0</v>
      </c>
      <c r="DD359" s="207">
        <v>0</v>
      </c>
      <c r="DE359" s="606">
        <v>0</v>
      </c>
      <c r="DF359" s="269">
        <f>'Detailed Budget'!$AC$147</f>
        <v>5913600671000</v>
      </c>
      <c r="DG359" s="269">
        <f t="shared" si="971"/>
        <v>0</v>
      </c>
      <c r="DH359" s="269">
        <f>'Detailed Budget'!$AC$153</f>
        <v>226428026880.00003</v>
      </c>
      <c r="DI359" s="269"/>
      <c r="DJ359" s="269">
        <f>'Detailed Budget'!$AC$156</f>
        <v>27713070000</v>
      </c>
      <c r="DK359" s="269"/>
      <c r="DL359" s="269"/>
      <c r="DM359" s="196">
        <f>'Detailed Budget'!$AC$178</f>
        <v>5622683761.6229038</v>
      </c>
      <c r="DN359" s="269">
        <f t="shared" si="963"/>
        <v>24267600.337676838</v>
      </c>
      <c r="DO359" s="196">
        <f>'Detailed Budget'!$AC$179</f>
        <v>26827890683.128094</v>
      </c>
      <c r="DP359" s="269">
        <f t="shared" si="964"/>
        <v>115789641.11575633</v>
      </c>
      <c r="DQ359" s="269">
        <f t="shared" si="870"/>
        <v>140057241.45343316</v>
      </c>
      <c r="DR359" s="269">
        <f>'Detailed Budget'!$AC$181</f>
        <v>50888946855.375237</v>
      </c>
      <c r="DS359" s="269">
        <f t="shared" si="965"/>
        <v>183977238.36340329</v>
      </c>
      <c r="DT359" s="269">
        <f t="shared" si="966"/>
        <v>324034479.81683648</v>
      </c>
      <c r="DU359" s="272">
        <f>'Detailed Budget'!$AC$192</f>
        <v>77498869683.252869</v>
      </c>
      <c r="DV359" s="269">
        <f t="shared" si="995"/>
        <v>0</v>
      </c>
      <c r="DW359" s="140">
        <f>'Detailed Budget'!$AC$194</f>
        <v>2684962805.4134097</v>
      </c>
      <c r="DX359" s="269">
        <f t="shared" si="996"/>
        <v>0</v>
      </c>
      <c r="DY359" s="607">
        <f t="shared" si="906"/>
        <v>0</v>
      </c>
      <c r="DZ359" s="196">
        <f>'Detailed Budget'!$AC$198</f>
        <v>18732540018.380611</v>
      </c>
      <c r="EA359" s="269">
        <f t="shared" si="936"/>
        <v>27032595.778466623</v>
      </c>
      <c r="EB359" s="196">
        <f>'Detailed Budget'!$AC$200</f>
        <v>4683135004.5951529</v>
      </c>
      <c r="EC359" s="269">
        <f t="shared" si="997"/>
        <v>6758148.9446166558</v>
      </c>
      <c r="ED359" s="269">
        <f t="shared" si="907"/>
        <v>33790744.72308328</v>
      </c>
      <c r="EE359" s="196">
        <f>'Detailed Budget'!$AC$161</f>
        <v>251147290106.36197</v>
      </c>
      <c r="EF359" s="269">
        <f t="shared" si="998"/>
        <v>414864897.32540876</v>
      </c>
      <c r="EG359" s="196">
        <f>'Detailed Budget'!$AC$163</f>
        <v>15696705631.647623</v>
      </c>
      <c r="EH359" s="269">
        <f t="shared" si="999"/>
        <v>25929056.082838047</v>
      </c>
      <c r="EI359" s="269">
        <f t="shared" si="908"/>
        <v>440793953.40824682</v>
      </c>
      <c r="EJ359" s="196">
        <f>'Detailed Budget'!$AC$204</f>
        <v>45012172507.531975</v>
      </c>
      <c r="EK359" s="269">
        <f t="shared" si="1000"/>
        <v>99012374.468500867</v>
      </c>
      <c r="EL359" s="201">
        <f>'Detailed Budget'!$AC$206</f>
        <v>11253043126.882994</v>
      </c>
      <c r="EM359" s="269">
        <f t="shared" si="1001"/>
        <v>24753093.617125217</v>
      </c>
      <c r="EN359" s="269">
        <f t="shared" si="909"/>
        <v>123765468.08562608</v>
      </c>
      <c r="EO359" s="140">
        <f>'Detailed Budget'!$AC$209</f>
        <v>135789361677.54817</v>
      </c>
      <c r="EP359" s="269">
        <f t="shared" si="1002"/>
        <v>237805576.32534495</v>
      </c>
      <c r="EQ359" s="196">
        <f>'Detailed Budget'!$AC$211</f>
        <v>33947340419.387043</v>
      </c>
      <c r="ER359" s="269">
        <f t="shared" si="1003"/>
        <v>59451394.081336237</v>
      </c>
      <c r="ES359" s="269">
        <f t="shared" si="910"/>
        <v>297256970.40668118</v>
      </c>
      <c r="ET359" s="196">
        <f>'Detailed Budget'!$AC$214</f>
        <v>22239745544.201103</v>
      </c>
      <c r="EU359" s="269">
        <f t="shared" si="1004"/>
        <v>37825289.792128019</v>
      </c>
      <c r="EV359" s="140">
        <f>'Detailed Budget'!$AC$217</f>
        <v>5559936386.0502758</v>
      </c>
      <c r="EW359" s="269">
        <f t="shared" si="1005"/>
        <v>9456322.4480320048</v>
      </c>
      <c r="EX359" s="269">
        <f t="shared" si="911"/>
        <v>47281612.240160026</v>
      </c>
      <c r="EY359" s="196">
        <f>'Detailed Budget'!$AC$219</f>
        <v>372777004.58170313</v>
      </c>
      <c r="EZ359" s="269">
        <f t="shared" si="1006"/>
        <v>663736.91949559224</v>
      </c>
      <c r="FA359" s="196">
        <f>'Detailed Budget'!$AC$222</f>
        <v>93194251.145425782</v>
      </c>
      <c r="FB359" s="269">
        <f t="shared" si="1007"/>
        <v>165934.22987389806</v>
      </c>
      <c r="FC359" s="269">
        <f t="shared" si="912"/>
        <v>829671.14936949033</v>
      </c>
      <c r="FD359" s="269"/>
      <c r="FE359" s="269">
        <f t="shared" si="913"/>
        <v>469133721.88183677</v>
      </c>
      <c r="FF359" s="140">
        <f>'Detailed Budget'!$AC$165</f>
        <v>14927760000</v>
      </c>
      <c r="FG359" s="1087">
        <f t="shared" si="972"/>
        <v>639929450.41564965</v>
      </c>
      <c r="FH359" s="269">
        <f t="shared" si="948"/>
        <v>16961436.200431772</v>
      </c>
      <c r="FJ359" s="140">
        <f>'Detailed Budget'!$AC$235</f>
        <v>3623696172</v>
      </c>
      <c r="FK359" s="269">
        <f t="shared" si="949"/>
        <v>4681778</v>
      </c>
      <c r="FL359" s="269">
        <f t="shared" si="973"/>
        <v>4681778</v>
      </c>
      <c r="FO359" s="607"/>
      <c r="FP359" s="607"/>
      <c r="FQ359" s="607"/>
      <c r="FR359" s="269">
        <f>'Detailed Budget'!$AC$257</f>
        <v>13636439388</v>
      </c>
      <c r="FS359" s="269">
        <f t="shared" si="950"/>
        <v>12491700</v>
      </c>
      <c r="FT359" s="269">
        <f t="shared" si="974"/>
        <v>12491700</v>
      </c>
      <c r="FU359" s="269"/>
      <c r="FV359" s="269"/>
      <c r="FW359" s="269"/>
      <c r="FX359" s="140">
        <f>'Detailed Budget'!$AC$278</f>
        <v>1114560000</v>
      </c>
      <c r="FY359" s="269">
        <f t="shared" si="951"/>
        <v>1440000</v>
      </c>
      <c r="FZ359" s="269">
        <f t="shared" si="975"/>
        <v>1440000</v>
      </c>
      <c r="GB359" s="269">
        <f t="shared" si="983"/>
        <v>3452224265.9447927</v>
      </c>
      <c r="GC359" s="887">
        <f t="shared" si="914"/>
        <v>2157640.1662154957</v>
      </c>
      <c r="GD359" s="1078">
        <f t="shared" si="984"/>
        <v>1.9371517430669669E-3</v>
      </c>
    </row>
    <row r="360" spans="1:186" hidden="1" outlineLevel="1">
      <c r="A360" s="211" t="s">
        <v>863</v>
      </c>
      <c r="B360" s="212" t="s">
        <v>864</v>
      </c>
      <c r="C360" s="213" t="s">
        <v>215</v>
      </c>
      <c r="D360" s="214" t="s">
        <v>215</v>
      </c>
      <c r="E360" s="213"/>
      <c r="F360" s="213"/>
      <c r="G360" s="213"/>
      <c r="H360" s="213" t="s">
        <v>215</v>
      </c>
      <c r="I360" s="214" t="s">
        <v>215</v>
      </c>
      <c r="J360" s="214"/>
      <c r="K360" s="213" t="s">
        <v>215</v>
      </c>
      <c r="L360" s="213"/>
      <c r="M360" s="214"/>
      <c r="N360" s="213"/>
      <c r="O360" s="214"/>
      <c r="P360" s="213"/>
      <c r="Q360" s="214"/>
      <c r="R360" s="214" t="s">
        <v>215</v>
      </c>
      <c r="S360" s="214"/>
      <c r="T360" s="213"/>
      <c r="U360" s="215">
        <f t="shared" si="952"/>
        <v>6</v>
      </c>
      <c r="V360" s="845" t="s">
        <v>219</v>
      </c>
      <c r="W360" s="216">
        <v>139128</v>
      </c>
      <c r="X360" s="217">
        <v>3.36</v>
      </c>
      <c r="Y360" s="218">
        <f t="shared" si="986"/>
        <v>1.0336000000000001</v>
      </c>
      <c r="Z360" s="196">
        <v>19</v>
      </c>
      <c r="AA360" s="218">
        <f t="shared" si="987"/>
        <v>1.873689022502546</v>
      </c>
      <c r="AB360" s="196">
        <f t="shared" si="988"/>
        <v>260682.60632273421</v>
      </c>
      <c r="AC360">
        <v>19.3</v>
      </c>
      <c r="AD360" s="196">
        <f t="shared" si="989"/>
        <v>50311.743020287708</v>
      </c>
      <c r="AE360" s="196">
        <f t="shared" si="990"/>
        <v>47796.155869273323</v>
      </c>
      <c r="AF360" s="196">
        <f t="shared" si="953"/>
        <v>47796.155869273323</v>
      </c>
      <c r="AG360" s="606">
        <f t="shared" si="917"/>
        <v>2.2098844183393051E-3</v>
      </c>
      <c r="AH360" s="196">
        <f t="shared" si="967"/>
        <v>13034.13031613671</v>
      </c>
      <c r="AI360" s="248">
        <f t="shared" si="896"/>
        <v>1.0097343269547109E-3</v>
      </c>
      <c r="AJ360" s="196">
        <f t="shared" si="897"/>
        <v>63345.873336424418</v>
      </c>
      <c r="AK360" s="196">
        <f t="shared" si="926"/>
        <v>10427.304252909369</v>
      </c>
      <c r="AL360" s="196">
        <f t="shared" si="927"/>
        <v>10427.304252909369</v>
      </c>
      <c r="AM360" s="196">
        <f t="shared" si="898"/>
        <v>20854.608505818738</v>
      </c>
      <c r="AN360" s="627">
        <f t="shared" si="899"/>
        <v>1.0097343269547109E-3</v>
      </c>
      <c r="AO360" s="196">
        <f t="shared" si="900"/>
        <v>9905.9390402639001</v>
      </c>
      <c r="AP360" s="589">
        <f t="shared" si="918"/>
        <v>1.0097343269547109E-3</v>
      </c>
      <c r="AQ360" s="196"/>
      <c r="AR360" s="589"/>
      <c r="AS360">
        <v>1</v>
      </c>
      <c r="AT360" s="589">
        <f t="shared" si="919"/>
        <v>1.2919896640826874E-3</v>
      </c>
      <c r="AU360" s="196">
        <v>10</v>
      </c>
      <c r="AV360" s="245">
        <f t="shared" si="901"/>
        <v>1.1362345188046814E-3</v>
      </c>
      <c r="AX360" s="245"/>
      <c r="AY360" s="245"/>
      <c r="AZ360" s="196">
        <v>24</v>
      </c>
      <c r="BA360" s="589">
        <f t="shared" si="977"/>
        <v>8.7941079476750578E-4</v>
      </c>
      <c r="BI360" s="196">
        <v>1</v>
      </c>
      <c r="BJ360" s="196">
        <f t="shared" si="954"/>
        <v>144823.66853498307</v>
      </c>
      <c r="BK360" s="246">
        <f t="shared" si="978"/>
        <v>2.7616999813154823E-3</v>
      </c>
      <c r="BL360" s="196">
        <f t="shared" si="968"/>
        <v>2896.4733706996612</v>
      </c>
      <c r="BM360" s="246">
        <f t="shared" si="979"/>
        <v>2.7616996653318038E-3</v>
      </c>
      <c r="BN360" s="196">
        <v>0</v>
      </c>
      <c r="BO360" s="196">
        <f t="shared" si="955"/>
        <v>18156.572302822511</v>
      </c>
      <c r="BP360" s="196">
        <f t="shared" si="902"/>
        <v>0</v>
      </c>
      <c r="BQ360" s="248">
        <f t="shared" si="980"/>
        <v>0</v>
      </c>
      <c r="BR360" s="248"/>
      <c r="BS360" s="248"/>
      <c r="BT360" s="276">
        <v>1</v>
      </c>
      <c r="BU360" s="196">
        <f t="shared" si="969"/>
        <v>38035.677723337511</v>
      </c>
      <c r="BV360" s="264">
        <f t="shared" si="981"/>
        <v>2.6382266524283466E-3</v>
      </c>
      <c r="BW360" s="196">
        <f t="shared" si="970"/>
        <v>162708.17692761045</v>
      </c>
      <c r="BX360" s="247">
        <f t="shared" si="982"/>
        <v>2.6382266761935933E-3</v>
      </c>
      <c r="BY360" s="196">
        <f t="shared" si="985"/>
        <v>200743.85465094796</v>
      </c>
      <c r="BZ360" s="620">
        <v>0</v>
      </c>
      <c r="CA360" s="196">
        <f t="shared" si="956"/>
        <v>79768.87753475667</v>
      </c>
      <c r="CB360" s="196">
        <f t="shared" si="957"/>
        <v>159537.75506951334</v>
      </c>
      <c r="CC360" s="196">
        <f t="shared" si="915"/>
        <v>239306.63260427001</v>
      </c>
      <c r="CD360" s="247">
        <f t="shared" si="903"/>
        <v>1.0097343269547109E-3</v>
      </c>
      <c r="CE360" s="196">
        <f t="shared" si="958"/>
        <v>20427.070740114097</v>
      </c>
      <c r="CF360" s="247">
        <f t="shared" si="904"/>
        <v>8.8210444163824701E-4</v>
      </c>
      <c r="CG360" s="196">
        <f t="shared" si="991"/>
        <v>39623.7561610556</v>
      </c>
      <c r="CH360" s="589">
        <f t="shared" si="920"/>
        <v>1.0097343269547109E-3</v>
      </c>
      <c r="CI360" s="196">
        <f t="shared" si="959"/>
        <v>81787.452756967759</v>
      </c>
      <c r="CJ360" s="248">
        <f t="shared" si="921"/>
        <v>1.3445855157205463E-3</v>
      </c>
      <c r="CK360" s="196">
        <f t="shared" si="960"/>
        <v>74468.249876554983</v>
      </c>
      <c r="CL360" s="589">
        <f t="shared" si="922"/>
        <v>1.0704964094409766E-3</v>
      </c>
      <c r="CM360" s="196">
        <f t="shared" si="961"/>
        <v>7214.116423916741</v>
      </c>
      <c r="CN360" s="589">
        <f t="shared" si="923"/>
        <v>1.0396361626021124E-3</v>
      </c>
      <c r="CO360" s="196">
        <f t="shared" si="962"/>
        <v>577.12457828933157</v>
      </c>
      <c r="CP360" s="589">
        <f t="shared" si="924"/>
        <v>1.0883680611039207E-3</v>
      </c>
      <c r="CQ360" s="196">
        <f>'Detailed Budget'!$AC$12</f>
        <v>292876014141.44696</v>
      </c>
      <c r="CR360" s="269">
        <f t="shared" si="925"/>
        <v>808835682.78218699</v>
      </c>
      <c r="CS360" s="269">
        <f>'Detailed Budget'!$AC$16</f>
        <v>10488008800.000002</v>
      </c>
      <c r="CT360" s="607">
        <f t="shared" si="992"/>
        <v>28964730.392957017</v>
      </c>
      <c r="CU360" s="269">
        <f>'Detailed Budget'!$AC$24</f>
        <v>30624985696</v>
      </c>
      <c r="CV360" s="269">
        <f t="shared" si="976"/>
        <v>84577022.424430117</v>
      </c>
      <c r="CW360" s="269"/>
      <c r="CX360" s="269">
        <f t="shared" si="916"/>
        <v>922377435.59957409</v>
      </c>
      <c r="CY360" s="196">
        <f>'Detailed Budget'!$AC$97</f>
        <v>74629165494.837845</v>
      </c>
      <c r="CZ360" s="269">
        <f t="shared" si="993"/>
        <v>0</v>
      </c>
      <c r="DA360" s="269">
        <f>'Detailed Budget'!$AC$100</f>
        <v>14925833098.967569</v>
      </c>
      <c r="DB360" s="269">
        <f t="shared" si="994"/>
        <v>0</v>
      </c>
      <c r="DC360" s="269">
        <f t="shared" si="905"/>
        <v>0</v>
      </c>
      <c r="DD360" s="207">
        <v>0</v>
      </c>
      <c r="DE360" s="606">
        <v>0</v>
      </c>
      <c r="DF360" s="269">
        <f>'Detailed Budget'!$AC$147</f>
        <v>5913600671000</v>
      </c>
      <c r="DG360" s="269">
        <f t="shared" si="971"/>
        <v>0</v>
      </c>
      <c r="DH360" s="269">
        <f>'Detailed Budget'!$AC$153</f>
        <v>226428026880.00003</v>
      </c>
      <c r="DI360" s="269"/>
      <c r="DJ360" s="269">
        <f>'Detailed Budget'!$AC$156</f>
        <v>27713070000</v>
      </c>
      <c r="DK360" s="269"/>
      <c r="DL360" s="269"/>
      <c r="DM360" s="196">
        <f>'Detailed Budget'!$AC$178</f>
        <v>5622683761.6229038</v>
      </c>
      <c r="DN360" s="269">
        <f t="shared" si="963"/>
        <v>14833914.158089617</v>
      </c>
      <c r="DO360" s="196">
        <f>'Detailed Budget'!$AC$179</f>
        <v>26827890683.128094</v>
      </c>
      <c r="DP360" s="269">
        <f t="shared" si="964"/>
        <v>70778056.866234094</v>
      </c>
      <c r="DQ360" s="269">
        <f t="shared" si="870"/>
        <v>85611971.024323717</v>
      </c>
      <c r="DR360" s="269">
        <f>'Detailed Budget'!$AC$181</f>
        <v>50888946855.375237</v>
      </c>
      <c r="DS360" s="269">
        <f t="shared" si="965"/>
        <v>112458690.72139071</v>
      </c>
      <c r="DT360" s="269">
        <f t="shared" si="966"/>
        <v>198070661.74571443</v>
      </c>
      <c r="DU360" s="272">
        <f>'Detailed Budget'!$AC$192</f>
        <v>77498869683.252869</v>
      </c>
      <c r="DV360" s="269">
        <f t="shared" si="995"/>
        <v>0</v>
      </c>
      <c r="DW360" s="140">
        <f>'Detailed Budget'!$AC$194</f>
        <v>2684962805.4134097</v>
      </c>
      <c r="DX360" s="269">
        <f t="shared" si="996"/>
        <v>0</v>
      </c>
      <c r="DY360" s="607">
        <f t="shared" si="906"/>
        <v>0</v>
      </c>
      <c r="DZ360" s="196">
        <f>'Detailed Budget'!$AC$198</f>
        <v>18732540018.380611</v>
      </c>
      <c r="EA360" s="269">
        <f t="shared" si="936"/>
        <v>16524056.753379747</v>
      </c>
      <c r="EB360" s="196">
        <f>'Detailed Budget'!$AC$200</f>
        <v>4683135004.5951529</v>
      </c>
      <c r="EC360" s="269">
        <f t="shared" si="997"/>
        <v>4131014.1883449368</v>
      </c>
      <c r="ED360" s="269">
        <f t="shared" si="907"/>
        <v>20655070.941724684</v>
      </c>
      <c r="EE360" s="196">
        <f>'Detailed Budget'!$AC$161</f>
        <v>251147290106.36197</v>
      </c>
      <c r="EF360" s="269">
        <f t="shared" si="998"/>
        <v>253592039.94204694</v>
      </c>
      <c r="EG360" s="196">
        <f>'Detailed Budget'!$AC$163</f>
        <v>15696705631.647623</v>
      </c>
      <c r="EH360" s="269">
        <f t="shared" si="999"/>
        <v>15849502.496377934</v>
      </c>
      <c r="EI360" s="269">
        <f t="shared" si="908"/>
        <v>269441542.43842489</v>
      </c>
      <c r="EJ360" s="196">
        <f>'Detailed Budget'!$AC$204</f>
        <v>45012172507.531975</v>
      </c>
      <c r="EK360" s="269">
        <f t="shared" si="1000"/>
        <v>60522715.184742078</v>
      </c>
      <c r="EL360" s="201">
        <f>'Detailed Budget'!$AC$206</f>
        <v>11253043126.882994</v>
      </c>
      <c r="EM360" s="269">
        <f t="shared" si="1001"/>
        <v>15130678.79618552</v>
      </c>
      <c r="EN360" s="269">
        <f t="shared" si="909"/>
        <v>75653393.980927601</v>
      </c>
      <c r="EO360" s="140">
        <f>'Detailed Budget'!$AC$209</f>
        <v>135789361677.54817</v>
      </c>
      <c r="EP360" s="269">
        <f t="shared" si="1002"/>
        <v>145362024.11609745</v>
      </c>
      <c r="EQ360" s="196">
        <f>'Detailed Budget'!$AC$211</f>
        <v>33947340419.387043</v>
      </c>
      <c r="ER360" s="269">
        <f t="shared" si="1003"/>
        <v>36340506.029024363</v>
      </c>
      <c r="ES360" s="269">
        <f t="shared" si="910"/>
        <v>181702530.14512181</v>
      </c>
      <c r="ET360" s="196">
        <f>'Detailed Budget'!$AC$214</f>
        <v>22239745544.201103</v>
      </c>
      <c r="EU360" s="269">
        <f t="shared" si="1004"/>
        <v>23121243.714820661</v>
      </c>
      <c r="EV360" s="140">
        <f>'Detailed Budget'!$AC$217</f>
        <v>5559936386.0502758</v>
      </c>
      <c r="EW360" s="269">
        <f t="shared" si="1005"/>
        <v>5780310.9287051652</v>
      </c>
      <c r="EX360" s="269">
        <f t="shared" si="911"/>
        <v>28901554.643525824</v>
      </c>
      <c r="EY360" s="196">
        <f>'Detailed Budget'!$AC$219</f>
        <v>372777004.58170313</v>
      </c>
      <c r="EZ360" s="269">
        <f t="shared" si="1006"/>
        <v>405718.5857007156</v>
      </c>
      <c r="FA360" s="196">
        <f>'Detailed Budget'!$AC$222</f>
        <v>93194251.145425782</v>
      </c>
      <c r="FB360" s="269">
        <f t="shared" si="1007"/>
        <v>101429.6464251789</v>
      </c>
      <c r="FC360" s="269">
        <f t="shared" si="912"/>
        <v>507148.23212589452</v>
      </c>
      <c r="FD360" s="269"/>
      <c r="FE360" s="269">
        <f t="shared" si="913"/>
        <v>286764627.00170112</v>
      </c>
      <c r="FF360" s="140">
        <f>'Detailed Budget'!$AC$165</f>
        <v>14927760000</v>
      </c>
      <c r="FG360" s="1087">
        <f t="shared" si="972"/>
        <v>391165933.28600836</v>
      </c>
      <c r="FH360" s="269">
        <f t="shared" si="948"/>
        <v>16961436.200431772</v>
      </c>
      <c r="FJ360" s="140">
        <f>'Detailed Budget'!$AC$235</f>
        <v>3623696172</v>
      </c>
      <c r="FK360" s="269">
        <f t="shared" si="949"/>
        <v>4681778</v>
      </c>
      <c r="FL360" s="269">
        <f t="shared" si="973"/>
        <v>4681778</v>
      </c>
      <c r="FO360" s="607"/>
      <c r="FP360" s="607"/>
      <c r="FQ360" s="607"/>
      <c r="FR360" s="269">
        <f>'Detailed Budget'!$AC$257</f>
        <v>13636439388</v>
      </c>
      <c r="FS360" s="269">
        <f t="shared" si="950"/>
        <v>11992032</v>
      </c>
      <c r="FT360" s="269">
        <f t="shared" si="974"/>
        <v>11992032</v>
      </c>
      <c r="FU360" s="269"/>
      <c r="FV360" s="269"/>
      <c r="FW360" s="269"/>
      <c r="FX360" s="140">
        <f>'Detailed Budget'!$AC$278</f>
        <v>1114560000</v>
      </c>
      <c r="FY360" s="269">
        <f t="shared" si="951"/>
        <v>1440000</v>
      </c>
      <c r="FZ360" s="269">
        <f t="shared" si="975"/>
        <v>1440000</v>
      </c>
      <c r="GB360" s="269">
        <f t="shared" si="983"/>
        <v>2123550517.2135794</v>
      </c>
      <c r="GC360" s="887">
        <f t="shared" si="914"/>
        <v>1327219.073258487</v>
      </c>
      <c r="GD360" s="1078">
        <f t="shared" si="984"/>
        <v>1.1915910639094119E-3</v>
      </c>
    </row>
    <row r="361" spans="1:186" hidden="1" outlineLevel="1">
      <c r="A361" s="211" t="s">
        <v>865</v>
      </c>
      <c r="B361" s="212" t="s">
        <v>866</v>
      </c>
      <c r="C361" s="213" t="s">
        <v>215</v>
      </c>
      <c r="D361" s="214" t="s">
        <v>215</v>
      </c>
      <c r="E361" s="213"/>
      <c r="F361" s="213"/>
      <c r="G361" s="213"/>
      <c r="H361" s="213" t="s">
        <v>215</v>
      </c>
      <c r="I361" s="214" t="s">
        <v>215</v>
      </c>
      <c r="J361" s="214"/>
      <c r="K361" s="213" t="s">
        <v>215</v>
      </c>
      <c r="L361" s="213"/>
      <c r="M361" s="214"/>
      <c r="N361" s="213"/>
      <c r="O361" s="214"/>
      <c r="P361" s="213"/>
      <c r="Q361" s="214"/>
      <c r="R361" s="214" t="s">
        <v>215</v>
      </c>
      <c r="S361" s="214"/>
      <c r="T361" s="213"/>
      <c r="U361" s="215">
        <f t="shared" si="952"/>
        <v>6</v>
      </c>
      <c r="V361" s="845" t="s">
        <v>219</v>
      </c>
      <c r="W361" s="216">
        <v>250379</v>
      </c>
      <c r="X361" s="217">
        <v>3.36</v>
      </c>
      <c r="Y361" s="218">
        <f t="shared" si="986"/>
        <v>1.0336000000000001</v>
      </c>
      <c r="Z361" s="196">
        <v>19</v>
      </c>
      <c r="AA361" s="218">
        <f t="shared" si="987"/>
        <v>1.873689022502546</v>
      </c>
      <c r="AB361" s="196">
        <f t="shared" si="988"/>
        <v>469132.38376516494</v>
      </c>
      <c r="AC361">
        <v>19.3</v>
      </c>
      <c r="AD361" s="196">
        <f t="shared" si="989"/>
        <v>90542.550066676835</v>
      </c>
      <c r="AE361" s="196">
        <f t="shared" si="990"/>
        <v>86015.422563342989</v>
      </c>
      <c r="AF361" s="196">
        <f t="shared" si="953"/>
        <v>86015.422563342989</v>
      </c>
      <c r="AG361" s="606">
        <f t="shared" si="917"/>
        <v>3.9769755245484496E-3</v>
      </c>
      <c r="AH361" s="196">
        <f t="shared" si="967"/>
        <v>23456.61918825825</v>
      </c>
      <c r="AI361" s="248">
        <f t="shared" si="896"/>
        <v>1.8171487482648609E-3</v>
      </c>
      <c r="AJ361" s="196">
        <f t="shared" si="897"/>
        <v>113999.16925493508</v>
      </c>
      <c r="AK361" s="196">
        <f t="shared" si="926"/>
        <v>18765.295350606597</v>
      </c>
      <c r="AL361" s="196">
        <f t="shared" si="927"/>
        <v>18765.295350606597</v>
      </c>
      <c r="AM361" s="196">
        <f t="shared" si="898"/>
        <v>37530.590701213194</v>
      </c>
      <c r="AN361" s="627">
        <f t="shared" si="899"/>
        <v>1.8171487482648606E-3</v>
      </c>
      <c r="AO361" s="196">
        <f t="shared" si="900"/>
        <v>17827.030583076266</v>
      </c>
      <c r="AP361" s="589">
        <f t="shared" si="918"/>
        <v>1.8171487482648604E-3</v>
      </c>
      <c r="AQ361" s="196"/>
      <c r="AR361" s="589"/>
      <c r="AS361">
        <v>1</v>
      </c>
      <c r="AT361" s="589">
        <f t="shared" si="919"/>
        <v>1.2919896640826874E-3</v>
      </c>
      <c r="AU361" s="196">
        <v>11</v>
      </c>
      <c r="AV361" s="245">
        <f t="shared" si="901"/>
        <v>1.2498579706851495E-3</v>
      </c>
      <c r="AX361" s="245"/>
      <c r="AY361" s="245"/>
      <c r="AZ361" s="196">
        <v>41</v>
      </c>
      <c r="BA361" s="589">
        <f t="shared" si="977"/>
        <v>1.5023267743944891E-3</v>
      </c>
      <c r="BI361" s="196">
        <v>1</v>
      </c>
      <c r="BJ361" s="196">
        <f t="shared" si="954"/>
        <v>260629.09913260108</v>
      </c>
      <c r="BK361" s="246">
        <f t="shared" si="978"/>
        <v>4.9700396729758858E-3</v>
      </c>
      <c r="BL361" s="196">
        <f t="shared" si="968"/>
        <v>5212.5819826520219</v>
      </c>
      <c r="BM361" s="246">
        <f t="shared" si="979"/>
        <v>4.970039104322004E-3</v>
      </c>
      <c r="BN361" s="196">
        <v>0</v>
      </c>
      <c r="BO361" s="196">
        <f t="shared" si="955"/>
        <v>32675.122309013263</v>
      </c>
      <c r="BP361" s="196">
        <f t="shared" si="902"/>
        <v>0</v>
      </c>
      <c r="BQ361" s="248">
        <f t="shared" si="980"/>
        <v>0</v>
      </c>
      <c r="BR361" s="248"/>
      <c r="BS361" s="248"/>
      <c r="BT361" s="276">
        <v>1</v>
      </c>
      <c r="BU361" s="196">
        <f t="shared" si="969"/>
        <v>68450.167850407684</v>
      </c>
      <c r="BV361" s="264">
        <f t="shared" si="981"/>
        <v>4.7478332974552704E-3</v>
      </c>
      <c r="BW361" s="196">
        <f t="shared" si="970"/>
        <v>292814.6069156329</v>
      </c>
      <c r="BX361" s="247">
        <f t="shared" si="982"/>
        <v>4.7478333402239349E-3</v>
      </c>
      <c r="BY361" s="196">
        <f t="shared" si="985"/>
        <v>361264.77476604062</v>
      </c>
      <c r="BZ361" s="620">
        <v>0</v>
      </c>
      <c r="CA361" s="196">
        <f t="shared" si="956"/>
        <v>143554.50943214048</v>
      </c>
      <c r="CB361" s="196">
        <f t="shared" si="957"/>
        <v>287109.01886428095</v>
      </c>
      <c r="CC361" s="196">
        <f t="shared" si="915"/>
        <v>430663.5282964214</v>
      </c>
      <c r="CD361" s="247">
        <f t="shared" si="903"/>
        <v>1.8171487482648606E-3</v>
      </c>
      <c r="CE361" s="196">
        <f t="shared" si="958"/>
        <v>36761.180674192314</v>
      </c>
      <c r="CF361" s="247">
        <f t="shared" si="904"/>
        <v>1.5874621067861444E-3</v>
      </c>
      <c r="CG361" s="196">
        <f t="shared" si="991"/>
        <v>71308.122332305065</v>
      </c>
      <c r="CH361" s="589">
        <f t="shared" si="920"/>
        <v>1.8171487482648604E-3</v>
      </c>
      <c r="CI361" s="196">
        <f t="shared" si="959"/>
        <v>147187.19908168615</v>
      </c>
      <c r="CJ361" s="248">
        <f t="shared" si="921"/>
        <v>2.4197571792924119E-3</v>
      </c>
      <c r="CK361" s="196">
        <f t="shared" si="960"/>
        <v>134015.33793227791</v>
      </c>
      <c r="CL361" s="589">
        <f t="shared" si="922"/>
        <v>1.9264980485554472E-3</v>
      </c>
      <c r="CM361" s="196">
        <f t="shared" si="961"/>
        <v>12982.744351272566</v>
      </c>
      <c r="CN361" s="589">
        <f t="shared" si="923"/>
        <v>1.870961005377453E-3</v>
      </c>
      <c r="CO361" s="196">
        <f t="shared" si="962"/>
        <v>1038.6110257281391</v>
      </c>
      <c r="CP361" s="589">
        <f t="shared" si="924"/>
        <v>1.95866041897489E-3</v>
      </c>
      <c r="CQ361" s="196">
        <f>'Detailed Budget'!$AC$12</f>
        <v>292876014141.44696</v>
      </c>
      <c r="CR361" s="269">
        <f t="shared" si="925"/>
        <v>1455605409.5460379</v>
      </c>
      <c r="CS361" s="269">
        <f>'Detailed Budget'!$AC$16</f>
        <v>10488008800.000002</v>
      </c>
      <c r="CT361" s="607">
        <f t="shared" si="992"/>
        <v>52125813.862473309</v>
      </c>
      <c r="CU361" s="269">
        <f>'Detailed Budget'!$AC$24</f>
        <v>30624985696</v>
      </c>
      <c r="CV361" s="269">
        <f t="shared" si="976"/>
        <v>152207393.89343902</v>
      </c>
      <c r="CW361" s="269"/>
      <c r="CX361" s="269">
        <f t="shared" si="916"/>
        <v>1659938617.3019502</v>
      </c>
      <c r="CY361" s="196">
        <f>'Detailed Budget'!$AC$97</f>
        <v>74629165494.837845</v>
      </c>
      <c r="CZ361" s="269">
        <f t="shared" si="993"/>
        <v>0</v>
      </c>
      <c r="DA361" s="269">
        <f>'Detailed Budget'!$AC$100</f>
        <v>14925833098.967569</v>
      </c>
      <c r="DB361" s="269">
        <f t="shared" si="994"/>
        <v>0</v>
      </c>
      <c r="DC361" s="269">
        <f t="shared" si="905"/>
        <v>0</v>
      </c>
      <c r="DD361" s="207">
        <v>0</v>
      </c>
      <c r="DE361" s="606">
        <v>0</v>
      </c>
      <c r="DF361" s="269">
        <f>'Detailed Budget'!$AC$147</f>
        <v>5913600671000</v>
      </c>
      <c r="DG361" s="269">
        <f t="shared" si="971"/>
        <v>0</v>
      </c>
      <c r="DH361" s="269">
        <f>'Detailed Budget'!$AC$153</f>
        <v>226428026880.00003</v>
      </c>
      <c r="DI361" s="269"/>
      <c r="DJ361" s="269">
        <f>'Detailed Budget'!$AC$156</f>
        <v>27713070000</v>
      </c>
      <c r="DK361" s="269"/>
      <c r="DL361" s="269"/>
      <c r="DM361" s="196">
        <f>'Detailed Budget'!$AC$178</f>
        <v>5622683761.6229038</v>
      </c>
      <c r="DN361" s="269">
        <f t="shared" si="963"/>
        <v>26695565.184494276</v>
      </c>
      <c r="DO361" s="196">
        <f>'Detailed Budget'!$AC$179</f>
        <v>26827890683.128094</v>
      </c>
      <c r="DP361" s="269">
        <f t="shared" si="964"/>
        <v>127374353.83323865</v>
      </c>
      <c r="DQ361" s="269">
        <f t="shared" si="870"/>
        <v>154069919.01773292</v>
      </c>
      <c r="DR361" s="269">
        <f>'Detailed Budget'!$AC$181</f>
        <v>50888946855.375237</v>
      </c>
      <c r="DS361" s="269">
        <f t="shared" si="965"/>
        <v>202384096.11387411</v>
      </c>
      <c r="DT361" s="269">
        <f t="shared" si="966"/>
        <v>356454015.13160706</v>
      </c>
      <c r="DU361" s="272">
        <f>'Detailed Budget'!$AC$192</f>
        <v>77498869683.252869</v>
      </c>
      <c r="DV361" s="269">
        <f t="shared" si="995"/>
        <v>0</v>
      </c>
      <c r="DW361" s="140">
        <f>'Detailed Budget'!$AC$194</f>
        <v>2684962805.4134097</v>
      </c>
      <c r="DX361" s="269">
        <f t="shared" si="996"/>
        <v>0</v>
      </c>
      <c r="DY361" s="607">
        <f t="shared" si="906"/>
        <v>0</v>
      </c>
      <c r="DZ361" s="196">
        <f>'Detailed Budget'!$AC$198</f>
        <v>18732540018.380611</v>
      </c>
      <c r="EA361" s="269">
        <f t="shared" si="936"/>
        <v>29737197.443034247</v>
      </c>
      <c r="EB361" s="196">
        <f>'Detailed Budget'!$AC$200</f>
        <v>4683135004.5951529</v>
      </c>
      <c r="EC361" s="269">
        <f t="shared" si="997"/>
        <v>7434299.3607585616</v>
      </c>
      <c r="ED361" s="269">
        <f t="shared" si="907"/>
        <v>37171496.803792804</v>
      </c>
      <c r="EE361" s="196">
        <f>'Detailed Budget'!$AC$161</f>
        <v>251147290106.36197</v>
      </c>
      <c r="EF361" s="269">
        <f t="shared" si="998"/>
        <v>456371983.84688741</v>
      </c>
      <c r="EG361" s="196">
        <f>'Detailed Budget'!$AC$163</f>
        <v>15696705631.647623</v>
      </c>
      <c r="EH361" s="269">
        <f t="shared" si="999"/>
        <v>28523248.990430463</v>
      </c>
      <c r="EI361" s="269">
        <f t="shared" si="908"/>
        <v>484895232.83731788</v>
      </c>
      <c r="EJ361" s="196">
        <f>'Detailed Budget'!$AC$204</f>
        <v>45012172507.531975</v>
      </c>
      <c r="EK361" s="269">
        <f t="shared" si="1000"/>
        <v>108918527.58064902</v>
      </c>
      <c r="EL361" s="201">
        <f>'Detailed Budget'!$AC$206</f>
        <v>11253043126.882994</v>
      </c>
      <c r="EM361" s="269">
        <f t="shared" si="1001"/>
        <v>27229631.895162255</v>
      </c>
      <c r="EN361" s="269">
        <f t="shared" si="909"/>
        <v>136148159.47581127</v>
      </c>
      <c r="EO361" s="140">
        <f>'Detailed Budget'!$AC$209</f>
        <v>135789361677.54817</v>
      </c>
      <c r="EP361" s="269">
        <f t="shared" si="1002"/>
        <v>261597940.28638637</v>
      </c>
      <c r="EQ361" s="196">
        <f>'Detailed Budget'!$AC$211</f>
        <v>33947340419.387043</v>
      </c>
      <c r="ER361" s="269">
        <f t="shared" si="1003"/>
        <v>65399485.071596593</v>
      </c>
      <c r="ES361" s="269">
        <f t="shared" si="910"/>
        <v>326997425.35798299</v>
      </c>
      <c r="ET361" s="196">
        <f>'Detailed Budget'!$AC$214</f>
        <v>22239745544.201103</v>
      </c>
      <c r="EU361" s="269">
        <f t="shared" si="1004"/>
        <v>41609696.682717226</v>
      </c>
      <c r="EV361" s="140">
        <f>'Detailed Budget'!$AC$217</f>
        <v>5559936386.0502758</v>
      </c>
      <c r="EW361" s="269">
        <f t="shared" si="1005"/>
        <v>10402424.170679307</v>
      </c>
      <c r="EX361" s="269">
        <f t="shared" si="911"/>
        <v>52012120.853396535</v>
      </c>
      <c r="EY361" s="196">
        <f>'Detailed Budget'!$AC$219</f>
        <v>372777004.58170313</v>
      </c>
      <c r="EZ361" s="269">
        <f t="shared" si="1006"/>
        <v>730143.56397820311</v>
      </c>
      <c r="FA361" s="196">
        <f>'Detailed Budget'!$AC$222</f>
        <v>93194251.145425782</v>
      </c>
      <c r="FB361" s="269">
        <f t="shared" si="1007"/>
        <v>182535.89099455078</v>
      </c>
      <c r="FC361" s="269">
        <f t="shared" si="912"/>
        <v>912679.45497275388</v>
      </c>
      <c r="FD361" s="269"/>
      <c r="FE361" s="269">
        <f t="shared" si="913"/>
        <v>516070385.14216352</v>
      </c>
      <c r="FF361" s="140">
        <f>'Detailed Budget'!$AC$165</f>
        <v>14927760000</v>
      </c>
      <c r="FG361" s="1087">
        <f t="shared" si="972"/>
        <v>703954166.02134359</v>
      </c>
      <c r="FH361" s="269">
        <f t="shared" si="948"/>
        <v>18657579.820474949</v>
      </c>
      <c r="FJ361" s="140">
        <f>'Detailed Budget'!$AC$235</f>
        <v>3623696172</v>
      </c>
      <c r="FK361" s="269">
        <f t="shared" si="949"/>
        <v>4681778</v>
      </c>
      <c r="FL361" s="269">
        <f t="shared" si="973"/>
        <v>4681778</v>
      </c>
      <c r="FO361" s="607"/>
      <c r="FP361" s="607"/>
      <c r="FQ361" s="607"/>
      <c r="FR361" s="269">
        <f>'Detailed Budget'!$AC$257</f>
        <v>13636439388</v>
      </c>
      <c r="FS361" s="269">
        <f t="shared" si="950"/>
        <v>20486388</v>
      </c>
      <c r="FT361" s="269">
        <f t="shared" si="974"/>
        <v>20486388</v>
      </c>
      <c r="FU361" s="269"/>
      <c r="FV361" s="269"/>
      <c r="FW361" s="269"/>
      <c r="FX361" s="140">
        <f>'Detailed Budget'!$AC$278</f>
        <v>1114560000</v>
      </c>
      <c r="FY361" s="269">
        <f t="shared" si="951"/>
        <v>1440000</v>
      </c>
      <c r="FZ361" s="269">
        <f t="shared" si="975"/>
        <v>1440000</v>
      </c>
      <c r="GB361" s="269">
        <f t="shared" si="983"/>
        <v>3803749659.05865</v>
      </c>
      <c r="GC361" s="887">
        <f t="shared" si="914"/>
        <v>2377343.5369116561</v>
      </c>
      <c r="GD361" s="1078">
        <f t="shared" si="984"/>
        <v>2.1344037103624481E-3</v>
      </c>
    </row>
    <row r="362" spans="1:186" hidden="1" outlineLevel="1">
      <c r="A362" s="211" t="s">
        <v>867</v>
      </c>
      <c r="B362" s="212" t="s">
        <v>2823</v>
      </c>
      <c r="C362" s="213" t="s">
        <v>215</v>
      </c>
      <c r="D362" s="214" t="s">
        <v>215</v>
      </c>
      <c r="E362" s="213"/>
      <c r="F362" s="213"/>
      <c r="G362" s="213"/>
      <c r="H362" s="213" t="s">
        <v>215</v>
      </c>
      <c r="I362" s="214" t="s">
        <v>215</v>
      </c>
      <c r="J362" s="214"/>
      <c r="K362" s="213" t="s">
        <v>215</v>
      </c>
      <c r="L362" s="213"/>
      <c r="M362" s="214"/>
      <c r="N362" s="213"/>
      <c r="O362" s="214"/>
      <c r="P362" s="213"/>
      <c r="Q362" s="214"/>
      <c r="R362" s="214" t="s">
        <v>215</v>
      </c>
      <c r="S362" s="214"/>
      <c r="T362" s="213"/>
      <c r="U362" s="215">
        <f t="shared" si="952"/>
        <v>6</v>
      </c>
      <c r="V362" s="845" t="s">
        <v>219</v>
      </c>
      <c r="W362" s="216">
        <v>202639</v>
      </c>
      <c r="X362" s="217">
        <v>3.36</v>
      </c>
      <c r="Y362" s="218">
        <f t="shared" si="986"/>
        <v>1.0336000000000001</v>
      </c>
      <c r="Z362" s="196">
        <v>19</v>
      </c>
      <c r="AA362" s="218">
        <f t="shared" si="987"/>
        <v>1.873689022502546</v>
      </c>
      <c r="AB362" s="196">
        <f t="shared" si="988"/>
        <v>379682.46983089339</v>
      </c>
      <c r="AC362">
        <v>19.3</v>
      </c>
      <c r="AD362" s="196">
        <f t="shared" si="989"/>
        <v>73278.716677362419</v>
      </c>
      <c r="AE362" s="196">
        <f t="shared" si="990"/>
        <v>69614.7808434943</v>
      </c>
      <c r="AF362" s="196">
        <f t="shared" si="953"/>
        <v>69614.7808434943</v>
      </c>
      <c r="AG362" s="606">
        <f t="shared" si="917"/>
        <v>3.2186818515888846E-3</v>
      </c>
      <c r="AH362" s="196">
        <f t="shared" si="967"/>
        <v>18984.123491544669</v>
      </c>
      <c r="AI362" s="248">
        <f t="shared" si="896"/>
        <v>1.4706712831333423E-3</v>
      </c>
      <c r="AJ362" s="196">
        <f t="shared" si="897"/>
        <v>92262.840168907089</v>
      </c>
      <c r="AK362" s="196">
        <f t="shared" si="926"/>
        <v>15187.298793235736</v>
      </c>
      <c r="AL362" s="196">
        <f t="shared" si="927"/>
        <v>15187.298793235736</v>
      </c>
      <c r="AM362" s="196">
        <f t="shared" si="898"/>
        <v>30374.597586471471</v>
      </c>
      <c r="AN362" s="627">
        <f t="shared" si="899"/>
        <v>1.4706712831333423E-3</v>
      </c>
      <c r="AO362" s="196">
        <f t="shared" si="900"/>
        <v>14427.933853573948</v>
      </c>
      <c r="AP362" s="589">
        <f t="shared" si="918"/>
        <v>1.4706712831333421E-3</v>
      </c>
      <c r="AQ362" s="196"/>
      <c r="AR362" s="589"/>
      <c r="AS362">
        <v>1</v>
      </c>
      <c r="AT362" s="589">
        <f t="shared" si="919"/>
        <v>1.2919896640826874E-3</v>
      </c>
      <c r="AU362" s="196">
        <v>10</v>
      </c>
      <c r="AV362" s="245">
        <f t="shared" si="901"/>
        <v>1.1362345188046814E-3</v>
      </c>
      <c r="AX362" s="245"/>
      <c r="AY362" s="245"/>
      <c r="AZ362" s="196">
        <v>34</v>
      </c>
      <c r="BA362" s="589">
        <f t="shared" si="977"/>
        <v>1.2458319592539666E-3</v>
      </c>
      <c r="BI362" s="196">
        <v>1</v>
      </c>
      <c r="BJ362" s="196">
        <f t="shared" si="954"/>
        <v>210934.70306667552</v>
      </c>
      <c r="BK362" s="246">
        <f t="shared" si="978"/>
        <v>4.0223975225244955E-3</v>
      </c>
      <c r="BL362" s="196">
        <f t="shared" si="968"/>
        <v>4218.69406133351</v>
      </c>
      <c r="BM362" s="246">
        <f t="shared" si="979"/>
        <v>4.0223970622963838E-3</v>
      </c>
      <c r="BN362" s="196">
        <v>0</v>
      </c>
      <c r="BO362" s="196">
        <f t="shared" si="955"/>
        <v>26444.92593059377</v>
      </c>
      <c r="BP362" s="196">
        <f t="shared" si="902"/>
        <v>0</v>
      </c>
      <c r="BQ362" s="248">
        <f t="shared" si="980"/>
        <v>0</v>
      </c>
      <c r="BR362" s="248"/>
      <c r="BS362" s="248"/>
      <c r="BT362" s="276">
        <v>1</v>
      </c>
      <c r="BU362" s="196">
        <f t="shared" si="969"/>
        <v>55398.709808085987</v>
      </c>
      <c r="BV362" s="264">
        <f t="shared" si="981"/>
        <v>3.8425594461318179E-3</v>
      </c>
      <c r="BW362" s="196">
        <f t="shared" si="970"/>
        <v>236983.36973459009</v>
      </c>
      <c r="BX362" s="247">
        <f t="shared" si="982"/>
        <v>3.8425594807457411E-3</v>
      </c>
      <c r="BY362" s="196">
        <f t="shared" si="985"/>
        <v>292382.0795426761</v>
      </c>
      <c r="BZ362" s="620">
        <v>0</v>
      </c>
      <c r="CA362" s="196">
        <f t="shared" si="956"/>
        <v>116182.83576825337</v>
      </c>
      <c r="CB362" s="196">
        <f t="shared" si="957"/>
        <v>232365.67153650674</v>
      </c>
      <c r="CC362" s="196">
        <f t="shared" si="915"/>
        <v>348548.5073047601</v>
      </c>
      <c r="CD362" s="247">
        <f t="shared" si="903"/>
        <v>1.4706712831333421E-3</v>
      </c>
      <c r="CE362" s="196">
        <f t="shared" si="958"/>
        <v>29751.891694741393</v>
      </c>
      <c r="CF362" s="247">
        <f t="shared" si="904"/>
        <v>1.2847792101455691E-3</v>
      </c>
      <c r="CG362" s="196">
        <f t="shared" si="991"/>
        <v>57711.735414295792</v>
      </c>
      <c r="CH362" s="589">
        <f t="shared" si="920"/>
        <v>1.4706712831333421E-3</v>
      </c>
      <c r="CI362" s="196">
        <f t="shared" si="959"/>
        <v>119122.87705723642</v>
      </c>
      <c r="CJ362" s="248">
        <f t="shared" si="921"/>
        <v>1.9583797964471262E-3</v>
      </c>
      <c r="CK362" s="196">
        <f t="shared" si="960"/>
        <v>108462.50709228353</v>
      </c>
      <c r="CL362" s="589">
        <f t="shared" si="922"/>
        <v>1.5591708492374648E-3</v>
      </c>
      <c r="CM362" s="196">
        <f t="shared" si="961"/>
        <v>10507.312245026624</v>
      </c>
      <c r="CN362" s="589">
        <f t="shared" si="923"/>
        <v>1.5142231064453554E-3</v>
      </c>
      <c r="CO362" s="196">
        <f t="shared" si="962"/>
        <v>840.57808219748597</v>
      </c>
      <c r="CP362" s="589">
        <f t="shared" si="924"/>
        <v>1.5852007901647211E-3</v>
      </c>
      <c r="CQ362" s="196">
        <f>'Detailed Budget'!$AC$12</f>
        <v>292876014141.44696</v>
      </c>
      <c r="CR362" s="269">
        <f t="shared" si="925"/>
        <v>1178063753.6894054</v>
      </c>
      <c r="CS362" s="269">
        <f>'Detailed Budget'!$AC$16</f>
        <v>10488008800.000002</v>
      </c>
      <c r="CT362" s="607">
        <f t="shared" si="992"/>
        <v>42186935.786458626</v>
      </c>
      <c r="CU362" s="269">
        <f>'Detailed Budget'!$AC$24</f>
        <v>30624985696</v>
      </c>
      <c r="CV362" s="269">
        <f t="shared" si="976"/>
        <v>123185866.59093851</v>
      </c>
      <c r="CW362" s="269"/>
      <c r="CX362" s="269">
        <f t="shared" si="916"/>
        <v>1343436556.0668027</v>
      </c>
      <c r="CY362" s="196">
        <f>'Detailed Budget'!$AC$97</f>
        <v>74629165494.837845</v>
      </c>
      <c r="CZ362" s="269">
        <f t="shared" si="993"/>
        <v>0</v>
      </c>
      <c r="DA362" s="269">
        <f>'Detailed Budget'!$AC$100</f>
        <v>14925833098.967569</v>
      </c>
      <c r="DB362" s="269">
        <f t="shared" si="994"/>
        <v>0</v>
      </c>
      <c r="DC362" s="269">
        <f t="shared" si="905"/>
        <v>0</v>
      </c>
      <c r="DD362" s="207">
        <v>0</v>
      </c>
      <c r="DE362" s="606">
        <v>0</v>
      </c>
      <c r="DF362" s="269">
        <f>'Detailed Budget'!$AC$147</f>
        <v>5913600671000</v>
      </c>
      <c r="DG362" s="269">
        <f t="shared" si="971"/>
        <v>0</v>
      </c>
      <c r="DH362" s="269">
        <f>'Detailed Budget'!$AC$153</f>
        <v>226428026880.00003</v>
      </c>
      <c r="DI362" s="269"/>
      <c r="DJ362" s="269">
        <f>'Detailed Budget'!$AC$156</f>
        <v>27713070000</v>
      </c>
      <c r="DK362" s="269"/>
      <c r="DL362" s="269"/>
      <c r="DM362" s="196">
        <f>'Detailed Budget'!$AC$178</f>
        <v>5622683761.6229038</v>
      </c>
      <c r="DN362" s="269">
        <f t="shared" si="963"/>
        <v>21605496.600836072</v>
      </c>
      <c r="DO362" s="196">
        <f>'Detailed Budget'!$AC$179</f>
        <v>26827890683.128094</v>
      </c>
      <c r="DP362" s="269">
        <f t="shared" si="964"/>
        <v>103087765.69286419</v>
      </c>
      <c r="DQ362" s="269">
        <f t="shared" si="870"/>
        <v>124693262.29370026</v>
      </c>
      <c r="DR362" s="269">
        <f>'Detailed Budget'!$AC$181</f>
        <v>50888946855.375237</v>
      </c>
      <c r="DS362" s="269">
        <f t="shared" si="965"/>
        <v>163795329.68986753</v>
      </c>
      <c r="DT362" s="269">
        <f t="shared" si="966"/>
        <v>288488591.98356777</v>
      </c>
      <c r="DU362" s="272">
        <f>'Detailed Budget'!$AC$192</f>
        <v>77498869683.252869</v>
      </c>
      <c r="DV362" s="269">
        <f t="shared" si="995"/>
        <v>0</v>
      </c>
      <c r="DW362" s="140">
        <f>'Detailed Budget'!$AC$194</f>
        <v>2684962805.4134097</v>
      </c>
      <c r="DX362" s="269">
        <f t="shared" si="996"/>
        <v>0</v>
      </c>
      <c r="DY362" s="607">
        <f t="shared" si="906"/>
        <v>0</v>
      </c>
      <c r="DZ362" s="196">
        <f>'Detailed Budget'!$AC$198</f>
        <v>18732540018.380611</v>
      </c>
      <c r="EA362" s="269">
        <f t="shared" si="936"/>
        <v>24067177.968835305</v>
      </c>
      <c r="EB362" s="196">
        <f>'Detailed Budget'!$AC$200</f>
        <v>4683135004.5951529</v>
      </c>
      <c r="EC362" s="269">
        <f t="shared" si="997"/>
        <v>6016794.4922088264</v>
      </c>
      <c r="ED362" s="269">
        <f t="shared" si="907"/>
        <v>30083972.461044133</v>
      </c>
      <c r="EE362" s="196">
        <f>'Detailed Budget'!$AC$161</f>
        <v>251147290106.36197</v>
      </c>
      <c r="EF362" s="269">
        <f t="shared" si="998"/>
        <v>369355107.39618504</v>
      </c>
      <c r="EG362" s="196">
        <f>'Detailed Budget'!$AC$163</f>
        <v>15696705631.647623</v>
      </c>
      <c r="EH362" s="269">
        <f t="shared" si="999"/>
        <v>23084694.212261565</v>
      </c>
      <c r="EI362" s="269">
        <f t="shared" si="908"/>
        <v>392439801.6084466</v>
      </c>
      <c r="EJ362" s="196">
        <f>'Detailed Budget'!$AC$204</f>
        <v>45012172507.531975</v>
      </c>
      <c r="EK362" s="269">
        <f t="shared" si="1000"/>
        <v>88150929.232943401</v>
      </c>
      <c r="EL362" s="201">
        <f>'Detailed Budget'!$AC$206</f>
        <v>11253043126.882994</v>
      </c>
      <c r="EM362" s="269">
        <f t="shared" si="1001"/>
        <v>22037732.30823585</v>
      </c>
      <c r="EN362" s="269">
        <f t="shared" si="909"/>
        <v>110188661.54117925</v>
      </c>
      <c r="EO362" s="140">
        <f>'Detailed Budget'!$AC$209</f>
        <v>135789361677.54817</v>
      </c>
      <c r="EP362" s="269">
        <f t="shared" si="1002"/>
        <v>211718814.36419603</v>
      </c>
      <c r="EQ362" s="196">
        <f>'Detailed Budget'!$AC$211</f>
        <v>33947340419.387043</v>
      </c>
      <c r="ER362" s="269">
        <f t="shared" si="1003"/>
        <v>52929703.591049008</v>
      </c>
      <c r="ES362" s="269">
        <f t="shared" si="910"/>
        <v>264648517.95524505</v>
      </c>
      <c r="ET362" s="196">
        <f>'Detailed Budget'!$AC$214</f>
        <v>22239745544.201103</v>
      </c>
      <c r="EU362" s="269">
        <f t="shared" si="1004"/>
        <v>33675936.584494449</v>
      </c>
      <c r="EV362" s="140">
        <f>'Detailed Budget'!$AC$217</f>
        <v>5559936386.0502758</v>
      </c>
      <c r="EW362" s="269">
        <f t="shared" si="1005"/>
        <v>8418984.1461236123</v>
      </c>
      <c r="EX362" s="269">
        <f t="shared" si="911"/>
        <v>42094920.73061806</v>
      </c>
      <c r="EY362" s="196">
        <f>'Detailed Budget'!$AC$219</f>
        <v>372777004.58170313</v>
      </c>
      <c r="EZ362" s="269">
        <f t="shared" si="1006"/>
        <v>590926.4022181537</v>
      </c>
      <c r="FA362" s="196">
        <f>'Detailed Budget'!$AC$222</f>
        <v>93194251.145425782</v>
      </c>
      <c r="FB362" s="269">
        <f t="shared" si="1007"/>
        <v>147731.60055453843</v>
      </c>
      <c r="FC362" s="269">
        <f t="shared" si="912"/>
        <v>738658.00277269213</v>
      </c>
      <c r="FD362" s="269"/>
      <c r="FE362" s="269">
        <f t="shared" si="913"/>
        <v>417670758.22981507</v>
      </c>
      <c r="FF362" s="140">
        <f>'Detailed Budget'!$AC$165</f>
        <v>14927760000</v>
      </c>
      <c r="FG362" s="1087">
        <f t="shared" si="972"/>
        <v>569730561.46241915</v>
      </c>
      <c r="FH362" s="269">
        <f t="shared" si="948"/>
        <v>16961436.200431772</v>
      </c>
      <c r="FJ362" s="140">
        <f>'Detailed Budget'!$AC$235</f>
        <v>3623696172</v>
      </c>
      <c r="FK362" s="269">
        <f t="shared" si="949"/>
        <v>4681778</v>
      </c>
      <c r="FL362" s="269">
        <f t="shared" si="973"/>
        <v>4681778</v>
      </c>
      <c r="FO362" s="607"/>
      <c r="FP362" s="607"/>
      <c r="FQ362" s="607"/>
      <c r="FR362" s="269">
        <f>'Detailed Budget'!$AC$257</f>
        <v>13636439388</v>
      </c>
      <c r="FS362" s="269">
        <f t="shared" si="950"/>
        <v>16988712</v>
      </c>
      <c r="FT362" s="269">
        <f t="shared" si="974"/>
        <v>16988712</v>
      </c>
      <c r="FU362" s="269"/>
      <c r="FV362" s="269"/>
      <c r="FW362" s="269"/>
      <c r="FX362" s="140">
        <f>'Detailed Budget'!$AC$278</f>
        <v>1114560000</v>
      </c>
      <c r="FY362" s="269">
        <f t="shared" si="951"/>
        <v>1440000</v>
      </c>
      <c r="FZ362" s="269">
        <f t="shared" si="975"/>
        <v>1440000</v>
      </c>
      <c r="GB362" s="269">
        <f t="shared" si="983"/>
        <v>3081922168.012527</v>
      </c>
      <c r="GC362" s="887">
        <f t="shared" si="914"/>
        <v>1926201.3550078294</v>
      </c>
      <c r="GD362" s="1078">
        <f t="shared" si="984"/>
        <v>1.7293635754362852E-3</v>
      </c>
    </row>
    <row r="363" spans="1:186" hidden="1" outlineLevel="1">
      <c r="A363" s="211" t="s">
        <v>868</v>
      </c>
      <c r="B363" s="212" t="s">
        <v>869</v>
      </c>
      <c r="C363" s="213" t="s">
        <v>215</v>
      </c>
      <c r="D363" s="214" t="s">
        <v>215</v>
      </c>
      <c r="E363" s="213"/>
      <c r="F363" s="213"/>
      <c r="G363" s="213"/>
      <c r="H363" s="213" t="s">
        <v>215</v>
      </c>
      <c r="I363" s="214" t="s">
        <v>215</v>
      </c>
      <c r="J363" s="214"/>
      <c r="K363" s="213" t="s">
        <v>215</v>
      </c>
      <c r="L363" s="213"/>
      <c r="M363" s="214"/>
      <c r="N363" s="213"/>
      <c r="O363" s="214"/>
      <c r="P363" s="213"/>
      <c r="Q363" s="214" t="s">
        <v>215</v>
      </c>
      <c r="R363" s="214"/>
      <c r="S363" s="214"/>
      <c r="T363" s="213"/>
      <c r="U363" s="215">
        <f t="shared" si="952"/>
        <v>6</v>
      </c>
      <c r="V363" s="845" t="s">
        <v>265</v>
      </c>
      <c r="W363" s="216">
        <v>221844</v>
      </c>
      <c r="X363" s="217">
        <v>3.36</v>
      </c>
      <c r="Y363" s="218">
        <f t="shared" si="986"/>
        <v>1.0336000000000001</v>
      </c>
      <c r="Z363" s="196">
        <v>19</v>
      </c>
      <c r="AA363" s="218">
        <f t="shared" si="987"/>
        <v>1.873689022502546</v>
      </c>
      <c r="AB363" s="196">
        <f t="shared" si="988"/>
        <v>415666.66750805482</v>
      </c>
      <c r="AC363">
        <v>19.3</v>
      </c>
      <c r="AD363" s="196">
        <f t="shared" si="989"/>
        <v>80223.666829054579</v>
      </c>
      <c r="AE363" s="196">
        <f t="shared" si="990"/>
        <v>76212.483487601843</v>
      </c>
      <c r="AF363" s="196">
        <f t="shared" si="953"/>
        <v>76212.483487601843</v>
      </c>
      <c r="AG363" s="606">
        <f t="shared" si="917"/>
        <v>3.5237306573950942E-3</v>
      </c>
      <c r="AH363" s="196">
        <f t="shared" si="967"/>
        <v>20783.333375402741</v>
      </c>
      <c r="AI363" s="248">
        <f t="shared" si="896"/>
        <v>1.6100533467665809E-3</v>
      </c>
      <c r="AJ363" s="196">
        <f t="shared" si="897"/>
        <v>101007.00020445732</v>
      </c>
      <c r="AK363" s="196">
        <f t="shared" si="926"/>
        <v>16626.666700322192</v>
      </c>
      <c r="AL363" s="196">
        <f t="shared" si="927"/>
        <v>16626.666700322192</v>
      </c>
      <c r="AM363" s="196">
        <f t="shared" si="898"/>
        <v>33253.333400644384</v>
      </c>
      <c r="AN363" s="627">
        <f t="shared" si="899"/>
        <v>1.6100533467665809E-3</v>
      </c>
      <c r="AO363" s="196">
        <f t="shared" si="900"/>
        <v>15795.333365306082</v>
      </c>
      <c r="AP363" s="589">
        <f t="shared" si="918"/>
        <v>1.6100533467665809E-3</v>
      </c>
      <c r="AQ363" s="196"/>
      <c r="AR363" s="589"/>
      <c r="AS363">
        <v>1</v>
      </c>
      <c r="AT363" s="589">
        <f t="shared" si="919"/>
        <v>1.2919896640826874E-3</v>
      </c>
      <c r="AU363" s="196">
        <v>10</v>
      </c>
      <c r="AV363" s="245">
        <f t="shared" si="901"/>
        <v>1.1362345188046814E-3</v>
      </c>
      <c r="AX363" s="245"/>
      <c r="AY363" s="245"/>
      <c r="AZ363" s="196">
        <v>20</v>
      </c>
      <c r="BA363" s="589">
        <f t="shared" si="977"/>
        <v>7.3284232897292143E-4</v>
      </c>
      <c r="BI363" s="196">
        <v>1</v>
      </c>
      <c r="BJ363" s="196">
        <f t="shared" si="954"/>
        <v>230925.92377145353</v>
      </c>
      <c r="BK363" s="246">
        <f t="shared" si="978"/>
        <v>4.4036180398981653E-3</v>
      </c>
      <c r="BL363" s="196">
        <f t="shared" si="968"/>
        <v>4618.5184754290703</v>
      </c>
      <c r="BM363" s="246">
        <f t="shared" si="979"/>
        <v>4.4036175360521873E-3</v>
      </c>
      <c r="BN363" s="196">
        <v>0</v>
      </c>
      <c r="BO363" s="196">
        <f t="shared" si="955"/>
        <v>28951.229270508858</v>
      </c>
      <c r="BP363" s="196">
        <f t="shared" si="902"/>
        <v>0</v>
      </c>
      <c r="BQ363" s="248">
        <f t="shared" si="980"/>
        <v>0</v>
      </c>
      <c r="BR363" s="248"/>
      <c r="BS363" s="248"/>
      <c r="BT363" s="276">
        <v>1</v>
      </c>
      <c r="BU363" s="196">
        <f t="shared" si="969"/>
        <v>60649.092122765258</v>
      </c>
      <c r="BV363" s="264">
        <f t="shared" si="981"/>
        <v>4.206735908525344E-3</v>
      </c>
      <c r="BW363" s="196">
        <f t="shared" si="970"/>
        <v>259443.33852516251</v>
      </c>
      <c r="BX363" s="247">
        <f t="shared" si="982"/>
        <v>4.2067359464197825E-3</v>
      </c>
      <c r="BY363" s="196">
        <f t="shared" si="985"/>
        <v>320092.4306479278</v>
      </c>
      <c r="BZ363" s="620">
        <v>0</v>
      </c>
      <c r="CA363" s="196">
        <f t="shared" si="956"/>
        <v>127194.00025746478</v>
      </c>
      <c r="CB363" s="196">
        <f t="shared" si="957"/>
        <v>254388.00051492956</v>
      </c>
      <c r="CC363" s="196">
        <f t="shared" si="915"/>
        <v>381582.00077239436</v>
      </c>
      <c r="CD363" s="247">
        <f t="shared" si="903"/>
        <v>1.6100533467665811E-3</v>
      </c>
      <c r="CE363" s="196">
        <f t="shared" si="958"/>
        <v>32571.610899817955</v>
      </c>
      <c r="CF363" s="247">
        <f t="shared" si="904"/>
        <v>1.4065434545942966E-3</v>
      </c>
      <c r="CG363" s="196">
        <f t="shared" si="991"/>
        <v>63181.333461224327</v>
      </c>
      <c r="CH363" s="589">
        <f t="shared" si="920"/>
        <v>1.6100533467665809E-3</v>
      </c>
      <c r="CI363" s="196">
        <f t="shared" si="959"/>
        <v>130412.682345874</v>
      </c>
      <c r="CJ363" s="248">
        <f t="shared" si="921"/>
        <v>2.1439841667350132E-3</v>
      </c>
      <c r="CK363" s="196">
        <f t="shared" si="960"/>
        <v>118741.98166878316</v>
      </c>
      <c r="CL363" s="589">
        <f t="shared" si="922"/>
        <v>1.7069404106723591E-3</v>
      </c>
      <c r="CM363" s="196">
        <f t="shared" si="961"/>
        <v>11503.136995769259</v>
      </c>
      <c r="CN363" s="589">
        <f t="shared" si="923"/>
        <v>1.6577327702281569E-3</v>
      </c>
      <c r="CO363" s="196">
        <f t="shared" si="962"/>
        <v>920.2434085591575</v>
      </c>
      <c r="CP363" s="589">
        <f t="shared" si="924"/>
        <v>1.7354373249636173E-3</v>
      </c>
      <c r="CQ363" s="196">
        <f>'Detailed Budget'!$AC$12</f>
        <v>292876014141.44696</v>
      </c>
      <c r="CR363" s="269">
        <f t="shared" si="925"/>
        <v>1289714099.326746</v>
      </c>
      <c r="CS363" s="269">
        <f>'Detailed Budget'!$AC$16</f>
        <v>10488008800.000002</v>
      </c>
      <c r="CT363" s="607">
        <f t="shared" si="992"/>
        <v>46185179.469949663</v>
      </c>
      <c r="CU363" s="269">
        <f>'Detailed Budget'!$AC$24</f>
        <v>30624985696</v>
      </c>
      <c r="CV363" s="269">
        <f t="shared" si="976"/>
        <v>134860739.48252887</v>
      </c>
      <c r="CW363" s="269"/>
      <c r="CX363" s="269">
        <f t="shared" si="916"/>
        <v>1470760018.2792246</v>
      </c>
      <c r="CY363" s="196">
        <f>'Detailed Budget'!$AC$97</f>
        <v>74629165494.837845</v>
      </c>
      <c r="CZ363" s="269">
        <f t="shared" si="993"/>
        <v>0</v>
      </c>
      <c r="DA363" s="269">
        <f>'Detailed Budget'!$AC$100</f>
        <v>14925833098.967569</v>
      </c>
      <c r="DB363" s="269">
        <f t="shared" si="994"/>
        <v>0</v>
      </c>
      <c r="DC363" s="269">
        <f t="shared" si="905"/>
        <v>0</v>
      </c>
      <c r="DD363" s="207">
        <v>0</v>
      </c>
      <c r="DE363" s="606">
        <v>0</v>
      </c>
      <c r="DF363" s="269">
        <f>'Detailed Budget'!$AC$147</f>
        <v>5913600671000</v>
      </c>
      <c r="DG363" s="269">
        <f t="shared" si="971"/>
        <v>0</v>
      </c>
      <c r="DH363" s="269">
        <f>'Detailed Budget'!$AC$153</f>
        <v>226428026880.00003</v>
      </c>
      <c r="DI363" s="269"/>
      <c r="DJ363" s="269">
        <f>'Detailed Budget'!$AC$156</f>
        <v>27713070000</v>
      </c>
      <c r="DK363" s="269"/>
      <c r="DL363" s="269"/>
      <c r="DM363" s="196">
        <f>'Detailed Budget'!$AC$178</f>
        <v>5622683761.6229038</v>
      </c>
      <c r="DN363" s="269">
        <f t="shared" si="963"/>
        <v>23653145.682301424</v>
      </c>
      <c r="DO363" s="196">
        <f>'Detailed Budget'!$AC$179</f>
        <v>26827890683.128094</v>
      </c>
      <c r="DP363" s="269">
        <f t="shared" si="964"/>
        <v>112857852.10333532</v>
      </c>
      <c r="DQ363" s="269">
        <f t="shared" si="870"/>
        <v>136510997.78563675</v>
      </c>
      <c r="DR363" s="269">
        <f>'Detailed Budget'!$AC$181</f>
        <v>50888946855.375237</v>
      </c>
      <c r="DS363" s="269">
        <f t="shared" si="965"/>
        <v>179318942.15683541</v>
      </c>
      <c r="DT363" s="269">
        <f t="shared" si="966"/>
        <v>315829939.94247216</v>
      </c>
      <c r="DU363" s="272">
        <f>'Detailed Budget'!$AC$192</f>
        <v>77498869683.252869</v>
      </c>
      <c r="DV363" s="269">
        <f t="shared" si="995"/>
        <v>0</v>
      </c>
      <c r="DW363" s="140">
        <f>'Detailed Budget'!$AC$194</f>
        <v>2684962805.4134097</v>
      </c>
      <c r="DX363" s="269">
        <f t="shared" si="996"/>
        <v>0</v>
      </c>
      <c r="DY363" s="607">
        <f t="shared" si="906"/>
        <v>0</v>
      </c>
      <c r="DZ363" s="196">
        <f>'Detailed Budget'!$AC$198</f>
        <v>18732540018.380611</v>
      </c>
      <c r="EA363" s="269">
        <f t="shared" si="936"/>
        <v>26348131.550778974</v>
      </c>
      <c r="EB363" s="196">
        <f>'Detailed Budget'!$AC$200</f>
        <v>4683135004.5951529</v>
      </c>
      <c r="EC363" s="269">
        <f t="shared" si="997"/>
        <v>6587032.8876947435</v>
      </c>
      <c r="ED363" s="269">
        <f t="shared" si="907"/>
        <v>32935164.438473716</v>
      </c>
      <c r="EE363" s="196">
        <f>'Detailed Budget'!$AC$161</f>
        <v>251147290106.36197</v>
      </c>
      <c r="EF363" s="269">
        <f t="shared" si="998"/>
        <v>404360534.96710551</v>
      </c>
      <c r="EG363" s="196">
        <f>'Detailed Budget'!$AC$163</f>
        <v>15696705631.647623</v>
      </c>
      <c r="EH363" s="269">
        <f t="shared" si="999"/>
        <v>25272533.435444094</v>
      </c>
      <c r="EI363" s="269">
        <f t="shared" si="908"/>
        <v>429633068.40254962</v>
      </c>
      <c r="EJ363" s="196">
        <f>'Detailed Budget'!$AC$204</f>
        <v>45012172507.531975</v>
      </c>
      <c r="EK363" s="269">
        <f t="shared" si="1000"/>
        <v>96505385.16649361</v>
      </c>
      <c r="EL363" s="201">
        <f>'Detailed Budget'!$AC$206</f>
        <v>11253043126.882994</v>
      </c>
      <c r="EM363" s="269">
        <f t="shared" si="1001"/>
        <v>24126346.291623402</v>
      </c>
      <c r="EN363" s="269">
        <f t="shared" si="909"/>
        <v>120631731.45811701</v>
      </c>
      <c r="EO363" s="140">
        <f>'Detailed Budget'!$AC$209</f>
        <v>135789361677.54817</v>
      </c>
      <c r="EP363" s="269">
        <f t="shared" si="1002"/>
        <v>231784348.78681156</v>
      </c>
      <c r="EQ363" s="196">
        <f>'Detailed Budget'!$AC$211</f>
        <v>33947340419.387043</v>
      </c>
      <c r="ER363" s="269">
        <f t="shared" si="1003"/>
        <v>57946087.19670289</v>
      </c>
      <c r="ES363" s="269">
        <f t="shared" si="910"/>
        <v>289730435.98351443</v>
      </c>
      <c r="ET363" s="196">
        <f>'Detailed Budget'!$AC$214</f>
        <v>22239745544.201103</v>
      </c>
      <c r="EU363" s="269">
        <f t="shared" si="1004"/>
        <v>36867554.990157805</v>
      </c>
      <c r="EV363" s="140">
        <f>'Detailed Budget'!$AC$217</f>
        <v>5559936386.0502758</v>
      </c>
      <c r="EW363" s="269">
        <f t="shared" si="1005"/>
        <v>9216888.7475394513</v>
      </c>
      <c r="EX363" s="269">
        <f t="shared" si="911"/>
        <v>46084443.737697259</v>
      </c>
      <c r="EY363" s="196">
        <f>'Detailed Budget'!$AC$219</f>
        <v>372777004.58170313</v>
      </c>
      <c r="EZ363" s="269">
        <f t="shared" si="1006"/>
        <v>646931.12763922091</v>
      </c>
      <c r="FA363" s="196">
        <f>'Detailed Budget'!$AC$222</f>
        <v>93194251.145425782</v>
      </c>
      <c r="FB363" s="269">
        <f t="shared" si="1007"/>
        <v>161732.78190980523</v>
      </c>
      <c r="FC363" s="269">
        <f t="shared" si="912"/>
        <v>808663.90954902617</v>
      </c>
      <c r="FD363" s="269"/>
      <c r="FE363" s="269">
        <f t="shared" si="913"/>
        <v>457255275.08887768</v>
      </c>
      <c r="FF363" s="140">
        <f>'Detailed Budget'!$AC$165</f>
        <v>14927760000</v>
      </c>
      <c r="FG363" s="1087">
        <f t="shared" si="972"/>
        <v>623726462.7098875</v>
      </c>
      <c r="FH363" s="269">
        <f t="shared" si="948"/>
        <v>16961436.200431772</v>
      </c>
      <c r="FJ363" s="140">
        <f>'Detailed Budget'!$AC$235</f>
        <v>3623696172</v>
      </c>
      <c r="FK363" s="269">
        <f t="shared" si="949"/>
        <v>4681778</v>
      </c>
      <c r="FL363" s="269">
        <f t="shared" si="973"/>
        <v>4681778</v>
      </c>
      <c r="FO363" s="607"/>
      <c r="FP363" s="607"/>
      <c r="FQ363" s="607"/>
      <c r="FR363" s="269">
        <f>'Detailed Budget'!$AC$257</f>
        <v>13636439388</v>
      </c>
      <c r="FS363" s="269">
        <f t="shared" si="950"/>
        <v>9993360</v>
      </c>
      <c r="FT363" s="269">
        <f t="shared" si="974"/>
        <v>9993360</v>
      </c>
      <c r="FU363" s="269"/>
      <c r="FV363" s="269"/>
      <c r="FW363" s="269"/>
      <c r="FX363" s="140">
        <f>'Detailed Budget'!$AC$278</f>
        <v>1114560000</v>
      </c>
      <c r="FY363" s="269">
        <f t="shared" si="951"/>
        <v>1440000</v>
      </c>
      <c r="FZ363" s="269">
        <f t="shared" si="975"/>
        <v>1440000</v>
      </c>
      <c r="GB363" s="269">
        <f t="shared" si="983"/>
        <v>3363216503.0619173</v>
      </c>
      <c r="GC363" s="887">
        <f t="shared" si="914"/>
        <v>2102010.3144136984</v>
      </c>
      <c r="GD363" s="1078">
        <f t="shared" si="984"/>
        <v>1.8872066845387759E-3</v>
      </c>
    </row>
    <row r="364" spans="1:186" hidden="1" outlineLevel="1">
      <c r="A364" s="211" t="s">
        <v>870</v>
      </c>
      <c r="B364" s="212" t="s">
        <v>871</v>
      </c>
      <c r="C364" s="213" t="s">
        <v>215</v>
      </c>
      <c r="D364" s="214" t="s">
        <v>215</v>
      </c>
      <c r="E364" s="213"/>
      <c r="F364" s="213"/>
      <c r="G364" s="213"/>
      <c r="H364" s="213" t="s">
        <v>215</v>
      </c>
      <c r="I364" s="214" t="s">
        <v>215</v>
      </c>
      <c r="J364" s="214"/>
      <c r="K364" s="213" t="s">
        <v>215</v>
      </c>
      <c r="L364" s="213"/>
      <c r="M364" s="214"/>
      <c r="N364" s="213"/>
      <c r="O364" s="214"/>
      <c r="P364" s="213"/>
      <c r="Q364" s="214"/>
      <c r="R364" s="214" t="s">
        <v>215</v>
      </c>
      <c r="S364" s="214"/>
      <c r="T364" s="213"/>
      <c r="U364" s="215">
        <f t="shared" si="952"/>
        <v>6</v>
      </c>
      <c r="V364" s="845" t="s">
        <v>219</v>
      </c>
      <c r="W364" s="216">
        <v>98603</v>
      </c>
      <c r="X364" s="217">
        <v>3.36</v>
      </c>
      <c r="Y364" s="218">
        <f t="shared" si="986"/>
        <v>1.0336000000000001</v>
      </c>
      <c r="Z364" s="196">
        <v>19</v>
      </c>
      <c r="AA364" s="218">
        <f t="shared" si="987"/>
        <v>1.873689022502546</v>
      </c>
      <c r="AB364" s="196">
        <f t="shared" si="988"/>
        <v>184751.35868581853</v>
      </c>
      <c r="AC364">
        <v>19.3</v>
      </c>
      <c r="AD364" s="196">
        <f t="shared" si="989"/>
        <v>35657.012226362975</v>
      </c>
      <c r="AE364" s="196">
        <f t="shared" si="990"/>
        <v>33874.161615044824</v>
      </c>
      <c r="AF364" s="196">
        <f t="shared" si="953"/>
        <v>33874.161615044824</v>
      </c>
      <c r="AG364" s="606">
        <f t="shared" si="917"/>
        <v>1.5661925227237539E-3</v>
      </c>
      <c r="AH364" s="196">
        <f t="shared" si="967"/>
        <v>9237.5679342909261</v>
      </c>
      <c r="AI364" s="248">
        <f t="shared" si="896"/>
        <v>7.1562039158699431E-4</v>
      </c>
      <c r="AJ364" s="196">
        <f t="shared" si="897"/>
        <v>44894.580160653903</v>
      </c>
      <c r="AK364" s="196">
        <f t="shared" si="926"/>
        <v>7390.0543474327415</v>
      </c>
      <c r="AL364" s="196">
        <f t="shared" si="927"/>
        <v>7390.0543474327415</v>
      </c>
      <c r="AM364" s="196">
        <f t="shared" si="898"/>
        <v>14780.108694865483</v>
      </c>
      <c r="AN364" s="627">
        <f t="shared" si="899"/>
        <v>7.1562039158699431E-4</v>
      </c>
      <c r="AO364" s="196">
        <f t="shared" si="900"/>
        <v>7020.5516300611043</v>
      </c>
      <c r="AP364" s="589">
        <f t="shared" si="918"/>
        <v>7.1562039158699431E-4</v>
      </c>
      <c r="AQ364" s="196"/>
      <c r="AR364" s="589"/>
      <c r="AS364">
        <v>1</v>
      </c>
      <c r="AT364" s="589">
        <f t="shared" si="919"/>
        <v>1.2919896640826874E-3</v>
      </c>
      <c r="AU364" s="196">
        <v>15</v>
      </c>
      <c r="AV364" s="245">
        <f t="shared" si="901"/>
        <v>1.7043517782070218E-3</v>
      </c>
      <c r="AX364" s="245"/>
      <c r="AY364" s="245"/>
      <c r="AZ364" s="196">
        <v>21</v>
      </c>
      <c r="BA364" s="589">
        <f t="shared" si="977"/>
        <v>7.6948444542156754E-4</v>
      </c>
      <c r="BI364" s="196">
        <v>1</v>
      </c>
      <c r="BJ364" s="196">
        <f t="shared" si="954"/>
        <v>102639.6425489832</v>
      </c>
      <c r="BK364" s="246">
        <f t="shared" si="978"/>
        <v>1.9572760569953602E-3</v>
      </c>
      <c r="BL364" s="196">
        <f t="shared" si="968"/>
        <v>2052.7928509796639</v>
      </c>
      <c r="BM364" s="246">
        <f t="shared" si="979"/>
        <v>1.9572758330509447E-3</v>
      </c>
      <c r="BN364" s="196">
        <v>0</v>
      </c>
      <c r="BO364" s="196">
        <f t="shared" si="955"/>
        <v>12867.952524115977</v>
      </c>
      <c r="BP364" s="196">
        <f t="shared" si="902"/>
        <v>0</v>
      </c>
      <c r="BQ364" s="248">
        <f t="shared" si="980"/>
        <v>0</v>
      </c>
      <c r="BR364" s="248"/>
      <c r="BS364" s="248"/>
      <c r="BT364" s="276">
        <v>1</v>
      </c>
      <c r="BU364" s="196">
        <f t="shared" si="969"/>
        <v>26956.70124313041</v>
      </c>
      <c r="BV364" s="264">
        <f t="shared" si="981"/>
        <v>1.8697678584425293E-3</v>
      </c>
      <c r="BW364" s="196">
        <f t="shared" si="970"/>
        <v>115314.77754005787</v>
      </c>
      <c r="BX364" s="247">
        <f t="shared" si="982"/>
        <v>1.8697678752854698E-3</v>
      </c>
      <c r="BY364" s="196">
        <f t="shared" si="985"/>
        <v>142271.47878318827</v>
      </c>
      <c r="BZ364" s="620">
        <v>0</v>
      </c>
      <c r="CA364" s="196">
        <f t="shared" si="956"/>
        <v>56533.915757860465</v>
      </c>
      <c r="CB364" s="196">
        <f t="shared" si="957"/>
        <v>113067.83151572093</v>
      </c>
      <c r="CC364" s="196">
        <f t="shared" si="915"/>
        <v>169601.74727358139</v>
      </c>
      <c r="CD364" s="247">
        <f t="shared" si="903"/>
        <v>7.156203915869942E-4</v>
      </c>
      <c r="CE364" s="196">
        <f t="shared" si="958"/>
        <v>14477.103503158749</v>
      </c>
      <c r="CF364" s="247">
        <f t="shared" si="904"/>
        <v>6.2516635227169274E-4</v>
      </c>
      <c r="CG364" s="196">
        <f t="shared" si="991"/>
        <v>28082.206520244417</v>
      </c>
      <c r="CH364" s="589">
        <f t="shared" si="920"/>
        <v>7.1562039158699431E-4</v>
      </c>
      <c r="CI364" s="196">
        <f t="shared" si="959"/>
        <v>57964.523346812224</v>
      </c>
      <c r="CJ364" s="248">
        <f t="shared" si="921"/>
        <v>9.529366166881794E-4</v>
      </c>
      <c r="CK364" s="196">
        <f t="shared" si="960"/>
        <v>52777.247157854283</v>
      </c>
      <c r="CL364" s="589">
        <f t="shared" si="922"/>
        <v>7.5868378371074551E-4</v>
      </c>
      <c r="CM364" s="196">
        <f t="shared" si="961"/>
        <v>5112.799161545212</v>
      </c>
      <c r="CN364" s="589">
        <f t="shared" si="923"/>
        <v>7.3681246435696672E-4</v>
      </c>
      <c r="CO364" s="196">
        <f t="shared" si="962"/>
        <v>409.02057668523196</v>
      </c>
      <c r="CP364" s="589">
        <f t="shared" si="924"/>
        <v>7.7134980686152221E-4</v>
      </c>
      <c r="CQ364" s="196">
        <f>'Detailed Budget'!$AC$12</f>
        <v>292876014141.44696</v>
      </c>
      <c r="CR364" s="269">
        <f t="shared" si="925"/>
        <v>573239210.14728868</v>
      </c>
      <c r="CS364" s="269">
        <f>'Detailed Budget'!$AC$16</f>
        <v>10488008800.000002</v>
      </c>
      <c r="CT364" s="607">
        <f t="shared" si="992"/>
        <v>20527926.161065642</v>
      </c>
      <c r="CU364" s="269">
        <f>'Detailed Budget'!$AC$24</f>
        <v>30624985696</v>
      </c>
      <c r="CV364" s="269">
        <f t="shared" si="976"/>
        <v>59941551.24860619</v>
      </c>
      <c r="CW364" s="269"/>
      <c r="CX364" s="269">
        <f t="shared" si="916"/>
        <v>653708687.55696058</v>
      </c>
      <c r="CY364" s="196">
        <f>'Detailed Budget'!$AC$97</f>
        <v>74629165494.837845</v>
      </c>
      <c r="CZ364" s="269">
        <f t="shared" si="993"/>
        <v>0</v>
      </c>
      <c r="DA364" s="269">
        <f>'Detailed Budget'!$AC$100</f>
        <v>14925833098.967569</v>
      </c>
      <c r="DB364" s="269">
        <f t="shared" si="994"/>
        <v>0</v>
      </c>
      <c r="DC364" s="269">
        <f t="shared" si="905"/>
        <v>0</v>
      </c>
      <c r="DD364" s="207">
        <v>0</v>
      </c>
      <c r="DE364" s="606">
        <v>0</v>
      </c>
      <c r="DF364" s="269">
        <f>'Detailed Budget'!$AC$147</f>
        <v>5913600671000</v>
      </c>
      <c r="DG364" s="269">
        <f t="shared" si="971"/>
        <v>0</v>
      </c>
      <c r="DH364" s="269">
        <f>'Detailed Budget'!$AC$153</f>
        <v>226428026880.00003</v>
      </c>
      <c r="DI364" s="269"/>
      <c r="DJ364" s="269">
        <f>'Detailed Budget'!$AC$156</f>
        <v>27713070000</v>
      </c>
      <c r="DK364" s="269"/>
      <c r="DL364" s="269"/>
      <c r="DM364" s="196">
        <f>'Detailed Budget'!$AC$178</f>
        <v>5622683761.6229038</v>
      </c>
      <c r="DN364" s="269">
        <f t="shared" si="963"/>
        <v>10513113.375669243</v>
      </c>
      <c r="DO364" s="196">
        <f>'Detailed Budget'!$AC$179</f>
        <v>26827890683.128094</v>
      </c>
      <c r="DP364" s="269">
        <f t="shared" si="964"/>
        <v>50161928.160983264</v>
      </c>
      <c r="DQ364" s="269">
        <f t="shared" si="870"/>
        <v>60675041.536652505</v>
      </c>
      <c r="DR364" s="269">
        <f>'Detailed Budget'!$AC$181</f>
        <v>50888946855.375237</v>
      </c>
      <c r="DS364" s="269">
        <f t="shared" si="965"/>
        <v>79701888.054175183</v>
      </c>
      <c r="DT364" s="269">
        <f t="shared" si="966"/>
        <v>140376929.5908277</v>
      </c>
      <c r="DU364" s="272">
        <f>'Detailed Budget'!$AC$192</f>
        <v>77498869683.252869</v>
      </c>
      <c r="DV364" s="269">
        <f t="shared" si="995"/>
        <v>0</v>
      </c>
      <c r="DW364" s="140">
        <f>'Detailed Budget'!$AC$194</f>
        <v>2684962805.4134097</v>
      </c>
      <c r="DX364" s="269">
        <f t="shared" si="996"/>
        <v>0</v>
      </c>
      <c r="DY364" s="607">
        <f t="shared" si="906"/>
        <v>0</v>
      </c>
      <c r="DZ364" s="196">
        <f>'Detailed Budget'!$AC$198</f>
        <v>18732540018.380611</v>
      </c>
      <c r="EA364" s="269">
        <f t="shared" si="936"/>
        <v>11710953.712074514</v>
      </c>
      <c r="EB364" s="196">
        <f>'Detailed Budget'!$AC$200</f>
        <v>4683135004.5951529</v>
      </c>
      <c r="EC364" s="269">
        <f t="shared" si="997"/>
        <v>2927738.4280186286</v>
      </c>
      <c r="ED364" s="269">
        <f t="shared" si="907"/>
        <v>14638692.140093144</v>
      </c>
      <c r="EE364" s="196">
        <f>'Detailed Budget'!$AC$161</f>
        <v>251147290106.36197</v>
      </c>
      <c r="EF364" s="269">
        <f t="shared" si="998"/>
        <v>179726122.0919272</v>
      </c>
      <c r="EG364" s="196">
        <f>'Detailed Budget'!$AC$163</f>
        <v>15696705631.647623</v>
      </c>
      <c r="EH364" s="269">
        <f t="shared" si="999"/>
        <v>11232882.63074545</v>
      </c>
      <c r="EI364" s="269">
        <f t="shared" si="908"/>
        <v>190959004.72267264</v>
      </c>
      <c r="EJ364" s="196">
        <f>'Detailed Budget'!$AC$204</f>
        <v>45012172507.531975</v>
      </c>
      <c r="EK364" s="269">
        <f t="shared" si="1000"/>
        <v>42893747.379112206</v>
      </c>
      <c r="EL364" s="201">
        <f>'Detailed Budget'!$AC$206</f>
        <v>11253043126.882994</v>
      </c>
      <c r="EM364" s="269">
        <f t="shared" si="1001"/>
        <v>10723436.844778052</v>
      </c>
      <c r="EN364" s="269">
        <f t="shared" si="909"/>
        <v>53617184.22389026</v>
      </c>
      <c r="EO364" s="140">
        <f>'Detailed Budget'!$AC$209</f>
        <v>135789361677.54817</v>
      </c>
      <c r="EP364" s="269">
        <f t="shared" si="1002"/>
        <v>103021186.70518915</v>
      </c>
      <c r="EQ364" s="196">
        <f>'Detailed Budget'!$AC$211</f>
        <v>33947340419.387043</v>
      </c>
      <c r="ER364" s="269">
        <f t="shared" si="1003"/>
        <v>25755296.676297288</v>
      </c>
      <c r="ES364" s="269">
        <f t="shared" si="910"/>
        <v>128776483.38148645</v>
      </c>
      <c r="ET364" s="196">
        <f>'Detailed Budget'!$AC$214</f>
        <v>22239745544.201103</v>
      </c>
      <c r="EU364" s="269">
        <f t="shared" si="1004"/>
        <v>16386521.721094685</v>
      </c>
      <c r="EV364" s="140">
        <f>'Detailed Budget'!$AC$217</f>
        <v>5559936386.0502758</v>
      </c>
      <c r="EW364" s="269">
        <f t="shared" si="1005"/>
        <v>4096630.4302736712</v>
      </c>
      <c r="EX364" s="269">
        <f t="shared" si="911"/>
        <v>20483152.151368357</v>
      </c>
      <c r="EY364" s="196">
        <f>'Detailed Budget'!$AC$219</f>
        <v>372777004.58170313</v>
      </c>
      <c r="EZ364" s="269">
        <f t="shared" si="1006"/>
        <v>287541.47048651351</v>
      </c>
      <c r="FA364" s="196">
        <f>'Detailed Budget'!$AC$222</f>
        <v>93194251.145425782</v>
      </c>
      <c r="FB364" s="269">
        <f t="shared" si="1007"/>
        <v>71885.367621628378</v>
      </c>
      <c r="FC364" s="269">
        <f t="shared" si="912"/>
        <v>359426.83810814191</v>
      </c>
      <c r="FD364" s="269"/>
      <c r="FE364" s="269">
        <f t="shared" si="913"/>
        <v>203236246.59485322</v>
      </c>
      <c r="FF364" s="140">
        <f>'Detailed Budget'!$AC$165</f>
        <v>14927760000</v>
      </c>
      <c r="FG364" s="1087">
        <f t="shared" si="972"/>
        <v>277227693.34569812</v>
      </c>
      <c r="FH364" s="269">
        <f t="shared" si="948"/>
        <v>25442154.300647654</v>
      </c>
      <c r="FJ364" s="140">
        <f>'Detailed Budget'!$AC$235</f>
        <v>3623696172</v>
      </c>
      <c r="FK364" s="269">
        <f t="shared" si="949"/>
        <v>4681778</v>
      </c>
      <c r="FL364" s="269">
        <f t="shared" si="973"/>
        <v>4681778</v>
      </c>
      <c r="FO364" s="607"/>
      <c r="FP364" s="607"/>
      <c r="FQ364" s="607"/>
      <c r="FR364" s="269">
        <f>'Detailed Budget'!$AC$257</f>
        <v>13636439388</v>
      </c>
      <c r="FS364" s="269">
        <f t="shared" si="950"/>
        <v>10493028</v>
      </c>
      <c r="FT364" s="269">
        <f t="shared" si="974"/>
        <v>10493028</v>
      </c>
      <c r="FU364" s="269"/>
      <c r="FV364" s="269"/>
      <c r="FW364" s="269"/>
      <c r="FX364" s="140">
        <f>'Detailed Budget'!$AC$278</f>
        <v>1114560000</v>
      </c>
      <c r="FY364" s="269">
        <f t="shared" si="951"/>
        <v>1440000</v>
      </c>
      <c r="FZ364" s="269">
        <f t="shared" si="975"/>
        <v>1440000</v>
      </c>
      <c r="GB364" s="269">
        <f t="shared" si="983"/>
        <v>1522204214.2517531</v>
      </c>
      <c r="GC364" s="887">
        <f t="shared" si="914"/>
        <v>951377.63390734571</v>
      </c>
      <c r="GD364" s="1078">
        <f t="shared" si="984"/>
        <v>8.5415671746188397E-4</v>
      </c>
    </row>
    <row r="365" spans="1:186" hidden="1" outlineLevel="1">
      <c r="A365" s="211" t="s">
        <v>872</v>
      </c>
      <c r="B365" s="212" t="s">
        <v>873</v>
      </c>
      <c r="C365" s="213" t="s">
        <v>215</v>
      </c>
      <c r="D365" s="214" t="s">
        <v>215</v>
      </c>
      <c r="E365" s="213"/>
      <c r="F365" s="213"/>
      <c r="G365" s="213"/>
      <c r="H365" s="213" t="s">
        <v>215</v>
      </c>
      <c r="I365" s="214" t="s">
        <v>215</v>
      </c>
      <c r="J365" s="214"/>
      <c r="K365" s="213" t="s">
        <v>215</v>
      </c>
      <c r="L365" s="213"/>
      <c r="M365" s="214"/>
      <c r="N365" s="213"/>
      <c r="O365" s="214"/>
      <c r="P365" s="213"/>
      <c r="Q365" s="214"/>
      <c r="R365" s="214" t="s">
        <v>215</v>
      </c>
      <c r="S365" s="214"/>
      <c r="T365" s="213"/>
      <c r="U365" s="215">
        <f t="shared" si="952"/>
        <v>6</v>
      </c>
      <c r="V365" s="845" t="s">
        <v>219</v>
      </c>
      <c r="W365" s="216">
        <v>157730</v>
      </c>
      <c r="X365" s="217">
        <v>3.36</v>
      </c>
      <c r="Y365" s="218">
        <f t="shared" si="986"/>
        <v>1.0336000000000001</v>
      </c>
      <c r="Z365" s="196">
        <v>19</v>
      </c>
      <c r="AA365" s="218">
        <f t="shared" si="987"/>
        <v>1.873689022502546</v>
      </c>
      <c r="AB365" s="196">
        <f t="shared" si="988"/>
        <v>295536.96951932658</v>
      </c>
      <c r="AC365">
        <v>19.3</v>
      </c>
      <c r="AD365" s="196">
        <f t="shared" si="989"/>
        <v>57038.635117230035</v>
      </c>
      <c r="AE365" s="196">
        <f t="shared" si="990"/>
        <v>54186.703361368527</v>
      </c>
      <c r="AF365" s="196">
        <f t="shared" si="953"/>
        <v>54186.703361368527</v>
      </c>
      <c r="AG365" s="606">
        <f t="shared" si="917"/>
        <v>2.5053552793446216E-3</v>
      </c>
      <c r="AH365" s="196">
        <f t="shared" si="967"/>
        <v>14776.84847596633</v>
      </c>
      <c r="AI365" s="248">
        <f t="shared" si="896"/>
        <v>1.1447400623207876E-3</v>
      </c>
      <c r="AJ365" s="196">
        <f t="shared" si="897"/>
        <v>71815.483593196361</v>
      </c>
      <c r="AK365" s="196">
        <f t="shared" si="926"/>
        <v>11821.478780773063</v>
      </c>
      <c r="AL365" s="196">
        <f t="shared" si="927"/>
        <v>11821.478780773063</v>
      </c>
      <c r="AM365" s="196">
        <f t="shared" si="898"/>
        <v>23642.957561546125</v>
      </c>
      <c r="AN365" s="627">
        <f t="shared" si="899"/>
        <v>1.1447400623207876E-3</v>
      </c>
      <c r="AO365" s="196">
        <f t="shared" si="900"/>
        <v>11230.404841734409</v>
      </c>
      <c r="AP365" s="589">
        <f t="shared" si="918"/>
        <v>1.1447400623207876E-3</v>
      </c>
      <c r="AQ365" s="196"/>
      <c r="AR365" s="589"/>
      <c r="AS365">
        <v>1</v>
      </c>
      <c r="AT365" s="589">
        <f t="shared" si="919"/>
        <v>1.2919896640826874E-3</v>
      </c>
      <c r="AU365" s="196">
        <v>10</v>
      </c>
      <c r="AV365" s="245">
        <f t="shared" si="901"/>
        <v>1.1362345188046814E-3</v>
      </c>
      <c r="AX365" s="245"/>
      <c r="AY365" s="245"/>
      <c r="AZ365" s="196">
        <v>30</v>
      </c>
      <c r="BA365" s="589">
        <f t="shared" si="977"/>
        <v>1.0992634934593821E-3</v>
      </c>
      <c r="BI365" s="196">
        <v>1</v>
      </c>
      <c r="BJ365" s="196">
        <f t="shared" si="954"/>
        <v>164187.20342434937</v>
      </c>
      <c r="BK365" s="246">
        <f t="shared" si="978"/>
        <v>3.1309509088960599E-3</v>
      </c>
      <c r="BL365" s="196">
        <f t="shared" si="968"/>
        <v>3283.7440684869875</v>
      </c>
      <c r="BM365" s="246">
        <f t="shared" si="979"/>
        <v>3.1309505506640321E-3</v>
      </c>
      <c r="BN365" s="196">
        <v>0</v>
      </c>
      <c r="BO365" s="196">
        <f t="shared" si="955"/>
        <v>20584.182546462209</v>
      </c>
      <c r="BP365" s="196">
        <f t="shared" si="902"/>
        <v>0</v>
      </c>
      <c r="BQ365" s="248">
        <f t="shared" si="980"/>
        <v>0</v>
      </c>
      <c r="BR365" s="248"/>
      <c r="BS365" s="248"/>
      <c r="BT365" s="276">
        <v>1</v>
      </c>
      <c r="BU365" s="196">
        <f t="shared" si="969"/>
        <v>43121.208148625905</v>
      </c>
      <c r="BV365" s="264">
        <f t="shared" si="981"/>
        <v>2.9909686755183939E-3</v>
      </c>
      <c r="BW365" s="196">
        <f t="shared" si="970"/>
        <v>184462.94596912194</v>
      </c>
      <c r="BX365" s="247">
        <f t="shared" si="982"/>
        <v>2.9909687024611544E-3</v>
      </c>
      <c r="BY365" s="196">
        <f t="shared" si="985"/>
        <v>227584.15411774785</v>
      </c>
      <c r="BZ365" s="620">
        <v>0</v>
      </c>
      <c r="CA365" s="196">
        <f t="shared" si="956"/>
        <v>90434.312672913919</v>
      </c>
      <c r="CB365" s="196">
        <f t="shared" si="957"/>
        <v>180868.62534582784</v>
      </c>
      <c r="CC365" s="196">
        <f t="shared" si="915"/>
        <v>271302.93801874178</v>
      </c>
      <c r="CD365" s="247">
        <f t="shared" si="903"/>
        <v>1.1447400623207876E-3</v>
      </c>
      <c r="CE365" s="196">
        <f t="shared" si="958"/>
        <v>23158.256194570444</v>
      </c>
      <c r="CF365" s="247">
        <f t="shared" si="904"/>
        <v>1.0000455234000396E-3</v>
      </c>
      <c r="CG365" s="196">
        <f t="shared" si="991"/>
        <v>44921.619366937637</v>
      </c>
      <c r="CH365" s="589">
        <f t="shared" si="920"/>
        <v>1.1447400623207876E-3</v>
      </c>
      <c r="CI365" s="196">
        <f t="shared" si="959"/>
        <v>92722.779910273472</v>
      </c>
      <c r="CJ365" s="248">
        <f t="shared" si="921"/>
        <v>1.5243622663633619E-3</v>
      </c>
      <c r="CK365" s="196">
        <f t="shared" si="960"/>
        <v>84424.9687555993</v>
      </c>
      <c r="CL365" s="589">
        <f t="shared" si="922"/>
        <v>1.2136262913369361E-3</v>
      </c>
      <c r="CM365" s="196">
        <f t="shared" si="961"/>
        <v>8178.6741960237159</v>
      </c>
      <c r="CN365" s="589">
        <f t="shared" si="923"/>
        <v>1.1786398994252142E-3</v>
      </c>
      <c r="CO365" s="196">
        <f t="shared" si="962"/>
        <v>654.28856688499991</v>
      </c>
      <c r="CP365" s="589">
        <f t="shared" si="924"/>
        <v>1.2338874581530777E-3</v>
      </c>
      <c r="CQ365" s="196">
        <f>'Detailed Budget'!$AC$12</f>
        <v>292876014141.44696</v>
      </c>
      <c r="CR365" s="269">
        <f t="shared" si="925"/>
        <v>916980422.67001867</v>
      </c>
      <c r="CS365" s="269">
        <f>'Detailed Budget'!$AC$16</f>
        <v>10488008800.000002</v>
      </c>
      <c r="CT365" s="607">
        <f t="shared" si="992"/>
        <v>32837436.927729219</v>
      </c>
      <c r="CU365" s="269">
        <f>'Detailed Budget'!$AC$24</f>
        <v>30624985696</v>
      </c>
      <c r="CV365" s="269">
        <f t="shared" si="976"/>
        <v>95885326.799820036</v>
      </c>
      <c r="CW365" s="269"/>
      <c r="CX365" s="269">
        <f t="shared" si="916"/>
        <v>1045703186.397568</v>
      </c>
      <c r="CY365" s="196">
        <f>'Detailed Budget'!$AC$97</f>
        <v>74629165494.837845</v>
      </c>
      <c r="CZ365" s="269">
        <f t="shared" si="993"/>
        <v>0</v>
      </c>
      <c r="DA365" s="269">
        <f>'Detailed Budget'!$AC$100</f>
        <v>14925833098.967569</v>
      </c>
      <c r="DB365" s="269">
        <f t="shared" si="994"/>
        <v>0</v>
      </c>
      <c r="DC365" s="269">
        <f t="shared" si="905"/>
        <v>0</v>
      </c>
      <c r="DD365" s="207">
        <v>0</v>
      </c>
      <c r="DE365" s="606">
        <v>0</v>
      </c>
      <c r="DF365" s="269">
        <f>'Detailed Budget'!$AC$147</f>
        <v>5913600671000</v>
      </c>
      <c r="DG365" s="269">
        <f t="shared" si="971"/>
        <v>0</v>
      </c>
      <c r="DH365" s="269">
        <f>'Detailed Budget'!$AC$153</f>
        <v>226428026880.00003</v>
      </c>
      <c r="DI365" s="269"/>
      <c r="DJ365" s="269">
        <f>'Detailed Budget'!$AC$156</f>
        <v>27713070000</v>
      </c>
      <c r="DK365" s="269"/>
      <c r="DL365" s="269"/>
      <c r="DM365" s="196">
        <f>'Detailed Budget'!$AC$178</f>
        <v>5622683761.6229038</v>
      </c>
      <c r="DN365" s="269">
        <f t="shared" si="963"/>
        <v>16817271.003360037</v>
      </c>
      <c r="DO365" s="196">
        <f>'Detailed Budget'!$AC$179</f>
        <v>26827890683.128094</v>
      </c>
      <c r="DP365" s="269">
        <f t="shared" si="964"/>
        <v>80241381.386285335</v>
      </c>
      <c r="DQ365" s="269">
        <f t="shared" si="870"/>
        <v>97058652.389645368</v>
      </c>
      <c r="DR365" s="269">
        <f>'Detailed Budget'!$AC$181</f>
        <v>50888946855.375237</v>
      </c>
      <c r="DS365" s="269">
        <f t="shared" si="965"/>
        <v>127494891.66440223</v>
      </c>
      <c r="DT365" s="269">
        <f t="shared" si="966"/>
        <v>224553544.05404758</v>
      </c>
      <c r="DU365" s="272">
        <f>'Detailed Budget'!$AC$192</f>
        <v>77498869683.252869</v>
      </c>
      <c r="DV365" s="269">
        <f t="shared" si="995"/>
        <v>0</v>
      </c>
      <c r="DW365" s="140">
        <f>'Detailed Budget'!$AC$194</f>
        <v>2684962805.4134097</v>
      </c>
      <c r="DX365" s="269">
        <f t="shared" si="996"/>
        <v>0</v>
      </c>
      <c r="DY365" s="607">
        <f t="shared" si="906"/>
        <v>0</v>
      </c>
      <c r="DZ365" s="196">
        <f>'Detailed Budget'!$AC$198</f>
        <v>18732540018.380611</v>
      </c>
      <c r="EA365" s="269">
        <f t="shared" si="936"/>
        <v>18733392.787293628</v>
      </c>
      <c r="EB365" s="196">
        <f>'Detailed Budget'!$AC$200</f>
        <v>4683135004.5951529</v>
      </c>
      <c r="EC365" s="269">
        <f t="shared" si="997"/>
        <v>4683348.196823407</v>
      </c>
      <c r="ED365" s="269">
        <f t="shared" si="907"/>
        <v>23416740.984117035</v>
      </c>
      <c r="EE365" s="196">
        <f>'Detailed Budget'!$AC$161</f>
        <v>251147290106.36197</v>
      </c>
      <c r="EF365" s="269">
        <f t="shared" si="998"/>
        <v>287498364.52805376</v>
      </c>
      <c r="EG365" s="196">
        <f>'Detailed Budget'!$AC$163</f>
        <v>15696705631.647623</v>
      </c>
      <c r="EH365" s="269">
        <f t="shared" si="999"/>
        <v>17968647.78300336</v>
      </c>
      <c r="EI365" s="269">
        <f t="shared" si="908"/>
        <v>305467012.31105709</v>
      </c>
      <c r="EJ365" s="196">
        <f>'Detailed Budget'!$AC$204</f>
        <v>45012172507.531975</v>
      </c>
      <c r="EK365" s="269">
        <f t="shared" si="1000"/>
        <v>68614857.297520056</v>
      </c>
      <c r="EL365" s="201">
        <f>'Detailed Budget'!$AC$206</f>
        <v>11253043126.882994</v>
      </c>
      <c r="EM365" s="269">
        <f t="shared" si="1001"/>
        <v>17153714.324380014</v>
      </c>
      <c r="EN365" s="269">
        <f t="shared" si="909"/>
        <v>85768571.621900067</v>
      </c>
      <c r="EO365" s="140">
        <f>'Detailed Budget'!$AC$209</f>
        <v>135789361677.54817</v>
      </c>
      <c r="EP365" s="269">
        <f t="shared" si="1002"/>
        <v>164797539.41573265</v>
      </c>
      <c r="EQ365" s="196">
        <f>'Detailed Budget'!$AC$211</f>
        <v>33947340419.387043</v>
      </c>
      <c r="ER365" s="269">
        <f t="shared" si="1003"/>
        <v>41199384.853933163</v>
      </c>
      <c r="ES365" s="269">
        <f t="shared" si="910"/>
        <v>205996924.26966581</v>
      </c>
      <c r="ET365" s="196">
        <f>'Detailed Budget'!$AC$214</f>
        <v>22239745544.201103</v>
      </c>
      <c r="EU365" s="269">
        <f t="shared" si="1004"/>
        <v>26212651.451459546</v>
      </c>
      <c r="EV365" s="140">
        <f>'Detailed Budget'!$AC$217</f>
        <v>5559936386.0502758</v>
      </c>
      <c r="EW365" s="269">
        <f t="shared" si="1005"/>
        <v>6553162.8628648864</v>
      </c>
      <c r="EX365" s="269">
        <f t="shared" si="911"/>
        <v>32765814.314324431</v>
      </c>
      <c r="EY365" s="196">
        <f>'Detailed Budget'!$AC$219</f>
        <v>372777004.58170313</v>
      </c>
      <c r="EZ365" s="269">
        <f t="shared" si="1006"/>
        <v>459964.87064123584</v>
      </c>
      <c r="FA365" s="196">
        <f>'Detailed Budget'!$AC$222</f>
        <v>93194251.145425782</v>
      </c>
      <c r="FB365" s="269">
        <f t="shared" si="1007"/>
        <v>114991.21766030896</v>
      </c>
      <c r="FC365" s="269">
        <f t="shared" si="912"/>
        <v>574956.08830154478</v>
      </c>
      <c r="FD365" s="269"/>
      <c r="FE365" s="269">
        <f t="shared" si="913"/>
        <v>325106266.29419184</v>
      </c>
      <c r="FF365" s="140">
        <f>'Detailed Budget'!$AC$165</f>
        <v>14927760000</v>
      </c>
      <c r="FG365" s="1087">
        <f t="shared" si="972"/>
        <v>443466467.26181722</v>
      </c>
      <c r="FH365" s="269">
        <f t="shared" si="948"/>
        <v>16961436.200431772</v>
      </c>
      <c r="FJ365" s="140">
        <f>'Detailed Budget'!$AC$235</f>
        <v>3623696172</v>
      </c>
      <c r="FK365" s="269">
        <f t="shared" si="949"/>
        <v>4681778</v>
      </c>
      <c r="FL365" s="269">
        <f t="shared" si="973"/>
        <v>4681778</v>
      </c>
      <c r="FO365" s="607"/>
      <c r="FP365" s="607"/>
      <c r="FQ365" s="607"/>
      <c r="FR365" s="269">
        <f>'Detailed Budget'!$AC$257</f>
        <v>13636439388</v>
      </c>
      <c r="FS365" s="269">
        <f t="shared" si="950"/>
        <v>14990039.999999998</v>
      </c>
      <c r="FT365" s="269">
        <f t="shared" si="974"/>
        <v>14990039.999999998</v>
      </c>
      <c r="FU365" s="269"/>
      <c r="FV365" s="269"/>
      <c r="FW365" s="269"/>
      <c r="FX365" s="140">
        <f>'Detailed Budget'!$AC$278</f>
        <v>1114560000</v>
      </c>
      <c r="FY365" s="269">
        <f t="shared" si="951"/>
        <v>1440000</v>
      </c>
      <c r="FZ365" s="269">
        <f t="shared" si="975"/>
        <v>1440000</v>
      </c>
      <c r="GB365" s="269">
        <f t="shared" si="983"/>
        <v>2405786471.5032306</v>
      </c>
      <c r="GC365" s="887">
        <f t="shared" si="914"/>
        <v>1503616.5446895191</v>
      </c>
      <c r="GD365" s="1078">
        <f t="shared" si="984"/>
        <v>1.3499625452183582E-3</v>
      </c>
    </row>
    <row r="366" spans="1:186" hidden="1" outlineLevel="1">
      <c r="A366" s="211" t="s">
        <v>874</v>
      </c>
      <c r="B366" s="212" t="s">
        <v>875</v>
      </c>
      <c r="C366" s="213" t="s">
        <v>215</v>
      </c>
      <c r="D366" s="214" t="s">
        <v>215</v>
      </c>
      <c r="E366" s="213"/>
      <c r="F366" s="213"/>
      <c r="G366" s="213"/>
      <c r="H366" s="213" t="s">
        <v>215</v>
      </c>
      <c r="I366" s="214" t="s">
        <v>215</v>
      </c>
      <c r="J366" s="214"/>
      <c r="K366" s="213" t="s">
        <v>215</v>
      </c>
      <c r="L366" s="213"/>
      <c r="M366" s="214"/>
      <c r="N366" s="213"/>
      <c r="O366" s="214"/>
      <c r="P366" s="213"/>
      <c r="Q366" s="214"/>
      <c r="R366" s="214" t="s">
        <v>215</v>
      </c>
      <c r="S366" s="214"/>
      <c r="T366" s="213"/>
      <c r="U366" s="215">
        <f t="shared" si="952"/>
        <v>6</v>
      </c>
      <c r="V366" s="845" t="s">
        <v>219</v>
      </c>
      <c r="W366" s="216">
        <v>228658</v>
      </c>
      <c r="X366" s="217">
        <v>3.36</v>
      </c>
      <c r="Y366" s="218">
        <f t="shared" si="986"/>
        <v>1.0336000000000001</v>
      </c>
      <c r="Z366" s="196">
        <v>19</v>
      </c>
      <c r="AA366" s="218">
        <f t="shared" si="987"/>
        <v>1.873689022502546</v>
      </c>
      <c r="AB366" s="196">
        <f t="shared" si="988"/>
        <v>428433.98450738715</v>
      </c>
      <c r="AC366">
        <v>19.3</v>
      </c>
      <c r="AD366" s="196">
        <f t="shared" si="989"/>
        <v>82687.759009925721</v>
      </c>
      <c r="AE366" s="196">
        <f t="shared" si="990"/>
        <v>78553.371059429424</v>
      </c>
      <c r="AF366" s="196">
        <f t="shared" si="953"/>
        <v>78553.371059429424</v>
      </c>
      <c r="AG366" s="606">
        <f t="shared" si="917"/>
        <v>3.631963022027404E-3</v>
      </c>
      <c r="AH366" s="196">
        <f t="shared" si="967"/>
        <v>21421.699225369361</v>
      </c>
      <c r="AI366" s="248">
        <f t="shared" si="896"/>
        <v>1.6595065819447581E-3</v>
      </c>
      <c r="AJ366" s="196">
        <f t="shared" si="897"/>
        <v>104109.45823529508</v>
      </c>
      <c r="AK366" s="196">
        <f t="shared" si="926"/>
        <v>17137.359380295486</v>
      </c>
      <c r="AL366" s="196">
        <f t="shared" si="927"/>
        <v>17137.359380295486</v>
      </c>
      <c r="AM366" s="196">
        <f t="shared" si="898"/>
        <v>34274.718760590971</v>
      </c>
      <c r="AN366" s="627">
        <f t="shared" si="899"/>
        <v>1.6595065819447578E-3</v>
      </c>
      <c r="AO366" s="196">
        <f t="shared" si="900"/>
        <v>16280.491411280711</v>
      </c>
      <c r="AP366" s="589">
        <f t="shared" si="918"/>
        <v>1.6595065819447578E-3</v>
      </c>
      <c r="AQ366" s="196"/>
      <c r="AR366" s="589"/>
      <c r="AS366">
        <v>1</v>
      </c>
      <c r="AT366" s="589">
        <f t="shared" si="919"/>
        <v>1.2919896640826874E-3</v>
      </c>
      <c r="AU366" s="196">
        <v>11</v>
      </c>
      <c r="AV366" s="245">
        <f t="shared" si="901"/>
        <v>1.2498579706851495E-3</v>
      </c>
      <c r="AX366" s="245"/>
      <c r="AY366" s="245"/>
      <c r="AZ366" s="196">
        <v>28</v>
      </c>
      <c r="BA366" s="589">
        <f t="shared" si="977"/>
        <v>1.0259792605620901E-3</v>
      </c>
      <c r="BI366" s="196">
        <v>1</v>
      </c>
      <c r="BJ366" s="196">
        <f t="shared" si="954"/>
        <v>238018.87757943876</v>
      </c>
      <c r="BK366" s="246">
        <f t="shared" si="978"/>
        <v>4.5388763895666973E-3</v>
      </c>
      <c r="BL366" s="196">
        <f t="shared" si="968"/>
        <v>4760.3775515887755</v>
      </c>
      <c r="BM366" s="246">
        <f t="shared" si="979"/>
        <v>4.538875870244952E-3</v>
      </c>
      <c r="BN366" s="196">
        <v>0</v>
      </c>
      <c r="BO366" s="196">
        <f t="shared" si="955"/>
        <v>29840.474308685451</v>
      </c>
      <c r="BP366" s="196">
        <f t="shared" si="902"/>
        <v>0</v>
      </c>
      <c r="BQ366" s="248">
        <f t="shared" si="980"/>
        <v>0</v>
      </c>
      <c r="BR366" s="248"/>
      <c r="BS366" s="248"/>
      <c r="BT366" s="276">
        <v>1</v>
      </c>
      <c r="BU366" s="196">
        <f t="shared" si="969"/>
        <v>62511.945811503843</v>
      </c>
      <c r="BV366" s="264">
        <f t="shared" si="981"/>
        <v>4.3359469689132363E-3</v>
      </c>
      <c r="BW366" s="196">
        <f t="shared" si="970"/>
        <v>267412.21263809979</v>
      </c>
      <c r="BX366" s="247">
        <f t="shared" si="982"/>
        <v>4.3359470079716135E-3</v>
      </c>
      <c r="BY366" s="196">
        <f t="shared" si="985"/>
        <v>329924.15844960365</v>
      </c>
      <c r="BZ366" s="620">
        <v>0</v>
      </c>
      <c r="CA366" s="196">
        <f t="shared" si="956"/>
        <v>131100.79925926044</v>
      </c>
      <c r="CB366" s="196">
        <f t="shared" si="957"/>
        <v>262201.59851852088</v>
      </c>
      <c r="CC366" s="196">
        <f t="shared" si="915"/>
        <v>393302.39777778136</v>
      </c>
      <c r="CD366" s="247">
        <f t="shared" si="903"/>
        <v>1.6595065819447576E-3</v>
      </c>
      <c r="CE366" s="196">
        <f t="shared" si="958"/>
        <v>33572.056964040385</v>
      </c>
      <c r="CF366" s="247">
        <f t="shared" si="904"/>
        <v>1.4497458269803229E-3</v>
      </c>
      <c r="CG366" s="196">
        <f t="shared" si="991"/>
        <v>65121.965645122844</v>
      </c>
      <c r="CH366" s="589">
        <f t="shared" si="920"/>
        <v>1.6595065819447578E-3</v>
      </c>
      <c r="CI366" s="196">
        <f t="shared" si="959"/>
        <v>134418.34406088447</v>
      </c>
      <c r="CJ366" s="248">
        <f t="shared" si="921"/>
        <v>2.2098372351620718E-3</v>
      </c>
      <c r="CK366" s="196">
        <f t="shared" si="960"/>
        <v>122389.17457501948</v>
      </c>
      <c r="CL366" s="589">
        <f t="shared" si="922"/>
        <v>1.7593695588950808E-3</v>
      </c>
      <c r="CM366" s="196">
        <f t="shared" si="961"/>
        <v>11856.459039589114</v>
      </c>
      <c r="CN366" s="589">
        <f t="shared" si="923"/>
        <v>1.7086504921243304E-3</v>
      </c>
      <c r="CO366" s="196">
        <f t="shared" si="962"/>
        <v>948.50894013054142</v>
      </c>
      <c r="CP366" s="589">
        <f t="shared" si="924"/>
        <v>1.7887417638138999E-3</v>
      </c>
      <c r="CQ366" s="196">
        <f>'Detailed Budget'!$AC$12</f>
        <v>292876014141.44696</v>
      </c>
      <c r="CR366" s="269">
        <f t="shared" si="925"/>
        <v>1329328025.6570158</v>
      </c>
      <c r="CS366" s="269">
        <f>'Detailed Budget'!$AC$16</f>
        <v>10488008800.000002</v>
      </c>
      <c r="CT366" s="607">
        <f t="shared" si="992"/>
        <v>47603770.069236726</v>
      </c>
      <c r="CU366" s="269">
        <f>'Detailed Budget'!$AC$24</f>
        <v>30624985696</v>
      </c>
      <c r="CV366" s="269">
        <f t="shared" si="976"/>
        <v>139003024.50639224</v>
      </c>
      <c r="CW366" s="269"/>
      <c r="CX366" s="269">
        <f t="shared" si="916"/>
        <v>1515934820.2326448</v>
      </c>
      <c r="CY366" s="196">
        <f>'Detailed Budget'!$AC$97</f>
        <v>74629165494.837845</v>
      </c>
      <c r="CZ366" s="269">
        <f t="shared" si="993"/>
        <v>0</v>
      </c>
      <c r="DA366" s="269">
        <f>'Detailed Budget'!$AC$100</f>
        <v>14925833098.967569</v>
      </c>
      <c r="DB366" s="269">
        <f t="shared" si="994"/>
        <v>0</v>
      </c>
      <c r="DC366" s="269">
        <f t="shared" si="905"/>
        <v>0</v>
      </c>
      <c r="DD366" s="207">
        <v>0</v>
      </c>
      <c r="DE366" s="606">
        <v>0</v>
      </c>
      <c r="DF366" s="269">
        <f>'Detailed Budget'!$AC$147</f>
        <v>5913600671000</v>
      </c>
      <c r="DG366" s="269">
        <f t="shared" si="971"/>
        <v>0</v>
      </c>
      <c r="DH366" s="269">
        <f>'Detailed Budget'!$AC$153</f>
        <v>226428026880.00003</v>
      </c>
      <c r="DI366" s="269"/>
      <c r="DJ366" s="269">
        <f>'Detailed Budget'!$AC$156</f>
        <v>27713070000</v>
      </c>
      <c r="DK366" s="269"/>
      <c r="DL366" s="269"/>
      <c r="DM366" s="196">
        <f>'Detailed Budget'!$AC$178</f>
        <v>5622683761.6229038</v>
      </c>
      <c r="DN366" s="269">
        <f t="shared" si="963"/>
        <v>24379658.613366503</v>
      </c>
      <c r="DO366" s="196">
        <f>'Detailed Budget'!$AC$179</f>
        <v>26827890683.128094</v>
      </c>
      <c r="DP366" s="269">
        <f t="shared" si="964"/>
        <v>116324312.33769879</v>
      </c>
      <c r="DQ366" s="269">
        <f t="shared" ref="DQ366:DQ432" si="1008">DN366+DP366</f>
        <v>140703970.9510653</v>
      </c>
      <c r="DR366" s="269">
        <f>'Detailed Budget'!$AC$181</f>
        <v>50888946855.375237</v>
      </c>
      <c r="DS366" s="269">
        <f t="shared" si="965"/>
        <v>184826773.20864061</v>
      </c>
      <c r="DT366" s="269">
        <f t="shared" si="966"/>
        <v>325530744.15970588</v>
      </c>
      <c r="DU366" s="272">
        <f>'Detailed Budget'!$AC$192</f>
        <v>77498869683.252869</v>
      </c>
      <c r="DV366" s="269">
        <f t="shared" si="995"/>
        <v>0</v>
      </c>
      <c r="DW366" s="140">
        <f>'Detailed Budget'!$AC$194</f>
        <v>2684962805.4134097</v>
      </c>
      <c r="DX366" s="269">
        <f t="shared" si="996"/>
        <v>0</v>
      </c>
      <c r="DY366" s="607">
        <f t="shared" si="906"/>
        <v>0</v>
      </c>
      <c r="DZ366" s="196">
        <f>'Detailed Budget'!$AC$198</f>
        <v>18732540018.380611</v>
      </c>
      <c r="EA366" s="269">
        <f t="shared" si="936"/>
        <v>27157421.720389191</v>
      </c>
      <c r="EB366" s="196">
        <f>'Detailed Budget'!$AC$200</f>
        <v>4683135004.5951529</v>
      </c>
      <c r="EC366" s="269">
        <f t="shared" si="997"/>
        <v>6789355.4300972978</v>
      </c>
      <c r="ED366" s="269">
        <f t="shared" si="907"/>
        <v>33946777.150486492</v>
      </c>
      <c r="EE366" s="196">
        <f>'Detailed Budget'!$AC$161</f>
        <v>251147290106.36197</v>
      </c>
      <c r="EF366" s="269">
        <f t="shared" si="998"/>
        <v>416780580.96909726</v>
      </c>
      <c r="EG366" s="196">
        <f>'Detailed Budget'!$AC$163</f>
        <v>15696705631.647623</v>
      </c>
      <c r="EH366" s="269">
        <f t="shared" si="999"/>
        <v>26048786.310568579</v>
      </c>
      <c r="EI366" s="269">
        <f t="shared" si="908"/>
        <v>442829367.27966583</v>
      </c>
      <c r="EJ366" s="196">
        <f>'Detailed Budget'!$AC$204</f>
        <v>45012172507.531975</v>
      </c>
      <c r="EK366" s="269">
        <f t="shared" si="1000"/>
        <v>99469574.842682675</v>
      </c>
      <c r="EL366" s="201">
        <f>'Detailed Budget'!$AC$206</f>
        <v>11253043126.882994</v>
      </c>
      <c r="EM366" s="269">
        <f t="shared" si="1001"/>
        <v>24867393.710670669</v>
      </c>
      <c r="EN366" s="269">
        <f t="shared" si="909"/>
        <v>124336968.55335334</v>
      </c>
      <c r="EO366" s="140">
        <f>'Detailed Budget'!$AC$209</f>
        <v>135789361677.54817</v>
      </c>
      <c r="EP366" s="269">
        <f t="shared" si="1002"/>
        <v>238903669.35727251</v>
      </c>
      <c r="EQ366" s="196">
        <f>'Detailed Budget'!$AC$211</f>
        <v>33947340419.387043</v>
      </c>
      <c r="ER366" s="269">
        <f t="shared" si="1003"/>
        <v>59725917.339318126</v>
      </c>
      <c r="ES366" s="269">
        <f t="shared" si="910"/>
        <v>298629586.69659066</v>
      </c>
      <c r="ET366" s="196">
        <f>'Detailed Budget'!$AC$214</f>
        <v>22239745544.201103</v>
      </c>
      <c r="EU366" s="269">
        <f t="shared" si="1004"/>
        <v>37999952.1688191</v>
      </c>
      <c r="EV366" s="140">
        <f>'Detailed Budget'!$AC$217</f>
        <v>5559936386.0502758</v>
      </c>
      <c r="EW366" s="269">
        <f t="shared" si="1005"/>
        <v>9499988.0422047749</v>
      </c>
      <c r="EX366" s="269">
        <f t="shared" si="911"/>
        <v>47499940.211023875</v>
      </c>
      <c r="EY366" s="196">
        <f>'Detailed Budget'!$AC$219</f>
        <v>372777004.58170313</v>
      </c>
      <c r="EZ366" s="269">
        <f t="shared" si="1006"/>
        <v>666801.7966847379</v>
      </c>
      <c r="FA366" s="196">
        <f>'Detailed Budget'!$AC$222</f>
        <v>93194251.145425782</v>
      </c>
      <c r="FB366" s="269">
        <f t="shared" si="1007"/>
        <v>166700.44917118447</v>
      </c>
      <c r="FC366" s="269">
        <f t="shared" si="912"/>
        <v>833502.24585592235</v>
      </c>
      <c r="FD366" s="269"/>
      <c r="FE366" s="269">
        <f t="shared" si="913"/>
        <v>471299997.70682377</v>
      </c>
      <c r="FF366" s="140">
        <f>'Detailed Budget'!$AC$165</f>
        <v>14927760000</v>
      </c>
      <c r="FG366" s="1087">
        <f t="shared" si="972"/>
        <v>642884394.03507638</v>
      </c>
      <c r="FH366" s="269">
        <f t="shared" si="948"/>
        <v>18657579.820474949</v>
      </c>
      <c r="FJ366" s="140">
        <f>'Detailed Budget'!$AC$235</f>
        <v>3623696172</v>
      </c>
      <c r="FK366" s="269">
        <f t="shared" si="949"/>
        <v>4681778</v>
      </c>
      <c r="FL366" s="269">
        <f t="shared" si="973"/>
        <v>4681778</v>
      </c>
      <c r="FO366" s="607"/>
      <c r="FP366" s="607"/>
      <c r="FQ366" s="607"/>
      <c r="FR366" s="269">
        <f>'Detailed Budget'!$AC$257</f>
        <v>13636439388</v>
      </c>
      <c r="FS366" s="269">
        <f t="shared" si="950"/>
        <v>13990704</v>
      </c>
      <c r="FT366" s="269">
        <f t="shared" si="974"/>
        <v>13990704</v>
      </c>
      <c r="FU366" s="269"/>
      <c r="FV366" s="269"/>
      <c r="FW366" s="269"/>
      <c r="FX366" s="140">
        <f>'Detailed Budget'!$AC$278</f>
        <v>1114560000</v>
      </c>
      <c r="FY366" s="269">
        <f t="shared" si="951"/>
        <v>1440000</v>
      </c>
      <c r="FZ366" s="269">
        <f t="shared" si="975"/>
        <v>1440000</v>
      </c>
      <c r="GB366" s="269">
        <f t="shared" si="983"/>
        <v>3471196162.3848786</v>
      </c>
      <c r="GC366" s="887">
        <f t="shared" si="914"/>
        <v>2169497.6014905493</v>
      </c>
      <c r="GD366" s="1078">
        <f t="shared" si="984"/>
        <v>1.9477974715674993E-3</v>
      </c>
    </row>
    <row r="367" spans="1:186" hidden="1" outlineLevel="1">
      <c r="A367" s="211" t="s">
        <v>876</v>
      </c>
      <c r="B367" s="212" t="s">
        <v>877</v>
      </c>
      <c r="C367" s="213" t="s">
        <v>215</v>
      </c>
      <c r="D367" s="214" t="s">
        <v>215</v>
      </c>
      <c r="E367" s="213"/>
      <c r="F367" s="213"/>
      <c r="G367" s="213"/>
      <c r="H367" s="213" t="s">
        <v>215</v>
      </c>
      <c r="I367" s="214" t="s">
        <v>215</v>
      </c>
      <c r="J367" s="214"/>
      <c r="K367" s="213" t="s">
        <v>215</v>
      </c>
      <c r="L367" s="213"/>
      <c r="M367" s="214"/>
      <c r="N367" s="213"/>
      <c r="O367" s="214"/>
      <c r="P367" s="213"/>
      <c r="Q367" s="214"/>
      <c r="R367" s="214" t="s">
        <v>215</v>
      </c>
      <c r="S367" s="214"/>
      <c r="T367" s="213"/>
      <c r="U367" s="215">
        <f t="shared" si="952"/>
        <v>6</v>
      </c>
      <c r="V367" s="845" t="s">
        <v>219</v>
      </c>
      <c r="W367" s="216">
        <v>365737</v>
      </c>
      <c r="X367" s="217">
        <v>3.36</v>
      </c>
      <c r="Y367" s="218">
        <f t="shared" si="986"/>
        <v>1.0336000000000001</v>
      </c>
      <c r="Z367" s="196">
        <v>19</v>
      </c>
      <c r="AA367" s="218">
        <f t="shared" si="987"/>
        <v>1.873689022502546</v>
      </c>
      <c r="AB367" s="196">
        <f t="shared" si="988"/>
        <v>685277.40202301368</v>
      </c>
      <c r="AC367">
        <v>19.3</v>
      </c>
      <c r="AD367" s="196">
        <f t="shared" si="989"/>
        <v>132258.53859044163</v>
      </c>
      <c r="AE367" s="196">
        <f t="shared" si="990"/>
        <v>125645.61166091955</v>
      </c>
      <c r="AF367" s="196">
        <f t="shared" si="953"/>
        <v>125645.61166091955</v>
      </c>
      <c r="AG367" s="606">
        <f t="shared" si="917"/>
        <v>5.8093014886303421E-3</v>
      </c>
      <c r="AH367" s="196">
        <f t="shared" si="967"/>
        <v>34263.870101150686</v>
      </c>
      <c r="AI367" s="248">
        <f t="shared" si="896"/>
        <v>2.654370101902098E-3</v>
      </c>
      <c r="AJ367" s="196">
        <f t="shared" si="897"/>
        <v>166522.40869159231</v>
      </c>
      <c r="AK367" s="196">
        <f t="shared" si="926"/>
        <v>27411.096080920546</v>
      </c>
      <c r="AL367" s="196">
        <f t="shared" si="927"/>
        <v>27411.096080920546</v>
      </c>
      <c r="AM367" s="196">
        <f t="shared" si="898"/>
        <v>54822.192161841092</v>
      </c>
      <c r="AN367" s="627">
        <f t="shared" si="899"/>
        <v>2.654370101902098E-3</v>
      </c>
      <c r="AO367" s="196">
        <f t="shared" si="900"/>
        <v>26040.541276874519</v>
      </c>
      <c r="AP367" s="589">
        <f t="shared" si="918"/>
        <v>2.654370101902098E-3</v>
      </c>
      <c r="AQ367" s="196"/>
      <c r="AR367" s="589"/>
      <c r="AS367">
        <v>1</v>
      </c>
      <c r="AT367" s="589">
        <f t="shared" si="919"/>
        <v>1.2919896640826874E-3</v>
      </c>
      <c r="AU367" s="196">
        <v>11</v>
      </c>
      <c r="AV367" s="245">
        <f t="shared" si="901"/>
        <v>1.2498579706851495E-3</v>
      </c>
      <c r="AX367" s="245"/>
      <c r="AY367" s="245"/>
      <c r="AZ367" s="196">
        <v>36</v>
      </c>
      <c r="BA367" s="589">
        <f t="shared" si="977"/>
        <v>1.3191161921512586E-3</v>
      </c>
      <c r="BI367" s="196">
        <v>1</v>
      </c>
      <c r="BJ367" s="196">
        <f t="shared" si="954"/>
        <v>380709.66346802301</v>
      </c>
      <c r="BK367" s="246">
        <f t="shared" si="978"/>
        <v>7.2599035856648593E-3</v>
      </c>
      <c r="BL367" s="196">
        <f t="shared" si="968"/>
        <v>7614.1932693604604</v>
      </c>
      <c r="BM367" s="246">
        <f t="shared" si="979"/>
        <v>7.2599027550130681E-3</v>
      </c>
      <c r="BN367" s="196">
        <v>0</v>
      </c>
      <c r="BO367" s="196">
        <f t="shared" si="955"/>
        <v>47729.646687348315</v>
      </c>
      <c r="BP367" s="196">
        <f t="shared" si="902"/>
        <v>0</v>
      </c>
      <c r="BQ367" s="248">
        <f t="shared" si="980"/>
        <v>0</v>
      </c>
      <c r="BR367" s="248"/>
      <c r="BS367" s="248"/>
      <c r="BT367" s="276">
        <v>1</v>
      </c>
      <c r="BU367" s="196">
        <f t="shared" si="969"/>
        <v>99987.45517437387</v>
      </c>
      <c r="BV367" s="264">
        <f t="shared" si="981"/>
        <v>6.9353192828128492E-3</v>
      </c>
      <c r="BW367" s="196">
        <f t="shared" si="970"/>
        <v>427724.11380148825</v>
      </c>
      <c r="BX367" s="247">
        <f t="shared" si="982"/>
        <v>6.935319345286471E-3</v>
      </c>
      <c r="BY367" s="196">
        <f t="shared" si="985"/>
        <v>527711.56897586212</v>
      </c>
      <c r="BZ367" s="620">
        <v>0</v>
      </c>
      <c r="CA367" s="196">
        <f t="shared" si="956"/>
        <v>209694.88501904218</v>
      </c>
      <c r="CB367" s="196">
        <f t="shared" si="957"/>
        <v>419389.77003808436</v>
      </c>
      <c r="CC367" s="196">
        <f t="shared" si="915"/>
        <v>629084.65505712654</v>
      </c>
      <c r="CD367" s="247">
        <f t="shared" si="903"/>
        <v>2.654370101902098E-3</v>
      </c>
      <c r="CE367" s="196">
        <f t="shared" si="958"/>
        <v>53698.289138614156</v>
      </c>
      <c r="CF367" s="247">
        <f t="shared" si="904"/>
        <v>2.3188591237669454E-3</v>
      </c>
      <c r="CG367" s="196">
        <f t="shared" si="991"/>
        <v>104162.16510749808</v>
      </c>
      <c r="CH367" s="589">
        <f t="shared" si="920"/>
        <v>2.654370101902098E-3</v>
      </c>
      <c r="CI367" s="196">
        <f t="shared" si="959"/>
        <v>215001.27658684892</v>
      </c>
      <c r="CJ367" s="248">
        <f t="shared" si="921"/>
        <v>3.5346204413424002E-3</v>
      </c>
      <c r="CK367" s="196">
        <f t="shared" si="960"/>
        <v>195760.69738012183</v>
      </c>
      <c r="CL367" s="589">
        <f t="shared" si="922"/>
        <v>2.8141002910967916E-3</v>
      </c>
      <c r="CM367" s="196">
        <f t="shared" si="961"/>
        <v>18964.329958987673</v>
      </c>
      <c r="CN367" s="589">
        <f t="shared" si="923"/>
        <v>2.7329754700822894E-3</v>
      </c>
      <c r="CO367" s="196">
        <f t="shared" si="962"/>
        <v>1517.1339478020618</v>
      </c>
      <c r="CP367" s="589">
        <f t="shared" si="924"/>
        <v>2.861080943907514E-3</v>
      </c>
      <c r="CQ367" s="196">
        <f>'Detailed Budget'!$AC$12</f>
        <v>292876014141.44696</v>
      </c>
      <c r="CR367" s="269">
        <f t="shared" si="925"/>
        <v>2126251625.2207229</v>
      </c>
      <c r="CS367" s="269">
        <f>'Detailed Budget'!$AC$16</f>
        <v>10488008800.000002</v>
      </c>
      <c r="CT367" s="607">
        <f t="shared" si="992"/>
        <v>76141923.981721312</v>
      </c>
      <c r="CU367" s="269">
        <f>'Detailed Budget'!$AC$24</f>
        <v>30624985696</v>
      </c>
      <c r="CV367" s="269">
        <f t="shared" si="976"/>
        <v>222334443.46532542</v>
      </c>
      <c r="CW367" s="269"/>
      <c r="CX367" s="269">
        <f t="shared" si="916"/>
        <v>2424727992.6677694</v>
      </c>
      <c r="CY367" s="196">
        <f>'Detailed Budget'!$AC$97</f>
        <v>74629165494.837845</v>
      </c>
      <c r="CZ367" s="269">
        <f t="shared" si="993"/>
        <v>0</v>
      </c>
      <c r="DA367" s="269">
        <f>'Detailed Budget'!$AC$100</f>
        <v>14925833098.967569</v>
      </c>
      <c r="DB367" s="269">
        <f t="shared" si="994"/>
        <v>0</v>
      </c>
      <c r="DC367" s="269">
        <f t="shared" si="905"/>
        <v>0</v>
      </c>
      <c r="DD367" s="207">
        <v>0</v>
      </c>
      <c r="DE367" s="606">
        <v>0</v>
      </c>
      <c r="DF367" s="269">
        <f>'Detailed Budget'!$AC$147</f>
        <v>5913600671000</v>
      </c>
      <c r="DG367" s="269">
        <f t="shared" si="971"/>
        <v>0</v>
      </c>
      <c r="DH367" s="269">
        <f>'Detailed Budget'!$AC$153</f>
        <v>226428026880.00003</v>
      </c>
      <c r="DI367" s="269"/>
      <c r="DJ367" s="269">
        <f>'Detailed Budget'!$AC$156</f>
        <v>27713070000</v>
      </c>
      <c r="DK367" s="269"/>
      <c r="DL367" s="269"/>
      <c r="DM367" s="196">
        <f>'Detailed Budget'!$AC$178</f>
        <v>5622683761.6229038</v>
      </c>
      <c r="DN367" s="269">
        <f t="shared" si="963"/>
        <v>38995107.113142014</v>
      </c>
      <c r="DO367" s="196">
        <f>'Detailed Budget'!$AC$179</f>
        <v>26827890683.128094</v>
      </c>
      <c r="DP367" s="269">
        <f t="shared" si="964"/>
        <v>186059989.24792895</v>
      </c>
      <c r="DQ367" s="269">
        <f t="shared" si="1008"/>
        <v>225055096.36107096</v>
      </c>
      <c r="DR367" s="269">
        <f>'Detailed Budget'!$AC$181</f>
        <v>50888946855.375237</v>
      </c>
      <c r="DS367" s="269">
        <f t="shared" si="965"/>
        <v>295629234.7217617</v>
      </c>
      <c r="DT367" s="269">
        <f t="shared" si="966"/>
        <v>520684331.08283269</v>
      </c>
      <c r="DU367" s="272">
        <f>'Detailed Budget'!$AC$192</f>
        <v>77498869683.252869</v>
      </c>
      <c r="DV367" s="269">
        <f t="shared" si="995"/>
        <v>0</v>
      </c>
      <c r="DW367" s="140">
        <f>'Detailed Budget'!$AC$194</f>
        <v>2684962805.4134097</v>
      </c>
      <c r="DX367" s="269">
        <f t="shared" si="996"/>
        <v>0</v>
      </c>
      <c r="DY367" s="607">
        <f t="shared" si="906"/>
        <v>0</v>
      </c>
      <c r="DZ367" s="196">
        <f>'Detailed Budget'!$AC$198</f>
        <v>18732540018.380611</v>
      </c>
      <c r="EA367" s="269">
        <f t="shared" si="936"/>
        <v>43438121.332951307</v>
      </c>
      <c r="EB367" s="196">
        <f>'Detailed Budget'!$AC$200</f>
        <v>4683135004.5951529</v>
      </c>
      <c r="EC367" s="269">
        <f t="shared" si="997"/>
        <v>10859530.333237827</v>
      </c>
      <c r="ED367" s="269">
        <f t="shared" si="907"/>
        <v>54297651.666189134</v>
      </c>
      <c r="EE367" s="196">
        <f>'Detailed Budget'!$AC$161</f>
        <v>251147290106.36197</v>
      </c>
      <c r="EF367" s="269">
        <f t="shared" si="998"/>
        <v>666637858.03205979</v>
      </c>
      <c r="EG367" s="196">
        <f>'Detailed Budget'!$AC$163</f>
        <v>15696705631.647623</v>
      </c>
      <c r="EH367" s="269">
        <f t="shared" si="999"/>
        <v>41664866.127003737</v>
      </c>
      <c r="EI367" s="269">
        <f t="shared" si="908"/>
        <v>708302724.15906358</v>
      </c>
      <c r="EJ367" s="196">
        <f>'Detailed Budget'!$AC$204</f>
        <v>45012172507.531975</v>
      </c>
      <c r="EK367" s="269">
        <f t="shared" si="1000"/>
        <v>159100945.05435291</v>
      </c>
      <c r="EL367" s="201">
        <f>'Detailed Budget'!$AC$206</f>
        <v>11253043126.882994</v>
      </c>
      <c r="EM367" s="269">
        <f t="shared" si="1001"/>
        <v>39775236.263588227</v>
      </c>
      <c r="EN367" s="269">
        <f t="shared" si="909"/>
        <v>198876181.31794113</v>
      </c>
      <c r="EO367" s="140">
        <f>'Detailed Budget'!$AC$209</f>
        <v>135789361677.54817</v>
      </c>
      <c r="EP367" s="269">
        <f t="shared" si="1002"/>
        <v>382124882.22463584</v>
      </c>
      <c r="EQ367" s="196">
        <f>'Detailed Budget'!$AC$211</f>
        <v>33947340419.387043</v>
      </c>
      <c r="ER367" s="269">
        <f t="shared" si="1003"/>
        <v>95531220.55615896</v>
      </c>
      <c r="ES367" s="269">
        <f t="shared" si="910"/>
        <v>477656102.7807948</v>
      </c>
      <c r="ET367" s="196">
        <f>'Detailed Budget'!$AC$214</f>
        <v>22239745544.201103</v>
      </c>
      <c r="EU367" s="269">
        <f t="shared" si="1004"/>
        <v>60780679.033173509</v>
      </c>
      <c r="EV367" s="140">
        <f>'Detailed Budget'!$AC$217</f>
        <v>5559936386.0502758</v>
      </c>
      <c r="EW367" s="269">
        <f t="shared" si="1005"/>
        <v>15195169.758293377</v>
      </c>
      <c r="EX367" s="269">
        <f t="shared" si="911"/>
        <v>75975848.791466892</v>
      </c>
      <c r="EY367" s="196">
        <f>'Detailed Budget'!$AC$219</f>
        <v>372777004.58170313</v>
      </c>
      <c r="EZ367" s="269">
        <f t="shared" si="1006"/>
        <v>1066545.1841356349</v>
      </c>
      <c r="FA367" s="196">
        <f>'Detailed Budget'!$AC$222</f>
        <v>93194251.145425782</v>
      </c>
      <c r="FB367" s="269">
        <f t="shared" si="1007"/>
        <v>266636.29603390873</v>
      </c>
      <c r="FC367" s="269">
        <f t="shared" si="912"/>
        <v>1333181.4801695435</v>
      </c>
      <c r="FD367" s="269"/>
      <c r="FE367" s="269">
        <f t="shared" si="913"/>
        <v>753841314.3703723</v>
      </c>
      <c r="FF367" s="140">
        <f>'Detailed Budget'!$AC$165</f>
        <v>14927760000</v>
      </c>
      <c r="FG367" s="1087">
        <f t="shared" si="972"/>
        <v>1028289452.462659</v>
      </c>
      <c r="FH367" s="269">
        <f t="shared" si="948"/>
        <v>18657579.820474949</v>
      </c>
      <c r="FJ367" s="140">
        <f>'Detailed Budget'!$AC$235</f>
        <v>3623696172</v>
      </c>
      <c r="FK367" s="269">
        <f t="shared" si="949"/>
        <v>4681778</v>
      </c>
      <c r="FL367" s="269">
        <f t="shared" si="973"/>
        <v>4681778</v>
      </c>
      <c r="FO367" s="607"/>
      <c r="FP367" s="607"/>
      <c r="FQ367" s="607"/>
      <c r="FR367" s="269">
        <f>'Detailed Budget'!$AC$257</f>
        <v>13636439388</v>
      </c>
      <c r="FS367" s="269">
        <f t="shared" si="950"/>
        <v>17988048</v>
      </c>
      <c r="FT367" s="269">
        <f t="shared" si="974"/>
        <v>17988048</v>
      </c>
      <c r="FU367" s="269"/>
      <c r="FV367" s="269"/>
      <c r="FW367" s="269"/>
      <c r="FX367" s="140">
        <f>'Detailed Budget'!$AC$278</f>
        <v>1114560000</v>
      </c>
      <c r="FY367" s="269">
        <f t="shared" si="951"/>
        <v>1440000</v>
      </c>
      <c r="FZ367" s="269">
        <f t="shared" si="975"/>
        <v>1440000</v>
      </c>
      <c r="GB367" s="269">
        <f t="shared" si="983"/>
        <v>5532910872.2293615</v>
      </c>
      <c r="GC367" s="887">
        <f t="shared" si="914"/>
        <v>3458069.295143351</v>
      </c>
      <c r="GD367" s="1078">
        <f t="shared" si="984"/>
        <v>3.1046905168080068E-3</v>
      </c>
    </row>
    <row r="368" spans="1:186" hidden="1" outlineLevel="1">
      <c r="A368" s="211" t="s">
        <v>878</v>
      </c>
      <c r="B368" s="212" t="s">
        <v>879</v>
      </c>
      <c r="C368" s="213" t="s">
        <v>215</v>
      </c>
      <c r="D368" s="214" t="s">
        <v>215</v>
      </c>
      <c r="E368" s="213"/>
      <c r="F368" s="213"/>
      <c r="G368" s="213"/>
      <c r="H368" s="213" t="s">
        <v>215</v>
      </c>
      <c r="I368" s="214" t="s">
        <v>215</v>
      </c>
      <c r="J368" s="214"/>
      <c r="K368" s="213" t="s">
        <v>215</v>
      </c>
      <c r="L368" s="213"/>
      <c r="M368" s="214"/>
      <c r="N368" s="213"/>
      <c r="O368" s="214"/>
      <c r="P368" s="213"/>
      <c r="Q368" s="214"/>
      <c r="R368" s="214" t="s">
        <v>215</v>
      </c>
      <c r="S368" s="214"/>
      <c r="T368" s="213"/>
      <c r="U368" s="215">
        <f t="shared" si="952"/>
        <v>6</v>
      </c>
      <c r="V368" s="845" t="s">
        <v>219</v>
      </c>
      <c r="W368" s="216">
        <v>131858</v>
      </c>
      <c r="X368" s="217">
        <v>3.36</v>
      </c>
      <c r="Y368" s="218">
        <f t="shared" si="986"/>
        <v>1.0336000000000001</v>
      </c>
      <c r="Z368" s="196">
        <v>19</v>
      </c>
      <c r="AA368" s="218">
        <f t="shared" si="987"/>
        <v>1.873689022502546</v>
      </c>
      <c r="AB368" s="196">
        <f t="shared" si="988"/>
        <v>247060.8871291407</v>
      </c>
      <c r="AC368">
        <v>19.3</v>
      </c>
      <c r="AD368" s="196">
        <f t="shared" si="989"/>
        <v>47682.751215924152</v>
      </c>
      <c r="AE368" s="196">
        <f t="shared" si="990"/>
        <v>45298.613655127941</v>
      </c>
      <c r="AF368" s="196">
        <f t="shared" si="953"/>
        <v>45298.613655127941</v>
      </c>
      <c r="AG368" s="606">
        <f t="shared" si="917"/>
        <v>2.0944090307729859E-3</v>
      </c>
      <c r="AH368" s="196">
        <f t="shared" si="967"/>
        <v>12353.044356457036</v>
      </c>
      <c r="AI368" s="248">
        <f t="shared" si="896"/>
        <v>9.5697162960435187E-4</v>
      </c>
      <c r="AJ368" s="196">
        <f t="shared" si="897"/>
        <v>60035.79557238119</v>
      </c>
      <c r="AK368" s="196">
        <f t="shared" si="926"/>
        <v>9882.4354851656281</v>
      </c>
      <c r="AL368" s="196">
        <f t="shared" si="927"/>
        <v>9882.4354851656281</v>
      </c>
      <c r="AM368" s="196">
        <f t="shared" si="898"/>
        <v>19764.870970331256</v>
      </c>
      <c r="AN368" s="627">
        <f t="shared" si="899"/>
        <v>9.5697162960435176E-4</v>
      </c>
      <c r="AO368" s="196">
        <f t="shared" si="900"/>
        <v>9388.3137109073468</v>
      </c>
      <c r="AP368" s="589">
        <f t="shared" si="918"/>
        <v>9.5697162960435176E-4</v>
      </c>
      <c r="AQ368" s="196"/>
      <c r="AR368" s="589"/>
      <c r="AS368">
        <v>1</v>
      </c>
      <c r="AT368" s="589">
        <f t="shared" si="919"/>
        <v>1.2919896640826874E-3</v>
      </c>
      <c r="AU368" s="196">
        <v>15</v>
      </c>
      <c r="AV368" s="245">
        <f t="shared" si="901"/>
        <v>1.7043517782070218E-3</v>
      </c>
      <c r="AX368" s="245"/>
      <c r="AY368" s="245"/>
      <c r="AZ368" s="196">
        <v>21</v>
      </c>
      <c r="BA368" s="589">
        <f t="shared" si="977"/>
        <v>7.6948444542156754E-4</v>
      </c>
      <c r="BI368" s="196">
        <v>1</v>
      </c>
      <c r="BJ368" s="196">
        <f t="shared" si="954"/>
        <v>137256.04684668648</v>
      </c>
      <c r="BK368" s="246">
        <f t="shared" si="978"/>
        <v>2.6173900015546607E-3</v>
      </c>
      <c r="BL368" s="196">
        <f t="shared" si="968"/>
        <v>2745.1209369337298</v>
      </c>
      <c r="BM368" s="246">
        <f t="shared" si="979"/>
        <v>2.6173897020824064E-3</v>
      </c>
      <c r="BN368" s="196">
        <v>0</v>
      </c>
      <c r="BO368" s="196">
        <f t="shared" si="955"/>
        <v>17207.818057512293</v>
      </c>
      <c r="BP368" s="196">
        <f t="shared" si="902"/>
        <v>0</v>
      </c>
      <c r="BQ368" s="248">
        <f t="shared" si="980"/>
        <v>0</v>
      </c>
      <c r="BR368" s="248"/>
      <c r="BS368" s="248"/>
      <c r="BT368" s="276">
        <v>1</v>
      </c>
      <c r="BU368" s="196">
        <f t="shared" si="969"/>
        <v>36048.159919238664</v>
      </c>
      <c r="BV368" s="264">
        <f t="shared" si="981"/>
        <v>2.500368652865684E-3</v>
      </c>
      <c r="BW368" s="196">
        <f t="shared" si="970"/>
        <v>154206.01743229871</v>
      </c>
      <c r="BX368" s="247">
        <f t="shared" si="982"/>
        <v>2.5003686753891003E-3</v>
      </c>
      <c r="BY368" s="196">
        <f t="shared" si="985"/>
        <v>190254.17735153739</v>
      </c>
      <c r="BZ368" s="620">
        <v>0</v>
      </c>
      <c r="CA368" s="196">
        <f t="shared" si="956"/>
        <v>75600.631461517056</v>
      </c>
      <c r="CB368" s="196">
        <f t="shared" si="957"/>
        <v>151201.26292303411</v>
      </c>
      <c r="CC368" s="196">
        <f t="shared" si="915"/>
        <v>226801.89438455115</v>
      </c>
      <c r="CD368" s="247">
        <f t="shared" si="903"/>
        <v>9.5697162960435176E-4</v>
      </c>
      <c r="CE368" s="196">
        <f t="shared" si="958"/>
        <v>19359.673779900269</v>
      </c>
      <c r="CF368" s="247">
        <f t="shared" si="904"/>
        <v>8.3601092134966343E-4</v>
      </c>
      <c r="CG368" s="196">
        <f t="shared" si="991"/>
        <v>37553.254843629387</v>
      </c>
      <c r="CH368" s="589">
        <f t="shared" si="920"/>
        <v>9.5697162960435176E-4</v>
      </c>
      <c r="CI368" s="196">
        <f t="shared" si="959"/>
        <v>77513.727974442634</v>
      </c>
      <c r="CJ368" s="248">
        <f t="shared" si="921"/>
        <v>1.2743254911439812E-3</v>
      </c>
      <c r="CK368" s="196">
        <f t="shared" si="960"/>
        <v>70576.983010053955</v>
      </c>
      <c r="CL368" s="589">
        <f t="shared" si="922"/>
        <v>1.0145586478355778E-3</v>
      </c>
      <c r="CM368" s="196">
        <f t="shared" si="961"/>
        <v>6837.1496997355925</v>
      </c>
      <c r="CN368" s="589">
        <f t="shared" si="923"/>
        <v>9.8531097355233541E-4</v>
      </c>
      <c r="CO368" s="196">
        <f t="shared" si="962"/>
        <v>546.96748781032341</v>
      </c>
      <c r="CP368" s="589">
        <f t="shared" si="924"/>
        <v>1.0314964335075669E-3</v>
      </c>
      <c r="CQ368" s="196">
        <f>'Detailed Budget'!$AC$12</f>
        <v>292876014141.44696</v>
      </c>
      <c r="CR368" s="269">
        <f t="shared" si="925"/>
        <v>766570751.10900474</v>
      </c>
      <c r="CS368" s="269">
        <f>'Detailed Budget'!$AC$16</f>
        <v>10488008800.000002</v>
      </c>
      <c r="CT368" s="607">
        <f t="shared" si="992"/>
        <v>27451206.228469662</v>
      </c>
      <c r="CU368" s="269">
        <f>'Detailed Budget'!$AC$24</f>
        <v>30624985696</v>
      </c>
      <c r="CV368" s="269">
        <f t="shared" si="976"/>
        <v>80157531.358464897</v>
      </c>
      <c r="CW368" s="269"/>
      <c r="CX368" s="269">
        <f t="shared" si="916"/>
        <v>874179488.6959393</v>
      </c>
      <c r="CY368" s="196">
        <f>'Detailed Budget'!$AC$97</f>
        <v>74629165494.837845</v>
      </c>
      <c r="CZ368" s="269">
        <f t="shared" si="993"/>
        <v>0</v>
      </c>
      <c r="DA368" s="269">
        <f>'Detailed Budget'!$AC$100</f>
        <v>14925833098.967569</v>
      </c>
      <c r="DB368" s="269">
        <f t="shared" si="994"/>
        <v>0</v>
      </c>
      <c r="DC368" s="269">
        <f t="shared" si="905"/>
        <v>0</v>
      </c>
      <c r="DD368" s="207">
        <v>0</v>
      </c>
      <c r="DE368" s="606">
        <v>0</v>
      </c>
      <c r="DF368" s="269">
        <f>'Detailed Budget'!$AC$147</f>
        <v>5913600671000</v>
      </c>
      <c r="DG368" s="269">
        <f t="shared" si="971"/>
        <v>0</v>
      </c>
      <c r="DH368" s="269">
        <f>'Detailed Budget'!$AC$153</f>
        <v>226428026880.00003</v>
      </c>
      <c r="DI368" s="269"/>
      <c r="DJ368" s="269">
        <f>'Detailed Budget'!$AC$156</f>
        <v>27713070000</v>
      </c>
      <c r="DK368" s="269"/>
      <c r="DL368" s="269"/>
      <c r="DM368" s="196">
        <f>'Detailed Budget'!$AC$178</f>
        <v>5622683761.6229038</v>
      </c>
      <c r="DN368" s="269">
        <f t="shared" si="963"/>
        <v>14058782.222538818</v>
      </c>
      <c r="DO368" s="196">
        <f>'Detailed Budget'!$AC$179</f>
        <v>26827890683.128094</v>
      </c>
      <c r="DP368" s="269">
        <f t="shared" si="964"/>
        <v>67079617.49085658</v>
      </c>
      <c r="DQ368" s="269">
        <f t="shared" si="1008"/>
        <v>81138399.713395402</v>
      </c>
      <c r="DR368" s="269">
        <f>'Detailed Budget'!$AC$181</f>
        <v>50888946855.375237</v>
      </c>
      <c r="DS368" s="269">
        <f t="shared" si="965"/>
        <v>106582269.86042444</v>
      </c>
      <c r="DT368" s="269">
        <f t="shared" si="966"/>
        <v>187720669.57381985</v>
      </c>
      <c r="DU368" s="272">
        <f>'Detailed Budget'!$AC$192</f>
        <v>77498869683.252869</v>
      </c>
      <c r="DV368" s="269">
        <f t="shared" si="995"/>
        <v>0</v>
      </c>
      <c r="DW368" s="140">
        <f>'Detailed Budget'!$AC$194</f>
        <v>2684962805.4134097</v>
      </c>
      <c r="DX368" s="269">
        <f t="shared" si="996"/>
        <v>0</v>
      </c>
      <c r="DY368" s="607">
        <f t="shared" si="906"/>
        <v>0</v>
      </c>
      <c r="DZ368" s="196">
        <f>'Detailed Budget'!$AC$198</f>
        <v>18732540018.380611</v>
      </c>
      <c r="EA368" s="269">
        <f t="shared" si="936"/>
        <v>15660608.039985817</v>
      </c>
      <c r="EB368" s="196">
        <f>'Detailed Budget'!$AC$200</f>
        <v>4683135004.5951529</v>
      </c>
      <c r="EC368" s="269">
        <f t="shared" si="997"/>
        <v>3915152.0099964542</v>
      </c>
      <c r="ED368" s="269">
        <f t="shared" si="907"/>
        <v>19575760.049982272</v>
      </c>
      <c r="EE368" s="196">
        <f>'Detailed Budget'!$AC$161</f>
        <v>251147290106.36197</v>
      </c>
      <c r="EF368" s="269">
        <f t="shared" si="998"/>
        <v>240340831.48380211</v>
      </c>
      <c r="EG368" s="196">
        <f>'Detailed Budget'!$AC$163</f>
        <v>15696705631.647623</v>
      </c>
      <c r="EH368" s="269">
        <f t="shared" si="999"/>
        <v>15021301.967737632</v>
      </c>
      <c r="EI368" s="269">
        <f t="shared" si="908"/>
        <v>255362133.45153975</v>
      </c>
      <c r="EJ368" s="196">
        <f>'Detailed Budget'!$AC$204</f>
        <v>45012172507.531975</v>
      </c>
      <c r="EK368" s="269">
        <f t="shared" si="1000"/>
        <v>57360158.838118292</v>
      </c>
      <c r="EL368" s="201">
        <f>'Detailed Budget'!$AC$206</f>
        <v>11253043126.882994</v>
      </c>
      <c r="EM368" s="269">
        <f t="shared" si="1001"/>
        <v>14340039.709529573</v>
      </c>
      <c r="EN368" s="269">
        <f t="shared" si="909"/>
        <v>71700198.547647864</v>
      </c>
      <c r="EO368" s="140">
        <f>'Detailed Budget'!$AC$209</f>
        <v>135789361677.54817</v>
      </c>
      <c r="EP368" s="269">
        <f t="shared" si="1002"/>
        <v>137766271.1740295</v>
      </c>
      <c r="EQ368" s="196">
        <f>'Detailed Budget'!$AC$211</f>
        <v>33947340419.387043</v>
      </c>
      <c r="ER368" s="269">
        <f t="shared" si="1003"/>
        <v>34441567.793507375</v>
      </c>
      <c r="ES368" s="269">
        <f t="shared" si="910"/>
        <v>172207838.96753687</v>
      </c>
      <c r="ET368" s="196">
        <f>'Detailed Budget'!$AC$214</f>
        <v>22239745544.201103</v>
      </c>
      <c r="EU368" s="269">
        <f t="shared" si="1004"/>
        <v>21913065.333713003</v>
      </c>
      <c r="EV368" s="140">
        <f>'Detailed Budget'!$AC$217</f>
        <v>5559936386.0502758</v>
      </c>
      <c r="EW368" s="269">
        <f t="shared" si="1005"/>
        <v>5478266.3334282506</v>
      </c>
      <c r="EX368" s="269">
        <f t="shared" si="911"/>
        <v>27391331.667141251</v>
      </c>
      <c r="EY368" s="196">
        <f>'Detailed Budget'!$AC$219</f>
        <v>372777004.58170313</v>
      </c>
      <c r="EZ368" s="269">
        <f t="shared" si="1006"/>
        <v>384518.15071966068</v>
      </c>
      <c r="FA368" s="196">
        <f>'Detailed Budget'!$AC$222</f>
        <v>93194251.145425782</v>
      </c>
      <c r="FB368" s="269">
        <f t="shared" si="1007"/>
        <v>96129.537679915171</v>
      </c>
      <c r="FC368" s="269">
        <f t="shared" si="912"/>
        <v>480647.68839957588</v>
      </c>
      <c r="FD368" s="269"/>
      <c r="FE368" s="269">
        <f t="shared" si="913"/>
        <v>271780016.87072551</v>
      </c>
      <c r="FF368" s="140">
        <f>'Detailed Budget'!$AC$165</f>
        <v>14927760000</v>
      </c>
      <c r="FG368" s="1087">
        <f t="shared" si="972"/>
        <v>370725933.17827094</v>
      </c>
      <c r="FH368" s="269">
        <f t="shared" si="948"/>
        <v>25442154.300647654</v>
      </c>
      <c r="FJ368" s="140">
        <f>'Detailed Budget'!$AC$235</f>
        <v>3623696172</v>
      </c>
      <c r="FK368" s="269">
        <f t="shared" si="949"/>
        <v>4681778</v>
      </c>
      <c r="FL368" s="269">
        <f t="shared" si="973"/>
        <v>4681778</v>
      </c>
      <c r="FO368" s="607"/>
      <c r="FP368" s="607"/>
      <c r="FQ368" s="607"/>
      <c r="FR368" s="269">
        <f>'Detailed Budget'!$AC$257</f>
        <v>13636439388</v>
      </c>
      <c r="FS368" s="269">
        <f t="shared" si="950"/>
        <v>10493028</v>
      </c>
      <c r="FT368" s="269">
        <f t="shared" si="974"/>
        <v>10493028</v>
      </c>
      <c r="FU368" s="269"/>
      <c r="FV368" s="269"/>
      <c r="FW368" s="269"/>
      <c r="FX368" s="140">
        <f>'Detailed Budget'!$AC$278</f>
        <v>1114560000</v>
      </c>
      <c r="FY368" s="269">
        <f t="shared" si="951"/>
        <v>1440000</v>
      </c>
      <c r="FZ368" s="269">
        <f t="shared" si="975"/>
        <v>1440000</v>
      </c>
      <c r="GB368" s="269">
        <f t="shared" si="983"/>
        <v>2021400962.1209254</v>
      </c>
      <c r="GC368" s="887">
        <f t="shared" si="914"/>
        <v>1263375.6013255783</v>
      </c>
      <c r="GD368" s="1078">
        <f t="shared" si="984"/>
        <v>1.1342717319490665E-3</v>
      </c>
    </row>
    <row r="369" spans="1:186" hidden="1" outlineLevel="1">
      <c r="A369" s="211" t="s">
        <v>880</v>
      </c>
      <c r="B369" s="212" t="s">
        <v>881</v>
      </c>
      <c r="C369" s="213" t="s">
        <v>215</v>
      </c>
      <c r="D369" s="214" t="s">
        <v>215</v>
      </c>
      <c r="E369" s="213"/>
      <c r="F369" s="213"/>
      <c r="G369" s="213"/>
      <c r="H369" s="213" t="s">
        <v>215</v>
      </c>
      <c r="I369" s="214" t="s">
        <v>215</v>
      </c>
      <c r="J369" s="214"/>
      <c r="K369" s="213" t="s">
        <v>215</v>
      </c>
      <c r="L369" s="213"/>
      <c r="M369" s="214"/>
      <c r="N369" s="213"/>
      <c r="O369" s="214"/>
      <c r="P369" s="213"/>
      <c r="Q369" s="214"/>
      <c r="R369" s="214" t="s">
        <v>215</v>
      </c>
      <c r="S369" s="214"/>
      <c r="T369" s="213"/>
      <c r="U369" s="215">
        <f t="shared" si="952"/>
        <v>6</v>
      </c>
      <c r="V369" s="845" t="s">
        <v>219</v>
      </c>
      <c r="W369" s="216">
        <v>188639</v>
      </c>
      <c r="X369" s="217">
        <v>3.36</v>
      </c>
      <c r="Y369" s="218">
        <f t="shared" si="986"/>
        <v>1.0336000000000001</v>
      </c>
      <c r="Z369" s="196">
        <v>19</v>
      </c>
      <c r="AA369" s="218">
        <f t="shared" si="987"/>
        <v>1.873689022502546</v>
      </c>
      <c r="AB369" s="196">
        <f t="shared" ref="AB369:AB401" si="1009">W369*AA369</f>
        <v>353450.82351585774</v>
      </c>
      <c r="AC369">
        <v>19.3</v>
      </c>
      <c r="AD369" s="196">
        <f t="shared" ref="AD369:AD401" si="1010">AB369*AC369/100</f>
        <v>68216.008938560553</v>
      </c>
      <c r="AE369" s="196">
        <f t="shared" si="990"/>
        <v>64805.208491632526</v>
      </c>
      <c r="AF369" s="196">
        <f t="shared" si="953"/>
        <v>64805.208491632526</v>
      </c>
      <c r="AG369" s="606">
        <f t="shared" si="917"/>
        <v>2.9963083404570476E-3</v>
      </c>
      <c r="AH369" s="196">
        <f t="shared" si="967"/>
        <v>17672.541175792889</v>
      </c>
      <c r="AI369" s="248">
        <f t="shared" si="896"/>
        <v>1.3690649883733661E-3</v>
      </c>
      <c r="AJ369" s="196">
        <f t="shared" si="897"/>
        <v>85888.550114353449</v>
      </c>
      <c r="AK369" s="196">
        <f t="shared" si="926"/>
        <v>14138.03294063431</v>
      </c>
      <c r="AL369" s="196">
        <f t="shared" si="927"/>
        <v>14138.03294063431</v>
      </c>
      <c r="AM369" s="196">
        <f t="shared" si="898"/>
        <v>28276.06588126862</v>
      </c>
      <c r="AN369" s="627">
        <f t="shared" si="899"/>
        <v>1.3690649883733661E-3</v>
      </c>
      <c r="AO369" s="196">
        <f t="shared" si="900"/>
        <v>13431.131293602593</v>
      </c>
      <c r="AP369" s="589">
        <f t="shared" si="918"/>
        <v>1.3690649883733659E-3</v>
      </c>
      <c r="AQ369" s="196"/>
      <c r="AR369" s="589"/>
      <c r="AS369">
        <v>1</v>
      </c>
      <c r="AT369" s="589">
        <f t="shared" si="919"/>
        <v>1.2919896640826874E-3</v>
      </c>
      <c r="AU369" s="196">
        <v>10</v>
      </c>
      <c r="AV369" s="245">
        <f t="shared" si="901"/>
        <v>1.1362345188046814E-3</v>
      </c>
      <c r="AX369" s="245"/>
      <c r="AY369" s="245"/>
      <c r="AZ369" s="196">
        <v>20</v>
      </c>
      <c r="BA369" s="589">
        <f t="shared" si="977"/>
        <v>7.3284232897292143E-4</v>
      </c>
      <c r="BI369" s="196">
        <v>1</v>
      </c>
      <c r="BJ369" s="196">
        <f t="shared" si="954"/>
        <v>196361.56639045101</v>
      </c>
      <c r="BK369" s="246">
        <f t="shared" si="978"/>
        <v>3.7444965986384569E-3</v>
      </c>
      <c r="BL369" s="196">
        <f t="shared" si="968"/>
        <v>3927.2313278090205</v>
      </c>
      <c r="BM369" s="246">
        <f t="shared" si="979"/>
        <v>3.7444961702067605E-3</v>
      </c>
      <c r="BN369" s="196">
        <v>0</v>
      </c>
      <c r="BO369" s="196">
        <f t="shared" si="955"/>
        <v>24617.888869473692</v>
      </c>
      <c r="BP369" s="196">
        <f t="shared" si="902"/>
        <v>0</v>
      </c>
      <c r="BQ369" s="248">
        <f t="shared" si="980"/>
        <v>0</v>
      </c>
      <c r="BR369" s="248"/>
      <c r="BS369" s="248"/>
      <c r="BT369" s="276">
        <v>1</v>
      </c>
      <c r="BU369" s="196">
        <f t="shared" si="969"/>
        <v>51571.302757551777</v>
      </c>
      <c r="BV369" s="264">
        <f t="shared" si="981"/>
        <v>3.5770832433976688E-3</v>
      </c>
      <c r="BW369" s="196">
        <f t="shared" si="970"/>
        <v>220610.57290730483</v>
      </c>
      <c r="BX369" s="247">
        <f t="shared" si="982"/>
        <v>3.5770832756201716E-3</v>
      </c>
      <c r="BY369" s="196">
        <f t="shared" si="985"/>
        <v>272181.87566485663</v>
      </c>
      <c r="BZ369" s="620">
        <v>0</v>
      </c>
      <c r="CA369" s="196">
        <f t="shared" si="956"/>
        <v>108155.95199585246</v>
      </c>
      <c r="CB369" s="196">
        <f t="shared" si="957"/>
        <v>216311.90399170492</v>
      </c>
      <c r="CC369" s="196">
        <f t="shared" si="915"/>
        <v>324467.85598755738</v>
      </c>
      <c r="CD369" s="247">
        <f t="shared" si="903"/>
        <v>1.3690649883733659E-3</v>
      </c>
      <c r="CE369" s="196">
        <f t="shared" si="958"/>
        <v>27696.381730093031</v>
      </c>
      <c r="CF369" s="247">
        <f t="shared" si="904"/>
        <v>1.1960158973477466E-3</v>
      </c>
      <c r="CG369" s="196">
        <f t="shared" si="991"/>
        <v>53724.525174410373</v>
      </c>
      <c r="CH369" s="589">
        <f t="shared" si="920"/>
        <v>1.3690649883733659E-3</v>
      </c>
      <c r="CI369" s="196">
        <f t="shared" si="959"/>
        <v>110892.87059845353</v>
      </c>
      <c r="CJ369" s="248">
        <f t="shared" si="921"/>
        <v>1.8230785111552539E-3</v>
      </c>
      <c r="CK369" s="196">
        <f t="shared" si="960"/>
        <v>100969.00831222656</v>
      </c>
      <c r="CL369" s="589">
        <f t="shared" si="922"/>
        <v>1.4514502629272064E-3</v>
      </c>
      <c r="CM369" s="196">
        <f t="shared" si="961"/>
        <v>9781.3790760395477</v>
      </c>
      <c r="CN369" s="589">
        <f t="shared" si="923"/>
        <v>1.4096078868171748E-3</v>
      </c>
      <c r="CO369" s="196">
        <f t="shared" si="962"/>
        <v>782.50390520902488</v>
      </c>
      <c r="CP369" s="589">
        <f t="shared" si="924"/>
        <v>1.4756818374344666E-3</v>
      </c>
      <c r="CQ369" s="196">
        <f>'Detailed Budget'!$AC$12</f>
        <v>292876014141.44696</v>
      </c>
      <c r="CR369" s="269">
        <f t="shared" si="925"/>
        <v>1096673238.7754366</v>
      </c>
      <c r="CS369" s="269">
        <f>'Detailed Budget'!$AC$16</f>
        <v>10488008800.000002</v>
      </c>
      <c r="CT369" s="607">
        <f t="shared" si="992"/>
        <v>39272308.784694806</v>
      </c>
      <c r="CU369" s="269">
        <f>'Detailed Budget'!$AC$24</f>
        <v>30624985696</v>
      </c>
      <c r="CV369" s="269">
        <f t="shared" si="976"/>
        <v>114675154.77202339</v>
      </c>
      <c r="CW369" s="269"/>
      <c r="CX369" s="269">
        <f t="shared" si="916"/>
        <v>1250620702.332155</v>
      </c>
      <c r="CY369" s="196">
        <f>'Detailed Budget'!$AC$97</f>
        <v>74629165494.837845</v>
      </c>
      <c r="CZ369" s="269">
        <f t="shared" si="993"/>
        <v>0</v>
      </c>
      <c r="DA369" s="269">
        <f>'Detailed Budget'!$AC$100</f>
        <v>14925833098.967569</v>
      </c>
      <c r="DB369" s="269">
        <f t="shared" si="994"/>
        <v>0</v>
      </c>
      <c r="DC369" s="269">
        <f t="shared" si="905"/>
        <v>0</v>
      </c>
      <c r="DD369" s="207">
        <v>0</v>
      </c>
      <c r="DE369" s="606">
        <v>0</v>
      </c>
      <c r="DF369" s="269">
        <f>'Detailed Budget'!$AC$147</f>
        <v>5913600671000</v>
      </c>
      <c r="DG369" s="269">
        <f t="shared" si="971"/>
        <v>0</v>
      </c>
      <c r="DH369" s="269">
        <f>'Detailed Budget'!$AC$153</f>
        <v>226428026880.00003</v>
      </c>
      <c r="DI369" s="269"/>
      <c r="DJ369" s="269">
        <f>'Detailed Budget'!$AC$156</f>
        <v>27713070000</v>
      </c>
      <c r="DK369" s="269"/>
      <c r="DL369" s="269"/>
      <c r="DM369" s="196">
        <f>'Detailed Budget'!$AC$178</f>
        <v>5622683761.6229038</v>
      </c>
      <c r="DN369" s="269">
        <f t="shared" si="963"/>
        <v>20112807.866625462</v>
      </c>
      <c r="DO369" s="196">
        <f>'Detailed Budget'!$AC$179</f>
        <v>26827890683.128094</v>
      </c>
      <c r="DP369" s="269">
        <f t="shared" si="964"/>
        <v>95965599.082783729</v>
      </c>
      <c r="DQ369" s="269">
        <f t="shared" si="1008"/>
        <v>116078406.94940919</v>
      </c>
      <c r="DR369" s="269">
        <f>'Detailed Budget'!$AC$181</f>
        <v>50888946855.375237</v>
      </c>
      <c r="DS369" s="269">
        <f t="shared" si="965"/>
        <v>152478975.89983627</v>
      </c>
      <c r="DT369" s="269">
        <f t="shared" si="966"/>
        <v>268557382.84924543</v>
      </c>
      <c r="DU369" s="272">
        <f>'Detailed Budget'!$AC$192</f>
        <v>77498869683.252869</v>
      </c>
      <c r="DV369" s="269">
        <f t="shared" si="995"/>
        <v>0</v>
      </c>
      <c r="DW369" s="140">
        <f>'Detailed Budget'!$AC$194</f>
        <v>2684962805.4134097</v>
      </c>
      <c r="DX369" s="269">
        <f t="shared" si="996"/>
        <v>0</v>
      </c>
      <c r="DY369" s="607">
        <f t="shared" si="906"/>
        <v>0</v>
      </c>
      <c r="DZ369" s="196">
        <f>'Detailed Budget'!$AC$198</f>
        <v>18732540018.380611</v>
      </c>
      <c r="EA369" s="269">
        <f t="shared" si="936"/>
        <v>22404415.659686059</v>
      </c>
      <c r="EB369" s="196">
        <f>'Detailed Budget'!$AC$200</f>
        <v>4683135004.5951529</v>
      </c>
      <c r="EC369" s="269">
        <f t="shared" si="997"/>
        <v>5601103.9149215147</v>
      </c>
      <c r="ED369" s="269">
        <f t="shared" si="907"/>
        <v>28005519.574607573</v>
      </c>
      <c r="EE369" s="196">
        <f>'Detailed Budget'!$AC$161</f>
        <v>251147290106.36197</v>
      </c>
      <c r="EF369" s="269">
        <f t="shared" si="998"/>
        <v>343836961.80946881</v>
      </c>
      <c r="EG369" s="196">
        <f>'Detailed Budget'!$AC$163</f>
        <v>15696705631.647623</v>
      </c>
      <c r="EH369" s="269">
        <f t="shared" si="999"/>
        <v>21489810.1130918</v>
      </c>
      <c r="EI369" s="269">
        <f t="shared" si="908"/>
        <v>365326771.92256063</v>
      </c>
      <c r="EJ369" s="196">
        <f>'Detailed Budget'!$AC$204</f>
        <v>45012172507.531975</v>
      </c>
      <c r="EK369" s="269">
        <f t="shared" si="1000"/>
        <v>82060724.438894838</v>
      </c>
      <c r="EL369" s="201">
        <f>'Detailed Budget'!$AC$206</f>
        <v>11253043126.882994</v>
      </c>
      <c r="EM369" s="269">
        <f t="shared" si="1001"/>
        <v>20515181.10972371</v>
      </c>
      <c r="EN369" s="269">
        <f t="shared" si="909"/>
        <v>102575905.54861856</v>
      </c>
      <c r="EO369" s="140">
        <f>'Detailed Budget'!$AC$209</f>
        <v>135789361677.54817</v>
      </c>
      <c r="EP369" s="269">
        <f t="shared" si="1002"/>
        <v>197091504.70959482</v>
      </c>
      <c r="EQ369" s="196">
        <f>'Detailed Budget'!$AC$211</f>
        <v>33947340419.387043</v>
      </c>
      <c r="ER369" s="269">
        <f t="shared" si="1003"/>
        <v>49272876.177398704</v>
      </c>
      <c r="ES369" s="269">
        <f t="shared" si="910"/>
        <v>246364380.88699353</v>
      </c>
      <c r="ET369" s="196">
        <f>'Detailed Budget'!$AC$214</f>
        <v>22239745544.201103</v>
      </c>
      <c r="EU369" s="269">
        <f t="shared" si="1004"/>
        <v>31349320.719912998</v>
      </c>
      <c r="EV369" s="140">
        <f>'Detailed Budget'!$AC$217</f>
        <v>5559936386.0502758</v>
      </c>
      <c r="EW369" s="269">
        <f t="shared" si="1005"/>
        <v>7837330.1799782496</v>
      </c>
      <c r="EX369" s="269">
        <f t="shared" si="911"/>
        <v>39186650.89989125</v>
      </c>
      <c r="EY369" s="196">
        <f>'Detailed Budget'!$AC$219</f>
        <v>372777004.58170313</v>
      </c>
      <c r="EZ369" s="269">
        <f t="shared" si="1006"/>
        <v>550100.25507444423</v>
      </c>
      <c r="FA369" s="196">
        <f>'Detailed Budget'!$AC$222</f>
        <v>93194251.145425782</v>
      </c>
      <c r="FB369" s="269">
        <f t="shared" si="1007"/>
        <v>137525.06376861106</v>
      </c>
      <c r="FC369" s="269">
        <f t="shared" si="912"/>
        <v>687625.31884305528</v>
      </c>
      <c r="FD369" s="269"/>
      <c r="FE369" s="269">
        <f t="shared" si="913"/>
        <v>388814562.65434641</v>
      </c>
      <c r="FF369" s="140">
        <f>'Detailed Budget'!$AC$165</f>
        <v>14927760000</v>
      </c>
      <c r="FG369" s="1087">
        <f t="shared" si="972"/>
        <v>530368800.59469944</v>
      </c>
      <c r="FH369" s="269">
        <f t="shared" si="948"/>
        <v>16961436.200431772</v>
      </c>
      <c r="FJ369" s="140">
        <f>'Detailed Budget'!$AC$235</f>
        <v>3623696172</v>
      </c>
      <c r="FK369" s="269">
        <f t="shared" si="949"/>
        <v>4681778</v>
      </c>
      <c r="FL369" s="269">
        <f t="shared" si="973"/>
        <v>4681778</v>
      </c>
      <c r="FO369" s="607"/>
      <c r="FP369" s="607"/>
      <c r="FQ369" s="607"/>
      <c r="FR369" s="269">
        <f>'Detailed Budget'!$AC$257</f>
        <v>13636439388</v>
      </c>
      <c r="FS369" s="269">
        <f t="shared" si="950"/>
        <v>9993360</v>
      </c>
      <c r="FT369" s="269">
        <f t="shared" si="974"/>
        <v>9993360</v>
      </c>
      <c r="FU369" s="269"/>
      <c r="FV369" s="269"/>
      <c r="FW369" s="269"/>
      <c r="FX369" s="140">
        <f>'Detailed Budget'!$AC$278</f>
        <v>1114560000</v>
      </c>
      <c r="FY369" s="269">
        <f t="shared" si="951"/>
        <v>1440000</v>
      </c>
      <c r="FZ369" s="269">
        <f t="shared" si="975"/>
        <v>1440000</v>
      </c>
      <c r="GB369" s="269">
        <f t="shared" si="983"/>
        <v>2864770314.128046</v>
      </c>
      <c r="GC369" s="887">
        <f t="shared" si="914"/>
        <v>1790481.4463300288</v>
      </c>
      <c r="GD369" s="1078">
        <f t="shared" si="984"/>
        <v>1.6075128323046186E-3</v>
      </c>
    </row>
    <row r="370" spans="1:186" hidden="1" outlineLevel="1">
      <c r="A370" s="211"/>
      <c r="B370" s="212"/>
      <c r="C370" s="213"/>
      <c r="D370" s="214"/>
      <c r="E370" s="213"/>
      <c r="F370" s="213"/>
      <c r="G370" s="213"/>
      <c r="H370" s="213"/>
      <c r="I370" s="214"/>
      <c r="J370" s="214"/>
      <c r="K370" s="213"/>
      <c r="L370" s="213"/>
      <c r="M370" s="214"/>
      <c r="N370" s="213"/>
      <c r="O370" s="214"/>
      <c r="P370" s="213"/>
      <c r="Q370" s="214"/>
      <c r="R370" s="214"/>
      <c r="S370" s="214"/>
      <c r="T370" s="213"/>
      <c r="U370" s="215"/>
      <c r="V370" s="845"/>
      <c r="W370" s="216"/>
      <c r="X370" s="217"/>
      <c r="Y370" s="218"/>
      <c r="Z370" s="196"/>
      <c r="AA370" s="218"/>
      <c r="AF370" s="196">
        <f t="shared" si="953"/>
        <v>0</v>
      </c>
      <c r="AG370" s="606">
        <f t="shared" si="917"/>
        <v>0</v>
      </c>
      <c r="AJ370" s="196"/>
      <c r="AK370" s="196"/>
      <c r="AL370" s="196"/>
      <c r="AM370" s="196"/>
      <c r="AO370" s="196"/>
      <c r="AP370" s="589">
        <f t="shared" si="918"/>
        <v>0</v>
      </c>
      <c r="AQ370" s="196"/>
      <c r="AR370" s="589"/>
      <c r="AS370"/>
      <c r="AT370" s="589">
        <f t="shared" si="919"/>
        <v>0</v>
      </c>
      <c r="AV370" s="245">
        <f t="shared" si="901"/>
        <v>0</v>
      </c>
      <c r="AX370" s="245"/>
      <c r="AY370" s="245"/>
      <c r="BA370" s="589">
        <f t="shared" si="977"/>
        <v>0</v>
      </c>
      <c r="BK370" s="246">
        <f t="shared" si="978"/>
        <v>0</v>
      </c>
      <c r="BL370" s="246"/>
      <c r="BM370" s="246">
        <f t="shared" si="979"/>
        <v>0</v>
      </c>
      <c r="BN370" s="196"/>
      <c r="BQ370" s="248">
        <f t="shared" si="980"/>
        <v>0</v>
      </c>
      <c r="BR370" s="248"/>
      <c r="BS370" s="248"/>
      <c r="BT370" s="276"/>
      <c r="BV370" s="264">
        <f t="shared" si="981"/>
        <v>0</v>
      </c>
      <c r="BX370" s="247">
        <f t="shared" si="982"/>
        <v>0</v>
      </c>
      <c r="BY370" s="196"/>
      <c r="BZ370" s="620"/>
      <c r="CA370" s="196">
        <f t="shared" si="956"/>
        <v>0</v>
      </c>
      <c r="CB370" s="196">
        <f t="shared" si="957"/>
        <v>0</v>
      </c>
      <c r="CC370" s="196">
        <f t="shared" si="915"/>
        <v>0</v>
      </c>
      <c r="CD370" s="247">
        <f t="shared" si="903"/>
        <v>0</v>
      </c>
      <c r="CF370" s="247">
        <f t="shared" si="904"/>
        <v>0</v>
      </c>
      <c r="CG370" s="196">
        <f t="shared" si="991"/>
        <v>0</v>
      </c>
      <c r="CH370" s="589">
        <f t="shared" si="920"/>
        <v>0</v>
      </c>
      <c r="CI370" s="196"/>
      <c r="CJ370" s="248">
        <f t="shared" si="921"/>
        <v>0</v>
      </c>
      <c r="CK370" s="196"/>
      <c r="CL370" s="589">
        <f t="shared" si="922"/>
        <v>0</v>
      </c>
      <c r="CM370" s="196"/>
      <c r="CN370" s="589">
        <f t="shared" si="923"/>
        <v>0</v>
      </c>
      <c r="CO370" s="196"/>
      <c r="CP370" s="589">
        <f t="shared" si="924"/>
        <v>0</v>
      </c>
      <c r="CQ370" s="196"/>
      <c r="CR370" s="269">
        <f t="shared" si="925"/>
        <v>0</v>
      </c>
      <c r="CS370" s="269">
        <f>'Detailed Budget'!$AC$16</f>
        <v>10488008800.000002</v>
      </c>
      <c r="CT370" s="607">
        <f t="shared" si="992"/>
        <v>0</v>
      </c>
      <c r="CU370" s="269">
        <f>'Detailed Budget'!$AC$24</f>
        <v>30624985696</v>
      </c>
      <c r="CV370" s="269">
        <f t="shared" si="976"/>
        <v>0</v>
      </c>
      <c r="CW370" s="269"/>
      <c r="CX370" s="269">
        <f t="shared" si="916"/>
        <v>0</v>
      </c>
      <c r="CY370" s="196">
        <f>'Detailed Budget'!$AC$97</f>
        <v>74629165494.837845</v>
      </c>
      <c r="CZ370" s="269">
        <f t="shared" si="993"/>
        <v>0</v>
      </c>
      <c r="DA370" s="269">
        <f>'Detailed Budget'!$AC$100</f>
        <v>14925833098.967569</v>
      </c>
      <c r="DB370" s="269">
        <f t="shared" si="994"/>
        <v>0</v>
      </c>
      <c r="DC370" s="269"/>
      <c r="DD370" s="207"/>
      <c r="DE370" s="606">
        <v>0</v>
      </c>
      <c r="DF370" s="269">
        <f>'Detailed Budget'!$AC$147</f>
        <v>5913600671000</v>
      </c>
      <c r="DG370" s="269">
        <f t="shared" si="971"/>
        <v>0</v>
      </c>
      <c r="DH370" s="269">
        <f>'Detailed Budget'!$AC$153</f>
        <v>226428026880.00003</v>
      </c>
      <c r="DI370" s="269"/>
      <c r="DJ370" s="269">
        <f>'Detailed Budget'!$AC$156</f>
        <v>27713070000</v>
      </c>
      <c r="DK370" s="269"/>
      <c r="DL370" s="269"/>
      <c r="DM370" s="196"/>
      <c r="DN370" s="269"/>
      <c r="DO370" s="196"/>
      <c r="DP370" s="269"/>
      <c r="DQ370" s="269"/>
      <c r="DR370" s="269"/>
      <c r="DS370" s="269"/>
      <c r="DT370" s="269"/>
      <c r="DU370" s="272">
        <f>'Detailed Budget'!$AC$192</f>
        <v>77498869683.252869</v>
      </c>
      <c r="DV370" s="269">
        <f t="shared" si="995"/>
        <v>0</v>
      </c>
      <c r="DW370" s="140">
        <f>'Detailed Budget'!$AC$194</f>
        <v>2684962805.4134097</v>
      </c>
      <c r="DX370" s="269">
        <f t="shared" si="996"/>
        <v>0</v>
      </c>
      <c r="DY370" s="607">
        <f t="shared" si="906"/>
        <v>0</v>
      </c>
      <c r="DZ370" s="196"/>
      <c r="EA370" s="269"/>
      <c r="EB370" s="196">
        <f>'Detailed Budget'!$AC$200</f>
        <v>4683135004.5951529</v>
      </c>
      <c r="EC370" s="269">
        <f t="shared" si="997"/>
        <v>0</v>
      </c>
      <c r="ED370" s="269">
        <f t="shared" si="907"/>
        <v>0</v>
      </c>
      <c r="EE370" s="196">
        <f>'Detailed Budget'!$AC$161</f>
        <v>251147290106.36197</v>
      </c>
      <c r="EF370" s="269">
        <f t="shared" si="998"/>
        <v>0</v>
      </c>
      <c r="EG370" s="196">
        <f>'Detailed Budget'!$AC$163</f>
        <v>15696705631.647623</v>
      </c>
      <c r="EH370" s="269">
        <f t="shared" si="999"/>
        <v>0</v>
      </c>
      <c r="EI370" s="269">
        <f t="shared" si="908"/>
        <v>0</v>
      </c>
      <c r="EJ370" s="196">
        <f>'Detailed Budget'!$AC$204</f>
        <v>45012172507.531975</v>
      </c>
      <c r="EK370" s="269">
        <f t="shared" si="1000"/>
        <v>0</v>
      </c>
      <c r="EL370" s="201">
        <f>'Detailed Budget'!$AC$206</f>
        <v>11253043126.882994</v>
      </c>
      <c r="EM370" s="269">
        <f t="shared" si="1001"/>
        <v>0</v>
      </c>
      <c r="EN370" s="269">
        <f t="shared" si="909"/>
        <v>0</v>
      </c>
      <c r="EO370" s="140">
        <f>'Detailed Budget'!$AC$209</f>
        <v>135789361677.54817</v>
      </c>
      <c r="EP370" s="269">
        <f t="shared" si="1002"/>
        <v>0</v>
      </c>
      <c r="EQ370" s="196">
        <f>'Detailed Budget'!$AC$211</f>
        <v>33947340419.387043</v>
      </c>
      <c r="ER370" s="269">
        <f t="shared" si="1003"/>
        <v>0</v>
      </c>
      <c r="ES370" s="269">
        <f t="shared" si="910"/>
        <v>0</v>
      </c>
      <c r="ET370" s="196">
        <f>'Detailed Budget'!$AC$214</f>
        <v>22239745544.201103</v>
      </c>
      <c r="EU370" s="269">
        <f t="shared" si="1004"/>
        <v>0</v>
      </c>
      <c r="EV370" s="140">
        <f>'Detailed Budget'!$AC$217</f>
        <v>5559936386.0502758</v>
      </c>
      <c r="EW370" s="269">
        <f t="shared" si="1005"/>
        <v>0</v>
      </c>
      <c r="EX370" s="269">
        <f t="shared" si="911"/>
        <v>0</v>
      </c>
      <c r="EY370" s="196">
        <f>'Detailed Budget'!$AC$219</f>
        <v>372777004.58170313</v>
      </c>
      <c r="EZ370" s="269">
        <f t="shared" si="1006"/>
        <v>0</v>
      </c>
      <c r="FA370" s="196">
        <f>'Detailed Budget'!$AC$222</f>
        <v>93194251.145425782</v>
      </c>
      <c r="FB370" s="269">
        <f t="shared" si="1007"/>
        <v>0</v>
      </c>
      <c r="FC370" s="269">
        <f t="shared" si="912"/>
        <v>0</v>
      </c>
      <c r="FD370" s="269"/>
      <c r="FE370" s="269"/>
      <c r="FF370" s="140"/>
      <c r="FG370" s="1087">
        <f t="shared" si="972"/>
        <v>0</v>
      </c>
      <c r="FJ370" s="140"/>
      <c r="FL370" s="269">
        <f t="shared" si="973"/>
        <v>0</v>
      </c>
      <c r="FO370" s="607"/>
      <c r="FP370" s="607"/>
      <c r="FQ370" s="607"/>
      <c r="FT370" s="269">
        <f t="shared" si="974"/>
        <v>0</v>
      </c>
      <c r="FU370" s="269"/>
      <c r="FV370" s="269"/>
      <c r="FW370" s="269"/>
      <c r="FX370" s="140">
        <f>'Detailed Budget'!$AC$278</f>
        <v>1114560000</v>
      </c>
      <c r="FY370" s="269"/>
      <c r="FZ370" s="269"/>
      <c r="GB370" s="269">
        <f t="shared" si="983"/>
        <v>0</v>
      </c>
      <c r="GD370" s="1078">
        <f t="shared" si="984"/>
        <v>0</v>
      </c>
    </row>
    <row r="371" spans="1:186" s="210" customFormat="1" collapsed="1">
      <c r="A371" s="203">
        <v>3.4</v>
      </c>
      <c r="B371" s="204" t="s">
        <v>882</v>
      </c>
      <c r="C371" s="205">
        <f t="shared" ref="C371:T371" si="1011">COUNTA(C372:C405)</f>
        <v>34</v>
      </c>
      <c r="D371" s="205">
        <f t="shared" si="1011"/>
        <v>34</v>
      </c>
      <c r="E371" s="205">
        <f t="shared" si="1011"/>
        <v>0</v>
      </c>
      <c r="F371" s="205">
        <f t="shared" si="1011"/>
        <v>0</v>
      </c>
      <c r="G371" s="205">
        <f t="shared" si="1011"/>
        <v>0</v>
      </c>
      <c r="H371" s="205">
        <f t="shared" si="1011"/>
        <v>34</v>
      </c>
      <c r="I371" s="205">
        <f t="shared" si="1011"/>
        <v>34</v>
      </c>
      <c r="J371" s="205">
        <f t="shared" si="1011"/>
        <v>0</v>
      </c>
      <c r="K371" s="205">
        <f t="shared" si="1011"/>
        <v>34</v>
      </c>
      <c r="L371" s="205">
        <f t="shared" si="1011"/>
        <v>0</v>
      </c>
      <c r="M371" s="205">
        <f t="shared" si="1011"/>
        <v>0</v>
      </c>
      <c r="N371" s="205">
        <f t="shared" si="1011"/>
        <v>0</v>
      </c>
      <c r="O371" s="205">
        <f t="shared" si="1011"/>
        <v>0</v>
      </c>
      <c r="P371" s="205">
        <f t="shared" si="1011"/>
        <v>0</v>
      </c>
      <c r="Q371" s="205">
        <f t="shared" si="1011"/>
        <v>0</v>
      </c>
      <c r="R371" s="205">
        <f t="shared" si="1011"/>
        <v>34</v>
      </c>
      <c r="S371" s="205">
        <f t="shared" si="1011"/>
        <v>3</v>
      </c>
      <c r="T371" s="205">
        <f t="shared" si="1011"/>
        <v>0</v>
      </c>
      <c r="U371" s="206">
        <f>SUM(C371:T371)</f>
        <v>207</v>
      </c>
      <c r="V371" s="844"/>
      <c r="W371" s="207">
        <f>SUM(W372:W405)</f>
        <v>5801584</v>
      </c>
      <c r="X371" s="208">
        <v>3.04</v>
      </c>
      <c r="Y371" s="209">
        <f t="shared" si="986"/>
        <v>1.0304</v>
      </c>
      <c r="Z371" s="207">
        <v>19</v>
      </c>
      <c r="AA371" s="209">
        <f t="shared" si="987"/>
        <v>1.7664898659259882</v>
      </c>
      <c r="AB371" s="207">
        <f t="shared" si="1009"/>
        <v>10248439.342318358</v>
      </c>
      <c r="AC371" s="210">
        <v>20.8</v>
      </c>
      <c r="AD371" s="207">
        <f t="shared" si="1010"/>
        <v>2131675.3832022185</v>
      </c>
      <c r="AE371" s="207">
        <f t="shared" si="990"/>
        <v>2025091.6140421075</v>
      </c>
      <c r="AF371" s="207">
        <f>SUM(AF372:AF405)</f>
        <v>2025091.6140421072</v>
      </c>
      <c r="AG371" s="588">
        <f t="shared" si="917"/>
        <v>9.3631345914540948E-2</v>
      </c>
      <c r="AH371" s="207">
        <f>SUM(AH372:AH405)</f>
        <v>512421.96711591783</v>
      </c>
      <c r="AI371" s="633">
        <f t="shared" si="896"/>
        <v>3.9696553397354672E-2</v>
      </c>
      <c r="AJ371" s="207">
        <f>SUM(AJ372:AJ405)</f>
        <v>2644097.3503181366</v>
      </c>
      <c r="AK371" s="207">
        <f t="shared" si="926"/>
        <v>409937.57369273435</v>
      </c>
      <c r="AL371" s="207">
        <f t="shared" si="927"/>
        <v>409937.57369273435</v>
      </c>
      <c r="AM371" s="207">
        <f t="shared" si="898"/>
        <v>819875.14738546871</v>
      </c>
      <c r="AN371" s="632">
        <f t="shared" si="899"/>
        <v>3.9696553397354679E-2</v>
      </c>
      <c r="AO371" s="207">
        <f t="shared" si="900"/>
        <v>389440.69500809757</v>
      </c>
      <c r="AP371" s="588">
        <f t="shared" si="918"/>
        <v>3.9696553397354672E-2</v>
      </c>
      <c r="AQ371" s="207">
        <v>1</v>
      </c>
      <c r="AR371" s="588">
        <f>AQ371/37</f>
        <v>2.7027027027027029E-2</v>
      </c>
      <c r="AS371" s="207">
        <f>SUM(AS372:AS405)</f>
        <v>34</v>
      </c>
      <c r="AT371" s="588">
        <f t="shared" si="919"/>
        <v>4.3927648578811367E-2</v>
      </c>
      <c r="AU371" s="207">
        <f>SUM(AU372:AU405)</f>
        <v>361</v>
      </c>
      <c r="AV371" s="892">
        <f t="shared" si="901"/>
        <v>4.1018066128848993E-2</v>
      </c>
      <c r="AW371" s="207">
        <v>26785</v>
      </c>
      <c r="AX371" s="208">
        <f>AW371*0.002</f>
        <v>53.57</v>
      </c>
      <c r="AY371" s="207">
        <f>AX371*100</f>
        <v>5357</v>
      </c>
      <c r="AZ371" s="207">
        <f>SUM(AZ372:AZ405)</f>
        <v>1829</v>
      </c>
      <c r="BA371" s="588">
        <f t="shared" si="977"/>
        <v>6.7018430984573663E-2</v>
      </c>
      <c r="BB371" s="207">
        <v>25</v>
      </c>
      <c r="BC371" s="207">
        <v>2</v>
      </c>
      <c r="BD371" s="207">
        <f>BB371+BC371</f>
        <v>27</v>
      </c>
      <c r="BE371" s="633">
        <f>BD371/1306</f>
        <v>2.0673813169984685E-2</v>
      </c>
      <c r="BF371" s="207">
        <f>AZ371+BD371</f>
        <v>1856</v>
      </c>
      <c r="BG371" s="588">
        <f>BF371/28597</f>
        <v>6.4901912788054697E-2</v>
      </c>
      <c r="BH371" s="1084">
        <v>55.4</v>
      </c>
      <c r="BI371" s="207">
        <v>0</v>
      </c>
      <c r="BJ371" s="207">
        <v>6360116</v>
      </c>
      <c r="BK371" s="892">
        <f t="shared" si="978"/>
        <v>0.12128357481927361</v>
      </c>
      <c r="BL371" s="207">
        <f>BJ371/50</f>
        <v>127202.32</v>
      </c>
      <c r="BM371" s="892">
        <f t="shared" si="979"/>
        <v>0.12128356094244762</v>
      </c>
      <c r="BN371" s="207"/>
      <c r="BO371" s="207">
        <v>791345</v>
      </c>
      <c r="BP371" s="207">
        <f>SUM(BP372:BP405)</f>
        <v>0</v>
      </c>
      <c r="BQ371" s="633">
        <f t="shared" si="980"/>
        <v>0</v>
      </c>
      <c r="BR371" s="207">
        <f>AY371*0.5*24</f>
        <v>64284</v>
      </c>
      <c r="BS371" s="633">
        <f>BR371/2211211</f>
        <v>2.9071852482644125E-2</v>
      </c>
      <c r="BT371" s="634"/>
      <c r="BU371" s="207">
        <f>SUM(BU372:BU405)</f>
        <v>1657590.7779780449</v>
      </c>
      <c r="BV371" s="264">
        <f t="shared" si="981"/>
        <v>0.11497363609740331</v>
      </c>
      <c r="BW371" s="207">
        <f>SUM(BW372:BW405)</f>
        <v>7090804.9946838608</v>
      </c>
      <c r="BX371" s="247">
        <f t="shared" si="982"/>
        <v>0.11497363713309025</v>
      </c>
      <c r="BY371" s="207">
        <f>SUM(BY372:BY405)</f>
        <v>8748395.7726619076</v>
      </c>
      <c r="CA371" s="207">
        <f>SUM(CA372:CA405)</f>
        <v>3136022.4387494177</v>
      </c>
      <c r="CB371" s="207">
        <f>SUM(CB372:CB405)</f>
        <v>6272044.8774988353</v>
      </c>
      <c r="CC371" s="207">
        <f>SUM(CC372:CC405)</f>
        <v>9408067.316248253</v>
      </c>
      <c r="CD371" s="633">
        <f t="shared" si="903"/>
        <v>3.9696553397354679E-2</v>
      </c>
      <c r="CE371" s="207">
        <f>SUM(CE372:CE405)</f>
        <v>1294214.9169452675</v>
      </c>
      <c r="CF371" s="633">
        <f t="shared" si="904"/>
        <v>5.5888225051768665E-2</v>
      </c>
      <c r="CG371" s="207">
        <f t="shared" si="991"/>
        <v>1557762.7800323903</v>
      </c>
      <c r="CH371" s="588">
        <f t="shared" si="920"/>
        <v>3.9696553397354672E-2</v>
      </c>
      <c r="CI371" s="207">
        <f t="shared" ref="CI371:CO371" si="1012">SUM(CI372:CI405)</f>
        <v>3939827.7082460728</v>
      </c>
      <c r="CJ371" s="633">
        <f t="shared" si="921"/>
        <v>6.4770757522960479E-2</v>
      </c>
      <c r="CK371" s="207">
        <f t="shared" si="1012"/>
        <v>3198291.5749432757</v>
      </c>
      <c r="CL371" s="588">
        <f t="shared" si="922"/>
        <v>4.5976099250319737E-2</v>
      </c>
      <c r="CM371" s="207">
        <f t="shared" si="1012"/>
        <v>620569.11155707017</v>
      </c>
      <c r="CN371" s="588">
        <f t="shared" si="923"/>
        <v>8.9431061526772021E-2</v>
      </c>
      <c r="CO371" s="207">
        <f t="shared" si="1012"/>
        <v>24787.004455854392</v>
      </c>
      <c r="CP371" s="588">
        <f t="shared" si="924"/>
        <v>4.6744472502205293E-2</v>
      </c>
      <c r="CQ371" s="207">
        <f>'Detailed Budget'!$AC$12</f>
        <v>292876014141.44696</v>
      </c>
      <c r="CR371" s="605">
        <f t="shared" si="925"/>
        <v>35521049973.894821</v>
      </c>
      <c r="CS371" s="605">
        <f>'Detailed Budget'!$AC$16</f>
        <v>10488008800.000002</v>
      </c>
      <c r="CT371" s="605">
        <f t="shared" si="992"/>
        <v>1272023054.459727</v>
      </c>
      <c r="CU371" s="605">
        <f>'Detailed Budget'!$AC$24</f>
        <v>30624985696</v>
      </c>
      <c r="CV371" s="605">
        <f t="shared" si="976"/>
        <v>3714307744</v>
      </c>
      <c r="CW371" s="605"/>
      <c r="CX371" s="605">
        <f t="shared" si="916"/>
        <v>40507380772.354546</v>
      </c>
      <c r="CY371" s="207">
        <f>'Detailed Budget'!$AC$97</f>
        <v>74629165494.837845</v>
      </c>
      <c r="CZ371" s="605">
        <f t="shared" si="993"/>
        <v>0</v>
      </c>
      <c r="DA371" s="605">
        <f>'Detailed Budget'!$AC$100</f>
        <v>14925833098.967569</v>
      </c>
      <c r="DB371" s="605">
        <f t="shared" si="994"/>
        <v>0</v>
      </c>
      <c r="DC371" s="605">
        <f t="shared" si="905"/>
        <v>0</v>
      </c>
      <c r="DD371" s="207">
        <f>SUM(DD372:DD405)</f>
        <v>3</v>
      </c>
      <c r="DE371" s="606">
        <v>0</v>
      </c>
      <c r="DF371" s="605">
        <f>'Detailed Budget'!$AC$147</f>
        <v>5913600671000</v>
      </c>
      <c r="DG371" s="605">
        <f t="shared" si="971"/>
        <v>0</v>
      </c>
      <c r="DH371" s="605">
        <f>'Detailed Budget'!$AC$153</f>
        <v>226428026880.00003</v>
      </c>
      <c r="DI371" s="605">
        <f>BS371*DH371</f>
        <v>6582682195.3915396</v>
      </c>
      <c r="DJ371" s="605">
        <f>'Detailed Budget'!$AC$156</f>
        <v>27713070000</v>
      </c>
      <c r="DK371" s="605">
        <f>AT371*DJ371</f>
        <v>1217370000</v>
      </c>
      <c r="DL371" s="605">
        <f>DI371+DK371</f>
        <v>7800052195.3915396</v>
      </c>
      <c r="DM371" s="207">
        <f>'Detailed Budget'!$AC$178</f>
        <v>5622683761.6229038</v>
      </c>
      <c r="DN371" s="605">
        <f>SUM(DN372:DN405)</f>
        <v>646460396.69961047</v>
      </c>
      <c r="DO371" s="605">
        <f>'Detailed Budget'!$AC$179</f>
        <v>26827890683.128094</v>
      </c>
      <c r="DP371" s="605">
        <f>SUM(DP372:DP405)</f>
        <v>3084500168.4481826</v>
      </c>
      <c r="DQ371" s="605">
        <f>SUM(DQ372:DQ405)</f>
        <v>3730960565.1477928</v>
      </c>
      <c r="DR371" s="605">
        <f>'Detailed Budget'!$AC$181</f>
        <v>50888946855.375237</v>
      </c>
      <c r="DS371" s="605">
        <f>SUM(DS372:DS405)</f>
        <v>4764800586.2423296</v>
      </c>
      <c r="DT371" s="605">
        <f>SUM(DT372:DT405)</f>
        <v>8495761151.3901234</v>
      </c>
      <c r="DU371" s="634">
        <f>'Detailed Budget'!$AC$192</f>
        <v>77498869683.252869</v>
      </c>
      <c r="DV371" s="605">
        <f t="shared" si="995"/>
        <v>0</v>
      </c>
      <c r="DW371" s="930">
        <f>'Detailed Budget'!$AC$194</f>
        <v>2684962805.4134097</v>
      </c>
      <c r="DX371" s="605">
        <f t="shared" si="996"/>
        <v>0</v>
      </c>
      <c r="DY371" s="605">
        <f t="shared" si="906"/>
        <v>0</v>
      </c>
      <c r="DZ371" s="207">
        <f>'Detailed Budget'!$AC$198</f>
        <v>18732540018.380611</v>
      </c>
      <c r="EA371" s="605">
        <f t="shared" ref="EA371:EA405" si="1013">CF371*DZ371</f>
        <v>1046928412.3385184</v>
      </c>
      <c r="EB371" s="207">
        <f>'Detailed Budget'!$AC$200</f>
        <v>4683135004.5951529</v>
      </c>
      <c r="EC371" s="605">
        <f t="shared" si="997"/>
        <v>261732103.0846296</v>
      </c>
      <c r="ED371" s="605">
        <f t="shared" si="907"/>
        <v>1308660515.4231479</v>
      </c>
      <c r="EE371" s="207">
        <f>'Detailed Budget'!$AC$161</f>
        <v>251147290106.36197</v>
      </c>
      <c r="EF371" s="605">
        <f t="shared" si="998"/>
        <v>9969681812.3081226</v>
      </c>
      <c r="EG371" s="207">
        <f>'Detailed Budget'!$AC$163</f>
        <v>15696705631.647623</v>
      </c>
      <c r="EH371" s="605">
        <f t="shared" si="999"/>
        <v>623105113.26925766</v>
      </c>
      <c r="EI371" s="605">
        <f t="shared" si="908"/>
        <v>10592786925.577381</v>
      </c>
      <c r="EJ371" s="207">
        <f>'Detailed Budget'!$AC$204</f>
        <v>45012172507.531975</v>
      </c>
      <c r="EK371" s="605">
        <f t="shared" si="1000"/>
        <v>2915472511.0670214</v>
      </c>
      <c r="EL371" s="207">
        <f>'Detailed Budget'!$AC$206</f>
        <v>11253043126.882994</v>
      </c>
      <c r="EM371" s="605">
        <f t="shared" si="1001"/>
        <v>728868127.76675534</v>
      </c>
      <c r="EN371" s="605">
        <f t="shared" si="909"/>
        <v>3644340638.8337765</v>
      </c>
      <c r="EO371" s="930">
        <f>'Detailed Budget'!$AC$209</f>
        <v>135789361677.54817</v>
      </c>
      <c r="EP371" s="605">
        <f t="shared" si="1002"/>
        <v>6243065169.6245184</v>
      </c>
      <c r="EQ371" s="207">
        <f>'Detailed Budget'!$AC$211</f>
        <v>33947340419.387043</v>
      </c>
      <c r="ER371" s="605">
        <f t="shared" si="1003"/>
        <v>1560766292.4061296</v>
      </c>
      <c r="ES371" s="605">
        <f t="shared" si="910"/>
        <v>7803831462.0306482</v>
      </c>
      <c r="ET371" s="207">
        <f>'Detailed Budget'!$AC$214</f>
        <v>22239745544.201103</v>
      </c>
      <c r="EU371" s="605">
        <f t="shared" si="1004"/>
        <v>1988924052.1032028</v>
      </c>
      <c r="EV371" s="930">
        <f>'Detailed Budget'!$AC$217</f>
        <v>5559936386.0502758</v>
      </c>
      <c r="EW371" s="605">
        <f t="shared" si="1005"/>
        <v>497231013.0258007</v>
      </c>
      <c r="EX371" s="605">
        <f t="shared" si="911"/>
        <v>2486155065.1290035</v>
      </c>
      <c r="EY371" s="207">
        <f>'Detailed Budget'!$AC$219</f>
        <v>372777004.58170313</v>
      </c>
      <c r="EZ371" s="605">
        <f t="shared" si="1006"/>
        <v>17425264.440123878</v>
      </c>
      <c r="FA371" s="207">
        <f>'Detailed Budget'!$AC$222</f>
        <v>93194251.145425782</v>
      </c>
      <c r="FB371" s="605">
        <f t="shared" si="1007"/>
        <v>4356316.1100309696</v>
      </c>
      <c r="FC371" s="605">
        <f t="shared" si="912"/>
        <v>21781580.55015485</v>
      </c>
      <c r="FD371" s="605"/>
      <c r="FE371" s="605">
        <f t="shared" si="913"/>
        <v>13956108746.543585</v>
      </c>
      <c r="FF371" s="930">
        <f>'Detailed Budget'!$AC$165</f>
        <v>14927760000</v>
      </c>
      <c r="FG371" s="1087">
        <f t="shared" si="972"/>
        <v>19037056138.902241</v>
      </c>
      <c r="FH371" s="605">
        <f t="shared" ref="FH371:FH405" si="1014">AV371*FF371</f>
        <v>612307846.83558679</v>
      </c>
      <c r="FI371" s="605"/>
      <c r="FJ371" s="930">
        <f>'Detailed Budget'!$AC$235</f>
        <v>3623696172</v>
      </c>
      <c r="FK371" s="605">
        <f t="shared" ref="FK371:FK405" si="1015">AT371*FJ371</f>
        <v>159180452</v>
      </c>
      <c r="FL371" s="605">
        <f t="shared" si="973"/>
        <v>159180452</v>
      </c>
      <c r="FM371" s="605"/>
      <c r="FN371" s="605">
        <f>'Detailed Budget'!$AC$251</f>
        <v>1047595800</v>
      </c>
      <c r="FO371" s="605">
        <f>AR371*FN371</f>
        <v>28313400</v>
      </c>
      <c r="FP371" s="605">
        <f>'Detailed Budget'!$AB$254</f>
        <v>2773297530</v>
      </c>
      <c r="FQ371" s="605">
        <f>BE371*FP371</f>
        <v>57334635</v>
      </c>
      <c r="FR371" s="605">
        <f>'Detailed Budget'!$AC$257</f>
        <v>13636439388</v>
      </c>
      <c r="FS371" s="605">
        <f t="shared" ref="FS371:FS405" si="1016">BA371*FR371</f>
        <v>913892771.99999988</v>
      </c>
      <c r="FT371" s="605">
        <f t="shared" si="974"/>
        <v>999540806.99999988</v>
      </c>
      <c r="FU371" s="605"/>
      <c r="FV371" s="605">
        <f>'Detailed Budget'!$AC$265</f>
        <v>6277805540</v>
      </c>
      <c r="FW371" s="605">
        <f>AR371*FV371</f>
        <v>169670420</v>
      </c>
      <c r="FX371" s="930">
        <f>'Detailed Budget'!$AC$278</f>
        <v>1114560000</v>
      </c>
      <c r="FY371" s="605">
        <f t="shared" ref="FY371:FY405" si="1017">AT371*FX371</f>
        <v>48960000</v>
      </c>
      <c r="FZ371" s="605">
        <f t="shared" si="975"/>
        <v>218630420</v>
      </c>
      <c r="GB371" s="269">
        <f t="shared" si="983"/>
        <v>103687465971.41814</v>
      </c>
      <c r="GC371" s="889">
        <f t="shared" si="914"/>
        <v>64804666.232136339</v>
      </c>
      <c r="GD371" s="1078">
        <f t="shared" si="984"/>
        <v>5.818230218185412E-2</v>
      </c>
    </row>
    <row r="372" spans="1:186" hidden="1" outlineLevel="1">
      <c r="A372" s="211" t="s">
        <v>883</v>
      </c>
      <c r="B372" s="212" t="s">
        <v>884</v>
      </c>
      <c r="C372" s="213" t="s">
        <v>215</v>
      </c>
      <c r="D372" s="214" t="s">
        <v>215</v>
      </c>
      <c r="E372" s="213"/>
      <c r="F372" s="213"/>
      <c r="G372" s="213"/>
      <c r="H372" s="213" t="s">
        <v>215</v>
      </c>
      <c r="I372" s="214" t="s">
        <v>215</v>
      </c>
      <c r="J372" s="214"/>
      <c r="K372" s="213" t="s">
        <v>215</v>
      </c>
      <c r="L372" s="213"/>
      <c r="M372" s="214"/>
      <c r="N372" s="213"/>
      <c r="O372" s="214"/>
      <c r="P372" s="213"/>
      <c r="Q372" s="214"/>
      <c r="R372" s="214" t="s">
        <v>215</v>
      </c>
      <c r="S372" s="214" t="s">
        <v>215</v>
      </c>
      <c r="T372" s="214"/>
      <c r="U372" s="215">
        <f t="shared" ref="U372:U405" si="1018">COUNTA(C372:T372)</f>
        <v>7</v>
      </c>
      <c r="V372" s="845" t="s">
        <v>399</v>
      </c>
      <c r="W372" s="216">
        <v>149516</v>
      </c>
      <c r="X372" s="217">
        <v>3.04</v>
      </c>
      <c r="Y372" s="218">
        <f t="shared" si="986"/>
        <v>1.0304</v>
      </c>
      <c r="Z372" s="196">
        <v>19</v>
      </c>
      <c r="AA372" s="218">
        <f t="shared" si="987"/>
        <v>1.7664898659259882</v>
      </c>
      <c r="AB372" s="196">
        <f t="shared" si="1009"/>
        <v>264118.49879379006</v>
      </c>
      <c r="AC372">
        <v>20.8</v>
      </c>
      <c r="AD372" s="196">
        <f t="shared" si="1010"/>
        <v>54936.647749108335</v>
      </c>
      <c r="AE372" s="196">
        <f t="shared" si="990"/>
        <v>52189.815361652916</v>
      </c>
      <c r="AF372" s="196">
        <f t="shared" ref="AF372:AF405" si="1019">AE372*BT372</f>
        <v>52189.815361652916</v>
      </c>
      <c r="AG372" s="606">
        <f t="shared" si="917"/>
        <v>2.4130279447403509E-3</v>
      </c>
      <c r="AH372" s="196">
        <f>AB372*0.05</f>
        <v>13205.924939689503</v>
      </c>
      <c r="AI372" s="248">
        <f t="shared" si="896"/>
        <v>1.0230429961470664E-3</v>
      </c>
      <c r="AJ372" s="196">
        <f t="shared" si="897"/>
        <v>68142.572688797838</v>
      </c>
      <c r="AK372" s="196">
        <f t="shared" si="926"/>
        <v>10564.739951751602</v>
      </c>
      <c r="AL372" s="196">
        <f t="shared" si="927"/>
        <v>10564.739951751602</v>
      </c>
      <c r="AM372" s="196">
        <f t="shared" si="898"/>
        <v>21129.479903503205</v>
      </c>
      <c r="AN372" s="627">
        <f t="shared" si="899"/>
        <v>1.0230429961470664E-3</v>
      </c>
      <c r="AO372" s="196">
        <f t="shared" si="900"/>
        <v>10036.502954164022</v>
      </c>
      <c r="AP372" s="589">
        <f t="shared" si="918"/>
        <v>1.0230429961470664E-3</v>
      </c>
      <c r="AQ372" s="196"/>
      <c r="AR372" s="589"/>
      <c r="AS372">
        <v>1</v>
      </c>
      <c r="AT372" s="589">
        <f t="shared" si="919"/>
        <v>1.2919896640826874E-3</v>
      </c>
      <c r="AU372" s="196">
        <v>11</v>
      </c>
      <c r="AV372" s="245">
        <f t="shared" si="901"/>
        <v>1.2498579706851495E-3</v>
      </c>
      <c r="AX372" s="245"/>
      <c r="AY372" s="245"/>
      <c r="AZ372" s="196">
        <v>122</v>
      </c>
      <c r="BA372" s="589">
        <f t="shared" si="977"/>
        <v>4.470338206734821E-3</v>
      </c>
      <c r="BI372" s="196">
        <v>0</v>
      </c>
      <c r="BJ372" s="196">
        <f t="shared" ref="BJ372:BJ405" si="1020">AB372/10248439*6360116</f>
        <v>163910.258925712</v>
      </c>
      <c r="BK372" s="246">
        <f t="shared" si="978"/>
        <v>3.1256697443982312E-3</v>
      </c>
      <c r="BL372" s="196">
        <f>BJ372/50</f>
        <v>3278.2051785142398</v>
      </c>
      <c r="BM372" s="246">
        <f t="shared" si="979"/>
        <v>3.1256693867704548E-3</v>
      </c>
      <c r="BN372" s="196">
        <v>0</v>
      </c>
      <c r="BO372" s="196">
        <f t="shared" ref="BO372:BO405" si="1021">AJ372/2644097*791345</f>
        <v>20394.215561840858</v>
      </c>
      <c r="BP372" s="196">
        <f t="shared" si="902"/>
        <v>0</v>
      </c>
      <c r="BQ372" s="248">
        <f t="shared" si="980"/>
        <v>0</v>
      </c>
      <c r="BR372" s="248"/>
      <c r="BS372" s="248"/>
      <c r="BT372" s="276">
        <v>1</v>
      </c>
      <c r="BU372" s="196">
        <f>AD372*BT372*0.18*4*1.08</f>
        <v>42718.737289706645</v>
      </c>
      <c r="BV372" s="264">
        <f t="shared" si="981"/>
        <v>2.963052534400839E-3</v>
      </c>
      <c r="BW372" s="196">
        <f>AD372*BT372*0.77*4*1.08</f>
        <v>182741.26507263398</v>
      </c>
      <c r="BX372" s="247">
        <f t="shared" si="982"/>
        <v>2.9630525610921297E-3</v>
      </c>
      <c r="BY372" s="196">
        <f t="shared" si="985"/>
        <v>225460.00236234063</v>
      </c>
      <c r="BZ372" s="620">
        <v>0</v>
      </c>
      <c r="CA372" s="196">
        <f t="shared" ref="CA372:CA405" si="1022">AK372*0.85*0.75*12</f>
        <v>80820.260630899749</v>
      </c>
      <c r="CB372" s="196">
        <f t="shared" ref="CB372:CB405" si="1023">AL372*0.85*0.75*2*12</f>
        <v>161640.5212617995</v>
      </c>
      <c r="CC372" s="196">
        <f t="shared" si="915"/>
        <v>242460.78189269925</v>
      </c>
      <c r="CD372" s="247">
        <f t="shared" si="903"/>
        <v>1.0230429961470664E-3</v>
      </c>
      <c r="CE372" s="196">
        <f t="shared" ref="CE372:CE405" si="1024">AH372/512422*1294215</f>
        <v>33353.966351601317</v>
      </c>
      <c r="CF372" s="247">
        <f t="shared" si="904"/>
        <v>1.4403279960852489E-3</v>
      </c>
      <c r="CG372" s="196">
        <f t="shared" si="991"/>
        <v>40146.011816656086</v>
      </c>
      <c r="CH372" s="589">
        <f t="shared" si="920"/>
        <v>1.0230429961470664E-3</v>
      </c>
      <c r="CI372" s="196">
        <f t="shared" ref="CI372:CI405" si="1025">AD372/2131675*3939827</f>
        <v>101535.59435252853</v>
      </c>
      <c r="CJ372" s="248">
        <f t="shared" si="921"/>
        <v>1.6692449134241543E-3</v>
      </c>
      <c r="CK372" s="196">
        <f t="shared" ref="CK372:CK405" si="1026">AD372/2131675*3198291</f>
        <v>82425.034804153285</v>
      </c>
      <c r="CL372" s="589">
        <f t="shared" si="922"/>
        <v>1.1848768294160364E-3</v>
      </c>
      <c r="CM372" s="196">
        <f t="shared" ref="CM372:CM405" si="1027">AD372/2131675*620569</f>
        <v>15993.047981993695</v>
      </c>
      <c r="CN372" s="589">
        <f t="shared" si="923"/>
        <v>2.3047799696146514E-3</v>
      </c>
      <c r="CO372" s="196">
        <f t="shared" ref="CO372:CO405" si="1028">AD372/2131675*24787</f>
        <v>638.8003273281098</v>
      </c>
      <c r="CP372" s="589">
        <f t="shared" si="924"/>
        <v>1.2046790239768528E-3</v>
      </c>
      <c r="CQ372" s="196">
        <f>'Detailed Budget'!$AC$12</f>
        <v>292876014141.44696</v>
      </c>
      <c r="CR372" s="269">
        <f t="shared" si="925"/>
        <v>915433696.26186931</v>
      </c>
      <c r="CS372" s="269">
        <f>'Detailed Budget'!$AC$16</f>
        <v>10488008800.000002</v>
      </c>
      <c r="CT372" s="607">
        <f t="shared" si="992"/>
        <v>32782048.034339141</v>
      </c>
      <c r="CU372" s="269">
        <f>'Detailed Budget'!$AC$24</f>
        <v>30624985696</v>
      </c>
      <c r="CV372" s="269">
        <f t="shared" si="976"/>
        <v>95723591.212615803</v>
      </c>
      <c r="CW372" s="269"/>
      <c r="CX372" s="269">
        <f t="shared" si="916"/>
        <v>1043939335.5088243</v>
      </c>
      <c r="CY372" s="196">
        <f>'Detailed Budget'!$AC$97</f>
        <v>74629165494.837845</v>
      </c>
      <c r="CZ372" s="269">
        <f t="shared" si="993"/>
        <v>0</v>
      </c>
      <c r="DA372" s="269">
        <f>'Detailed Budget'!$AC$100</f>
        <v>14925833098.967569</v>
      </c>
      <c r="DB372" s="269">
        <f t="shared" si="994"/>
        <v>0</v>
      </c>
      <c r="DC372" s="269">
        <f t="shared" si="905"/>
        <v>0</v>
      </c>
      <c r="DD372" s="207">
        <v>1</v>
      </c>
      <c r="DE372" s="606">
        <v>0</v>
      </c>
      <c r="DF372" s="269">
        <f>'Detailed Budget'!$AC$147</f>
        <v>5913600671000</v>
      </c>
      <c r="DG372" s="269">
        <f t="shared" si="971"/>
        <v>0</v>
      </c>
      <c r="DH372" s="269">
        <f>'Detailed Budget'!$AC$153</f>
        <v>226428026880.00003</v>
      </c>
      <c r="DI372" s="269"/>
      <c r="DJ372" s="269">
        <f>'Detailed Budget'!$AC$156</f>
        <v>27713070000</v>
      </c>
      <c r="DK372" s="269"/>
      <c r="DL372" s="269"/>
      <c r="DM372" s="196">
        <f>'Detailed Budget'!$AC$178</f>
        <v>5622683761.6229038</v>
      </c>
      <c r="DN372" s="269">
        <f t="shared" ref="DN372:DN405" si="1029">BT372*BV372*DM372</f>
        <v>16660307.370011188</v>
      </c>
      <c r="DO372" s="196">
        <f>'Detailed Budget'!$AC$179</f>
        <v>26827890683.128094</v>
      </c>
      <c r="DP372" s="269">
        <f t="shared" ref="DP372:DP405" si="1030">BT372*BX372*DO372</f>
        <v>79492450.197342381</v>
      </c>
      <c r="DQ372" s="269">
        <f t="shared" si="1008"/>
        <v>96152757.567353576</v>
      </c>
      <c r="DR372" s="269">
        <f>'Detailed Budget'!$AC$181</f>
        <v>50888946855.375237</v>
      </c>
      <c r="DS372" s="269">
        <f t="shared" ref="DS372:DS405" si="1031">BT372*AG372*DR372</f>
        <v>122796450.84042706</v>
      </c>
      <c r="DT372" s="269">
        <f t="shared" ref="DT372:DT405" si="1032">DQ372+DS372</f>
        <v>218949208.40778065</v>
      </c>
      <c r="DU372" s="272">
        <f>'Detailed Budget'!$AC$192</f>
        <v>77498869683.252869</v>
      </c>
      <c r="DV372" s="269">
        <f t="shared" si="995"/>
        <v>0</v>
      </c>
      <c r="DW372" s="140">
        <f>'Detailed Budget'!$AC$194</f>
        <v>2684962805.4134097</v>
      </c>
      <c r="DX372" s="269">
        <f t="shared" si="996"/>
        <v>0</v>
      </c>
      <c r="DY372" s="607">
        <f t="shared" si="906"/>
        <v>0</v>
      </c>
      <c r="DZ372" s="196">
        <f>'Detailed Budget'!$AC$198</f>
        <v>18732540018.380611</v>
      </c>
      <c r="EA372" s="269">
        <f t="shared" si="1013"/>
        <v>26981001.82626088</v>
      </c>
      <c r="EB372" s="196">
        <f>'Detailed Budget'!$AC$200</f>
        <v>4683135004.5951529</v>
      </c>
      <c r="EC372" s="269">
        <f t="shared" si="997"/>
        <v>6745250.4565652199</v>
      </c>
      <c r="ED372" s="269">
        <f t="shared" si="907"/>
        <v>33726252.282826096</v>
      </c>
      <c r="EE372" s="196">
        <f>'Detailed Budget'!$AC$161</f>
        <v>251147290106.36197</v>
      </c>
      <c r="EF372" s="269">
        <f t="shared" si="998"/>
        <v>256934476.14462903</v>
      </c>
      <c r="EG372" s="196">
        <f>'Detailed Budget'!$AC$163</f>
        <v>15696705631.647623</v>
      </c>
      <c r="EH372" s="269">
        <f t="shared" si="999"/>
        <v>16058404.759039314</v>
      </c>
      <c r="EI372" s="269">
        <f t="shared" si="908"/>
        <v>272992880.90366834</v>
      </c>
      <c r="EJ372" s="196">
        <f>'Detailed Budget'!$AC$204</f>
        <v>45012172507.531975</v>
      </c>
      <c r="EK372" s="269">
        <f t="shared" si="1000"/>
        <v>75136340.000368312</v>
      </c>
      <c r="EL372" s="201">
        <f>'Detailed Budget'!$AC$206</f>
        <v>11253043126.882994</v>
      </c>
      <c r="EM372" s="269">
        <f t="shared" si="1001"/>
        <v>18784085.000092078</v>
      </c>
      <c r="EN372" s="269">
        <f t="shared" si="909"/>
        <v>93920425.000460386</v>
      </c>
      <c r="EO372" s="140">
        <f>'Detailed Budget'!$AC$209</f>
        <v>135789361677.54817</v>
      </c>
      <c r="EP372" s="269">
        <f t="shared" si="1002"/>
        <v>160893668.3329207</v>
      </c>
      <c r="EQ372" s="196">
        <f>'Detailed Budget'!$AC$211</f>
        <v>33947340419.387043</v>
      </c>
      <c r="ER372" s="269">
        <f t="shared" si="1003"/>
        <v>40223417.083230175</v>
      </c>
      <c r="ES372" s="269">
        <f t="shared" si="910"/>
        <v>201117085.41615087</v>
      </c>
      <c r="ET372" s="196">
        <f>'Detailed Budget'!$AC$214</f>
        <v>22239745544.201103</v>
      </c>
      <c r="EU372" s="269">
        <f t="shared" si="1004"/>
        <v>51257720.059601396</v>
      </c>
      <c r="EV372" s="140">
        <f>'Detailed Budget'!$AC$217</f>
        <v>5559936386.0502758</v>
      </c>
      <c r="EW372" s="269">
        <f t="shared" si="1005"/>
        <v>12814430.014900349</v>
      </c>
      <c r="EX372" s="269">
        <f t="shared" si="911"/>
        <v>64072150.074501745</v>
      </c>
      <c r="EY372" s="196">
        <f>'Detailed Budget'!$AC$219</f>
        <v>372777004.58170313</v>
      </c>
      <c r="EZ372" s="269">
        <f t="shared" si="1006"/>
        <v>449076.63804050093</v>
      </c>
      <c r="FA372" s="196">
        <f>'Detailed Budget'!$AC$222</f>
        <v>93194251.145425782</v>
      </c>
      <c r="FB372" s="269">
        <f t="shared" si="1007"/>
        <v>112269.15951012523</v>
      </c>
      <c r="FC372" s="269">
        <f t="shared" si="912"/>
        <v>561345.7975506261</v>
      </c>
      <c r="FD372" s="269"/>
      <c r="FE372" s="269">
        <f t="shared" si="913"/>
        <v>359671006.28866363</v>
      </c>
      <c r="FF372" s="140">
        <f>'Detailed Budget'!$AC$165</f>
        <v>14927760000</v>
      </c>
      <c r="FG372" s="1087">
        <f t="shared" si="972"/>
        <v>490615060.58760971</v>
      </c>
      <c r="FH372" s="269">
        <f t="shared" si="1014"/>
        <v>18657579.820474949</v>
      </c>
      <c r="FJ372" s="140">
        <f>'Detailed Budget'!$AC$235</f>
        <v>3623696172</v>
      </c>
      <c r="FK372" s="269">
        <f t="shared" si="1015"/>
        <v>4681778</v>
      </c>
      <c r="FL372" s="269">
        <f t="shared" si="973"/>
        <v>4681778</v>
      </c>
      <c r="FO372" s="607"/>
      <c r="FP372" s="607"/>
      <c r="FQ372" s="607"/>
      <c r="FR372" s="269">
        <f>'Detailed Budget'!$AC$257</f>
        <v>13636439388</v>
      </c>
      <c r="FS372" s="269">
        <f t="shared" si="1016"/>
        <v>60959496</v>
      </c>
      <c r="FT372" s="269">
        <f t="shared" si="974"/>
        <v>60959496</v>
      </c>
      <c r="FU372" s="269"/>
      <c r="FV372" s="269"/>
      <c r="FW372" s="269"/>
      <c r="FX372" s="140">
        <f>'Detailed Budget'!$AC$278</f>
        <v>1114560000</v>
      </c>
      <c r="FY372" s="269">
        <f t="shared" si="1017"/>
        <v>1440000</v>
      </c>
      <c r="FZ372" s="269">
        <f t="shared" si="975"/>
        <v>1440000</v>
      </c>
      <c r="GB372" s="269">
        <f t="shared" si="983"/>
        <v>2505632597.7998481</v>
      </c>
      <c r="GC372" s="887">
        <f t="shared" si="914"/>
        <v>1566020.373624905</v>
      </c>
      <c r="GD372" s="1078">
        <f t="shared" si="984"/>
        <v>1.4059893507483412E-3</v>
      </c>
    </row>
    <row r="373" spans="1:186" hidden="1" outlineLevel="1">
      <c r="A373" s="211" t="s">
        <v>885</v>
      </c>
      <c r="B373" s="212" t="s">
        <v>886</v>
      </c>
      <c r="C373" s="213" t="s">
        <v>215</v>
      </c>
      <c r="D373" s="214" t="s">
        <v>215</v>
      </c>
      <c r="E373" s="213"/>
      <c r="F373" s="213"/>
      <c r="G373" s="213"/>
      <c r="H373" s="213" t="s">
        <v>215</v>
      </c>
      <c r="I373" s="214" t="s">
        <v>215</v>
      </c>
      <c r="J373" s="214"/>
      <c r="K373" s="213" t="s">
        <v>215</v>
      </c>
      <c r="L373" s="213"/>
      <c r="M373" s="214"/>
      <c r="N373" s="213"/>
      <c r="O373" s="214"/>
      <c r="P373" s="213"/>
      <c r="Q373" s="214"/>
      <c r="R373" s="214" t="s">
        <v>215</v>
      </c>
      <c r="S373" s="214"/>
      <c r="T373" s="214"/>
      <c r="U373" s="215">
        <f t="shared" si="1018"/>
        <v>6</v>
      </c>
      <c r="V373" s="845" t="s">
        <v>219</v>
      </c>
      <c r="W373" s="216">
        <v>189059</v>
      </c>
      <c r="X373" s="217">
        <v>3.04</v>
      </c>
      <c r="Y373" s="218">
        <f t="shared" si="986"/>
        <v>1.0304</v>
      </c>
      <c r="Z373" s="196">
        <v>19</v>
      </c>
      <c r="AA373" s="218">
        <f t="shared" si="987"/>
        <v>1.7664898659259882</v>
      </c>
      <c r="AB373" s="196">
        <f t="shared" si="1009"/>
        <v>333970.8075621014</v>
      </c>
      <c r="AC373">
        <v>20.8</v>
      </c>
      <c r="AD373" s="196">
        <f t="shared" si="1010"/>
        <v>69465.927972917096</v>
      </c>
      <c r="AE373" s="196">
        <f t="shared" si="990"/>
        <v>65992.631574271232</v>
      </c>
      <c r="AF373" s="196">
        <f t="shared" si="1019"/>
        <v>65992.631574271232</v>
      </c>
      <c r="AG373" s="606">
        <f t="shared" si="917"/>
        <v>3.0512095709132533E-3</v>
      </c>
      <c r="AH373" s="196">
        <f t="shared" ref="AH373:AH405" si="1033">AB373*0.05</f>
        <v>16698.54037810507</v>
      </c>
      <c r="AI373" s="248">
        <f t="shared" ref="AI373:AI434" si="1034">AH373/12908475</f>
        <v>1.2936106223318455E-3</v>
      </c>
      <c r="AJ373" s="196">
        <f t="shared" si="897"/>
        <v>86164.468351022166</v>
      </c>
      <c r="AK373" s="196">
        <f t="shared" si="926"/>
        <v>13358.832302484056</v>
      </c>
      <c r="AL373" s="196">
        <f t="shared" si="927"/>
        <v>13358.832302484056</v>
      </c>
      <c r="AM373" s="196">
        <f t="shared" si="898"/>
        <v>26717.664604968111</v>
      </c>
      <c r="AN373" s="627">
        <f t="shared" si="899"/>
        <v>1.2936106223318455E-3</v>
      </c>
      <c r="AO373" s="196">
        <f t="shared" si="900"/>
        <v>12690.890687359853</v>
      </c>
      <c r="AP373" s="589">
        <f t="shared" si="918"/>
        <v>1.2936106223318455E-3</v>
      </c>
      <c r="AQ373" s="196"/>
      <c r="AR373" s="589"/>
      <c r="AS373">
        <v>1</v>
      </c>
      <c r="AT373" s="589">
        <f t="shared" si="919"/>
        <v>1.2919896640826874E-3</v>
      </c>
      <c r="AU373" s="196">
        <v>10</v>
      </c>
      <c r="AV373" s="245">
        <f t="shared" si="901"/>
        <v>1.1362345188046814E-3</v>
      </c>
      <c r="AX373" s="245"/>
      <c r="AY373" s="245"/>
      <c r="AZ373" s="196">
        <v>75</v>
      </c>
      <c r="BA373" s="589">
        <f t="shared" si="977"/>
        <v>2.7481587336484555E-3</v>
      </c>
      <c r="BI373" s="196">
        <v>0</v>
      </c>
      <c r="BJ373" s="196">
        <f t="shared" si="1020"/>
        <v>207260.15705500534</v>
      </c>
      <c r="BK373" s="246">
        <f t="shared" si="978"/>
        <v>3.9523261470757985E-3</v>
      </c>
      <c r="BL373" s="196">
        <f t="shared" ref="BL373:BL405" si="1035">BJ373/50</f>
        <v>4145.2031411001071</v>
      </c>
      <c r="BM373" s="246">
        <f t="shared" si="979"/>
        <v>3.9523256948650002E-3</v>
      </c>
      <c r="BN373" s="196">
        <v>0</v>
      </c>
      <c r="BO373" s="196">
        <f t="shared" si="1021"/>
        <v>25787.942426938054</v>
      </c>
      <c r="BP373" s="196">
        <f t="shared" si="902"/>
        <v>0</v>
      </c>
      <c r="BQ373" s="248">
        <f t="shared" si="980"/>
        <v>0</v>
      </c>
      <c r="BR373" s="248"/>
      <c r="BS373" s="248"/>
      <c r="BT373" s="276">
        <v>1</v>
      </c>
      <c r="BU373" s="196">
        <f t="shared" ref="BU373:BU405" si="1036">AD373*BT373*0.18*4*1.08</f>
        <v>54016.705591740334</v>
      </c>
      <c r="BV373" s="264">
        <f t="shared" si="981"/>
        <v>3.7467010159533977E-3</v>
      </c>
      <c r="BW373" s="196">
        <f t="shared" ref="BW373:BW405" si="1037">AD373*BT373*0.77*4*1.08</f>
        <v>231071.46280911143</v>
      </c>
      <c r="BX373" s="247">
        <f t="shared" si="982"/>
        <v>3.7467010497038238E-3</v>
      </c>
      <c r="BY373" s="196">
        <f t="shared" si="985"/>
        <v>285088.16840085178</v>
      </c>
      <c r="BZ373" s="620">
        <v>0</v>
      </c>
      <c r="CA373" s="196">
        <f t="shared" si="1022"/>
        <v>102195.06711400303</v>
      </c>
      <c r="CB373" s="196">
        <f t="shared" si="1023"/>
        <v>204390.13422800606</v>
      </c>
      <c r="CC373" s="196">
        <f t="shared" si="915"/>
        <v>306585.20134200912</v>
      </c>
      <c r="CD373" s="247">
        <f t="shared" si="903"/>
        <v>1.2936106223318457E-3</v>
      </c>
      <c r="CE373" s="196">
        <f t="shared" si="1024"/>
        <v>42175.202148715813</v>
      </c>
      <c r="CF373" s="247">
        <f t="shared" si="904"/>
        <v>1.8212563913686901E-3</v>
      </c>
      <c r="CG373" s="196">
        <f t="shared" si="991"/>
        <v>50763.562749439414</v>
      </c>
      <c r="CH373" s="589">
        <f t="shared" si="920"/>
        <v>1.2936106223318455E-3</v>
      </c>
      <c r="CI373" s="196">
        <f t="shared" si="1025"/>
        <v>128389.05490178101</v>
      </c>
      <c r="CJ373" s="248">
        <f t="shared" si="921"/>
        <v>2.11071573669077E-3</v>
      </c>
      <c r="CK373" s="196">
        <f t="shared" si="1026"/>
        <v>104224.26131677155</v>
      </c>
      <c r="CL373" s="589">
        <f t="shared" si="922"/>
        <v>1.498245194444517E-3</v>
      </c>
      <c r="CM373" s="196">
        <f t="shared" si="1027"/>
        <v>20222.783236762258</v>
      </c>
      <c r="CN373" s="589">
        <f t="shared" si="923"/>
        <v>2.9143328892919573E-3</v>
      </c>
      <c r="CO373" s="196">
        <f t="shared" si="1028"/>
        <v>807.74600099203485</v>
      </c>
      <c r="CP373" s="589">
        <f t="shared" si="924"/>
        <v>1.5232845420827185E-3</v>
      </c>
      <c r="CQ373" s="196">
        <f>'Detailed Budget'!$AC$12</f>
        <v>292876014141.44696</v>
      </c>
      <c r="CR373" s="269">
        <f t="shared" si="925"/>
        <v>1157541528.542582</v>
      </c>
      <c r="CS373" s="269">
        <f>'Detailed Budget'!$AC$16</f>
        <v>10488008800.000002</v>
      </c>
      <c r="CT373" s="607">
        <f t="shared" si="992"/>
        <v>41452026.668210246</v>
      </c>
      <c r="CU373" s="269">
        <f>'Detailed Budget'!$AC$24</f>
        <v>30624985696</v>
      </c>
      <c r="CV373" s="269">
        <f t="shared" si="976"/>
        <v>121039931.72012313</v>
      </c>
      <c r="CW373" s="269"/>
      <c r="CX373" s="269">
        <f t="shared" si="916"/>
        <v>1320033486.9309154</v>
      </c>
      <c r="CY373" s="196">
        <f>'Detailed Budget'!$AC$97</f>
        <v>74629165494.837845</v>
      </c>
      <c r="CZ373" s="269">
        <f t="shared" si="993"/>
        <v>0</v>
      </c>
      <c r="DA373" s="269">
        <f>'Detailed Budget'!$AC$100</f>
        <v>14925833098.967569</v>
      </c>
      <c r="DB373" s="269">
        <f t="shared" si="994"/>
        <v>0</v>
      </c>
      <c r="DC373" s="269">
        <f t="shared" si="905"/>
        <v>0</v>
      </c>
      <c r="DD373" s="207">
        <v>0</v>
      </c>
      <c r="DE373" s="606">
        <v>0</v>
      </c>
      <c r="DF373" s="269">
        <f>'Detailed Budget'!$AC$147</f>
        <v>5913600671000</v>
      </c>
      <c r="DG373" s="269">
        <f t="shared" si="971"/>
        <v>0</v>
      </c>
      <c r="DH373" s="269">
        <f>'Detailed Budget'!$AC$153</f>
        <v>226428026880.00003</v>
      </c>
      <c r="DI373" s="269"/>
      <c r="DJ373" s="269">
        <f>'Detailed Budget'!$AC$156</f>
        <v>27713070000</v>
      </c>
      <c r="DK373" s="269"/>
      <c r="DL373" s="269"/>
      <c r="DM373" s="196">
        <f>'Detailed Budget'!$AC$178</f>
        <v>5622683761.6229038</v>
      </c>
      <c r="DN373" s="269">
        <f t="shared" si="1029"/>
        <v>21066514.962057207</v>
      </c>
      <c r="DO373" s="196">
        <f>'Detailed Budget'!$AC$179</f>
        <v>26827890683.128094</v>
      </c>
      <c r="DP373" s="269">
        <f t="shared" si="1030"/>
        <v>100516086.18381546</v>
      </c>
      <c r="DQ373" s="269">
        <f t="shared" si="1008"/>
        <v>121582601.14587267</v>
      </c>
      <c r="DR373" s="269">
        <f>'Detailed Budget'!$AC$181</f>
        <v>50888946855.375237</v>
      </c>
      <c r="DS373" s="269">
        <f t="shared" si="1031"/>
        <v>155272841.69881684</v>
      </c>
      <c r="DT373" s="269">
        <f t="shared" si="1032"/>
        <v>276855442.84468949</v>
      </c>
      <c r="DU373" s="272">
        <f>'Detailed Budget'!$AC$192</f>
        <v>77498869683.252869</v>
      </c>
      <c r="DV373" s="269">
        <f t="shared" si="995"/>
        <v>0</v>
      </c>
      <c r="DW373" s="140">
        <f>'Detailed Budget'!$AC$194</f>
        <v>2684962805.4134097</v>
      </c>
      <c r="DX373" s="269">
        <f t="shared" si="996"/>
        <v>0</v>
      </c>
      <c r="DY373" s="607">
        <f t="shared" si="906"/>
        <v>0</v>
      </c>
      <c r="DZ373" s="196">
        <f>'Detailed Budget'!$AC$198</f>
        <v>18732540018.380611</v>
      </c>
      <c r="EA373" s="269">
        <f t="shared" si="1013"/>
        <v>34116758.235045448</v>
      </c>
      <c r="EB373" s="196">
        <f>'Detailed Budget'!$AC$200</f>
        <v>4683135004.5951529</v>
      </c>
      <c r="EC373" s="269">
        <f t="shared" si="997"/>
        <v>8529189.558761362</v>
      </c>
      <c r="ED373" s="269">
        <f t="shared" si="907"/>
        <v>42645947.793806806</v>
      </c>
      <c r="EE373" s="196">
        <f>'Detailed Budget'!$AC$161</f>
        <v>251147290106.36197</v>
      </c>
      <c r="EF373" s="269">
        <f t="shared" si="998"/>
        <v>324886802.25144744</v>
      </c>
      <c r="EG373" s="196">
        <f>'Detailed Budget'!$AC$163</f>
        <v>15696705631.647623</v>
      </c>
      <c r="EH373" s="269">
        <f t="shared" si="999"/>
        <v>20305425.140715465</v>
      </c>
      <c r="EI373" s="269">
        <f t="shared" si="908"/>
        <v>345192227.39216292</v>
      </c>
      <c r="EJ373" s="196">
        <f>'Detailed Budget'!$AC$204</f>
        <v>45012172507.531975</v>
      </c>
      <c r="EK373" s="269">
        <f t="shared" si="1000"/>
        <v>95007900.854287371</v>
      </c>
      <c r="EL373" s="201">
        <f>'Detailed Budget'!$AC$206</f>
        <v>11253043126.882994</v>
      </c>
      <c r="EM373" s="269">
        <f t="shared" si="1001"/>
        <v>23751975.213571843</v>
      </c>
      <c r="EN373" s="269">
        <f t="shared" si="909"/>
        <v>118759876.06785922</v>
      </c>
      <c r="EO373" s="140">
        <f>'Detailed Budget'!$AC$209</f>
        <v>135789361677.54817</v>
      </c>
      <c r="EP373" s="269">
        <f t="shared" si="1002"/>
        <v>203445758.59007499</v>
      </c>
      <c r="EQ373" s="196">
        <f>'Detailed Budget'!$AC$211</f>
        <v>33947340419.387043</v>
      </c>
      <c r="ER373" s="269">
        <f t="shared" si="1003"/>
        <v>50861439.647518747</v>
      </c>
      <c r="ES373" s="269">
        <f t="shared" si="910"/>
        <v>254307198.23759374</v>
      </c>
      <c r="ET373" s="196">
        <f>'Detailed Budget'!$AC$214</f>
        <v>22239745544.201103</v>
      </c>
      <c r="EU373" s="269">
        <f t="shared" si="1004"/>
        <v>64814021.888949536</v>
      </c>
      <c r="EV373" s="140">
        <f>'Detailed Budget'!$AC$217</f>
        <v>5559936386.0502758</v>
      </c>
      <c r="EW373" s="269">
        <f t="shared" si="1005"/>
        <v>16203505.472237384</v>
      </c>
      <c r="EX373" s="269">
        <f t="shared" si="911"/>
        <v>81017527.361186922</v>
      </c>
      <c r="EY373" s="196">
        <f>'Detailed Budget'!$AC$219</f>
        <v>372777004.58170313</v>
      </c>
      <c r="EZ373" s="269">
        <f t="shared" si="1006"/>
        <v>567845.44872320711</v>
      </c>
      <c r="FA373" s="196">
        <f>'Detailed Budget'!$AC$222</f>
        <v>93194251.145425782</v>
      </c>
      <c r="FB373" s="269">
        <f t="shared" si="1007"/>
        <v>141961.36218080178</v>
      </c>
      <c r="FC373" s="269">
        <f t="shared" si="912"/>
        <v>709806.81090400892</v>
      </c>
      <c r="FD373" s="269"/>
      <c r="FE373" s="269">
        <f t="shared" si="913"/>
        <v>454794408.47754389</v>
      </c>
      <c r="FF373" s="140">
        <f>'Detailed Budget'!$AC$165</f>
        <v>14927760000</v>
      </c>
      <c r="FG373" s="1087">
        <f t="shared" si="972"/>
        <v>620369677.75778449</v>
      </c>
      <c r="FH373" s="269">
        <f t="shared" si="1014"/>
        <v>16961436.200431772</v>
      </c>
      <c r="FJ373" s="140">
        <f>'Detailed Budget'!$AC$235</f>
        <v>3623696172</v>
      </c>
      <c r="FK373" s="269">
        <f t="shared" si="1015"/>
        <v>4681778</v>
      </c>
      <c r="FL373" s="269">
        <f t="shared" si="973"/>
        <v>4681778</v>
      </c>
      <c r="FO373" s="607"/>
      <c r="FP373" s="607"/>
      <c r="FQ373" s="607"/>
      <c r="FR373" s="269">
        <f>'Detailed Budget'!$AC$257</f>
        <v>13636439388</v>
      </c>
      <c r="FS373" s="269">
        <f t="shared" si="1016"/>
        <v>37475100</v>
      </c>
      <c r="FT373" s="269">
        <f t="shared" si="974"/>
        <v>37475100</v>
      </c>
      <c r="FU373" s="269"/>
      <c r="FV373" s="269"/>
      <c r="FW373" s="269"/>
      <c r="FX373" s="140">
        <f>'Detailed Budget'!$AC$278</f>
        <v>1114560000</v>
      </c>
      <c r="FY373" s="269">
        <f t="shared" si="1017"/>
        <v>1440000</v>
      </c>
      <c r="FZ373" s="269">
        <f t="shared" si="975"/>
        <v>1440000</v>
      </c>
      <c r="GB373" s="269">
        <f t="shared" si="983"/>
        <v>3120449505.3973346</v>
      </c>
      <c r="GC373" s="887">
        <f t="shared" si="914"/>
        <v>1950280.9408733342</v>
      </c>
      <c r="GD373" s="1078">
        <f t="shared" si="984"/>
        <v>1.7509824776341945E-3</v>
      </c>
    </row>
    <row r="374" spans="1:186" hidden="1" outlineLevel="1">
      <c r="A374" s="211" t="s">
        <v>887</v>
      </c>
      <c r="B374" s="212" t="s">
        <v>888</v>
      </c>
      <c r="C374" s="213" t="s">
        <v>215</v>
      </c>
      <c r="D374" s="214" t="s">
        <v>215</v>
      </c>
      <c r="E374" s="213"/>
      <c r="F374" s="213"/>
      <c r="G374" s="213"/>
      <c r="H374" s="213" t="s">
        <v>215</v>
      </c>
      <c r="I374" s="214" t="s">
        <v>215</v>
      </c>
      <c r="J374" s="214"/>
      <c r="K374" s="213" t="s">
        <v>215</v>
      </c>
      <c r="L374" s="213"/>
      <c r="M374" s="214"/>
      <c r="N374" s="213"/>
      <c r="O374" s="214"/>
      <c r="P374" s="213"/>
      <c r="Q374" s="214"/>
      <c r="R374" s="214" t="s">
        <v>215</v>
      </c>
      <c r="S374" s="214"/>
      <c r="T374" s="214"/>
      <c r="U374" s="215">
        <f t="shared" si="1018"/>
        <v>6</v>
      </c>
      <c r="V374" s="845" t="s">
        <v>219</v>
      </c>
      <c r="W374" s="216">
        <v>207874</v>
      </c>
      <c r="X374" s="217">
        <v>3.04</v>
      </c>
      <c r="Y374" s="218">
        <f t="shared" si="986"/>
        <v>1.0304</v>
      </c>
      <c r="Z374" s="196">
        <v>19</v>
      </c>
      <c r="AA374" s="218">
        <f t="shared" si="987"/>
        <v>1.7664898659259882</v>
      </c>
      <c r="AB374" s="196">
        <f t="shared" si="1009"/>
        <v>367207.3143894989</v>
      </c>
      <c r="AC374">
        <v>20.8</v>
      </c>
      <c r="AD374" s="196">
        <f t="shared" si="1010"/>
        <v>76379.121393015783</v>
      </c>
      <c r="AE374" s="196">
        <f t="shared" si="990"/>
        <v>72560.165323364985</v>
      </c>
      <c r="AF374" s="196">
        <f t="shared" si="1019"/>
        <v>72560.165323364985</v>
      </c>
      <c r="AG374" s="606">
        <f t="shared" si="917"/>
        <v>3.3548634994579559E-3</v>
      </c>
      <c r="AH374" s="196">
        <f t="shared" si="1033"/>
        <v>18360.365719474947</v>
      </c>
      <c r="AI374" s="248">
        <f t="shared" si="1034"/>
        <v>1.4223497136164377E-3</v>
      </c>
      <c r="AJ374" s="196">
        <f t="shared" ref="AJ374:AJ435" si="1038">AD374+AH374</f>
        <v>94739.487112490722</v>
      </c>
      <c r="AK374" s="196">
        <f t="shared" si="926"/>
        <v>14688.292575579957</v>
      </c>
      <c r="AL374" s="196">
        <f t="shared" si="927"/>
        <v>14688.292575579957</v>
      </c>
      <c r="AM374" s="196">
        <f t="shared" ref="AM374:AM435" si="1039">AK374+AL374</f>
        <v>29376.585151159914</v>
      </c>
      <c r="AN374" s="627">
        <f t="shared" ref="AN374:AN435" si="1040">AM374/20653560</f>
        <v>1.4223497136164377E-3</v>
      </c>
      <c r="AO374" s="196">
        <f t="shared" ref="AO374:AO435" si="1041">AB374*0.038</f>
        <v>13953.877946800958</v>
      </c>
      <c r="AP374" s="589">
        <f t="shared" si="918"/>
        <v>1.4223497136164377E-3</v>
      </c>
      <c r="AQ374" s="196"/>
      <c r="AR374" s="589"/>
      <c r="AS374">
        <v>1</v>
      </c>
      <c r="AT374" s="589">
        <f t="shared" si="919"/>
        <v>1.2919896640826874E-3</v>
      </c>
      <c r="AU374" s="196">
        <v>11</v>
      </c>
      <c r="AV374" s="245">
        <f t="shared" ref="AV374:AV435" si="1042">AU374/8801</f>
        <v>1.2498579706851495E-3</v>
      </c>
      <c r="AX374" s="245"/>
      <c r="AY374" s="245"/>
      <c r="AZ374" s="196">
        <v>87</v>
      </c>
      <c r="BA374" s="589">
        <f t="shared" si="977"/>
        <v>3.1878641310322084E-3</v>
      </c>
      <c r="BI374" s="196">
        <v>0</v>
      </c>
      <c r="BJ374" s="196">
        <f t="shared" si="1020"/>
        <v>227886.52160252718</v>
      </c>
      <c r="BK374" s="246">
        <f t="shared" si="978"/>
        <v>4.3456584743240718E-3</v>
      </c>
      <c r="BL374" s="196">
        <f t="shared" si="1035"/>
        <v>4557.7304320505436</v>
      </c>
      <c r="BM374" s="246">
        <f t="shared" si="979"/>
        <v>4.3456579771096173E-3</v>
      </c>
      <c r="BN374" s="196">
        <v>0</v>
      </c>
      <c r="BO374" s="196">
        <f t="shared" si="1021"/>
        <v>28354.337767878395</v>
      </c>
      <c r="BP374" s="196">
        <f t="shared" ref="BP374:BP435" si="1043">BN374*BO374</f>
        <v>0</v>
      </c>
      <c r="BQ374" s="248">
        <f t="shared" si="980"/>
        <v>0</v>
      </c>
      <c r="BR374" s="248"/>
      <c r="BS374" s="248"/>
      <c r="BT374" s="276">
        <v>1</v>
      </c>
      <c r="BU374" s="196">
        <f t="shared" si="1036"/>
        <v>59392.404795209077</v>
      </c>
      <c r="BV374" s="264">
        <f t="shared" si="981"/>
        <v>4.1195696951231986E-3</v>
      </c>
      <c r="BW374" s="196">
        <f t="shared" si="1037"/>
        <v>254067.50940172773</v>
      </c>
      <c r="BX374" s="247">
        <f t="shared" si="982"/>
        <v>4.1195697322324396E-3</v>
      </c>
      <c r="BY374" s="196">
        <f t="shared" si="985"/>
        <v>313459.91419693682</v>
      </c>
      <c r="BZ374" s="620">
        <v>0</v>
      </c>
      <c r="CA374" s="196">
        <f t="shared" si="1022"/>
        <v>112365.43820318667</v>
      </c>
      <c r="CB374" s="196">
        <f t="shared" si="1023"/>
        <v>224730.87640637334</v>
      </c>
      <c r="CC374" s="196">
        <f t="shared" si="915"/>
        <v>337096.31460956001</v>
      </c>
      <c r="CD374" s="247">
        <f t="shared" ref="CD374:CD435" si="1044">CC374/236999601</f>
        <v>1.4223497136164377E-3</v>
      </c>
      <c r="CE374" s="196">
        <f t="shared" si="1024"/>
        <v>46372.444429845455</v>
      </c>
      <c r="CF374" s="247">
        <f t="shared" ref="CF374:CF435" si="1045">CE374/23157202</f>
        <v>2.0025063662633099E-3</v>
      </c>
      <c r="CG374" s="196">
        <f t="shared" si="991"/>
        <v>55815.511787203832</v>
      </c>
      <c r="CH374" s="589">
        <f t="shared" si="920"/>
        <v>1.4223497136164377E-3</v>
      </c>
      <c r="CI374" s="196">
        <f t="shared" si="1025"/>
        <v>141166.23064044997</v>
      </c>
      <c r="CJ374" s="248">
        <f t="shared" si="921"/>
        <v>2.3207724734017276E-3</v>
      </c>
      <c r="CK374" s="196">
        <f t="shared" si="1026"/>
        <v>114596.57618501407</v>
      </c>
      <c r="CL374" s="589">
        <f t="shared" si="922"/>
        <v>1.6473493541696487E-3</v>
      </c>
      <c r="CM374" s="196">
        <f t="shared" si="1027"/>
        <v>22235.338399963603</v>
      </c>
      <c r="CN374" s="589">
        <f t="shared" si="923"/>
        <v>3.204364960296397E-3</v>
      </c>
      <c r="CO374" s="196">
        <f t="shared" si="1028"/>
        <v>888.13223496484329</v>
      </c>
      <c r="CP374" s="589">
        <f t="shared" si="924"/>
        <v>1.6748805975960051E-3</v>
      </c>
      <c r="CQ374" s="196">
        <f>'Detailed Budget'!$AC$12</f>
        <v>292876014141.44696</v>
      </c>
      <c r="CR374" s="269">
        <f t="shared" si="925"/>
        <v>1272739132.7800357</v>
      </c>
      <c r="CS374" s="269">
        <f>'Detailed Budget'!$AC$16</f>
        <v>10488008800.000002</v>
      </c>
      <c r="CT374" s="607">
        <f t="shared" si="992"/>
        <v>45577299.105715871</v>
      </c>
      <c r="CU374" s="269">
        <f>'Detailed Budget'!$AC$24</f>
        <v>30624985696</v>
      </c>
      <c r="CV374" s="269">
        <f t="shared" si="976"/>
        <v>133085728.61587588</v>
      </c>
      <c r="CW374" s="269"/>
      <c r="CX374" s="269">
        <f t="shared" si="916"/>
        <v>1451402160.5016277</v>
      </c>
      <c r="CY374" s="196">
        <f>'Detailed Budget'!$AC$97</f>
        <v>74629165494.837845</v>
      </c>
      <c r="CZ374" s="269">
        <f t="shared" si="993"/>
        <v>0</v>
      </c>
      <c r="DA374" s="269">
        <f>'Detailed Budget'!$AC$100</f>
        <v>14925833098.967569</v>
      </c>
      <c r="DB374" s="269">
        <f t="shared" si="994"/>
        <v>0</v>
      </c>
      <c r="DC374" s="269">
        <f t="shared" ref="DC374:DC435" si="1046">CZ374+DB374</f>
        <v>0</v>
      </c>
      <c r="DD374" s="207">
        <v>0</v>
      </c>
      <c r="DE374" s="606">
        <v>0</v>
      </c>
      <c r="DF374" s="269">
        <f>'Detailed Budget'!$AC$147</f>
        <v>5913600671000</v>
      </c>
      <c r="DG374" s="269">
        <f t="shared" si="971"/>
        <v>0</v>
      </c>
      <c r="DH374" s="269">
        <f>'Detailed Budget'!$AC$153</f>
        <v>226428026880.00003</v>
      </c>
      <c r="DI374" s="269"/>
      <c r="DJ374" s="269">
        <f>'Detailed Budget'!$AC$156</f>
        <v>27713070000</v>
      </c>
      <c r="DK374" s="269"/>
      <c r="DL374" s="269"/>
      <c r="DM374" s="196">
        <f>'Detailed Budget'!$AC$178</f>
        <v>5622683761.6229038</v>
      </c>
      <c r="DN374" s="269">
        <f t="shared" si="1029"/>
        <v>23163037.629643027</v>
      </c>
      <c r="DO374" s="196">
        <f>'Detailed Budget'!$AC$179</f>
        <v>26827890683.128094</v>
      </c>
      <c r="DP374" s="269">
        <f t="shared" si="1030"/>
        <v>110519366.43785517</v>
      </c>
      <c r="DQ374" s="269">
        <f t="shared" si="1008"/>
        <v>133682404.06749819</v>
      </c>
      <c r="DR374" s="269">
        <f>'Detailed Budget'!$AC$181</f>
        <v>50888946855.375237</v>
      </c>
      <c r="DS374" s="269">
        <f t="shared" si="1031"/>
        <v>170725470.3309541</v>
      </c>
      <c r="DT374" s="269">
        <f t="shared" si="1032"/>
        <v>304407874.39845228</v>
      </c>
      <c r="DU374" s="272">
        <f>'Detailed Budget'!$AC$192</f>
        <v>77498869683.252869</v>
      </c>
      <c r="DV374" s="269">
        <f t="shared" si="995"/>
        <v>0</v>
      </c>
      <c r="DW374" s="140">
        <f>'Detailed Budget'!$AC$194</f>
        <v>2684962805.4134097</v>
      </c>
      <c r="DX374" s="269">
        <f t="shared" si="996"/>
        <v>0</v>
      </c>
      <c r="DY374" s="607">
        <f t="shared" ref="DY374:DY435" si="1047">DV374+DX374</f>
        <v>0</v>
      </c>
      <c r="DZ374" s="196">
        <f>'Detailed Budget'!$AC$198</f>
        <v>18732540018.380611</v>
      </c>
      <c r="EA374" s="269">
        <f t="shared" si="1013"/>
        <v>37512030.643089391</v>
      </c>
      <c r="EB374" s="196">
        <f>'Detailed Budget'!$AC$200</f>
        <v>4683135004.5951529</v>
      </c>
      <c r="EC374" s="269">
        <f t="shared" si="997"/>
        <v>9378007.6607723478</v>
      </c>
      <c r="ED374" s="269">
        <f t="shared" ref="ED374:ED435" si="1048">EA374+EC374</f>
        <v>46890038.303861737</v>
      </c>
      <c r="EE374" s="196">
        <f>'Detailed Budget'!$AC$161</f>
        <v>251147290106.36197</v>
      </c>
      <c r="EF374" s="269">
        <f t="shared" si="998"/>
        <v>357219276.15832835</v>
      </c>
      <c r="EG374" s="196">
        <f>'Detailed Budget'!$AC$163</f>
        <v>15696705631.647623</v>
      </c>
      <c r="EH374" s="269">
        <f t="shared" si="999"/>
        <v>22326204.759895522</v>
      </c>
      <c r="EI374" s="269">
        <f t="shared" ref="EI374:EI435" si="1049">EF374+EH374</f>
        <v>379545480.91822386</v>
      </c>
      <c r="EJ374" s="196">
        <f>'Detailed Budget'!$AC$204</f>
        <v>45012172507.531975</v>
      </c>
      <c r="EK374" s="269">
        <f t="shared" si="1000"/>
        <v>104463010.92349023</v>
      </c>
      <c r="EL374" s="201">
        <f>'Detailed Budget'!$AC$206</f>
        <v>11253043126.882994</v>
      </c>
      <c r="EM374" s="269">
        <f t="shared" si="1001"/>
        <v>26115752.730872557</v>
      </c>
      <c r="EN374" s="269">
        <f t="shared" ref="EN374:EN435" si="1050">EK374+EM374</f>
        <v>130578763.65436278</v>
      </c>
      <c r="EO374" s="140">
        <f>'Detailed Budget'!$AC$209</f>
        <v>135789361677.54817</v>
      </c>
      <c r="EP374" s="269">
        <f t="shared" si="1002"/>
        <v>223692517.26261783</v>
      </c>
      <c r="EQ374" s="196">
        <f>'Detailed Budget'!$AC$211</f>
        <v>33947340419.387043</v>
      </c>
      <c r="ER374" s="269">
        <f t="shared" si="1003"/>
        <v>55923129.315654457</v>
      </c>
      <c r="ES374" s="269">
        <f t="shared" ref="ES374:ES435" si="1051">EP374+ER374</f>
        <v>279615646.57827228</v>
      </c>
      <c r="ET374" s="196">
        <f>'Detailed Budget'!$AC$214</f>
        <v>22239745544.201103</v>
      </c>
      <c r="EU374" s="269">
        <f t="shared" si="1004"/>
        <v>71264261.34774594</v>
      </c>
      <c r="EV374" s="140">
        <f>'Detailed Budget'!$AC$217</f>
        <v>5559936386.0502758</v>
      </c>
      <c r="EW374" s="269">
        <f t="shared" si="1005"/>
        <v>17816065.336936485</v>
      </c>
      <c r="EX374" s="269">
        <f t="shared" ref="EX374:EX435" si="1052">EU374+EW374</f>
        <v>89080326.684682429</v>
      </c>
      <c r="EY374" s="196">
        <f>'Detailed Budget'!$AC$219</f>
        <v>372777004.58170313</v>
      </c>
      <c r="EZ374" s="269">
        <f t="shared" si="1006"/>
        <v>624356.97220385168</v>
      </c>
      <c r="FA374" s="196">
        <f>'Detailed Budget'!$AC$222</f>
        <v>93194251.145425782</v>
      </c>
      <c r="FB374" s="269">
        <f t="shared" si="1007"/>
        <v>156089.24305096292</v>
      </c>
      <c r="FC374" s="269">
        <f t="shared" ref="FC374:FC435" si="1053">EZ374+FB374</f>
        <v>780446.2152548146</v>
      </c>
      <c r="FD374" s="269"/>
      <c r="FE374" s="269">
        <f t="shared" ref="FE374:FE435" si="1054">EN374+ES374+EX374+FC374</f>
        <v>500055183.13257235</v>
      </c>
      <c r="FF374" s="140">
        <f>'Detailed Budget'!$AC$165</f>
        <v>14927760000</v>
      </c>
      <c r="FG374" s="1087">
        <f t="shared" si="972"/>
        <v>682108370.37232685</v>
      </c>
      <c r="FH374" s="269">
        <f t="shared" si="1014"/>
        <v>18657579.820474949</v>
      </c>
      <c r="FJ374" s="140">
        <f>'Detailed Budget'!$AC$235</f>
        <v>3623696172</v>
      </c>
      <c r="FK374" s="269">
        <f t="shared" si="1015"/>
        <v>4681778</v>
      </c>
      <c r="FL374" s="269">
        <f t="shared" si="973"/>
        <v>4681778</v>
      </c>
      <c r="FO374" s="607"/>
      <c r="FP374" s="607"/>
      <c r="FQ374" s="607"/>
      <c r="FR374" s="269">
        <f>'Detailed Budget'!$AC$257</f>
        <v>13636439388</v>
      </c>
      <c r="FS374" s="269">
        <f t="shared" si="1016"/>
        <v>43471116</v>
      </c>
      <c r="FT374" s="269">
        <f t="shared" si="974"/>
        <v>43471116</v>
      </c>
      <c r="FU374" s="269"/>
      <c r="FV374" s="269"/>
      <c r="FW374" s="269"/>
      <c r="FX374" s="140">
        <f>'Detailed Budget'!$AC$278</f>
        <v>1114560000</v>
      </c>
      <c r="FY374" s="269">
        <f t="shared" si="1017"/>
        <v>1440000</v>
      </c>
      <c r="FZ374" s="269">
        <f t="shared" si="975"/>
        <v>1440000</v>
      </c>
      <c r="GB374" s="269">
        <f t="shared" si="983"/>
        <v>3432659581.4475398</v>
      </c>
      <c r="GC374" s="887">
        <f t="shared" ref="GC374:GC435" si="1055">GB374/1600</f>
        <v>2145412.2384047122</v>
      </c>
      <c r="GD374" s="1078">
        <f t="shared" si="984"/>
        <v>1.9261733825211937E-3</v>
      </c>
    </row>
    <row r="375" spans="1:186" hidden="1" outlineLevel="1">
      <c r="A375" s="211" t="s">
        <v>889</v>
      </c>
      <c r="B375" s="212" t="s">
        <v>890</v>
      </c>
      <c r="C375" s="213" t="s">
        <v>215</v>
      </c>
      <c r="D375" s="214" t="s">
        <v>215</v>
      </c>
      <c r="E375" s="213"/>
      <c r="F375" s="213"/>
      <c r="G375" s="213"/>
      <c r="H375" s="213" t="s">
        <v>215</v>
      </c>
      <c r="I375" s="214" t="s">
        <v>215</v>
      </c>
      <c r="J375" s="214"/>
      <c r="K375" s="213" t="s">
        <v>215</v>
      </c>
      <c r="L375" s="213"/>
      <c r="M375" s="214"/>
      <c r="N375" s="213"/>
      <c r="O375" s="214"/>
      <c r="P375" s="213"/>
      <c r="Q375" s="214"/>
      <c r="R375" s="214" t="s">
        <v>215</v>
      </c>
      <c r="S375" s="214"/>
      <c r="T375" s="214"/>
      <c r="U375" s="215">
        <f t="shared" si="1018"/>
        <v>6</v>
      </c>
      <c r="V375" s="845" t="s">
        <v>219</v>
      </c>
      <c r="W375" s="216">
        <v>202941</v>
      </c>
      <c r="X375" s="217">
        <v>3.04</v>
      </c>
      <c r="Y375" s="218">
        <f t="shared" si="986"/>
        <v>1.0304</v>
      </c>
      <c r="Z375" s="196">
        <v>19</v>
      </c>
      <c r="AA375" s="218">
        <f t="shared" si="987"/>
        <v>1.7664898659259882</v>
      </c>
      <c r="AB375" s="196">
        <f t="shared" si="1009"/>
        <v>358493.21988088597</v>
      </c>
      <c r="AC375">
        <v>20.8</v>
      </c>
      <c r="AD375" s="196">
        <f t="shared" si="1010"/>
        <v>74566.58973522429</v>
      </c>
      <c r="AE375" s="196">
        <f t="shared" si="990"/>
        <v>70838.260248463077</v>
      </c>
      <c r="AF375" s="196">
        <f t="shared" si="1019"/>
        <v>70838.260248463077</v>
      </c>
      <c r="AG375" s="606">
        <f t="shared" si="917"/>
        <v>3.2752501680994115E-3</v>
      </c>
      <c r="AH375" s="196">
        <f t="shared" si="1033"/>
        <v>17924.660994044298</v>
      </c>
      <c r="AI375" s="248">
        <f t="shared" si="1034"/>
        <v>1.3885963286944661E-3</v>
      </c>
      <c r="AJ375" s="196">
        <f t="shared" si="1038"/>
        <v>92491.250729268591</v>
      </c>
      <c r="AK375" s="196">
        <f t="shared" si="926"/>
        <v>14339.728795235438</v>
      </c>
      <c r="AL375" s="196">
        <f t="shared" si="927"/>
        <v>14339.728795235438</v>
      </c>
      <c r="AM375" s="196">
        <f t="shared" si="1039"/>
        <v>28679.457590470876</v>
      </c>
      <c r="AN375" s="627">
        <f t="shared" si="1040"/>
        <v>1.3885963286944661E-3</v>
      </c>
      <c r="AO375" s="196">
        <f t="shared" si="1041"/>
        <v>13622.742355473667</v>
      </c>
      <c r="AP375" s="589">
        <f t="shared" si="918"/>
        <v>1.3885963286944661E-3</v>
      </c>
      <c r="AQ375" s="196"/>
      <c r="AR375" s="589"/>
      <c r="AS375">
        <v>1</v>
      </c>
      <c r="AT375" s="589">
        <f t="shared" si="919"/>
        <v>1.2919896640826874E-3</v>
      </c>
      <c r="AU375" s="196">
        <v>12</v>
      </c>
      <c r="AV375" s="245">
        <f t="shared" si="1042"/>
        <v>1.3634814225656176E-3</v>
      </c>
      <c r="AX375" s="245"/>
      <c r="AY375" s="245"/>
      <c r="AZ375" s="196">
        <v>53</v>
      </c>
      <c r="BA375" s="589">
        <f t="shared" si="977"/>
        <v>1.9420321717782418E-3</v>
      </c>
      <c r="BI375" s="196">
        <v>0</v>
      </c>
      <c r="BJ375" s="196">
        <f t="shared" si="1020"/>
        <v>222478.61002596992</v>
      </c>
      <c r="BK375" s="246">
        <f t="shared" si="978"/>
        <v>4.2425328633585802E-3</v>
      </c>
      <c r="BL375" s="196">
        <f t="shared" si="1035"/>
        <v>4449.5722005193984</v>
      </c>
      <c r="BM375" s="246">
        <f t="shared" si="979"/>
        <v>4.2425323779433834E-3</v>
      </c>
      <c r="BN375" s="196">
        <v>0</v>
      </c>
      <c r="BO375" s="196">
        <f t="shared" si="1021"/>
        <v>27681.468875140756</v>
      </c>
      <c r="BP375" s="196">
        <f t="shared" si="1043"/>
        <v>0</v>
      </c>
      <c r="BQ375" s="248">
        <f t="shared" si="980"/>
        <v>0</v>
      </c>
      <c r="BR375" s="248"/>
      <c r="BS375" s="248"/>
      <c r="BT375" s="276">
        <v>1</v>
      </c>
      <c r="BU375" s="196">
        <f t="shared" si="1036"/>
        <v>57982.980178110411</v>
      </c>
      <c r="BV375" s="264">
        <f t="shared" si="981"/>
        <v>4.0218093340100101E-3</v>
      </c>
      <c r="BW375" s="196">
        <f t="shared" si="1037"/>
        <v>248038.30409525009</v>
      </c>
      <c r="BX375" s="247">
        <f t="shared" si="982"/>
        <v>4.0218093702386231E-3</v>
      </c>
      <c r="BY375" s="196">
        <f t="shared" si="985"/>
        <v>306021.28427336051</v>
      </c>
      <c r="BZ375" s="620">
        <v>0</v>
      </c>
      <c r="CA375" s="196">
        <f t="shared" si="1022"/>
        <v>109698.9252835511</v>
      </c>
      <c r="CB375" s="196">
        <f t="shared" si="1023"/>
        <v>219397.8505671022</v>
      </c>
      <c r="CC375" s="196">
        <f t="shared" ref="CC375:CC436" si="1056">CA375+CB375</f>
        <v>329096.7758506533</v>
      </c>
      <c r="CD375" s="247">
        <f t="shared" si="1044"/>
        <v>1.3885963286944659E-3</v>
      </c>
      <c r="CE375" s="196">
        <f t="shared" si="1024"/>
        <v>45271.992866049935</v>
      </c>
      <c r="CF375" s="247">
        <f t="shared" si="1045"/>
        <v>1.9549854453940478E-3</v>
      </c>
      <c r="CG375" s="196">
        <f t="shared" si="991"/>
        <v>54490.969421894668</v>
      </c>
      <c r="CH375" s="589">
        <f t="shared" si="920"/>
        <v>1.3885963286944661E-3</v>
      </c>
      <c r="CI375" s="196">
        <f t="shared" si="1025"/>
        <v>137816.25413665758</v>
      </c>
      <c r="CJ375" s="248">
        <f t="shared" si="921"/>
        <v>2.2656988681827453E-3</v>
      </c>
      <c r="CK375" s="196">
        <f t="shared" si="1026"/>
        <v>111877.11675131539</v>
      </c>
      <c r="CL375" s="589">
        <f t="shared" si="922"/>
        <v>1.6082565654412895E-3</v>
      </c>
      <c r="CM375" s="196">
        <f t="shared" si="1027"/>
        <v>21707.677777052508</v>
      </c>
      <c r="CN375" s="589">
        <f t="shared" si="923"/>
        <v>3.128323067856062E-3</v>
      </c>
      <c r="CO375" s="196">
        <f t="shared" si="1028"/>
        <v>867.05621624638115</v>
      </c>
      <c r="CP375" s="589">
        <f t="shared" si="924"/>
        <v>1.635134472597491E-3</v>
      </c>
      <c r="CQ375" s="196">
        <f>'Detailed Budget'!$AC$12</f>
        <v>292876014141.44696</v>
      </c>
      <c r="CR375" s="269">
        <f t="shared" si="925"/>
        <v>1242536114.8845611</v>
      </c>
      <c r="CS375" s="269">
        <f>'Detailed Budget'!$AC$16</f>
        <v>10488008800.000002</v>
      </c>
      <c r="CT375" s="607">
        <f t="shared" si="992"/>
        <v>44495716.914155141</v>
      </c>
      <c r="CU375" s="269">
        <f>'Detailed Budget'!$AC$24</f>
        <v>30624985696</v>
      </c>
      <c r="CV375" s="269">
        <f t="shared" si="976"/>
        <v>129927508.25516644</v>
      </c>
      <c r="CW375" s="269"/>
      <c r="CX375" s="269">
        <f t="shared" ref="CX375:CX436" si="1057">CR375+CT375+CV375+CW375</f>
        <v>1416959340.0538828</v>
      </c>
      <c r="CY375" s="196">
        <f>'Detailed Budget'!$AC$97</f>
        <v>74629165494.837845</v>
      </c>
      <c r="CZ375" s="269">
        <f t="shared" si="993"/>
        <v>0</v>
      </c>
      <c r="DA375" s="269">
        <f>'Detailed Budget'!$AC$100</f>
        <v>14925833098.967569</v>
      </c>
      <c r="DB375" s="269">
        <f t="shared" si="994"/>
        <v>0</v>
      </c>
      <c r="DC375" s="269">
        <f t="shared" si="1046"/>
        <v>0</v>
      </c>
      <c r="DD375" s="207">
        <v>0</v>
      </c>
      <c r="DE375" s="606">
        <v>0</v>
      </c>
      <c r="DF375" s="269">
        <f>'Detailed Budget'!$AC$147</f>
        <v>5913600671000</v>
      </c>
      <c r="DG375" s="269">
        <f t="shared" si="971"/>
        <v>0</v>
      </c>
      <c r="DH375" s="269">
        <f>'Detailed Budget'!$AC$153</f>
        <v>226428026880.00003</v>
      </c>
      <c r="DI375" s="269"/>
      <c r="DJ375" s="269">
        <f>'Detailed Budget'!$AC$156</f>
        <v>27713070000</v>
      </c>
      <c r="DK375" s="269"/>
      <c r="DL375" s="269"/>
      <c r="DM375" s="196">
        <f>'Detailed Budget'!$AC$178</f>
        <v>5622683761.6229038</v>
      </c>
      <c r="DN375" s="269">
        <f t="shared" si="1029"/>
        <v>22613362.03468151</v>
      </c>
      <c r="DO375" s="196">
        <f>'Detailed Budget'!$AC$179</f>
        <v>26827890683.128094</v>
      </c>
      <c r="DP375" s="269">
        <f t="shared" si="1030"/>
        <v>107896662.13314202</v>
      </c>
      <c r="DQ375" s="269">
        <f t="shared" si="1008"/>
        <v>130510024.16782354</v>
      </c>
      <c r="DR375" s="269">
        <f>'Detailed Budget'!$AC$181</f>
        <v>50888946855.375237</v>
      </c>
      <c r="DS375" s="269">
        <f t="shared" si="1031"/>
        <v>166674031.74246976</v>
      </c>
      <c r="DT375" s="269">
        <f t="shared" si="1032"/>
        <v>297184055.91029328</v>
      </c>
      <c r="DU375" s="272">
        <f>'Detailed Budget'!$AC$192</f>
        <v>77498869683.252869</v>
      </c>
      <c r="DV375" s="269">
        <f t="shared" si="995"/>
        <v>0</v>
      </c>
      <c r="DW375" s="140">
        <f>'Detailed Budget'!$AC$194</f>
        <v>2684962805.4134097</v>
      </c>
      <c r="DX375" s="269">
        <f t="shared" si="996"/>
        <v>0</v>
      </c>
      <c r="DY375" s="607">
        <f t="shared" si="1047"/>
        <v>0</v>
      </c>
      <c r="DZ375" s="196">
        <f>'Detailed Budget'!$AC$198</f>
        <v>18732540018.380611</v>
      </c>
      <c r="EA375" s="269">
        <f t="shared" si="1013"/>
        <v>36621843.091195643</v>
      </c>
      <c r="EB375" s="196">
        <f>'Detailed Budget'!$AC$200</f>
        <v>4683135004.5951529</v>
      </c>
      <c r="EC375" s="269">
        <f t="shared" si="997"/>
        <v>9155460.7727989107</v>
      </c>
      <c r="ED375" s="269">
        <f t="shared" si="1048"/>
        <v>45777303.863994554</v>
      </c>
      <c r="EE375" s="196">
        <f>'Detailed Budget'!$AC$161</f>
        <v>251147290106.36197</v>
      </c>
      <c r="EF375" s="269">
        <f t="shared" si="998"/>
        <v>348742205.00325823</v>
      </c>
      <c r="EG375" s="196">
        <f>'Detailed Budget'!$AC$163</f>
        <v>15696705631.647623</v>
      </c>
      <c r="EH375" s="269">
        <f t="shared" si="999"/>
        <v>21796387.812703639</v>
      </c>
      <c r="EI375" s="269">
        <f t="shared" si="1049"/>
        <v>370538592.81596184</v>
      </c>
      <c r="EJ375" s="196">
        <f>'Detailed Budget'!$AC$204</f>
        <v>45012172507.531975</v>
      </c>
      <c r="EK375" s="269">
        <f t="shared" si="1000"/>
        <v>101984028.30476168</v>
      </c>
      <c r="EL375" s="201">
        <f>'Detailed Budget'!$AC$206</f>
        <v>11253043126.882994</v>
      </c>
      <c r="EM375" s="269">
        <f t="shared" si="1001"/>
        <v>25496007.076190419</v>
      </c>
      <c r="EN375" s="269">
        <f t="shared" si="1050"/>
        <v>127480035.38095209</v>
      </c>
      <c r="EO375" s="140">
        <f>'Detailed Budget'!$AC$209</f>
        <v>135789361677.54817</v>
      </c>
      <c r="EP375" s="269">
        <f t="shared" si="1002"/>
        <v>218384132.43499866</v>
      </c>
      <c r="EQ375" s="196">
        <f>'Detailed Budget'!$AC$211</f>
        <v>33947340419.387043</v>
      </c>
      <c r="ER375" s="269">
        <f t="shared" si="1003"/>
        <v>54596033.108749665</v>
      </c>
      <c r="ES375" s="269">
        <f t="shared" si="1051"/>
        <v>272980165.54374832</v>
      </c>
      <c r="ET375" s="196">
        <f>'Detailed Budget'!$AC$214</f>
        <v>22239745544.201103</v>
      </c>
      <c r="EU375" s="269">
        <f t="shared" si="1004"/>
        <v>69573109.009173378</v>
      </c>
      <c r="EV375" s="140">
        <f>'Detailed Budget'!$AC$217</f>
        <v>5559936386.0502758</v>
      </c>
      <c r="EW375" s="269">
        <f t="shared" si="1005"/>
        <v>17393277.252293345</v>
      </c>
      <c r="EX375" s="269">
        <f t="shared" si="1052"/>
        <v>86966386.261466727</v>
      </c>
      <c r="EY375" s="196">
        <f>'Detailed Budget'!$AC$219</f>
        <v>372777004.58170313</v>
      </c>
      <c r="EZ375" s="269">
        <f t="shared" si="1006"/>
        <v>609540.53078317561</v>
      </c>
      <c r="FA375" s="196">
        <f>'Detailed Budget'!$AC$222</f>
        <v>93194251.145425782</v>
      </c>
      <c r="FB375" s="269">
        <f t="shared" si="1007"/>
        <v>152385.1326957939</v>
      </c>
      <c r="FC375" s="269">
        <f t="shared" si="1053"/>
        <v>761925.66347896948</v>
      </c>
      <c r="FD375" s="269"/>
      <c r="FE375" s="269">
        <f t="shared" si="1054"/>
        <v>488188512.84964609</v>
      </c>
      <c r="FF375" s="140">
        <f>'Detailed Budget'!$AC$165</f>
        <v>14927760000</v>
      </c>
      <c r="FG375" s="1087">
        <f t="shared" si="972"/>
        <v>665921446.60578203</v>
      </c>
      <c r="FH375" s="269">
        <f t="shared" si="1014"/>
        <v>20353723.440518126</v>
      </c>
      <c r="FJ375" s="140">
        <f>'Detailed Budget'!$AC$235</f>
        <v>3623696172</v>
      </c>
      <c r="FK375" s="269">
        <f t="shared" si="1015"/>
        <v>4681778</v>
      </c>
      <c r="FL375" s="269">
        <f t="shared" si="973"/>
        <v>4681778</v>
      </c>
      <c r="FO375" s="607"/>
      <c r="FP375" s="607"/>
      <c r="FQ375" s="607"/>
      <c r="FR375" s="269">
        <f>'Detailed Budget'!$AC$257</f>
        <v>13636439388</v>
      </c>
      <c r="FS375" s="269">
        <f t="shared" si="1016"/>
        <v>26482404</v>
      </c>
      <c r="FT375" s="269">
        <f t="shared" si="974"/>
        <v>26482404</v>
      </c>
      <c r="FU375" s="269"/>
      <c r="FV375" s="269"/>
      <c r="FW375" s="269"/>
      <c r="FX375" s="140">
        <f>'Detailed Budget'!$AC$278</f>
        <v>1114560000</v>
      </c>
      <c r="FY375" s="269">
        <f t="shared" si="1017"/>
        <v>1440000</v>
      </c>
      <c r="FZ375" s="269">
        <f t="shared" si="975"/>
        <v>1440000</v>
      </c>
      <c r="GB375" s="269">
        <f t="shared" si="983"/>
        <v>3337527157.5400786</v>
      </c>
      <c r="GC375" s="887">
        <f t="shared" si="1055"/>
        <v>2085954.473462549</v>
      </c>
      <c r="GD375" s="1078">
        <f t="shared" si="984"/>
        <v>1.8727915838320263E-3</v>
      </c>
    </row>
    <row r="376" spans="1:186" hidden="1" outlineLevel="1">
      <c r="A376" s="211" t="s">
        <v>891</v>
      </c>
      <c r="B376" s="212" t="s">
        <v>892</v>
      </c>
      <c r="C376" s="213" t="s">
        <v>215</v>
      </c>
      <c r="D376" s="214" t="s">
        <v>215</v>
      </c>
      <c r="E376" s="213"/>
      <c r="F376" s="213"/>
      <c r="G376" s="213"/>
      <c r="H376" s="213" t="s">
        <v>215</v>
      </c>
      <c r="I376" s="214" t="s">
        <v>215</v>
      </c>
      <c r="J376" s="214"/>
      <c r="K376" s="213" t="s">
        <v>215</v>
      </c>
      <c r="L376" s="213"/>
      <c r="M376" s="214"/>
      <c r="N376" s="213"/>
      <c r="O376" s="214"/>
      <c r="P376" s="213"/>
      <c r="Q376" s="214"/>
      <c r="R376" s="214" t="s">
        <v>215</v>
      </c>
      <c r="S376" s="214" t="s">
        <v>215</v>
      </c>
      <c r="T376" s="214"/>
      <c r="U376" s="215">
        <f t="shared" si="1018"/>
        <v>7</v>
      </c>
      <c r="V376" s="845" t="s">
        <v>399</v>
      </c>
      <c r="W376" s="216">
        <v>151002</v>
      </c>
      <c r="X376" s="217">
        <v>3.04</v>
      </c>
      <c r="Y376" s="218">
        <f t="shared" si="986"/>
        <v>1.0304</v>
      </c>
      <c r="Z376" s="196">
        <v>19</v>
      </c>
      <c r="AA376" s="218">
        <f t="shared" si="987"/>
        <v>1.7664898659259882</v>
      </c>
      <c r="AB376" s="196">
        <f t="shared" si="1009"/>
        <v>266743.5027345561</v>
      </c>
      <c r="AC376">
        <v>20.8</v>
      </c>
      <c r="AD376" s="196">
        <f t="shared" si="1010"/>
        <v>55482.64856878767</v>
      </c>
      <c r="AE376" s="196">
        <f t="shared" si="990"/>
        <v>52708.516140348285</v>
      </c>
      <c r="AF376" s="196">
        <f t="shared" si="1019"/>
        <v>52708.516140348285</v>
      </c>
      <c r="AG376" s="606">
        <f t="shared" ref="AG376:AG437" si="1058">AE376/21628351</f>
        <v>2.437010391608139E-3</v>
      </c>
      <c r="AH376" s="196">
        <f t="shared" si="1033"/>
        <v>13337.175136727805</v>
      </c>
      <c r="AI376" s="248">
        <f t="shared" si="1034"/>
        <v>1.0332107500481509E-3</v>
      </c>
      <c r="AJ376" s="196">
        <f t="shared" si="1038"/>
        <v>68819.823705515475</v>
      </c>
      <c r="AK376" s="196">
        <f t="shared" si="926"/>
        <v>10669.740109382245</v>
      </c>
      <c r="AL376" s="196">
        <f t="shared" si="927"/>
        <v>10669.740109382245</v>
      </c>
      <c r="AM376" s="196">
        <f t="shared" si="1039"/>
        <v>21339.480218764489</v>
      </c>
      <c r="AN376" s="627">
        <f t="shared" si="1040"/>
        <v>1.0332107500481509E-3</v>
      </c>
      <c r="AO376" s="196">
        <f t="shared" si="1041"/>
        <v>10136.253103913132</v>
      </c>
      <c r="AP376" s="589">
        <f t="shared" ref="AP376:AP437" si="1059">AO376/9810441</f>
        <v>1.0332107500481509E-3</v>
      </c>
      <c r="AQ376" s="196"/>
      <c r="AR376" s="589"/>
      <c r="AS376">
        <v>1</v>
      </c>
      <c r="AT376" s="589">
        <f t="shared" ref="AT376:AT437" si="1060">AS376/774</f>
        <v>1.2919896640826874E-3</v>
      </c>
      <c r="AU376" s="196">
        <v>11</v>
      </c>
      <c r="AV376" s="245">
        <f t="shared" si="1042"/>
        <v>1.2498579706851495E-3</v>
      </c>
      <c r="AX376" s="245"/>
      <c r="AY376" s="245"/>
      <c r="AZ376" s="196">
        <v>62</v>
      </c>
      <c r="BA376" s="589">
        <f t="shared" si="977"/>
        <v>2.2718112198160567E-3</v>
      </c>
      <c r="BI376" s="196">
        <v>0</v>
      </c>
      <c r="BJ376" s="196">
        <f t="shared" si="1020"/>
        <v>165539.31966010571</v>
      </c>
      <c r="BK376" s="246">
        <f t="shared" si="978"/>
        <v>3.1567349497286026E-3</v>
      </c>
      <c r="BL376" s="196">
        <f t="shared" si="1035"/>
        <v>3310.7863932021141</v>
      </c>
      <c r="BM376" s="246">
        <f t="shared" si="979"/>
        <v>3.1567345885464585E-3</v>
      </c>
      <c r="BN376" s="196">
        <v>0</v>
      </c>
      <c r="BO376" s="196">
        <f t="shared" si="1021"/>
        <v>20596.908279174761</v>
      </c>
      <c r="BP376" s="196">
        <f t="shared" si="1043"/>
        <v>0</v>
      </c>
      <c r="BQ376" s="248">
        <f t="shared" si="980"/>
        <v>0</v>
      </c>
      <c r="BR376" s="248"/>
      <c r="BS376" s="248"/>
      <c r="BT376" s="276">
        <v>1</v>
      </c>
      <c r="BU376" s="196">
        <f t="shared" si="1036"/>
        <v>43143.307527089295</v>
      </c>
      <c r="BV376" s="264">
        <f t="shared" si="981"/>
        <v>2.9925015302683026E-3</v>
      </c>
      <c r="BW376" s="196">
        <f t="shared" si="1037"/>
        <v>184557.48219921533</v>
      </c>
      <c r="BX376" s="247">
        <f t="shared" si="982"/>
        <v>2.9925015572248711E-3</v>
      </c>
      <c r="BY376" s="196">
        <f t="shared" si="985"/>
        <v>227700.78972630462</v>
      </c>
      <c r="BZ376" s="620">
        <v>0</v>
      </c>
      <c r="CA376" s="196">
        <f t="shared" si="1022"/>
        <v>81623.511836774167</v>
      </c>
      <c r="CB376" s="196">
        <f t="shared" si="1023"/>
        <v>163247.02367354833</v>
      </c>
      <c r="CC376" s="196">
        <f t="shared" si="1056"/>
        <v>244870.53551032249</v>
      </c>
      <c r="CD376" s="247">
        <f t="shared" si="1044"/>
        <v>1.0332107500481509E-3</v>
      </c>
      <c r="CE376" s="196">
        <f t="shared" si="1024"/>
        <v>33685.462606172601</v>
      </c>
      <c r="CF376" s="247">
        <f t="shared" si="1045"/>
        <v>1.4546430352929771E-3</v>
      </c>
      <c r="CG376" s="196">
        <f t="shared" si="991"/>
        <v>40545.012415652527</v>
      </c>
      <c r="CH376" s="589">
        <f t="shared" ref="CH376:CH437" si="1061">CG376/39241764</f>
        <v>1.0332107500481509E-3</v>
      </c>
      <c r="CI376" s="196">
        <f t="shared" si="1025"/>
        <v>102544.72978424058</v>
      </c>
      <c r="CJ376" s="248">
        <f t="shared" ref="CJ376:CJ437" si="1062">CI376/60827260</f>
        <v>1.6858350973599761E-3</v>
      </c>
      <c r="CK376" s="196">
        <f t="shared" si="1026"/>
        <v>83244.235436319563</v>
      </c>
      <c r="CL376" s="589">
        <f t="shared" ref="CL376:CL437" si="1063">CK376/69564222</f>
        <v>1.1966530070058076E-3</v>
      </c>
      <c r="CM376" s="196">
        <f t="shared" si="1027"/>
        <v>16151.998658183822</v>
      </c>
      <c r="CN376" s="589">
        <f t="shared" ref="CN376:CN437" si="1064">CM376/6939078</f>
        <v>2.327686568472616E-3</v>
      </c>
      <c r="CO376" s="196">
        <f t="shared" si="1028"/>
        <v>645.14919491692683</v>
      </c>
      <c r="CP376" s="589">
        <f t="shared" ref="CP376:CP437" si="1065">CO376/530266</f>
        <v>1.2166520103437271E-3</v>
      </c>
      <c r="CQ376" s="196">
        <f>'Detailed Budget'!$AC$12</f>
        <v>292876014141.44696</v>
      </c>
      <c r="CR376" s="269">
        <f t="shared" si="925"/>
        <v>924531949.7775141</v>
      </c>
      <c r="CS376" s="269">
        <f>'Detailed Budget'!$AC$16</f>
        <v>10488008800.000002</v>
      </c>
      <c r="CT376" s="607">
        <f t="shared" si="992"/>
        <v>33107860.143939644</v>
      </c>
      <c r="CU376" s="269">
        <f>'Detailed Budget'!$AC$24</f>
        <v>30624985696</v>
      </c>
      <c r="CV376" s="269">
        <f t="shared" si="976"/>
        <v>96674962.681501731</v>
      </c>
      <c r="CW376" s="269"/>
      <c r="CX376" s="269">
        <f t="shared" si="1057"/>
        <v>1054314772.6029555</v>
      </c>
      <c r="CY376" s="196">
        <f>'Detailed Budget'!$AC$97</f>
        <v>74629165494.837845</v>
      </c>
      <c r="CZ376" s="269">
        <f t="shared" si="993"/>
        <v>0</v>
      </c>
      <c r="DA376" s="269">
        <f>'Detailed Budget'!$AC$100</f>
        <v>14925833098.967569</v>
      </c>
      <c r="DB376" s="269">
        <f t="shared" si="994"/>
        <v>0</v>
      </c>
      <c r="DC376" s="269">
        <f t="shared" si="1046"/>
        <v>0</v>
      </c>
      <c r="DD376" s="207">
        <v>1</v>
      </c>
      <c r="DE376" s="606">
        <v>0</v>
      </c>
      <c r="DF376" s="269">
        <f>'Detailed Budget'!$AC$147</f>
        <v>5913600671000</v>
      </c>
      <c r="DG376" s="269">
        <f t="shared" si="971"/>
        <v>0</v>
      </c>
      <c r="DH376" s="269">
        <f>'Detailed Budget'!$AC$153</f>
        <v>226428026880.00003</v>
      </c>
      <c r="DI376" s="269"/>
      <c r="DJ376" s="269">
        <f>'Detailed Budget'!$AC$156</f>
        <v>27713070000</v>
      </c>
      <c r="DK376" s="269"/>
      <c r="DL376" s="269"/>
      <c r="DM376" s="196">
        <f>'Detailed Budget'!$AC$178</f>
        <v>5622683761.6229038</v>
      </c>
      <c r="DN376" s="269">
        <f t="shared" si="1029"/>
        <v>16825889.760871276</v>
      </c>
      <c r="DO376" s="196">
        <f>'Detailed Budget'!$AC$179</f>
        <v>26827890683.128094</v>
      </c>
      <c r="DP376" s="269">
        <f t="shared" si="1030"/>
        <v>80282504.646319434</v>
      </c>
      <c r="DQ376" s="269">
        <f t="shared" si="1008"/>
        <v>97108394.40719071</v>
      </c>
      <c r="DR376" s="269">
        <f>'Detailed Budget'!$AC$181</f>
        <v>50888946855.375237</v>
      </c>
      <c r="DS376" s="269">
        <f t="shared" si="1031"/>
        <v>124016892.30454378</v>
      </c>
      <c r="DT376" s="269">
        <f t="shared" si="1032"/>
        <v>221125286.71173447</v>
      </c>
      <c r="DU376" s="272">
        <f>'Detailed Budget'!$AC$192</f>
        <v>77498869683.252869</v>
      </c>
      <c r="DV376" s="269">
        <f t="shared" si="995"/>
        <v>0</v>
      </c>
      <c r="DW376" s="140">
        <f>'Detailed Budget'!$AC$194</f>
        <v>2684962805.4134097</v>
      </c>
      <c r="DX376" s="269">
        <f t="shared" si="996"/>
        <v>0</v>
      </c>
      <c r="DY376" s="607">
        <f t="shared" si="1047"/>
        <v>0</v>
      </c>
      <c r="DZ376" s="196">
        <f>'Detailed Budget'!$AC$198</f>
        <v>18732540018.380611</v>
      </c>
      <c r="EA376" s="269">
        <f t="shared" si="1013"/>
        <v>27249158.871084332</v>
      </c>
      <c r="EB376" s="196">
        <f>'Detailed Budget'!$AC$200</f>
        <v>4683135004.5951529</v>
      </c>
      <c r="EC376" s="269">
        <f t="shared" si="997"/>
        <v>6812289.7177710831</v>
      </c>
      <c r="ED376" s="269">
        <f t="shared" si="1048"/>
        <v>34061448.588855416</v>
      </c>
      <c r="EE376" s="196">
        <f>'Detailed Budget'!$AC$161</f>
        <v>251147290106.36197</v>
      </c>
      <c r="EF376" s="269">
        <f t="shared" si="998"/>
        <v>259488079.98335478</v>
      </c>
      <c r="EG376" s="196">
        <f>'Detailed Budget'!$AC$163</f>
        <v>15696705631.647623</v>
      </c>
      <c r="EH376" s="269">
        <f t="shared" si="999"/>
        <v>16218004.998959674</v>
      </c>
      <c r="EI376" s="269">
        <f t="shared" si="1049"/>
        <v>275706084.98231447</v>
      </c>
      <c r="EJ376" s="196">
        <f>'Detailed Budget'!$AC$204</f>
        <v>45012172507.531975</v>
      </c>
      <c r="EK376" s="269">
        <f t="shared" si="1000"/>
        <v>75883100.221619204</v>
      </c>
      <c r="EL376" s="201">
        <f>'Detailed Budget'!$AC$206</f>
        <v>11253043126.882994</v>
      </c>
      <c r="EM376" s="269">
        <f t="shared" si="1001"/>
        <v>18970775.055404801</v>
      </c>
      <c r="EN376" s="269">
        <f t="shared" si="1050"/>
        <v>94853875.277024001</v>
      </c>
      <c r="EO376" s="140">
        <f>'Detailed Budget'!$AC$209</f>
        <v>135789361677.54817</v>
      </c>
      <c r="EP376" s="269">
        <f t="shared" si="1002"/>
        <v>162492747.97083721</v>
      </c>
      <c r="EQ376" s="196">
        <f>'Detailed Budget'!$AC$211</f>
        <v>33947340419.387043</v>
      </c>
      <c r="ER376" s="269">
        <f t="shared" si="1003"/>
        <v>40623186.992709301</v>
      </c>
      <c r="ES376" s="269">
        <f t="shared" si="1051"/>
        <v>203115934.96354651</v>
      </c>
      <c r="ET376" s="196">
        <f>'Detailed Budget'!$AC$214</f>
        <v>22239745544.201103</v>
      </c>
      <c r="EU376" s="269">
        <f t="shared" si="1004"/>
        <v>51767156.989485621</v>
      </c>
      <c r="EV376" s="140">
        <f>'Detailed Budget'!$AC$217</f>
        <v>5559936386.0502758</v>
      </c>
      <c r="EW376" s="269">
        <f t="shared" si="1005"/>
        <v>12941789.247371405</v>
      </c>
      <c r="EX376" s="269">
        <f t="shared" si="1052"/>
        <v>64708946.236857027</v>
      </c>
      <c r="EY376" s="196">
        <f>'Detailed Budget'!$AC$219</f>
        <v>372777004.58170313</v>
      </c>
      <c r="EZ376" s="269">
        <f t="shared" si="1006"/>
        <v>453539.89203424187</v>
      </c>
      <c r="FA376" s="196">
        <f>'Detailed Budget'!$AC$222</f>
        <v>93194251.145425782</v>
      </c>
      <c r="FB376" s="269">
        <f t="shared" si="1007"/>
        <v>113384.97300856047</v>
      </c>
      <c r="FC376" s="269">
        <f t="shared" si="1053"/>
        <v>566924.8650428023</v>
      </c>
      <c r="FD376" s="269"/>
      <c r="FE376" s="269">
        <f t="shared" si="1054"/>
        <v>363245681.34247041</v>
      </c>
      <c r="FF376" s="140">
        <f>'Detailed Budget'!$AC$165</f>
        <v>14927760000</v>
      </c>
      <c r="FG376" s="1087">
        <f t="shared" si="972"/>
        <v>495491153.98251873</v>
      </c>
      <c r="FH376" s="269">
        <f t="shared" si="1014"/>
        <v>18657579.820474949</v>
      </c>
      <c r="FJ376" s="140">
        <f>'Detailed Budget'!$AC$235</f>
        <v>3623696172</v>
      </c>
      <c r="FK376" s="269">
        <f t="shared" si="1015"/>
        <v>4681778</v>
      </c>
      <c r="FL376" s="269">
        <f t="shared" si="973"/>
        <v>4681778</v>
      </c>
      <c r="FO376" s="607"/>
      <c r="FP376" s="607"/>
      <c r="FQ376" s="607"/>
      <c r="FR376" s="269">
        <f>'Detailed Budget'!$AC$257</f>
        <v>13636439388</v>
      </c>
      <c r="FS376" s="269">
        <f t="shared" si="1016"/>
        <v>30979416.000000004</v>
      </c>
      <c r="FT376" s="269">
        <f t="shared" si="974"/>
        <v>30979416.000000004</v>
      </c>
      <c r="FU376" s="269"/>
      <c r="FV376" s="269"/>
      <c r="FW376" s="269"/>
      <c r="FX376" s="140">
        <f>'Detailed Budget'!$AC$278</f>
        <v>1114560000</v>
      </c>
      <c r="FY376" s="269">
        <f t="shared" si="1017"/>
        <v>1440000</v>
      </c>
      <c r="FZ376" s="269">
        <f t="shared" si="975"/>
        <v>1440000</v>
      </c>
      <c r="GB376" s="269">
        <f t="shared" si="983"/>
        <v>2499703202.0313244</v>
      </c>
      <c r="GC376" s="887">
        <f t="shared" si="1055"/>
        <v>1562314.5012695778</v>
      </c>
      <c r="GD376" s="1078">
        <f t="shared" si="984"/>
        <v>1.4026621800712687E-3</v>
      </c>
    </row>
    <row r="377" spans="1:186" hidden="1" outlineLevel="1">
      <c r="A377" s="211" t="s">
        <v>893</v>
      </c>
      <c r="B377" s="212" t="s">
        <v>894</v>
      </c>
      <c r="C377" s="213" t="s">
        <v>215</v>
      </c>
      <c r="D377" s="214" t="s">
        <v>215</v>
      </c>
      <c r="E377" s="213"/>
      <c r="F377" s="213"/>
      <c r="G377" s="213"/>
      <c r="H377" s="213" t="s">
        <v>215</v>
      </c>
      <c r="I377" s="214" t="s">
        <v>215</v>
      </c>
      <c r="J377" s="214"/>
      <c r="K377" s="213" t="s">
        <v>215</v>
      </c>
      <c r="L377" s="213"/>
      <c r="M377" s="214"/>
      <c r="N377" s="213"/>
      <c r="O377" s="214"/>
      <c r="P377" s="213"/>
      <c r="Q377" s="214"/>
      <c r="R377" s="214" t="s">
        <v>215</v>
      </c>
      <c r="S377" s="214"/>
      <c r="T377" s="214"/>
      <c r="U377" s="215">
        <f t="shared" si="1018"/>
        <v>6</v>
      </c>
      <c r="V377" s="845" t="s">
        <v>219</v>
      </c>
      <c r="W377" s="216">
        <v>136989</v>
      </c>
      <c r="X377" s="217">
        <v>3.04</v>
      </c>
      <c r="Y377" s="218">
        <f t="shared" si="986"/>
        <v>1.0304</v>
      </c>
      <c r="Z377" s="196">
        <v>19</v>
      </c>
      <c r="AA377" s="218">
        <f t="shared" si="987"/>
        <v>1.7664898659259882</v>
      </c>
      <c r="AB377" s="196">
        <f t="shared" si="1009"/>
        <v>241989.6802433352</v>
      </c>
      <c r="AC377">
        <v>20.8</v>
      </c>
      <c r="AD377" s="196">
        <f t="shared" si="1010"/>
        <v>50333.853490613728</v>
      </c>
      <c r="AE377" s="196">
        <f t="shared" si="990"/>
        <v>47817.160816083036</v>
      </c>
      <c r="AF377" s="196">
        <f t="shared" si="1019"/>
        <v>47817.160816083036</v>
      </c>
      <c r="AG377" s="606">
        <f t="shared" si="1058"/>
        <v>2.2108555948663418E-3</v>
      </c>
      <c r="AH377" s="196">
        <f t="shared" si="1033"/>
        <v>12099.48401216676</v>
      </c>
      <c r="AI377" s="248">
        <f t="shared" si="1034"/>
        <v>9.3732869391363117E-4</v>
      </c>
      <c r="AJ377" s="196">
        <f t="shared" si="1038"/>
        <v>62433.337502780487</v>
      </c>
      <c r="AK377" s="196">
        <f t="shared" si="926"/>
        <v>9679.5872097334086</v>
      </c>
      <c r="AL377" s="196">
        <f t="shared" si="927"/>
        <v>9679.5872097334086</v>
      </c>
      <c r="AM377" s="196">
        <f t="shared" si="1039"/>
        <v>19359.174419466817</v>
      </c>
      <c r="AN377" s="627">
        <f t="shared" si="1040"/>
        <v>9.3732869391363117E-4</v>
      </c>
      <c r="AO377" s="196">
        <f t="shared" si="1041"/>
        <v>9195.6078492467368</v>
      </c>
      <c r="AP377" s="589">
        <f t="shared" si="1059"/>
        <v>9.3732869391363106E-4</v>
      </c>
      <c r="AQ377" s="196"/>
      <c r="AR377" s="589"/>
      <c r="AS377">
        <v>1</v>
      </c>
      <c r="AT377" s="589">
        <f t="shared" si="1060"/>
        <v>1.2919896640826874E-3</v>
      </c>
      <c r="AU377" s="196">
        <v>10</v>
      </c>
      <c r="AV377" s="245">
        <f t="shared" si="1042"/>
        <v>1.1362345188046814E-3</v>
      </c>
      <c r="AX377" s="245"/>
      <c r="AY377" s="245"/>
      <c r="AZ377" s="196">
        <v>64</v>
      </c>
      <c r="BA377" s="589">
        <f t="shared" si="977"/>
        <v>2.3450954527133487E-3</v>
      </c>
      <c r="BI377" s="196">
        <v>0</v>
      </c>
      <c r="BJ377" s="196">
        <f t="shared" si="1020"/>
        <v>150177.25500932583</v>
      </c>
      <c r="BK377" s="246">
        <f t="shared" si="978"/>
        <v>2.8637896453581509E-3</v>
      </c>
      <c r="BL377" s="196">
        <f t="shared" si="1035"/>
        <v>3003.5451001865167</v>
      </c>
      <c r="BM377" s="246">
        <f t="shared" si="979"/>
        <v>2.8637893176937444E-3</v>
      </c>
      <c r="BN377" s="196">
        <v>0</v>
      </c>
      <c r="BO377" s="196">
        <f t="shared" si="1021"/>
        <v>18685.513226684885</v>
      </c>
      <c r="BP377" s="196">
        <f t="shared" si="1043"/>
        <v>0</v>
      </c>
      <c r="BQ377" s="248">
        <f t="shared" si="980"/>
        <v>0</v>
      </c>
      <c r="BR377" s="248"/>
      <c r="BS377" s="248"/>
      <c r="BT377" s="276">
        <v>1</v>
      </c>
      <c r="BU377" s="196">
        <f t="shared" si="1036"/>
        <v>39139.604474301239</v>
      </c>
      <c r="BV377" s="264">
        <f t="shared" si="981"/>
        <v>2.7147971028855548E-3</v>
      </c>
      <c r="BW377" s="196">
        <f t="shared" si="1037"/>
        <v>167430.53025117752</v>
      </c>
      <c r="BX377" s="247">
        <f t="shared" si="982"/>
        <v>2.714797127340551E-3</v>
      </c>
      <c r="BY377" s="196">
        <f t="shared" si="985"/>
        <v>206570.13472547877</v>
      </c>
      <c r="BZ377" s="620">
        <v>0</v>
      </c>
      <c r="CA377" s="196">
        <f t="shared" si="1022"/>
        <v>74048.842154460566</v>
      </c>
      <c r="CB377" s="196">
        <f t="shared" si="1023"/>
        <v>148097.68430892113</v>
      </c>
      <c r="CC377" s="196">
        <f t="shared" si="1056"/>
        <v>222146.52646338171</v>
      </c>
      <c r="CD377" s="247">
        <f t="shared" si="1044"/>
        <v>9.3732869391363117E-4</v>
      </c>
      <c r="CE377" s="196">
        <f t="shared" si="1024"/>
        <v>30559.44846397384</v>
      </c>
      <c r="CF377" s="247">
        <f t="shared" si="1045"/>
        <v>1.3196520228987009E-3</v>
      </c>
      <c r="CG377" s="196">
        <f t="shared" si="991"/>
        <v>36782.431396986947</v>
      </c>
      <c r="CH377" s="589">
        <f t="shared" si="1061"/>
        <v>9.3732869391363106E-4</v>
      </c>
      <c r="CI377" s="196">
        <f t="shared" si="1025"/>
        <v>93028.569081292502</v>
      </c>
      <c r="CJ377" s="248">
        <f t="shared" si="1062"/>
        <v>1.5293894395587192E-3</v>
      </c>
      <c r="CK377" s="196">
        <f t="shared" si="1026"/>
        <v>75519.162449411131</v>
      </c>
      <c r="CL377" s="589">
        <f t="shared" si="1063"/>
        <v>1.0856034938392775E-3</v>
      </c>
      <c r="CM377" s="196">
        <f t="shared" si="1027"/>
        <v>14653.091642401712</v>
      </c>
      <c r="CN377" s="589">
        <f t="shared" si="1064"/>
        <v>2.1116770329432399E-3</v>
      </c>
      <c r="CO377" s="196">
        <f t="shared" si="1028"/>
        <v>585.2792881052892</v>
      </c>
      <c r="CP377" s="589">
        <f t="shared" si="1065"/>
        <v>1.1037465877602735E-3</v>
      </c>
      <c r="CQ377" s="196">
        <f>'Detailed Budget'!$AC$12</f>
        <v>292876014141.44696</v>
      </c>
      <c r="CR377" s="269">
        <f t="shared" si="925"/>
        <v>838735296.6720432</v>
      </c>
      <c r="CS377" s="269">
        <f>'Detailed Budget'!$AC$16</f>
        <v>10488008800.000002</v>
      </c>
      <c r="CT377" s="607">
        <f t="shared" si="992"/>
        <v>30035447.565317992</v>
      </c>
      <c r="CU377" s="269">
        <f>'Detailed Budget'!$AC$24</f>
        <v>30624985696</v>
      </c>
      <c r="CV377" s="269">
        <f t="shared" si="976"/>
        <v>87703516.925446287</v>
      </c>
      <c r="CW377" s="269"/>
      <c r="CX377" s="269">
        <f t="shared" si="1057"/>
        <v>956474261.16280746</v>
      </c>
      <c r="CY377" s="196">
        <f>'Detailed Budget'!$AC$97</f>
        <v>74629165494.837845</v>
      </c>
      <c r="CZ377" s="269">
        <f t="shared" si="993"/>
        <v>0</v>
      </c>
      <c r="DA377" s="269">
        <f>'Detailed Budget'!$AC$100</f>
        <v>14925833098.967569</v>
      </c>
      <c r="DB377" s="269">
        <f t="shared" si="994"/>
        <v>0</v>
      </c>
      <c r="DC377" s="269">
        <f t="shared" si="1046"/>
        <v>0</v>
      </c>
      <c r="DD377" s="207">
        <v>0</v>
      </c>
      <c r="DE377" s="606">
        <v>0</v>
      </c>
      <c r="DF377" s="269">
        <f>'Detailed Budget'!$AC$147</f>
        <v>5913600671000</v>
      </c>
      <c r="DG377" s="269">
        <f t="shared" si="971"/>
        <v>0</v>
      </c>
      <c r="DH377" s="269">
        <f>'Detailed Budget'!$AC$153</f>
        <v>226428026880.00003</v>
      </c>
      <c r="DI377" s="269"/>
      <c r="DJ377" s="269">
        <f>'Detailed Budget'!$AC$156</f>
        <v>27713070000</v>
      </c>
      <c r="DK377" s="269"/>
      <c r="DL377" s="269"/>
      <c r="DM377" s="196">
        <f>'Detailed Budget'!$AC$178</f>
        <v>5622683761.6229038</v>
      </c>
      <c r="DN377" s="269">
        <f t="shared" si="1029"/>
        <v>15264445.586495513</v>
      </c>
      <c r="DO377" s="196">
        <f>'Detailed Budget'!$AC$179</f>
        <v>26827890683.128094</v>
      </c>
      <c r="DP377" s="269">
        <f t="shared" si="1030"/>
        <v>72832280.559162483</v>
      </c>
      <c r="DQ377" s="269">
        <f t="shared" si="1008"/>
        <v>88096726.145658001</v>
      </c>
      <c r="DR377" s="269">
        <f>'Detailed Budget'!$AC$181</f>
        <v>50888946855.375237</v>
      </c>
      <c r="DS377" s="269">
        <f t="shared" si="1031"/>
        <v>112508112.87206227</v>
      </c>
      <c r="DT377" s="269">
        <f t="shared" si="1032"/>
        <v>200604839.01772028</v>
      </c>
      <c r="DU377" s="272">
        <f>'Detailed Budget'!$AC$192</f>
        <v>77498869683.252869</v>
      </c>
      <c r="DV377" s="269">
        <f t="shared" si="995"/>
        <v>0</v>
      </c>
      <c r="DW377" s="140">
        <f>'Detailed Budget'!$AC$194</f>
        <v>2684962805.4134097</v>
      </c>
      <c r="DX377" s="269">
        <f t="shared" si="996"/>
        <v>0</v>
      </c>
      <c r="DY377" s="607">
        <f t="shared" si="1047"/>
        <v>0</v>
      </c>
      <c r="DZ377" s="196">
        <f>'Detailed Budget'!$AC$198</f>
        <v>18732540018.380611</v>
      </c>
      <c r="EA377" s="269">
        <f t="shared" si="1013"/>
        <v>24720434.32928684</v>
      </c>
      <c r="EB377" s="196">
        <f>'Detailed Budget'!$AC$200</f>
        <v>4683135004.5951529</v>
      </c>
      <c r="EC377" s="269">
        <f t="shared" si="997"/>
        <v>6180108.58232171</v>
      </c>
      <c r="ED377" s="269">
        <f t="shared" si="1048"/>
        <v>30900542.911608551</v>
      </c>
      <c r="EE377" s="196">
        <f>'Detailed Budget'!$AC$161</f>
        <v>251147290106.36197</v>
      </c>
      <c r="EF377" s="269">
        <f t="shared" si="998"/>
        <v>235407561.41534406</v>
      </c>
      <c r="EG377" s="196">
        <f>'Detailed Budget'!$AC$163</f>
        <v>15696705631.647623</v>
      </c>
      <c r="EH377" s="269">
        <f t="shared" si="999"/>
        <v>14712972.588459004</v>
      </c>
      <c r="EI377" s="269">
        <f t="shared" si="1049"/>
        <v>250120534.00380307</v>
      </c>
      <c r="EJ377" s="196">
        <f>'Detailed Budget'!$AC$204</f>
        <v>45012172507.531975</v>
      </c>
      <c r="EK377" s="269">
        <f t="shared" si="1000"/>
        <v>68841141.284614712</v>
      </c>
      <c r="EL377" s="201">
        <f>'Detailed Budget'!$AC$206</f>
        <v>11253043126.882994</v>
      </c>
      <c r="EM377" s="269">
        <f t="shared" si="1001"/>
        <v>17210285.321153678</v>
      </c>
      <c r="EN377" s="269">
        <f t="shared" si="1050"/>
        <v>86051426.605768383</v>
      </c>
      <c r="EO377" s="140">
        <f>'Detailed Budget'!$AC$209</f>
        <v>135789361677.54817</v>
      </c>
      <c r="EP377" s="269">
        <f t="shared" si="1002"/>
        <v>147413405.46335158</v>
      </c>
      <c r="EQ377" s="196">
        <f>'Detailed Budget'!$AC$211</f>
        <v>33947340419.387043</v>
      </c>
      <c r="ER377" s="269">
        <f t="shared" si="1003"/>
        <v>36853351.365837894</v>
      </c>
      <c r="ES377" s="269">
        <f t="shared" si="1051"/>
        <v>184266756.82918948</v>
      </c>
      <c r="ET377" s="196">
        <f>'Detailed Budget'!$AC$214</f>
        <v>22239745544.201103</v>
      </c>
      <c r="EU377" s="269">
        <f t="shared" si="1004"/>
        <v>46963159.884191222</v>
      </c>
      <c r="EV377" s="140">
        <f>'Detailed Budget'!$AC$217</f>
        <v>5559936386.0502758</v>
      </c>
      <c r="EW377" s="269">
        <f t="shared" si="1005"/>
        <v>11740789.971047806</v>
      </c>
      <c r="EX377" s="269">
        <f t="shared" si="1052"/>
        <v>58703949.855239026</v>
      </c>
      <c r="EY377" s="196">
        <f>'Detailed Budget'!$AC$219</f>
        <v>372777004.58170313</v>
      </c>
      <c r="EZ377" s="269">
        <f t="shared" si="1006"/>
        <v>411451.34680255066</v>
      </c>
      <c r="FA377" s="196">
        <f>'Detailed Budget'!$AC$222</f>
        <v>93194251.145425782</v>
      </c>
      <c r="FB377" s="269">
        <f t="shared" si="1007"/>
        <v>102862.83670063766</v>
      </c>
      <c r="FC377" s="269">
        <f t="shared" si="1053"/>
        <v>514314.18350318831</v>
      </c>
      <c r="FD377" s="269"/>
      <c r="FE377" s="269">
        <f t="shared" si="1054"/>
        <v>329536447.47370011</v>
      </c>
      <c r="FF377" s="140">
        <f>'Detailed Budget'!$AC$165</f>
        <v>14927760000</v>
      </c>
      <c r="FG377" s="1087">
        <f t="shared" si="972"/>
        <v>449509527.64143014</v>
      </c>
      <c r="FH377" s="269">
        <f t="shared" si="1014"/>
        <v>16961436.200431772</v>
      </c>
      <c r="FJ377" s="140">
        <f>'Detailed Budget'!$AC$235</f>
        <v>3623696172</v>
      </c>
      <c r="FK377" s="269">
        <f t="shared" si="1015"/>
        <v>4681778</v>
      </c>
      <c r="FL377" s="269">
        <f t="shared" si="973"/>
        <v>4681778</v>
      </c>
      <c r="FO377" s="607"/>
      <c r="FP377" s="607"/>
      <c r="FQ377" s="607"/>
      <c r="FR377" s="269">
        <f>'Detailed Budget'!$AC$257</f>
        <v>13636439388</v>
      </c>
      <c r="FS377" s="269">
        <f t="shared" si="1016"/>
        <v>31978752</v>
      </c>
      <c r="FT377" s="269">
        <f t="shared" si="974"/>
        <v>31978752</v>
      </c>
      <c r="FU377" s="269"/>
      <c r="FV377" s="269"/>
      <c r="FW377" s="269"/>
      <c r="FX377" s="140">
        <f>'Detailed Budget'!$AC$278</f>
        <v>1114560000</v>
      </c>
      <c r="FY377" s="269">
        <f t="shared" si="1017"/>
        <v>1440000</v>
      </c>
      <c r="FZ377" s="269">
        <f t="shared" si="975"/>
        <v>1440000</v>
      </c>
      <c r="GB377" s="269">
        <f t="shared" si="983"/>
        <v>2272208118.4115009</v>
      </c>
      <c r="GC377" s="887">
        <f t="shared" si="1055"/>
        <v>1420130.074007188</v>
      </c>
      <c r="GD377" s="1078">
        <f t="shared" si="984"/>
        <v>1.2750075250360753E-3</v>
      </c>
    </row>
    <row r="378" spans="1:186" hidden="1" outlineLevel="1">
      <c r="A378" s="211" t="s">
        <v>895</v>
      </c>
      <c r="B378" s="212" t="s">
        <v>898</v>
      </c>
      <c r="C378" s="213" t="s">
        <v>215</v>
      </c>
      <c r="D378" s="214" t="s">
        <v>215</v>
      </c>
      <c r="E378" s="213"/>
      <c r="F378" s="213"/>
      <c r="G378" s="213"/>
      <c r="H378" s="213" t="s">
        <v>215</v>
      </c>
      <c r="I378" s="214" t="s">
        <v>215</v>
      </c>
      <c r="J378" s="214"/>
      <c r="K378" s="213" t="s">
        <v>215</v>
      </c>
      <c r="L378" s="213"/>
      <c r="M378" s="214"/>
      <c r="N378" s="213"/>
      <c r="O378" s="214"/>
      <c r="P378" s="213"/>
      <c r="Q378" s="214"/>
      <c r="R378" s="214" t="s">
        <v>215</v>
      </c>
      <c r="S378" s="214"/>
      <c r="T378" s="214"/>
      <c r="U378" s="215">
        <f t="shared" si="1018"/>
        <v>6</v>
      </c>
      <c r="V378" s="845" t="s">
        <v>219</v>
      </c>
      <c r="W378" s="216">
        <v>145323</v>
      </c>
      <c r="X378" s="217">
        <v>3.04</v>
      </c>
      <c r="Y378" s="218">
        <f t="shared" si="986"/>
        <v>1.0304</v>
      </c>
      <c r="Z378" s="196">
        <v>19</v>
      </c>
      <c r="AA378" s="218">
        <f t="shared" si="987"/>
        <v>1.7664898659259882</v>
      </c>
      <c r="AB378" s="196">
        <f t="shared" si="1009"/>
        <v>256711.60678596239</v>
      </c>
      <c r="AC378">
        <v>20.8</v>
      </c>
      <c r="AD378" s="196">
        <f t="shared" si="1010"/>
        <v>53396.014211480178</v>
      </c>
      <c r="AE378" s="196">
        <f t="shared" si="990"/>
        <v>50726.213500906168</v>
      </c>
      <c r="AF378" s="196">
        <f t="shared" si="1019"/>
        <v>50726.213500906168</v>
      </c>
      <c r="AG378" s="606">
        <f t="shared" si="1058"/>
        <v>2.3453574200319833E-3</v>
      </c>
      <c r="AH378" s="196">
        <f t="shared" si="1033"/>
        <v>12835.58033929812</v>
      </c>
      <c r="AI378" s="248">
        <f t="shared" si="1034"/>
        <v>9.9435296108162422E-4</v>
      </c>
      <c r="AJ378" s="196">
        <f t="shared" si="1038"/>
        <v>66231.594550778304</v>
      </c>
      <c r="AK378" s="196">
        <f t="shared" si="926"/>
        <v>10268.464271438495</v>
      </c>
      <c r="AL378" s="196">
        <f t="shared" si="927"/>
        <v>10268.464271438495</v>
      </c>
      <c r="AM378" s="196">
        <f t="shared" si="1039"/>
        <v>20536.928542876991</v>
      </c>
      <c r="AN378" s="627">
        <f t="shared" si="1040"/>
        <v>9.9435296108162422E-4</v>
      </c>
      <c r="AO378" s="196">
        <f t="shared" si="1041"/>
        <v>9755.0410578665706</v>
      </c>
      <c r="AP378" s="589">
        <f t="shared" si="1059"/>
        <v>9.9435296108162422E-4</v>
      </c>
      <c r="AQ378" s="196"/>
      <c r="AR378" s="589"/>
      <c r="AS378">
        <v>1</v>
      </c>
      <c r="AT378" s="589">
        <f t="shared" si="1060"/>
        <v>1.2919896640826874E-3</v>
      </c>
      <c r="AU378" s="196">
        <v>11</v>
      </c>
      <c r="AV378" s="245">
        <f t="shared" si="1042"/>
        <v>1.2498579706851495E-3</v>
      </c>
      <c r="AX378" s="245"/>
      <c r="AY378" s="245"/>
      <c r="AZ378" s="196">
        <v>52</v>
      </c>
      <c r="BA378" s="589">
        <f t="shared" si="977"/>
        <v>1.9053900553295958E-3</v>
      </c>
      <c r="BI378" s="196">
        <v>0</v>
      </c>
      <c r="BJ378" s="196">
        <f t="shared" si="1020"/>
        <v>159313.58889925655</v>
      </c>
      <c r="BK378" s="246">
        <f t="shared" si="978"/>
        <v>3.0380140203401917E-3</v>
      </c>
      <c r="BL378" s="196">
        <f t="shared" si="1035"/>
        <v>3186.2717779851309</v>
      </c>
      <c r="BM378" s="246">
        <f t="shared" si="979"/>
        <v>3.0380136727416649E-3</v>
      </c>
      <c r="BN378" s="196">
        <v>0</v>
      </c>
      <c r="BO378" s="196">
        <f t="shared" si="1021"/>
        <v>19822.283823091839</v>
      </c>
      <c r="BP378" s="196">
        <f t="shared" si="1043"/>
        <v>0</v>
      </c>
      <c r="BQ378" s="248">
        <f t="shared" si="980"/>
        <v>0</v>
      </c>
      <c r="BR378" s="248"/>
      <c r="BS378" s="248"/>
      <c r="BT378" s="276">
        <v>1</v>
      </c>
      <c r="BU378" s="196">
        <f t="shared" si="1036"/>
        <v>41520.740650846987</v>
      </c>
      <c r="BV378" s="264">
        <f t="shared" si="981"/>
        <v>2.8799572183360518E-3</v>
      </c>
      <c r="BW378" s="196">
        <f t="shared" si="1037"/>
        <v>177616.50167306769</v>
      </c>
      <c r="BX378" s="247">
        <f t="shared" si="982"/>
        <v>2.8799572442788171E-3</v>
      </c>
      <c r="BY378" s="196">
        <f t="shared" si="985"/>
        <v>219137.24232391466</v>
      </c>
      <c r="BZ378" s="620">
        <v>0</v>
      </c>
      <c r="CA378" s="196">
        <f t="shared" si="1022"/>
        <v>78553.7516765045</v>
      </c>
      <c r="CB378" s="196">
        <f t="shared" si="1023"/>
        <v>157107.503353009</v>
      </c>
      <c r="CC378" s="196">
        <f t="shared" si="1056"/>
        <v>235661.2550295135</v>
      </c>
      <c r="CD378" s="247">
        <f t="shared" si="1044"/>
        <v>9.9435296108162444E-4</v>
      </c>
      <c r="CE378" s="196">
        <f t="shared" si="1024"/>
        <v>32418.593676354092</v>
      </c>
      <c r="CF378" s="247">
        <f t="shared" si="1045"/>
        <v>1.399935695009876E-3</v>
      </c>
      <c r="CG378" s="196">
        <f t="shared" si="991"/>
        <v>39020.164231466282</v>
      </c>
      <c r="CH378" s="589">
        <f t="shared" si="1061"/>
        <v>9.9435296108162422E-4</v>
      </c>
      <c r="CI378" s="196">
        <f t="shared" si="1025"/>
        <v>98688.148279063797</v>
      </c>
      <c r="CJ378" s="248">
        <f t="shared" si="1062"/>
        <v>1.6224329072041679E-3</v>
      </c>
      <c r="CK378" s="196">
        <f t="shared" si="1026"/>
        <v>80113.521849460711</v>
      </c>
      <c r="CL378" s="589">
        <f t="shared" si="1063"/>
        <v>1.1516483552344006E-3</v>
      </c>
      <c r="CM378" s="196">
        <f t="shared" si="1027"/>
        <v>15544.541800792356</v>
      </c>
      <c r="CN378" s="589">
        <f t="shared" si="1064"/>
        <v>2.2401451317873005E-3</v>
      </c>
      <c r="CO378" s="196">
        <f t="shared" si="1028"/>
        <v>620.88592504014878</v>
      </c>
      <c r="CP378" s="589">
        <f t="shared" si="1065"/>
        <v>1.1708952205876839E-3</v>
      </c>
      <c r="CQ378" s="196">
        <f>'Detailed Budget'!$AC$12</f>
        <v>292876014141.44696</v>
      </c>
      <c r="CR378" s="269">
        <f t="shared" si="925"/>
        <v>889761437.18306816</v>
      </c>
      <c r="CS378" s="269">
        <f>'Detailed Budget'!$AC$16</f>
        <v>10488008800.000002</v>
      </c>
      <c r="CT378" s="607">
        <f t="shared" si="992"/>
        <v>31862714.134234909</v>
      </c>
      <c r="CU378" s="269">
        <f>'Detailed Budget'!$AC$24</f>
        <v>30624985696</v>
      </c>
      <c r="CV378" s="269">
        <f t="shared" si="976"/>
        <v>93039135.917165816</v>
      </c>
      <c r="CW378" s="269"/>
      <c r="CX378" s="269">
        <f t="shared" si="1057"/>
        <v>1014663287.2344689</v>
      </c>
      <c r="CY378" s="196">
        <f>'Detailed Budget'!$AC$97</f>
        <v>74629165494.837845</v>
      </c>
      <c r="CZ378" s="269">
        <f t="shared" si="993"/>
        <v>0</v>
      </c>
      <c r="DA378" s="269">
        <f>'Detailed Budget'!$AC$100</f>
        <v>14925833098.967569</v>
      </c>
      <c r="DB378" s="269">
        <f t="shared" si="994"/>
        <v>0</v>
      </c>
      <c r="DC378" s="269">
        <f t="shared" si="1046"/>
        <v>0</v>
      </c>
      <c r="DD378" s="207">
        <v>0</v>
      </c>
      <c r="DE378" s="606">
        <v>0</v>
      </c>
      <c r="DF378" s="269">
        <f>'Detailed Budget'!$AC$147</f>
        <v>5913600671000</v>
      </c>
      <c r="DG378" s="269">
        <f t="shared" si="971"/>
        <v>0</v>
      </c>
      <c r="DH378" s="269">
        <f>'Detailed Budget'!$AC$153</f>
        <v>226428026880.00003</v>
      </c>
      <c r="DI378" s="269"/>
      <c r="DJ378" s="269">
        <f>'Detailed Budget'!$AC$156</f>
        <v>27713070000</v>
      </c>
      <c r="DK378" s="269"/>
      <c r="DL378" s="269"/>
      <c r="DM378" s="196">
        <f>'Detailed Budget'!$AC$178</f>
        <v>5622683761.6229038</v>
      </c>
      <c r="DN378" s="269">
        <f t="shared" si="1029"/>
        <v>16193088.685706787</v>
      </c>
      <c r="DO378" s="196">
        <f>'Detailed Budget'!$AC$179</f>
        <v>26827890683.128094</v>
      </c>
      <c r="DP378" s="269">
        <f t="shared" si="1030"/>
        <v>77263178.121594936</v>
      </c>
      <c r="DQ378" s="269">
        <f t="shared" si="1008"/>
        <v>93456266.80730173</v>
      </c>
      <c r="DR378" s="269">
        <f>'Detailed Budget'!$AC$181</f>
        <v>50888946855.375237</v>
      </c>
      <c r="DS378" s="269">
        <f t="shared" si="1031"/>
        <v>119352769.10486758</v>
      </c>
      <c r="DT378" s="269">
        <f t="shared" si="1032"/>
        <v>212809035.91216931</v>
      </c>
      <c r="DU378" s="272">
        <f>'Detailed Budget'!$AC$192</f>
        <v>77498869683.252869</v>
      </c>
      <c r="DV378" s="269">
        <f t="shared" si="995"/>
        <v>0</v>
      </c>
      <c r="DW378" s="140">
        <f>'Detailed Budget'!$AC$194</f>
        <v>2684962805.4134097</v>
      </c>
      <c r="DX378" s="269">
        <f t="shared" si="996"/>
        <v>0</v>
      </c>
      <c r="DY378" s="607">
        <f t="shared" si="1047"/>
        <v>0</v>
      </c>
      <c r="DZ378" s="196">
        <f>'Detailed Budget'!$AC$198</f>
        <v>18732540018.380611</v>
      </c>
      <c r="EA378" s="269">
        <f t="shared" si="1013"/>
        <v>26224351.429931976</v>
      </c>
      <c r="EB378" s="196">
        <f>'Detailed Budget'!$AC$200</f>
        <v>4683135004.5951529</v>
      </c>
      <c r="EC378" s="269">
        <f t="shared" si="997"/>
        <v>6556087.857482994</v>
      </c>
      <c r="ED378" s="269">
        <f t="shared" si="1048"/>
        <v>32780439.287414968</v>
      </c>
      <c r="EE378" s="196">
        <f>'Detailed Budget'!$AC$161</f>
        <v>251147290106.36197</v>
      </c>
      <c r="EF378" s="269">
        <f t="shared" si="998"/>
        <v>249729051.58488673</v>
      </c>
      <c r="EG378" s="196">
        <f>'Detailed Budget'!$AC$163</f>
        <v>15696705631.647623</v>
      </c>
      <c r="EH378" s="269">
        <f t="shared" si="999"/>
        <v>15608065.724055421</v>
      </c>
      <c r="EI378" s="269">
        <f t="shared" si="1049"/>
        <v>265337117.30894214</v>
      </c>
      <c r="EJ378" s="196">
        <f>'Detailed Budget'!$AC$204</f>
        <v>45012172507.531975</v>
      </c>
      <c r="EK378" s="269">
        <f t="shared" si="1000"/>
        <v>73029229.900970623</v>
      </c>
      <c r="EL378" s="201">
        <f>'Detailed Budget'!$AC$206</f>
        <v>11253043126.882994</v>
      </c>
      <c r="EM378" s="269">
        <f t="shared" si="1001"/>
        <v>18257307.475242656</v>
      </c>
      <c r="EN378" s="269">
        <f t="shared" si="1050"/>
        <v>91286537.376213282</v>
      </c>
      <c r="EO378" s="140">
        <f>'Detailed Budget'!$AC$209</f>
        <v>135789361677.54817</v>
      </c>
      <c r="EP378" s="269">
        <f t="shared" si="1002"/>
        <v>156381595.0342775</v>
      </c>
      <c r="EQ378" s="196">
        <f>'Detailed Budget'!$AC$211</f>
        <v>33947340419.387043</v>
      </c>
      <c r="ER378" s="269">
        <f t="shared" si="1003"/>
        <v>39095398.758569375</v>
      </c>
      <c r="ES378" s="269">
        <f t="shared" si="1051"/>
        <v>195476993.79284686</v>
      </c>
      <c r="ET378" s="196">
        <f>'Detailed Budget'!$AC$214</f>
        <v>22239745544.201103</v>
      </c>
      <c r="EU378" s="269">
        <f t="shared" si="1004"/>
        <v>49820257.713030413</v>
      </c>
      <c r="EV378" s="140">
        <f>'Detailed Budget'!$AC$217</f>
        <v>5559936386.0502758</v>
      </c>
      <c r="EW378" s="269">
        <f t="shared" si="1005"/>
        <v>12455064.428257603</v>
      </c>
      <c r="EX378" s="269">
        <f t="shared" si="1052"/>
        <v>62275322.141288012</v>
      </c>
      <c r="EY378" s="196">
        <f>'Detailed Budget'!$AC$219</f>
        <v>372777004.58170313</v>
      </c>
      <c r="EZ378" s="269">
        <f t="shared" si="1006"/>
        <v>436482.81300970935</v>
      </c>
      <c r="FA378" s="196">
        <f>'Detailed Budget'!$AC$222</f>
        <v>93194251.145425782</v>
      </c>
      <c r="FB378" s="269">
        <f t="shared" si="1007"/>
        <v>109120.70325242734</v>
      </c>
      <c r="FC378" s="269">
        <f t="shared" si="1053"/>
        <v>545603.51626213663</v>
      </c>
      <c r="FD378" s="269"/>
      <c r="FE378" s="269">
        <f t="shared" si="1054"/>
        <v>349584456.82661027</v>
      </c>
      <c r="FF378" s="140">
        <f>'Detailed Budget'!$AC$165</f>
        <v>14927760000</v>
      </c>
      <c r="FG378" s="1087">
        <f t="shared" si="972"/>
        <v>476856339.45379221</v>
      </c>
      <c r="FH378" s="269">
        <f t="shared" si="1014"/>
        <v>18657579.820474949</v>
      </c>
      <c r="FJ378" s="140">
        <f>'Detailed Budget'!$AC$235</f>
        <v>3623696172</v>
      </c>
      <c r="FK378" s="269">
        <f t="shared" si="1015"/>
        <v>4681778</v>
      </c>
      <c r="FL378" s="269">
        <f t="shared" si="973"/>
        <v>4681778</v>
      </c>
      <c r="FO378" s="607"/>
      <c r="FP378" s="607"/>
      <c r="FQ378" s="607"/>
      <c r="FR378" s="269">
        <f>'Detailed Budget'!$AC$257</f>
        <v>13636439388</v>
      </c>
      <c r="FS378" s="269">
        <f t="shared" si="1016"/>
        <v>25982736</v>
      </c>
      <c r="FT378" s="269">
        <f t="shared" si="974"/>
        <v>25982736</v>
      </c>
      <c r="FU378" s="269"/>
      <c r="FV378" s="269"/>
      <c r="FW378" s="269"/>
      <c r="FX378" s="140">
        <f>'Detailed Budget'!$AC$278</f>
        <v>1114560000</v>
      </c>
      <c r="FY378" s="269">
        <f t="shared" si="1017"/>
        <v>1440000</v>
      </c>
      <c r="FZ378" s="269">
        <f t="shared" si="975"/>
        <v>1440000</v>
      </c>
      <c r="GB378" s="269">
        <f t="shared" si="983"/>
        <v>2402792769.843873</v>
      </c>
      <c r="GC378" s="887">
        <f t="shared" si="1055"/>
        <v>1501745.4811524206</v>
      </c>
      <c r="GD378" s="1078">
        <f t="shared" si="984"/>
        <v>1.348282684948313E-3</v>
      </c>
    </row>
    <row r="379" spans="1:186" hidden="1" outlineLevel="1">
      <c r="A379" s="211" t="s">
        <v>897</v>
      </c>
      <c r="B379" s="212" t="s">
        <v>900</v>
      </c>
      <c r="C379" s="213" t="s">
        <v>215</v>
      </c>
      <c r="D379" s="214" t="s">
        <v>215</v>
      </c>
      <c r="E379" s="213"/>
      <c r="F379" s="213"/>
      <c r="G379" s="213"/>
      <c r="H379" s="213" t="s">
        <v>215</v>
      </c>
      <c r="I379" s="214" t="s">
        <v>215</v>
      </c>
      <c r="J379" s="214"/>
      <c r="K379" s="213" t="s">
        <v>215</v>
      </c>
      <c r="L379" s="213"/>
      <c r="M379" s="214"/>
      <c r="N379" s="213"/>
      <c r="O379" s="214"/>
      <c r="P379" s="213"/>
      <c r="Q379" s="214"/>
      <c r="R379" s="214" t="s">
        <v>215</v>
      </c>
      <c r="S379" s="214"/>
      <c r="T379" s="214"/>
      <c r="U379" s="215">
        <f t="shared" si="1018"/>
        <v>6</v>
      </c>
      <c r="V379" s="845" t="s">
        <v>219</v>
      </c>
      <c r="W379" s="216">
        <v>125481</v>
      </c>
      <c r="X379" s="217">
        <v>3.04</v>
      </c>
      <c r="Y379" s="218">
        <f t="shared" si="986"/>
        <v>1.0304</v>
      </c>
      <c r="Z379" s="196">
        <v>19</v>
      </c>
      <c r="AA379" s="218">
        <f t="shared" si="987"/>
        <v>1.7664898659259882</v>
      </c>
      <c r="AB379" s="196">
        <f t="shared" si="1009"/>
        <v>221660.91486625891</v>
      </c>
      <c r="AC379">
        <v>20.8</v>
      </c>
      <c r="AD379" s="196">
        <f t="shared" si="1010"/>
        <v>46105.470292181853</v>
      </c>
      <c r="AE379" s="196">
        <f t="shared" si="990"/>
        <v>43800.196777572761</v>
      </c>
      <c r="AF379" s="196">
        <f t="shared" si="1019"/>
        <v>43800.196777572761</v>
      </c>
      <c r="AG379" s="606">
        <f t="shared" si="1058"/>
        <v>2.0251288125281838E-3</v>
      </c>
      <c r="AH379" s="196">
        <f t="shared" si="1033"/>
        <v>11083.045743312947</v>
      </c>
      <c r="AI379" s="248">
        <f t="shared" si="1034"/>
        <v>8.585867612799302E-4</v>
      </c>
      <c r="AJ379" s="196">
        <f t="shared" si="1038"/>
        <v>57188.516035494802</v>
      </c>
      <c r="AK379" s="196">
        <f t="shared" si="926"/>
        <v>8866.4365946503567</v>
      </c>
      <c r="AL379" s="196">
        <f t="shared" si="927"/>
        <v>8866.4365946503567</v>
      </c>
      <c r="AM379" s="196">
        <f t="shared" si="1039"/>
        <v>17732.873189300713</v>
      </c>
      <c r="AN379" s="627">
        <f t="shared" si="1040"/>
        <v>8.585867612799301E-4</v>
      </c>
      <c r="AO379" s="196">
        <f t="shared" si="1041"/>
        <v>8423.1147649178383</v>
      </c>
      <c r="AP379" s="589">
        <f t="shared" si="1059"/>
        <v>8.585867612799301E-4</v>
      </c>
      <c r="AQ379" s="196"/>
      <c r="AR379" s="589"/>
      <c r="AS379">
        <v>1</v>
      </c>
      <c r="AT379" s="589">
        <f t="shared" si="1060"/>
        <v>1.2919896640826874E-3</v>
      </c>
      <c r="AU379" s="196">
        <v>10</v>
      </c>
      <c r="AV379" s="245">
        <f t="shared" si="1042"/>
        <v>1.1362345188046814E-3</v>
      </c>
      <c r="AX379" s="245"/>
      <c r="AY379" s="245"/>
      <c r="AZ379" s="196">
        <v>53</v>
      </c>
      <c r="BA379" s="589">
        <f t="shared" si="977"/>
        <v>1.9420321717782418E-3</v>
      </c>
      <c r="BI379" s="196">
        <v>0</v>
      </c>
      <c r="BJ379" s="196">
        <f t="shared" si="1020"/>
        <v>137561.35263287718</v>
      </c>
      <c r="BK379" s="246">
        <f t="shared" si="978"/>
        <v>2.6232119986946841E-3</v>
      </c>
      <c r="BL379" s="196">
        <f t="shared" si="1035"/>
        <v>2751.2270526575435</v>
      </c>
      <c r="BM379" s="246">
        <f t="shared" si="979"/>
        <v>2.6232116985562977E-3</v>
      </c>
      <c r="BN379" s="196">
        <v>0</v>
      </c>
      <c r="BO379" s="196">
        <f t="shared" si="1021"/>
        <v>17115.804080602426</v>
      </c>
      <c r="BP379" s="196">
        <f t="shared" si="1043"/>
        <v>0</v>
      </c>
      <c r="BQ379" s="248">
        <f t="shared" si="980"/>
        <v>0</v>
      </c>
      <c r="BR379" s="248"/>
      <c r="BS379" s="248"/>
      <c r="BT379" s="276">
        <v>1</v>
      </c>
      <c r="BU379" s="196">
        <f t="shared" si="1036"/>
        <v>35851.613699200607</v>
      </c>
      <c r="BV379" s="264">
        <f t="shared" si="981"/>
        <v>2.4867358347544851E-3</v>
      </c>
      <c r="BW379" s="196">
        <f t="shared" si="1037"/>
        <v>153365.23637991372</v>
      </c>
      <c r="BX379" s="247">
        <f t="shared" si="982"/>
        <v>2.4867358571550968E-3</v>
      </c>
      <c r="BY379" s="196">
        <f t="shared" si="985"/>
        <v>189216.85007911432</v>
      </c>
      <c r="BZ379" s="620">
        <v>0</v>
      </c>
      <c r="CA379" s="196">
        <f t="shared" si="1022"/>
        <v>67828.239949075243</v>
      </c>
      <c r="CB379" s="196">
        <f t="shared" si="1023"/>
        <v>135656.47989815049</v>
      </c>
      <c r="CC379" s="196">
        <f t="shared" si="1056"/>
        <v>203484.71984722573</v>
      </c>
      <c r="CD379" s="247">
        <f t="shared" si="1044"/>
        <v>8.5858676127993031E-4</v>
      </c>
      <c r="CE379" s="196">
        <f t="shared" si="1024"/>
        <v>27992.248667468935</v>
      </c>
      <c r="CF379" s="247">
        <f t="shared" si="1045"/>
        <v>1.2087923518337377E-3</v>
      </c>
      <c r="CG379" s="196">
        <f t="shared" si="991"/>
        <v>33692.459059671353</v>
      </c>
      <c r="CH379" s="589">
        <f t="shared" si="1061"/>
        <v>8.585867612799301E-4</v>
      </c>
      <c r="CI379" s="196">
        <f t="shared" si="1025"/>
        <v>85213.541794521196</v>
      </c>
      <c r="CJ379" s="248">
        <f t="shared" si="1062"/>
        <v>1.400910410801361E-3</v>
      </c>
      <c r="CK379" s="196">
        <f t="shared" si="1026"/>
        <v>69175.043421840848</v>
      </c>
      <c r="CL379" s="589">
        <f t="shared" si="1063"/>
        <v>9.9440547788834399E-4</v>
      </c>
      <c r="CM379" s="196">
        <f t="shared" si="1027"/>
        <v>13422.133108353291</v>
      </c>
      <c r="CN379" s="589">
        <f t="shared" si="1064"/>
        <v>1.93428191877268E-3</v>
      </c>
      <c r="CO379" s="196">
        <f t="shared" si="1028"/>
        <v>536.11188015636139</v>
      </c>
      <c r="CP379" s="589">
        <f t="shared" si="1065"/>
        <v>1.0110244295435903E-3</v>
      </c>
      <c r="CQ379" s="196">
        <f>'Detailed Budget'!$AC$12</f>
        <v>292876014141.44696</v>
      </c>
      <c r="CR379" s="269">
        <f t="shared" ref="CR379:CR442" si="1066">BK379*CQ379</f>
        <v>768275874.42571759</v>
      </c>
      <c r="CS379" s="269">
        <f>'Detailed Budget'!$AC$16</f>
        <v>10488008800.000002</v>
      </c>
      <c r="CT379" s="607">
        <f t="shared" si="992"/>
        <v>27512267.378721401</v>
      </c>
      <c r="CU379" s="269">
        <f>'Detailed Budget'!$AC$24</f>
        <v>30624985696</v>
      </c>
      <c r="CV379" s="269">
        <f t="shared" si="976"/>
        <v>80335829.93760027</v>
      </c>
      <c r="CW379" s="269"/>
      <c r="CX379" s="269">
        <f t="shared" si="1057"/>
        <v>876123971.7420392</v>
      </c>
      <c r="CY379" s="196">
        <f>'Detailed Budget'!$AC$97</f>
        <v>74629165494.837845</v>
      </c>
      <c r="CZ379" s="269">
        <f t="shared" si="993"/>
        <v>0</v>
      </c>
      <c r="DA379" s="269">
        <f>'Detailed Budget'!$AC$100</f>
        <v>14925833098.967569</v>
      </c>
      <c r="DB379" s="269">
        <f t="shared" si="994"/>
        <v>0</v>
      </c>
      <c r="DC379" s="269">
        <f t="shared" si="1046"/>
        <v>0</v>
      </c>
      <c r="DD379" s="207">
        <v>0</v>
      </c>
      <c r="DE379" s="606">
        <v>0</v>
      </c>
      <c r="DF379" s="269">
        <f>'Detailed Budget'!$AC$147</f>
        <v>5913600671000</v>
      </c>
      <c r="DG379" s="269">
        <f t="shared" si="971"/>
        <v>0</v>
      </c>
      <c r="DH379" s="269">
        <f>'Detailed Budget'!$AC$153</f>
        <v>226428026880.00003</v>
      </c>
      <c r="DI379" s="269"/>
      <c r="DJ379" s="269">
        <f>'Detailed Budget'!$AC$156</f>
        <v>27713070000</v>
      </c>
      <c r="DK379" s="269"/>
      <c r="DL379" s="269"/>
      <c r="DM379" s="196">
        <f>'Detailed Budget'!$AC$178</f>
        <v>5622683761.6229038</v>
      </c>
      <c r="DN379" s="269">
        <f t="shared" si="1029"/>
        <v>13982129.19751982</v>
      </c>
      <c r="DO379" s="196">
        <f>'Detailed Budget'!$AC$179</f>
        <v>26827890683.128094</v>
      </c>
      <c r="DP379" s="269">
        <f t="shared" si="1030"/>
        <v>66713877.733571775</v>
      </c>
      <c r="DQ379" s="269">
        <f t="shared" si="1008"/>
        <v>80696006.931091592</v>
      </c>
      <c r="DR379" s="269">
        <f>'Detailed Budget'!$AC$181</f>
        <v>50888946855.375237</v>
      </c>
      <c r="DS379" s="269">
        <f t="shared" si="1031"/>
        <v>103056672.5160359</v>
      </c>
      <c r="DT379" s="269">
        <f t="shared" si="1032"/>
        <v>183752679.44712749</v>
      </c>
      <c r="DU379" s="272">
        <f>'Detailed Budget'!$AC$192</f>
        <v>77498869683.252869</v>
      </c>
      <c r="DV379" s="269">
        <f t="shared" si="995"/>
        <v>0</v>
      </c>
      <c r="DW379" s="140">
        <f>'Detailed Budget'!$AC$194</f>
        <v>2684962805.4134097</v>
      </c>
      <c r="DX379" s="269">
        <f t="shared" si="996"/>
        <v>0</v>
      </c>
      <c r="DY379" s="607">
        <f t="shared" si="1047"/>
        <v>0</v>
      </c>
      <c r="DZ379" s="196">
        <f>'Detailed Budget'!$AC$198</f>
        <v>18732540018.380611</v>
      </c>
      <c r="EA379" s="269">
        <f t="shared" si="1013"/>
        <v>22643751.104637906</v>
      </c>
      <c r="EB379" s="196">
        <f>'Detailed Budget'!$AC$200</f>
        <v>4683135004.5951529</v>
      </c>
      <c r="EC379" s="269">
        <f t="shared" si="997"/>
        <v>5660937.7761594765</v>
      </c>
      <c r="ED379" s="269">
        <f t="shared" si="1048"/>
        <v>28304688.880797382</v>
      </c>
      <c r="EE379" s="196">
        <f>'Detailed Budget'!$AC$161</f>
        <v>251147290106.36197</v>
      </c>
      <c r="EF379" s="269">
        <f t="shared" si="998"/>
        <v>215631738.41665235</v>
      </c>
      <c r="EG379" s="196">
        <f>'Detailed Budget'!$AC$163</f>
        <v>15696705631.647623</v>
      </c>
      <c r="EH379" s="269">
        <f t="shared" si="999"/>
        <v>13476983.651040772</v>
      </c>
      <c r="EI379" s="269">
        <f t="shared" si="1049"/>
        <v>229108722.06769311</v>
      </c>
      <c r="EJ379" s="196">
        <f>'Detailed Budget'!$AC$204</f>
        <v>45012172507.531975</v>
      </c>
      <c r="EK379" s="269">
        <f t="shared" si="1000"/>
        <v>63058021.078588344</v>
      </c>
      <c r="EL379" s="201">
        <f>'Detailed Budget'!$AC$206</f>
        <v>11253043126.882994</v>
      </c>
      <c r="EM379" s="269">
        <f t="shared" si="1001"/>
        <v>15764505.269647086</v>
      </c>
      <c r="EN379" s="269">
        <f t="shared" si="1050"/>
        <v>78822526.348235428</v>
      </c>
      <c r="EO379" s="140">
        <f>'Detailed Budget'!$AC$209</f>
        <v>135789361677.54817</v>
      </c>
      <c r="EP379" s="269">
        <f t="shared" si="1002"/>
        <v>135029685.09111547</v>
      </c>
      <c r="EQ379" s="196">
        <f>'Detailed Budget'!$AC$211</f>
        <v>33947340419.387043</v>
      </c>
      <c r="ER379" s="269">
        <f t="shared" si="1003"/>
        <v>33757421.272778869</v>
      </c>
      <c r="ES379" s="269">
        <f t="shared" si="1051"/>
        <v>168787106.36389434</v>
      </c>
      <c r="ET379" s="196">
        <f>'Detailed Budget'!$AC$214</f>
        <v>22239745544.201103</v>
      </c>
      <c r="EU379" s="269">
        <f t="shared" si="1004"/>
        <v>43017937.684253469</v>
      </c>
      <c r="EV379" s="140">
        <f>'Detailed Budget'!$AC$217</f>
        <v>5559936386.0502758</v>
      </c>
      <c r="EW379" s="269">
        <f t="shared" si="1005"/>
        <v>10754484.421063367</v>
      </c>
      <c r="EX379" s="269">
        <f t="shared" si="1052"/>
        <v>53772422.105316833</v>
      </c>
      <c r="EY379" s="196">
        <f>'Detailed Budget'!$AC$219</f>
        <v>372777004.58170313</v>
      </c>
      <c r="EZ379" s="269">
        <f t="shared" si="1006"/>
        <v>376886.65840418474</v>
      </c>
      <c r="FA379" s="196">
        <f>'Detailed Budget'!$AC$222</f>
        <v>93194251.145425782</v>
      </c>
      <c r="FB379" s="269">
        <f t="shared" si="1007"/>
        <v>94221.664601046185</v>
      </c>
      <c r="FC379" s="269">
        <f t="shared" si="1053"/>
        <v>471108.32300523092</v>
      </c>
      <c r="FD379" s="269"/>
      <c r="FE379" s="269">
        <f t="shared" si="1054"/>
        <v>301853163.14045185</v>
      </c>
      <c r="FF379" s="140">
        <f>'Detailed Budget'!$AC$165</f>
        <v>14927760000</v>
      </c>
      <c r="FG379" s="1087">
        <f t="shared" si="972"/>
        <v>411747695.34761393</v>
      </c>
      <c r="FH379" s="269">
        <f t="shared" si="1014"/>
        <v>16961436.200431772</v>
      </c>
      <c r="FJ379" s="140">
        <f>'Detailed Budget'!$AC$235</f>
        <v>3623696172</v>
      </c>
      <c r="FK379" s="269">
        <f t="shared" si="1015"/>
        <v>4681778</v>
      </c>
      <c r="FL379" s="269">
        <f t="shared" si="973"/>
        <v>4681778</v>
      </c>
      <c r="FO379" s="607"/>
      <c r="FP379" s="607"/>
      <c r="FQ379" s="607"/>
      <c r="FR379" s="269">
        <f>'Detailed Budget'!$AC$257</f>
        <v>13636439388</v>
      </c>
      <c r="FS379" s="269">
        <f t="shared" si="1016"/>
        <v>26482404</v>
      </c>
      <c r="FT379" s="269">
        <f t="shared" si="974"/>
        <v>26482404</v>
      </c>
      <c r="FU379" s="269"/>
      <c r="FV379" s="269"/>
      <c r="FW379" s="269"/>
      <c r="FX379" s="140">
        <f>'Detailed Budget'!$AC$278</f>
        <v>1114560000</v>
      </c>
      <c r="FY379" s="269">
        <f t="shared" si="1017"/>
        <v>1440000</v>
      </c>
      <c r="FZ379" s="269">
        <f t="shared" si="975"/>
        <v>1440000</v>
      </c>
      <c r="GB379" s="269">
        <f t="shared" si="983"/>
        <v>2080456538.8261547</v>
      </c>
      <c r="GC379" s="887">
        <f t="shared" si="1055"/>
        <v>1300285.3367663466</v>
      </c>
      <c r="GD379" s="1078">
        <f t="shared" si="984"/>
        <v>1.1674096756455056E-3</v>
      </c>
    </row>
    <row r="380" spans="1:186" hidden="1" outlineLevel="1">
      <c r="A380" s="211" t="s">
        <v>899</v>
      </c>
      <c r="B380" s="212" t="s">
        <v>896</v>
      </c>
      <c r="C380" s="213" t="s">
        <v>215</v>
      </c>
      <c r="D380" s="214" t="s">
        <v>215</v>
      </c>
      <c r="E380" s="213"/>
      <c r="F380" s="213"/>
      <c r="G380" s="213"/>
      <c r="H380" s="213" t="s">
        <v>215</v>
      </c>
      <c r="I380" s="214" t="s">
        <v>215</v>
      </c>
      <c r="J380" s="214"/>
      <c r="K380" s="213" t="s">
        <v>215</v>
      </c>
      <c r="L380" s="213"/>
      <c r="M380" s="214"/>
      <c r="N380" s="213"/>
      <c r="O380" s="214"/>
      <c r="P380" s="213"/>
      <c r="Q380" s="214"/>
      <c r="R380" s="214" t="s">
        <v>215</v>
      </c>
      <c r="S380" s="214"/>
      <c r="T380" s="214"/>
      <c r="U380" s="215">
        <f>COUNTA(C380:T380)</f>
        <v>6</v>
      </c>
      <c r="V380" s="845" t="s">
        <v>219</v>
      </c>
      <c r="W380" s="216">
        <v>113190</v>
      </c>
      <c r="X380" s="217">
        <v>3.04</v>
      </c>
      <c r="Y380" s="218">
        <f>1+X380/100</f>
        <v>1.0304</v>
      </c>
      <c r="Z380" s="196">
        <v>19</v>
      </c>
      <c r="AA380" s="218">
        <f>POWER(Y380,Z380)</f>
        <v>1.7664898659259882</v>
      </c>
      <c r="AB380" s="196">
        <f>W380*AA380</f>
        <v>199948.98792416262</v>
      </c>
      <c r="AC380">
        <v>20.8</v>
      </c>
      <c r="AD380" s="196">
        <f>AB380*AC380/100</f>
        <v>41589.389488225825</v>
      </c>
      <c r="AE380" s="196">
        <f>AD380*0.95</f>
        <v>39509.920013814532</v>
      </c>
      <c r="AF380" s="196">
        <f t="shared" si="1019"/>
        <v>39509.920013814532</v>
      </c>
      <c r="AG380" s="606">
        <f t="shared" si="1058"/>
        <v>1.826765249639907E-3</v>
      </c>
      <c r="AH380" s="196">
        <f t="shared" si="1033"/>
        <v>9997.4493962081324</v>
      </c>
      <c r="AI380" s="248">
        <f t="shared" si="1034"/>
        <v>7.7448725710884769E-4</v>
      </c>
      <c r="AJ380" s="196">
        <f t="shared" si="1038"/>
        <v>51586.838884433957</v>
      </c>
      <c r="AK380" s="196">
        <f t="shared" si="926"/>
        <v>7997.9595169665054</v>
      </c>
      <c r="AL380" s="196">
        <f t="shared" si="927"/>
        <v>7997.9595169665054</v>
      </c>
      <c r="AM380" s="196">
        <f t="shared" si="1039"/>
        <v>15995.919033933011</v>
      </c>
      <c r="AN380" s="627">
        <f t="shared" si="1040"/>
        <v>7.7448725710884759E-4</v>
      </c>
      <c r="AO380" s="196">
        <f t="shared" si="1041"/>
        <v>7598.0615411181789</v>
      </c>
      <c r="AP380" s="589">
        <f t="shared" si="1059"/>
        <v>7.7448725710884748E-4</v>
      </c>
      <c r="AQ380" s="196"/>
      <c r="AR380" s="589"/>
      <c r="AS380">
        <v>1</v>
      </c>
      <c r="AT380" s="589">
        <f t="shared" si="1060"/>
        <v>1.2919896640826874E-3</v>
      </c>
      <c r="AU380" s="196">
        <v>11</v>
      </c>
      <c r="AV380" s="245">
        <f t="shared" si="1042"/>
        <v>1.2498579706851495E-3</v>
      </c>
      <c r="AX380" s="245"/>
      <c r="AY380" s="245"/>
      <c r="AZ380" s="196">
        <v>52</v>
      </c>
      <c r="BA380" s="589">
        <f t="shared" si="977"/>
        <v>1.9053900553295958E-3</v>
      </c>
      <c r="BI380" s="196">
        <v>0</v>
      </c>
      <c r="BJ380" s="196">
        <f t="shared" si="1020"/>
        <v>124087.06899463161</v>
      </c>
      <c r="BK380" s="246">
        <f t="shared" si="978"/>
        <v>2.3662655392629271E-3</v>
      </c>
      <c r="BL380" s="196">
        <f t="shared" si="1035"/>
        <v>2481.7413798926323</v>
      </c>
      <c r="BM380" s="246">
        <f t="shared" si="979"/>
        <v>2.3662652685234207E-3</v>
      </c>
      <c r="BN380" s="196">
        <v>0</v>
      </c>
      <c r="BO380" s="196">
        <f t="shared" si="1021"/>
        <v>15439.292513475259</v>
      </c>
      <c r="BP380" s="196">
        <f t="shared" si="1043"/>
        <v>0</v>
      </c>
      <c r="BQ380" s="248">
        <f t="shared" si="980"/>
        <v>0</v>
      </c>
      <c r="BR380" s="248"/>
      <c r="BS380" s="248"/>
      <c r="BT380" s="276">
        <v>1</v>
      </c>
      <c r="BU380" s="196">
        <f t="shared" si="1036"/>
        <v>32339.909266044404</v>
      </c>
      <c r="BV380" s="264">
        <f t="shared" si="981"/>
        <v>2.2431573635519342E-3</v>
      </c>
      <c r="BW380" s="196">
        <f t="shared" si="1037"/>
        <v>138342.9451936344</v>
      </c>
      <c r="BX380" s="247">
        <f t="shared" si="982"/>
        <v>2.2431573837583814E-3</v>
      </c>
      <c r="BY380" s="196">
        <f>BU380+BW380</f>
        <v>170682.85445967881</v>
      </c>
      <c r="BZ380" s="620">
        <v>0</v>
      </c>
      <c r="CA380" s="196">
        <f t="shared" si="1022"/>
        <v>61184.390304793771</v>
      </c>
      <c r="CB380" s="196">
        <f t="shared" si="1023"/>
        <v>122368.78060958754</v>
      </c>
      <c r="CC380" s="196">
        <f t="shared" si="1056"/>
        <v>183553.17091438131</v>
      </c>
      <c r="CD380" s="247">
        <f t="shared" si="1044"/>
        <v>7.7448725710884769E-4</v>
      </c>
      <c r="CE380" s="196">
        <f t="shared" si="1024"/>
        <v>25250.377560513618</v>
      </c>
      <c r="CF380" s="247">
        <f t="shared" si="1045"/>
        <v>1.090389830365241E-3</v>
      </c>
      <c r="CG380" s="196">
        <f t="shared" si="991"/>
        <v>30392.246164472715</v>
      </c>
      <c r="CH380" s="589">
        <f t="shared" si="1061"/>
        <v>7.7448725710884748E-4</v>
      </c>
      <c r="CI380" s="196">
        <f t="shared" si="1025"/>
        <v>76866.782984849138</v>
      </c>
      <c r="CJ380" s="248">
        <f t="shared" si="1062"/>
        <v>1.2636897171572274E-3</v>
      </c>
      <c r="CK380" s="196">
        <f t="shared" si="1026"/>
        <v>62399.27291716011</v>
      </c>
      <c r="CL380" s="589">
        <f t="shared" si="1063"/>
        <v>8.9700238316702669E-4</v>
      </c>
      <c r="CM380" s="196">
        <f t="shared" si="1027"/>
        <v>12107.420617739015</v>
      </c>
      <c r="CN380" s="589">
        <f t="shared" si="1064"/>
        <v>1.7448169076264908E-3</v>
      </c>
      <c r="CO380" s="196">
        <f t="shared" si="1028"/>
        <v>483.59914022759267</v>
      </c>
      <c r="CP380" s="589">
        <f t="shared" si="1065"/>
        <v>9.119934904889106E-4</v>
      </c>
      <c r="CQ380" s="196">
        <f>'Detailed Budget'!$AC$12</f>
        <v>292876014141.44696</v>
      </c>
      <c r="CR380" s="269">
        <f t="shared" si="1066"/>
        <v>693022419.53958762</v>
      </c>
      <c r="CS380" s="269">
        <f>'Detailed Budget'!$AC$16</f>
        <v>10488008800.000002</v>
      </c>
      <c r="CT380" s="607">
        <f t="shared" si="992"/>
        <v>24817410.959408004</v>
      </c>
      <c r="CU380" s="269">
        <f>'Detailed Budget'!$AC$24</f>
        <v>30624985696</v>
      </c>
      <c r="CV380" s="269">
        <f t="shared" si="976"/>
        <v>72466848.292864874</v>
      </c>
      <c r="CW380" s="269"/>
      <c r="CX380" s="269">
        <f t="shared" si="1057"/>
        <v>790306678.79186058</v>
      </c>
      <c r="CY380" s="196">
        <f>'Detailed Budget'!$AC$97</f>
        <v>74629165494.837845</v>
      </c>
      <c r="CZ380" s="269">
        <f t="shared" si="993"/>
        <v>0</v>
      </c>
      <c r="DA380" s="269">
        <f>'Detailed Budget'!$AC$100</f>
        <v>14925833098.967569</v>
      </c>
      <c r="DB380" s="269">
        <f t="shared" si="994"/>
        <v>0</v>
      </c>
      <c r="DC380" s="269">
        <f t="shared" si="1046"/>
        <v>0</v>
      </c>
      <c r="DD380" s="207">
        <v>0</v>
      </c>
      <c r="DE380" s="606">
        <v>0</v>
      </c>
      <c r="DF380" s="269">
        <f>'Detailed Budget'!$AC$147</f>
        <v>5913600671000</v>
      </c>
      <c r="DG380" s="269">
        <f t="shared" si="971"/>
        <v>0</v>
      </c>
      <c r="DH380" s="269">
        <f>'Detailed Budget'!$AC$153</f>
        <v>226428026880.00003</v>
      </c>
      <c r="DI380" s="269"/>
      <c r="DJ380" s="269">
        <f>'Detailed Budget'!$AC$156</f>
        <v>27713070000</v>
      </c>
      <c r="DK380" s="269"/>
      <c r="DL380" s="269"/>
      <c r="DM380" s="196">
        <f>'Detailed Budget'!$AC$178</f>
        <v>5622683761.6229038</v>
      </c>
      <c r="DN380" s="269">
        <f t="shared" si="1029"/>
        <v>12612564.482808305</v>
      </c>
      <c r="DO380" s="196">
        <f>'Detailed Budget'!$AC$179</f>
        <v>26827890683.128094</v>
      </c>
      <c r="DP380" s="269">
        <f t="shared" si="1030"/>
        <v>60179181.076521471</v>
      </c>
      <c r="DQ380" s="269">
        <f>DN380+DP380</f>
        <v>72791745.559329778</v>
      </c>
      <c r="DR380" s="269">
        <f>'Detailed Budget'!$AC$181</f>
        <v>50888946855.375237</v>
      </c>
      <c r="DS380" s="269">
        <f t="shared" si="1031"/>
        <v>92962159.706171498</v>
      </c>
      <c r="DT380" s="269">
        <f t="shared" si="1032"/>
        <v>165753905.26550126</v>
      </c>
      <c r="DU380" s="272">
        <f>'Detailed Budget'!$AC$192</f>
        <v>77498869683.252869</v>
      </c>
      <c r="DV380" s="269">
        <f t="shared" si="995"/>
        <v>0</v>
      </c>
      <c r="DW380" s="140">
        <f>'Detailed Budget'!$AC$194</f>
        <v>2684962805.4134097</v>
      </c>
      <c r="DX380" s="269">
        <f t="shared" si="996"/>
        <v>0</v>
      </c>
      <c r="DY380" s="607">
        <f t="shared" si="1047"/>
        <v>0</v>
      </c>
      <c r="DZ380" s="196">
        <f>'Detailed Budget'!$AC$198</f>
        <v>18732540018.380611</v>
      </c>
      <c r="EA380" s="269">
        <f t="shared" si="1013"/>
        <v>20425771.132952124</v>
      </c>
      <c r="EB380" s="196">
        <f>'Detailed Budget'!$AC$200</f>
        <v>4683135004.5951529</v>
      </c>
      <c r="EC380" s="269">
        <f t="shared" si="997"/>
        <v>5106442.783238031</v>
      </c>
      <c r="ED380" s="269">
        <f t="shared" si="1048"/>
        <v>25532213.916190155</v>
      </c>
      <c r="EE380" s="196">
        <f>'Detailed Budget'!$AC$161</f>
        <v>251147290106.36197</v>
      </c>
      <c r="EF380" s="269">
        <f t="shared" si="998"/>
        <v>194510375.84479627</v>
      </c>
      <c r="EG380" s="196">
        <f>'Detailed Budget'!$AC$163</f>
        <v>15696705631.647623</v>
      </c>
      <c r="EH380" s="269">
        <f t="shared" si="999"/>
        <v>12156898.490299767</v>
      </c>
      <c r="EI380" s="269">
        <f t="shared" si="1049"/>
        <v>206667274.33509603</v>
      </c>
      <c r="EJ380" s="196">
        <f>'Detailed Budget'!$AC$204</f>
        <v>45012172507.531975</v>
      </c>
      <c r="EK380" s="269">
        <f t="shared" si="1000"/>
        <v>56881419.54467541</v>
      </c>
      <c r="EL380" s="201">
        <f>'Detailed Budget'!$AC$206</f>
        <v>11253043126.882994</v>
      </c>
      <c r="EM380" s="269">
        <f t="shared" si="1001"/>
        <v>14220354.886168852</v>
      </c>
      <c r="EN380" s="269">
        <f t="shared" si="1050"/>
        <v>71101774.430844262</v>
      </c>
      <c r="EO380" s="140">
        <f>'Detailed Budget'!$AC$209</f>
        <v>135789361677.54817</v>
      </c>
      <c r="EP380" s="269">
        <f t="shared" si="1002"/>
        <v>121803381.03349003</v>
      </c>
      <c r="EQ380" s="196">
        <f>'Detailed Budget'!$AC$211</f>
        <v>33947340419.387043</v>
      </c>
      <c r="ER380" s="269">
        <f t="shared" si="1003"/>
        <v>30450845.258372508</v>
      </c>
      <c r="ES380" s="269">
        <f t="shared" si="1051"/>
        <v>152254226.29186255</v>
      </c>
      <c r="ET380" s="196">
        <f>'Detailed Budget'!$AC$214</f>
        <v>22239745544.201103</v>
      </c>
      <c r="EU380" s="269">
        <f t="shared" si="1004"/>
        <v>38804284.046833001</v>
      </c>
      <c r="EV380" s="140">
        <f>'Detailed Budget'!$AC$217</f>
        <v>5559936386.0502758</v>
      </c>
      <c r="EW380" s="269">
        <f t="shared" si="1005"/>
        <v>9701071.0117082503</v>
      </c>
      <c r="EX380" s="269">
        <f t="shared" si="1052"/>
        <v>48505355.058541253</v>
      </c>
      <c r="EY380" s="196">
        <f>'Detailed Budget'!$AC$219</f>
        <v>372777004.58170313</v>
      </c>
      <c r="EZ380" s="269">
        <f t="shared" si="1006"/>
        <v>339970.20158246806</v>
      </c>
      <c r="FA380" s="196">
        <f>'Detailed Budget'!$AC$222</f>
        <v>93194251.145425782</v>
      </c>
      <c r="FB380" s="269">
        <f t="shared" si="1007"/>
        <v>84992.550395617014</v>
      </c>
      <c r="FC380" s="269">
        <f t="shared" si="1053"/>
        <v>424962.75197808509</v>
      </c>
      <c r="FD380" s="269"/>
      <c r="FE380" s="269">
        <f t="shared" si="1054"/>
        <v>272286318.53322613</v>
      </c>
      <c r="FF380" s="140">
        <f>'Detailed Budget'!$AC$165</f>
        <v>14927760000</v>
      </c>
      <c r="FG380" s="1087">
        <f t="shared" si="972"/>
        <v>371416562.15997982</v>
      </c>
      <c r="FH380" s="269">
        <f t="shared" si="1014"/>
        <v>18657579.820474949</v>
      </c>
      <c r="FJ380" s="140">
        <f>'Detailed Budget'!$AC$235</f>
        <v>3623696172</v>
      </c>
      <c r="FK380" s="269">
        <f t="shared" si="1015"/>
        <v>4681778</v>
      </c>
      <c r="FL380" s="269">
        <f t="shared" si="973"/>
        <v>4681778</v>
      </c>
      <c r="FO380" s="607"/>
      <c r="FP380" s="607"/>
      <c r="FQ380" s="607"/>
      <c r="FR380" s="269">
        <f>'Detailed Budget'!$AC$257</f>
        <v>13636439388</v>
      </c>
      <c r="FS380" s="269">
        <f t="shared" si="1016"/>
        <v>25982736</v>
      </c>
      <c r="FT380" s="269">
        <f t="shared" si="974"/>
        <v>25982736</v>
      </c>
      <c r="FU380" s="269"/>
      <c r="FV380" s="269"/>
      <c r="FW380" s="269"/>
      <c r="FX380" s="140">
        <f>'Detailed Budget'!$AC$278</f>
        <v>1114560000</v>
      </c>
      <c r="FY380" s="269">
        <f t="shared" si="1017"/>
        <v>1440000</v>
      </c>
      <c r="FZ380" s="269">
        <f t="shared" si="975"/>
        <v>1440000</v>
      </c>
      <c r="GB380" s="269">
        <f t="shared" si="983"/>
        <v>1882725046.8223288</v>
      </c>
      <c r="GC380" s="887">
        <f t="shared" si="1055"/>
        <v>1176703.1542639555</v>
      </c>
      <c r="GD380" s="1078">
        <f t="shared" si="984"/>
        <v>1.0564563090948492E-3</v>
      </c>
    </row>
    <row r="381" spans="1:186" hidden="1" outlineLevel="1">
      <c r="A381" s="211" t="s">
        <v>901</v>
      </c>
      <c r="B381" s="212" t="s">
        <v>902</v>
      </c>
      <c r="C381" s="213" t="s">
        <v>215</v>
      </c>
      <c r="D381" s="214" t="s">
        <v>215</v>
      </c>
      <c r="E381" s="213"/>
      <c r="F381" s="213"/>
      <c r="G381" s="213"/>
      <c r="H381" s="213" t="s">
        <v>215</v>
      </c>
      <c r="I381" s="214" t="s">
        <v>215</v>
      </c>
      <c r="J381" s="214"/>
      <c r="K381" s="213" t="s">
        <v>215</v>
      </c>
      <c r="L381" s="213"/>
      <c r="M381" s="214"/>
      <c r="N381" s="213"/>
      <c r="O381" s="214"/>
      <c r="P381" s="213"/>
      <c r="Q381" s="214"/>
      <c r="R381" s="214" t="s">
        <v>215</v>
      </c>
      <c r="S381" s="214"/>
      <c r="T381" s="214"/>
      <c r="U381" s="215">
        <f t="shared" si="1018"/>
        <v>6</v>
      </c>
      <c r="V381" s="845" t="s">
        <v>219</v>
      </c>
      <c r="W381" s="216">
        <v>224884</v>
      </c>
      <c r="X381" s="217">
        <v>3.04</v>
      </c>
      <c r="Y381" s="218">
        <f t="shared" si="986"/>
        <v>1.0304</v>
      </c>
      <c r="Z381" s="196">
        <v>19</v>
      </c>
      <c r="AA381" s="218">
        <f t="shared" si="987"/>
        <v>1.7664898659259882</v>
      </c>
      <c r="AB381" s="196">
        <f t="shared" si="1009"/>
        <v>397255.30700889992</v>
      </c>
      <c r="AC381">
        <v>20.8</v>
      </c>
      <c r="AD381" s="196">
        <f t="shared" si="1010"/>
        <v>82629.10385785118</v>
      </c>
      <c r="AE381" s="196">
        <f t="shared" si="990"/>
        <v>78497.648664958615</v>
      </c>
      <c r="AF381" s="196">
        <f t="shared" si="1019"/>
        <v>78497.648664958615</v>
      </c>
      <c r="AG381" s="606">
        <f t="shared" si="1058"/>
        <v>3.6293866631329692E-3</v>
      </c>
      <c r="AH381" s="196">
        <f t="shared" si="1033"/>
        <v>19862.765350444999</v>
      </c>
      <c r="AI381" s="248">
        <f t="shared" si="1034"/>
        <v>1.5387383366699009E-3</v>
      </c>
      <c r="AJ381" s="196">
        <f t="shared" si="1038"/>
        <v>102491.86920829618</v>
      </c>
      <c r="AK381" s="196">
        <f t="shared" si="926"/>
        <v>15890.212280355998</v>
      </c>
      <c r="AL381" s="196">
        <f t="shared" si="927"/>
        <v>15890.212280355998</v>
      </c>
      <c r="AM381" s="196">
        <f t="shared" si="1039"/>
        <v>31780.424560711996</v>
      </c>
      <c r="AN381" s="627">
        <f t="shared" si="1040"/>
        <v>1.5387383366699007E-3</v>
      </c>
      <c r="AO381" s="196">
        <f t="shared" si="1041"/>
        <v>15095.701666338196</v>
      </c>
      <c r="AP381" s="589">
        <f t="shared" si="1059"/>
        <v>1.5387383366699005E-3</v>
      </c>
      <c r="AQ381" s="196"/>
      <c r="AR381" s="589"/>
      <c r="AS381">
        <v>1</v>
      </c>
      <c r="AT381" s="589">
        <f t="shared" si="1060"/>
        <v>1.2919896640826874E-3</v>
      </c>
      <c r="AU381" s="196">
        <v>11</v>
      </c>
      <c r="AV381" s="245">
        <f t="shared" si="1042"/>
        <v>1.2498579706851495E-3</v>
      </c>
      <c r="AX381" s="245"/>
      <c r="AY381" s="245"/>
      <c r="AZ381" s="196">
        <v>23</v>
      </c>
      <c r="BA381" s="589">
        <f t="shared" si="977"/>
        <v>8.4276867831885966E-4</v>
      </c>
      <c r="BI381" s="196">
        <v>0</v>
      </c>
      <c r="BJ381" s="196">
        <f t="shared" si="1020"/>
        <v>246534.1145312195</v>
      </c>
      <c r="BK381" s="246">
        <f t="shared" si="978"/>
        <v>4.7012568206697058E-3</v>
      </c>
      <c r="BL381" s="196">
        <f t="shared" si="1035"/>
        <v>4930.6822906243897</v>
      </c>
      <c r="BM381" s="246">
        <f t="shared" si="979"/>
        <v>4.701256282768981E-3</v>
      </c>
      <c r="BN381" s="196">
        <v>0</v>
      </c>
      <c r="BO381" s="196">
        <f t="shared" si="1021"/>
        <v>30674.52829402217</v>
      </c>
      <c r="BP381" s="196">
        <f t="shared" si="1043"/>
        <v>0</v>
      </c>
      <c r="BQ381" s="248">
        <f t="shared" si="980"/>
        <v>0</v>
      </c>
      <c r="BR381" s="248"/>
      <c r="BS381" s="248"/>
      <c r="BT381" s="276">
        <v>1</v>
      </c>
      <c r="BU381" s="196">
        <f t="shared" si="1036"/>
        <v>64252.391159865081</v>
      </c>
      <c r="BV381" s="264">
        <f t="shared" si="981"/>
        <v>4.4566675549519664E-3</v>
      </c>
      <c r="BW381" s="196">
        <f t="shared" si="1037"/>
        <v>274857.4510727562</v>
      </c>
      <c r="BX381" s="247">
        <f t="shared" si="982"/>
        <v>4.4566675950977984E-3</v>
      </c>
      <c r="BY381" s="196">
        <f t="shared" si="985"/>
        <v>339109.84223262127</v>
      </c>
      <c r="BZ381" s="620">
        <v>0</v>
      </c>
      <c r="CA381" s="196">
        <f t="shared" si="1022"/>
        <v>121560.12394472338</v>
      </c>
      <c r="CB381" s="196">
        <f t="shared" si="1023"/>
        <v>243120.24788944676</v>
      </c>
      <c r="CC381" s="196">
        <f t="shared" si="1056"/>
        <v>364680.37183417013</v>
      </c>
      <c r="CD381" s="247">
        <f t="shared" si="1044"/>
        <v>1.5387383366699007E-3</v>
      </c>
      <c r="CE381" s="196">
        <f t="shared" si="1024"/>
        <v>50167.028070664754</v>
      </c>
      <c r="CF381" s="247">
        <f t="shared" si="1045"/>
        <v>2.166368288822836E-3</v>
      </c>
      <c r="CG381" s="196">
        <f t="shared" si="991"/>
        <v>60382.806665352786</v>
      </c>
      <c r="CH381" s="589">
        <f t="shared" si="1061"/>
        <v>1.5387383366699005E-3</v>
      </c>
      <c r="CI381" s="196">
        <f t="shared" si="1025"/>
        <v>152717.63958622504</v>
      </c>
      <c r="CJ381" s="248">
        <f t="shared" si="1062"/>
        <v>2.5106776071489169E-3</v>
      </c>
      <c r="CK381" s="196">
        <f t="shared" si="1026"/>
        <v>123973.83241189708</v>
      </c>
      <c r="CL381" s="589">
        <f t="shared" si="1063"/>
        <v>1.7821493412504071E-3</v>
      </c>
      <c r="CM381" s="196">
        <f t="shared" si="1027"/>
        <v>24054.8209046702</v>
      </c>
      <c r="CN381" s="589">
        <f t="shared" si="1064"/>
        <v>3.4665730670083547E-3</v>
      </c>
      <c r="CO381" s="196">
        <f t="shared" si="1028"/>
        <v>960.80668832000993</v>
      </c>
      <c r="CP381" s="589">
        <f t="shared" si="1065"/>
        <v>1.8119334226973066E-3</v>
      </c>
      <c r="CQ381" s="196">
        <f>'Detailed Budget'!$AC$12</f>
        <v>292876014141.44696</v>
      </c>
      <c r="CR381" s="269">
        <f t="shared" si="1066"/>
        <v>1376885359.0930347</v>
      </c>
      <c r="CS381" s="269">
        <f>'Detailed Budget'!$AC$16</f>
        <v>10488008800.000002</v>
      </c>
      <c r="CT381" s="607">
        <f t="shared" si="992"/>
        <v>49306817.264736369</v>
      </c>
      <c r="CU381" s="269">
        <f>'Detailed Budget'!$AC$24</f>
        <v>30624985696</v>
      </c>
      <c r="CV381" s="269">
        <f t="shared" si="976"/>
        <v>143975922.88623217</v>
      </c>
      <c r="CW381" s="269"/>
      <c r="CX381" s="269">
        <f t="shared" si="1057"/>
        <v>1570168099.2440033</v>
      </c>
      <c r="CY381" s="196">
        <f>'Detailed Budget'!$AC$97</f>
        <v>74629165494.837845</v>
      </c>
      <c r="CZ381" s="269">
        <f t="shared" si="993"/>
        <v>0</v>
      </c>
      <c r="DA381" s="269">
        <f>'Detailed Budget'!$AC$100</f>
        <v>14925833098.967569</v>
      </c>
      <c r="DB381" s="269">
        <f t="shared" si="994"/>
        <v>0</v>
      </c>
      <c r="DC381" s="269">
        <f t="shared" si="1046"/>
        <v>0</v>
      </c>
      <c r="DD381" s="207">
        <v>0</v>
      </c>
      <c r="DE381" s="606">
        <v>0</v>
      </c>
      <c r="DF381" s="269">
        <f>'Detailed Budget'!$AC$147</f>
        <v>5913600671000</v>
      </c>
      <c r="DG381" s="269">
        <f t="shared" si="971"/>
        <v>0</v>
      </c>
      <c r="DH381" s="269">
        <f>'Detailed Budget'!$AC$153</f>
        <v>226428026880.00003</v>
      </c>
      <c r="DI381" s="269"/>
      <c r="DJ381" s="269">
        <f>'Detailed Budget'!$AC$156</f>
        <v>27713070000</v>
      </c>
      <c r="DK381" s="269"/>
      <c r="DL381" s="269"/>
      <c r="DM381" s="196">
        <f>'Detailed Budget'!$AC$178</f>
        <v>5622683761.6229038</v>
      </c>
      <c r="DN381" s="269">
        <f t="shared" si="1029"/>
        <v>25058432.292180073</v>
      </c>
      <c r="DO381" s="196">
        <f>'Detailed Budget'!$AC$179</f>
        <v>26827890683.128094</v>
      </c>
      <c r="DP381" s="269">
        <f t="shared" si="1030"/>
        <v>119562991.05232312</v>
      </c>
      <c r="DQ381" s="269">
        <f t="shared" si="1008"/>
        <v>144621423.34450319</v>
      </c>
      <c r="DR381" s="269">
        <f>'Detailed Budget'!$AC$181</f>
        <v>50888946855.375237</v>
      </c>
      <c r="DS381" s="269">
        <f t="shared" si="1031"/>
        <v>184695665.01778135</v>
      </c>
      <c r="DT381" s="269">
        <f t="shared" si="1032"/>
        <v>329317088.36228454</v>
      </c>
      <c r="DU381" s="272">
        <f>'Detailed Budget'!$AC$192</f>
        <v>77498869683.252869</v>
      </c>
      <c r="DV381" s="269">
        <f t="shared" si="995"/>
        <v>0</v>
      </c>
      <c r="DW381" s="140">
        <f>'Detailed Budget'!$AC$194</f>
        <v>2684962805.4134097</v>
      </c>
      <c r="DX381" s="269">
        <f t="shared" si="996"/>
        <v>0</v>
      </c>
      <c r="DY381" s="607">
        <f t="shared" si="1047"/>
        <v>0</v>
      </c>
      <c r="DZ381" s="196">
        <f>'Detailed Budget'!$AC$198</f>
        <v>18732540018.380611</v>
      </c>
      <c r="EA381" s="269">
        <f t="shared" si="1013"/>
        <v>40581580.664924502</v>
      </c>
      <c r="EB381" s="196">
        <f>'Detailed Budget'!$AC$200</f>
        <v>4683135004.5951529</v>
      </c>
      <c r="EC381" s="269">
        <f t="shared" si="997"/>
        <v>10145395.166231126</v>
      </c>
      <c r="ED381" s="269">
        <f t="shared" si="1048"/>
        <v>50726975.831155628</v>
      </c>
      <c r="EE381" s="196">
        <f>'Detailed Budget'!$AC$161</f>
        <v>251147290106.36197</v>
      </c>
      <c r="EF381" s="269">
        <f t="shared" si="998"/>
        <v>386449963.43741637</v>
      </c>
      <c r="EG381" s="196">
        <f>'Detailed Budget'!$AC$163</f>
        <v>15696705631.647623</v>
      </c>
      <c r="EH381" s="269">
        <f t="shared" si="999"/>
        <v>24153122.714838523</v>
      </c>
      <c r="EI381" s="269">
        <f t="shared" si="1049"/>
        <v>410603086.15225488</v>
      </c>
      <c r="EJ381" s="196">
        <f>'Detailed Budget'!$AC$204</f>
        <v>45012172507.531975</v>
      </c>
      <c r="EK381" s="269">
        <f t="shared" si="1000"/>
        <v>113011053.56378464</v>
      </c>
      <c r="EL381" s="201">
        <f>'Detailed Budget'!$AC$206</f>
        <v>11253043126.882994</v>
      </c>
      <c r="EM381" s="269">
        <f t="shared" si="1001"/>
        <v>28252763.390946161</v>
      </c>
      <c r="EN381" s="269">
        <f t="shared" si="1050"/>
        <v>141263816.95473081</v>
      </c>
      <c r="EO381" s="140">
        <f>'Detailed Budget'!$AC$209</f>
        <v>135789361677.54817</v>
      </c>
      <c r="EP381" s="269">
        <f t="shared" si="1002"/>
        <v>241996921.46245575</v>
      </c>
      <c r="EQ381" s="196">
        <f>'Detailed Budget'!$AC$211</f>
        <v>33947340419.387043</v>
      </c>
      <c r="ER381" s="269">
        <f t="shared" si="1003"/>
        <v>60499230.365613937</v>
      </c>
      <c r="ES381" s="269">
        <f t="shared" si="1051"/>
        <v>302496151.82806969</v>
      </c>
      <c r="ET381" s="196">
        <f>'Detailed Budget'!$AC$214</f>
        <v>22239745544.201103</v>
      </c>
      <c r="EU381" s="269">
        <f t="shared" si="1004"/>
        <v>77095702.920646608</v>
      </c>
      <c r="EV381" s="140">
        <f>'Detailed Budget'!$AC$217</f>
        <v>5559936386.0502758</v>
      </c>
      <c r="EW381" s="269">
        <f t="shared" si="1005"/>
        <v>19273925.730161652</v>
      </c>
      <c r="EX381" s="269">
        <f t="shared" si="1052"/>
        <v>96369628.65080826</v>
      </c>
      <c r="EY381" s="196">
        <f>'Detailed Budget'!$AC$219</f>
        <v>372777004.58170313</v>
      </c>
      <c r="EZ381" s="269">
        <f t="shared" si="1006"/>
        <v>675447.1138145749</v>
      </c>
      <c r="FA381" s="196">
        <f>'Detailed Budget'!$AC$222</f>
        <v>93194251.145425782</v>
      </c>
      <c r="FB381" s="269">
        <f t="shared" si="1007"/>
        <v>168861.77845364372</v>
      </c>
      <c r="FC381" s="269">
        <f t="shared" si="1053"/>
        <v>844308.89226821857</v>
      </c>
      <c r="FD381" s="269"/>
      <c r="FE381" s="269">
        <f t="shared" si="1054"/>
        <v>540973906.32587695</v>
      </c>
      <c r="FF381" s="140">
        <f>'Detailed Budget'!$AC$165</f>
        <v>14927760000</v>
      </c>
      <c r="FG381" s="1087">
        <f t="shared" si="972"/>
        <v>737924217.37595975</v>
      </c>
      <c r="FH381" s="269">
        <f t="shared" si="1014"/>
        <v>18657579.820474949</v>
      </c>
      <c r="FJ381" s="140">
        <f>'Detailed Budget'!$AC$235</f>
        <v>3623696172</v>
      </c>
      <c r="FK381" s="269">
        <f t="shared" si="1015"/>
        <v>4681778</v>
      </c>
      <c r="FL381" s="269">
        <f t="shared" si="973"/>
        <v>4681778</v>
      </c>
      <c r="FO381" s="607"/>
      <c r="FP381" s="607"/>
      <c r="FQ381" s="607"/>
      <c r="FR381" s="269">
        <f>'Detailed Budget'!$AC$257</f>
        <v>13636439388</v>
      </c>
      <c r="FS381" s="269">
        <f t="shared" si="1016"/>
        <v>11492364</v>
      </c>
      <c r="FT381" s="269">
        <f t="shared" si="974"/>
        <v>11492364</v>
      </c>
      <c r="FU381" s="269"/>
      <c r="FV381" s="269"/>
      <c r="FW381" s="269"/>
      <c r="FX381" s="140">
        <f>'Detailed Budget'!$AC$278</f>
        <v>1114560000</v>
      </c>
      <c r="FY381" s="269">
        <f t="shared" si="1017"/>
        <v>1440000</v>
      </c>
      <c r="FZ381" s="269">
        <f t="shared" si="975"/>
        <v>1440000</v>
      </c>
      <c r="GB381" s="269">
        <f t="shared" si="983"/>
        <v>3675985095.11201</v>
      </c>
      <c r="GC381" s="887">
        <f t="shared" si="1055"/>
        <v>2297490.6844450063</v>
      </c>
      <c r="GD381" s="1078">
        <f t="shared" si="984"/>
        <v>2.0627109903404799E-3</v>
      </c>
    </row>
    <row r="382" spans="1:186" hidden="1" outlineLevel="1">
      <c r="A382" s="211" t="s">
        <v>903</v>
      </c>
      <c r="B382" s="212" t="s">
        <v>904</v>
      </c>
      <c r="C382" s="213" t="s">
        <v>215</v>
      </c>
      <c r="D382" s="214" t="s">
        <v>215</v>
      </c>
      <c r="E382" s="213"/>
      <c r="F382" s="213"/>
      <c r="G382" s="213"/>
      <c r="H382" s="213" t="s">
        <v>215</v>
      </c>
      <c r="I382" s="214" t="s">
        <v>215</v>
      </c>
      <c r="J382" s="214"/>
      <c r="K382" s="213" t="s">
        <v>215</v>
      </c>
      <c r="L382" s="213"/>
      <c r="M382" s="214"/>
      <c r="N382" s="213"/>
      <c r="O382" s="214"/>
      <c r="P382" s="213"/>
      <c r="Q382" s="214"/>
      <c r="R382" s="214" t="s">
        <v>215</v>
      </c>
      <c r="S382" s="214"/>
      <c r="T382" s="214"/>
      <c r="U382" s="215">
        <f t="shared" si="1018"/>
        <v>6</v>
      </c>
      <c r="V382" s="845" t="s">
        <v>219</v>
      </c>
      <c r="W382" s="216">
        <v>120902</v>
      </c>
      <c r="X382" s="217">
        <v>3.04</v>
      </c>
      <c r="Y382" s="218">
        <f t="shared" si="986"/>
        <v>1.0304</v>
      </c>
      <c r="Z382" s="196">
        <v>19</v>
      </c>
      <c r="AA382" s="218">
        <f t="shared" si="987"/>
        <v>1.7664898659259882</v>
      </c>
      <c r="AB382" s="196">
        <f t="shared" si="1009"/>
        <v>213572.15777018384</v>
      </c>
      <c r="AC382">
        <v>20.8</v>
      </c>
      <c r="AD382" s="196">
        <f t="shared" si="1010"/>
        <v>44423.008816198242</v>
      </c>
      <c r="AE382" s="196">
        <f t="shared" si="990"/>
        <v>42201.858375388329</v>
      </c>
      <c r="AF382" s="196">
        <f t="shared" si="1019"/>
        <v>42201.858375388329</v>
      </c>
      <c r="AG382" s="606">
        <f t="shared" si="1058"/>
        <v>1.9512286616482379E-3</v>
      </c>
      <c r="AH382" s="196">
        <f t="shared" si="1033"/>
        <v>10678.607888509192</v>
      </c>
      <c r="AI382" s="248">
        <f t="shared" si="1034"/>
        <v>8.2725557345148762E-4</v>
      </c>
      <c r="AJ382" s="196">
        <f t="shared" si="1038"/>
        <v>55101.616704707434</v>
      </c>
      <c r="AK382" s="196">
        <f t="shared" si="926"/>
        <v>8542.8863108073529</v>
      </c>
      <c r="AL382" s="196">
        <f t="shared" si="927"/>
        <v>8542.8863108073529</v>
      </c>
      <c r="AM382" s="196">
        <f t="shared" si="1039"/>
        <v>17085.772621614706</v>
      </c>
      <c r="AN382" s="627">
        <f t="shared" si="1040"/>
        <v>8.2725557345148762E-4</v>
      </c>
      <c r="AO382" s="196">
        <f t="shared" si="1041"/>
        <v>8115.7419952669861</v>
      </c>
      <c r="AP382" s="589">
        <f t="shared" si="1059"/>
        <v>8.2725557345148762E-4</v>
      </c>
      <c r="AQ382" s="196"/>
      <c r="AR382" s="589"/>
      <c r="AS382">
        <v>1</v>
      </c>
      <c r="AT382" s="589">
        <f t="shared" si="1060"/>
        <v>1.2919896640826874E-3</v>
      </c>
      <c r="AU382" s="196">
        <v>10</v>
      </c>
      <c r="AV382" s="245">
        <f t="shared" si="1042"/>
        <v>1.1362345188046814E-3</v>
      </c>
      <c r="AX382" s="245"/>
      <c r="AY382" s="245"/>
      <c r="AZ382" s="196">
        <v>45</v>
      </c>
      <c r="BA382" s="589">
        <f t="shared" si="977"/>
        <v>1.6488952401890733E-3</v>
      </c>
      <c r="BI382" s="196">
        <v>0</v>
      </c>
      <c r="BJ382" s="196">
        <f t="shared" si="1020"/>
        <v>132541.5214735308</v>
      </c>
      <c r="BK382" s="246">
        <f t="shared" si="978"/>
        <v>2.5274868471416765E-3</v>
      </c>
      <c r="BL382" s="196">
        <f t="shared" si="1035"/>
        <v>2650.8304294706159</v>
      </c>
      <c r="BM382" s="246">
        <f t="shared" si="979"/>
        <v>2.5274865579558142E-3</v>
      </c>
      <c r="BN382" s="196">
        <v>0</v>
      </c>
      <c r="BO382" s="196">
        <f t="shared" si="1021"/>
        <v>16491.221339907996</v>
      </c>
      <c r="BP382" s="196">
        <f t="shared" si="1043"/>
        <v>0</v>
      </c>
      <c r="BQ382" s="248">
        <f t="shared" si="980"/>
        <v>0</v>
      </c>
      <c r="BR382" s="248"/>
      <c r="BS382" s="248"/>
      <c r="BT382" s="276">
        <v>1</v>
      </c>
      <c r="BU382" s="196">
        <f t="shared" si="1036"/>
        <v>34543.331655475755</v>
      </c>
      <c r="BV382" s="264">
        <f t="shared" si="981"/>
        <v>2.3959909141103978E-3</v>
      </c>
      <c r="BW382" s="196">
        <f t="shared" si="1037"/>
        <v>147768.69652620182</v>
      </c>
      <c r="BX382" s="247">
        <f t="shared" si="982"/>
        <v>2.3959909356935753E-3</v>
      </c>
      <c r="BY382" s="196">
        <f t="shared" si="985"/>
        <v>182312.02818167757</v>
      </c>
      <c r="BZ382" s="620">
        <v>0</v>
      </c>
      <c r="CA382" s="196">
        <f t="shared" si="1022"/>
        <v>65353.080277676243</v>
      </c>
      <c r="CB382" s="196">
        <f t="shared" si="1023"/>
        <v>130706.16055535249</v>
      </c>
      <c r="CC382" s="196">
        <f t="shared" si="1056"/>
        <v>196059.24083302874</v>
      </c>
      <c r="CD382" s="247">
        <f t="shared" si="1044"/>
        <v>8.2725557345148752E-4</v>
      </c>
      <c r="CE382" s="196">
        <f t="shared" si="1024"/>
        <v>26970.767274681657</v>
      </c>
      <c r="CF382" s="247">
        <f t="shared" si="1045"/>
        <v>1.1646816085415525E-3</v>
      </c>
      <c r="CG382" s="196">
        <f t="shared" si="991"/>
        <v>32462.967981067944</v>
      </c>
      <c r="CH382" s="589">
        <f t="shared" si="1061"/>
        <v>8.2725557345148762E-4</v>
      </c>
      <c r="CI382" s="196">
        <f t="shared" si="1025"/>
        <v>82103.964983074751</v>
      </c>
      <c r="CJ382" s="248">
        <f t="shared" si="1062"/>
        <v>1.3497889759143311E-3</v>
      </c>
      <c r="CK382" s="196">
        <f t="shared" si="1026"/>
        <v>66650.736763234308</v>
      </c>
      <c r="CL382" s="589">
        <f t="shared" si="1063"/>
        <v>9.5811805044314748E-4</v>
      </c>
      <c r="CM382" s="196">
        <f t="shared" si="1027"/>
        <v>12932.338258908758</v>
      </c>
      <c r="CN382" s="589">
        <f t="shared" si="1064"/>
        <v>1.8636969146201784E-3</v>
      </c>
      <c r="CO382" s="196">
        <f t="shared" si="1028"/>
        <v>516.54831037897702</v>
      </c>
      <c r="CP382" s="589">
        <f t="shared" si="1065"/>
        <v>9.7413055028792539E-4</v>
      </c>
      <c r="CQ382" s="196">
        <f>'Detailed Budget'!$AC$12</f>
        <v>292876014141.44696</v>
      </c>
      <c r="CR382" s="269">
        <f t="shared" si="1066"/>
        <v>740240273.58578682</v>
      </c>
      <c r="CS382" s="269">
        <f>'Detailed Budget'!$AC$16</f>
        <v>10488008800.000002</v>
      </c>
      <c r="CT382" s="607">
        <f t="shared" si="992"/>
        <v>26508301.261722293</v>
      </c>
      <c r="CU382" s="269">
        <f>'Detailed Budget'!$AC$24</f>
        <v>30624985696</v>
      </c>
      <c r="CV382" s="269">
        <f t="shared" si="976"/>
        <v>77404248.540541977</v>
      </c>
      <c r="CW382" s="269"/>
      <c r="CX382" s="269">
        <f t="shared" si="1057"/>
        <v>844152823.38805115</v>
      </c>
      <c r="CY382" s="196">
        <f>'Detailed Budget'!$AC$97</f>
        <v>74629165494.837845</v>
      </c>
      <c r="CZ382" s="269">
        <f t="shared" si="993"/>
        <v>0</v>
      </c>
      <c r="DA382" s="269">
        <f>'Detailed Budget'!$AC$100</f>
        <v>14925833098.967569</v>
      </c>
      <c r="DB382" s="269">
        <f t="shared" si="994"/>
        <v>0</v>
      </c>
      <c r="DC382" s="269">
        <f t="shared" si="1046"/>
        <v>0</v>
      </c>
      <c r="DD382" s="207">
        <v>0</v>
      </c>
      <c r="DE382" s="606">
        <v>0</v>
      </c>
      <c r="DF382" s="269">
        <f>'Detailed Budget'!$AC$147</f>
        <v>5913600671000</v>
      </c>
      <c r="DG382" s="269">
        <f t="shared" si="971"/>
        <v>0</v>
      </c>
      <c r="DH382" s="269">
        <f>'Detailed Budget'!$AC$153</f>
        <v>226428026880.00003</v>
      </c>
      <c r="DI382" s="269"/>
      <c r="DJ382" s="269">
        <f>'Detailed Budget'!$AC$156</f>
        <v>27713070000</v>
      </c>
      <c r="DK382" s="269"/>
      <c r="DL382" s="269"/>
      <c r="DM382" s="196">
        <f>'Detailed Budget'!$AC$178</f>
        <v>5622683761.6229038</v>
      </c>
      <c r="DN382" s="269">
        <f t="shared" si="1029"/>
        <v>13471899.205764551</v>
      </c>
      <c r="DO382" s="196">
        <f>'Detailed Budget'!$AC$179</f>
        <v>26827890683.128094</v>
      </c>
      <c r="DP382" s="269">
        <f t="shared" si="1030"/>
        <v>64279382.900553033</v>
      </c>
      <c r="DQ382" s="269">
        <f t="shared" si="1008"/>
        <v>77751282.10631758</v>
      </c>
      <c r="DR382" s="269">
        <f>'Detailed Budget'!$AC$181</f>
        <v>50888946855.375237</v>
      </c>
      <c r="DS382" s="269">
        <f t="shared" si="1031"/>
        <v>99295971.665302128</v>
      </c>
      <c r="DT382" s="269">
        <f t="shared" si="1032"/>
        <v>177047253.77161971</v>
      </c>
      <c r="DU382" s="272">
        <f>'Detailed Budget'!$AC$192</f>
        <v>77498869683.252869</v>
      </c>
      <c r="DV382" s="269">
        <f t="shared" si="995"/>
        <v>0</v>
      </c>
      <c r="DW382" s="140">
        <f>'Detailed Budget'!$AC$194</f>
        <v>2684962805.4134097</v>
      </c>
      <c r="DX382" s="269">
        <f t="shared" si="996"/>
        <v>0</v>
      </c>
      <c r="DY382" s="607">
        <f t="shared" si="1047"/>
        <v>0</v>
      </c>
      <c r="DZ382" s="196">
        <f>'Detailed Budget'!$AC$198</f>
        <v>18732540018.380611</v>
      </c>
      <c r="EA382" s="269">
        <f t="shared" si="1013"/>
        <v>21817444.840676535</v>
      </c>
      <c r="EB382" s="196">
        <f>'Detailed Budget'!$AC$200</f>
        <v>4683135004.5951529</v>
      </c>
      <c r="EC382" s="269">
        <f t="shared" si="997"/>
        <v>5454361.2101691337</v>
      </c>
      <c r="ED382" s="269">
        <f t="shared" si="1048"/>
        <v>27271806.050845668</v>
      </c>
      <c r="EE382" s="196">
        <f>'Detailed Budget'!$AC$161</f>
        <v>251147290106.36197</v>
      </c>
      <c r="EF382" s="269">
        <f t="shared" si="998"/>
        <v>207762995.49772561</v>
      </c>
      <c r="EG382" s="196">
        <f>'Detailed Budget'!$AC$163</f>
        <v>15696705631.647623</v>
      </c>
      <c r="EH382" s="269">
        <f t="shared" si="999"/>
        <v>12985187.21860785</v>
      </c>
      <c r="EI382" s="269">
        <f t="shared" si="1049"/>
        <v>220748182.71633345</v>
      </c>
      <c r="EJ382" s="196">
        <f>'Detailed Budget'!$AC$204</f>
        <v>45012172507.531975</v>
      </c>
      <c r="EK382" s="269">
        <f t="shared" si="1000"/>
        <v>60756934.232620791</v>
      </c>
      <c r="EL382" s="201">
        <f>'Detailed Budget'!$AC$206</f>
        <v>11253043126.882994</v>
      </c>
      <c r="EM382" s="269">
        <f t="shared" si="1001"/>
        <v>15189233.558155198</v>
      </c>
      <c r="EN382" s="269">
        <f t="shared" si="1050"/>
        <v>75946167.790775985</v>
      </c>
      <c r="EO382" s="140">
        <f>'Detailed Budget'!$AC$209</f>
        <v>135789361677.54817</v>
      </c>
      <c r="EP382" s="269">
        <f t="shared" si="1002"/>
        <v>130102238.4814119</v>
      </c>
      <c r="EQ382" s="196">
        <f>'Detailed Budget'!$AC$211</f>
        <v>33947340419.387043</v>
      </c>
      <c r="ER382" s="269">
        <f t="shared" si="1003"/>
        <v>32525559.620352976</v>
      </c>
      <c r="ES382" s="269">
        <f t="shared" si="1051"/>
        <v>162627798.10176489</v>
      </c>
      <c r="ET382" s="196">
        <f>'Detailed Budget'!$AC$214</f>
        <v>22239745544.201103</v>
      </c>
      <c r="EU382" s="269">
        <f t="shared" si="1004"/>
        <v>41448145.152665459</v>
      </c>
      <c r="EV382" s="140">
        <f>'Detailed Budget'!$AC$217</f>
        <v>5559936386.0502758</v>
      </c>
      <c r="EW382" s="269">
        <f t="shared" si="1005"/>
        <v>10362036.288166365</v>
      </c>
      <c r="EX382" s="269">
        <f t="shared" si="1052"/>
        <v>51810181.440831825</v>
      </c>
      <c r="EY382" s="196">
        <f>'Detailed Budget'!$AC$219</f>
        <v>372777004.58170313</v>
      </c>
      <c r="EZ382" s="269">
        <f t="shared" si="1006"/>
        <v>363133.46860785893</v>
      </c>
      <c r="FA382" s="196">
        <f>'Detailed Budget'!$AC$222</f>
        <v>93194251.145425782</v>
      </c>
      <c r="FB382" s="269">
        <f t="shared" si="1007"/>
        <v>90783.367151964732</v>
      </c>
      <c r="FC382" s="269">
        <f t="shared" si="1053"/>
        <v>453916.83575982368</v>
      </c>
      <c r="FD382" s="269"/>
      <c r="FE382" s="269">
        <f t="shared" si="1054"/>
        <v>290838064.16913253</v>
      </c>
      <c r="FF382" s="140">
        <f>'Detailed Budget'!$AC$165</f>
        <v>14927760000</v>
      </c>
      <c r="FG382" s="1087">
        <f t="shared" si="972"/>
        <v>396722371.21888763</v>
      </c>
      <c r="FH382" s="269">
        <f t="shared" si="1014"/>
        <v>16961436.200431772</v>
      </c>
      <c r="FJ382" s="140">
        <f>'Detailed Budget'!$AC$235</f>
        <v>3623696172</v>
      </c>
      <c r="FK382" s="269">
        <f t="shared" si="1015"/>
        <v>4681778</v>
      </c>
      <c r="FL382" s="269">
        <f t="shared" si="973"/>
        <v>4681778</v>
      </c>
      <c r="FO382" s="607"/>
      <c r="FP382" s="607"/>
      <c r="FQ382" s="607"/>
      <c r="FR382" s="269">
        <f>'Detailed Budget'!$AC$257</f>
        <v>13636439388</v>
      </c>
      <c r="FS382" s="269">
        <f t="shared" si="1016"/>
        <v>22485060</v>
      </c>
      <c r="FT382" s="269">
        <f t="shared" si="974"/>
        <v>22485060</v>
      </c>
      <c r="FU382" s="269"/>
      <c r="FV382" s="269"/>
      <c r="FW382" s="269"/>
      <c r="FX382" s="140">
        <f>'Detailed Budget'!$AC$278</f>
        <v>1114560000</v>
      </c>
      <c r="FY382" s="269">
        <f t="shared" si="1017"/>
        <v>1440000</v>
      </c>
      <c r="FZ382" s="269">
        <f t="shared" si="975"/>
        <v>1440000</v>
      </c>
      <c r="GB382" s="269">
        <f t="shared" si="983"/>
        <v>2002348775.5153017</v>
      </c>
      <c r="GC382" s="887">
        <f t="shared" si="1055"/>
        <v>1251467.9846970635</v>
      </c>
      <c r="GD382" s="1078">
        <f t="shared" si="984"/>
        <v>1.1235809501083853E-3</v>
      </c>
    </row>
    <row r="383" spans="1:186" hidden="1" outlineLevel="1">
      <c r="A383" s="211" t="s">
        <v>905</v>
      </c>
      <c r="B383" s="212" t="s">
        <v>906</v>
      </c>
      <c r="C383" s="213" t="s">
        <v>215</v>
      </c>
      <c r="D383" s="214" t="s">
        <v>215</v>
      </c>
      <c r="E383" s="213"/>
      <c r="F383" s="213"/>
      <c r="G383" s="213"/>
      <c r="H383" s="213" t="s">
        <v>215</v>
      </c>
      <c r="I383" s="214" t="s">
        <v>215</v>
      </c>
      <c r="J383" s="214"/>
      <c r="K383" s="213" t="s">
        <v>215</v>
      </c>
      <c r="L383" s="213"/>
      <c r="M383" s="214"/>
      <c r="N383" s="213"/>
      <c r="O383" s="214"/>
      <c r="P383" s="213"/>
      <c r="Q383" s="214"/>
      <c r="R383" s="214" t="s">
        <v>215</v>
      </c>
      <c r="S383" s="214"/>
      <c r="T383" s="214"/>
      <c r="U383" s="215">
        <f t="shared" si="1018"/>
        <v>6</v>
      </c>
      <c r="V383" s="845" t="s">
        <v>219</v>
      </c>
      <c r="W383" s="216">
        <v>169829</v>
      </c>
      <c r="X383" s="217">
        <v>3.04</v>
      </c>
      <c r="Y383" s="218">
        <f t="shared" si="986"/>
        <v>1.0304</v>
      </c>
      <c r="Z383" s="196">
        <v>19</v>
      </c>
      <c r="AA383" s="218">
        <f t="shared" si="987"/>
        <v>1.7664898659259882</v>
      </c>
      <c r="AB383" s="196">
        <f t="shared" si="1009"/>
        <v>300001.20744034467</v>
      </c>
      <c r="AC383">
        <v>20.8</v>
      </c>
      <c r="AD383" s="196">
        <f t="shared" si="1010"/>
        <v>62400.251147591698</v>
      </c>
      <c r="AE383" s="196">
        <f t="shared" si="990"/>
        <v>59280.23859021211</v>
      </c>
      <c r="AF383" s="196">
        <f t="shared" si="1019"/>
        <v>59280.23859021211</v>
      </c>
      <c r="AG383" s="606">
        <f t="shared" si="1058"/>
        <v>2.7408579872877092E-3</v>
      </c>
      <c r="AH383" s="196">
        <f t="shared" si="1033"/>
        <v>15000.060372017235</v>
      </c>
      <c r="AI383" s="248">
        <f t="shared" si="1034"/>
        <v>1.1620319497087949E-3</v>
      </c>
      <c r="AJ383" s="196">
        <f t="shared" si="1038"/>
        <v>77400.311519608935</v>
      </c>
      <c r="AK383" s="196">
        <f t="shared" si="926"/>
        <v>12000.048297613786</v>
      </c>
      <c r="AL383" s="196">
        <f t="shared" si="927"/>
        <v>12000.048297613786</v>
      </c>
      <c r="AM383" s="196">
        <f t="shared" si="1039"/>
        <v>24000.096595227573</v>
      </c>
      <c r="AN383" s="627">
        <f t="shared" si="1040"/>
        <v>1.1620319497087947E-3</v>
      </c>
      <c r="AO383" s="196">
        <f t="shared" si="1041"/>
        <v>11400.045882733097</v>
      </c>
      <c r="AP383" s="589">
        <f t="shared" si="1059"/>
        <v>1.1620319497087947E-3</v>
      </c>
      <c r="AQ383" s="196"/>
      <c r="AR383" s="589"/>
      <c r="AS383">
        <v>1</v>
      </c>
      <c r="AT383" s="589">
        <f t="shared" si="1060"/>
        <v>1.2919896640826874E-3</v>
      </c>
      <c r="AU383" s="196">
        <v>11</v>
      </c>
      <c r="AV383" s="245">
        <f t="shared" si="1042"/>
        <v>1.2498579706851495E-3</v>
      </c>
      <c r="AX383" s="245"/>
      <c r="AY383" s="245"/>
      <c r="AZ383" s="196">
        <v>42</v>
      </c>
      <c r="BA383" s="589">
        <f t="shared" si="977"/>
        <v>1.5389688908431351E-3</v>
      </c>
      <c r="BI383" s="196">
        <v>0</v>
      </c>
      <c r="BJ383" s="196">
        <f t="shared" si="1020"/>
        <v>186178.83947600753</v>
      </c>
      <c r="BK383" s="246">
        <f t="shared" si="978"/>
        <v>3.5503181400078064E-3</v>
      </c>
      <c r="BL383" s="196">
        <f t="shared" si="1035"/>
        <v>3723.5767895201507</v>
      </c>
      <c r="BM383" s="246">
        <f t="shared" si="979"/>
        <v>3.5503177337933038E-3</v>
      </c>
      <c r="BN383" s="196">
        <v>0</v>
      </c>
      <c r="BO383" s="196">
        <f t="shared" si="1021"/>
        <v>23164.940438828427</v>
      </c>
      <c r="BP383" s="196">
        <f t="shared" si="1043"/>
        <v>0</v>
      </c>
      <c r="BQ383" s="248">
        <f t="shared" si="980"/>
        <v>0</v>
      </c>
      <c r="BR383" s="248"/>
      <c r="BS383" s="248"/>
      <c r="BT383" s="276">
        <v>1</v>
      </c>
      <c r="BU383" s="196">
        <f t="shared" si="1036"/>
        <v>48522.435292367307</v>
      </c>
      <c r="BV383" s="264">
        <f t="shared" si="981"/>
        <v>3.3656080209794278E-3</v>
      </c>
      <c r="BW383" s="196">
        <f t="shared" si="1037"/>
        <v>207568.19541734905</v>
      </c>
      <c r="BX383" s="247">
        <f t="shared" si="982"/>
        <v>3.3656080512969541E-3</v>
      </c>
      <c r="BY383" s="196">
        <f t="shared" si="985"/>
        <v>256090.63070971635</v>
      </c>
      <c r="BZ383" s="620">
        <v>0</v>
      </c>
      <c r="CA383" s="196">
        <f t="shared" si="1022"/>
        <v>91800.369476745458</v>
      </c>
      <c r="CB383" s="196">
        <f t="shared" si="1023"/>
        <v>183600.73895349092</v>
      </c>
      <c r="CC383" s="196">
        <f t="shared" si="1056"/>
        <v>275401.10843023635</v>
      </c>
      <c r="CD383" s="247">
        <f t="shared" si="1044"/>
        <v>1.1620319497087945E-3</v>
      </c>
      <c r="CE383" s="196">
        <f t="shared" si="1024"/>
        <v>37885.381842251671</v>
      </c>
      <c r="CF383" s="247">
        <f t="shared" si="1045"/>
        <v>1.6360086094274978E-3</v>
      </c>
      <c r="CG383" s="196">
        <f t="shared" si="991"/>
        <v>45600.183530932387</v>
      </c>
      <c r="CH383" s="589">
        <f t="shared" si="1061"/>
        <v>1.1620319497087947E-3</v>
      </c>
      <c r="CI383" s="196">
        <f t="shared" si="1025"/>
        <v>115330.05466502294</v>
      </c>
      <c r="CJ383" s="248">
        <f t="shared" si="1062"/>
        <v>1.8960258059465926E-3</v>
      </c>
      <c r="CK383" s="196">
        <f t="shared" si="1026"/>
        <v>93623.165652870259</v>
      </c>
      <c r="CL383" s="589">
        <f t="shared" si="1063"/>
        <v>1.3458522637235886E-3</v>
      </c>
      <c r="CM383" s="196">
        <f t="shared" si="1027"/>
        <v>18165.837406926399</v>
      </c>
      <c r="CN383" s="589">
        <f t="shared" si="1064"/>
        <v>2.6179036187410488E-3</v>
      </c>
      <c r="CO383" s="196">
        <f t="shared" si="1028"/>
        <v>725.58669834536477</v>
      </c>
      <c r="CP383" s="589">
        <f t="shared" si="1065"/>
        <v>1.3683447521533811E-3</v>
      </c>
      <c r="CQ383" s="196">
        <f>'Detailed Budget'!$AC$12</f>
        <v>292876014141.44696</v>
      </c>
      <c r="CR383" s="269">
        <f t="shared" si="1066"/>
        <v>1039803025.779562</v>
      </c>
      <c r="CS383" s="269">
        <f>'Detailed Budget'!$AC$16</f>
        <v>10488008800.000002</v>
      </c>
      <c r="CT383" s="607">
        <f t="shared" si="992"/>
        <v>37235763.634820238</v>
      </c>
      <c r="CU383" s="269">
        <f>'Detailed Budget'!$AC$24</f>
        <v>30624985696</v>
      </c>
      <c r="CV383" s="269">
        <f t="shared" si="976"/>
        <v>108728442.2539884</v>
      </c>
      <c r="CW383" s="269"/>
      <c r="CX383" s="269">
        <f t="shared" si="1057"/>
        <v>1185767231.6683707</v>
      </c>
      <c r="CY383" s="196">
        <f>'Detailed Budget'!$AC$97</f>
        <v>74629165494.837845</v>
      </c>
      <c r="CZ383" s="269">
        <f t="shared" si="993"/>
        <v>0</v>
      </c>
      <c r="DA383" s="269">
        <f>'Detailed Budget'!$AC$100</f>
        <v>14925833098.967569</v>
      </c>
      <c r="DB383" s="269">
        <f t="shared" si="994"/>
        <v>0</v>
      </c>
      <c r="DC383" s="269">
        <f t="shared" si="1046"/>
        <v>0</v>
      </c>
      <c r="DD383" s="207">
        <v>0</v>
      </c>
      <c r="DE383" s="606">
        <v>0</v>
      </c>
      <c r="DF383" s="269">
        <f>'Detailed Budget'!$AC$147</f>
        <v>5913600671000</v>
      </c>
      <c r="DG383" s="269">
        <f t="shared" si="971"/>
        <v>0</v>
      </c>
      <c r="DH383" s="269">
        <f>'Detailed Budget'!$AC$153</f>
        <v>226428026880.00003</v>
      </c>
      <c r="DI383" s="269"/>
      <c r="DJ383" s="269">
        <f>'Detailed Budget'!$AC$156</f>
        <v>27713070000</v>
      </c>
      <c r="DK383" s="269"/>
      <c r="DL383" s="269"/>
      <c r="DM383" s="196">
        <f>'Detailed Budget'!$AC$178</f>
        <v>5622683761.6229038</v>
      </c>
      <c r="DN383" s="269">
        <f t="shared" si="1029"/>
        <v>18923749.567548826</v>
      </c>
      <c r="DO383" s="196">
        <f>'Detailed Budget'!$AC$179</f>
        <v>26827890683.128094</v>
      </c>
      <c r="DP383" s="269">
        <f t="shared" si="1030"/>
        <v>90292164.882450446</v>
      </c>
      <c r="DQ383" s="269">
        <f t="shared" si="1008"/>
        <v>109215914.44999927</v>
      </c>
      <c r="DR383" s="269">
        <f>'Detailed Budget'!$AC$181</f>
        <v>50888946855.375237</v>
      </c>
      <c r="DS383" s="269">
        <f t="shared" si="1031"/>
        <v>139479376.45321497</v>
      </c>
      <c r="DT383" s="269">
        <f t="shared" si="1032"/>
        <v>248695290.90321425</v>
      </c>
      <c r="DU383" s="272">
        <f>'Detailed Budget'!$AC$192</f>
        <v>77498869683.252869</v>
      </c>
      <c r="DV383" s="269">
        <f t="shared" si="995"/>
        <v>0</v>
      </c>
      <c r="DW383" s="140">
        <f>'Detailed Budget'!$AC$194</f>
        <v>2684962805.4134097</v>
      </c>
      <c r="DX383" s="269">
        <f t="shared" si="996"/>
        <v>0</v>
      </c>
      <c r="DY383" s="607">
        <f t="shared" si="1047"/>
        <v>0</v>
      </c>
      <c r="DZ383" s="196">
        <f>'Detailed Budget'!$AC$198</f>
        <v>18732540018.380611</v>
      </c>
      <c r="EA383" s="269">
        <f t="shared" si="1013"/>
        <v>30646596.746515818</v>
      </c>
      <c r="EB383" s="196">
        <f>'Detailed Budget'!$AC$200</f>
        <v>4683135004.5951529</v>
      </c>
      <c r="EC383" s="269">
        <f t="shared" si="997"/>
        <v>7661649.1866289545</v>
      </c>
      <c r="ED383" s="269">
        <f t="shared" si="1048"/>
        <v>38308245.933144771</v>
      </c>
      <c r="EE383" s="196">
        <f>'Detailed Budget'!$AC$161</f>
        <v>251147290106.36197</v>
      </c>
      <c r="EF383" s="269">
        <f t="shared" si="998"/>
        <v>291841175.18637609</v>
      </c>
      <c r="EG383" s="196">
        <f>'Detailed Budget'!$AC$163</f>
        <v>15696705631.647623</v>
      </c>
      <c r="EH383" s="269">
        <f t="shared" si="999"/>
        <v>18240073.449148506</v>
      </c>
      <c r="EI383" s="269">
        <f t="shared" si="1049"/>
        <v>310081248.63552463</v>
      </c>
      <c r="EJ383" s="196">
        <f>'Detailed Budget'!$AC$204</f>
        <v>45012172507.531975</v>
      </c>
      <c r="EK383" s="269">
        <f t="shared" si="1000"/>
        <v>85344240.656000376</v>
      </c>
      <c r="EL383" s="201">
        <f>'Detailed Budget'!$AC$206</f>
        <v>11253043126.882994</v>
      </c>
      <c r="EM383" s="269">
        <f t="shared" si="1001"/>
        <v>21336060.164000094</v>
      </c>
      <c r="EN383" s="269">
        <f t="shared" si="1050"/>
        <v>106680300.82000047</v>
      </c>
      <c r="EO383" s="140">
        <f>'Detailed Budget'!$AC$209</f>
        <v>135789361677.54817</v>
      </c>
      <c r="EP383" s="269">
        <f t="shared" si="1002"/>
        <v>182752419.80330932</v>
      </c>
      <c r="EQ383" s="196">
        <f>'Detailed Budget'!$AC$211</f>
        <v>33947340419.387043</v>
      </c>
      <c r="ER383" s="269">
        <f t="shared" si="1003"/>
        <v>45688104.95082733</v>
      </c>
      <c r="ES383" s="269">
        <f t="shared" si="1051"/>
        <v>228440524.75413665</v>
      </c>
      <c r="ET383" s="196">
        <f>'Detailed Budget'!$AC$214</f>
        <v>22239745544.201103</v>
      </c>
      <c r="EU383" s="269">
        <f t="shared" si="1004"/>
        <v>58221510.340044186</v>
      </c>
      <c r="EV383" s="140">
        <f>'Detailed Budget'!$AC$217</f>
        <v>5559936386.0502758</v>
      </c>
      <c r="EW383" s="269">
        <f t="shared" si="1005"/>
        <v>14555377.585011046</v>
      </c>
      <c r="EX383" s="269">
        <f t="shared" si="1052"/>
        <v>72776887.925055236</v>
      </c>
      <c r="EY383" s="196">
        <f>'Detailed Budget'!$AC$219</f>
        <v>372777004.58170313</v>
      </c>
      <c r="EZ383" s="269">
        <f t="shared" si="1006"/>
        <v>510087.4579428304</v>
      </c>
      <c r="FA383" s="196">
        <f>'Detailed Budget'!$AC$222</f>
        <v>93194251.145425782</v>
      </c>
      <c r="FB383" s="269">
        <f t="shared" si="1007"/>
        <v>127521.8644857076</v>
      </c>
      <c r="FC383" s="269">
        <f t="shared" si="1053"/>
        <v>637609.322428538</v>
      </c>
      <c r="FD383" s="269"/>
      <c r="FE383" s="269">
        <f t="shared" si="1054"/>
        <v>408535322.82162088</v>
      </c>
      <c r="FF383" s="140">
        <f>'Detailed Budget'!$AC$165</f>
        <v>14927760000</v>
      </c>
      <c r="FG383" s="1087">
        <f t="shared" si="972"/>
        <v>557269222.85596979</v>
      </c>
      <c r="FH383" s="269">
        <f t="shared" si="1014"/>
        <v>18657579.820474949</v>
      </c>
      <c r="FJ383" s="140">
        <f>'Detailed Budget'!$AC$235</f>
        <v>3623696172</v>
      </c>
      <c r="FK383" s="269">
        <f t="shared" si="1015"/>
        <v>4681778</v>
      </c>
      <c r="FL383" s="269">
        <f t="shared" si="973"/>
        <v>4681778</v>
      </c>
      <c r="FO383" s="607"/>
      <c r="FP383" s="607"/>
      <c r="FQ383" s="607"/>
      <c r="FR383" s="269">
        <f>'Detailed Budget'!$AC$257</f>
        <v>13636439388</v>
      </c>
      <c r="FS383" s="269">
        <f t="shared" si="1016"/>
        <v>20986056</v>
      </c>
      <c r="FT383" s="269">
        <f t="shared" si="974"/>
        <v>20986056</v>
      </c>
      <c r="FU383" s="269"/>
      <c r="FV383" s="269"/>
      <c r="FW383" s="269"/>
      <c r="FX383" s="140">
        <f>'Detailed Budget'!$AC$278</f>
        <v>1114560000</v>
      </c>
      <c r="FY383" s="269">
        <f t="shared" si="1017"/>
        <v>1440000</v>
      </c>
      <c r="FZ383" s="269">
        <f t="shared" si="975"/>
        <v>1440000</v>
      </c>
      <c r="GB383" s="269">
        <f t="shared" si="983"/>
        <v>2794421976.6383204</v>
      </c>
      <c r="GC383" s="887">
        <f t="shared" si="1055"/>
        <v>1746513.7353989503</v>
      </c>
      <c r="GD383" s="1078">
        <f t="shared" si="984"/>
        <v>1.5680381649330914E-3</v>
      </c>
    </row>
    <row r="384" spans="1:186" hidden="1" outlineLevel="1">
      <c r="A384" s="211" t="s">
        <v>907</v>
      </c>
      <c r="B384" s="212" t="s">
        <v>908</v>
      </c>
      <c r="C384" s="213" t="s">
        <v>215</v>
      </c>
      <c r="D384" s="214" t="s">
        <v>215</v>
      </c>
      <c r="E384" s="213"/>
      <c r="F384" s="213"/>
      <c r="G384" s="213"/>
      <c r="H384" s="213" t="s">
        <v>215</v>
      </c>
      <c r="I384" s="214" t="s">
        <v>215</v>
      </c>
      <c r="J384" s="214"/>
      <c r="K384" s="213" t="s">
        <v>215</v>
      </c>
      <c r="L384" s="213"/>
      <c r="M384" s="214"/>
      <c r="N384" s="213"/>
      <c r="O384" s="214"/>
      <c r="P384" s="213"/>
      <c r="Q384" s="214"/>
      <c r="R384" s="214" t="s">
        <v>215</v>
      </c>
      <c r="S384" s="214"/>
      <c r="T384" s="214"/>
      <c r="U384" s="215">
        <f t="shared" si="1018"/>
        <v>6</v>
      </c>
      <c r="V384" s="845" t="s">
        <v>219</v>
      </c>
      <c r="W384" s="216">
        <v>194400</v>
      </c>
      <c r="X384" s="217">
        <v>3.04</v>
      </c>
      <c r="Y384" s="218">
        <f t="shared" si="986"/>
        <v>1.0304</v>
      </c>
      <c r="Z384" s="196">
        <v>19</v>
      </c>
      <c r="AA384" s="218">
        <f t="shared" si="987"/>
        <v>1.7664898659259882</v>
      </c>
      <c r="AB384" s="196">
        <f t="shared" si="1009"/>
        <v>343405.62993601209</v>
      </c>
      <c r="AC384">
        <v>20.8</v>
      </c>
      <c r="AD384" s="196">
        <f t="shared" si="1010"/>
        <v>71428.371026690525</v>
      </c>
      <c r="AE384" s="196">
        <f t="shared" si="990"/>
        <v>67856.952475355996</v>
      </c>
      <c r="AF384" s="196">
        <f t="shared" si="1019"/>
        <v>67856.952475355996</v>
      </c>
      <c r="AG384" s="606">
        <f t="shared" si="1058"/>
        <v>3.1374075848573011E-3</v>
      </c>
      <c r="AH384" s="196">
        <f t="shared" si="1033"/>
        <v>17170.281496800606</v>
      </c>
      <c r="AI384" s="248">
        <f t="shared" si="1034"/>
        <v>1.330155692039579E-3</v>
      </c>
      <c r="AJ384" s="196">
        <f t="shared" si="1038"/>
        <v>88598.652523491124</v>
      </c>
      <c r="AK384" s="196">
        <f t="shared" ref="AK384:AK445" si="1067">AB384*0.04</f>
        <v>13736.225197440484</v>
      </c>
      <c r="AL384" s="196">
        <f t="shared" ref="AL384:AL445" si="1068">AB384*0.04</f>
        <v>13736.225197440484</v>
      </c>
      <c r="AM384" s="196">
        <f t="shared" si="1039"/>
        <v>27472.450394880969</v>
      </c>
      <c r="AN384" s="627">
        <f t="shared" si="1040"/>
        <v>1.330155692039579E-3</v>
      </c>
      <c r="AO384" s="196">
        <f t="shared" si="1041"/>
        <v>13049.413937568459</v>
      </c>
      <c r="AP384" s="589">
        <f t="shared" si="1059"/>
        <v>1.330155692039579E-3</v>
      </c>
      <c r="AQ384" s="196"/>
      <c r="AR384" s="589"/>
      <c r="AS384">
        <v>1</v>
      </c>
      <c r="AT384" s="589">
        <f t="shared" si="1060"/>
        <v>1.2919896640826874E-3</v>
      </c>
      <c r="AU384" s="196">
        <v>10</v>
      </c>
      <c r="AV384" s="245">
        <f t="shared" si="1042"/>
        <v>1.1362345188046814E-3</v>
      </c>
      <c r="AX384" s="245"/>
      <c r="AY384" s="245"/>
      <c r="AZ384" s="196">
        <v>54</v>
      </c>
      <c r="BA384" s="589">
        <f t="shared" si="977"/>
        <v>1.9786742882268878E-3</v>
      </c>
      <c r="BI384" s="196">
        <v>0</v>
      </c>
      <c r="BJ384" s="196">
        <f t="shared" si="1020"/>
        <v>213115.34775648365</v>
      </c>
      <c r="BK384" s="246">
        <f t="shared" si="978"/>
        <v>4.0639811010929668E-3</v>
      </c>
      <c r="BL384" s="196">
        <f t="shared" si="1035"/>
        <v>4262.306955129673</v>
      </c>
      <c r="BM384" s="246">
        <f t="shared" si="979"/>
        <v>4.0639806361070143E-3</v>
      </c>
      <c r="BN384" s="196">
        <v>0</v>
      </c>
      <c r="BO384" s="196">
        <f t="shared" si="1021"/>
        <v>26516.463155928883</v>
      </c>
      <c r="BP384" s="196">
        <f t="shared" si="1043"/>
        <v>0</v>
      </c>
      <c r="BQ384" s="248">
        <f t="shared" si="980"/>
        <v>0</v>
      </c>
      <c r="BR384" s="248"/>
      <c r="BS384" s="248"/>
      <c r="BT384" s="276">
        <v>1</v>
      </c>
      <c r="BU384" s="196">
        <f t="shared" si="1036"/>
        <v>55542.701310354554</v>
      </c>
      <c r="BV384" s="264">
        <f t="shared" si="981"/>
        <v>3.8525469694716493E-3</v>
      </c>
      <c r="BW384" s="196">
        <f t="shared" si="1037"/>
        <v>237599.3333831834</v>
      </c>
      <c r="BX384" s="247">
        <f t="shared" si="982"/>
        <v>3.8525470041755406E-3</v>
      </c>
      <c r="BY384" s="196">
        <f t="shared" si="985"/>
        <v>293142.03469353798</v>
      </c>
      <c r="BZ384" s="620">
        <v>0</v>
      </c>
      <c r="CA384" s="196">
        <f t="shared" si="1022"/>
        <v>105082.1227604197</v>
      </c>
      <c r="CB384" s="196">
        <f t="shared" si="1023"/>
        <v>210164.24552083941</v>
      </c>
      <c r="CC384" s="196">
        <f t="shared" si="1056"/>
        <v>315246.36828125909</v>
      </c>
      <c r="CD384" s="247">
        <f t="shared" si="1044"/>
        <v>1.330155692039579E-3</v>
      </c>
      <c r="CE384" s="196">
        <f t="shared" si="1024"/>
        <v>43366.670180791996</v>
      </c>
      <c r="CF384" s="247">
        <f t="shared" si="1045"/>
        <v>1.8727076863945824E-3</v>
      </c>
      <c r="CG384" s="196">
        <f t="shared" si="991"/>
        <v>52197.655750273836</v>
      </c>
      <c r="CH384" s="589">
        <f t="shared" si="1061"/>
        <v>1.330155692039579E-3</v>
      </c>
      <c r="CI384" s="196">
        <f t="shared" si="1025"/>
        <v>132016.10223742976</v>
      </c>
      <c r="CJ384" s="248">
        <f t="shared" si="1062"/>
        <v>2.1703443856821722E-3</v>
      </c>
      <c r="CK384" s="196">
        <f t="shared" si="1026"/>
        <v>107168.64259294924</v>
      </c>
      <c r="CL384" s="589">
        <f t="shared" si="1063"/>
        <v>1.5405712809229612E-3</v>
      </c>
      <c r="CM384" s="196">
        <f t="shared" si="1027"/>
        <v>20794.085768075485</v>
      </c>
      <c r="CN384" s="589">
        <f t="shared" si="1064"/>
        <v>2.9966640767080995E-3</v>
      </c>
      <c r="CO384" s="196">
        <f t="shared" si="1028"/>
        <v>830.56518120190844</v>
      </c>
      <c r="CP384" s="589">
        <f t="shared" si="1065"/>
        <v>1.5663180011577368E-3</v>
      </c>
      <c r="CQ384" s="196">
        <f>'Detailed Budget'!$AC$12</f>
        <v>292876014141.44696</v>
      </c>
      <c r="CR384" s="269">
        <f t="shared" si="1066"/>
        <v>1190242586.4342771</v>
      </c>
      <c r="CS384" s="269">
        <f>'Detailed Budget'!$AC$16</f>
        <v>10488008800.000002</v>
      </c>
      <c r="CT384" s="607">
        <f t="shared" si="992"/>
        <v>42623064.674519971</v>
      </c>
      <c r="CU384" s="269">
        <f>'Detailed Budget'!$AC$24</f>
        <v>30624985696</v>
      </c>
      <c r="CV384" s="269">
        <f t="shared" si="976"/>
        <v>124459363.08978644</v>
      </c>
      <c r="CW384" s="269"/>
      <c r="CX384" s="269">
        <f t="shared" si="1057"/>
        <v>1357325014.1985836</v>
      </c>
      <c r="CY384" s="196">
        <f>'Detailed Budget'!$AC$97</f>
        <v>74629165494.837845</v>
      </c>
      <c r="CZ384" s="269">
        <f t="shared" si="993"/>
        <v>0</v>
      </c>
      <c r="DA384" s="269">
        <f>'Detailed Budget'!$AC$100</f>
        <v>14925833098.967569</v>
      </c>
      <c r="DB384" s="269">
        <f t="shared" si="994"/>
        <v>0</v>
      </c>
      <c r="DC384" s="269">
        <f t="shared" si="1046"/>
        <v>0</v>
      </c>
      <c r="DD384" s="207">
        <v>0</v>
      </c>
      <c r="DE384" s="606">
        <v>0</v>
      </c>
      <c r="DF384" s="269">
        <f>'Detailed Budget'!$AC$147</f>
        <v>5913600671000</v>
      </c>
      <c r="DG384" s="269">
        <f t="shared" si="971"/>
        <v>0</v>
      </c>
      <c r="DH384" s="269">
        <f>'Detailed Budget'!$AC$153</f>
        <v>226428026880.00003</v>
      </c>
      <c r="DI384" s="269"/>
      <c r="DJ384" s="269">
        <f>'Detailed Budget'!$AC$156</f>
        <v>27713070000</v>
      </c>
      <c r="DK384" s="269"/>
      <c r="DL384" s="269"/>
      <c r="DM384" s="196">
        <f>'Detailed Budget'!$AC$178</f>
        <v>5622683761.6229038</v>
      </c>
      <c r="DN384" s="269">
        <f t="shared" si="1029"/>
        <v>21661653.286137771</v>
      </c>
      <c r="DO384" s="196">
        <f>'Detailed Budget'!$AC$179</f>
        <v>26827890683.128094</v>
      </c>
      <c r="DP384" s="269">
        <f t="shared" si="1030"/>
        <v>103355709.87963404</v>
      </c>
      <c r="DQ384" s="269">
        <f t="shared" si="1008"/>
        <v>125017363.16577181</v>
      </c>
      <c r="DR384" s="269">
        <f>'Detailed Budget'!$AC$181</f>
        <v>50888946855.375237</v>
      </c>
      <c r="DS384" s="269">
        <f t="shared" si="1031"/>
        <v>159659367.84945437</v>
      </c>
      <c r="DT384" s="269">
        <f t="shared" si="1032"/>
        <v>284676731.01522619</v>
      </c>
      <c r="DU384" s="272">
        <f>'Detailed Budget'!$AC$192</f>
        <v>77498869683.252869</v>
      </c>
      <c r="DV384" s="269">
        <f t="shared" si="995"/>
        <v>0</v>
      </c>
      <c r="DW384" s="140">
        <f>'Detailed Budget'!$AC$194</f>
        <v>2684962805.4134097</v>
      </c>
      <c r="DX384" s="269">
        <f t="shared" si="996"/>
        <v>0</v>
      </c>
      <c r="DY384" s="607">
        <f t="shared" si="1047"/>
        <v>0</v>
      </c>
      <c r="DZ384" s="196">
        <f>'Detailed Budget'!$AC$198</f>
        <v>18732540018.380611</v>
      </c>
      <c r="EA384" s="269">
        <f t="shared" si="1013"/>
        <v>35080571.67811548</v>
      </c>
      <c r="EB384" s="196">
        <f>'Detailed Budget'!$AC$200</f>
        <v>4683135004.5951529</v>
      </c>
      <c r="EC384" s="269">
        <f t="shared" si="997"/>
        <v>8770142.9195288699</v>
      </c>
      <c r="ED384" s="269">
        <f t="shared" si="1048"/>
        <v>43850714.597644351</v>
      </c>
      <c r="EE384" s="196">
        <f>'Detailed Budget'!$AC$161</f>
        <v>251147290106.36197</v>
      </c>
      <c r="EF384" s="269">
        <f t="shared" si="998"/>
        <v>334064997.4752928</v>
      </c>
      <c r="EG384" s="196">
        <f>'Detailed Budget'!$AC$163</f>
        <v>15696705631.647623</v>
      </c>
      <c r="EH384" s="269">
        <f t="shared" si="999"/>
        <v>20879062.3422058</v>
      </c>
      <c r="EI384" s="269">
        <f t="shared" si="1049"/>
        <v>354944059.81749862</v>
      </c>
      <c r="EJ384" s="196">
        <f>'Detailed Budget'!$AC$204</f>
        <v>45012172507.531975</v>
      </c>
      <c r="EK384" s="269">
        <f t="shared" si="1000"/>
        <v>97691915.889079452</v>
      </c>
      <c r="EL384" s="201">
        <f>'Detailed Budget'!$AC$206</f>
        <v>11253043126.882994</v>
      </c>
      <c r="EM384" s="269">
        <f t="shared" si="1001"/>
        <v>24422978.972269863</v>
      </c>
      <c r="EN384" s="269">
        <f t="shared" si="1050"/>
        <v>122114894.86134931</v>
      </c>
      <c r="EO384" s="140">
        <f>'Detailed Budget'!$AC$209</f>
        <v>135789361677.54817</v>
      </c>
      <c r="EP384" s="269">
        <f t="shared" si="1002"/>
        <v>209193190.85529166</v>
      </c>
      <c r="EQ384" s="196">
        <f>'Detailed Budget'!$AC$211</f>
        <v>33947340419.387043</v>
      </c>
      <c r="ER384" s="269">
        <f t="shared" si="1003"/>
        <v>52298297.713822916</v>
      </c>
      <c r="ES384" s="269">
        <f t="shared" si="1051"/>
        <v>261491488.56911457</v>
      </c>
      <c r="ET384" s="196">
        <f>'Detailed Budget'!$AC$214</f>
        <v>22239745544.201103</v>
      </c>
      <c r="EU384" s="269">
        <f t="shared" si="1004"/>
        <v>66645046.547436468</v>
      </c>
      <c r="EV384" s="140">
        <f>'Detailed Budget'!$AC$217</f>
        <v>5559936386.0502758</v>
      </c>
      <c r="EW384" s="269">
        <f t="shared" si="1005"/>
        <v>16661261.636859117</v>
      </c>
      <c r="EX384" s="269">
        <f t="shared" si="1052"/>
        <v>83306308.18429558</v>
      </c>
      <c r="EY384" s="196">
        <f>'Detailed Budget'!$AC$219</f>
        <v>372777004.58170313</v>
      </c>
      <c r="EZ384" s="269">
        <f t="shared" si="1006"/>
        <v>583887.33269398171</v>
      </c>
      <c r="FA384" s="196">
        <f>'Detailed Budget'!$AC$222</f>
        <v>93194251.145425782</v>
      </c>
      <c r="FB384" s="269">
        <f t="shared" si="1007"/>
        <v>145971.83317349543</v>
      </c>
      <c r="FC384" s="269">
        <f t="shared" si="1053"/>
        <v>729859.16586747719</v>
      </c>
      <c r="FD384" s="269"/>
      <c r="FE384" s="269">
        <f t="shared" si="1054"/>
        <v>467642550.78062695</v>
      </c>
      <c r="FF384" s="140">
        <f>'Detailed Budget'!$AC$165</f>
        <v>14927760000</v>
      </c>
      <c r="FG384" s="1087">
        <f t="shared" si="972"/>
        <v>637895394.32723808</v>
      </c>
      <c r="FH384" s="269">
        <f t="shared" si="1014"/>
        <v>16961436.200431772</v>
      </c>
      <c r="FJ384" s="140">
        <f>'Detailed Budget'!$AC$235</f>
        <v>3623696172</v>
      </c>
      <c r="FK384" s="269">
        <f t="shared" si="1015"/>
        <v>4681778</v>
      </c>
      <c r="FL384" s="269">
        <f t="shared" si="973"/>
        <v>4681778</v>
      </c>
      <c r="FO384" s="607"/>
      <c r="FP384" s="607"/>
      <c r="FQ384" s="607"/>
      <c r="FR384" s="269">
        <f>'Detailed Budget'!$AC$257</f>
        <v>13636439388</v>
      </c>
      <c r="FS384" s="269">
        <f t="shared" si="1016"/>
        <v>26982071.999999996</v>
      </c>
      <c r="FT384" s="269">
        <f t="shared" si="974"/>
        <v>26982071.999999996</v>
      </c>
      <c r="FU384" s="269"/>
      <c r="FV384" s="269"/>
      <c r="FW384" s="269"/>
      <c r="FX384" s="140">
        <f>'Detailed Budget'!$AC$278</f>
        <v>1114560000</v>
      </c>
      <c r="FY384" s="269">
        <f t="shared" si="1017"/>
        <v>1440000</v>
      </c>
      <c r="FZ384" s="269">
        <f t="shared" si="975"/>
        <v>1440000</v>
      </c>
      <c r="GB384" s="269">
        <f t="shared" si="983"/>
        <v>3196399750.9372497</v>
      </c>
      <c r="GC384" s="887">
        <f t="shared" si="1055"/>
        <v>1997749.8443357809</v>
      </c>
      <c r="GD384" s="1078">
        <f t="shared" si="984"/>
        <v>1.7936005520117423E-3</v>
      </c>
    </row>
    <row r="385" spans="1:186" hidden="1" outlineLevel="1">
      <c r="A385" s="211" t="s">
        <v>909</v>
      </c>
      <c r="B385" s="212" t="s">
        <v>910</v>
      </c>
      <c r="C385" s="213" t="s">
        <v>215</v>
      </c>
      <c r="D385" s="214" t="s">
        <v>215</v>
      </c>
      <c r="E385" s="213"/>
      <c r="F385" s="213"/>
      <c r="G385" s="213"/>
      <c r="H385" s="213" t="s">
        <v>215</v>
      </c>
      <c r="I385" s="214" t="s">
        <v>215</v>
      </c>
      <c r="J385" s="214"/>
      <c r="K385" s="213" t="s">
        <v>215</v>
      </c>
      <c r="L385" s="213"/>
      <c r="M385" s="214"/>
      <c r="N385" s="213"/>
      <c r="O385" s="214"/>
      <c r="P385" s="213"/>
      <c r="Q385" s="214"/>
      <c r="R385" s="214" t="s">
        <v>215</v>
      </c>
      <c r="S385" s="214"/>
      <c r="T385" s="214"/>
      <c r="U385" s="215">
        <f t="shared" si="1018"/>
        <v>6</v>
      </c>
      <c r="V385" s="845" t="s">
        <v>219</v>
      </c>
      <c r="W385" s="216">
        <v>225156</v>
      </c>
      <c r="X385" s="217">
        <v>3.04</v>
      </c>
      <c r="Y385" s="218">
        <f t="shared" si="986"/>
        <v>1.0304</v>
      </c>
      <c r="Z385" s="196">
        <v>19</v>
      </c>
      <c r="AA385" s="218">
        <f t="shared" si="987"/>
        <v>1.7664898659259882</v>
      </c>
      <c r="AB385" s="196">
        <f t="shared" si="1009"/>
        <v>397735.7922524318</v>
      </c>
      <c r="AC385">
        <v>20.8</v>
      </c>
      <c r="AD385" s="196">
        <f t="shared" si="1010"/>
        <v>82729.044788505824</v>
      </c>
      <c r="AE385" s="196">
        <f t="shared" si="990"/>
        <v>78592.592549080524</v>
      </c>
      <c r="AF385" s="196">
        <f t="shared" si="1019"/>
        <v>78592.592549080524</v>
      </c>
      <c r="AG385" s="606">
        <f t="shared" si="1058"/>
        <v>3.6337764515233049E-3</v>
      </c>
      <c r="AH385" s="196">
        <f t="shared" si="1033"/>
        <v>19886.789612621593</v>
      </c>
      <c r="AI385" s="248">
        <f t="shared" si="1034"/>
        <v>1.540599459860409E-3</v>
      </c>
      <c r="AJ385" s="196">
        <f t="shared" si="1038"/>
        <v>102615.83440112742</v>
      </c>
      <c r="AK385" s="196">
        <f t="shared" si="1067"/>
        <v>15909.431690097272</v>
      </c>
      <c r="AL385" s="196">
        <f t="shared" si="1068"/>
        <v>15909.431690097272</v>
      </c>
      <c r="AM385" s="196">
        <f t="shared" si="1039"/>
        <v>31818.863380194543</v>
      </c>
      <c r="AN385" s="627">
        <f t="shared" si="1040"/>
        <v>1.5405994598604088E-3</v>
      </c>
      <c r="AO385" s="196">
        <f t="shared" si="1041"/>
        <v>15113.960105592409</v>
      </c>
      <c r="AP385" s="589">
        <f t="shared" si="1059"/>
        <v>1.5405994598604088E-3</v>
      </c>
      <c r="AQ385" s="196"/>
      <c r="AR385" s="589"/>
      <c r="AS385">
        <v>1</v>
      </c>
      <c r="AT385" s="589">
        <f t="shared" si="1060"/>
        <v>1.2919896640826874E-3</v>
      </c>
      <c r="AU385" s="196">
        <v>11</v>
      </c>
      <c r="AV385" s="245">
        <f t="shared" si="1042"/>
        <v>1.2498579706851495E-3</v>
      </c>
      <c r="AX385" s="245"/>
      <c r="AY385" s="245"/>
      <c r="AZ385" s="196">
        <v>55</v>
      </c>
      <c r="BA385" s="589">
        <f t="shared" si="977"/>
        <v>2.015316404675534E-3</v>
      </c>
      <c r="BI385" s="196">
        <v>0</v>
      </c>
      <c r="BJ385" s="196">
        <f t="shared" si="1020"/>
        <v>246832.30061450019</v>
      </c>
      <c r="BK385" s="246">
        <f t="shared" si="978"/>
        <v>4.7069430493708242E-3</v>
      </c>
      <c r="BL385" s="196">
        <f t="shared" si="1035"/>
        <v>4936.6460122900035</v>
      </c>
      <c r="BM385" s="246">
        <f t="shared" si="979"/>
        <v>4.7069425108195008E-3</v>
      </c>
      <c r="BN385" s="196">
        <v>0</v>
      </c>
      <c r="BO385" s="196">
        <f t="shared" si="1021"/>
        <v>30711.629518190963</v>
      </c>
      <c r="BP385" s="196">
        <f t="shared" si="1043"/>
        <v>0</v>
      </c>
      <c r="BQ385" s="248">
        <f t="shared" si="980"/>
        <v>0</v>
      </c>
      <c r="BR385" s="248"/>
      <c r="BS385" s="248"/>
      <c r="BT385" s="276">
        <v>1</v>
      </c>
      <c r="BU385" s="196">
        <f t="shared" si="1036"/>
        <v>64330.105227542132</v>
      </c>
      <c r="BV385" s="264">
        <f t="shared" si="981"/>
        <v>4.4620579498886766E-3</v>
      </c>
      <c r="BW385" s="196">
        <f t="shared" si="1037"/>
        <v>275189.8945844858</v>
      </c>
      <c r="BX385" s="247">
        <f t="shared" si="982"/>
        <v>4.4620579900830652E-3</v>
      </c>
      <c r="BY385" s="196">
        <f t="shared" si="985"/>
        <v>339519.99981202791</v>
      </c>
      <c r="BZ385" s="620">
        <v>0</v>
      </c>
      <c r="CA385" s="196">
        <f t="shared" si="1022"/>
        <v>121707.15242924413</v>
      </c>
      <c r="CB385" s="196">
        <f t="shared" si="1023"/>
        <v>243414.30485848826</v>
      </c>
      <c r="CC385" s="196">
        <f t="shared" si="1056"/>
        <v>365121.4572877324</v>
      </c>
      <c r="CD385" s="247">
        <f t="shared" si="1044"/>
        <v>1.5405994598604088E-3</v>
      </c>
      <c r="CE385" s="196">
        <f t="shared" si="1024"/>
        <v>50227.705716185199</v>
      </c>
      <c r="CF385" s="247">
        <f t="shared" si="1045"/>
        <v>2.1689885382605895E-3</v>
      </c>
      <c r="CG385" s="196">
        <f t="shared" si="991"/>
        <v>60455.840422369634</v>
      </c>
      <c r="CH385" s="589">
        <f t="shared" si="1061"/>
        <v>1.5405994598604088E-3</v>
      </c>
      <c r="CI385" s="196">
        <f t="shared" si="1025"/>
        <v>152902.35347412928</v>
      </c>
      <c r="CJ385" s="248">
        <f t="shared" si="1062"/>
        <v>2.513714302997197E-3</v>
      </c>
      <c r="CK385" s="196">
        <f t="shared" si="1026"/>
        <v>124123.78030688311</v>
      </c>
      <c r="CL385" s="589">
        <f t="shared" si="1063"/>
        <v>1.7843048730837975E-3</v>
      </c>
      <c r="CM385" s="196">
        <f t="shared" si="1027"/>
        <v>24083.915510271625</v>
      </c>
      <c r="CN385" s="589">
        <f t="shared" si="1064"/>
        <v>3.4707659303255599E-3</v>
      </c>
      <c r="CO385" s="196">
        <f t="shared" si="1028"/>
        <v>961.96879598095097</v>
      </c>
      <c r="CP385" s="589">
        <f t="shared" si="1065"/>
        <v>1.8141249787483093E-3</v>
      </c>
      <c r="CQ385" s="196">
        <f>'Detailed Budget'!$AC$12</f>
        <v>292876014141.44696</v>
      </c>
      <c r="CR385" s="269">
        <f t="shared" si="1066"/>
        <v>1378550719.0905149</v>
      </c>
      <c r="CS385" s="269">
        <f>'Detailed Budget'!$AC$16</f>
        <v>10488008800.000002</v>
      </c>
      <c r="CT385" s="607">
        <f t="shared" si="992"/>
        <v>49366454.47456903</v>
      </c>
      <c r="CU385" s="269">
        <f>'Detailed Budget'!$AC$24</f>
        <v>30624985696</v>
      </c>
      <c r="CV385" s="269">
        <f t="shared" si="976"/>
        <v>144150063.55886811</v>
      </c>
      <c r="CW385" s="269"/>
      <c r="CX385" s="269">
        <f t="shared" si="1057"/>
        <v>1572067237.1239522</v>
      </c>
      <c r="CY385" s="196">
        <f>'Detailed Budget'!$AC$97</f>
        <v>74629165494.837845</v>
      </c>
      <c r="CZ385" s="269">
        <f t="shared" si="993"/>
        <v>0</v>
      </c>
      <c r="DA385" s="269">
        <f>'Detailed Budget'!$AC$100</f>
        <v>14925833098.967569</v>
      </c>
      <c r="DB385" s="269">
        <f t="shared" si="994"/>
        <v>0</v>
      </c>
      <c r="DC385" s="269">
        <f t="shared" si="1046"/>
        <v>0</v>
      </c>
      <c r="DD385" s="207">
        <v>0</v>
      </c>
      <c r="DE385" s="606">
        <v>0</v>
      </c>
      <c r="DF385" s="269">
        <f>'Detailed Budget'!$AC$147</f>
        <v>5913600671000</v>
      </c>
      <c r="DG385" s="269">
        <f t="shared" si="971"/>
        <v>0</v>
      </c>
      <c r="DH385" s="269">
        <f>'Detailed Budget'!$AC$153</f>
        <v>226428026880.00003</v>
      </c>
      <c r="DI385" s="269"/>
      <c r="DJ385" s="269">
        <f>'Detailed Budget'!$AC$156</f>
        <v>27713070000</v>
      </c>
      <c r="DK385" s="269"/>
      <c r="DL385" s="269"/>
      <c r="DM385" s="196">
        <f>'Detailed Budget'!$AC$178</f>
        <v>5622683761.6229038</v>
      </c>
      <c r="DN385" s="269">
        <f t="shared" si="1029"/>
        <v>25088740.778259445</v>
      </c>
      <c r="DO385" s="196">
        <f>'Detailed Budget'!$AC$179</f>
        <v>26827890683.128094</v>
      </c>
      <c r="DP385" s="269">
        <f t="shared" si="1030"/>
        <v>119707603.97972673</v>
      </c>
      <c r="DQ385" s="269">
        <f t="shared" si="1008"/>
        <v>144796344.75798619</v>
      </c>
      <c r="DR385" s="269">
        <f>'Detailed Budget'!$AC$181</f>
        <v>50888946855.375237</v>
      </c>
      <c r="DS385" s="269">
        <f t="shared" si="1031"/>
        <v>184919056.72588348</v>
      </c>
      <c r="DT385" s="269">
        <f t="shared" si="1032"/>
        <v>329715401.48386967</v>
      </c>
      <c r="DU385" s="272">
        <f>'Detailed Budget'!$AC$192</f>
        <v>77498869683.252869</v>
      </c>
      <c r="DV385" s="269">
        <f t="shared" si="995"/>
        <v>0</v>
      </c>
      <c r="DW385" s="140">
        <f>'Detailed Budget'!$AC$194</f>
        <v>2684962805.4134097</v>
      </c>
      <c r="DX385" s="269">
        <f t="shared" si="996"/>
        <v>0</v>
      </c>
      <c r="DY385" s="607">
        <f t="shared" si="1047"/>
        <v>0</v>
      </c>
      <c r="DZ385" s="196">
        <f>'Detailed Budget'!$AC$198</f>
        <v>18732540018.380611</v>
      </c>
      <c r="EA385" s="269">
        <f t="shared" si="1013"/>
        <v>40630664.59237536</v>
      </c>
      <c r="EB385" s="196">
        <f>'Detailed Budget'!$AC$200</f>
        <v>4683135004.5951529</v>
      </c>
      <c r="EC385" s="269">
        <f t="shared" si="997"/>
        <v>10157666.14809384</v>
      </c>
      <c r="ED385" s="269">
        <f t="shared" si="1048"/>
        <v>50788330.740469202</v>
      </c>
      <c r="EE385" s="196">
        <f>'Detailed Budget'!$AC$161</f>
        <v>251147290106.36197</v>
      </c>
      <c r="EF385" s="269">
        <f t="shared" si="998"/>
        <v>386917379.48326665</v>
      </c>
      <c r="EG385" s="196">
        <f>'Detailed Budget'!$AC$163</f>
        <v>15696705631.647623</v>
      </c>
      <c r="EH385" s="269">
        <f t="shared" si="999"/>
        <v>24182336.217704166</v>
      </c>
      <c r="EI385" s="269">
        <f t="shared" si="1049"/>
        <v>411099715.70097083</v>
      </c>
      <c r="EJ385" s="196">
        <f>'Detailed Budget'!$AC$204</f>
        <v>45012172507.531975</v>
      </c>
      <c r="EK385" s="269">
        <f t="shared" si="1000"/>
        <v>113147741.84116033</v>
      </c>
      <c r="EL385" s="201">
        <f>'Detailed Budget'!$AC$206</f>
        <v>11253043126.882994</v>
      </c>
      <c r="EM385" s="269">
        <f t="shared" si="1001"/>
        <v>28286935.460290082</v>
      </c>
      <c r="EN385" s="269">
        <f t="shared" si="1050"/>
        <v>141434677.3014504</v>
      </c>
      <c r="EO385" s="140">
        <f>'Detailed Budget'!$AC$209</f>
        <v>135789361677.54817</v>
      </c>
      <c r="EP385" s="269">
        <f t="shared" si="1002"/>
        <v>242289619.75418746</v>
      </c>
      <c r="EQ385" s="196">
        <f>'Detailed Budget'!$AC$211</f>
        <v>33947340419.387043</v>
      </c>
      <c r="ER385" s="269">
        <f t="shared" si="1003"/>
        <v>60572404.938546866</v>
      </c>
      <c r="ES385" s="269">
        <f t="shared" si="1051"/>
        <v>302862024.69273436</v>
      </c>
      <c r="ET385" s="196">
        <f>'Detailed Budget'!$AC$214</f>
        <v>22239745544.201103</v>
      </c>
      <c r="EU385" s="269">
        <f t="shared" si="1004"/>
        <v>77188951.13392286</v>
      </c>
      <c r="EV385" s="140">
        <f>'Detailed Budget'!$AC$217</f>
        <v>5559936386.0502758</v>
      </c>
      <c r="EW385" s="269">
        <f t="shared" si="1005"/>
        <v>19297237.783480715</v>
      </c>
      <c r="EX385" s="269">
        <f t="shared" si="1052"/>
        <v>96486188.917403579</v>
      </c>
      <c r="EY385" s="196">
        <f>'Detailed Budget'!$AC$219</f>
        <v>372777004.58170313</v>
      </c>
      <c r="EZ385" s="269">
        <f t="shared" si="1006"/>
        <v>676264.07551464054</v>
      </c>
      <c r="FA385" s="196">
        <f>'Detailed Budget'!$AC$222</f>
        <v>93194251.145425782</v>
      </c>
      <c r="FB385" s="269">
        <f t="shared" si="1007"/>
        <v>169066.01887866014</v>
      </c>
      <c r="FC385" s="269">
        <f t="shared" si="1053"/>
        <v>845330.09439330071</v>
      </c>
      <c r="FD385" s="269"/>
      <c r="FE385" s="269">
        <f t="shared" si="1054"/>
        <v>541628221.00598156</v>
      </c>
      <c r="FF385" s="140">
        <f>'Detailed Budget'!$AC$165</f>
        <v>14927760000</v>
      </c>
      <c r="FG385" s="1087">
        <f t="shared" si="972"/>
        <v>738816745.91123247</v>
      </c>
      <c r="FH385" s="269">
        <f t="shared" si="1014"/>
        <v>18657579.820474949</v>
      </c>
      <c r="FJ385" s="140">
        <f>'Detailed Budget'!$AC$235</f>
        <v>3623696172</v>
      </c>
      <c r="FK385" s="269">
        <f t="shared" si="1015"/>
        <v>4681778</v>
      </c>
      <c r="FL385" s="269">
        <f t="shared" si="973"/>
        <v>4681778</v>
      </c>
      <c r="FO385" s="607"/>
      <c r="FP385" s="607"/>
      <c r="FQ385" s="607"/>
      <c r="FR385" s="269">
        <f>'Detailed Budget'!$AC$257</f>
        <v>13636439388</v>
      </c>
      <c r="FS385" s="269">
        <f t="shared" si="1016"/>
        <v>27481740</v>
      </c>
      <c r="FT385" s="269">
        <f t="shared" si="974"/>
        <v>27481740</v>
      </c>
      <c r="FU385" s="269"/>
      <c r="FV385" s="269"/>
      <c r="FW385" s="269"/>
      <c r="FX385" s="140">
        <f>'Detailed Budget'!$AC$278</f>
        <v>1114560000</v>
      </c>
      <c r="FY385" s="269">
        <f t="shared" si="1017"/>
        <v>1440000</v>
      </c>
      <c r="FZ385" s="269">
        <f t="shared" si="975"/>
        <v>1440000</v>
      </c>
      <c r="GB385" s="269">
        <f t="shared" si="983"/>
        <v>3696376749.7869511</v>
      </c>
      <c r="GC385" s="887">
        <f t="shared" si="1055"/>
        <v>2310235.4686168446</v>
      </c>
      <c r="GD385" s="1078">
        <f t="shared" si="984"/>
        <v>2.0741533898935029E-3</v>
      </c>
    </row>
    <row r="386" spans="1:186" hidden="1" outlineLevel="1">
      <c r="A386" s="211" t="s">
        <v>911</v>
      </c>
      <c r="B386" s="212" t="s">
        <v>912</v>
      </c>
      <c r="C386" s="213" t="s">
        <v>215</v>
      </c>
      <c r="D386" s="214" t="s">
        <v>215</v>
      </c>
      <c r="E386" s="213"/>
      <c r="F386" s="213"/>
      <c r="G386" s="213"/>
      <c r="H386" s="213" t="s">
        <v>215</v>
      </c>
      <c r="I386" s="214" t="s">
        <v>215</v>
      </c>
      <c r="J386" s="214"/>
      <c r="K386" s="213" t="s">
        <v>215</v>
      </c>
      <c r="L386" s="213"/>
      <c r="M386" s="214"/>
      <c r="N386" s="213"/>
      <c r="O386" s="214"/>
      <c r="P386" s="213"/>
      <c r="Q386" s="214"/>
      <c r="R386" s="214" t="s">
        <v>215</v>
      </c>
      <c r="S386" s="214"/>
      <c r="T386" s="214"/>
      <c r="U386" s="215">
        <f t="shared" si="1018"/>
        <v>6</v>
      </c>
      <c r="V386" s="845" t="s">
        <v>219</v>
      </c>
      <c r="W386" s="216">
        <v>169148</v>
      </c>
      <c r="X386" s="217">
        <v>3.04</v>
      </c>
      <c r="Y386" s="218">
        <f t="shared" si="986"/>
        <v>1.0304</v>
      </c>
      <c r="Z386" s="196">
        <v>19</v>
      </c>
      <c r="AA386" s="218">
        <f t="shared" si="987"/>
        <v>1.7664898659259882</v>
      </c>
      <c r="AB386" s="196">
        <f t="shared" si="1009"/>
        <v>298798.22784164903</v>
      </c>
      <c r="AC386">
        <v>20.8</v>
      </c>
      <c r="AD386" s="196">
        <f t="shared" si="1010"/>
        <v>62150.031391062999</v>
      </c>
      <c r="AE386" s="196">
        <f t="shared" si="990"/>
        <v>59042.529821509845</v>
      </c>
      <c r="AF386" s="196">
        <f t="shared" si="1019"/>
        <v>59042.529821509845</v>
      </c>
      <c r="AG386" s="606">
        <f t="shared" si="1058"/>
        <v>2.7298673773839643E-3</v>
      </c>
      <c r="AH386" s="196">
        <f t="shared" si="1033"/>
        <v>14939.911392082453</v>
      </c>
      <c r="AI386" s="248">
        <f t="shared" si="1034"/>
        <v>1.1573722993678535E-3</v>
      </c>
      <c r="AJ386" s="196">
        <f t="shared" si="1038"/>
        <v>77089.942783145452</v>
      </c>
      <c r="AK386" s="196">
        <f t="shared" si="1067"/>
        <v>11951.929113665961</v>
      </c>
      <c r="AL386" s="196">
        <f t="shared" si="1068"/>
        <v>11951.929113665961</v>
      </c>
      <c r="AM386" s="196">
        <f t="shared" si="1039"/>
        <v>23903.858227331923</v>
      </c>
      <c r="AN386" s="627">
        <f t="shared" si="1040"/>
        <v>1.1573722993678535E-3</v>
      </c>
      <c r="AO386" s="196">
        <f t="shared" si="1041"/>
        <v>11354.332657982663</v>
      </c>
      <c r="AP386" s="589">
        <f t="shared" si="1059"/>
        <v>1.1573722993678533E-3</v>
      </c>
      <c r="AQ386" s="196"/>
      <c r="AR386" s="589"/>
      <c r="AS386">
        <v>1</v>
      </c>
      <c r="AT386" s="589">
        <f t="shared" si="1060"/>
        <v>1.2919896640826874E-3</v>
      </c>
      <c r="AU386" s="196">
        <v>11</v>
      </c>
      <c r="AV386" s="245">
        <f t="shared" si="1042"/>
        <v>1.2498579706851495E-3</v>
      </c>
      <c r="AX386" s="245"/>
      <c r="AY386" s="245"/>
      <c r="AZ386" s="196">
        <v>51</v>
      </c>
      <c r="BA386" s="589">
        <f t="shared" si="977"/>
        <v>1.8687479388809498E-3</v>
      </c>
      <c r="BI386" s="196">
        <v>0</v>
      </c>
      <c r="BJ386" s="196">
        <f t="shared" si="1020"/>
        <v>185432.27799544082</v>
      </c>
      <c r="BK386" s="246">
        <f t="shared" si="978"/>
        <v>3.5360816630024342E-3</v>
      </c>
      <c r="BL386" s="196">
        <f t="shared" si="1035"/>
        <v>3708.6455599088163</v>
      </c>
      <c r="BM386" s="246">
        <f t="shared" si="979"/>
        <v>3.536081258416817E-3</v>
      </c>
      <c r="BN386" s="196">
        <v>0</v>
      </c>
      <c r="BO386" s="196">
        <f t="shared" si="1021"/>
        <v>23072.050976847007</v>
      </c>
      <c r="BP386" s="196">
        <f t="shared" si="1043"/>
        <v>0</v>
      </c>
      <c r="BQ386" s="248">
        <f t="shared" si="980"/>
        <v>0</v>
      </c>
      <c r="BR386" s="248"/>
      <c r="BS386" s="248"/>
      <c r="BT386" s="276">
        <v>1</v>
      </c>
      <c r="BU386" s="196">
        <f t="shared" si="1036"/>
        <v>48327.864409690592</v>
      </c>
      <c r="BV386" s="264">
        <f t="shared" si="981"/>
        <v>3.3521122160092101E-3</v>
      </c>
      <c r="BW386" s="196">
        <f t="shared" si="1037"/>
        <v>206735.86441923198</v>
      </c>
      <c r="BX386" s="247">
        <f t="shared" si="982"/>
        <v>3.3521122462051652E-3</v>
      </c>
      <c r="BY386" s="196">
        <f t="shared" si="985"/>
        <v>255063.72882892255</v>
      </c>
      <c r="BZ386" s="620">
        <v>0</v>
      </c>
      <c r="CA386" s="196">
        <f t="shared" si="1022"/>
        <v>91432.257719544607</v>
      </c>
      <c r="CB386" s="196">
        <f t="shared" si="1023"/>
        <v>182864.51543908921</v>
      </c>
      <c r="CC386" s="196">
        <f t="shared" si="1056"/>
        <v>274296.77315863385</v>
      </c>
      <c r="CD386" s="247">
        <f t="shared" si="1044"/>
        <v>1.1573722993678535E-3</v>
      </c>
      <c r="CE386" s="196">
        <f t="shared" si="1024"/>
        <v>37733.464648871421</v>
      </c>
      <c r="CF386" s="247">
        <f t="shared" si="1045"/>
        <v>1.6294483525631214E-3</v>
      </c>
      <c r="CG386" s="196">
        <f t="shared" si="991"/>
        <v>45417.33063193065</v>
      </c>
      <c r="CH386" s="589">
        <f t="shared" si="1061"/>
        <v>1.1573722993678533E-3</v>
      </c>
      <c r="CI386" s="196">
        <f t="shared" si="1025"/>
        <v>114867.59085008623</v>
      </c>
      <c r="CJ386" s="248">
        <f t="shared" si="1062"/>
        <v>1.8884229020029214E-3</v>
      </c>
      <c r="CK386" s="196">
        <f t="shared" si="1026"/>
        <v>93247.744636379502</v>
      </c>
      <c r="CL386" s="589">
        <f t="shared" si="1063"/>
        <v>1.3404555093907253E-3</v>
      </c>
      <c r="CM386" s="196">
        <f t="shared" si="1027"/>
        <v>18092.99392746107</v>
      </c>
      <c r="CN386" s="589">
        <f t="shared" si="1064"/>
        <v>2.6074060455093702E-3</v>
      </c>
      <c r="CO386" s="196">
        <f t="shared" si="1028"/>
        <v>722.67715673837642</v>
      </c>
      <c r="CP386" s="589">
        <f t="shared" si="1065"/>
        <v>1.3628578048345103E-3</v>
      </c>
      <c r="CQ386" s="196">
        <f>'Detailed Budget'!$AC$12</f>
        <v>292876014141.44696</v>
      </c>
      <c r="CR386" s="269">
        <f t="shared" si="1066"/>
        <v>1035633503.1388122</v>
      </c>
      <c r="CS386" s="269">
        <f>'Detailed Budget'!$AC$16</f>
        <v>10488008800.000002</v>
      </c>
      <c r="CT386" s="607">
        <f t="shared" si="992"/>
        <v>37086451.35579066</v>
      </c>
      <c r="CU386" s="269">
        <f>'Detailed Budget'!$AC$24</f>
        <v>30624985696</v>
      </c>
      <c r="CV386" s="269">
        <f t="shared" si="976"/>
        <v>108292450.34933744</v>
      </c>
      <c r="CW386" s="269"/>
      <c r="CX386" s="269">
        <f t="shared" si="1057"/>
        <v>1181012404.8439403</v>
      </c>
      <c r="CY386" s="196">
        <f>'Detailed Budget'!$AC$97</f>
        <v>74629165494.837845</v>
      </c>
      <c r="CZ386" s="269">
        <f t="shared" si="993"/>
        <v>0</v>
      </c>
      <c r="DA386" s="269">
        <f>'Detailed Budget'!$AC$100</f>
        <v>14925833098.967569</v>
      </c>
      <c r="DB386" s="269">
        <f t="shared" si="994"/>
        <v>0</v>
      </c>
      <c r="DC386" s="269">
        <f t="shared" si="1046"/>
        <v>0</v>
      </c>
      <c r="DD386" s="207">
        <v>0</v>
      </c>
      <c r="DE386" s="606">
        <v>0</v>
      </c>
      <c r="DF386" s="269">
        <f>'Detailed Budget'!$AC$147</f>
        <v>5913600671000</v>
      </c>
      <c r="DG386" s="269">
        <f t="shared" si="971"/>
        <v>0</v>
      </c>
      <c r="DH386" s="269">
        <f>'Detailed Budget'!$AC$153</f>
        <v>226428026880.00003</v>
      </c>
      <c r="DI386" s="269"/>
      <c r="DJ386" s="269">
        <f>'Detailed Budget'!$AC$156</f>
        <v>27713070000</v>
      </c>
      <c r="DK386" s="269"/>
      <c r="DL386" s="269"/>
      <c r="DM386" s="196">
        <f>'Detailed Budget'!$AC$178</f>
        <v>5622683761.6229038</v>
      </c>
      <c r="DN386" s="269">
        <f t="shared" si="1029"/>
        <v>18847866.924092755</v>
      </c>
      <c r="DO386" s="196">
        <f>'Detailed Budget'!$AC$179</f>
        <v>26827890683.128094</v>
      </c>
      <c r="DP386" s="269">
        <f t="shared" si="1030"/>
        <v>89930100.898767143</v>
      </c>
      <c r="DQ386" s="269">
        <f t="shared" si="1008"/>
        <v>108777967.8228599</v>
      </c>
      <c r="DR386" s="269">
        <f>'Detailed Budget'!$AC$181</f>
        <v>50888946855.375237</v>
      </c>
      <c r="DS386" s="269">
        <f t="shared" si="1031"/>
        <v>138920075.88991514</v>
      </c>
      <c r="DT386" s="269">
        <f t="shared" si="1032"/>
        <v>247698043.71277505</v>
      </c>
      <c r="DU386" s="272">
        <f>'Detailed Budget'!$AC$192</f>
        <v>77498869683.252869</v>
      </c>
      <c r="DV386" s="269">
        <f t="shared" si="995"/>
        <v>0</v>
      </c>
      <c r="DW386" s="140">
        <f>'Detailed Budget'!$AC$194</f>
        <v>2684962805.4134097</v>
      </c>
      <c r="DX386" s="269">
        <f t="shared" si="996"/>
        <v>0</v>
      </c>
      <c r="DY386" s="607">
        <f t="shared" si="1047"/>
        <v>0</v>
      </c>
      <c r="DZ386" s="196">
        <f>'Detailed Budget'!$AC$198</f>
        <v>18732540018.380611</v>
      </c>
      <c r="EA386" s="269">
        <f t="shared" si="1013"/>
        <v>30523706.472273033</v>
      </c>
      <c r="EB386" s="196">
        <f>'Detailed Budget'!$AC$200</f>
        <v>4683135004.5951529</v>
      </c>
      <c r="EC386" s="269">
        <f t="shared" si="997"/>
        <v>7630926.6180682583</v>
      </c>
      <c r="ED386" s="269">
        <f t="shared" si="1048"/>
        <v>38154633.090341292</v>
      </c>
      <c r="EE386" s="196">
        <f>'Detailed Budget'!$AC$161</f>
        <v>251147290106.36197</v>
      </c>
      <c r="EF386" s="269">
        <f t="shared" si="998"/>
        <v>290670916.63040543</v>
      </c>
      <c r="EG386" s="196">
        <f>'Detailed Budget'!$AC$163</f>
        <v>15696705631.647623</v>
      </c>
      <c r="EH386" s="269">
        <f t="shared" si="999"/>
        <v>18166932.289400339</v>
      </c>
      <c r="EI386" s="269">
        <f t="shared" si="1049"/>
        <v>308837848.91980577</v>
      </c>
      <c r="EJ386" s="196">
        <f>'Detailed Budget'!$AC$204</f>
        <v>45012172507.531975</v>
      </c>
      <c r="EK386" s="269">
        <f t="shared" si="1000"/>
        <v>85002017.432129651</v>
      </c>
      <c r="EL386" s="201">
        <f>'Detailed Budget'!$AC$206</f>
        <v>11253043126.882994</v>
      </c>
      <c r="EM386" s="269">
        <f t="shared" si="1001"/>
        <v>21250504.358032413</v>
      </c>
      <c r="EN386" s="269">
        <f t="shared" si="1050"/>
        <v>106252521.79016206</v>
      </c>
      <c r="EO386" s="140">
        <f>'Detailed Budget'!$AC$209</f>
        <v>135789361677.54817</v>
      </c>
      <c r="EP386" s="269">
        <f t="shared" si="1002"/>
        <v>182019597.97731927</v>
      </c>
      <c r="EQ386" s="196">
        <f>'Detailed Budget'!$AC$211</f>
        <v>33947340419.387043</v>
      </c>
      <c r="ER386" s="269">
        <f t="shared" si="1003"/>
        <v>45504899.494329818</v>
      </c>
      <c r="ES386" s="269">
        <f t="shared" si="1051"/>
        <v>227524497.47164908</v>
      </c>
      <c r="ET386" s="196">
        <f>'Detailed Budget'!$AC$214</f>
        <v>22239745544.201103</v>
      </c>
      <c r="EU386" s="269">
        <f t="shared" si="1004"/>
        <v>57988046.982540034</v>
      </c>
      <c r="EV386" s="140">
        <f>'Detailed Budget'!$AC$217</f>
        <v>5559936386.0502758</v>
      </c>
      <c r="EW386" s="269">
        <f t="shared" si="1005"/>
        <v>14497011.745635008</v>
      </c>
      <c r="EX386" s="269">
        <f t="shared" si="1052"/>
        <v>72485058.728175044</v>
      </c>
      <c r="EY386" s="196">
        <f>'Detailed Budget'!$AC$219</f>
        <v>372777004.58170313</v>
      </c>
      <c r="EZ386" s="269">
        <f t="shared" si="1006"/>
        <v>508042.05015700409</v>
      </c>
      <c r="FA386" s="196">
        <f>'Detailed Budget'!$AC$222</f>
        <v>93194251.145425782</v>
      </c>
      <c r="FB386" s="269">
        <f t="shared" si="1007"/>
        <v>127010.51253925102</v>
      </c>
      <c r="FC386" s="269">
        <f t="shared" si="1053"/>
        <v>635052.56269625516</v>
      </c>
      <c r="FD386" s="269"/>
      <c r="FE386" s="269">
        <f t="shared" si="1054"/>
        <v>406897130.55268246</v>
      </c>
      <c r="FF386" s="140">
        <f>'Detailed Budget'!$AC$165</f>
        <v>14927760000</v>
      </c>
      <c r="FG386" s="1087">
        <f t="shared" si="972"/>
        <v>555034620.16287887</v>
      </c>
      <c r="FH386" s="269">
        <f t="shared" si="1014"/>
        <v>18657579.820474949</v>
      </c>
      <c r="FJ386" s="140">
        <f>'Detailed Budget'!$AC$235</f>
        <v>3623696172</v>
      </c>
      <c r="FK386" s="269">
        <f t="shared" si="1015"/>
        <v>4681778</v>
      </c>
      <c r="FL386" s="269">
        <f t="shared" si="973"/>
        <v>4681778</v>
      </c>
      <c r="FO386" s="607"/>
      <c r="FP386" s="607"/>
      <c r="FQ386" s="607"/>
      <c r="FR386" s="269">
        <f>'Detailed Budget'!$AC$257</f>
        <v>13636439388</v>
      </c>
      <c r="FS386" s="269">
        <f t="shared" si="1016"/>
        <v>25483068</v>
      </c>
      <c r="FT386" s="269">
        <f t="shared" si="974"/>
        <v>25483068</v>
      </c>
      <c r="FU386" s="269"/>
      <c r="FV386" s="269"/>
      <c r="FW386" s="269"/>
      <c r="FX386" s="140">
        <f>'Detailed Budget'!$AC$278</f>
        <v>1114560000</v>
      </c>
      <c r="FY386" s="269">
        <f t="shared" si="1017"/>
        <v>1440000</v>
      </c>
      <c r="FZ386" s="269">
        <f t="shared" si="975"/>
        <v>1440000</v>
      </c>
      <c r="GB386" s="269">
        <f t="shared" si="983"/>
        <v>2787897107.1028991</v>
      </c>
      <c r="GC386" s="887">
        <f t="shared" si="1055"/>
        <v>1742435.691939312</v>
      </c>
      <c r="GD386" s="1078">
        <f t="shared" si="984"/>
        <v>1.564376855174478E-3</v>
      </c>
    </row>
    <row r="387" spans="1:186" hidden="1" outlineLevel="1">
      <c r="A387" s="211" t="s">
        <v>913</v>
      </c>
      <c r="B387" s="212" t="s">
        <v>914</v>
      </c>
      <c r="C387" s="213" t="s">
        <v>215</v>
      </c>
      <c r="D387" s="214" t="s">
        <v>215</v>
      </c>
      <c r="E387" s="213"/>
      <c r="F387" s="213"/>
      <c r="G387" s="213"/>
      <c r="H387" s="213" t="s">
        <v>215</v>
      </c>
      <c r="I387" s="214" t="s">
        <v>215</v>
      </c>
      <c r="J387" s="214"/>
      <c r="K387" s="213" t="s">
        <v>215</v>
      </c>
      <c r="L387" s="213"/>
      <c r="M387" s="214"/>
      <c r="N387" s="213"/>
      <c r="O387" s="214"/>
      <c r="P387" s="213"/>
      <c r="Q387" s="214"/>
      <c r="R387" s="214" t="s">
        <v>215</v>
      </c>
      <c r="S387" s="214"/>
      <c r="T387" s="214"/>
      <c r="U387" s="215">
        <f t="shared" si="1018"/>
        <v>6</v>
      </c>
      <c r="V387" s="845" t="s">
        <v>219</v>
      </c>
      <c r="W387" s="216">
        <v>167435</v>
      </c>
      <c r="X387" s="217">
        <v>3.04</v>
      </c>
      <c r="Y387" s="218">
        <f t="shared" si="986"/>
        <v>1.0304</v>
      </c>
      <c r="Z387" s="196">
        <v>19</v>
      </c>
      <c r="AA387" s="218">
        <f t="shared" si="987"/>
        <v>1.7664898659259882</v>
      </c>
      <c r="AB387" s="196">
        <f t="shared" si="1009"/>
        <v>295772.23070131784</v>
      </c>
      <c r="AC387">
        <v>20.8</v>
      </c>
      <c r="AD387" s="196">
        <f t="shared" si="1010"/>
        <v>61520.62398587411</v>
      </c>
      <c r="AE387" s="196">
        <f t="shared" si="990"/>
        <v>58444.592786580404</v>
      </c>
      <c r="AF387" s="196">
        <f t="shared" si="1019"/>
        <v>58444.592786580404</v>
      </c>
      <c r="AG387" s="606">
        <f t="shared" si="1058"/>
        <v>2.7022213938815956E-3</v>
      </c>
      <c r="AH387" s="196">
        <f t="shared" si="1033"/>
        <v>14788.611535065893</v>
      </c>
      <c r="AI387" s="248">
        <f t="shared" si="1034"/>
        <v>1.1456513286864554E-3</v>
      </c>
      <c r="AJ387" s="196">
        <f t="shared" si="1038"/>
        <v>76309.235520939998</v>
      </c>
      <c r="AK387" s="196">
        <f t="shared" si="1067"/>
        <v>11830.889228052714</v>
      </c>
      <c r="AL387" s="196">
        <f t="shared" si="1068"/>
        <v>11830.889228052714</v>
      </c>
      <c r="AM387" s="196">
        <f t="shared" si="1039"/>
        <v>23661.778456105429</v>
      </c>
      <c r="AN387" s="627">
        <f t="shared" si="1040"/>
        <v>1.1456513286864554E-3</v>
      </c>
      <c r="AO387" s="196">
        <f t="shared" si="1041"/>
        <v>11239.344766650078</v>
      </c>
      <c r="AP387" s="589">
        <f t="shared" si="1059"/>
        <v>1.1456513286864554E-3</v>
      </c>
      <c r="AQ387" s="196"/>
      <c r="AR387" s="589"/>
      <c r="AS387">
        <v>1</v>
      </c>
      <c r="AT387" s="589">
        <f t="shared" si="1060"/>
        <v>1.2919896640826874E-3</v>
      </c>
      <c r="AU387" s="196">
        <v>11</v>
      </c>
      <c r="AV387" s="245">
        <f t="shared" si="1042"/>
        <v>1.2498579706851495E-3</v>
      </c>
      <c r="AX387" s="245"/>
      <c r="AY387" s="245"/>
      <c r="AZ387" s="196">
        <v>50</v>
      </c>
      <c r="BA387" s="589">
        <f t="shared" si="977"/>
        <v>1.8321058224323038E-3</v>
      </c>
      <c r="BI387" s="196">
        <v>0</v>
      </c>
      <c r="BJ387" s="196">
        <f t="shared" si="1020"/>
        <v>183554.36343419156</v>
      </c>
      <c r="BK387" s="246">
        <f t="shared" si="978"/>
        <v>3.5002709653369391E-3</v>
      </c>
      <c r="BL387" s="196">
        <f t="shared" si="1035"/>
        <v>3671.0872686838311</v>
      </c>
      <c r="BM387" s="246">
        <f t="shared" si="979"/>
        <v>3.500270564848652E-3</v>
      </c>
      <c r="BN387" s="196">
        <v>0</v>
      </c>
      <c r="BO387" s="196">
        <f t="shared" si="1021"/>
        <v>22838.395105519299</v>
      </c>
      <c r="BP387" s="196">
        <f t="shared" si="1043"/>
        <v>0</v>
      </c>
      <c r="BQ387" s="248">
        <f t="shared" si="980"/>
        <v>0</v>
      </c>
      <c r="BR387" s="248"/>
      <c r="BS387" s="248"/>
      <c r="BT387" s="276">
        <v>1</v>
      </c>
      <c r="BU387" s="196">
        <f t="shared" si="1036"/>
        <v>47838.437211415709</v>
      </c>
      <c r="BV387" s="264">
        <f t="shared" si="981"/>
        <v>3.3181646184850077E-3</v>
      </c>
      <c r="BW387" s="196">
        <f t="shared" si="1037"/>
        <v>204642.20362661168</v>
      </c>
      <c r="BX387" s="247">
        <f t="shared" si="982"/>
        <v>3.3181646483751623E-3</v>
      </c>
      <c r="BY387" s="196">
        <f t="shared" si="985"/>
        <v>252480.64083802738</v>
      </c>
      <c r="BZ387" s="620">
        <v>0</v>
      </c>
      <c r="CA387" s="196">
        <f t="shared" si="1022"/>
        <v>90506.302594603258</v>
      </c>
      <c r="CB387" s="196">
        <f t="shared" si="1023"/>
        <v>181012.60518920652</v>
      </c>
      <c r="CC387" s="196">
        <f t="shared" si="1056"/>
        <v>271518.90778380976</v>
      </c>
      <c r="CD387" s="247">
        <f t="shared" si="1044"/>
        <v>1.1456513286864554E-3</v>
      </c>
      <c r="CE387" s="196">
        <f t="shared" si="1024"/>
        <v>37351.329329840068</v>
      </c>
      <c r="CF387" s="247">
        <f t="shared" si="1045"/>
        <v>1.6129465610672683E-3</v>
      </c>
      <c r="CG387" s="196">
        <f t="shared" si="991"/>
        <v>44957.379066600311</v>
      </c>
      <c r="CH387" s="589">
        <f t="shared" si="1061"/>
        <v>1.1456513286864554E-3</v>
      </c>
      <c r="CI387" s="196">
        <f t="shared" si="1025"/>
        <v>113704.30081339531</v>
      </c>
      <c r="CJ387" s="248">
        <f t="shared" si="1062"/>
        <v>1.8692984167525434E-3</v>
      </c>
      <c r="CK387" s="196">
        <f t="shared" si="1026"/>
        <v>92303.403665382997</v>
      </c>
      <c r="CL387" s="589">
        <f t="shared" si="1063"/>
        <v>1.3268804136899999E-3</v>
      </c>
      <c r="CM387" s="196">
        <f t="shared" si="1027"/>
        <v>17909.762091449171</v>
      </c>
      <c r="CN387" s="589">
        <f t="shared" si="1064"/>
        <v>2.5810002555741803E-3</v>
      </c>
      <c r="CO387" s="196">
        <f t="shared" si="1028"/>
        <v>715.35844194723006</v>
      </c>
      <c r="CP387" s="589">
        <f t="shared" si="1065"/>
        <v>1.3490558360280125E-3</v>
      </c>
      <c r="CQ387" s="196">
        <f>'Detailed Budget'!$AC$12</f>
        <v>292876014141.44696</v>
      </c>
      <c r="CR387" s="269">
        <f t="shared" si="1066"/>
        <v>1025145408.7429175</v>
      </c>
      <c r="CS387" s="269">
        <f>'Detailed Budget'!$AC$16</f>
        <v>10488008800.000002</v>
      </c>
      <c r="CT387" s="607">
        <f t="shared" si="992"/>
        <v>36710868.486513637</v>
      </c>
      <c r="CU387" s="269">
        <f>'Detailed Budget'!$AC$24</f>
        <v>30624985696</v>
      </c>
      <c r="CV387" s="269">
        <f t="shared" si="976"/>
        <v>107195748.24556787</v>
      </c>
      <c r="CW387" s="269"/>
      <c r="CX387" s="269">
        <f t="shared" si="1057"/>
        <v>1169052025.474999</v>
      </c>
      <c r="CY387" s="196">
        <f>'Detailed Budget'!$AC$97</f>
        <v>74629165494.837845</v>
      </c>
      <c r="CZ387" s="269">
        <f t="shared" si="993"/>
        <v>0</v>
      </c>
      <c r="DA387" s="269">
        <f>'Detailed Budget'!$AC$100</f>
        <v>14925833098.967569</v>
      </c>
      <c r="DB387" s="269">
        <f t="shared" si="994"/>
        <v>0</v>
      </c>
      <c r="DC387" s="269">
        <f t="shared" si="1046"/>
        <v>0</v>
      </c>
      <c r="DD387" s="207">
        <v>0</v>
      </c>
      <c r="DE387" s="606">
        <v>0</v>
      </c>
      <c r="DF387" s="269">
        <f>'Detailed Budget'!$AC$147</f>
        <v>5913600671000</v>
      </c>
      <c r="DG387" s="269">
        <f t="shared" si="971"/>
        <v>0</v>
      </c>
      <c r="DH387" s="269">
        <f>'Detailed Budget'!$AC$153</f>
        <v>226428026880.00003</v>
      </c>
      <c r="DI387" s="269"/>
      <c r="DJ387" s="269">
        <f>'Detailed Budget'!$AC$156</f>
        <v>27713070000</v>
      </c>
      <c r="DK387" s="269"/>
      <c r="DL387" s="269"/>
      <c r="DM387" s="196">
        <f>'Detailed Budget'!$AC$178</f>
        <v>5622683761.6229038</v>
      </c>
      <c r="DN387" s="269">
        <f t="shared" si="1029"/>
        <v>18656990.318747312</v>
      </c>
      <c r="DO387" s="196">
        <f>'Detailed Budget'!$AC$179</f>
        <v>26827890683.128094</v>
      </c>
      <c r="DP387" s="269">
        <f t="shared" si="1030"/>
        <v>89019358.455229029</v>
      </c>
      <c r="DQ387" s="269">
        <f t="shared" si="1008"/>
        <v>107676348.77397634</v>
      </c>
      <c r="DR387" s="269">
        <f>'Detailed Budget'!$AC$181</f>
        <v>50888946855.375237</v>
      </c>
      <c r="DS387" s="269">
        <f t="shared" si="1031"/>
        <v>137513200.90469852</v>
      </c>
      <c r="DT387" s="269">
        <f t="shared" si="1032"/>
        <v>245189549.67867488</v>
      </c>
      <c r="DU387" s="272">
        <f>'Detailed Budget'!$AC$192</f>
        <v>77498869683.252869</v>
      </c>
      <c r="DV387" s="269">
        <f t="shared" si="995"/>
        <v>0</v>
      </c>
      <c r="DW387" s="140">
        <f>'Detailed Budget'!$AC$194</f>
        <v>2684962805.4134097</v>
      </c>
      <c r="DX387" s="269">
        <f t="shared" si="996"/>
        <v>0</v>
      </c>
      <c r="DY387" s="607">
        <f t="shared" si="1047"/>
        <v>0</v>
      </c>
      <c r="DZ387" s="196">
        <f>'Detailed Budget'!$AC$198</f>
        <v>18732540018.380611</v>
      </c>
      <c r="EA387" s="269">
        <f t="shared" si="1013"/>
        <v>30214586.00270199</v>
      </c>
      <c r="EB387" s="196">
        <f>'Detailed Budget'!$AC$200</f>
        <v>4683135004.5951529</v>
      </c>
      <c r="EC387" s="269">
        <f t="shared" si="997"/>
        <v>7553646.5006754976</v>
      </c>
      <c r="ED387" s="269">
        <f t="shared" si="1048"/>
        <v>37768232.50337749</v>
      </c>
      <c r="EE387" s="196">
        <f>'Detailed Budget'!$AC$161</f>
        <v>251147290106.36197</v>
      </c>
      <c r="EF387" s="269">
        <f t="shared" si="998"/>
        <v>287727226.60635626</v>
      </c>
      <c r="EG387" s="196">
        <f>'Detailed Budget'!$AC$163</f>
        <v>15696705631.647623</v>
      </c>
      <c r="EH387" s="269">
        <f t="shared" si="999"/>
        <v>17982951.662897266</v>
      </c>
      <c r="EI387" s="269">
        <f t="shared" si="1049"/>
        <v>305710178.26925355</v>
      </c>
      <c r="EJ387" s="196">
        <f>'Detailed Budget'!$AC$204</f>
        <v>45012172507.531975</v>
      </c>
      <c r="EK387" s="269">
        <f t="shared" si="1000"/>
        <v>84141182.802921876</v>
      </c>
      <c r="EL387" s="201">
        <f>'Detailed Budget'!$AC$206</f>
        <v>11253043126.882994</v>
      </c>
      <c r="EM387" s="269">
        <f t="shared" si="1001"/>
        <v>21035295.700730469</v>
      </c>
      <c r="EN387" s="269">
        <f t="shared" si="1050"/>
        <v>105176478.50365235</v>
      </c>
      <c r="EO387" s="140">
        <f>'Detailed Budget'!$AC$209</f>
        <v>135789361677.54817</v>
      </c>
      <c r="EP387" s="269">
        <f t="shared" si="1002"/>
        <v>180176244.39740613</v>
      </c>
      <c r="EQ387" s="196">
        <f>'Detailed Budget'!$AC$211</f>
        <v>33947340419.387043</v>
      </c>
      <c r="ER387" s="269">
        <f t="shared" si="1003"/>
        <v>45044061.099351533</v>
      </c>
      <c r="ES387" s="269">
        <f t="shared" si="1051"/>
        <v>225220305.49675766</v>
      </c>
      <c r="ET387" s="196">
        <f>'Detailed Budget'!$AC$214</f>
        <v>22239745544.201103</v>
      </c>
      <c r="EU387" s="269">
        <f t="shared" si="1004"/>
        <v>57400788.933487788</v>
      </c>
      <c r="EV387" s="140">
        <f>'Detailed Budget'!$AC$217</f>
        <v>5559936386.0502758</v>
      </c>
      <c r="EW387" s="269">
        <f t="shared" si="1005"/>
        <v>14350197.233371947</v>
      </c>
      <c r="EX387" s="269">
        <f t="shared" si="1052"/>
        <v>71750986.166859731</v>
      </c>
      <c r="EY387" s="196">
        <f>'Detailed Budget'!$AC$219</f>
        <v>372777004.58170313</v>
      </c>
      <c r="EZ387" s="269">
        <f t="shared" si="1006"/>
        <v>502896.99356798775</v>
      </c>
      <c r="FA387" s="196">
        <f>'Detailed Budget'!$AC$222</f>
        <v>93194251.145425782</v>
      </c>
      <c r="FB387" s="269">
        <f t="shared" si="1007"/>
        <v>125724.24839199694</v>
      </c>
      <c r="FC387" s="269">
        <f t="shared" si="1053"/>
        <v>628621.24195998465</v>
      </c>
      <c r="FD387" s="269"/>
      <c r="FE387" s="269">
        <f t="shared" si="1054"/>
        <v>402776391.40922976</v>
      </c>
      <c r="FF387" s="140">
        <f>'Detailed Budget'!$AC$165</f>
        <v>14927760000</v>
      </c>
      <c r="FG387" s="1087">
        <f t="shared" si="972"/>
        <v>549413659.20360649</v>
      </c>
      <c r="FH387" s="269">
        <f t="shared" si="1014"/>
        <v>18657579.820474949</v>
      </c>
      <c r="FJ387" s="140">
        <f>'Detailed Budget'!$AC$235</f>
        <v>3623696172</v>
      </c>
      <c r="FK387" s="269">
        <f t="shared" si="1015"/>
        <v>4681778</v>
      </c>
      <c r="FL387" s="269">
        <f t="shared" si="973"/>
        <v>4681778</v>
      </c>
      <c r="FO387" s="607"/>
      <c r="FP387" s="607"/>
      <c r="FQ387" s="607"/>
      <c r="FR387" s="269">
        <f>'Detailed Budget'!$AC$257</f>
        <v>13636439388</v>
      </c>
      <c r="FS387" s="269">
        <f t="shared" si="1016"/>
        <v>24983400</v>
      </c>
      <c r="FT387" s="269">
        <f t="shared" si="974"/>
        <v>24983400</v>
      </c>
      <c r="FU387" s="269"/>
      <c r="FV387" s="269"/>
      <c r="FW387" s="269"/>
      <c r="FX387" s="140">
        <f>'Detailed Budget'!$AC$278</f>
        <v>1114560000</v>
      </c>
      <c r="FY387" s="269">
        <f t="shared" si="1017"/>
        <v>1440000</v>
      </c>
      <c r="FZ387" s="269">
        <f t="shared" si="975"/>
        <v>1440000</v>
      </c>
      <c r="GB387" s="269">
        <f t="shared" si="983"/>
        <v>2759672794.3596163</v>
      </c>
      <c r="GC387" s="887">
        <f t="shared" si="1055"/>
        <v>1724795.4964747601</v>
      </c>
      <c r="GD387" s="1078">
        <f t="shared" si="984"/>
        <v>1.5485393045359321E-3</v>
      </c>
    </row>
    <row r="388" spans="1:186" hidden="1" outlineLevel="1">
      <c r="A388" s="211" t="s">
        <v>915</v>
      </c>
      <c r="B388" s="212" t="s">
        <v>916</v>
      </c>
      <c r="C388" s="213" t="s">
        <v>215</v>
      </c>
      <c r="D388" s="214" t="s">
        <v>215</v>
      </c>
      <c r="E388" s="213"/>
      <c r="F388" s="213"/>
      <c r="G388" s="213"/>
      <c r="H388" s="213" t="s">
        <v>215</v>
      </c>
      <c r="I388" s="214" t="s">
        <v>215</v>
      </c>
      <c r="J388" s="214"/>
      <c r="K388" s="213" t="s">
        <v>215</v>
      </c>
      <c r="L388" s="213"/>
      <c r="M388" s="214"/>
      <c r="N388" s="213"/>
      <c r="O388" s="214"/>
      <c r="P388" s="213"/>
      <c r="Q388" s="214"/>
      <c r="R388" s="214" t="s">
        <v>215</v>
      </c>
      <c r="S388" s="214"/>
      <c r="T388" s="214"/>
      <c r="U388" s="215">
        <f t="shared" si="1018"/>
        <v>6</v>
      </c>
      <c r="V388" s="845" t="s">
        <v>219</v>
      </c>
      <c r="W388" s="216">
        <v>209360</v>
      </c>
      <c r="X388" s="217">
        <v>3.04</v>
      </c>
      <c r="Y388" s="218">
        <f t="shared" si="986"/>
        <v>1.0304</v>
      </c>
      <c r="Z388" s="196">
        <v>19</v>
      </c>
      <c r="AA388" s="218">
        <f t="shared" si="987"/>
        <v>1.7664898659259882</v>
      </c>
      <c r="AB388" s="196">
        <f t="shared" si="1009"/>
        <v>369832.31833026488</v>
      </c>
      <c r="AC388">
        <v>20.8</v>
      </c>
      <c r="AD388" s="196">
        <f t="shared" si="1010"/>
        <v>76925.122212695103</v>
      </c>
      <c r="AE388" s="196">
        <f t="shared" si="990"/>
        <v>73078.866102060347</v>
      </c>
      <c r="AF388" s="196">
        <f t="shared" si="1019"/>
        <v>73078.866102060347</v>
      </c>
      <c r="AG388" s="606">
        <f t="shared" si="1058"/>
        <v>3.3788459463257436E-3</v>
      </c>
      <c r="AH388" s="196">
        <f t="shared" si="1033"/>
        <v>18491.615916513245</v>
      </c>
      <c r="AI388" s="248">
        <f t="shared" si="1034"/>
        <v>1.432517467517522E-3</v>
      </c>
      <c r="AJ388" s="196">
        <f t="shared" si="1038"/>
        <v>95416.738129208345</v>
      </c>
      <c r="AK388" s="196">
        <f t="shared" si="1067"/>
        <v>14793.292733210596</v>
      </c>
      <c r="AL388" s="196">
        <f t="shared" si="1068"/>
        <v>14793.292733210596</v>
      </c>
      <c r="AM388" s="196">
        <f t="shared" si="1039"/>
        <v>29586.585466421191</v>
      </c>
      <c r="AN388" s="627">
        <f t="shared" si="1040"/>
        <v>1.432517467517522E-3</v>
      </c>
      <c r="AO388" s="196">
        <f t="shared" si="1041"/>
        <v>14053.628096550065</v>
      </c>
      <c r="AP388" s="589">
        <f t="shared" si="1059"/>
        <v>1.4325174675175218E-3</v>
      </c>
      <c r="AQ388" s="196"/>
      <c r="AR388" s="589"/>
      <c r="AS388">
        <v>1</v>
      </c>
      <c r="AT388" s="589">
        <f t="shared" si="1060"/>
        <v>1.2919896640826874E-3</v>
      </c>
      <c r="AU388" s="196">
        <v>10</v>
      </c>
      <c r="AV388" s="245">
        <f t="shared" si="1042"/>
        <v>1.1362345188046814E-3</v>
      </c>
      <c r="AX388" s="245"/>
      <c r="AY388" s="245"/>
      <c r="AZ388" s="196">
        <v>66</v>
      </c>
      <c r="BA388" s="589">
        <f t="shared" si="977"/>
        <v>2.4183796856106408E-3</v>
      </c>
      <c r="BI388" s="196">
        <v>0</v>
      </c>
      <c r="BJ388" s="196">
        <f t="shared" si="1020"/>
        <v>229515.5823369209</v>
      </c>
      <c r="BK388" s="246">
        <f t="shared" si="978"/>
        <v>4.3767236796544429E-3</v>
      </c>
      <c r="BL388" s="196">
        <f t="shared" si="1035"/>
        <v>4590.3116467384179</v>
      </c>
      <c r="BM388" s="246">
        <f t="shared" si="979"/>
        <v>4.3767231788856206E-3</v>
      </c>
      <c r="BN388" s="196">
        <v>0</v>
      </c>
      <c r="BO388" s="196">
        <f t="shared" si="1021"/>
        <v>28557.030485212294</v>
      </c>
      <c r="BP388" s="196">
        <f t="shared" si="1043"/>
        <v>0</v>
      </c>
      <c r="BQ388" s="248">
        <f t="shared" si="980"/>
        <v>0</v>
      </c>
      <c r="BR388" s="248"/>
      <c r="BS388" s="248"/>
      <c r="BT388" s="276">
        <v>1</v>
      </c>
      <c r="BU388" s="196">
        <f t="shared" si="1036"/>
        <v>59816.975032591712</v>
      </c>
      <c r="BV388" s="264">
        <f t="shared" si="981"/>
        <v>4.1490186909906605E-3</v>
      </c>
      <c r="BW388" s="196">
        <f t="shared" si="1037"/>
        <v>255883.72652830902</v>
      </c>
      <c r="BX388" s="247">
        <f t="shared" si="982"/>
        <v>4.1490187283651806E-3</v>
      </c>
      <c r="BY388" s="196">
        <f t="shared" si="985"/>
        <v>315700.70156090072</v>
      </c>
      <c r="BZ388" s="620">
        <v>0</v>
      </c>
      <c r="CA388" s="196">
        <f t="shared" si="1022"/>
        <v>113168.68940906104</v>
      </c>
      <c r="CB388" s="196">
        <f t="shared" si="1023"/>
        <v>226337.37881812209</v>
      </c>
      <c r="CC388" s="196">
        <f t="shared" si="1056"/>
        <v>339506.06822718313</v>
      </c>
      <c r="CD388" s="247">
        <f t="shared" si="1044"/>
        <v>1.4325174675175218E-3</v>
      </c>
      <c r="CE388" s="196">
        <f t="shared" si="1024"/>
        <v>46703.940684416732</v>
      </c>
      <c r="CF388" s="247">
        <f t="shared" si="1045"/>
        <v>2.0168214054710381E-3</v>
      </c>
      <c r="CG388" s="196">
        <f t="shared" si="991"/>
        <v>56214.512386200258</v>
      </c>
      <c r="CH388" s="589">
        <f t="shared" si="1061"/>
        <v>1.4325174675175218E-3</v>
      </c>
      <c r="CI388" s="196">
        <f t="shared" si="1025"/>
        <v>142175.366072162</v>
      </c>
      <c r="CJ388" s="248">
        <f t="shared" si="1062"/>
        <v>2.3373626573375489E-3</v>
      </c>
      <c r="CK388" s="196">
        <f t="shared" si="1026"/>
        <v>115415.77681718032</v>
      </c>
      <c r="CL388" s="589">
        <f t="shared" si="1063"/>
        <v>1.6591255317594197E-3</v>
      </c>
      <c r="CM388" s="196">
        <f t="shared" si="1027"/>
        <v>22394.289076153724</v>
      </c>
      <c r="CN388" s="589">
        <f t="shared" si="1064"/>
        <v>3.2272715591543607E-3</v>
      </c>
      <c r="CO388" s="196">
        <f t="shared" si="1028"/>
        <v>894.48110255366021</v>
      </c>
      <c r="CP388" s="589">
        <f t="shared" si="1065"/>
        <v>1.6868535839628794E-3</v>
      </c>
      <c r="CQ388" s="196">
        <f>'Detailed Budget'!$AC$12</f>
        <v>292876014141.44696</v>
      </c>
      <c r="CR388" s="269">
        <f t="shared" si="1066"/>
        <v>1281837386.2956803</v>
      </c>
      <c r="CS388" s="269">
        <f>'Detailed Budget'!$AC$16</f>
        <v>10488008800.000002</v>
      </c>
      <c r="CT388" s="607">
        <f t="shared" si="992"/>
        <v>45903111.21531637</v>
      </c>
      <c r="CU388" s="269">
        <f>'Detailed Budget'!$AC$24</f>
        <v>30624985696</v>
      </c>
      <c r="CV388" s="269">
        <f t="shared" si="976"/>
        <v>134037100.0847618</v>
      </c>
      <c r="CW388" s="269"/>
      <c r="CX388" s="269">
        <f t="shared" si="1057"/>
        <v>1461777597.5957584</v>
      </c>
      <c r="CY388" s="196">
        <f>'Detailed Budget'!$AC$97</f>
        <v>74629165494.837845</v>
      </c>
      <c r="CZ388" s="269">
        <f t="shared" si="993"/>
        <v>0</v>
      </c>
      <c r="DA388" s="269">
        <f>'Detailed Budget'!$AC$100</f>
        <v>14925833098.967569</v>
      </c>
      <c r="DB388" s="269">
        <f t="shared" si="994"/>
        <v>0</v>
      </c>
      <c r="DC388" s="269">
        <f t="shared" si="1046"/>
        <v>0</v>
      </c>
      <c r="DD388" s="207">
        <v>0</v>
      </c>
      <c r="DE388" s="606">
        <v>0</v>
      </c>
      <c r="DF388" s="269">
        <f>'Detailed Budget'!$AC$147</f>
        <v>5913600671000</v>
      </c>
      <c r="DG388" s="269">
        <f t="shared" si="971"/>
        <v>0</v>
      </c>
      <c r="DH388" s="269">
        <f>'Detailed Budget'!$AC$153</f>
        <v>226428026880.00003</v>
      </c>
      <c r="DI388" s="269"/>
      <c r="DJ388" s="269">
        <f>'Detailed Budget'!$AC$156</f>
        <v>27713070000</v>
      </c>
      <c r="DK388" s="269"/>
      <c r="DL388" s="269"/>
      <c r="DM388" s="196">
        <f>'Detailed Budget'!$AC$178</f>
        <v>5622683761.6229038</v>
      </c>
      <c r="DN388" s="269">
        <f t="shared" si="1029"/>
        <v>23328620.020503104</v>
      </c>
      <c r="DO388" s="196">
        <f>'Detailed Budget'!$AC$179</f>
        <v>26827890683.128094</v>
      </c>
      <c r="DP388" s="269">
        <f t="shared" si="1030"/>
        <v>111309420.88683221</v>
      </c>
      <c r="DQ388" s="269">
        <f t="shared" si="1008"/>
        <v>134638040.90733531</v>
      </c>
      <c r="DR388" s="269">
        <f>'Detailed Budget'!$AC$181</f>
        <v>50888946855.375237</v>
      </c>
      <c r="DS388" s="269">
        <f t="shared" si="1031"/>
        <v>171945911.79507083</v>
      </c>
      <c r="DT388" s="269">
        <f t="shared" si="1032"/>
        <v>306583952.70240617</v>
      </c>
      <c r="DU388" s="272">
        <f>'Detailed Budget'!$AC$192</f>
        <v>77498869683.252869</v>
      </c>
      <c r="DV388" s="269">
        <f t="shared" si="995"/>
        <v>0</v>
      </c>
      <c r="DW388" s="140">
        <f>'Detailed Budget'!$AC$194</f>
        <v>2684962805.4134097</v>
      </c>
      <c r="DX388" s="269">
        <f t="shared" si="996"/>
        <v>0</v>
      </c>
      <c r="DY388" s="607">
        <f t="shared" si="1047"/>
        <v>0</v>
      </c>
      <c r="DZ388" s="196">
        <f>'Detailed Budget'!$AC$198</f>
        <v>18732540018.380611</v>
      </c>
      <c r="EA388" s="269">
        <f t="shared" si="1013"/>
        <v>37780187.687912852</v>
      </c>
      <c r="EB388" s="196">
        <f>'Detailed Budget'!$AC$200</f>
        <v>4683135004.5951529</v>
      </c>
      <c r="EC388" s="269">
        <f t="shared" si="997"/>
        <v>9445046.9219782129</v>
      </c>
      <c r="ED388" s="269">
        <f t="shared" si="1048"/>
        <v>47225234.609891064</v>
      </c>
      <c r="EE388" s="196">
        <f>'Detailed Budget'!$AC$161</f>
        <v>251147290106.36197</v>
      </c>
      <c r="EF388" s="269">
        <f t="shared" si="998"/>
        <v>359772879.99705398</v>
      </c>
      <c r="EG388" s="196">
        <f>'Detailed Budget'!$AC$163</f>
        <v>15696705631.647623</v>
      </c>
      <c r="EH388" s="269">
        <f t="shared" si="999"/>
        <v>22485804.999815874</v>
      </c>
      <c r="EI388" s="269">
        <f t="shared" si="1049"/>
        <v>382258684.99686986</v>
      </c>
      <c r="EJ388" s="196">
        <f>'Detailed Budget'!$AC$204</f>
        <v>45012172507.531975</v>
      </c>
      <c r="EK388" s="269">
        <f t="shared" si="1000"/>
        <v>105209771.1447411</v>
      </c>
      <c r="EL388" s="201">
        <f>'Detailed Budget'!$AC$206</f>
        <v>11253043126.882994</v>
      </c>
      <c r="EM388" s="269">
        <f t="shared" si="1001"/>
        <v>26302442.786185276</v>
      </c>
      <c r="EN388" s="269">
        <f t="shared" si="1050"/>
        <v>131512213.93092638</v>
      </c>
      <c r="EO388" s="140">
        <f>'Detailed Budget'!$AC$209</f>
        <v>135789361677.54817</v>
      </c>
      <c r="EP388" s="269">
        <f t="shared" si="1002"/>
        <v>225291596.90053427</v>
      </c>
      <c r="EQ388" s="196">
        <f>'Detailed Budget'!$AC$211</f>
        <v>33947340419.387043</v>
      </c>
      <c r="ER388" s="269">
        <f t="shared" si="1003"/>
        <v>56322899.225133568</v>
      </c>
      <c r="ES388" s="269">
        <f t="shared" si="1051"/>
        <v>281614496.12566781</v>
      </c>
      <c r="ET388" s="196">
        <f>'Detailed Budget'!$AC$214</f>
        <v>22239745544.201103</v>
      </c>
      <c r="EU388" s="269">
        <f t="shared" si="1004"/>
        <v>71773698.277630135</v>
      </c>
      <c r="EV388" s="140">
        <f>'Detailed Budget'!$AC$217</f>
        <v>5559936386.0502758</v>
      </c>
      <c r="EW388" s="269">
        <f t="shared" si="1005"/>
        <v>17943424.569407534</v>
      </c>
      <c r="EX388" s="269">
        <f t="shared" si="1052"/>
        <v>89717122.847037673</v>
      </c>
      <c r="EY388" s="196">
        <f>'Detailed Budget'!$AC$219</f>
        <v>372777004.58170313</v>
      </c>
      <c r="EZ388" s="269">
        <f t="shared" si="1006"/>
        <v>628820.22619759268</v>
      </c>
      <c r="FA388" s="196">
        <f>'Detailed Budget'!$AC$222</f>
        <v>93194251.145425782</v>
      </c>
      <c r="FB388" s="269">
        <f t="shared" si="1007"/>
        <v>157205.05654939817</v>
      </c>
      <c r="FC388" s="269">
        <f t="shared" si="1053"/>
        <v>786025.28274699091</v>
      </c>
      <c r="FD388" s="269"/>
      <c r="FE388" s="269">
        <f t="shared" si="1054"/>
        <v>503629858.18637884</v>
      </c>
      <c r="FF388" s="140">
        <f>'Detailed Budget'!$AC$165</f>
        <v>14927760000</v>
      </c>
      <c r="FG388" s="1087">
        <f t="shared" si="972"/>
        <v>686984463.7672354</v>
      </c>
      <c r="FH388" s="269">
        <f t="shared" si="1014"/>
        <v>16961436.200431772</v>
      </c>
      <c r="FJ388" s="140">
        <f>'Detailed Budget'!$AC$235</f>
        <v>3623696172</v>
      </c>
      <c r="FK388" s="269">
        <f t="shared" si="1015"/>
        <v>4681778</v>
      </c>
      <c r="FL388" s="269">
        <f t="shared" si="973"/>
        <v>4681778</v>
      </c>
      <c r="FO388" s="607"/>
      <c r="FP388" s="607"/>
      <c r="FQ388" s="607"/>
      <c r="FR388" s="269">
        <f>'Detailed Budget'!$AC$257</f>
        <v>13636439388</v>
      </c>
      <c r="FS388" s="269">
        <f t="shared" si="1016"/>
        <v>32978088</v>
      </c>
      <c r="FT388" s="269">
        <f t="shared" si="974"/>
        <v>32978088</v>
      </c>
      <c r="FU388" s="269"/>
      <c r="FV388" s="269"/>
      <c r="FW388" s="269"/>
      <c r="FX388" s="140">
        <f>'Detailed Budget'!$AC$278</f>
        <v>1114560000</v>
      </c>
      <c r="FY388" s="269">
        <f t="shared" si="1017"/>
        <v>1440000</v>
      </c>
      <c r="FZ388" s="269">
        <f t="shared" si="975"/>
        <v>1440000</v>
      </c>
      <c r="GB388" s="269">
        <f t="shared" si="983"/>
        <v>3444521094.0589719</v>
      </c>
      <c r="GC388" s="887">
        <f t="shared" si="1055"/>
        <v>2152825.6837868574</v>
      </c>
      <c r="GD388" s="1078">
        <f t="shared" si="984"/>
        <v>1.9328292507558601E-3</v>
      </c>
    </row>
    <row r="389" spans="1:186" hidden="1" outlineLevel="1">
      <c r="A389" s="211" t="s">
        <v>917</v>
      </c>
      <c r="B389" s="212" t="s">
        <v>918</v>
      </c>
      <c r="C389" s="213" t="s">
        <v>215</v>
      </c>
      <c r="D389" s="214" t="s">
        <v>215</v>
      </c>
      <c r="E389" s="213"/>
      <c r="F389" s="213"/>
      <c r="G389" s="213"/>
      <c r="H389" s="213" t="s">
        <v>215</v>
      </c>
      <c r="I389" s="214" t="s">
        <v>215</v>
      </c>
      <c r="J389" s="214"/>
      <c r="K389" s="213" t="s">
        <v>215</v>
      </c>
      <c r="L389" s="213"/>
      <c r="M389" s="214"/>
      <c r="N389" s="213"/>
      <c r="O389" s="214"/>
      <c r="P389" s="213"/>
      <c r="Q389" s="214"/>
      <c r="R389" s="214" t="s">
        <v>215</v>
      </c>
      <c r="S389" s="214"/>
      <c r="T389" s="214"/>
      <c r="U389" s="215">
        <f t="shared" si="1018"/>
        <v>6</v>
      </c>
      <c r="V389" s="845" t="s">
        <v>219</v>
      </c>
      <c r="W389" s="216">
        <v>182405</v>
      </c>
      <c r="X389" s="217">
        <v>3.04</v>
      </c>
      <c r="Y389" s="218">
        <f t="shared" si="986"/>
        <v>1.0304</v>
      </c>
      <c r="Z389" s="196">
        <v>19</v>
      </c>
      <c r="AA389" s="218">
        <f t="shared" si="987"/>
        <v>1.7664898659259882</v>
      </c>
      <c r="AB389" s="196">
        <f t="shared" si="1009"/>
        <v>322216.58399422991</v>
      </c>
      <c r="AC389">
        <v>20.8</v>
      </c>
      <c r="AD389" s="196">
        <f t="shared" si="1010"/>
        <v>67021.04947079983</v>
      </c>
      <c r="AE389" s="196">
        <f t="shared" si="990"/>
        <v>63669.996997259834</v>
      </c>
      <c r="AF389" s="196">
        <f t="shared" si="1019"/>
        <v>63669.996997259834</v>
      </c>
      <c r="AG389" s="606">
        <f t="shared" si="1058"/>
        <v>2.9438211446290953E-3</v>
      </c>
      <c r="AH389" s="196">
        <f t="shared" si="1033"/>
        <v>16110.829199711496</v>
      </c>
      <c r="AI389" s="248">
        <f t="shared" si="1034"/>
        <v>1.2480815278111082E-3</v>
      </c>
      <c r="AJ389" s="196">
        <f t="shared" si="1038"/>
        <v>83131.878670511331</v>
      </c>
      <c r="AK389" s="196">
        <f t="shared" si="1067"/>
        <v>12888.663359769196</v>
      </c>
      <c r="AL389" s="196">
        <f t="shared" si="1068"/>
        <v>12888.663359769196</v>
      </c>
      <c r="AM389" s="196">
        <f t="shared" si="1039"/>
        <v>25777.326719538392</v>
      </c>
      <c r="AN389" s="627">
        <f t="shared" si="1040"/>
        <v>1.2480815278111082E-3</v>
      </c>
      <c r="AO389" s="196">
        <f t="shared" si="1041"/>
        <v>12244.230191780736</v>
      </c>
      <c r="AP389" s="589">
        <f t="shared" si="1059"/>
        <v>1.2480815278111082E-3</v>
      </c>
      <c r="AQ389" s="196"/>
      <c r="AR389" s="589"/>
      <c r="AS389">
        <v>1</v>
      </c>
      <c r="AT389" s="589">
        <f t="shared" si="1060"/>
        <v>1.2919896640826874E-3</v>
      </c>
      <c r="AU389" s="196">
        <v>10</v>
      </c>
      <c r="AV389" s="245">
        <f t="shared" si="1042"/>
        <v>1.1362345188046814E-3</v>
      </c>
      <c r="AX389" s="245"/>
      <c r="AY389" s="245"/>
      <c r="AZ389" s="196">
        <v>47</v>
      </c>
      <c r="BA389" s="589">
        <f t="shared" si="977"/>
        <v>1.7221794730863656E-3</v>
      </c>
      <c r="BI389" s="196">
        <v>0</v>
      </c>
      <c r="BJ389" s="196">
        <f t="shared" si="1020"/>
        <v>199965.56073827881</v>
      </c>
      <c r="BK389" s="246">
        <f t="shared" si="978"/>
        <v>3.8132225964241911E-3</v>
      </c>
      <c r="BL389" s="196">
        <f t="shared" si="1035"/>
        <v>3999.3112147655761</v>
      </c>
      <c r="BM389" s="246">
        <f t="shared" si="979"/>
        <v>3.8132221601291151E-3</v>
      </c>
      <c r="BN389" s="196">
        <v>0</v>
      </c>
      <c r="BO389" s="196">
        <f t="shared" si="1021"/>
        <v>24880.326450397166</v>
      </c>
      <c r="BP389" s="196">
        <f t="shared" si="1043"/>
        <v>0</v>
      </c>
      <c r="BQ389" s="248">
        <f t="shared" si="980"/>
        <v>0</v>
      </c>
      <c r="BR389" s="248"/>
      <c r="BS389" s="248"/>
      <c r="BT389" s="276">
        <v>1</v>
      </c>
      <c r="BU389" s="196">
        <f t="shared" si="1036"/>
        <v>52115.568068493951</v>
      </c>
      <c r="BV389" s="264">
        <f t="shared" si="981"/>
        <v>3.6148345162884581E-3</v>
      </c>
      <c r="BW389" s="196">
        <f t="shared" si="1037"/>
        <v>222938.8189596686</v>
      </c>
      <c r="BX389" s="247">
        <f t="shared" si="982"/>
        <v>3.6148345488510266E-3</v>
      </c>
      <c r="BY389" s="196">
        <f t="shared" si="985"/>
        <v>275054.38702816254</v>
      </c>
      <c r="BZ389" s="620">
        <v>0</v>
      </c>
      <c r="CA389" s="196">
        <f t="shared" si="1022"/>
        <v>98598.274702234354</v>
      </c>
      <c r="CB389" s="196">
        <f t="shared" si="1023"/>
        <v>197196.54940446871</v>
      </c>
      <c r="CC389" s="196">
        <f t="shared" si="1056"/>
        <v>295794.82410670305</v>
      </c>
      <c r="CD389" s="247">
        <f t="shared" si="1044"/>
        <v>1.2480815278111082E-3</v>
      </c>
      <c r="CE389" s="196">
        <f t="shared" si="1024"/>
        <v>40690.830629255994</v>
      </c>
      <c r="CF389" s="247">
        <f t="shared" si="1045"/>
        <v>1.7571566128436412E-3</v>
      </c>
      <c r="CG389" s="196">
        <f t="shared" ref="CG389:CG405" si="1069">AO389*4</f>
        <v>48976.920767122945</v>
      </c>
      <c r="CH389" s="589">
        <f t="shared" si="1061"/>
        <v>1.2480815278111082E-3</v>
      </c>
      <c r="CI389" s="196">
        <f t="shared" si="1025"/>
        <v>123870.35559988876</v>
      </c>
      <c r="CJ389" s="248">
        <f t="shared" si="1062"/>
        <v>2.0364283316376369E-3</v>
      </c>
      <c r="CK389" s="196">
        <f t="shared" si="1026"/>
        <v>100556.05067987092</v>
      </c>
      <c r="CL389" s="589">
        <f t="shared" si="1063"/>
        <v>1.4455139120203332E-3</v>
      </c>
      <c r="CM389" s="196">
        <f t="shared" si="1027"/>
        <v>19511.035054145108</v>
      </c>
      <c r="CN389" s="589">
        <f t="shared" si="1064"/>
        <v>2.8117618874071034E-3</v>
      </c>
      <c r="CO389" s="196">
        <f t="shared" si="1028"/>
        <v>779.3170878453401</v>
      </c>
      <c r="CP389" s="589">
        <f t="shared" si="1065"/>
        <v>1.4696719907467952E-3</v>
      </c>
      <c r="CQ389" s="196">
        <f>'Detailed Budget'!$AC$12</f>
        <v>292876014141.44696</v>
      </c>
      <c r="CR389" s="269">
        <f t="shared" si="1066"/>
        <v>1116801435.0748165</v>
      </c>
      <c r="CS389" s="269">
        <f>'Detailed Budget'!$AC$16</f>
        <v>10488008800.000002</v>
      </c>
      <c r="CT389" s="607">
        <f t="shared" ref="CT389:CT405" si="1070">BM389*CS389</f>
        <v>39993107.571789175</v>
      </c>
      <c r="CU389" s="269">
        <f>'Detailed Budget'!$AC$24</f>
        <v>30624985696</v>
      </c>
      <c r="CV389" s="269">
        <f t="shared" si="976"/>
        <v>116779887.47115484</v>
      </c>
      <c r="CW389" s="269"/>
      <c r="CX389" s="269">
        <f t="shared" si="1057"/>
        <v>1273574430.1177607</v>
      </c>
      <c r="CY389" s="196">
        <f>'Detailed Budget'!$AC$97</f>
        <v>74629165494.837845</v>
      </c>
      <c r="CZ389" s="269">
        <f t="shared" ref="CZ389:CZ405" si="1071">BQ389*CY389</f>
        <v>0</v>
      </c>
      <c r="DA389" s="269">
        <f>'Detailed Budget'!$AC$100</f>
        <v>14925833098.967569</v>
      </c>
      <c r="DB389" s="269">
        <f t="shared" ref="DB389:DB405" si="1072">BQ389*DA389</f>
        <v>0</v>
      </c>
      <c r="DC389" s="269">
        <f t="shared" si="1046"/>
        <v>0</v>
      </c>
      <c r="DD389" s="207">
        <v>0</v>
      </c>
      <c r="DE389" s="606">
        <v>0</v>
      </c>
      <c r="DF389" s="269">
        <f>'Detailed Budget'!$AC$147</f>
        <v>5913600671000</v>
      </c>
      <c r="DG389" s="269">
        <f t="shared" si="971"/>
        <v>0</v>
      </c>
      <c r="DH389" s="269">
        <f>'Detailed Budget'!$AC$153</f>
        <v>226428026880.00003</v>
      </c>
      <c r="DI389" s="269"/>
      <c r="DJ389" s="269">
        <f>'Detailed Budget'!$AC$156</f>
        <v>27713070000</v>
      </c>
      <c r="DK389" s="269"/>
      <c r="DL389" s="269"/>
      <c r="DM389" s="196">
        <f>'Detailed Budget'!$AC$178</f>
        <v>5622683761.6229038</v>
      </c>
      <c r="DN389" s="269">
        <f t="shared" si="1029"/>
        <v>20325071.335689098</v>
      </c>
      <c r="DO389" s="196">
        <f>'Detailed Budget'!$AC$179</f>
        <v>26827890683.128094</v>
      </c>
      <c r="DP389" s="269">
        <f t="shared" si="1030"/>
        <v>96978386.11417</v>
      </c>
      <c r="DQ389" s="269">
        <f t="shared" si="1008"/>
        <v>117303457.4498591</v>
      </c>
      <c r="DR389" s="269">
        <f>'Detailed Budget'!$AC$181</f>
        <v>50888946855.375237</v>
      </c>
      <c r="DS389" s="269">
        <f t="shared" si="1031"/>
        <v>149807957.78075993</v>
      </c>
      <c r="DT389" s="269">
        <f t="shared" si="1032"/>
        <v>267111415.23061901</v>
      </c>
      <c r="DU389" s="272">
        <f>'Detailed Budget'!$AC$192</f>
        <v>77498869683.252869</v>
      </c>
      <c r="DV389" s="269">
        <f t="shared" ref="DV389:DV405" si="1073">BZ389*CD389*DU389</f>
        <v>0</v>
      </c>
      <c r="DW389" s="140">
        <f>'Detailed Budget'!$AC$194</f>
        <v>2684962805.4134097</v>
      </c>
      <c r="DX389" s="269">
        <f t="shared" ref="DX389:DX405" si="1074">BZ389*AN389*DW389</f>
        <v>0</v>
      </c>
      <c r="DY389" s="607">
        <f t="shared" si="1047"/>
        <v>0</v>
      </c>
      <c r="DZ389" s="196">
        <f>'Detailed Budget'!$AC$198</f>
        <v>18732540018.380611</v>
      </c>
      <c r="EA389" s="269">
        <f t="shared" si="1013"/>
        <v>32916006.568655636</v>
      </c>
      <c r="EB389" s="196">
        <f>'Detailed Budget'!$AC$200</f>
        <v>4683135004.5951529</v>
      </c>
      <c r="EC389" s="269">
        <f t="shared" ref="EC389:EC405" si="1075">CF389*EB389</f>
        <v>8229001.642163909</v>
      </c>
      <c r="ED389" s="269">
        <f t="shared" si="1048"/>
        <v>41145008.210819542</v>
      </c>
      <c r="EE389" s="196">
        <f>'Detailed Budget'!$AC$161</f>
        <v>251147290106.36197</v>
      </c>
      <c r="EF389" s="269">
        <f t="shared" ref="EF389:EF405" si="1076">CH389*EE389</f>
        <v>313452293.54156786</v>
      </c>
      <c r="EG389" s="196">
        <f>'Detailed Budget'!$AC$163</f>
        <v>15696705631.647623</v>
      </c>
      <c r="EH389" s="269">
        <f t="shared" ref="EH389:EH405" si="1077">AP389*EG389</f>
        <v>19590768.346347991</v>
      </c>
      <c r="EI389" s="269">
        <f t="shared" si="1049"/>
        <v>333043061.88791585</v>
      </c>
      <c r="EJ389" s="196">
        <f>'Detailed Budget'!$AC$204</f>
        <v>45012172507.531975</v>
      </c>
      <c r="EK389" s="269">
        <f t="shared" ref="EK389:EK405" si="1078">CJ389*EJ389</f>
        <v>91664063.362898842</v>
      </c>
      <c r="EL389" s="201">
        <f>'Detailed Budget'!$AC$206</f>
        <v>11253043126.882994</v>
      </c>
      <c r="EM389" s="269">
        <f t="shared" ref="EM389:EM405" si="1079">CJ389*EL389</f>
        <v>22916015.84072471</v>
      </c>
      <c r="EN389" s="269">
        <f t="shared" si="1050"/>
        <v>114580079.20362355</v>
      </c>
      <c r="EO389" s="140">
        <f>'Detailed Budget'!$AC$209</f>
        <v>135789361677.54817</v>
      </c>
      <c r="EP389" s="269">
        <f t="shared" ref="EP389:EP405" si="1080">CL389*EO389</f>
        <v>196285411.40925658</v>
      </c>
      <c r="EQ389" s="196">
        <f>'Detailed Budget'!$AC$211</f>
        <v>33947340419.387043</v>
      </c>
      <c r="ER389" s="269">
        <f t="shared" ref="ER389:ER405" si="1081">CL389*EQ389</f>
        <v>49071352.852314144</v>
      </c>
      <c r="ES389" s="269">
        <f t="shared" si="1051"/>
        <v>245356764.26157072</v>
      </c>
      <c r="ET389" s="196">
        <f>'Detailed Budget'!$AC$214</f>
        <v>22239745544.201103</v>
      </c>
      <c r="EU389" s="269">
        <f t="shared" ref="EU389:EU405" si="1082">CN389*ET389</f>
        <v>62532868.906816609</v>
      </c>
      <c r="EV389" s="140">
        <f>'Detailed Budget'!$AC$217</f>
        <v>5559936386.0502758</v>
      </c>
      <c r="EW389" s="269">
        <f t="shared" ref="EW389:EW405" si="1083">CN389*EV389</f>
        <v>15633217.226704152</v>
      </c>
      <c r="EX389" s="269">
        <f t="shared" si="1052"/>
        <v>78166086.133520767</v>
      </c>
      <c r="EY389" s="196">
        <f>'Detailed Budget'!$AC$219</f>
        <v>372777004.58170313</v>
      </c>
      <c r="EZ389" s="269">
        <f t="shared" ref="EZ389:EZ405" si="1084">CP389*EY389</f>
        <v>547859.92242821888</v>
      </c>
      <c r="FA389" s="196">
        <f>'Detailed Budget'!$AC$222</f>
        <v>93194251.145425782</v>
      </c>
      <c r="FB389" s="269">
        <f t="shared" ref="FB389:FB405" si="1085">CP389*FA389</f>
        <v>136964.98060705472</v>
      </c>
      <c r="FC389" s="269">
        <f t="shared" si="1053"/>
        <v>684824.90303527354</v>
      </c>
      <c r="FD389" s="269"/>
      <c r="FE389" s="269">
        <f t="shared" si="1054"/>
        <v>438787754.50175035</v>
      </c>
      <c r="FF389" s="140">
        <f>'Detailed Budget'!$AC$165</f>
        <v>14927760000</v>
      </c>
      <c r="FG389" s="1087">
        <f t="shared" si="972"/>
        <v>598535542.1926949</v>
      </c>
      <c r="FH389" s="269">
        <f t="shared" si="1014"/>
        <v>16961436.200431772</v>
      </c>
      <c r="FJ389" s="140">
        <f>'Detailed Budget'!$AC$235</f>
        <v>3623696172</v>
      </c>
      <c r="FK389" s="269">
        <f t="shared" si="1015"/>
        <v>4681778</v>
      </c>
      <c r="FL389" s="269">
        <f t="shared" si="973"/>
        <v>4681778</v>
      </c>
      <c r="FO389" s="607"/>
      <c r="FP389" s="607"/>
      <c r="FQ389" s="607"/>
      <c r="FR389" s="269">
        <f>'Detailed Budget'!$AC$257</f>
        <v>13636439388</v>
      </c>
      <c r="FS389" s="269">
        <f t="shared" si="1016"/>
        <v>23484396</v>
      </c>
      <c r="FT389" s="269">
        <f t="shared" si="974"/>
        <v>23484396</v>
      </c>
      <c r="FU389" s="269"/>
      <c r="FV389" s="269"/>
      <c r="FW389" s="269"/>
      <c r="FX389" s="140">
        <f>'Detailed Budget'!$AC$278</f>
        <v>1114560000</v>
      </c>
      <c r="FY389" s="269">
        <f t="shared" si="1017"/>
        <v>1440000</v>
      </c>
      <c r="FZ389" s="269">
        <f t="shared" si="975"/>
        <v>1440000</v>
      </c>
      <c r="GB389" s="269">
        <f t="shared" si="983"/>
        <v>2998764822.3419924</v>
      </c>
      <c r="GC389" s="887">
        <f t="shared" si="1055"/>
        <v>1874228.0139637452</v>
      </c>
      <c r="GD389" s="1078">
        <f t="shared" si="984"/>
        <v>1.6827013702303288E-3</v>
      </c>
    </row>
    <row r="390" spans="1:186" hidden="1" outlineLevel="1">
      <c r="A390" s="211" t="s">
        <v>919</v>
      </c>
      <c r="B390" s="212" t="s">
        <v>920</v>
      </c>
      <c r="C390" s="213" t="s">
        <v>215</v>
      </c>
      <c r="D390" s="214" t="s">
        <v>215</v>
      </c>
      <c r="E390" s="213"/>
      <c r="F390" s="213"/>
      <c r="G390" s="213"/>
      <c r="H390" s="213" t="s">
        <v>215</v>
      </c>
      <c r="I390" s="214" t="s">
        <v>215</v>
      </c>
      <c r="J390" s="214"/>
      <c r="K390" s="213" t="s">
        <v>215</v>
      </c>
      <c r="L390" s="213"/>
      <c r="M390" s="214"/>
      <c r="N390" s="213"/>
      <c r="O390" s="214"/>
      <c r="P390" s="213"/>
      <c r="Q390" s="214"/>
      <c r="R390" s="214" t="s">
        <v>215</v>
      </c>
      <c r="S390" s="214"/>
      <c r="T390" s="214"/>
      <c r="U390" s="215">
        <f t="shared" si="1018"/>
        <v>6</v>
      </c>
      <c r="V390" s="845" t="s">
        <v>219</v>
      </c>
      <c r="W390" s="216">
        <v>243259</v>
      </c>
      <c r="X390" s="217">
        <v>3.04</v>
      </c>
      <c r="Y390" s="218">
        <f t="shared" si="986"/>
        <v>1.0304</v>
      </c>
      <c r="Z390" s="196">
        <v>19</v>
      </c>
      <c r="AA390" s="218">
        <f t="shared" si="987"/>
        <v>1.7664898659259882</v>
      </c>
      <c r="AB390" s="196">
        <f t="shared" si="1009"/>
        <v>429714.55829528999</v>
      </c>
      <c r="AC390">
        <v>20.8</v>
      </c>
      <c r="AD390" s="196">
        <f t="shared" si="1010"/>
        <v>89380.62812542032</v>
      </c>
      <c r="AE390" s="196">
        <f t="shared" si="990"/>
        <v>84911.596719149296</v>
      </c>
      <c r="AF390" s="196">
        <f t="shared" si="1019"/>
        <v>84911.596719149296</v>
      </c>
      <c r="AG390" s="606">
        <f t="shared" si="1058"/>
        <v>3.9259394633991886E-3</v>
      </c>
      <c r="AH390" s="196">
        <f t="shared" si="1033"/>
        <v>21485.727914764502</v>
      </c>
      <c r="AI390" s="248">
        <f t="shared" si="1034"/>
        <v>1.6644667874992595E-3</v>
      </c>
      <c r="AJ390" s="196">
        <f t="shared" si="1038"/>
        <v>110866.35604018482</v>
      </c>
      <c r="AK390" s="196">
        <f t="shared" si="1067"/>
        <v>17188.582331811598</v>
      </c>
      <c r="AL390" s="196">
        <f t="shared" si="1068"/>
        <v>17188.582331811598</v>
      </c>
      <c r="AM390" s="196">
        <f t="shared" si="1039"/>
        <v>34377.164663623196</v>
      </c>
      <c r="AN390" s="627">
        <f t="shared" si="1040"/>
        <v>1.664466787499259E-3</v>
      </c>
      <c r="AO390" s="196">
        <f t="shared" si="1041"/>
        <v>16329.153215221018</v>
      </c>
      <c r="AP390" s="589">
        <f t="shared" si="1059"/>
        <v>1.664466787499259E-3</v>
      </c>
      <c r="AQ390" s="196"/>
      <c r="AR390" s="589"/>
      <c r="AS390">
        <v>1</v>
      </c>
      <c r="AT390" s="589">
        <f t="shared" si="1060"/>
        <v>1.2919896640826874E-3</v>
      </c>
      <c r="AU390" s="196">
        <v>11</v>
      </c>
      <c r="AV390" s="245">
        <f t="shared" si="1042"/>
        <v>1.2498579706851495E-3</v>
      </c>
      <c r="AX390" s="245"/>
      <c r="AY390" s="245"/>
      <c r="AZ390" s="196">
        <v>52</v>
      </c>
      <c r="BA390" s="589">
        <f t="shared" si="977"/>
        <v>1.9053900553295958E-3</v>
      </c>
      <c r="BI390" s="196">
        <v>0</v>
      </c>
      <c r="BJ390" s="196">
        <f t="shared" si="1020"/>
        <v>266678.11923814024</v>
      </c>
      <c r="BK390" s="246">
        <f t="shared" si="978"/>
        <v>5.085390836783818E-3</v>
      </c>
      <c r="BL390" s="196">
        <f t="shared" si="1035"/>
        <v>5333.5623847628049</v>
      </c>
      <c r="BM390" s="246">
        <f t="shared" si="979"/>
        <v>5.0853902549318746E-3</v>
      </c>
      <c r="BN390" s="196">
        <v>0</v>
      </c>
      <c r="BO390" s="196">
        <f t="shared" si="1021"/>
        <v>33180.906948807118</v>
      </c>
      <c r="BP390" s="196">
        <f t="shared" si="1043"/>
        <v>0</v>
      </c>
      <c r="BQ390" s="248">
        <f t="shared" si="980"/>
        <v>0</v>
      </c>
      <c r="BR390" s="248"/>
      <c r="BS390" s="248"/>
      <c r="BT390" s="276">
        <v>1</v>
      </c>
      <c r="BU390" s="196">
        <f t="shared" si="1036"/>
        <v>69502.37643032684</v>
      </c>
      <c r="BV390" s="264">
        <f t="shared" si="981"/>
        <v>4.8208164776065016E-3</v>
      </c>
      <c r="BW390" s="196">
        <f t="shared" si="1037"/>
        <v>297315.72139639821</v>
      </c>
      <c r="BX390" s="247">
        <f t="shared" si="982"/>
        <v>4.8208165210326019E-3</v>
      </c>
      <c r="BY390" s="196">
        <f t="shared" si="985"/>
        <v>366818.09782672505</v>
      </c>
      <c r="BZ390" s="620">
        <v>0</v>
      </c>
      <c r="CA390" s="196">
        <f t="shared" si="1022"/>
        <v>131492.65483835872</v>
      </c>
      <c r="CB390" s="196">
        <f t="shared" si="1023"/>
        <v>262985.30967671744</v>
      </c>
      <c r="CC390" s="196">
        <f t="shared" si="1056"/>
        <v>394477.96451507614</v>
      </c>
      <c r="CD390" s="247">
        <f t="shared" si="1044"/>
        <v>1.6644667874992588E-3</v>
      </c>
      <c r="CE390" s="196">
        <f t="shared" si="1024"/>
        <v>54266.115336981908</v>
      </c>
      <c r="CF390" s="247">
        <f t="shared" si="1045"/>
        <v>2.3433796249210897E-3</v>
      </c>
      <c r="CG390" s="196">
        <f t="shared" si="1069"/>
        <v>65316.612860884074</v>
      </c>
      <c r="CH390" s="589">
        <f t="shared" si="1061"/>
        <v>1.664466787499259E-3</v>
      </c>
      <c r="CI390" s="196">
        <f t="shared" si="1025"/>
        <v>165196.01344740187</v>
      </c>
      <c r="CJ390" s="248">
        <f t="shared" si="1062"/>
        <v>2.7158220417523634E-3</v>
      </c>
      <c r="CK390" s="196">
        <f t="shared" si="1026"/>
        <v>134103.58450883868</v>
      </c>
      <c r="CL390" s="589">
        <f t="shared" si="1063"/>
        <v>1.9277666112450548E-3</v>
      </c>
      <c r="CM390" s="196">
        <f t="shared" si="1027"/>
        <v>26020.311264692773</v>
      </c>
      <c r="CN390" s="589">
        <f t="shared" si="1064"/>
        <v>3.7498225649996689E-3</v>
      </c>
      <c r="CO390" s="196">
        <f t="shared" si="1028"/>
        <v>1039.3130422530608</v>
      </c>
      <c r="CP390" s="589">
        <f t="shared" si="1065"/>
        <v>1.9599843140104415E-3</v>
      </c>
      <c r="CQ390" s="196">
        <f>'Detailed Budget'!$AC$12</f>
        <v>292876014141.44696</v>
      </c>
      <c r="CR390" s="269">
        <f t="shared" si="1066"/>
        <v>1489388998.6286824</v>
      </c>
      <c r="CS390" s="269">
        <f>'Detailed Budget'!$AC$16</f>
        <v>10488008800.000002</v>
      </c>
      <c r="CT390" s="607">
        <f t="shared" si="1070"/>
        <v>53335617.745159753</v>
      </c>
      <c r="CU390" s="269">
        <f>'Detailed Budget'!$AC$24</f>
        <v>30624985696</v>
      </c>
      <c r="CV390" s="269">
        <f t="shared" si="976"/>
        <v>155740021.6350739</v>
      </c>
      <c r="CW390" s="269"/>
      <c r="CX390" s="269">
        <f t="shared" si="1057"/>
        <v>1698464638.0089161</v>
      </c>
      <c r="CY390" s="196">
        <f>'Detailed Budget'!$AC$97</f>
        <v>74629165494.837845</v>
      </c>
      <c r="CZ390" s="269">
        <f t="shared" si="1071"/>
        <v>0</v>
      </c>
      <c r="DA390" s="269">
        <f>'Detailed Budget'!$AC$100</f>
        <v>14925833098.967569</v>
      </c>
      <c r="DB390" s="269">
        <f t="shared" si="1072"/>
        <v>0</v>
      </c>
      <c r="DC390" s="269">
        <f t="shared" si="1046"/>
        <v>0</v>
      </c>
      <c r="DD390" s="207">
        <v>0</v>
      </c>
      <c r="DE390" s="606">
        <v>0</v>
      </c>
      <c r="DF390" s="269">
        <f>'Detailed Budget'!$AC$147</f>
        <v>5913600671000</v>
      </c>
      <c r="DG390" s="269">
        <f t="shared" si="971"/>
        <v>0</v>
      </c>
      <c r="DH390" s="269">
        <f>'Detailed Budget'!$AC$153</f>
        <v>226428026880.00003</v>
      </c>
      <c r="DI390" s="269"/>
      <c r="DJ390" s="269">
        <f>'Detailed Budget'!$AC$156</f>
        <v>27713070000</v>
      </c>
      <c r="DK390" s="269"/>
      <c r="DL390" s="269"/>
      <c r="DM390" s="196">
        <f>'Detailed Budget'!$AC$178</f>
        <v>5622683761.6229038</v>
      </c>
      <c r="DN390" s="269">
        <f t="shared" si="1029"/>
        <v>27105926.526402202</v>
      </c>
      <c r="DO390" s="196">
        <f>'Detailed Budget'!$AC$179</f>
        <v>26827890683.128094</v>
      </c>
      <c r="DP390" s="269">
        <f t="shared" si="1030"/>
        <v>129332338.62968053</v>
      </c>
      <c r="DQ390" s="269">
        <f t="shared" si="1008"/>
        <v>156438265.15608272</v>
      </c>
      <c r="DR390" s="269">
        <f>'Detailed Budget'!$AC$181</f>
        <v>50888946855.375237</v>
      </c>
      <c r="DS390" s="269">
        <f t="shared" si="1031"/>
        <v>199786924.71034169</v>
      </c>
      <c r="DT390" s="269">
        <f t="shared" si="1032"/>
        <v>356225189.86642444</v>
      </c>
      <c r="DU390" s="272">
        <f>'Detailed Budget'!$AC$192</f>
        <v>77498869683.252869</v>
      </c>
      <c r="DV390" s="269">
        <f t="shared" si="1073"/>
        <v>0</v>
      </c>
      <c r="DW390" s="140">
        <f>'Detailed Budget'!$AC$194</f>
        <v>2684962805.4134097</v>
      </c>
      <c r="DX390" s="269">
        <f t="shared" si="1074"/>
        <v>0</v>
      </c>
      <c r="DY390" s="607">
        <f t="shared" si="1047"/>
        <v>0</v>
      </c>
      <c r="DZ390" s="196">
        <f>'Detailed Budget'!$AC$198</f>
        <v>18732540018.380611</v>
      </c>
      <c r="EA390" s="269">
        <f t="shared" si="1013"/>
        <v>43897452.602092057</v>
      </c>
      <c r="EB390" s="196">
        <f>'Detailed Budget'!$AC$200</f>
        <v>4683135004.5951529</v>
      </c>
      <c r="EC390" s="269">
        <f t="shared" si="1075"/>
        <v>10974363.150523014</v>
      </c>
      <c r="ED390" s="269">
        <f t="shared" si="1048"/>
        <v>54871815.752615072</v>
      </c>
      <c r="EE390" s="196">
        <f>'Detailed Budget'!$AC$161</f>
        <v>251147290106.36197</v>
      </c>
      <c r="EF390" s="269">
        <f t="shared" si="1076"/>
        <v>418026323.15248072</v>
      </c>
      <c r="EG390" s="196">
        <f>'Detailed Budget'!$AC$163</f>
        <v>15696705631.647623</v>
      </c>
      <c r="EH390" s="269">
        <f t="shared" si="1077"/>
        <v>26126645.197030045</v>
      </c>
      <c r="EI390" s="269">
        <f t="shared" si="1049"/>
        <v>444152968.34951079</v>
      </c>
      <c r="EJ390" s="196">
        <f>'Detailed Budget'!$AC$204</f>
        <v>45012172507.531975</v>
      </c>
      <c r="EK390" s="269">
        <f t="shared" si="1078"/>
        <v>122245050.24311508</v>
      </c>
      <c r="EL390" s="201">
        <f>'Detailed Budget'!$AC$206</f>
        <v>11253043126.882994</v>
      </c>
      <c r="EM390" s="269">
        <f t="shared" si="1079"/>
        <v>30561262.560778771</v>
      </c>
      <c r="EN390" s="269">
        <f t="shared" si="1050"/>
        <v>152806312.80389386</v>
      </c>
      <c r="EO390" s="140">
        <f>'Detailed Budget'!$AC$209</f>
        <v>135789361677.54817</v>
      </c>
      <c r="EP390" s="269">
        <f t="shared" si="1080"/>
        <v>261770197.60425615</v>
      </c>
      <c r="EQ390" s="196">
        <f>'Detailed Budget'!$AC$211</f>
        <v>33947340419.387043</v>
      </c>
      <c r="ER390" s="269">
        <f t="shared" si="1081"/>
        <v>65442549.401064038</v>
      </c>
      <c r="ES390" s="269">
        <f t="shared" si="1051"/>
        <v>327212747.00532019</v>
      </c>
      <c r="ET390" s="196">
        <f>'Detailed Budget'!$AC$214</f>
        <v>22239745544.201103</v>
      </c>
      <c r="EU390" s="269">
        <f t="shared" si="1082"/>
        <v>83395099.681496143</v>
      </c>
      <c r="EV390" s="140">
        <f>'Detailed Budget'!$AC$217</f>
        <v>5559936386.0502758</v>
      </c>
      <c r="EW390" s="269">
        <f t="shared" si="1083"/>
        <v>20848774.920374036</v>
      </c>
      <c r="EX390" s="269">
        <f t="shared" si="1052"/>
        <v>104243874.60187018</v>
      </c>
      <c r="EY390" s="196">
        <f>'Detailed Budget'!$AC$219</f>
        <v>372777004.58170313</v>
      </c>
      <c r="EZ390" s="269">
        <f t="shared" si="1084"/>
        <v>730637.08160393662</v>
      </c>
      <c r="FA390" s="196">
        <f>'Detailed Budget'!$AC$222</f>
        <v>93194251.145425782</v>
      </c>
      <c r="FB390" s="269">
        <f t="shared" si="1085"/>
        <v>182659.27040098415</v>
      </c>
      <c r="FC390" s="269">
        <f t="shared" si="1053"/>
        <v>913296.35200492083</v>
      </c>
      <c r="FD390" s="269"/>
      <c r="FE390" s="269">
        <f t="shared" si="1054"/>
        <v>585176230.76308906</v>
      </c>
      <c r="FF390" s="140">
        <f>'Detailed Budget'!$AC$165</f>
        <v>14927760000</v>
      </c>
      <c r="FG390" s="1087">
        <f t="shared" si="972"/>
        <v>798219113.83050203</v>
      </c>
      <c r="FH390" s="269">
        <f t="shared" si="1014"/>
        <v>18657579.820474949</v>
      </c>
      <c r="FJ390" s="140">
        <f>'Detailed Budget'!$AC$235</f>
        <v>3623696172</v>
      </c>
      <c r="FK390" s="269">
        <f t="shared" si="1015"/>
        <v>4681778</v>
      </c>
      <c r="FL390" s="269">
        <f t="shared" si="973"/>
        <v>4681778</v>
      </c>
      <c r="FO390" s="607"/>
      <c r="FP390" s="607"/>
      <c r="FQ390" s="607"/>
      <c r="FR390" s="269">
        <f>'Detailed Budget'!$AC$257</f>
        <v>13636439388</v>
      </c>
      <c r="FS390" s="269">
        <f t="shared" si="1016"/>
        <v>25982736</v>
      </c>
      <c r="FT390" s="269">
        <f t="shared" si="974"/>
        <v>25982736</v>
      </c>
      <c r="FU390" s="269"/>
      <c r="FV390" s="269"/>
      <c r="FW390" s="269"/>
      <c r="FX390" s="140">
        <f>'Detailed Budget'!$AC$278</f>
        <v>1114560000</v>
      </c>
      <c r="FY390" s="269">
        <f t="shared" si="1017"/>
        <v>1440000</v>
      </c>
      <c r="FZ390" s="269">
        <f t="shared" si="975"/>
        <v>1440000</v>
      </c>
      <c r="GB390" s="269">
        <f t="shared" si="983"/>
        <v>3987872050.3915324</v>
      </c>
      <c r="GC390" s="887">
        <f t="shared" si="1055"/>
        <v>2492420.0314947078</v>
      </c>
      <c r="GD390" s="1078">
        <f t="shared" si="984"/>
        <v>2.2377205819882661E-3</v>
      </c>
    </row>
    <row r="391" spans="1:186" hidden="1" outlineLevel="1">
      <c r="A391" s="211" t="s">
        <v>921</v>
      </c>
      <c r="B391" s="212" t="s">
        <v>922</v>
      </c>
      <c r="C391" s="213" t="s">
        <v>215</v>
      </c>
      <c r="D391" s="214" t="s">
        <v>215</v>
      </c>
      <c r="E391" s="213"/>
      <c r="F391" s="213"/>
      <c r="G391" s="213"/>
      <c r="H391" s="213" t="s">
        <v>215</v>
      </c>
      <c r="I391" s="214" t="s">
        <v>215</v>
      </c>
      <c r="J391" s="214"/>
      <c r="K391" s="213" t="s">
        <v>215</v>
      </c>
      <c r="L391" s="213"/>
      <c r="M391" s="214"/>
      <c r="N391" s="213"/>
      <c r="O391" s="214"/>
      <c r="P391" s="213"/>
      <c r="Q391" s="214"/>
      <c r="R391" s="214" t="s">
        <v>215</v>
      </c>
      <c r="S391" s="214"/>
      <c r="T391" s="214"/>
      <c r="U391" s="215">
        <f t="shared" si="1018"/>
        <v>6</v>
      </c>
      <c r="V391" s="845" t="s">
        <v>219</v>
      </c>
      <c r="W391" s="216">
        <v>151395</v>
      </c>
      <c r="X391" s="217">
        <v>3.04</v>
      </c>
      <c r="Y391" s="218">
        <f t="shared" si="986"/>
        <v>1.0304</v>
      </c>
      <c r="Z391" s="196">
        <v>19</v>
      </c>
      <c r="AA391" s="218">
        <f t="shared" si="987"/>
        <v>1.7664898659259882</v>
      </c>
      <c r="AB391" s="196">
        <f t="shared" si="1009"/>
        <v>267437.73325186496</v>
      </c>
      <c r="AC391">
        <v>20.8</v>
      </c>
      <c r="AD391" s="196">
        <f t="shared" si="1010"/>
        <v>55627.048516387913</v>
      </c>
      <c r="AE391" s="196">
        <f t="shared" si="990"/>
        <v>52845.696090568512</v>
      </c>
      <c r="AF391" s="196">
        <f t="shared" si="1019"/>
        <v>52845.696090568512</v>
      </c>
      <c r="AG391" s="606">
        <f t="shared" si="1058"/>
        <v>2.4433529902750566E-3</v>
      </c>
      <c r="AH391" s="196">
        <f t="shared" si="1033"/>
        <v>13371.88666259325</v>
      </c>
      <c r="AI391" s="248">
        <f t="shared" si="1034"/>
        <v>1.0358997993638482E-3</v>
      </c>
      <c r="AJ391" s="196">
        <f t="shared" si="1038"/>
        <v>68998.935178981163</v>
      </c>
      <c r="AK391" s="196">
        <f t="shared" si="1067"/>
        <v>10697.509330074599</v>
      </c>
      <c r="AL391" s="196">
        <f t="shared" si="1068"/>
        <v>10697.509330074599</v>
      </c>
      <c r="AM391" s="196">
        <f t="shared" si="1039"/>
        <v>21395.018660149199</v>
      </c>
      <c r="AN391" s="627">
        <f t="shared" si="1040"/>
        <v>1.0358997993638482E-3</v>
      </c>
      <c r="AO391" s="196">
        <f t="shared" si="1041"/>
        <v>10162.633863570869</v>
      </c>
      <c r="AP391" s="589">
        <f t="shared" si="1059"/>
        <v>1.035899799363848E-3</v>
      </c>
      <c r="AQ391" s="196"/>
      <c r="AR391" s="589"/>
      <c r="AS391">
        <v>1</v>
      </c>
      <c r="AT391" s="589">
        <f t="shared" si="1060"/>
        <v>1.2919896640826874E-3</v>
      </c>
      <c r="AU391" s="196">
        <v>10</v>
      </c>
      <c r="AV391" s="245">
        <f t="shared" si="1042"/>
        <v>1.1362345188046814E-3</v>
      </c>
      <c r="AX391" s="245"/>
      <c r="AY391" s="245"/>
      <c r="AZ391" s="196">
        <v>47</v>
      </c>
      <c r="BA391" s="589">
        <f t="shared" si="977"/>
        <v>1.7221794730863656E-3</v>
      </c>
      <c r="BI391" s="196">
        <v>0</v>
      </c>
      <c r="BJ391" s="196">
        <f t="shared" si="1020"/>
        <v>165970.15469955167</v>
      </c>
      <c r="BK391" s="246">
        <f t="shared" si="978"/>
        <v>3.1649507139916142E-3</v>
      </c>
      <c r="BL391" s="196">
        <f t="shared" si="1035"/>
        <v>3319.4030939910335</v>
      </c>
      <c r="BM391" s="246">
        <f t="shared" si="979"/>
        <v>3.1649503518694526E-3</v>
      </c>
      <c r="BN391" s="196">
        <v>0</v>
      </c>
      <c r="BO391" s="196">
        <f t="shared" si="1021"/>
        <v>20650.514092036279</v>
      </c>
      <c r="BP391" s="196">
        <f t="shared" si="1043"/>
        <v>0</v>
      </c>
      <c r="BQ391" s="248">
        <f t="shared" si="980"/>
        <v>0</v>
      </c>
      <c r="BR391" s="248"/>
      <c r="BS391" s="248"/>
      <c r="BT391" s="276">
        <v>1</v>
      </c>
      <c r="BU391" s="196">
        <f t="shared" si="1036"/>
        <v>43255.592926343241</v>
      </c>
      <c r="BV391" s="264">
        <f t="shared" si="981"/>
        <v>3.0002898582467091E-3</v>
      </c>
      <c r="BW391" s="196">
        <f t="shared" si="1037"/>
        <v>185037.81418491277</v>
      </c>
      <c r="BX391" s="247">
        <f t="shared" si="982"/>
        <v>3.000289885273435E-3</v>
      </c>
      <c r="BY391" s="196">
        <f t="shared" si="985"/>
        <v>228293.40711125601</v>
      </c>
      <c r="BZ391" s="620">
        <v>0</v>
      </c>
      <c r="CA391" s="196">
        <f t="shared" si="1022"/>
        <v>81835.946375070693</v>
      </c>
      <c r="CB391" s="196">
        <f t="shared" si="1023"/>
        <v>163671.89275014139</v>
      </c>
      <c r="CC391" s="196">
        <f t="shared" si="1056"/>
        <v>245507.83912521208</v>
      </c>
      <c r="CD391" s="247">
        <f t="shared" si="1044"/>
        <v>1.0358997993638482E-3</v>
      </c>
      <c r="CE391" s="196">
        <f t="shared" si="1024"/>
        <v>33773.132880766483</v>
      </c>
      <c r="CF391" s="247">
        <f t="shared" si="1045"/>
        <v>1.4584289103997314E-3</v>
      </c>
      <c r="CG391" s="196">
        <f t="shared" si="1069"/>
        <v>40650.535454283476</v>
      </c>
      <c r="CH391" s="589">
        <f t="shared" si="1061"/>
        <v>1.035899799363848E-3</v>
      </c>
      <c r="CI391" s="196">
        <f t="shared" si="1025"/>
        <v>102811.6141884551</v>
      </c>
      <c r="CJ391" s="248">
        <f t="shared" si="1062"/>
        <v>1.6902226762878208E-3</v>
      </c>
      <c r="CK391" s="196">
        <f t="shared" si="1026"/>
        <v>83460.888093413305</v>
      </c>
      <c r="CL391" s="589">
        <f t="shared" si="1063"/>
        <v>1.1997674335150806E-3</v>
      </c>
      <c r="CM391" s="196">
        <f t="shared" si="1027"/>
        <v>16194.036084659403</v>
      </c>
      <c r="CN391" s="589">
        <f t="shared" si="1064"/>
        <v>2.3337446393684293E-3</v>
      </c>
      <c r="CO391" s="196">
        <f t="shared" si="1028"/>
        <v>646.82826958880094</v>
      </c>
      <c r="CP391" s="589">
        <f t="shared" si="1065"/>
        <v>1.2198184865497711E-3</v>
      </c>
      <c r="CQ391" s="196">
        <f>'Detailed Budget'!$AC$12</f>
        <v>292876014141.44696</v>
      </c>
      <c r="CR391" s="269">
        <f t="shared" si="1066"/>
        <v>926938150.06799066</v>
      </c>
      <c r="CS391" s="269">
        <f>'Detailed Budget'!$AC$16</f>
        <v>10488008800.000002</v>
      </c>
      <c r="CT391" s="607">
        <f t="shared" si="1070"/>
        <v>33194027.141969919</v>
      </c>
      <c r="CU391" s="269">
        <f>'Detailed Budget'!$AC$24</f>
        <v>30624985696</v>
      </c>
      <c r="CV391" s="269">
        <f t="shared" si="976"/>
        <v>96926570.344538167</v>
      </c>
      <c r="CW391" s="269"/>
      <c r="CX391" s="269">
        <f t="shared" si="1057"/>
        <v>1057058747.5544988</v>
      </c>
      <c r="CY391" s="196">
        <f>'Detailed Budget'!$AC$97</f>
        <v>74629165494.837845</v>
      </c>
      <c r="CZ391" s="269">
        <f t="shared" si="1071"/>
        <v>0</v>
      </c>
      <c r="DA391" s="269">
        <f>'Detailed Budget'!$AC$100</f>
        <v>14925833098.967569</v>
      </c>
      <c r="DB391" s="269">
        <f t="shared" si="1072"/>
        <v>0</v>
      </c>
      <c r="DC391" s="269">
        <f t="shared" si="1046"/>
        <v>0</v>
      </c>
      <c r="DD391" s="207">
        <v>0</v>
      </c>
      <c r="DE391" s="606">
        <v>0</v>
      </c>
      <c r="DF391" s="269">
        <f>'Detailed Budget'!$AC$147</f>
        <v>5913600671000</v>
      </c>
      <c r="DG391" s="269">
        <f t="shared" ref="DG391:DG454" si="1086">DE391*DF391</f>
        <v>0</v>
      </c>
      <c r="DH391" s="269">
        <f>'Detailed Budget'!$AC$153</f>
        <v>226428026880.00003</v>
      </c>
      <c r="DI391" s="269"/>
      <c r="DJ391" s="269">
        <f>'Detailed Budget'!$AC$156</f>
        <v>27713070000</v>
      </c>
      <c r="DK391" s="269"/>
      <c r="DL391" s="269"/>
      <c r="DM391" s="196">
        <f>'Detailed Budget'!$AC$178</f>
        <v>5622683761.6229038</v>
      </c>
      <c r="DN391" s="269">
        <f t="shared" si="1029"/>
        <v>16869681.066125654</v>
      </c>
      <c r="DO391" s="196">
        <f>'Detailed Budget'!$AC$179</f>
        <v>26827890683.128094</v>
      </c>
      <c r="DP391" s="269">
        <f t="shared" si="1030"/>
        <v>80491449.059810638</v>
      </c>
      <c r="DQ391" s="269">
        <f t="shared" si="1008"/>
        <v>97361130.1259363</v>
      </c>
      <c r="DR391" s="269">
        <f>'Detailed Budget'!$AC$181</f>
        <v>50888946855.375237</v>
      </c>
      <c r="DS391" s="269">
        <f t="shared" si="1031"/>
        <v>124339660.47102952</v>
      </c>
      <c r="DT391" s="269">
        <f t="shared" si="1032"/>
        <v>221700790.59696582</v>
      </c>
      <c r="DU391" s="272">
        <f>'Detailed Budget'!$AC$192</f>
        <v>77498869683.252869</v>
      </c>
      <c r="DV391" s="269">
        <f t="shared" si="1073"/>
        <v>0</v>
      </c>
      <c r="DW391" s="140">
        <f>'Detailed Budget'!$AC$194</f>
        <v>2684962805.4134097</v>
      </c>
      <c r="DX391" s="269">
        <f t="shared" si="1074"/>
        <v>0</v>
      </c>
      <c r="DY391" s="607">
        <f t="shared" si="1047"/>
        <v>0</v>
      </c>
      <c r="DZ391" s="196">
        <f>'Detailed Budget'!$AC$198</f>
        <v>18732540018.380611</v>
      </c>
      <c r="EA391" s="269">
        <f t="shared" si="1013"/>
        <v>27320077.928026199</v>
      </c>
      <c r="EB391" s="196">
        <f>'Detailed Budget'!$AC$200</f>
        <v>4683135004.5951529</v>
      </c>
      <c r="EC391" s="269">
        <f t="shared" si="1075"/>
        <v>6830019.4820065498</v>
      </c>
      <c r="ED391" s="269">
        <f t="shared" si="1048"/>
        <v>34150097.410032749</v>
      </c>
      <c r="EE391" s="196">
        <f>'Detailed Budget'!$AC$161</f>
        <v>251147290106.36197</v>
      </c>
      <c r="EF391" s="269">
        <f t="shared" si="1076"/>
        <v>260163427.43195447</v>
      </c>
      <c r="EG391" s="196">
        <f>'Detailed Budget'!$AC$163</f>
        <v>15696705631.647623</v>
      </c>
      <c r="EH391" s="269">
        <f t="shared" si="1077"/>
        <v>16260214.214497155</v>
      </c>
      <c r="EI391" s="269">
        <f t="shared" si="1049"/>
        <v>276423641.64645165</v>
      </c>
      <c r="EJ391" s="196">
        <f>'Detailed Budget'!$AC$204</f>
        <v>45012172507.531975</v>
      </c>
      <c r="EK391" s="269">
        <f t="shared" si="1078"/>
        <v>76080594.681209758</v>
      </c>
      <c r="EL391" s="201">
        <f>'Detailed Budget'!$AC$206</f>
        <v>11253043126.882994</v>
      </c>
      <c r="EM391" s="269">
        <f t="shared" si="1079"/>
        <v>19020148.670302439</v>
      </c>
      <c r="EN391" s="269">
        <f t="shared" si="1050"/>
        <v>95100743.351512194</v>
      </c>
      <c r="EO391" s="140">
        <f>'Detailed Budget'!$AC$209</f>
        <v>135789361677.54817</v>
      </c>
      <c r="EP391" s="269">
        <f t="shared" si="1080"/>
        <v>162915653.95852301</v>
      </c>
      <c r="EQ391" s="196">
        <f>'Detailed Budget'!$AC$211</f>
        <v>33947340419.387043</v>
      </c>
      <c r="ER391" s="269">
        <f t="shared" si="1081"/>
        <v>40728913.489630751</v>
      </c>
      <c r="ES391" s="269">
        <f t="shared" si="1051"/>
        <v>203644567.44815376</v>
      </c>
      <c r="ET391" s="196">
        <f>'Detailed Budget'!$AC$214</f>
        <v>22239745544.201103</v>
      </c>
      <c r="EU391" s="269">
        <f t="shared" si="1082"/>
        <v>51901886.944697239</v>
      </c>
      <c r="EV391" s="140">
        <f>'Detailed Budget'!$AC$217</f>
        <v>5559936386.0502758</v>
      </c>
      <c r="EW391" s="269">
        <f t="shared" si="1083"/>
        <v>12975471.73617431</v>
      </c>
      <c r="EX391" s="269">
        <f t="shared" si="1052"/>
        <v>64877358.680871546</v>
      </c>
      <c r="EY391" s="196">
        <f>'Detailed Budget'!$AC$219</f>
        <v>372777004.58170313</v>
      </c>
      <c r="EZ391" s="269">
        <f t="shared" si="1084"/>
        <v>454720.2815494102</v>
      </c>
      <c r="FA391" s="196">
        <f>'Detailed Budget'!$AC$222</f>
        <v>93194251.145425782</v>
      </c>
      <c r="FB391" s="269">
        <f t="shared" si="1085"/>
        <v>113680.07038735255</v>
      </c>
      <c r="FC391" s="269">
        <f t="shared" si="1053"/>
        <v>568400.35193676269</v>
      </c>
      <c r="FD391" s="269"/>
      <c r="FE391" s="269">
        <f t="shared" si="1054"/>
        <v>364191069.83247423</v>
      </c>
      <c r="FF391" s="140">
        <f>'Detailed Budget'!$AC$165</f>
        <v>14927760000</v>
      </c>
      <c r="FG391" s="1087">
        <f t="shared" ref="FG391:FG454" si="1087">FE391/0.423*0.577</f>
        <v>496780726.4617911</v>
      </c>
      <c r="FH391" s="269">
        <f t="shared" si="1014"/>
        <v>16961436.200431772</v>
      </c>
      <c r="FJ391" s="140">
        <f>'Detailed Budget'!$AC$235</f>
        <v>3623696172</v>
      </c>
      <c r="FK391" s="269">
        <f t="shared" si="1015"/>
        <v>4681778</v>
      </c>
      <c r="FL391" s="269">
        <f t="shared" ref="FL391:FL454" si="1088">FI391+FK391</f>
        <v>4681778</v>
      </c>
      <c r="FO391" s="607"/>
      <c r="FP391" s="607"/>
      <c r="FQ391" s="607"/>
      <c r="FR391" s="269">
        <f>'Detailed Budget'!$AC$257</f>
        <v>13636439388</v>
      </c>
      <c r="FS391" s="269">
        <f t="shared" si="1016"/>
        <v>23484396</v>
      </c>
      <c r="FT391" s="269">
        <f t="shared" ref="FT391:FT454" si="1089">FM391+FO391+FQ391+FS391</f>
        <v>23484396</v>
      </c>
      <c r="FU391" s="269"/>
      <c r="FV391" s="269"/>
      <c r="FW391" s="269"/>
      <c r="FX391" s="140">
        <f>'Detailed Budget'!$AC$278</f>
        <v>1114560000</v>
      </c>
      <c r="FY391" s="269">
        <f t="shared" si="1017"/>
        <v>1440000</v>
      </c>
      <c r="FZ391" s="269">
        <f t="shared" ref="FZ391:FZ453" si="1090">FU391+FW391+FY391</f>
        <v>1440000</v>
      </c>
      <c r="GB391" s="269">
        <f t="shared" si="983"/>
        <v>2496872683.7026463</v>
      </c>
      <c r="GC391" s="887">
        <f t="shared" si="1055"/>
        <v>1560545.4273141539</v>
      </c>
      <c r="GD391" s="1078">
        <f t="shared" si="984"/>
        <v>1.4010738871065643E-3</v>
      </c>
    </row>
    <row r="392" spans="1:186" hidden="1" outlineLevel="1">
      <c r="A392" s="211" t="s">
        <v>923</v>
      </c>
      <c r="B392" s="212" t="s">
        <v>882</v>
      </c>
      <c r="C392" s="213" t="s">
        <v>215</v>
      </c>
      <c r="D392" s="214" t="s">
        <v>215</v>
      </c>
      <c r="E392" s="213"/>
      <c r="F392" s="213"/>
      <c r="G392" s="213"/>
      <c r="H392" s="213" t="s">
        <v>215</v>
      </c>
      <c r="I392" s="214" t="s">
        <v>215</v>
      </c>
      <c r="J392" s="214"/>
      <c r="K392" s="213" t="s">
        <v>215</v>
      </c>
      <c r="L392" s="213"/>
      <c r="M392" s="214"/>
      <c r="N392" s="213"/>
      <c r="O392" s="214"/>
      <c r="P392" s="213"/>
      <c r="Q392" s="214"/>
      <c r="R392" s="214" t="s">
        <v>215</v>
      </c>
      <c r="S392" s="214"/>
      <c r="T392" s="214"/>
      <c r="U392" s="215">
        <f t="shared" si="1018"/>
        <v>6</v>
      </c>
      <c r="V392" s="845" t="s">
        <v>219</v>
      </c>
      <c r="W392" s="216">
        <v>318132</v>
      </c>
      <c r="X392" s="217">
        <v>3.04</v>
      </c>
      <c r="Y392" s="218">
        <f t="shared" si="986"/>
        <v>1.0304</v>
      </c>
      <c r="Z392" s="196">
        <v>19</v>
      </c>
      <c r="AA392" s="218">
        <f t="shared" si="987"/>
        <v>1.7664898659259882</v>
      </c>
      <c r="AB392" s="196">
        <f t="shared" si="1009"/>
        <v>561976.95402676647</v>
      </c>
      <c r="AC392">
        <v>20.8</v>
      </c>
      <c r="AD392" s="196">
        <f t="shared" si="1010"/>
        <v>116891.20643756744</v>
      </c>
      <c r="AE392" s="196">
        <f t="shared" si="990"/>
        <v>111046.64611568906</v>
      </c>
      <c r="AF392" s="196">
        <f t="shared" si="1019"/>
        <v>111046.64611568906</v>
      </c>
      <c r="AG392" s="606">
        <f t="shared" si="1058"/>
        <v>5.1343094124785132E-3</v>
      </c>
      <c r="AH392" s="196">
        <f t="shared" si="1033"/>
        <v>28098.847701338324</v>
      </c>
      <c r="AI392" s="248">
        <f t="shared" si="1034"/>
        <v>2.1767751575099557E-3</v>
      </c>
      <c r="AJ392" s="196">
        <f t="shared" si="1038"/>
        <v>144990.05413890578</v>
      </c>
      <c r="AK392" s="196">
        <f t="shared" si="1067"/>
        <v>22479.078161070658</v>
      </c>
      <c r="AL392" s="196">
        <f t="shared" si="1068"/>
        <v>22479.078161070658</v>
      </c>
      <c r="AM392" s="196">
        <f t="shared" si="1039"/>
        <v>44958.156322141316</v>
      </c>
      <c r="AN392" s="627">
        <f t="shared" si="1040"/>
        <v>2.1767751575099553E-3</v>
      </c>
      <c r="AO392" s="196">
        <f t="shared" si="1041"/>
        <v>21355.124253017126</v>
      </c>
      <c r="AP392" s="589">
        <f t="shared" si="1059"/>
        <v>2.1767751575099557E-3</v>
      </c>
      <c r="AQ392" s="196"/>
      <c r="AR392" s="589"/>
      <c r="AS392">
        <v>1</v>
      </c>
      <c r="AT392" s="589">
        <f t="shared" si="1060"/>
        <v>1.2919896640826874E-3</v>
      </c>
      <c r="AU392" s="196">
        <v>12</v>
      </c>
      <c r="AV392" s="245">
        <f t="shared" si="1042"/>
        <v>1.3634814225656176E-3</v>
      </c>
      <c r="AX392" s="245"/>
      <c r="AY392" s="245"/>
      <c r="AZ392" s="196">
        <v>32</v>
      </c>
      <c r="BA392" s="589">
        <f t="shared" si="977"/>
        <v>1.1725477263566744E-3</v>
      </c>
      <c r="BI392" s="196">
        <v>0</v>
      </c>
      <c r="BJ392" s="196">
        <f t="shared" si="1020"/>
        <v>348759.32002297149</v>
      </c>
      <c r="BK392" s="246">
        <f t="shared" si="978"/>
        <v>6.6506298130293616E-3</v>
      </c>
      <c r="BL392" s="196">
        <f t="shared" si="1035"/>
        <v>6975.1864004594299</v>
      </c>
      <c r="BM392" s="246">
        <f t="shared" si="979"/>
        <v>6.6506290520884611E-3</v>
      </c>
      <c r="BN392" s="196">
        <v>0</v>
      </c>
      <c r="BO392" s="196">
        <f t="shared" si="1021"/>
        <v>43393.70090906362</v>
      </c>
      <c r="BP392" s="196">
        <f t="shared" si="1043"/>
        <v>0</v>
      </c>
      <c r="BQ392" s="248">
        <f t="shared" si="980"/>
        <v>0</v>
      </c>
      <c r="BR392" s="248"/>
      <c r="BS392" s="248"/>
      <c r="BT392" s="276">
        <v>1</v>
      </c>
      <c r="BU392" s="196">
        <f t="shared" si="1036"/>
        <v>90894.602125852442</v>
      </c>
      <c r="BV392" s="264">
        <f t="shared" si="981"/>
        <v>6.3046217720779561E-3</v>
      </c>
      <c r="BW392" s="196">
        <f t="shared" si="1037"/>
        <v>388826.90909392439</v>
      </c>
      <c r="BX392" s="247">
        <f t="shared" si="982"/>
        <v>6.3046218288702318E-3</v>
      </c>
      <c r="BY392" s="196">
        <f t="shared" si="985"/>
        <v>479721.51121977682</v>
      </c>
      <c r="BZ392" s="620">
        <v>0</v>
      </c>
      <c r="CA392" s="196">
        <f t="shared" si="1022"/>
        <v>171964.94793219052</v>
      </c>
      <c r="CB392" s="196">
        <f t="shared" si="1023"/>
        <v>343929.89586438105</v>
      </c>
      <c r="CC392" s="196">
        <f t="shared" si="1056"/>
        <v>515894.8437965716</v>
      </c>
      <c r="CD392" s="247">
        <f t="shared" si="1044"/>
        <v>2.1767751575099553E-3</v>
      </c>
      <c r="CE392" s="196">
        <f t="shared" si="1024"/>
        <v>70968.752664381274</v>
      </c>
      <c r="CF392" s="247">
        <f t="shared" si="1045"/>
        <v>3.0646514490127639E-3</v>
      </c>
      <c r="CG392" s="196">
        <f t="shared" si="1069"/>
        <v>85420.497012068503</v>
      </c>
      <c r="CH392" s="589">
        <f t="shared" si="1061"/>
        <v>2.1767751575099557E-3</v>
      </c>
      <c r="CI392" s="196">
        <f t="shared" si="1025"/>
        <v>216041.90656891975</v>
      </c>
      <c r="CJ392" s="248">
        <f t="shared" si="1062"/>
        <v>3.5517283956061764E-3</v>
      </c>
      <c r="CK392" s="196">
        <f t="shared" si="1026"/>
        <v>175379.49899886895</v>
      </c>
      <c r="CL392" s="589">
        <f t="shared" si="1063"/>
        <v>2.521116372132631E-3</v>
      </c>
      <c r="CM392" s="196">
        <f t="shared" si="1027"/>
        <v>34029.136283793159</v>
      </c>
      <c r="CN392" s="589">
        <f t="shared" si="1064"/>
        <v>4.9039852677536062E-3</v>
      </c>
      <c r="CO392" s="196">
        <f t="shared" si="1028"/>
        <v>1359.2045382002341</v>
      </c>
      <c r="CP392" s="589">
        <f t="shared" si="1065"/>
        <v>2.5632504030057256E-3</v>
      </c>
      <c r="CQ392" s="196">
        <f>'Detailed Budget'!$AC$12</f>
        <v>292876014141.44696</v>
      </c>
      <c r="CR392" s="269">
        <f t="shared" si="1066"/>
        <v>1947809951.170316</v>
      </c>
      <c r="CS392" s="269">
        <f>'Detailed Budget'!$AC$16</f>
        <v>10488008800.000002</v>
      </c>
      <c r="CT392" s="607">
        <f t="shared" si="1070"/>
        <v>69751856.023839444</v>
      </c>
      <c r="CU392" s="269">
        <f>'Detailed Budget'!$AC$24</f>
        <v>30624985696</v>
      </c>
      <c r="CV392" s="269">
        <f t="shared" ref="CV392:CV455" si="1091">BK392*CU392</f>
        <v>203675442.89341536</v>
      </c>
      <c r="CW392" s="269"/>
      <c r="CX392" s="269">
        <f t="shared" si="1057"/>
        <v>2221237250.0875707</v>
      </c>
      <c r="CY392" s="196">
        <f>'Detailed Budget'!$AC$97</f>
        <v>74629165494.837845</v>
      </c>
      <c r="CZ392" s="269">
        <f t="shared" si="1071"/>
        <v>0</v>
      </c>
      <c r="DA392" s="269">
        <f>'Detailed Budget'!$AC$100</f>
        <v>14925833098.967569</v>
      </c>
      <c r="DB392" s="269">
        <f t="shared" si="1072"/>
        <v>0</v>
      </c>
      <c r="DC392" s="269">
        <f t="shared" si="1046"/>
        <v>0</v>
      </c>
      <c r="DD392" s="207">
        <v>0</v>
      </c>
      <c r="DE392" s="606">
        <v>0</v>
      </c>
      <c r="DF392" s="269">
        <f>'Detailed Budget'!$AC$147</f>
        <v>5913600671000</v>
      </c>
      <c r="DG392" s="269">
        <f t="shared" si="1086"/>
        <v>0</v>
      </c>
      <c r="DH392" s="269">
        <f>'Detailed Budget'!$AC$153</f>
        <v>226428026880.00003</v>
      </c>
      <c r="DI392" s="269"/>
      <c r="DJ392" s="269">
        <f>'Detailed Budget'!$AC$156</f>
        <v>27713070000</v>
      </c>
      <c r="DK392" s="269"/>
      <c r="DL392" s="269"/>
      <c r="DM392" s="196">
        <f>'Detailed Budget'!$AC$178</f>
        <v>5622683761.6229038</v>
      </c>
      <c r="DN392" s="269">
        <f t="shared" si="1029"/>
        <v>35448894.461036943</v>
      </c>
      <c r="DO392" s="196">
        <f>'Detailed Budget'!$AC$179</f>
        <v>26827890683.128094</v>
      </c>
      <c r="DP392" s="269">
        <f t="shared" si="1030"/>
        <v>169139705.22339371</v>
      </c>
      <c r="DQ392" s="269">
        <f t="shared" si="1008"/>
        <v>204588599.68443066</v>
      </c>
      <c r="DR392" s="269">
        <f>'Detailed Budget'!$AC$181</f>
        <v>50888946855.375237</v>
      </c>
      <c r="DS392" s="269">
        <f t="shared" si="1031"/>
        <v>261279598.83067191</v>
      </c>
      <c r="DT392" s="269">
        <f t="shared" si="1032"/>
        <v>465868198.51510257</v>
      </c>
      <c r="DU392" s="272">
        <f>'Detailed Budget'!$AC$192</f>
        <v>77498869683.252869</v>
      </c>
      <c r="DV392" s="269">
        <f t="shared" si="1073"/>
        <v>0</v>
      </c>
      <c r="DW392" s="140">
        <f>'Detailed Budget'!$AC$194</f>
        <v>2684962805.4134097</v>
      </c>
      <c r="DX392" s="269">
        <f t="shared" si="1074"/>
        <v>0</v>
      </c>
      <c r="DY392" s="607">
        <f t="shared" si="1047"/>
        <v>0</v>
      </c>
      <c r="DZ392" s="196">
        <f>'Detailed Budget'!$AC$198</f>
        <v>18732540018.380611</v>
      </c>
      <c r="EA392" s="269">
        <f t="shared" si="1013"/>
        <v>57408705.911019728</v>
      </c>
      <c r="EB392" s="196">
        <f>'Detailed Budget'!$AC$200</f>
        <v>4683135004.5951529</v>
      </c>
      <c r="EC392" s="269">
        <f t="shared" si="1075"/>
        <v>14352176.477754932</v>
      </c>
      <c r="ED392" s="269">
        <f t="shared" si="1048"/>
        <v>71760882.388774663</v>
      </c>
      <c r="EE392" s="196">
        <f>'Detailed Budget'!$AC$161</f>
        <v>251147290106.36197</v>
      </c>
      <c r="EF392" s="269">
        <f t="shared" si="1076"/>
        <v>546691181.97947466</v>
      </c>
      <c r="EG392" s="196">
        <f>'Detailed Budget'!$AC$163</f>
        <v>15696705631.647623</v>
      </c>
      <c r="EH392" s="269">
        <f t="shared" si="1077"/>
        <v>34168198.873717166</v>
      </c>
      <c r="EI392" s="269">
        <f t="shared" si="1049"/>
        <v>580859380.85319185</v>
      </c>
      <c r="EJ392" s="196">
        <f>'Detailed Budget'!$AC$204</f>
        <v>45012172507.531975</v>
      </c>
      <c r="EK392" s="269">
        <f t="shared" si="1078"/>
        <v>159871011.24292499</v>
      </c>
      <c r="EL392" s="201">
        <f>'Detailed Budget'!$AC$206</f>
        <v>11253043126.882994</v>
      </c>
      <c r="EM392" s="269">
        <f t="shared" si="1079"/>
        <v>39967752.810731247</v>
      </c>
      <c r="EN392" s="269">
        <f t="shared" si="1050"/>
        <v>199838764.05365622</v>
      </c>
      <c r="EO392" s="140">
        <f>'Detailed Budget'!$AC$209</f>
        <v>135789361677.54817</v>
      </c>
      <c r="EP392" s="269">
        <f t="shared" si="1080"/>
        <v>342340782.88670594</v>
      </c>
      <c r="EQ392" s="196">
        <f>'Detailed Budget'!$AC$211</f>
        <v>33947340419.387043</v>
      </c>
      <c r="ER392" s="269">
        <f t="shared" si="1081"/>
        <v>85585195.721676484</v>
      </c>
      <c r="ES392" s="269">
        <f t="shared" si="1051"/>
        <v>427925978.6083824</v>
      </c>
      <c r="ET392" s="196">
        <f>'Detailed Budget'!$AC$214</f>
        <v>22239745544.201103</v>
      </c>
      <c r="EU392" s="269">
        <f t="shared" si="1082"/>
        <v>109063384.50735112</v>
      </c>
      <c r="EV392" s="140">
        <f>'Detailed Budget'!$AC$217</f>
        <v>5559936386.0502758</v>
      </c>
      <c r="EW392" s="269">
        <f t="shared" si="1083"/>
        <v>27265846.126837779</v>
      </c>
      <c r="EX392" s="269">
        <f t="shared" si="1052"/>
        <v>136329230.63418889</v>
      </c>
      <c r="EY392" s="196">
        <f>'Detailed Budget'!$AC$219</f>
        <v>372777004.58170313</v>
      </c>
      <c r="EZ392" s="269">
        <f t="shared" si="1084"/>
        <v>955520.80722531769</v>
      </c>
      <c r="FA392" s="196">
        <f>'Detailed Budget'!$AC$222</f>
        <v>93194251.145425782</v>
      </c>
      <c r="FB392" s="269">
        <f t="shared" si="1085"/>
        <v>238880.20180632942</v>
      </c>
      <c r="FC392" s="269">
        <f t="shared" si="1053"/>
        <v>1194401.0090316471</v>
      </c>
      <c r="FD392" s="269"/>
      <c r="FE392" s="269">
        <f t="shared" si="1054"/>
        <v>765288374.30525911</v>
      </c>
      <c r="FF392" s="140">
        <f>'Detailed Budget'!$AC$165</f>
        <v>14927760000</v>
      </c>
      <c r="FG392" s="1087">
        <f t="shared" si="1087"/>
        <v>1043903999.9388523</v>
      </c>
      <c r="FH392" s="269">
        <f t="shared" si="1014"/>
        <v>20353723.440518126</v>
      </c>
      <c r="FJ392" s="140">
        <f>'Detailed Budget'!$AC$235</f>
        <v>3623696172</v>
      </c>
      <c r="FK392" s="269">
        <f t="shared" si="1015"/>
        <v>4681778</v>
      </c>
      <c r="FL392" s="269">
        <f t="shared" si="1088"/>
        <v>4681778</v>
      </c>
      <c r="FO392" s="607"/>
      <c r="FP392" s="607"/>
      <c r="FQ392" s="607"/>
      <c r="FR392" s="269">
        <f>'Detailed Budget'!$AC$257</f>
        <v>13636439388</v>
      </c>
      <c r="FS392" s="269">
        <f t="shared" si="1016"/>
        <v>15989376</v>
      </c>
      <c r="FT392" s="269">
        <f t="shared" si="1089"/>
        <v>15989376</v>
      </c>
      <c r="FU392" s="269"/>
      <c r="FV392" s="269"/>
      <c r="FW392" s="269"/>
      <c r="FX392" s="140">
        <f>'Detailed Budget'!$AC$278</f>
        <v>1114560000</v>
      </c>
      <c r="FY392" s="269">
        <f t="shared" si="1017"/>
        <v>1440000</v>
      </c>
      <c r="FZ392" s="269">
        <f t="shared" si="1090"/>
        <v>1440000</v>
      </c>
      <c r="GB392" s="269">
        <f t="shared" si="983"/>
        <v>5191382963.5292692</v>
      </c>
      <c r="GC392" s="887">
        <f t="shared" si="1055"/>
        <v>3244614.3522057934</v>
      </c>
      <c r="GD392" s="1078">
        <f t="shared" si="984"/>
        <v>2.9130484528289047E-3</v>
      </c>
    </row>
    <row r="393" spans="1:186" hidden="1" outlineLevel="1">
      <c r="A393" s="211" t="s">
        <v>924</v>
      </c>
      <c r="B393" s="212" t="s">
        <v>925</v>
      </c>
      <c r="C393" s="213" t="s">
        <v>215</v>
      </c>
      <c r="D393" s="214" t="s">
        <v>215</v>
      </c>
      <c r="E393" s="213"/>
      <c r="F393" s="213"/>
      <c r="G393" s="213"/>
      <c r="H393" s="213" t="s">
        <v>215</v>
      </c>
      <c r="I393" s="214" t="s">
        <v>215</v>
      </c>
      <c r="J393" s="214"/>
      <c r="K393" s="213" t="s">
        <v>215</v>
      </c>
      <c r="L393" s="213"/>
      <c r="M393" s="214"/>
      <c r="N393" s="213"/>
      <c r="O393" s="214"/>
      <c r="P393" s="213"/>
      <c r="Q393" s="214"/>
      <c r="R393" s="214" t="s">
        <v>215</v>
      </c>
      <c r="S393" s="214"/>
      <c r="T393" s="214"/>
      <c r="U393" s="215">
        <f t="shared" si="1018"/>
        <v>6</v>
      </c>
      <c r="V393" s="845" t="s">
        <v>219</v>
      </c>
      <c r="W393" s="216">
        <v>116700</v>
      </c>
      <c r="X393" s="217">
        <v>3.04</v>
      </c>
      <c r="Y393" s="218">
        <f t="shared" si="986"/>
        <v>1.0304</v>
      </c>
      <c r="Z393" s="196">
        <v>19</v>
      </c>
      <c r="AA393" s="218">
        <f t="shared" si="987"/>
        <v>1.7664898659259882</v>
      </c>
      <c r="AB393" s="196">
        <f t="shared" si="1009"/>
        <v>206149.36735356282</v>
      </c>
      <c r="AC393">
        <v>20.8</v>
      </c>
      <c r="AD393" s="196">
        <f t="shared" si="1010"/>
        <v>42879.068409541069</v>
      </c>
      <c r="AE393" s="196">
        <f t="shared" si="990"/>
        <v>40735.114989064015</v>
      </c>
      <c r="AF393" s="196">
        <f t="shared" si="1019"/>
        <v>40735.114989064015</v>
      </c>
      <c r="AG393" s="606">
        <f t="shared" si="1058"/>
        <v>1.8834128865887194E-3</v>
      </c>
      <c r="AH393" s="196">
        <f t="shared" si="1033"/>
        <v>10307.468367678142</v>
      </c>
      <c r="AI393" s="248">
        <f t="shared" si="1034"/>
        <v>7.9850395710400661E-4</v>
      </c>
      <c r="AJ393" s="196">
        <f t="shared" si="1038"/>
        <v>53186.536777219211</v>
      </c>
      <c r="AK393" s="196">
        <f t="shared" si="1067"/>
        <v>8245.9746941425128</v>
      </c>
      <c r="AL393" s="196">
        <f t="shared" si="1068"/>
        <v>8245.9746941425128</v>
      </c>
      <c r="AM393" s="196">
        <f t="shared" si="1039"/>
        <v>16491.949388285026</v>
      </c>
      <c r="AN393" s="627">
        <f t="shared" si="1040"/>
        <v>7.985039571040065E-4</v>
      </c>
      <c r="AO393" s="196">
        <f t="shared" si="1041"/>
        <v>7833.6759594353871</v>
      </c>
      <c r="AP393" s="589">
        <f t="shared" si="1059"/>
        <v>7.985039571040065E-4</v>
      </c>
      <c r="AQ393" s="196"/>
      <c r="AR393" s="589"/>
      <c r="AS393">
        <v>1</v>
      </c>
      <c r="AT393" s="589">
        <f t="shared" si="1060"/>
        <v>1.2919896640826874E-3</v>
      </c>
      <c r="AU393" s="196">
        <v>10</v>
      </c>
      <c r="AV393" s="245">
        <f t="shared" si="1042"/>
        <v>1.1362345188046814E-3</v>
      </c>
      <c r="AX393" s="245"/>
      <c r="AY393" s="245"/>
      <c r="AZ393" s="196">
        <v>46</v>
      </c>
      <c r="BA393" s="589">
        <f t="shared" ref="BA393:BA456" si="1092">AZ393/27291</f>
        <v>1.6855373566377193E-3</v>
      </c>
      <c r="BI393" s="196">
        <v>0</v>
      </c>
      <c r="BJ393" s="196">
        <f t="shared" si="1020"/>
        <v>127934.98499579034</v>
      </c>
      <c r="BK393" s="246">
        <f t="shared" ref="BK393:BK456" si="1093">BJ393/52440044</f>
        <v>2.4396429758104386E-3</v>
      </c>
      <c r="BL393" s="196">
        <f t="shared" si="1035"/>
        <v>2558.6996999158068</v>
      </c>
      <c r="BM393" s="246">
        <f t="shared" ref="BM393:BM456" si="1094">BL393/1048801</f>
        <v>2.4396426966753529E-3</v>
      </c>
      <c r="BN393" s="196">
        <v>0</v>
      </c>
      <c r="BO393" s="196">
        <f t="shared" si="1021"/>
        <v>15918.061987123974</v>
      </c>
      <c r="BP393" s="196">
        <f t="shared" si="1043"/>
        <v>0</v>
      </c>
      <c r="BQ393" s="248">
        <f t="shared" ref="BQ393:BQ456" si="1095">BP393/10690003</f>
        <v>0</v>
      </c>
      <c r="BR393" s="248"/>
      <c r="BS393" s="248"/>
      <c r="BT393" s="276">
        <v>1</v>
      </c>
      <c r="BU393" s="196">
        <f t="shared" si="1036"/>
        <v>33342.763595259137</v>
      </c>
      <c r="BV393" s="264">
        <f t="shared" ref="BV393:BV456" si="1096">BU393/14417138</f>
        <v>2.3127172393896164E-3</v>
      </c>
      <c r="BW393" s="196">
        <f t="shared" si="1037"/>
        <v>142632.93315749743</v>
      </c>
      <c r="BX393" s="247">
        <f t="shared" ref="BX393:BX456" si="1097">BW393/61673312</f>
        <v>2.3127172602226622E-3</v>
      </c>
      <c r="BY393" s="196">
        <f t="shared" si="985"/>
        <v>175975.69675275657</v>
      </c>
      <c r="BZ393" s="620">
        <v>0</v>
      </c>
      <c r="CA393" s="196">
        <f t="shared" si="1022"/>
        <v>63081.706410190222</v>
      </c>
      <c r="CB393" s="196">
        <f t="shared" si="1023"/>
        <v>126163.41282038044</v>
      </c>
      <c r="CC393" s="196">
        <f t="shared" si="1056"/>
        <v>189245.11923057068</v>
      </c>
      <c r="CD393" s="247">
        <f t="shared" si="1044"/>
        <v>7.9850395710400661E-4</v>
      </c>
      <c r="CE393" s="196">
        <f t="shared" si="1024"/>
        <v>26033.386883222356</v>
      </c>
      <c r="CF393" s="247">
        <f t="shared" si="1045"/>
        <v>1.1242026080362539E-3</v>
      </c>
      <c r="CG393" s="196">
        <f t="shared" si="1069"/>
        <v>31334.703837741548</v>
      </c>
      <c r="CH393" s="589">
        <f t="shared" si="1061"/>
        <v>7.985039571040065E-4</v>
      </c>
      <c r="CI393" s="196">
        <f t="shared" si="1025"/>
        <v>79250.407053024959</v>
      </c>
      <c r="CJ393" s="248">
        <f t="shared" si="1062"/>
        <v>1.3028764907876001E-3</v>
      </c>
      <c r="CK393" s="196">
        <f t="shared" si="1026"/>
        <v>64334.262297310575</v>
      </c>
      <c r="CL393" s="589">
        <f t="shared" si="1063"/>
        <v>9.2481825351702453E-4</v>
      </c>
      <c r="CM393" s="196">
        <f t="shared" si="1027"/>
        <v>12482.869388551488</v>
      </c>
      <c r="CN393" s="589">
        <f t="shared" si="1064"/>
        <v>1.7989233423448313E-3</v>
      </c>
      <c r="CO393" s="196">
        <f t="shared" si="1028"/>
        <v>498.59545599929373</v>
      </c>
      <c r="CP393" s="589">
        <f t="shared" si="1065"/>
        <v>9.4027423217648068E-4</v>
      </c>
      <c r="CQ393" s="196">
        <f>'Detailed Budget'!$AC$12</f>
        <v>292876014141.44696</v>
      </c>
      <c r="CR393" s="269">
        <f t="shared" si="1066"/>
        <v>714512910.68353975</v>
      </c>
      <c r="CS393" s="269">
        <f>'Detailed Budget'!$AC$16</f>
        <v>10488008800.000002</v>
      </c>
      <c r="CT393" s="607">
        <f t="shared" si="1070"/>
        <v>25586994.071586836</v>
      </c>
      <c r="CU393" s="269">
        <f>'Detailed Budget'!$AC$24</f>
        <v>30624985696</v>
      </c>
      <c r="CV393" s="269">
        <f t="shared" si="1091"/>
        <v>74714031.237541556</v>
      </c>
      <c r="CW393" s="269"/>
      <c r="CX393" s="269">
        <f t="shared" si="1057"/>
        <v>814813935.99266815</v>
      </c>
      <c r="CY393" s="196">
        <f>'Detailed Budget'!$AC$97</f>
        <v>74629165494.837845</v>
      </c>
      <c r="CZ393" s="269">
        <f t="shared" si="1071"/>
        <v>0</v>
      </c>
      <c r="DA393" s="269">
        <f>'Detailed Budget'!$AC$100</f>
        <v>14925833098.967569</v>
      </c>
      <c r="DB393" s="269">
        <f t="shared" si="1072"/>
        <v>0</v>
      </c>
      <c r="DC393" s="269">
        <f t="shared" si="1046"/>
        <v>0</v>
      </c>
      <c r="DD393" s="207">
        <v>0</v>
      </c>
      <c r="DE393" s="606">
        <v>0</v>
      </c>
      <c r="DF393" s="269">
        <f>'Detailed Budget'!$AC$147</f>
        <v>5913600671000</v>
      </c>
      <c r="DG393" s="269">
        <f t="shared" si="1086"/>
        <v>0</v>
      </c>
      <c r="DH393" s="269">
        <f>'Detailed Budget'!$AC$153</f>
        <v>226428026880.00003</v>
      </c>
      <c r="DI393" s="269"/>
      <c r="DJ393" s="269">
        <f>'Detailed Budget'!$AC$156</f>
        <v>27713070000</v>
      </c>
      <c r="DK393" s="269"/>
      <c r="DL393" s="269"/>
      <c r="DM393" s="196">
        <f>'Detailed Budget'!$AC$178</f>
        <v>5622683761.6229038</v>
      </c>
      <c r="DN393" s="269">
        <f t="shared" si="1029"/>
        <v>13003677.667141346</v>
      </c>
      <c r="DO393" s="196">
        <f>'Detailed Budget'!$AC$179</f>
        <v>26827890683.128094</v>
      </c>
      <c r="DP393" s="269">
        <f t="shared" si="1030"/>
        <v>62045325.838237092</v>
      </c>
      <c r="DQ393" s="269">
        <f t="shared" si="1008"/>
        <v>75049003.50537844</v>
      </c>
      <c r="DR393" s="269">
        <f>'Detailed Budget'!$AC$181</f>
        <v>50888946855.375237</v>
      </c>
      <c r="DS393" s="269">
        <f t="shared" si="1031"/>
        <v>95844898.292342216</v>
      </c>
      <c r="DT393" s="269">
        <f t="shared" si="1032"/>
        <v>170893901.79772067</v>
      </c>
      <c r="DU393" s="272">
        <f>'Detailed Budget'!$AC$192</f>
        <v>77498869683.252869</v>
      </c>
      <c r="DV393" s="269">
        <f t="shared" si="1073"/>
        <v>0</v>
      </c>
      <c r="DW393" s="140">
        <f>'Detailed Budget'!$AC$194</f>
        <v>2684962805.4134097</v>
      </c>
      <c r="DX393" s="269">
        <f t="shared" si="1074"/>
        <v>0</v>
      </c>
      <c r="DY393" s="607">
        <f t="shared" si="1047"/>
        <v>0</v>
      </c>
      <c r="DZ393" s="196">
        <f>'Detailed Budget'!$AC$198</f>
        <v>18732540018.380611</v>
      </c>
      <c r="EA393" s="269">
        <f t="shared" si="1013"/>
        <v>21059170.343806978</v>
      </c>
      <c r="EB393" s="196">
        <f>'Detailed Budget'!$AC$200</f>
        <v>4683135004.5951529</v>
      </c>
      <c r="EC393" s="269">
        <f t="shared" si="1075"/>
        <v>5264792.5859517446</v>
      </c>
      <c r="ED393" s="269">
        <f t="shared" si="1048"/>
        <v>26323962.929758724</v>
      </c>
      <c r="EE393" s="196">
        <f>'Detailed Budget'!$AC$161</f>
        <v>251147290106.36197</v>
      </c>
      <c r="EF393" s="269">
        <f t="shared" si="1076"/>
        <v>200542104.96587792</v>
      </c>
      <c r="EG393" s="196">
        <f>'Detailed Budget'!$AC$163</f>
        <v>15696705631.647623</v>
      </c>
      <c r="EH393" s="269">
        <f t="shared" si="1077"/>
        <v>12533881.56036737</v>
      </c>
      <c r="EI393" s="269">
        <f t="shared" si="1049"/>
        <v>213075986.5262453</v>
      </c>
      <c r="EJ393" s="196">
        <f>'Detailed Budget'!$AC$204</f>
        <v>45012172507.531975</v>
      </c>
      <c r="EK393" s="269">
        <f t="shared" si="1078"/>
        <v>58645301.359339349</v>
      </c>
      <c r="EL393" s="201">
        <f>'Detailed Budget'!$AC$206</f>
        <v>11253043126.882994</v>
      </c>
      <c r="EM393" s="269">
        <f t="shared" si="1079"/>
        <v>14661325.339834837</v>
      </c>
      <c r="EN393" s="269">
        <f t="shared" si="1050"/>
        <v>73306626.699174181</v>
      </c>
      <c r="EO393" s="140">
        <f>'Detailed Budget'!$AC$209</f>
        <v>135789361677.54817</v>
      </c>
      <c r="EP393" s="269">
        <f t="shared" si="1080"/>
        <v>125580480.31282169</v>
      </c>
      <c r="EQ393" s="196">
        <f>'Detailed Budget'!$AC$211</f>
        <v>33947340419.387043</v>
      </c>
      <c r="ER393" s="269">
        <f t="shared" si="1081"/>
        <v>31395120.078205422</v>
      </c>
      <c r="ES393" s="269">
        <f t="shared" si="1051"/>
        <v>156975600.39102709</v>
      </c>
      <c r="ET393" s="196">
        <f>'Detailed Budget'!$AC$214</f>
        <v>22239745544.201103</v>
      </c>
      <c r="EU393" s="269">
        <f t="shared" si="1082"/>
        <v>40007597.38727282</v>
      </c>
      <c r="EV393" s="140">
        <f>'Detailed Budget'!$AC$217</f>
        <v>5559936386.0502758</v>
      </c>
      <c r="EW393" s="269">
        <f t="shared" si="1083"/>
        <v>10001899.346818205</v>
      </c>
      <c r="EX393" s="269">
        <f t="shared" si="1052"/>
        <v>50009496.734091029</v>
      </c>
      <c r="EY393" s="196">
        <f>'Detailed Budget'!$AC$219</f>
        <v>372777004.58170313</v>
      </c>
      <c r="EZ393" s="269">
        <f t="shared" si="1084"/>
        <v>350512.61175610934</v>
      </c>
      <c r="FA393" s="196">
        <f>'Detailed Budget'!$AC$222</f>
        <v>93194251.145425782</v>
      </c>
      <c r="FB393" s="269">
        <f t="shared" si="1085"/>
        <v>87628.152939027335</v>
      </c>
      <c r="FC393" s="269">
        <f t="shared" si="1053"/>
        <v>438140.76469513669</v>
      </c>
      <c r="FD393" s="269"/>
      <c r="FE393" s="269">
        <f t="shared" si="1054"/>
        <v>280729864.58898741</v>
      </c>
      <c r="FF393" s="140">
        <f>'Detailed Budget'!$AC$165</f>
        <v>14927760000</v>
      </c>
      <c r="FG393" s="1087">
        <f t="shared" si="1087"/>
        <v>382934117.89088821</v>
      </c>
      <c r="FH393" s="269">
        <f t="shared" si="1014"/>
        <v>16961436.200431772</v>
      </c>
      <c r="FJ393" s="140">
        <f>'Detailed Budget'!$AC$235</f>
        <v>3623696172</v>
      </c>
      <c r="FK393" s="269">
        <f t="shared" si="1015"/>
        <v>4681778</v>
      </c>
      <c r="FL393" s="269">
        <f t="shared" si="1088"/>
        <v>4681778</v>
      </c>
      <c r="FO393" s="607"/>
      <c r="FP393" s="607"/>
      <c r="FQ393" s="607"/>
      <c r="FR393" s="269">
        <f>'Detailed Budget'!$AC$257</f>
        <v>13636439388</v>
      </c>
      <c r="FS393" s="269">
        <f t="shared" si="1016"/>
        <v>22984728</v>
      </c>
      <c r="FT393" s="269">
        <f t="shared" si="1089"/>
        <v>22984728</v>
      </c>
      <c r="FU393" s="269"/>
      <c r="FV393" s="269"/>
      <c r="FW393" s="269"/>
      <c r="FX393" s="140">
        <f>'Detailed Budget'!$AC$278</f>
        <v>1114560000</v>
      </c>
      <c r="FY393" s="269">
        <f t="shared" si="1017"/>
        <v>1440000</v>
      </c>
      <c r="FZ393" s="269">
        <f t="shared" si="1090"/>
        <v>1440000</v>
      </c>
      <c r="GB393" s="269">
        <f t="shared" ref="GB393:GB456" si="1098">SUM(CX393,DC393,DG393,DL393,DT393,DY393,ED393,EI393,FE393,FG393,FH393,FL393,FT393,FZ393,GA393)</f>
        <v>1934839711.9267001</v>
      </c>
      <c r="GC393" s="887">
        <f t="shared" si="1055"/>
        <v>1209274.8199541876</v>
      </c>
      <c r="GD393" s="1078">
        <f t="shared" ref="GD393:GD456" si="1099">GB393/1782113496426</f>
        <v>1.0856994887289671E-3</v>
      </c>
    </row>
    <row r="394" spans="1:186" hidden="1" outlineLevel="1">
      <c r="A394" s="211" t="s">
        <v>926</v>
      </c>
      <c r="B394" s="212" t="s">
        <v>927</v>
      </c>
      <c r="C394" s="213" t="s">
        <v>215</v>
      </c>
      <c r="D394" s="214" t="s">
        <v>215</v>
      </c>
      <c r="E394" s="213"/>
      <c r="F394" s="213"/>
      <c r="G394" s="213"/>
      <c r="H394" s="213" t="s">
        <v>215</v>
      </c>
      <c r="I394" s="214" t="s">
        <v>215</v>
      </c>
      <c r="J394" s="214"/>
      <c r="K394" s="213" t="s">
        <v>215</v>
      </c>
      <c r="L394" s="213"/>
      <c r="M394" s="214"/>
      <c r="N394" s="213"/>
      <c r="O394" s="214"/>
      <c r="P394" s="213"/>
      <c r="Q394" s="214"/>
      <c r="R394" s="214" t="s">
        <v>215</v>
      </c>
      <c r="S394" s="214"/>
      <c r="T394" s="214"/>
      <c r="U394" s="215">
        <f t="shared" si="1018"/>
        <v>6</v>
      </c>
      <c r="V394" s="845" t="s">
        <v>219</v>
      </c>
      <c r="W394" s="216">
        <v>98348</v>
      </c>
      <c r="X394" s="217">
        <v>3.04</v>
      </c>
      <c r="Y394" s="218">
        <f t="shared" si="986"/>
        <v>1.0304</v>
      </c>
      <c r="Z394" s="196">
        <v>19</v>
      </c>
      <c r="AA394" s="218">
        <f t="shared" si="987"/>
        <v>1.7664898659259882</v>
      </c>
      <c r="AB394" s="196">
        <f t="shared" si="1009"/>
        <v>173730.74533408909</v>
      </c>
      <c r="AC394">
        <v>20.8</v>
      </c>
      <c r="AD394" s="196">
        <f t="shared" si="1010"/>
        <v>36135.995029490536</v>
      </c>
      <c r="AE394" s="196">
        <f t="shared" si="990"/>
        <v>34329.195278016006</v>
      </c>
      <c r="AF394" s="196">
        <f t="shared" si="1019"/>
        <v>34329.195278016006</v>
      </c>
      <c r="AG394" s="606">
        <f t="shared" si="1058"/>
        <v>1.5872312816643307E-3</v>
      </c>
      <c r="AH394" s="196">
        <f t="shared" si="1033"/>
        <v>8686.5372667044558</v>
      </c>
      <c r="AI394" s="248">
        <f t="shared" si="1034"/>
        <v>6.7293288066208102E-4</v>
      </c>
      <c r="AJ394" s="196">
        <f t="shared" si="1038"/>
        <v>44822.532296194993</v>
      </c>
      <c r="AK394" s="196">
        <f t="shared" si="1067"/>
        <v>6949.2298133635641</v>
      </c>
      <c r="AL394" s="196">
        <f t="shared" si="1068"/>
        <v>6949.2298133635641</v>
      </c>
      <c r="AM394" s="196">
        <f t="shared" si="1039"/>
        <v>13898.459626727128</v>
      </c>
      <c r="AN394" s="627">
        <f t="shared" si="1040"/>
        <v>6.7293288066208091E-4</v>
      </c>
      <c r="AO394" s="196">
        <f t="shared" si="1041"/>
        <v>6601.768322695385</v>
      </c>
      <c r="AP394" s="589">
        <f t="shared" si="1059"/>
        <v>6.729328806620808E-4</v>
      </c>
      <c r="AQ394" s="196"/>
      <c r="AR394" s="589"/>
      <c r="AS394">
        <v>1</v>
      </c>
      <c r="AT394" s="589">
        <f t="shared" si="1060"/>
        <v>1.2919896640826874E-3</v>
      </c>
      <c r="AU394" s="196">
        <v>10</v>
      </c>
      <c r="AV394" s="245">
        <f t="shared" si="1042"/>
        <v>1.1362345188046814E-3</v>
      </c>
      <c r="AX394" s="245"/>
      <c r="AY394" s="245"/>
      <c r="AZ394" s="196">
        <v>44</v>
      </c>
      <c r="BA394" s="589">
        <f t="shared" si="1092"/>
        <v>1.6122531237404273E-3</v>
      </c>
      <c r="BI394" s="196">
        <v>0</v>
      </c>
      <c r="BJ394" s="196">
        <f t="shared" si="1020"/>
        <v>107816.19455326468</v>
      </c>
      <c r="BK394" s="246">
        <f t="shared" si="1093"/>
        <v>2.0559897805056127E-3</v>
      </c>
      <c r="BL394" s="196">
        <f t="shared" si="1035"/>
        <v>2156.3238910652935</v>
      </c>
      <c r="BM394" s="246">
        <f t="shared" si="1094"/>
        <v>2.0559895452667318E-3</v>
      </c>
      <c r="BN394" s="196">
        <v>0</v>
      </c>
      <c r="BO394" s="196">
        <f t="shared" si="1021"/>
        <v>13414.820568206243</v>
      </c>
      <c r="BP394" s="196">
        <f t="shared" si="1043"/>
        <v>0</v>
      </c>
      <c r="BQ394" s="248">
        <f t="shared" si="1095"/>
        <v>0</v>
      </c>
      <c r="BR394" s="248"/>
      <c r="BS394" s="248"/>
      <c r="BT394" s="276">
        <v>1</v>
      </c>
      <c r="BU394" s="196">
        <f t="shared" si="1036"/>
        <v>28099.349734931842</v>
      </c>
      <c r="BV394" s="264">
        <f t="shared" si="1096"/>
        <v>1.949024122189289E-3</v>
      </c>
      <c r="BW394" s="196">
        <f t="shared" si="1037"/>
        <v>120202.77386609734</v>
      </c>
      <c r="BX394" s="247">
        <f t="shared" si="1097"/>
        <v>1.9490241397461731E-3</v>
      </c>
      <c r="BY394" s="196">
        <f t="shared" si="985"/>
        <v>148302.12360102919</v>
      </c>
      <c r="BZ394" s="620">
        <v>0</v>
      </c>
      <c r="CA394" s="196">
        <f t="shared" si="1022"/>
        <v>53161.608072231269</v>
      </c>
      <c r="CB394" s="196">
        <f t="shared" si="1023"/>
        <v>106323.21614446254</v>
      </c>
      <c r="CC394" s="196">
        <f t="shared" si="1056"/>
        <v>159484.82421669381</v>
      </c>
      <c r="CD394" s="247">
        <f t="shared" si="1044"/>
        <v>6.7293288066208102E-4</v>
      </c>
      <c r="CE394" s="196">
        <f t="shared" si="1024"/>
        <v>21939.430447224961</v>
      </c>
      <c r="CF394" s="247">
        <f t="shared" si="1045"/>
        <v>9.4741283714781083E-4</v>
      </c>
      <c r="CG394" s="196">
        <f t="shared" si="1069"/>
        <v>26407.07329078154</v>
      </c>
      <c r="CH394" s="589">
        <f t="shared" si="1061"/>
        <v>6.729328806620808E-4</v>
      </c>
      <c r="CI394" s="196">
        <f t="shared" si="1025"/>
        <v>66787.652380898871</v>
      </c>
      <c r="CJ394" s="248">
        <f t="shared" si="1062"/>
        <v>1.0979888356125013E-3</v>
      </c>
      <c r="CK394" s="196">
        <f t="shared" si="1026"/>
        <v>54217.189617959732</v>
      </c>
      <c r="CL394" s="589">
        <f t="shared" si="1063"/>
        <v>7.7938325275828905E-4</v>
      </c>
      <c r="CM394" s="196">
        <f t="shared" si="1027"/>
        <v>10519.839234149629</v>
      </c>
      <c r="CN394" s="589">
        <f t="shared" si="1064"/>
        <v>1.5160283879428404E-3</v>
      </c>
      <c r="CO394" s="196">
        <f t="shared" si="1028"/>
        <v>420.18736852286668</v>
      </c>
      <c r="CP394" s="589">
        <f t="shared" si="1065"/>
        <v>7.9240865626471746E-4</v>
      </c>
      <c r="CQ394" s="196">
        <f>'Detailed Budget'!$AC$12</f>
        <v>292876014141.44696</v>
      </c>
      <c r="CR394" s="269">
        <f t="shared" si="1066"/>
        <v>602150092.03003228</v>
      </c>
      <c r="CS394" s="269">
        <f>'Detailed Budget'!$AC$16</f>
        <v>10488008800.000002</v>
      </c>
      <c r="CT394" s="607">
        <f t="shared" si="1070"/>
        <v>21563236.443465486</v>
      </c>
      <c r="CU394" s="269">
        <f>'Detailed Budget'!$AC$24</f>
        <v>30624985696</v>
      </c>
      <c r="CV394" s="269">
        <f t="shared" si="1091"/>
        <v>62964657.619106568</v>
      </c>
      <c r="CW394" s="269"/>
      <c r="CX394" s="269">
        <f t="shared" si="1057"/>
        <v>686677986.09260428</v>
      </c>
      <c r="CY394" s="196">
        <f>'Detailed Budget'!$AC$97</f>
        <v>74629165494.837845</v>
      </c>
      <c r="CZ394" s="269">
        <f t="shared" si="1071"/>
        <v>0</v>
      </c>
      <c r="DA394" s="269">
        <f>'Detailed Budget'!$AC$100</f>
        <v>14925833098.967569</v>
      </c>
      <c r="DB394" s="269">
        <f t="shared" si="1072"/>
        <v>0</v>
      </c>
      <c r="DC394" s="269">
        <f t="shared" si="1046"/>
        <v>0</v>
      </c>
      <c r="DD394" s="207">
        <v>0</v>
      </c>
      <c r="DE394" s="606">
        <v>0</v>
      </c>
      <c r="DF394" s="269">
        <f>'Detailed Budget'!$AC$147</f>
        <v>5913600671000</v>
      </c>
      <c r="DG394" s="269">
        <f t="shared" si="1086"/>
        <v>0</v>
      </c>
      <c r="DH394" s="269">
        <f>'Detailed Budget'!$AC$153</f>
        <v>226428026880.00003</v>
      </c>
      <c r="DI394" s="269"/>
      <c r="DJ394" s="269">
        <f>'Detailed Budget'!$AC$156</f>
        <v>27713070000</v>
      </c>
      <c r="DK394" s="269"/>
      <c r="DL394" s="269"/>
      <c r="DM394" s="196">
        <f>'Detailed Budget'!$AC$178</f>
        <v>5622683761.6229038</v>
      </c>
      <c r="DN394" s="269">
        <f t="shared" si="1029"/>
        <v>10958746.28284505</v>
      </c>
      <c r="DO394" s="196">
        <f>'Detailed Budget'!$AC$179</f>
        <v>26827890683.128094</v>
      </c>
      <c r="DP394" s="269">
        <f t="shared" si="1030"/>
        <v>52288206.559888102</v>
      </c>
      <c r="DQ394" s="269">
        <f t="shared" si="1008"/>
        <v>63246952.842733152</v>
      </c>
      <c r="DR394" s="269">
        <f>'Detailed Budget'!$AC$181</f>
        <v>50888946855.375237</v>
      </c>
      <c r="DS394" s="269">
        <f t="shared" si="1031"/>
        <v>80772528.339805245</v>
      </c>
      <c r="DT394" s="269">
        <f t="shared" si="1032"/>
        <v>144019481.18253839</v>
      </c>
      <c r="DU394" s="272">
        <f>'Detailed Budget'!$AC$192</f>
        <v>77498869683.252869</v>
      </c>
      <c r="DV394" s="269">
        <f t="shared" si="1073"/>
        <v>0</v>
      </c>
      <c r="DW394" s="140">
        <f>'Detailed Budget'!$AC$194</f>
        <v>2684962805.4134097</v>
      </c>
      <c r="DX394" s="269">
        <f t="shared" si="1074"/>
        <v>0</v>
      </c>
      <c r="DY394" s="607">
        <f t="shared" si="1047"/>
        <v>0</v>
      </c>
      <c r="DZ394" s="196">
        <f>'Detailed Budget'!$AC$198</f>
        <v>18732540018.380611</v>
      </c>
      <c r="EA394" s="269">
        <f t="shared" si="1013"/>
        <v>17747448.885798879</v>
      </c>
      <c r="EB394" s="196">
        <f>'Detailed Budget'!$AC$200</f>
        <v>4683135004.5951529</v>
      </c>
      <c r="EC394" s="269">
        <f t="shared" si="1075"/>
        <v>4436862.2214497197</v>
      </c>
      <c r="ED394" s="269">
        <f t="shared" si="1048"/>
        <v>22184311.107248597</v>
      </c>
      <c r="EE394" s="196">
        <f>'Detailed Budget'!$AC$161</f>
        <v>251147290106.36197</v>
      </c>
      <c r="EF394" s="269">
        <f t="shared" si="1076"/>
        <v>169005269.40174946</v>
      </c>
      <c r="EG394" s="196">
        <f>'Detailed Budget'!$AC$163</f>
        <v>15696705631.647623</v>
      </c>
      <c r="EH394" s="269">
        <f t="shared" si="1077"/>
        <v>10562829.337609341</v>
      </c>
      <c r="EI394" s="269">
        <f t="shared" si="1049"/>
        <v>179568098.73935881</v>
      </c>
      <c r="EJ394" s="196">
        <f>'Detailed Budget'!$AC$204</f>
        <v>45012172507.531975</v>
      </c>
      <c r="EK394" s="269">
        <f t="shared" si="1078"/>
        <v>49422862.87993408</v>
      </c>
      <c r="EL394" s="201">
        <f>'Detailed Budget'!$AC$206</f>
        <v>11253043126.882994</v>
      </c>
      <c r="EM394" s="269">
        <f t="shared" si="1079"/>
        <v>12355715.71998352</v>
      </c>
      <c r="EN394" s="269">
        <f t="shared" si="1050"/>
        <v>61778578.599917598</v>
      </c>
      <c r="EO394" s="140">
        <f>'Detailed Budget'!$AC$209</f>
        <v>135789361677.54817</v>
      </c>
      <c r="EP394" s="269">
        <f t="shared" si="1080"/>
        <v>105831954.39421925</v>
      </c>
      <c r="EQ394" s="196">
        <f>'Detailed Budget'!$AC$211</f>
        <v>33947340419.387043</v>
      </c>
      <c r="ER394" s="269">
        <f t="shared" si="1081"/>
        <v>26457988.598554812</v>
      </c>
      <c r="ES394" s="269">
        <f t="shared" si="1051"/>
        <v>132289942.99277407</v>
      </c>
      <c r="ET394" s="196">
        <f>'Detailed Budget'!$AC$214</f>
        <v>22239745544.201103</v>
      </c>
      <c r="EU394" s="269">
        <f t="shared" si="1082"/>
        <v>33716085.585634165</v>
      </c>
      <c r="EV394" s="140">
        <f>'Detailed Budget'!$AC$217</f>
        <v>5559936386.0502758</v>
      </c>
      <c r="EW394" s="269">
        <f t="shared" si="1083"/>
        <v>8429021.3964085411</v>
      </c>
      <c r="EX394" s="269">
        <f t="shared" si="1052"/>
        <v>42145106.982042708</v>
      </c>
      <c r="EY394" s="196">
        <f>'Detailed Budget'!$AC$219</f>
        <v>372777004.58170313</v>
      </c>
      <c r="EZ394" s="269">
        <f t="shared" si="1084"/>
        <v>295391.72528697381</v>
      </c>
      <c r="FA394" s="196">
        <f>'Detailed Budget'!$AC$222</f>
        <v>93194251.145425782</v>
      </c>
      <c r="FB394" s="269">
        <f t="shared" si="1085"/>
        <v>73847.931321743454</v>
      </c>
      <c r="FC394" s="269">
        <f t="shared" si="1053"/>
        <v>369239.65660871728</v>
      </c>
      <c r="FD394" s="269"/>
      <c r="FE394" s="269">
        <f t="shared" si="1054"/>
        <v>236582868.23134309</v>
      </c>
      <c r="FF394" s="140">
        <f>'Detailed Budget'!$AC$165</f>
        <v>14927760000</v>
      </c>
      <c r="FG394" s="1087">
        <f t="shared" si="1087"/>
        <v>322714692.5992552</v>
      </c>
      <c r="FH394" s="269">
        <f t="shared" si="1014"/>
        <v>16961436.200431772</v>
      </c>
      <c r="FJ394" s="140">
        <f>'Detailed Budget'!$AC$235</f>
        <v>3623696172</v>
      </c>
      <c r="FK394" s="269">
        <f t="shared" si="1015"/>
        <v>4681778</v>
      </c>
      <c r="FL394" s="269">
        <f t="shared" si="1088"/>
        <v>4681778</v>
      </c>
      <c r="FO394" s="607"/>
      <c r="FP394" s="607"/>
      <c r="FQ394" s="607"/>
      <c r="FR394" s="269">
        <f>'Detailed Budget'!$AC$257</f>
        <v>13636439388</v>
      </c>
      <c r="FS394" s="269">
        <f t="shared" si="1016"/>
        <v>21985392</v>
      </c>
      <c r="FT394" s="269">
        <f t="shared" si="1089"/>
        <v>21985392</v>
      </c>
      <c r="FU394" s="269"/>
      <c r="FV394" s="269"/>
      <c r="FW394" s="269"/>
      <c r="FX394" s="140">
        <f>'Detailed Budget'!$AC$278</f>
        <v>1114560000</v>
      </c>
      <c r="FY394" s="269">
        <f t="shared" si="1017"/>
        <v>1440000</v>
      </c>
      <c r="FZ394" s="269">
        <f t="shared" si="1090"/>
        <v>1440000</v>
      </c>
      <c r="GB394" s="269">
        <f t="shared" si="1098"/>
        <v>1636816044.1527801</v>
      </c>
      <c r="GC394" s="887">
        <f t="shared" si="1055"/>
        <v>1023010.0275954875</v>
      </c>
      <c r="GD394" s="1078">
        <f t="shared" si="1099"/>
        <v>9.1846902424306219E-4</v>
      </c>
    </row>
    <row r="395" spans="1:186" hidden="1" outlineLevel="1">
      <c r="A395" s="211" t="s">
        <v>928</v>
      </c>
      <c r="B395" s="212" t="s">
        <v>929</v>
      </c>
      <c r="C395" s="213" t="s">
        <v>215</v>
      </c>
      <c r="D395" s="214" t="s">
        <v>215</v>
      </c>
      <c r="E395" s="213"/>
      <c r="F395" s="213"/>
      <c r="G395" s="213"/>
      <c r="H395" s="213" t="s">
        <v>215</v>
      </c>
      <c r="I395" s="214" t="s">
        <v>215</v>
      </c>
      <c r="J395" s="214"/>
      <c r="K395" s="213" t="s">
        <v>215</v>
      </c>
      <c r="L395" s="213"/>
      <c r="M395" s="214"/>
      <c r="N395" s="213"/>
      <c r="O395" s="214"/>
      <c r="P395" s="213"/>
      <c r="Q395" s="214"/>
      <c r="R395" s="214" t="s">
        <v>215</v>
      </c>
      <c r="S395" s="214"/>
      <c r="T395" s="214"/>
      <c r="U395" s="215">
        <f t="shared" si="1018"/>
        <v>6</v>
      </c>
      <c r="V395" s="845" t="s">
        <v>219</v>
      </c>
      <c r="W395" s="216">
        <v>201800</v>
      </c>
      <c r="X395" s="217">
        <v>3.04</v>
      </c>
      <c r="Y395" s="218">
        <f t="shared" si="986"/>
        <v>1.0304</v>
      </c>
      <c r="Z395" s="196">
        <v>19</v>
      </c>
      <c r="AA395" s="218">
        <f t="shared" si="987"/>
        <v>1.7664898659259882</v>
      </c>
      <c r="AB395" s="196">
        <f t="shared" si="1009"/>
        <v>356477.65494386444</v>
      </c>
      <c r="AC395">
        <v>20.8</v>
      </c>
      <c r="AD395" s="196">
        <f t="shared" si="1010"/>
        <v>74147.352228323813</v>
      </c>
      <c r="AE395" s="196">
        <f t="shared" si="990"/>
        <v>70439.984616907619</v>
      </c>
      <c r="AF395" s="196">
        <f t="shared" si="1019"/>
        <v>70439.984616907619</v>
      </c>
      <c r="AG395" s="606">
        <f t="shared" si="1058"/>
        <v>3.2568356513590713E-3</v>
      </c>
      <c r="AH395" s="196">
        <f t="shared" si="1033"/>
        <v>17823.882747193224</v>
      </c>
      <c r="AI395" s="248">
        <f t="shared" si="1034"/>
        <v>1.3807891906048718E-3</v>
      </c>
      <c r="AJ395" s="196">
        <f t="shared" si="1038"/>
        <v>91971.234975517029</v>
      </c>
      <c r="AK395" s="196">
        <f t="shared" si="1067"/>
        <v>14259.106197754578</v>
      </c>
      <c r="AL395" s="196">
        <f t="shared" si="1068"/>
        <v>14259.106197754578</v>
      </c>
      <c r="AM395" s="196">
        <f t="shared" si="1039"/>
        <v>28518.212395509156</v>
      </c>
      <c r="AN395" s="627">
        <f t="shared" si="1040"/>
        <v>1.3807891906048718E-3</v>
      </c>
      <c r="AO395" s="196">
        <f t="shared" si="1041"/>
        <v>13546.150887866848</v>
      </c>
      <c r="AP395" s="589">
        <f t="shared" si="1059"/>
        <v>1.3807891906048716E-3</v>
      </c>
      <c r="AQ395" s="196"/>
      <c r="AR395" s="589"/>
      <c r="AS395">
        <v>1</v>
      </c>
      <c r="AT395" s="589">
        <f t="shared" si="1060"/>
        <v>1.2919896640826874E-3</v>
      </c>
      <c r="AU395" s="196">
        <v>10</v>
      </c>
      <c r="AV395" s="245">
        <f t="shared" si="1042"/>
        <v>1.1362345188046814E-3</v>
      </c>
      <c r="AX395" s="245"/>
      <c r="AY395" s="245"/>
      <c r="AZ395" s="196">
        <v>52</v>
      </c>
      <c r="BA395" s="589">
        <f t="shared" si="1092"/>
        <v>1.9053900553295958E-3</v>
      </c>
      <c r="BI395" s="196">
        <v>0</v>
      </c>
      <c r="BJ395" s="196">
        <f t="shared" si="1020"/>
        <v>221227.76325750208</v>
      </c>
      <c r="BK395" s="246">
        <f t="shared" si="1093"/>
        <v>4.2186799701674944E-3</v>
      </c>
      <c r="BL395" s="196">
        <f t="shared" si="1035"/>
        <v>4424.555265150042</v>
      </c>
      <c r="BM395" s="246">
        <f t="shared" si="1094"/>
        <v>4.2186794874814592E-3</v>
      </c>
      <c r="BN395" s="196">
        <v>0</v>
      </c>
      <c r="BO395" s="196">
        <f t="shared" si="1021"/>
        <v>27525.834695815065</v>
      </c>
      <c r="BP395" s="196">
        <f t="shared" si="1043"/>
        <v>0</v>
      </c>
      <c r="BQ395" s="248">
        <f t="shared" si="1095"/>
        <v>0</v>
      </c>
      <c r="BR395" s="248"/>
      <c r="BS395" s="248"/>
      <c r="BT395" s="276">
        <v>1</v>
      </c>
      <c r="BU395" s="196">
        <f t="shared" si="1036"/>
        <v>57656.981092744601</v>
      </c>
      <c r="BV395" s="264">
        <f t="shared" si="1096"/>
        <v>3.9991974199556531E-3</v>
      </c>
      <c r="BW395" s="196">
        <f t="shared" si="1037"/>
        <v>246643.75245229635</v>
      </c>
      <c r="BX395" s="247">
        <f t="shared" si="1097"/>
        <v>3.9991974559805766E-3</v>
      </c>
      <c r="BY395" s="196">
        <f t="shared" si="985"/>
        <v>304300.73354504094</v>
      </c>
      <c r="BZ395" s="620">
        <v>0</v>
      </c>
      <c r="CA395" s="196">
        <f t="shared" si="1022"/>
        <v>109082.16241282251</v>
      </c>
      <c r="CB395" s="196">
        <f t="shared" si="1023"/>
        <v>218164.32482564502</v>
      </c>
      <c r="CC395" s="196">
        <f t="shared" si="1056"/>
        <v>327246.48723846755</v>
      </c>
      <c r="CD395" s="247">
        <f t="shared" si="1044"/>
        <v>1.3807891906048718E-3</v>
      </c>
      <c r="CE395" s="196">
        <f t="shared" si="1024"/>
        <v>45017.459066274823</v>
      </c>
      <c r="CF395" s="247">
        <f t="shared" si="1045"/>
        <v>1.943993884333471E-3</v>
      </c>
      <c r="CG395" s="196">
        <f t="shared" si="1069"/>
        <v>54184.603551467393</v>
      </c>
      <c r="CH395" s="589">
        <f t="shared" si="1061"/>
        <v>1.3807891906048716E-3</v>
      </c>
      <c r="CI395" s="196">
        <f t="shared" si="1025"/>
        <v>137041.4065407064</v>
      </c>
      <c r="CJ395" s="248">
        <f t="shared" si="1062"/>
        <v>2.2529603756721315E-3</v>
      </c>
      <c r="CK395" s="196">
        <f t="shared" si="1026"/>
        <v>111248.10738301006</v>
      </c>
      <c r="CL395" s="589">
        <f t="shared" si="1063"/>
        <v>1.5992144263901934E-3</v>
      </c>
      <c r="CM395" s="196">
        <f t="shared" si="1027"/>
        <v>21585.63018517301</v>
      </c>
      <c r="CN395" s="589">
        <f t="shared" si="1064"/>
        <v>3.1107346228379344E-3</v>
      </c>
      <c r="CO395" s="196">
        <f t="shared" si="1028"/>
        <v>862.18134550691934</v>
      </c>
      <c r="CP395" s="589">
        <f t="shared" si="1065"/>
        <v>1.6259412172511896E-3</v>
      </c>
      <c r="CQ395" s="196">
        <f>'Detailed Budget'!$AC$12</f>
        <v>292876014141.44696</v>
      </c>
      <c r="CR395" s="269">
        <f t="shared" si="1066"/>
        <v>1235550174.6010141</v>
      </c>
      <c r="CS395" s="269">
        <f>'Detailed Budget'!$AC$16</f>
        <v>10488008800.000002</v>
      </c>
      <c r="CT395" s="607">
        <f t="shared" si="1070"/>
        <v>44245547.589085042</v>
      </c>
      <c r="CU395" s="269">
        <f>'Detailed Budget'!$AC$24</f>
        <v>30624985696</v>
      </c>
      <c r="CV395" s="269">
        <f t="shared" si="1091"/>
        <v>129197013.74238123</v>
      </c>
      <c r="CW395" s="269"/>
      <c r="CX395" s="269">
        <f t="shared" si="1057"/>
        <v>1408992735.9324806</v>
      </c>
      <c r="CY395" s="196">
        <f>'Detailed Budget'!$AC$97</f>
        <v>74629165494.837845</v>
      </c>
      <c r="CZ395" s="269">
        <f t="shared" si="1071"/>
        <v>0</v>
      </c>
      <c r="DA395" s="269">
        <f>'Detailed Budget'!$AC$100</f>
        <v>14925833098.967569</v>
      </c>
      <c r="DB395" s="269">
        <f t="shared" si="1072"/>
        <v>0</v>
      </c>
      <c r="DC395" s="269">
        <f t="shared" si="1046"/>
        <v>0</v>
      </c>
      <c r="DD395" s="207">
        <v>0</v>
      </c>
      <c r="DE395" s="606">
        <v>0</v>
      </c>
      <c r="DF395" s="269">
        <f>'Detailed Budget'!$AC$147</f>
        <v>5913600671000</v>
      </c>
      <c r="DG395" s="269">
        <f t="shared" si="1086"/>
        <v>0</v>
      </c>
      <c r="DH395" s="269">
        <f>'Detailed Budget'!$AC$153</f>
        <v>226428026880.00003</v>
      </c>
      <c r="DI395" s="269"/>
      <c r="DJ395" s="269">
        <f>'Detailed Budget'!$AC$156</f>
        <v>27713070000</v>
      </c>
      <c r="DK395" s="269"/>
      <c r="DL395" s="269"/>
      <c r="DM395" s="196">
        <f>'Detailed Budget'!$AC$178</f>
        <v>5622683761.6229038</v>
      </c>
      <c r="DN395" s="269">
        <f t="shared" si="1029"/>
        <v>22486222.392708864</v>
      </c>
      <c r="DO395" s="196">
        <f>'Detailed Budget'!$AC$179</f>
        <v>26827890683.128094</v>
      </c>
      <c r="DP395" s="269">
        <f t="shared" si="1030"/>
        <v>107290032.16929089</v>
      </c>
      <c r="DQ395" s="269">
        <f t="shared" si="1008"/>
        <v>129776254.56199975</v>
      </c>
      <c r="DR395" s="269">
        <f>'Detailed Budget'!$AC$181</f>
        <v>50888946855.375237</v>
      </c>
      <c r="DS395" s="269">
        <f t="shared" si="1031"/>
        <v>165736936.37870318</v>
      </c>
      <c r="DT395" s="269">
        <f t="shared" si="1032"/>
        <v>295513190.94070292</v>
      </c>
      <c r="DU395" s="272">
        <f>'Detailed Budget'!$AC$192</f>
        <v>77498869683.252869</v>
      </c>
      <c r="DV395" s="269">
        <f t="shared" si="1073"/>
        <v>0</v>
      </c>
      <c r="DW395" s="140">
        <f>'Detailed Budget'!$AC$194</f>
        <v>2684962805.4134097</v>
      </c>
      <c r="DX395" s="269">
        <f t="shared" si="1074"/>
        <v>0</v>
      </c>
      <c r="DY395" s="607">
        <f t="shared" si="1047"/>
        <v>0</v>
      </c>
      <c r="DZ395" s="196">
        <f>'Detailed Budget'!$AC$198</f>
        <v>18732540018.380611</v>
      </c>
      <c r="EA395" s="269">
        <f t="shared" si="1013"/>
        <v>36415943.233763918</v>
      </c>
      <c r="EB395" s="196">
        <f>'Detailed Budget'!$AC$200</f>
        <v>4683135004.5951529</v>
      </c>
      <c r="EC395" s="269">
        <f t="shared" si="1075"/>
        <v>9103985.8084409796</v>
      </c>
      <c r="ED395" s="269">
        <f t="shared" si="1048"/>
        <v>45519929.042204902</v>
      </c>
      <c r="EE395" s="196">
        <f>'Detailed Budget'!$AC$161</f>
        <v>251147290106.36197</v>
      </c>
      <c r="EF395" s="269">
        <f t="shared" si="1076"/>
        <v>346781463.42857045</v>
      </c>
      <c r="EG395" s="196">
        <f>'Detailed Budget'!$AC$163</f>
        <v>15696705631.647623</v>
      </c>
      <c r="EH395" s="269">
        <f t="shared" si="1077"/>
        <v>21673841.464285653</v>
      </c>
      <c r="EI395" s="269">
        <f t="shared" si="1049"/>
        <v>368455304.89285612</v>
      </c>
      <c r="EJ395" s="196">
        <f>'Detailed Budget'!$AC$204</f>
        <v>45012172507.531975</v>
      </c>
      <c r="EK395" s="269">
        <f t="shared" si="1078"/>
        <v>101410641.08238803</v>
      </c>
      <c r="EL395" s="201">
        <f>'Detailed Budget'!$AC$206</f>
        <v>11253043126.882994</v>
      </c>
      <c r="EM395" s="269">
        <f t="shared" si="1079"/>
        <v>25352660.270597007</v>
      </c>
      <c r="EN395" s="269">
        <f t="shared" si="1050"/>
        <v>126763301.35298504</v>
      </c>
      <c r="EO395" s="140">
        <f>'Detailed Budget'!$AC$209</f>
        <v>135789361677.54817</v>
      </c>
      <c r="EP395" s="269">
        <f t="shared" si="1080"/>
        <v>217156306.1450507</v>
      </c>
      <c r="EQ395" s="196">
        <f>'Detailed Budget'!$AC$211</f>
        <v>33947340419.387043</v>
      </c>
      <c r="ER395" s="269">
        <f t="shared" si="1081"/>
        <v>54289076.536262676</v>
      </c>
      <c r="ES395" s="269">
        <f t="shared" si="1051"/>
        <v>271445382.6813134</v>
      </c>
      <c r="ET395" s="196">
        <f>'Detailed Budget'!$AC$214</f>
        <v>22239745544.201103</v>
      </c>
      <c r="EU395" s="269">
        <f t="shared" si="1082"/>
        <v>69181946.467452049</v>
      </c>
      <c r="EV395" s="140">
        <f>'Detailed Budget'!$AC$217</f>
        <v>5559936386.0502758</v>
      </c>
      <c r="EW395" s="269">
        <f t="shared" si="1083"/>
        <v>17295486.616863012</v>
      </c>
      <c r="EX395" s="269">
        <f t="shared" si="1052"/>
        <v>86477433.084315062</v>
      </c>
      <c r="EY395" s="196">
        <f>'Detailed Budget'!$AC$219</f>
        <v>372777004.58170313</v>
      </c>
      <c r="EZ395" s="269">
        <f t="shared" si="1084"/>
        <v>606113.49659282668</v>
      </c>
      <c r="FA395" s="196">
        <f>'Detailed Budget'!$AC$222</f>
        <v>93194251.145425782</v>
      </c>
      <c r="FB395" s="269">
        <f t="shared" si="1085"/>
        <v>151528.37414820667</v>
      </c>
      <c r="FC395" s="269">
        <f t="shared" si="1053"/>
        <v>757641.87074103334</v>
      </c>
      <c r="FD395" s="269"/>
      <c r="FE395" s="269">
        <f t="shared" si="1054"/>
        <v>485443758.98935449</v>
      </c>
      <c r="FF395" s="140">
        <f>'Detailed Budget'!$AC$165</f>
        <v>14927760000</v>
      </c>
      <c r="FG395" s="1087">
        <f t="shared" si="1087"/>
        <v>662177420.65450954</v>
      </c>
      <c r="FH395" s="269">
        <f t="shared" si="1014"/>
        <v>16961436.200431772</v>
      </c>
      <c r="FJ395" s="140">
        <f>'Detailed Budget'!$AC$235</f>
        <v>3623696172</v>
      </c>
      <c r="FK395" s="269">
        <f t="shared" si="1015"/>
        <v>4681778</v>
      </c>
      <c r="FL395" s="269">
        <f t="shared" si="1088"/>
        <v>4681778</v>
      </c>
      <c r="FO395" s="607"/>
      <c r="FP395" s="607"/>
      <c r="FQ395" s="607"/>
      <c r="FR395" s="269">
        <f>'Detailed Budget'!$AC$257</f>
        <v>13636439388</v>
      </c>
      <c r="FS395" s="269">
        <f t="shared" si="1016"/>
        <v>25982736</v>
      </c>
      <c r="FT395" s="269">
        <f t="shared" si="1089"/>
        <v>25982736</v>
      </c>
      <c r="FU395" s="269"/>
      <c r="FV395" s="269"/>
      <c r="FW395" s="269"/>
      <c r="FX395" s="140">
        <f>'Detailed Budget'!$AC$278</f>
        <v>1114560000</v>
      </c>
      <c r="FY395" s="269">
        <f t="shared" si="1017"/>
        <v>1440000</v>
      </c>
      <c r="FZ395" s="269">
        <f t="shared" si="1090"/>
        <v>1440000</v>
      </c>
      <c r="GB395" s="269">
        <f t="shared" si="1098"/>
        <v>3315168290.6525402</v>
      </c>
      <c r="GC395" s="887">
        <f t="shared" si="1055"/>
        <v>2071980.1816578377</v>
      </c>
      <c r="GD395" s="1078">
        <f t="shared" si="1099"/>
        <v>1.8602453195607671E-3</v>
      </c>
    </row>
    <row r="396" spans="1:186" hidden="1" outlineLevel="1">
      <c r="A396" s="211" t="s">
        <v>930</v>
      </c>
      <c r="B396" s="212" t="s">
        <v>931</v>
      </c>
      <c r="C396" s="213" t="s">
        <v>215</v>
      </c>
      <c r="D396" s="214" t="s">
        <v>215</v>
      </c>
      <c r="E396" s="213"/>
      <c r="F396" s="213"/>
      <c r="G396" s="213"/>
      <c r="H396" s="213" t="s">
        <v>215</v>
      </c>
      <c r="I396" s="214" t="s">
        <v>215</v>
      </c>
      <c r="J396" s="214"/>
      <c r="K396" s="213" t="s">
        <v>215</v>
      </c>
      <c r="L396" s="213"/>
      <c r="M396" s="214"/>
      <c r="N396" s="213"/>
      <c r="O396" s="214"/>
      <c r="P396" s="213"/>
      <c r="Q396" s="214"/>
      <c r="R396" s="214" t="s">
        <v>215</v>
      </c>
      <c r="S396" s="214"/>
      <c r="T396" s="214"/>
      <c r="U396" s="215">
        <f t="shared" si="1018"/>
        <v>6</v>
      </c>
      <c r="V396" s="845" t="s">
        <v>219</v>
      </c>
      <c r="W396" s="216">
        <v>182891</v>
      </c>
      <c r="X396" s="217">
        <v>3.04</v>
      </c>
      <c r="Y396" s="218">
        <f t="shared" si="986"/>
        <v>1.0304</v>
      </c>
      <c r="Z396" s="196">
        <v>19</v>
      </c>
      <c r="AA396" s="218">
        <f t="shared" si="987"/>
        <v>1.7664898659259882</v>
      </c>
      <c r="AB396" s="196">
        <f t="shared" si="1009"/>
        <v>323075.09806906991</v>
      </c>
      <c r="AC396">
        <v>20.8</v>
      </c>
      <c r="AD396" s="196">
        <f t="shared" si="1010"/>
        <v>67199.620398366547</v>
      </c>
      <c r="AE396" s="196">
        <f t="shared" si="990"/>
        <v>63839.639378448213</v>
      </c>
      <c r="AF396" s="196">
        <f t="shared" si="1019"/>
        <v>63839.639378448213</v>
      </c>
      <c r="AG396" s="606">
        <f t="shared" si="1058"/>
        <v>2.9516646635912381E-3</v>
      </c>
      <c r="AH396" s="196">
        <f t="shared" si="1033"/>
        <v>16153.754903453497</v>
      </c>
      <c r="AI396" s="248">
        <f t="shared" si="1034"/>
        <v>1.2514069170412071E-3</v>
      </c>
      <c r="AJ396" s="196">
        <f t="shared" si="1038"/>
        <v>83353.375301820051</v>
      </c>
      <c r="AK396" s="196">
        <f t="shared" si="1067"/>
        <v>12923.003922762797</v>
      </c>
      <c r="AL396" s="196">
        <f t="shared" si="1068"/>
        <v>12923.003922762797</v>
      </c>
      <c r="AM396" s="196">
        <f t="shared" si="1039"/>
        <v>25846.007845525593</v>
      </c>
      <c r="AN396" s="627">
        <f t="shared" si="1040"/>
        <v>1.2514069170412071E-3</v>
      </c>
      <c r="AO396" s="196">
        <f t="shared" si="1041"/>
        <v>12276.853726624657</v>
      </c>
      <c r="AP396" s="589">
        <f t="shared" si="1059"/>
        <v>1.2514069170412071E-3</v>
      </c>
      <c r="AQ396" s="196"/>
      <c r="AR396" s="589"/>
      <c r="AS396">
        <v>1</v>
      </c>
      <c r="AT396" s="589">
        <f t="shared" si="1060"/>
        <v>1.2919896640826874E-3</v>
      </c>
      <c r="AU396" s="196">
        <v>12</v>
      </c>
      <c r="AV396" s="245">
        <f t="shared" si="1042"/>
        <v>1.3634814225656176E-3</v>
      </c>
      <c r="AX396" s="245"/>
      <c r="AY396" s="245"/>
      <c r="AZ396" s="196">
        <v>50</v>
      </c>
      <c r="BA396" s="589">
        <f t="shared" si="1092"/>
        <v>1.8321058224323038E-3</v>
      </c>
      <c r="BI396" s="196">
        <v>0</v>
      </c>
      <c r="BJ396" s="196">
        <f t="shared" si="1020"/>
        <v>200498.34910767002</v>
      </c>
      <c r="BK396" s="246">
        <f t="shared" si="1093"/>
        <v>3.8233825491769233E-3</v>
      </c>
      <c r="BL396" s="196">
        <f t="shared" si="1035"/>
        <v>4009.9669821534003</v>
      </c>
      <c r="BM396" s="246">
        <f t="shared" si="1094"/>
        <v>3.8233821117193826E-3</v>
      </c>
      <c r="BN396" s="196">
        <v>0</v>
      </c>
      <c r="BO396" s="196">
        <f t="shared" si="1021"/>
        <v>24946.617608286982</v>
      </c>
      <c r="BP396" s="196">
        <f t="shared" si="1043"/>
        <v>0</v>
      </c>
      <c r="BQ396" s="248">
        <f t="shared" si="1095"/>
        <v>0</v>
      </c>
      <c r="BR396" s="248"/>
      <c r="BS396" s="248"/>
      <c r="BT396" s="276">
        <v>1</v>
      </c>
      <c r="BU396" s="196">
        <f t="shared" si="1036"/>
        <v>52254.424821769826</v>
      </c>
      <c r="BV396" s="264">
        <f t="shared" si="1096"/>
        <v>3.6244658837121368E-3</v>
      </c>
      <c r="BW396" s="196">
        <f t="shared" si="1037"/>
        <v>223532.81729312651</v>
      </c>
      <c r="BX396" s="247">
        <f t="shared" si="1097"/>
        <v>3.6244659163614645E-3</v>
      </c>
      <c r="BY396" s="196">
        <f t="shared" si="985"/>
        <v>275787.24211489636</v>
      </c>
      <c r="BZ396" s="620">
        <v>0</v>
      </c>
      <c r="CA396" s="196">
        <f t="shared" si="1022"/>
        <v>98860.980009135383</v>
      </c>
      <c r="CB396" s="196">
        <f t="shared" si="1023"/>
        <v>197721.96001827077</v>
      </c>
      <c r="CC396" s="196">
        <f t="shared" si="1056"/>
        <v>296582.94002740615</v>
      </c>
      <c r="CD396" s="247">
        <f t="shared" si="1044"/>
        <v>1.2514069170412069E-3</v>
      </c>
      <c r="CE396" s="196">
        <f t="shared" si="1024"/>
        <v>40799.247304707969</v>
      </c>
      <c r="CF396" s="247">
        <f t="shared" si="1045"/>
        <v>1.7618383820596274E-3</v>
      </c>
      <c r="CG396" s="196">
        <f t="shared" si="1069"/>
        <v>49107.414906498627</v>
      </c>
      <c r="CH396" s="589">
        <f t="shared" si="1061"/>
        <v>1.2514069170412071E-3</v>
      </c>
      <c r="CI396" s="196">
        <f t="shared" si="1025"/>
        <v>124200.39585548233</v>
      </c>
      <c r="CJ396" s="248">
        <f t="shared" si="1062"/>
        <v>2.0418541926018421E-3</v>
      </c>
      <c r="CK396" s="196">
        <f t="shared" si="1026"/>
        <v>100823.9722863533</v>
      </c>
      <c r="CL396" s="589">
        <f t="shared" si="1063"/>
        <v>1.4493653402226406E-3</v>
      </c>
      <c r="CM396" s="196">
        <f t="shared" si="1027"/>
        <v>19563.020268565298</v>
      </c>
      <c r="CN396" s="589">
        <f t="shared" si="1064"/>
        <v>2.8192535475988737E-3</v>
      </c>
      <c r="CO396" s="196">
        <f t="shared" si="1028"/>
        <v>781.3935007983448</v>
      </c>
      <c r="CP396" s="589">
        <f t="shared" si="1065"/>
        <v>1.4735877857496894E-3</v>
      </c>
      <c r="CQ396" s="196">
        <f>'Detailed Budget'!$AC$12</f>
        <v>292876014141.44696</v>
      </c>
      <c r="CR396" s="269">
        <f t="shared" si="1066"/>
        <v>1119777041.5409021</v>
      </c>
      <c r="CS396" s="269">
        <f>'Detailed Budget'!$AC$16</f>
        <v>10488008800.000002</v>
      </c>
      <c r="CT396" s="607">
        <f t="shared" si="1070"/>
        <v>40099665.233475477</v>
      </c>
      <c r="CU396" s="269">
        <f>'Detailed Budget'!$AC$24</f>
        <v>30624985696</v>
      </c>
      <c r="CV396" s="269">
        <f t="shared" si="1091"/>
        <v>117091035.87887929</v>
      </c>
      <c r="CW396" s="269"/>
      <c r="CX396" s="269">
        <f t="shared" si="1057"/>
        <v>1276967742.6532569</v>
      </c>
      <c r="CY396" s="196">
        <f>'Detailed Budget'!$AC$97</f>
        <v>74629165494.837845</v>
      </c>
      <c r="CZ396" s="269">
        <f t="shared" si="1071"/>
        <v>0</v>
      </c>
      <c r="DA396" s="269">
        <f>'Detailed Budget'!$AC$100</f>
        <v>14925833098.967569</v>
      </c>
      <c r="DB396" s="269">
        <f t="shared" si="1072"/>
        <v>0</v>
      </c>
      <c r="DC396" s="269">
        <f t="shared" si="1046"/>
        <v>0</v>
      </c>
      <c r="DD396" s="207">
        <v>0</v>
      </c>
      <c r="DE396" s="606">
        <v>0</v>
      </c>
      <c r="DF396" s="269">
        <f>'Detailed Budget'!$AC$147</f>
        <v>5913600671000</v>
      </c>
      <c r="DG396" s="269">
        <f t="shared" si="1086"/>
        <v>0</v>
      </c>
      <c r="DH396" s="269">
        <f>'Detailed Budget'!$AC$153</f>
        <v>226428026880.00003</v>
      </c>
      <c r="DI396" s="269"/>
      <c r="DJ396" s="269">
        <f>'Detailed Budget'!$AC$156</f>
        <v>27713070000</v>
      </c>
      <c r="DK396" s="269"/>
      <c r="DL396" s="269"/>
      <c r="DM396" s="196">
        <f>'Detailed Budget'!$AC$178</f>
        <v>5622683761.6229038</v>
      </c>
      <c r="DN396" s="269">
        <f t="shared" si="1029"/>
        <v>20379225.468904439</v>
      </c>
      <c r="DO396" s="196">
        <f>'Detailed Budget'!$AC$179</f>
        <v>26827890683.128094</v>
      </c>
      <c r="DP396" s="269">
        <f t="shared" si="1030"/>
        <v>97236775.388869062</v>
      </c>
      <c r="DQ396" s="269">
        <f t="shared" si="1008"/>
        <v>117616000.8577735</v>
      </c>
      <c r="DR396" s="269">
        <f>'Detailed Budget'!$AC$181</f>
        <v>50888946855.375237</v>
      </c>
      <c r="DS396" s="269">
        <f t="shared" si="1031"/>
        <v>150207106.20038354</v>
      </c>
      <c r="DT396" s="269">
        <f t="shared" si="1032"/>
        <v>267823107.05815703</v>
      </c>
      <c r="DU396" s="272">
        <f>'Detailed Budget'!$AC$192</f>
        <v>77498869683.252869</v>
      </c>
      <c r="DV396" s="269">
        <f t="shared" si="1073"/>
        <v>0</v>
      </c>
      <c r="DW396" s="140">
        <f>'Detailed Budget'!$AC$194</f>
        <v>2684962805.4134097</v>
      </c>
      <c r="DX396" s="269">
        <f t="shared" si="1074"/>
        <v>0</v>
      </c>
      <c r="DY396" s="607">
        <f t="shared" si="1047"/>
        <v>0</v>
      </c>
      <c r="DZ396" s="196">
        <f>'Detailed Budget'!$AC$198</f>
        <v>18732540018.380611</v>
      </c>
      <c r="EA396" s="269">
        <f t="shared" si="1013"/>
        <v>33003707.997850917</v>
      </c>
      <c r="EB396" s="196">
        <f>'Detailed Budget'!$AC$200</f>
        <v>4683135004.5951529</v>
      </c>
      <c r="EC396" s="269">
        <f t="shared" si="1075"/>
        <v>8250926.9994627293</v>
      </c>
      <c r="ED396" s="269">
        <f t="shared" si="1048"/>
        <v>41254634.997313648</v>
      </c>
      <c r="EE396" s="196">
        <f>'Detailed Budget'!$AC$161</f>
        <v>251147290106.36197</v>
      </c>
      <c r="EF396" s="269">
        <f t="shared" si="1076"/>
        <v>314287456.03525609</v>
      </c>
      <c r="EG396" s="196">
        <f>'Detailed Budget'!$AC$163</f>
        <v>15696705631.647623</v>
      </c>
      <c r="EH396" s="269">
        <f t="shared" si="1077"/>
        <v>19642966.002203505</v>
      </c>
      <c r="EI396" s="269">
        <f t="shared" si="1049"/>
        <v>333930422.03745961</v>
      </c>
      <c r="EJ396" s="196">
        <f>'Detailed Budget'!$AC$204</f>
        <v>45012172507.531975</v>
      </c>
      <c r="EK396" s="269">
        <f t="shared" si="1078"/>
        <v>91908293.152621537</v>
      </c>
      <c r="EL396" s="201">
        <f>'Detailed Budget'!$AC$206</f>
        <v>11253043126.882994</v>
      </c>
      <c r="EM396" s="269">
        <f t="shared" si="1079"/>
        <v>22977073.288155384</v>
      </c>
      <c r="EN396" s="269">
        <f t="shared" si="1050"/>
        <v>114885366.44077691</v>
      </c>
      <c r="EO396" s="140">
        <f>'Detailed Budget'!$AC$209</f>
        <v>135789361677.54817</v>
      </c>
      <c r="EP396" s="269">
        <f t="shared" si="1080"/>
        <v>196808394.3863948</v>
      </c>
      <c r="EQ396" s="196">
        <f>'Detailed Budget'!$AC$211</f>
        <v>33947340419.387043</v>
      </c>
      <c r="ER396" s="269">
        <f t="shared" si="1081"/>
        <v>49202098.5965987</v>
      </c>
      <c r="ES396" s="269">
        <f t="shared" si="1051"/>
        <v>246010492.98299348</v>
      </c>
      <c r="ET396" s="196">
        <f>'Detailed Budget'!$AC$214</f>
        <v>22239745544.201103</v>
      </c>
      <c r="EU396" s="269">
        <f t="shared" si="1082"/>
        <v>62699481.523185201</v>
      </c>
      <c r="EV396" s="140">
        <f>'Detailed Budget'!$AC$217</f>
        <v>5559936386.0502758</v>
      </c>
      <c r="EW396" s="269">
        <f t="shared" si="1083"/>
        <v>15674870.3807963</v>
      </c>
      <c r="EX396" s="269">
        <f t="shared" si="1052"/>
        <v>78374351.903981507</v>
      </c>
      <c r="EY396" s="196">
        <f>'Detailed Budget'!$AC$219</f>
        <v>372777004.58170313</v>
      </c>
      <c r="EZ396" s="269">
        <f t="shared" si="1084"/>
        <v>549319.64075995376</v>
      </c>
      <c r="FA396" s="196">
        <f>'Detailed Budget'!$AC$222</f>
        <v>93194251.145425782</v>
      </c>
      <c r="FB396" s="269">
        <f t="shared" si="1085"/>
        <v>137329.91018998844</v>
      </c>
      <c r="FC396" s="269">
        <f t="shared" si="1053"/>
        <v>686649.5509499422</v>
      </c>
      <c r="FD396" s="269"/>
      <c r="FE396" s="269">
        <f t="shared" si="1054"/>
        <v>439956860.87870187</v>
      </c>
      <c r="FF396" s="140">
        <f>'Detailed Budget'!$AC$165</f>
        <v>14927760000</v>
      </c>
      <c r="FG396" s="1087">
        <f t="shared" si="1087"/>
        <v>600130280.67851293</v>
      </c>
      <c r="FH396" s="269">
        <f t="shared" si="1014"/>
        <v>20353723.440518126</v>
      </c>
      <c r="FJ396" s="140">
        <f>'Detailed Budget'!$AC$235</f>
        <v>3623696172</v>
      </c>
      <c r="FK396" s="269">
        <f t="shared" si="1015"/>
        <v>4681778</v>
      </c>
      <c r="FL396" s="269">
        <f t="shared" si="1088"/>
        <v>4681778</v>
      </c>
      <c r="FO396" s="607"/>
      <c r="FP396" s="607"/>
      <c r="FQ396" s="607"/>
      <c r="FR396" s="269">
        <f>'Detailed Budget'!$AC$257</f>
        <v>13636439388</v>
      </c>
      <c r="FS396" s="269">
        <f t="shared" si="1016"/>
        <v>24983400</v>
      </c>
      <c r="FT396" s="269">
        <f t="shared" si="1089"/>
        <v>24983400</v>
      </c>
      <c r="FU396" s="269"/>
      <c r="FV396" s="269"/>
      <c r="FW396" s="269"/>
      <c r="FX396" s="140">
        <f>'Detailed Budget'!$AC$278</f>
        <v>1114560000</v>
      </c>
      <c r="FY396" s="269">
        <f t="shared" si="1017"/>
        <v>1440000</v>
      </c>
      <c r="FZ396" s="269">
        <f t="shared" si="1090"/>
        <v>1440000</v>
      </c>
      <c r="GB396" s="269">
        <f t="shared" si="1098"/>
        <v>3011521949.7439198</v>
      </c>
      <c r="GC396" s="887">
        <f t="shared" si="1055"/>
        <v>1882201.2185899499</v>
      </c>
      <c r="GD396" s="1078">
        <f t="shared" si="1099"/>
        <v>1.6898597961260485E-3</v>
      </c>
    </row>
    <row r="397" spans="1:186" hidden="1" outlineLevel="1">
      <c r="A397" s="211" t="s">
        <v>932</v>
      </c>
      <c r="B397" s="212" t="s">
        <v>933</v>
      </c>
      <c r="C397" s="213" t="s">
        <v>215</v>
      </c>
      <c r="D397" s="214" t="s">
        <v>215</v>
      </c>
      <c r="E397" s="213"/>
      <c r="F397" s="213"/>
      <c r="G397" s="213"/>
      <c r="H397" s="213" t="s">
        <v>215</v>
      </c>
      <c r="I397" s="214" t="s">
        <v>215</v>
      </c>
      <c r="J397" s="214"/>
      <c r="K397" s="213" t="s">
        <v>215</v>
      </c>
      <c r="L397" s="213"/>
      <c r="M397" s="214"/>
      <c r="N397" s="213"/>
      <c r="O397" s="214"/>
      <c r="P397" s="213"/>
      <c r="Q397" s="214"/>
      <c r="R397" s="214" t="s">
        <v>215</v>
      </c>
      <c r="S397" s="214"/>
      <c r="T397" s="214"/>
      <c r="U397" s="215">
        <f t="shared" si="1018"/>
        <v>6</v>
      </c>
      <c r="V397" s="845" t="s">
        <v>219</v>
      </c>
      <c r="W397" s="216">
        <v>176301</v>
      </c>
      <c r="X397" s="217">
        <v>3.04</v>
      </c>
      <c r="Y397" s="218">
        <f t="shared" si="986"/>
        <v>1.0304</v>
      </c>
      <c r="Z397" s="196">
        <v>19</v>
      </c>
      <c r="AA397" s="218">
        <f t="shared" si="987"/>
        <v>1.7664898659259882</v>
      </c>
      <c r="AB397" s="196">
        <f t="shared" si="1009"/>
        <v>311433.92985261767</v>
      </c>
      <c r="AC397">
        <v>20.8</v>
      </c>
      <c r="AD397" s="196">
        <f t="shared" si="1010"/>
        <v>64778.257409344471</v>
      </c>
      <c r="AE397" s="196">
        <f t="shared" si="990"/>
        <v>61539.344538877245</v>
      </c>
      <c r="AF397" s="196">
        <f t="shared" si="1019"/>
        <v>61539.344538877245</v>
      </c>
      <c r="AG397" s="606">
        <f t="shared" si="1058"/>
        <v>2.84530912869304E-3</v>
      </c>
      <c r="AH397" s="196">
        <f t="shared" si="1033"/>
        <v>15571.696492630885</v>
      </c>
      <c r="AI397" s="248">
        <f t="shared" si="1034"/>
        <v>1.2063157338594128E-3</v>
      </c>
      <c r="AJ397" s="196">
        <f t="shared" si="1038"/>
        <v>80349.953901975357</v>
      </c>
      <c r="AK397" s="196">
        <f t="shared" si="1067"/>
        <v>12457.357194104707</v>
      </c>
      <c r="AL397" s="196">
        <f t="shared" si="1068"/>
        <v>12457.357194104707</v>
      </c>
      <c r="AM397" s="196">
        <f t="shared" si="1039"/>
        <v>24914.714388209413</v>
      </c>
      <c r="AN397" s="627">
        <f t="shared" si="1040"/>
        <v>1.2063157338594128E-3</v>
      </c>
      <c r="AO397" s="196">
        <f t="shared" si="1041"/>
        <v>11834.489334399472</v>
      </c>
      <c r="AP397" s="589">
        <f t="shared" si="1059"/>
        <v>1.2063157338594128E-3</v>
      </c>
      <c r="AQ397" s="196"/>
      <c r="AR397" s="589"/>
      <c r="AS397">
        <v>1</v>
      </c>
      <c r="AT397" s="589">
        <f t="shared" si="1060"/>
        <v>1.2919896640826874E-3</v>
      </c>
      <c r="AU397" s="196">
        <v>11</v>
      </c>
      <c r="AV397" s="245">
        <f t="shared" si="1042"/>
        <v>1.2498579706851495E-3</v>
      </c>
      <c r="AX397" s="245"/>
      <c r="AY397" s="245"/>
      <c r="AZ397" s="196">
        <v>69</v>
      </c>
      <c r="BA397" s="589">
        <f t="shared" si="1092"/>
        <v>2.528306034956579E-3</v>
      </c>
      <c r="BI397" s="196">
        <v>0</v>
      </c>
      <c r="BJ397" s="196">
        <f t="shared" si="1020"/>
        <v>193273.91422230363</v>
      </c>
      <c r="BK397" s="246">
        <f t="shared" si="1093"/>
        <v>3.6856169346902844E-3</v>
      </c>
      <c r="BL397" s="196">
        <f t="shared" si="1035"/>
        <v>3865.4782844460728</v>
      </c>
      <c r="BM397" s="246">
        <f t="shared" si="1094"/>
        <v>3.685616512995385E-3</v>
      </c>
      <c r="BN397" s="196">
        <v>0</v>
      </c>
      <c r="BO397" s="196">
        <f t="shared" si="1021"/>
        <v>24047.731331550505</v>
      </c>
      <c r="BP397" s="196">
        <f t="shared" si="1043"/>
        <v>0</v>
      </c>
      <c r="BQ397" s="248">
        <f t="shared" si="1095"/>
        <v>0</v>
      </c>
      <c r="BR397" s="248"/>
      <c r="BS397" s="248"/>
      <c r="BT397" s="276">
        <v>1</v>
      </c>
      <c r="BU397" s="196">
        <f t="shared" si="1036"/>
        <v>50371.572961506259</v>
      </c>
      <c r="BV397" s="264">
        <f t="shared" si="1096"/>
        <v>3.4938677122675985E-3</v>
      </c>
      <c r="BW397" s="196">
        <f t="shared" si="1037"/>
        <v>215478.39544644346</v>
      </c>
      <c r="BX397" s="247">
        <f t="shared" si="1097"/>
        <v>3.4938677437404927E-3</v>
      </c>
      <c r="BY397" s="196">
        <f t="shared" si="985"/>
        <v>265849.96840794972</v>
      </c>
      <c r="BZ397" s="620">
        <v>0</v>
      </c>
      <c r="CA397" s="196">
        <f t="shared" si="1022"/>
        <v>95298.782534900995</v>
      </c>
      <c r="CB397" s="196">
        <f t="shared" si="1023"/>
        <v>190597.56506980199</v>
      </c>
      <c r="CC397" s="196">
        <f t="shared" si="1056"/>
        <v>285896.34760470298</v>
      </c>
      <c r="CD397" s="247">
        <f t="shared" si="1044"/>
        <v>1.2063157338594126E-3</v>
      </c>
      <c r="CE397" s="196">
        <f t="shared" si="1024"/>
        <v>39329.152878311783</v>
      </c>
      <c r="CF397" s="247">
        <f t="shared" si="1045"/>
        <v>1.69835513281405E-3</v>
      </c>
      <c r="CG397" s="196">
        <f t="shared" si="1069"/>
        <v>47337.957337597887</v>
      </c>
      <c r="CH397" s="589">
        <f t="shared" si="1061"/>
        <v>1.2063157338594128E-3</v>
      </c>
      <c r="CI397" s="196">
        <f t="shared" si="1025"/>
        <v>119725.15864486163</v>
      </c>
      <c r="CJ397" s="248">
        <f t="shared" si="1062"/>
        <v>1.9682813042188919E-3</v>
      </c>
      <c r="CK397" s="196">
        <f t="shared" si="1026"/>
        <v>97191.043507096416</v>
      </c>
      <c r="CL397" s="589">
        <f t="shared" si="1063"/>
        <v>1.3971412417592541E-3</v>
      </c>
      <c r="CM397" s="196">
        <f t="shared" si="1027"/>
        <v>18858.117875501419</v>
      </c>
      <c r="CN397" s="589">
        <f t="shared" si="1064"/>
        <v>2.7176691017886554E-3</v>
      </c>
      <c r="CO397" s="196">
        <f t="shared" si="1028"/>
        <v>753.23802474834179</v>
      </c>
      <c r="CP397" s="589">
        <f t="shared" si="1065"/>
        <v>1.4204908946610602E-3</v>
      </c>
      <c r="CQ397" s="196">
        <f>'Detailed Budget'!$AC$12</f>
        <v>292876014141.44696</v>
      </c>
      <c r="CR397" s="269">
        <f t="shared" si="1066"/>
        <v>1079428797.4843082</v>
      </c>
      <c r="CS397" s="269">
        <f>'Detailed Budget'!$AC$16</f>
        <v>10488008800.000002</v>
      </c>
      <c r="CT397" s="607">
        <f t="shared" si="1070"/>
        <v>38654778.421720922</v>
      </c>
      <c r="CU397" s="269">
        <f>'Detailed Budget'!$AC$24</f>
        <v>30624985696</v>
      </c>
      <c r="CV397" s="269">
        <f t="shared" si="1091"/>
        <v>112871965.90582533</v>
      </c>
      <c r="CW397" s="269"/>
      <c r="CX397" s="269">
        <f t="shared" si="1057"/>
        <v>1230955541.8118546</v>
      </c>
      <c r="CY397" s="196">
        <f>'Detailed Budget'!$AC$97</f>
        <v>74629165494.837845</v>
      </c>
      <c r="CZ397" s="269">
        <f t="shared" si="1071"/>
        <v>0</v>
      </c>
      <c r="DA397" s="269">
        <f>'Detailed Budget'!$AC$100</f>
        <v>14925833098.967569</v>
      </c>
      <c r="DB397" s="269">
        <f t="shared" si="1072"/>
        <v>0</v>
      </c>
      <c r="DC397" s="269">
        <f t="shared" si="1046"/>
        <v>0</v>
      </c>
      <c r="DD397" s="207">
        <v>0</v>
      </c>
      <c r="DE397" s="606">
        <v>0</v>
      </c>
      <c r="DF397" s="269">
        <f>'Detailed Budget'!$AC$147</f>
        <v>5913600671000</v>
      </c>
      <c r="DG397" s="269">
        <f t="shared" si="1086"/>
        <v>0</v>
      </c>
      <c r="DH397" s="269">
        <f>'Detailed Budget'!$AC$153</f>
        <v>226428026880.00003</v>
      </c>
      <c r="DI397" s="269"/>
      <c r="DJ397" s="269">
        <f>'Detailed Budget'!$AC$156</f>
        <v>27713070000</v>
      </c>
      <c r="DK397" s="269"/>
      <c r="DL397" s="269"/>
      <c r="DM397" s="196">
        <f>'Detailed Budget'!$AC$178</f>
        <v>5622683761.6229038</v>
      </c>
      <c r="DN397" s="269">
        <f t="shared" si="1029"/>
        <v>19644913.251025591</v>
      </c>
      <c r="DO397" s="196">
        <f>'Detailed Budget'!$AC$179</f>
        <v>26827890683.128094</v>
      </c>
      <c r="DP397" s="269">
        <f t="shared" si="1030"/>
        <v>93733101.890377343</v>
      </c>
      <c r="DQ397" s="269">
        <f t="shared" si="1008"/>
        <v>113378015.14140293</v>
      </c>
      <c r="DR397" s="269">
        <f>'Detailed Budget'!$AC$181</f>
        <v>50888946855.375237</v>
      </c>
      <c r="DS397" s="269">
        <f t="shared" si="1031"/>
        <v>144794785.03717414</v>
      </c>
      <c r="DT397" s="269">
        <f t="shared" si="1032"/>
        <v>258172800.17857707</v>
      </c>
      <c r="DU397" s="272">
        <f>'Detailed Budget'!$AC$192</f>
        <v>77498869683.252869</v>
      </c>
      <c r="DV397" s="269">
        <f t="shared" si="1073"/>
        <v>0</v>
      </c>
      <c r="DW397" s="140">
        <f>'Detailed Budget'!$AC$194</f>
        <v>2684962805.4134097</v>
      </c>
      <c r="DX397" s="269">
        <f t="shared" si="1074"/>
        <v>0</v>
      </c>
      <c r="DY397" s="607">
        <f t="shared" si="1047"/>
        <v>0</v>
      </c>
      <c r="DZ397" s="196">
        <f>'Detailed Budget'!$AC$198</f>
        <v>18732540018.380611</v>
      </c>
      <c r="EA397" s="269">
        <f t="shared" si="1013"/>
        <v>31814505.490861312</v>
      </c>
      <c r="EB397" s="196">
        <f>'Detailed Budget'!$AC$200</f>
        <v>4683135004.5951529</v>
      </c>
      <c r="EC397" s="269">
        <f t="shared" si="1075"/>
        <v>7953626.3727153279</v>
      </c>
      <c r="ED397" s="269">
        <f t="shared" si="1048"/>
        <v>39768131.863576636</v>
      </c>
      <c r="EE397" s="196">
        <f>'Detailed Budget'!$AC$161</f>
        <v>251147290106.36197</v>
      </c>
      <c r="EF397" s="269">
        <f t="shared" si="1076"/>
        <v>302962927.57145888</v>
      </c>
      <c r="EG397" s="196">
        <f>'Detailed Budget'!$AC$163</f>
        <v>15696705631.647623</v>
      </c>
      <c r="EH397" s="269">
        <f t="shared" si="1077"/>
        <v>18935182.97321618</v>
      </c>
      <c r="EI397" s="269">
        <f t="shared" si="1049"/>
        <v>321898110.54467505</v>
      </c>
      <c r="EJ397" s="196">
        <f>'Detailed Budget'!$AC$204</f>
        <v>45012172507.531975</v>
      </c>
      <c r="EK397" s="269">
        <f t="shared" si="1078"/>
        <v>88596617.608850792</v>
      </c>
      <c r="EL397" s="201">
        <f>'Detailed Budget'!$AC$206</f>
        <v>11253043126.882994</v>
      </c>
      <c r="EM397" s="269">
        <f t="shared" si="1079"/>
        <v>22149154.402212698</v>
      </c>
      <c r="EN397" s="269">
        <f t="shared" si="1050"/>
        <v>110745772.01106349</v>
      </c>
      <c r="EO397" s="140">
        <f>'Detailed Budget'!$AC$209</f>
        <v>135789361677.54817</v>
      </c>
      <c r="EP397" s="269">
        <f t="shared" si="1080"/>
        <v>189716917.39186612</v>
      </c>
      <c r="EQ397" s="196">
        <f>'Detailed Budget'!$AC$211</f>
        <v>33947340419.387043</v>
      </c>
      <c r="ER397" s="269">
        <f t="shared" si="1081"/>
        <v>47429229.347966529</v>
      </c>
      <c r="ES397" s="269">
        <f t="shared" si="1051"/>
        <v>237146146.73983264</v>
      </c>
      <c r="ET397" s="196">
        <f>'Detailed Budget'!$AC$214</f>
        <v>22239745544.201103</v>
      </c>
      <c r="EU397" s="269">
        <f t="shared" si="1082"/>
        <v>60440269.297117263</v>
      </c>
      <c r="EV397" s="140">
        <f>'Detailed Budget'!$AC$217</f>
        <v>5559936386.0502758</v>
      </c>
      <c r="EW397" s="269">
        <f t="shared" si="1083"/>
        <v>15110067.324279316</v>
      </c>
      <c r="EX397" s="269">
        <f t="shared" si="1052"/>
        <v>75550336.621396571</v>
      </c>
      <c r="EY397" s="196">
        <f>'Detailed Budget'!$AC$219</f>
        <v>372777004.58170313</v>
      </c>
      <c r="EZ397" s="269">
        <f t="shared" si="1084"/>
        <v>529526.3407473336</v>
      </c>
      <c r="FA397" s="196">
        <f>'Detailed Budget'!$AC$222</f>
        <v>93194251.145425782</v>
      </c>
      <c r="FB397" s="269">
        <f t="shared" si="1085"/>
        <v>132381.5851868334</v>
      </c>
      <c r="FC397" s="269">
        <f t="shared" si="1053"/>
        <v>661907.925934167</v>
      </c>
      <c r="FD397" s="269"/>
      <c r="FE397" s="269">
        <f t="shared" si="1054"/>
        <v>424104163.29822683</v>
      </c>
      <c r="FF397" s="140">
        <f>'Detailed Budget'!$AC$165</f>
        <v>14927760000</v>
      </c>
      <c r="FG397" s="1087">
        <f t="shared" si="1087"/>
        <v>578506151.82760489</v>
      </c>
      <c r="FH397" s="269">
        <f t="shared" si="1014"/>
        <v>18657579.820474949</v>
      </c>
      <c r="FJ397" s="140">
        <f>'Detailed Budget'!$AC$235</f>
        <v>3623696172</v>
      </c>
      <c r="FK397" s="269">
        <f t="shared" si="1015"/>
        <v>4681778</v>
      </c>
      <c r="FL397" s="269">
        <f t="shared" si="1088"/>
        <v>4681778</v>
      </c>
      <c r="FO397" s="607"/>
      <c r="FP397" s="607"/>
      <c r="FQ397" s="607"/>
      <c r="FR397" s="269">
        <f>'Detailed Budget'!$AC$257</f>
        <v>13636439388</v>
      </c>
      <c r="FS397" s="269">
        <f t="shared" si="1016"/>
        <v>34477092</v>
      </c>
      <c r="FT397" s="269">
        <f t="shared" si="1089"/>
        <v>34477092</v>
      </c>
      <c r="FU397" s="269"/>
      <c r="FV397" s="269"/>
      <c r="FW397" s="269"/>
      <c r="FX397" s="140">
        <f>'Detailed Budget'!$AC$278</f>
        <v>1114560000</v>
      </c>
      <c r="FY397" s="269">
        <f t="shared" si="1017"/>
        <v>1440000</v>
      </c>
      <c r="FZ397" s="269">
        <f t="shared" si="1090"/>
        <v>1440000</v>
      </c>
      <c r="GB397" s="269">
        <f t="shared" si="1098"/>
        <v>2912661349.3449903</v>
      </c>
      <c r="GC397" s="887">
        <f t="shared" si="1055"/>
        <v>1820413.343340619</v>
      </c>
      <c r="GD397" s="1078">
        <f t="shared" si="1099"/>
        <v>1.6343860002105846E-3</v>
      </c>
    </row>
    <row r="398" spans="1:186" hidden="1" outlineLevel="1">
      <c r="A398" s="211" t="s">
        <v>934</v>
      </c>
      <c r="B398" s="212" t="s">
        <v>935</v>
      </c>
      <c r="C398" s="213" t="s">
        <v>215</v>
      </c>
      <c r="D398" s="214" t="s">
        <v>215</v>
      </c>
      <c r="E398" s="213"/>
      <c r="F398" s="213"/>
      <c r="G398" s="213"/>
      <c r="H398" s="213" t="s">
        <v>215</v>
      </c>
      <c r="I398" s="214" t="s">
        <v>215</v>
      </c>
      <c r="J398" s="214"/>
      <c r="K398" s="213" t="s">
        <v>215</v>
      </c>
      <c r="L398" s="213"/>
      <c r="M398" s="214"/>
      <c r="N398" s="213"/>
      <c r="O398" s="214"/>
      <c r="P398" s="213"/>
      <c r="Q398" s="214"/>
      <c r="R398" s="214" t="s">
        <v>215</v>
      </c>
      <c r="S398" s="214"/>
      <c r="T398" s="214"/>
      <c r="U398" s="215">
        <f t="shared" si="1018"/>
        <v>6</v>
      </c>
      <c r="V398" s="845" t="s">
        <v>219</v>
      </c>
      <c r="W398" s="216">
        <v>171070</v>
      </c>
      <c r="X398" s="217">
        <v>3.04</v>
      </c>
      <c r="Y398" s="218">
        <f t="shared" si="986"/>
        <v>1.0304</v>
      </c>
      <c r="Z398" s="196">
        <v>19</v>
      </c>
      <c r="AA398" s="218">
        <f t="shared" si="987"/>
        <v>1.7664898659259882</v>
      </c>
      <c r="AB398" s="196">
        <f t="shared" si="1009"/>
        <v>302193.4213639588</v>
      </c>
      <c r="AC398">
        <v>20.8</v>
      </c>
      <c r="AD398" s="196">
        <f t="shared" si="1010"/>
        <v>62856.231643703431</v>
      </c>
      <c r="AE398" s="196">
        <f t="shared" si="990"/>
        <v>59713.420061518256</v>
      </c>
      <c r="AF398" s="196">
        <f t="shared" si="1019"/>
        <v>59713.420061518256</v>
      </c>
      <c r="AG398" s="606">
        <f t="shared" si="1058"/>
        <v>2.7608863968186137E-3</v>
      </c>
      <c r="AH398" s="196">
        <f t="shared" si="1033"/>
        <v>15109.67106819794</v>
      </c>
      <c r="AI398" s="248">
        <f t="shared" si="1034"/>
        <v>1.1705233242654876E-3</v>
      </c>
      <c r="AJ398" s="196">
        <f t="shared" si="1038"/>
        <v>77965.902711901377</v>
      </c>
      <c r="AK398" s="196">
        <f t="shared" si="1067"/>
        <v>12087.736854558352</v>
      </c>
      <c r="AL398" s="196">
        <f t="shared" si="1068"/>
        <v>12087.736854558352</v>
      </c>
      <c r="AM398" s="196">
        <f t="shared" si="1039"/>
        <v>24175.473709116704</v>
      </c>
      <c r="AN398" s="627">
        <f t="shared" si="1040"/>
        <v>1.1705233242654876E-3</v>
      </c>
      <c r="AO398" s="196">
        <f t="shared" si="1041"/>
        <v>11483.350011830435</v>
      </c>
      <c r="AP398" s="589">
        <f t="shared" si="1059"/>
        <v>1.1705233242654876E-3</v>
      </c>
      <c r="AQ398" s="196"/>
      <c r="AR398" s="589"/>
      <c r="AS398">
        <v>1</v>
      </c>
      <c r="AT398" s="589">
        <f t="shared" si="1060"/>
        <v>1.2919896640826874E-3</v>
      </c>
      <c r="AU398" s="196">
        <v>11</v>
      </c>
      <c r="AV398" s="245">
        <f t="shared" si="1042"/>
        <v>1.2498579706851495E-3</v>
      </c>
      <c r="AX398" s="245"/>
      <c r="AY398" s="245"/>
      <c r="AZ398" s="196">
        <v>54</v>
      </c>
      <c r="BA398" s="589">
        <f t="shared" si="1092"/>
        <v>1.9786742882268878E-3</v>
      </c>
      <c r="BI398" s="196">
        <v>0</v>
      </c>
      <c r="BJ398" s="196">
        <f t="shared" si="1020"/>
        <v>187539.31348097563</v>
      </c>
      <c r="BK398" s="246">
        <f t="shared" si="1093"/>
        <v>3.5762615584566562E-3</v>
      </c>
      <c r="BL398" s="196">
        <f t="shared" si="1035"/>
        <v>3750.7862696195125</v>
      </c>
      <c r="BM398" s="246">
        <f t="shared" si="1094"/>
        <v>3.5762611492738015E-3</v>
      </c>
      <c r="BN398" s="196">
        <v>0</v>
      </c>
      <c r="BO398" s="196">
        <f t="shared" si="1021"/>
        <v>23334.214774098527</v>
      </c>
      <c r="BP398" s="196">
        <f t="shared" si="1043"/>
        <v>0</v>
      </c>
      <c r="BQ398" s="248">
        <f t="shared" si="1095"/>
        <v>0</v>
      </c>
      <c r="BR398" s="248"/>
      <c r="BS398" s="248"/>
      <c r="BT398" s="276">
        <v>1</v>
      </c>
      <c r="BU398" s="196">
        <f t="shared" si="1036"/>
        <v>48877.005726143791</v>
      </c>
      <c r="BV398" s="264">
        <f t="shared" si="1096"/>
        <v>3.3902016978781635E-3</v>
      </c>
      <c r="BW398" s="196">
        <f t="shared" si="1037"/>
        <v>209084.96893961512</v>
      </c>
      <c r="BX398" s="247">
        <f t="shared" si="1097"/>
        <v>3.3902017284172304E-3</v>
      </c>
      <c r="BY398" s="196">
        <f t="shared" si="985"/>
        <v>257961.9746657589</v>
      </c>
      <c r="BZ398" s="620">
        <v>0</v>
      </c>
      <c r="CA398" s="196">
        <f t="shared" si="1022"/>
        <v>92471.1869373714</v>
      </c>
      <c r="CB398" s="196">
        <f t="shared" si="1023"/>
        <v>184942.3738747428</v>
      </c>
      <c r="CC398" s="196">
        <f t="shared" si="1056"/>
        <v>277413.56081211421</v>
      </c>
      <c r="CD398" s="247">
        <f t="shared" si="1044"/>
        <v>1.1705233242654876E-3</v>
      </c>
      <c r="CE398" s="196">
        <f t="shared" si="1024"/>
        <v>38162.223599938719</v>
      </c>
      <c r="CF398" s="247">
        <f t="shared" si="1045"/>
        <v>1.647963497487249E-3</v>
      </c>
      <c r="CG398" s="196">
        <f t="shared" si="1069"/>
        <v>45933.400047321738</v>
      </c>
      <c r="CH398" s="589">
        <f t="shared" si="1061"/>
        <v>1.1705233242654876E-3</v>
      </c>
      <c r="CI398" s="196">
        <f t="shared" si="1025"/>
        <v>116172.81177858594</v>
      </c>
      <c r="CJ398" s="248">
        <f t="shared" si="1062"/>
        <v>1.9098807307543679E-3</v>
      </c>
      <c r="CK398" s="196">
        <f t="shared" si="1026"/>
        <v>94307.302923743962</v>
      </c>
      <c r="CL398" s="589">
        <f t="shared" si="1063"/>
        <v>1.3556868777134308E-3</v>
      </c>
      <c r="CM398" s="196">
        <f t="shared" si="1027"/>
        <v>18298.581544982888</v>
      </c>
      <c r="CN398" s="589">
        <f t="shared" si="1064"/>
        <v>2.6370335576257954E-3</v>
      </c>
      <c r="CO398" s="196">
        <f t="shared" si="1028"/>
        <v>730.88881454840771</v>
      </c>
      <c r="CP398" s="589">
        <f t="shared" si="1065"/>
        <v>1.3783437266360803E-3</v>
      </c>
      <c r="CQ398" s="196">
        <f>'Detailed Budget'!$AC$12</f>
        <v>292876014141.44696</v>
      </c>
      <c r="CR398" s="269">
        <f t="shared" si="1066"/>
        <v>1047401230.7680647</v>
      </c>
      <c r="CS398" s="269">
        <f>'Detailed Budget'!$AC$16</f>
        <v>10488008800.000002</v>
      </c>
      <c r="CT398" s="607">
        <f t="shared" si="1070"/>
        <v>37507858.40468175</v>
      </c>
      <c r="CU398" s="269">
        <f>'Detailed Budget'!$AC$24</f>
        <v>30624985696</v>
      </c>
      <c r="CV398" s="269">
        <f t="shared" si="1091"/>
        <v>109522959.07288976</v>
      </c>
      <c r="CW398" s="269"/>
      <c r="CX398" s="269">
        <f t="shared" si="1057"/>
        <v>1194432048.2456362</v>
      </c>
      <c r="CY398" s="196">
        <f>'Detailed Budget'!$AC$97</f>
        <v>74629165494.837845</v>
      </c>
      <c r="CZ398" s="269">
        <f t="shared" si="1071"/>
        <v>0</v>
      </c>
      <c r="DA398" s="269">
        <f>'Detailed Budget'!$AC$100</f>
        <v>14925833098.967569</v>
      </c>
      <c r="DB398" s="269">
        <f t="shared" si="1072"/>
        <v>0</v>
      </c>
      <c r="DC398" s="269">
        <f t="shared" si="1046"/>
        <v>0</v>
      </c>
      <c r="DD398" s="207">
        <v>0</v>
      </c>
      <c r="DE398" s="606">
        <v>0</v>
      </c>
      <c r="DF398" s="269">
        <f>'Detailed Budget'!$AC$147</f>
        <v>5913600671000</v>
      </c>
      <c r="DG398" s="269">
        <f t="shared" si="1086"/>
        <v>0</v>
      </c>
      <c r="DH398" s="269">
        <f>'Detailed Budget'!$AC$153</f>
        <v>226428026880.00003</v>
      </c>
      <c r="DI398" s="269"/>
      <c r="DJ398" s="269">
        <f>'Detailed Budget'!$AC$156</f>
        <v>27713070000</v>
      </c>
      <c r="DK398" s="269"/>
      <c r="DL398" s="269"/>
      <c r="DM398" s="196">
        <f>'Detailed Budget'!$AC$178</f>
        <v>5622683761.6229038</v>
      </c>
      <c r="DN398" s="269">
        <f t="shared" si="1029"/>
        <v>19062032.035285946</v>
      </c>
      <c r="DO398" s="196">
        <f>'Detailed Budget'!$AC$179</f>
        <v>26827890683.128094</v>
      </c>
      <c r="DP398" s="269">
        <f t="shared" si="1030"/>
        <v>90951961.363729373</v>
      </c>
      <c r="DQ398" s="269">
        <f t="shared" si="1008"/>
        <v>110013993.39901532</v>
      </c>
      <c r="DR398" s="269">
        <f>'Detailed Budget'!$AC$181</f>
        <v>50888946855.375237</v>
      </c>
      <c r="DS398" s="269">
        <f t="shared" si="1031"/>
        <v>140498601.12143087</v>
      </c>
      <c r="DT398" s="269">
        <f t="shared" si="1032"/>
        <v>250512594.52044618</v>
      </c>
      <c r="DU398" s="272">
        <f>'Detailed Budget'!$AC$192</f>
        <v>77498869683.252869</v>
      </c>
      <c r="DV398" s="269">
        <f t="shared" si="1073"/>
        <v>0</v>
      </c>
      <c r="DW398" s="140">
        <f>'Detailed Budget'!$AC$194</f>
        <v>2684962805.4134097</v>
      </c>
      <c r="DX398" s="269">
        <f t="shared" si="1074"/>
        <v>0</v>
      </c>
      <c r="DY398" s="607">
        <f t="shared" si="1047"/>
        <v>0</v>
      </c>
      <c r="DZ398" s="196">
        <f>'Detailed Budget'!$AC$198</f>
        <v>18732540018.380611</v>
      </c>
      <c r="EA398" s="269">
        <f t="shared" si="1013"/>
        <v>30870542.165510368</v>
      </c>
      <c r="EB398" s="196">
        <f>'Detailed Budget'!$AC$200</f>
        <v>4683135004.5951529</v>
      </c>
      <c r="EC398" s="269">
        <f t="shared" si="1075"/>
        <v>7717635.5413775919</v>
      </c>
      <c r="ED398" s="269">
        <f t="shared" si="1048"/>
        <v>38588177.70688796</v>
      </c>
      <c r="EE398" s="196">
        <f>'Detailed Budget'!$AC$161</f>
        <v>251147290106.36197</v>
      </c>
      <c r="EF398" s="269">
        <f t="shared" si="1076"/>
        <v>293973760.89556766</v>
      </c>
      <c r="EG398" s="196">
        <f>'Detailed Budget'!$AC$163</f>
        <v>15696705631.647623</v>
      </c>
      <c r="EH398" s="269">
        <f t="shared" si="1077"/>
        <v>18373360.055972978</v>
      </c>
      <c r="EI398" s="269">
        <f t="shared" si="1049"/>
        <v>312347120.95154065</v>
      </c>
      <c r="EJ398" s="196">
        <f>'Detailed Budget'!$AC$204</f>
        <v>45012172507.531975</v>
      </c>
      <c r="EK398" s="269">
        <f t="shared" si="1078"/>
        <v>85967880.921526834</v>
      </c>
      <c r="EL398" s="201">
        <f>'Detailed Budget'!$AC$206</f>
        <v>11253043126.882994</v>
      </c>
      <c r="EM398" s="269">
        <f t="shared" si="1079"/>
        <v>21491970.230381709</v>
      </c>
      <c r="EN398" s="269">
        <f t="shared" si="1050"/>
        <v>107459851.15190855</v>
      </c>
      <c r="EO398" s="140">
        <f>'Detailed Budget'!$AC$209</f>
        <v>135789361677.54817</v>
      </c>
      <c r="EP398" s="269">
        <f t="shared" si="1080"/>
        <v>184087855.75933507</v>
      </c>
      <c r="EQ398" s="196">
        <f>'Detailed Budget'!$AC$211</f>
        <v>33947340419.387043</v>
      </c>
      <c r="ER398" s="269">
        <f t="shared" si="1081"/>
        <v>46021963.939833768</v>
      </c>
      <c r="ES398" s="269">
        <f t="shared" si="1051"/>
        <v>230109819.69916883</v>
      </c>
      <c r="ET398" s="196">
        <f>'Detailed Budget'!$AC$214</f>
        <v>22239745544.201103</v>
      </c>
      <c r="EU398" s="269">
        <f t="shared" si="1082"/>
        <v>58646955.313117065</v>
      </c>
      <c r="EV398" s="140">
        <f>'Detailed Budget'!$AC$217</f>
        <v>5559936386.0502758</v>
      </c>
      <c r="EW398" s="269">
        <f t="shared" si="1083"/>
        <v>14661738.828279266</v>
      </c>
      <c r="EX398" s="269">
        <f t="shared" si="1052"/>
        <v>73308694.141396329</v>
      </c>
      <c r="EY398" s="196">
        <f>'Detailed Budget'!$AC$219</f>
        <v>372777004.58170313</v>
      </c>
      <c r="EZ398" s="269">
        <f t="shared" si="1084"/>
        <v>513814.84569937986</v>
      </c>
      <c r="FA398" s="196">
        <f>'Detailed Budget'!$AC$222</f>
        <v>93194251.145425782</v>
      </c>
      <c r="FB398" s="269">
        <f t="shared" si="1085"/>
        <v>128453.71142484497</v>
      </c>
      <c r="FC398" s="269">
        <f t="shared" si="1053"/>
        <v>642268.55712422484</v>
      </c>
      <c r="FD398" s="269"/>
      <c r="FE398" s="269">
        <f t="shared" si="1054"/>
        <v>411520633.54959792</v>
      </c>
      <c r="FF398" s="140">
        <f>'Detailed Budget'!$AC$165</f>
        <v>14927760000</v>
      </c>
      <c r="FG398" s="1087">
        <f t="shared" si="1087"/>
        <v>561341384.29815125</v>
      </c>
      <c r="FH398" s="269">
        <f t="shared" si="1014"/>
        <v>18657579.820474949</v>
      </c>
      <c r="FJ398" s="140">
        <f>'Detailed Budget'!$AC$235</f>
        <v>3623696172</v>
      </c>
      <c r="FK398" s="269">
        <f t="shared" si="1015"/>
        <v>4681778</v>
      </c>
      <c r="FL398" s="269">
        <f t="shared" si="1088"/>
        <v>4681778</v>
      </c>
      <c r="FO398" s="607"/>
      <c r="FP398" s="607"/>
      <c r="FQ398" s="607"/>
      <c r="FR398" s="269">
        <f>'Detailed Budget'!$AC$257</f>
        <v>13636439388</v>
      </c>
      <c r="FS398" s="269">
        <f t="shared" si="1016"/>
        <v>26982071.999999996</v>
      </c>
      <c r="FT398" s="269">
        <f t="shared" si="1089"/>
        <v>26982071.999999996</v>
      </c>
      <c r="FU398" s="269"/>
      <c r="FV398" s="269"/>
      <c r="FW398" s="269"/>
      <c r="FX398" s="140">
        <f>'Detailed Budget'!$AC$278</f>
        <v>1114560000</v>
      </c>
      <c r="FY398" s="269">
        <f t="shared" si="1017"/>
        <v>1440000</v>
      </c>
      <c r="FZ398" s="269">
        <f t="shared" si="1090"/>
        <v>1440000</v>
      </c>
      <c r="GB398" s="269">
        <f t="shared" si="1098"/>
        <v>2820503389.0927348</v>
      </c>
      <c r="GC398" s="887">
        <f t="shared" si="1055"/>
        <v>1762814.6181829593</v>
      </c>
      <c r="GD398" s="1078">
        <f t="shared" si="1099"/>
        <v>1.5826732667415455E-3</v>
      </c>
    </row>
    <row r="399" spans="1:186" hidden="1" outlineLevel="1">
      <c r="A399" s="211" t="s">
        <v>936</v>
      </c>
      <c r="B399" s="212" t="s">
        <v>2815</v>
      </c>
      <c r="C399" s="213" t="s">
        <v>215</v>
      </c>
      <c r="D399" s="214" t="s">
        <v>215</v>
      </c>
      <c r="E399" s="213"/>
      <c r="F399" s="213"/>
      <c r="G399" s="213"/>
      <c r="H399" s="213" t="s">
        <v>215</v>
      </c>
      <c r="I399" s="214" t="s">
        <v>215</v>
      </c>
      <c r="J399" s="214"/>
      <c r="K399" s="213" t="s">
        <v>215</v>
      </c>
      <c r="L399" s="213"/>
      <c r="M399" s="214"/>
      <c r="N399" s="213"/>
      <c r="O399" s="214"/>
      <c r="P399" s="213"/>
      <c r="Q399" s="214"/>
      <c r="R399" s="214" t="s">
        <v>215</v>
      </c>
      <c r="S399" s="214" t="s">
        <v>215</v>
      </c>
      <c r="T399" s="214"/>
      <c r="U399" s="215">
        <f t="shared" si="1018"/>
        <v>7</v>
      </c>
      <c r="V399" s="845" t="s">
        <v>937</v>
      </c>
      <c r="W399" s="216">
        <v>113814</v>
      </c>
      <c r="X399" s="217">
        <v>3.04</v>
      </c>
      <c r="Y399" s="218">
        <f t="shared" si="986"/>
        <v>1.0304</v>
      </c>
      <c r="Z399" s="196">
        <v>19</v>
      </c>
      <c r="AA399" s="218">
        <f t="shared" si="987"/>
        <v>1.7664898659259882</v>
      </c>
      <c r="AB399" s="196">
        <f t="shared" si="1009"/>
        <v>201051.27760050041</v>
      </c>
      <c r="AC399">
        <v>20.8</v>
      </c>
      <c r="AD399" s="196">
        <f t="shared" si="1010"/>
        <v>41818.665740904085</v>
      </c>
      <c r="AE399" s="196">
        <f t="shared" si="990"/>
        <v>39727.73245385888</v>
      </c>
      <c r="AF399" s="196">
        <f t="shared" si="1019"/>
        <v>39727.73245385888</v>
      </c>
      <c r="AG399" s="606">
        <f t="shared" si="1058"/>
        <v>1.836835940653029E-3</v>
      </c>
      <c r="AH399" s="196">
        <f t="shared" si="1033"/>
        <v>10052.563880025022</v>
      </c>
      <c r="AI399" s="248">
        <f t="shared" si="1034"/>
        <v>7.787568926635425E-4</v>
      </c>
      <c r="AJ399" s="196">
        <f t="shared" si="1038"/>
        <v>51871.229620929109</v>
      </c>
      <c r="AK399" s="196">
        <f t="shared" si="1067"/>
        <v>8042.0511040200163</v>
      </c>
      <c r="AL399" s="196">
        <f t="shared" si="1068"/>
        <v>8042.0511040200163</v>
      </c>
      <c r="AM399" s="196">
        <f t="shared" si="1039"/>
        <v>16084.102208040033</v>
      </c>
      <c r="AN399" s="627">
        <f t="shared" si="1040"/>
        <v>7.7875689266354239E-4</v>
      </c>
      <c r="AO399" s="196">
        <f t="shared" si="1041"/>
        <v>7639.9485488190157</v>
      </c>
      <c r="AP399" s="589">
        <f t="shared" si="1059"/>
        <v>7.7875689266354239E-4</v>
      </c>
      <c r="AQ399" s="196"/>
      <c r="AR399" s="589"/>
      <c r="AS399">
        <v>1</v>
      </c>
      <c r="AT399" s="589">
        <f t="shared" si="1060"/>
        <v>1.2919896640826874E-3</v>
      </c>
      <c r="AU399" s="196">
        <v>10</v>
      </c>
      <c r="AV399" s="245">
        <f t="shared" si="1042"/>
        <v>1.1362345188046814E-3</v>
      </c>
      <c r="AX399" s="245"/>
      <c r="AY399" s="245"/>
      <c r="AZ399" s="196">
        <v>47</v>
      </c>
      <c r="BA399" s="589">
        <f t="shared" si="1092"/>
        <v>1.7221794730863656E-3</v>
      </c>
      <c r="BI399" s="196">
        <v>0</v>
      </c>
      <c r="BJ399" s="196">
        <f t="shared" si="1020"/>
        <v>124771.14295039316</v>
      </c>
      <c r="BK399" s="246">
        <f t="shared" si="1093"/>
        <v>2.3793104168713733E-3</v>
      </c>
      <c r="BL399" s="196">
        <f t="shared" si="1035"/>
        <v>2495.4228590078633</v>
      </c>
      <c r="BM399" s="246">
        <f t="shared" si="1094"/>
        <v>2.37931014463932E-3</v>
      </c>
      <c r="BN399" s="196">
        <v>0</v>
      </c>
      <c r="BO399" s="196">
        <f t="shared" si="1021"/>
        <v>15524.407086568361</v>
      </c>
      <c r="BP399" s="196">
        <f t="shared" si="1043"/>
        <v>0</v>
      </c>
      <c r="BQ399" s="248">
        <f t="shared" si="1095"/>
        <v>0</v>
      </c>
      <c r="BR399" s="248"/>
      <c r="BS399" s="248"/>
      <c r="BT399" s="276">
        <v>1</v>
      </c>
      <c r="BU399" s="196">
        <f t="shared" si="1036"/>
        <v>32518.194480127018</v>
      </c>
      <c r="BV399" s="264">
        <f t="shared" si="1096"/>
        <v>2.2555235637008553E-3</v>
      </c>
      <c r="BW399" s="196">
        <f t="shared" si="1037"/>
        <v>139105.60972054335</v>
      </c>
      <c r="BX399" s="247">
        <f t="shared" si="1097"/>
        <v>2.2555235840186977E-3</v>
      </c>
      <c r="BY399" s="196">
        <f t="shared" si="985"/>
        <v>171623.80420067036</v>
      </c>
      <c r="BZ399" s="620">
        <v>0</v>
      </c>
      <c r="CA399" s="196">
        <f t="shared" si="1022"/>
        <v>61521.690945753129</v>
      </c>
      <c r="CB399" s="196">
        <f t="shared" si="1023"/>
        <v>123043.38189150626</v>
      </c>
      <c r="CC399" s="196">
        <f t="shared" si="1056"/>
        <v>184565.07283725939</v>
      </c>
      <c r="CD399" s="247">
        <f t="shared" si="1044"/>
        <v>7.787568926635425E-4</v>
      </c>
      <c r="CE399" s="196">
        <f t="shared" si="1024"/>
        <v>25389.579217884053</v>
      </c>
      <c r="CF399" s="247">
        <f t="shared" si="1045"/>
        <v>1.0964009908400875E-3</v>
      </c>
      <c r="CG399" s="196">
        <f t="shared" si="1069"/>
        <v>30559.794195276063</v>
      </c>
      <c r="CH399" s="589">
        <f t="shared" si="1061"/>
        <v>7.7875689266354239E-4</v>
      </c>
      <c r="CI399" s="196">
        <f t="shared" si="1025"/>
        <v>77290.538374747048</v>
      </c>
      <c r="CJ399" s="248">
        <f t="shared" si="1062"/>
        <v>1.2706562546915157E-3</v>
      </c>
      <c r="CK399" s="196">
        <f t="shared" si="1026"/>
        <v>62743.271029186842</v>
      </c>
      <c r="CL399" s="589">
        <f t="shared" si="1063"/>
        <v>9.0194742678480384E-4</v>
      </c>
      <c r="CM399" s="196">
        <f t="shared" si="1027"/>
        <v>12174.167065883452</v>
      </c>
      <c r="CN399" s="589">
        <f t="shared" si="1064"/>
        <v>1.7544358293541955E-3</v>
      </c>
      <c r="CO399" s="196">
        <f t="shared" si="1028"/>
        <v>486.26515192033941</v>
      </c>
      <c r="CP399" s="589">
        <f t="shared" si="1065"/>
        <v>9.1702117790003397E-4</v>
      </c>
      <c r="CQ399" s="196">
        <f>'Detailed Budget'!$AC$12</f>
        <v>292876014141.44696</v>
      </c>
      <c r="CR399" s="269">
        <f t="shared" si="1066"/>
        <v>696842951.29851234</v>
      </c>
      <c r="CS399" s="269">
        <f>'Detailed Budget'!$AC$16</f>
        <v>10488008800.000002</v>
      </c>
      <c r="CT399" s="607">
        <f t="shared" si="1070"/>
        <v>24954225.734906465</v>
      </c>
      <c r="CU399" s="269">
        <f>'Detailed Budget'!$AC$24</f>
        <v>30624985696</v>
      </c>
      <c r="CV399" s="269">
        <f t="shared" si="1091"/>
        <v>72866347.483029604</v>
      </c>
      <c r="CW399" s="269"/>
      <c r="CX399" s="269">
        <f t="shared" si="1057"/>
        <v>794663524.51644838</v>
      </c>
      <c r="CY399" s="196">
        <f>'Detailed Budget'!$AC$97</f>
        <v>74629165494.837845</v>
      </c>
      <c r="CZ399" s="269">
        <f t="shared" si="1071"/>
        <v>0</v>
      </c>
      <c r="DA399" s="269">
        <f>'Detailed Budget'!$AC$100</f>
        <v>14925833098.967569</v>
      </c>
      <c r="DB399" s="269">
        <f t="shared" si="1072"/>
        <v>0</v>
      </c>
      <c r="DC399" s="269">
        <f t="shared" si="1046"/>
        <v>0</v>
      </c>
      <c r="DD399" s="207">
        <v>1</v>
      </c>
      <c r="DE399" s="606">
        <v>0</v>
      </c>
      <c r="DF399" s="269">
        <f>'Detailed Budget'!$AC$147</f>
        <v>5913600671000</v>
      </c>
      <c r="DG399" s="269">
        <f t="shared" si="1086"/>
        <v>0</v>
      </c>
      <c r="DH399" s="269">
        <f>'Detailed Budget'!$AC$153</f>
        <v>226428026880.00003</v>
      </c>
      <c r="DI399" s="269"/>
      <c r="DJ399" s="269">
        <f>'Detailed Budget'!$AC$156</f>
        <v>27713070000</v>
      </c>
      <c r="DK399" s="269"/>
      <c r="DL399" s="269"/>
      <c r="DM399" s="196">
        <f>'Detailed Budget'!$AC$178</f>
        <v>5622683761.6229038</v>
      </c>
      <c r="DN399" s="269">
        <f t="shared" si="1029"/>
        <v>12682095.715578621</v>
      </c>
      <c r="DO399" s="196">
        <f>'Detailed Budget'!$AC$179</f>
        <v>26827890683.128094</v>
      </c>
      <c r="DP399" s="269">
        <f t="shared" si="1030"/>
        <v>60510940.145270906</v>
      </c>
      <c r="DQ399" s="269">
        <f t="shared" si="1008"/>
        <v>73193035.86084953</v>
      </c>
      <c r="DR399" s="269">
        <f>'Detailed Budget'!$AC$181</f>
        <v>50888946855.375237</v>
      </c>
      <c r="DS399" s="269">
        <f t="shared" si="1031"/>
        <v>93474646.56593518</v>
      </c>
      <c r="DT399" s="269">
        <f t="shared" si="1032"/>
        <v>166667682.42678469</v>
      </c>
      <c r="DU399" s="272">
        <f>'Detailed Budget'!$AC$192</f>
        <v>77498869683.252869</v>
      </c>
      <c r="DV399" s="269">
        <f t="shared" si="1073"/>
        <v>0</v>
      </c>
      <c r="DW399" s="140">
        <f>'Detailed Budget'!$AC$194</f>
        <v>2684962805.4134097</v>
      </c>
      <c r="DX399" s="269">
        <f t="shared" si="1074"/>
        <v>0</v>
      </c>
      <c r="DY399" s="607">
        <f t="shared" si="1047"/>
        <v>0</v>
      </c>
      <c r="DZ399" s="196">
        <f>'Detailed Budget'!$AC$198</f>
        <v>18732540018.380611</v>
      </c>
      <c r="EA399" s="269">
        <f t="shared" si="1013"/>
        <v>20538375.437104091</v>
      </c>
      <c r="EB399" s="196">
        <f>'Detailed Budget'!$AC$200</f>
        <v>4683135004.5951529</v>
      </c>
      <c r="EC399" s="269">
        <f t="shared" si="1075"/>
        <v>5134593.8592760228</v>
      </c>
      <c r="ED399" s="269">
        <f t="shared" si="1048"/>
        <v>25672969.296380114</v>
      </c>
      <c r="EE399" s="196">
        <f>'Detailed Budget'!$AC$161</f>
        <v>251147290106.36197</v>
      </c>
      <c r="EF399" s="269">
        <f t="shared" si="1076"/>
        <v>195582683.24409968</v>
      </c>
      <c r="EG399" s="196">
        <f>'Detailed Budget'!$AC$163</f>
        <v>15696705631.647623</v>
      </c>
      <c r="EH399" s="269">
        <f t="shared" si="1077"/>
        <v>12223917.70275623</v>
      </c>
      <c r="EI399" s="269">
        <f t="shared" si="1049"/>
        <v>207806600.9468559</v>
      </c>
      <c r="EJ399" s="196">
        <f>'Detailed Budget'!$AC$204</f>
        <v>45012172507.531975</v>
      </c>
      <c r="EK399" s="269">
        <f t="shared" si="1078"/>
        <v>57194998.533948988</v>
      </c>
      <c r="EL399" s="201">
        <f>'Detailed Budget'!$AC$206</f>
        <v>11253043126.882994</v>
      </c>
      <c r="EM399" s="269">
        <f t="shared" si="1079"/>
        <v>14298749.633487247</v>
      </c>
      <c r="EN399" s="269">
        <f t="shared" si="1050"/>
        <v>71493748.167436242</v>
      </c>
      <c r="EO399" s="140">
        <f>'Detailed Budget'!$AC$209</f>
        <v>135789361677.54817</v>
      </c>
      <c r="EP399" s="269">
        <f t="shared" si="1080"/>
        <v>122474865.34981562</v>
      </c>
      <c r="EQ399" s="196">
        <f>'Detailed Budget'!$AC$211</f>
        <v>33947340419.387043</v>
      </c>
      <c r="ER399" s="269">
        <f t="shared" si="1081"/>
        <v>30618716.337453905</v>
      </c>
      <c r="ES399" s="269">
        <f t="shared" si="1051"/>
        <v>153093581.68726954</v>
      </c>
      <c r="ET399" s="196">
        <f>'Detailed Budget'!$AC$214</f>
        <v>22239745544.201103</v>
      </c>
      <c r="EU399" s="269">
        <f t="shared" si="1082"/>
        <v>39018206.418466739</v>
      </c>
      <c r="EV399" s="140">
        <f>'Detailed Budget'!$AC$217</f>
        <v>5559936386.0502758</v>
      </c>
      <c r="EW399" s="269">
        <f t="shared" si="1083"/>
        <v>9754551.6046166848</v>
      </c>
      <c r="EX399" s="269">
        <f t="shared" si="1052"/>
        <v>48772758.023083426</v>
      </c>
      <c r="EY399" s="196">
        <f>'Detailed Budget'!$AC$219</f>
        <v>372777004.58170313</v>
      </c>
      <c r="EZ399" s="269">
        <f t="shared" si="1084"/>
        <v>341844.40783555974</v>
      </c>
      <c r="FA399" s="196">
        <f>'Detailed Budget'!$AC$222</f>
        <v>93194251.145425782</v>
      </c>
      <c r="FB399" s="269">
        <f t="shared" si="1085"/>
        <v>85461.101958889936</v>
      </c>
      <c r="FC399" s="269">
        <f t="shared" si="1053"/>
        <v>427305.50979444967</v>
      </c>
      <c r="FD399" s="269"/>
      <c r="FE399" s="269">
        <f t="shared" si="1054"/>
        <v>273787393.38758367</v>
      </c>
      <c r="FF399" s="140">
        <f>'Detailed Budget'!$AC$165</f>
        <v>14927760000</v>
      </c>
      <c r="FG399" s="1087">
        <f t="shared" si="1087"/>
        <v>373464127.62325239</v>
      </c>
      <c r="FH399" s="269">
        <f t="shared" si="1014"/>
        <v>16961436.200431772</v>
      </c>
      <c r="FJ399" s="140">
        <f>'Detailed Budget'!$AC$235</f>
        <v>3623696172</v>
      </c>
      <c r="FK399" s="269">
        <f t="shared" si="1015"/>
        <v>4681778</v>
      </c>
      <c r="FL399" s="269">
        <f t="shared" si="1088"/>
        <v>4681778</v>
      </c>
      <c r="FO399" s="607"/>
      <c r="FP399" s="607"/>
      <c r="FQ399" s="607"/>
      <c r="FR399" s="269">
        <f>'Detailed Budget'!$AC$257</f>
        <v>13636439388</v>
      </c>
      <c r="FS399" s="269">
        <f t="shared" si="1016"/>
        <v>23484396</v>
      </c>
      <c r="FT399" s="269">
        <f t="shared" si="1089"/>
        <v>23484396</v>
      </c>
      <c r="FU399" s="269"/>
      <c r="FV399" s="269"/>
      <c r="FW399" s="269"/>
      <c r="FX399" s="140">
        <f>'Detailed Budget'!$AC$278</f>
        <v>1114560000</v>
      </c>
      <c r="FY399" s="269">
        <f t="shared" si="1017"/>
        <v>1440000</v>
      </c>
      <c r="FZ399" s="269">
        <f t="shared" si="1090"/>
        <v>1440000</v>
      </c>
      <c r="GB399" s="269">
        <f t="shared" si="1098"/>
        <v>1888629908.397737</v>
      </c>
      <c r="GC399" s="887">
        <f t="shared" si="1055"/>
        <v>1180393.6927485857</v>
      </c>
      <c r="GD399" s="1078">
        <f t="shared" si="1099"/>
        <v>1.0597697128636049E-3</v>
      </c>
    </row>
    <row r="400" spans="1:186" hidden="1" outlineLevel="1">
      <c r="A400" s="211" t="s">
        <v>938</v>
      </c>
      <c r="B400" s="212" t="s">
        <v>939</v>
      </c>
      <c r="C400" s="213" t="s">
        <v>215</v>
      </c>
      <c r="D400" s="214" t="s">
        <v>215</v>
      </c>
      <c r="E400" s="213"/>
      <c r="F400" s="213"/>
      <c r="G400" s="213"/>
      <c r="H400" s="213" t="s">
        <v>215</v>
      </c>
      <c r="I400" s="214" t="s">
        <v>215</v>
      </c>
      <c r="J400" s="214"/>
      <c r="K400" s="213" t="s">
        <v>215</v>
      </c>
      <c r="L400" s="213"/>
      <c r="M400" s="214"/>
      <c r="N400" s="213"/>
      <c r="O400" s="214"/>
      <c r="P400" s="213"/>
      <c r="Q400" s="214"/>
      <c r="R400" s="214" t="s">
        <v>215</v>
      </c>
      <c r="S400" s="214"/>
      <c r="T400" s="214"/>
      <c r="U400" s="215">
        <f t="shared" si="1018"/>
        <v>6</v>
      </c>
      <c r="V400" s="845" t="s">
        <v>219</v>
      </c>
      <c r="W400" s="216">
        <v>170006</v>
      </c>
      <c r="X400" s="217">
        <v>3.04</v>
      </c>
      <c r="Y400" s="218">
        <f t="shared" si="986"/>
        <v>1.0304</v>
      </c>
      <c r="Z400" s="196">
        <v>19</v>
      </c>
      <c r="AA400" s="218">
        <f t="shared" si="987"/>
        <v>1.7664898659259882</v>
      </c>
      <c r="AB400" s="196">
        <f t="shared" si="1009"/>
        <v>300313.87614661356</v>
      </c>
      <c r="AC400">
        <v>20.8</v>
      </c>
      <c r="AD400" s="196">
        <f t="shared" si="1010"/>
        <v>62465.286238495624</v>
      </c>
      <c r="AE400" s="196">
        <f t="shared" si="990"/>
        <v>59342.021926570844</v>
      </c>
      <c r="AF400" s="196">
        <f t="shared" si="1019"/>
        <v>59342.021926570844</v>
      </c>
      <c r="AG400" s="606">
        <f t="shared" si="1058"/>
        <v>2.7437145775270079E-3</v>
      </c>
      <c r="AH400" s="196">
        <f t="shared" si="1033"/>
        <v>15015.693807330679</v>
      </c>
      <c r="AI400" s="248">
        <f t="shared" si="1034"/>
        <v>1.1632430482555593E-3</v>
      </c>
      <c r="AJ400" s="196">
        <f t="shared" si="1038"/>
        <v>77480.980045826305</v>
      </c>
      <c r="AK400" s="196">
        <f t="shared" si="1067"/>
        <v>12012.555045864543</v>
      </c>
      <c r="AL400" s="196">
        <f t="shared" si="1068"/>
        <v>12012.555045864543</v>
      </c>
      <c r="AM400" s="196">
        <f t="shared" si="1039"/>
        <v>24025.110091729086</v>
      </c>
      <c r="AN400" s="627">
        <f t="shared" si="1040"/>
        <v>1.1632430482555591E-3</v>
      </c>
      <c r="AO400" s="196">
        <f t="shared" si="1041"/>
        <v>11411.927293571314</v>
      </c>
      <c r="AP400" s="589">
        <f t="shared" si="1059"/>
        <v>1.1632430482555591E-3</v>
      </c>
      <c r="AQ400" s="196"/>
      <c r="AR400" s="589"/>
      <c r="AS400">
        <v>1</v>
      </c>
      <c r="AT400" s="589">
        <f t="shared" si="1060"/>
        <v>1.2919896640826874E-3</v>
      </c>
      <c r="AU400" s="196">
        <v>11</v>
      </c>
      <c r="AV400" s="245">
        <f t="shared" si="1042"/>
        <v>1.2498579706851495E-3</v>
      </c>
      <c r="AX400" s="245"/>
      <c r="AY400" s="245"/>
      <c r="AZ400" s="196">
        <v>56</v>
      </c>
      <c r="BA400" s="589">
        <f t="shared" si="1092"/>
        <v>2.0519585211241803E-3</v>
      </c>
      <c r="BI400" s="196">
        <v>0</v>
      </c>
      <c r="BJ400" s="196">
        <f t="shared" si="1020"/>
        <v>186372.87968461297</v>
      </c>
      <c r="BK400" s="246">
        <f t="shared" si="1093"/>
        <v>3.5540183697140484E-3</v>
      </c>
      <c r="BL400" s="196">
        <f t="shared" si="1035"/>
        <v>3727.4575936922593</v>
      </c>
      <c r="BM400" s="246">
        <f t="shared" si="1094"/>
        <v>3.5540179630761787E-3</v>
      </c>
      <c r="BN400" s="196">
        <v>0</v>
      </c>
      <c r="BO400" s="196">
        <f t="shared" si="1021"/>
        <v>23189.08351485003</v>
      </c>
      <c r="BP400" s="196">
        <f t="shared" si="1043"/>
        <v>0</v>
      </c>
      <c r="BQ400" s="248">
        <f t="shared" si="1095"/>
        <v>0</v>
      </c>
      <c r="BR400" s="248"/>
      <c r="BS400" s="248"/>
      <c r="BT400" s="276">
        <v>1</v>
      </c>
      <c r="BU400" s="196">
        <f t="shared" si="1036"/>
        <v>48573.006579054192</v>
      </c>
      <c r="BV400" s="264">
        <f t="shared" si="1096"/>
        <v>3.3691157412139767E-3</v>
      </c>
      <c r="BW400" s="196">
        <f t="shared" si="1037"/>
        <v>207784.52814373188</v>
      </c>
      <c r="BX400" s="247">
        <f t="shared" si="1097"/>
        <v>3.3691157715631014E-3</v>
      </c>
      <c r="BY400" s="196">
        <f t="shared" si="985"/>
        <v>256357.53472278608</v>
      </c>
      <c r="BZ400" s="620">
        <v>0</v>
      </c>
      <c r="CA400" s="196">
        <f t="shared" si="1022"/>
        <v>91896.04610086375</v>
      </c>
      <c r="CB400" s="196">
        <f t="shared" si="1023"/>
        <v>183792.0922017275</v>
      </c>
      <c r="CC400" s="196">
        <f t="shared" si="1056"/>
        <v>275688.13830259128</v>
      </c>
      <c r="CD400" s="247">
        <f t="shared" si="1044"/>
        <v>1.1632430482555593E-3</v>
      </c>
      <c r="CE400" s="196">
        <f t="shared" si="1024"/>
        <v>37924.866927755786</v>
      </c>
      <c r="CF400" s="247">
        <f t="shared" si="1045"/>
        <v>1.637713698216036E-3</v>
      </c>
      <c r="CG400" s="196">
        <f t="shared" si="1069"/>
        <v>45647.709174285257</v>
      </c>
      <c r="CH400" s="589">
        <f t="shared" si="1061"/>
        <v>1.1632430482555591E-3</v>
      </c>
      <c r="CI400" s="196">
        <f t="shared" si="1025"/>
        <v>115450.25451119589</v>
      </c>
      <c r="CJ400" s="248">
        <f t="shared" si="1062"/>
        <v>1.8980018911125684E-3</v>
      </c>
      <c r="CK400" s="196">
        <f t="shared" si="1026"/>
        <v>93720.742040416299</v>
      </c>
      <c r="CL400" s="589">
        <f t="shared" si="1063"/>
        <v>1.3472549443651694E-3</v>
      </c>
      <c r="CM400" s="196">
        <f t="shared" si="1027"/>
        <v>18184.770293659676</v>
      </c>
      <c r="CN400" s="589">
        <f t="shared" si="1064"/>
        <v>2.6206320628849649E-3</v>
      </c>
      <c r="CO400" s="196">
        <f t="shared" si="1028"/>
        <v>726.34292281590353</v>
      </c>
      <c r="CP400" s="589">
        <f t="shared" si="1065"/>
        <v>1.3697708750248056E-3</v>
      </c>
      <c r="CQ400" s="196">
        <f>'Detailed Budget'!$AC$12</f>
        <v>292876014141.44696</v>
      </c>
      <c r="CR400" s="269">
        <f t="shared" si="1066"/>
        <v>1040886734.3073339</v>
      </c>
      <c r="CS400" s="269">
        <f>'Detailed Budget'!$AC$16</f>
        <v>10488008800.000002</v>
      </c>
      <c r="CT400" s="607">
        <f t="shared" si="1070"/>
        <v>37274571.672101043</v>
      </c>
      <c r="CU400" s="269">
        <f>'Detailed Budget'!$AC$24</f>
        <v>30624985696</v>
      </c>
      <c r="CV400" s="269">
        <f t="shared" si="1091"/>
        <v>108841761.73581398</v>
      </c>
      <c r="CW400" s="269"/>
      <c r="CX400" s="269">
        <f t="shared" si="1057"/>
        <v>1187003067.7152491</v>
      </c>
      <c r="CY400" s="196">
        <f>'Detailed Budget'!$AC$97</f>
        <v>74629165494.837845</v>
      </c>
      <c r="CZ400" s="269">
        <f t="shared" si="1071"/>
        <v>0</v>
      </c>
      <c r="DA400" s="269">
        <f>'Detailed Budget'!$AC$100</f>
        <v>14925833098.967569</v>
      </c>
      <c r="DB400" s="269">
        <f t="shared" si="1072"/>
        <v>0</v>
      </c>
      <c r="DC400" s="269">
        <f t="shared" si="1046"/>
        <v>0</v>
      </c>
      <c r="DD400" s="207">
        <v>0</v>
      </c>
      <c r="DE400" s="606">
        <v>0</v>
      </c>
      <c r="DF400" s="269">
        <f>'Detailed Budget'!$AC$147</f>
        <v>5913600671000</v>
      </c>
      <c r="DG400" s="269">
        <f t="shared" si="1086"/>
        <v>0</v>
      </c>
      <c r="DH400" s="269">
        <f>'Detailed Budget'!$AC$153</f>
        <v>226428026880.00003</v>
      </c>
      <c r="DI400" s="269"/>
      <c r="DJ400" s="269">
        <f>'Detailed Budget'!$AC$156</f>
        <v>27713070000</v>
      </c>
      <c r="DK400" s="269"/>
      <c r="DL400" s="269"/>
      <c r="DM400" s="196">
        <f>'Detailed Budget'!$AC$178</f>
        <v>5622683761.6229038</v>
      </c>
      <c r="DN400" s="269">
        <f t="shared" si="1029"/>
        <v>18943472.369151939</v>
      </c>
      <c r="DO400" s="196">
        <f>'Detailed Budget'!$AC$179</f>
        <v>26827890683.128094</v>
      </c>
      <c r="DP400" s="269">
        <f t="shared" si="1030"/>
        <v>90386269.618297651</v>
      </c>
      <c r="DQ400" s="269">
        <f t="shared" si="1008"/>
        <v>109329741.98744959</v>
      </c>
      <c r="DR400" s="269">
        <f>'Detailed Budget'!$AC$181</f>
        <v>50888946855.375237</v>
      </c>
      <c r="DS400" s="269">
        <f t="shared" si="1031"/>
        <v>139624745.32209024</v>
      </c>
      <c r="DT400" s="269">
        <f t="shared" si="1032"/>
        <v>248954487.30953982</v>
      </c>
      <c r="DU400" s="272">
        <f>'Detailed Budget'!$AC$192</f>
        <v>77498869683.252869</v>
      </c>
      <c r="DV400" s="269">
        <f t="shared" si="1073"/>
        <v>0</v>
      </c>
      <c r="DW400" s="140">
        <f>'Detailed Budget'!$AC$194</f>
        <v>2684962805.4134097</v>
      </c>
      <c r="DX400" s="269">
        <f t="shared" si="1074"/>
        <v>0</v>
      </c>
      <c r="DY400" s="607">
        <f t="shared" si="1047"/>
        <v>0</v>
      </c>
      <c r="DZ400" s="196">
        <f>'Detailed Budget'!$AC$198</f>
        <v>18732540018.380611</v>
      </c>
      <c r="EA400" s="269">
        <f t="shared" si="1013"/>
        <v>30678537.390482005</v>
      </c>
      <c r="EB400" s="196">
        <f>'Detailed Budget'!$AC$200</f>
        <v>4683135004.5951529</v>
      </c>
      <c r="EC400" s="269">
        <f t="shared" si="1075"/>
        <v>7669634.3476205012</v>
      </c>
      <c r="ED400" s="269">
        <f t="shared" si="1048"/>
        <v>38348171.738102503</v>
      </c>
      <c r="EE400" s="196">
        <f>'Detailed Budget'!$AC$161</f>
        <v>251147290106.36197</v>
      </c>
      <c r="EF400" s="269">
        <f t="shared" si="1076"/>
        <v>292145339.30444771</v>
      </c>
      <c r="EG400" s="196">
        <f>'Detailed Budget'!$AC$163</f>
        <v>15696705631.647623</v>
      </c>
      <c r="EH400" s="269">
        <f t="shared" si="1077"/>
        <v>18259083.706527982</v>
      </c>
      <c r="EI400" s="269">
        <f t="shared" si="1049"/>
        <v>310404423.01097572</v>
      </c>
      <c r="EJ400" s="196">
        <f>'Detailed Budget'!$AC$204</f>
        <v>45012172507.531975</v>
      </c>
      <c r="EK400" s="269">
        <f t="shared" si="1078"/>
        <v>85433188.54238084</v>
      </c>
      <c r="EL400" s="201">
        <f>'Detailed Budget'!$AC$206</f>
        <v>11253043126.882994</v>
      </c>
      <c r="EM400" s="269">
        <f t="shared" si="1079"/>
        <v>21358297.13559521</v>
      </c>
      <c r="EN400" s="269">
        <f t="shared" si="1050"/>
        <v>106791485.67797604</v>
      </c>
      <c r="EO400" s="140">
        <f>'Detailed Budget'!$AC$209</f>
        <v>135789361677.54817</v>
      </c>
      <c r="EP400" s="269">
        <f t="shared" si="1080"/>
        <v>182942888.91226703</v>
      </c>
      <c r="EQ400" s="196">
        <f>'Detailed Budget'!$AC$211</f>
        <v>33947340419.387043</v>
      </c>
      <c r="ER400" s="269">
        <f t="shared" si="1081"/>
        <v>45735722.228066757</v>
      </c>
      <c r="ES400" s="269">
        <f t="shared" si="1051"/>
        <v>228678611.14033377</v>
      </c>
      <c r="ET400" s="196">
        <f>'Detailed Budget'!$AC$214</f>
        <v>22239745544.201103</v>
      </c>
      <c r="EU400" s="269">
        <f t="shared" si="1082"/>
        <v>58282190.243536443</v>
      </c>
      <c r="EV400" s="140">
        <f>'Detailed Budget'!$AC$217</f>
        <v>5559936386.0502758</v>
      </c>
      <c r="EW400" s="269">
        <f t="shared" si="1083"/>
        <v>14570547.560884111</v>
      </c>
      <c r="EX400" s="269">
        <f t="shared" si="1052"/>
        <v>72852737.804420561</v>
      </c>
      <c r="EY400" s="196">
        <f>'Detailed Budget'!$AC$219</f>
        <v>372777004.58170313</v>
      </c>
      <c r="EZ400" s="269">
        <f t="shared" si="1084"/>
        <v>510619.08375500544</v>
      </c>
      <c r="FA400" s="196">
        <f>'Detailed Budget'!$AC$222</f>
        <v>93194251.145425782</v>
      </c>
      <c r="FB400" s="269">
        <f t="shared" si="1085"/>
        <v>127654.77093875136</v>
      </c>
      <c r="FC400" s="269">
        <f t="shared" si="1053"/>
        <v>638273.85469375679</v>
      </c>
      <c r="FD400" s="269"/>
      <c r="FE400" s="269">
        <f t="shared" si="1054"/>
        <v>408961108.47742414</v>
      </c>
      <c r="FF400" s="140">
        <f>'Detailed Budget'!$AC$165</f>
        <v>14927760000</v>
      </c>
      <c r="FG400" s="1087">
        <f t="shared" si="1087"/>
        <v>557850022.67487884</v>
      </c>
      <c r="FH400" s="269">
        <f t="shared" si="1014"/>
        <v>18657579.820474949</v>
      </c>
      <c r="FJ400" s="140">
        <f>'Detailed Budget'!$AC$235</f>
        <v>3623696172</v>
      </c>
      <c r="FK400" s="269">
        <f t="shared" si="1015"/>
        <v>4681778</v>
      </c>
      <c r="FL400" s="269">
        <f t="shared" si="1088"/>
        <v>4681778</v>
      </c>
      <c r="FO400" s="607"/>
      <c r="FP400" s="607"/>
      <c r="FQ400" s="607"/>
      <c r="FR400" s="269">
        <f>'Detailed Budget'!$AC$257</f>
        <v>13636439388</v>
      </c>
      <c r="FS400" s="269">
        <f t="shared" si="1016"/>
        <v>27981408</v>
      </c>
      <c r="FT400" s="269">
        <f t="shared" si="1089"/>
        <v>27981408</v>
      </c>
      <c r="FU400" s="269"/>
      <c r="FV400" s="269"/>
      <c r="FW400" s="269"/>
      <c r="FX400" s="140">
        <f>'Detailed Budget'!$AC$278</f>
        <v>1114560000</v>
      </c>
      <c r="FY400" s="269">
        <f t="shared" si="1017"/>
        <v>1440000</v>
      </c>
      <c r="FZ400" s="269">
        <f t="shared" si="1090"/>
        <v>1440000</v>
      </c>
      <c r="GB400" s="269">
        <f t="shared" si="1098"/>
        <v>2804282046.7466455</v>
      </c>
      <c r="GC400" s="887">
        <f t="shared" si="1055"/>
        <v>1752676.2792166534</v>
      </c>
      <c r="GD400" s="1078">
        <f t="shared" si="1099"/>
        <v>1.5735709607556355E-3</v>
      </c>
    </row>
    <row r="401" spans="1:186" hidden="1" outlineLevel="1">
      <c r="A401" s="211" t="s">
        <v>940</v>
      </c>
      <c r="B401" s="212" t="s">
        <v>941</v>
      </c>
      <c r="C401" s="213" t="s">
        <v>215</v>
      </c>
      <c r="D401" s="214" t="s">
        <v>215</v>
      </c>
      <c r="E401" s="213"/>
      <c r="F401" s="213"/>
      <c r="G401" s="213"/>
      <c r="H401" s="213" t="s">
        <v>215</v>
      </c>
      <c r="I401" s="214" t="s">
        <v>215</v>
      </c>
      <c r="J401" s="214"/>
      <c r="K401" s="213" t="s">
        <v>215</v>
      </c>
      <c r="L401" s="213"/>
      <c r="M401" s="214"/>
      <c r="N401" s="213"/>
      <c r="O401" s="214"/>
      <c r="P401" s="213"/>
      <c r="Q401" s="214"/>
      <c r="R401" s="214" t="s">
        <v>215</v>
      </c>
      <c r="S401" s="214"/>
      <c r="T401" s="214"/>
      <c r="U401" s="215">
        <f t="shared" si="1018"/>
        <v>6</v>
      </c>
      <c r="V401" s="845" t="s">
        <v>219</v>
      </c>
      <c r="W401" s="216">
        <v>154092</v>
      </c>
      <c r="X401" s="217">
        <v>3.04</v>
      </c>
      <c r="Y401" s="218">
        <f t="shared" si="986"/>
        <v>1.0304</v>
      </c>
      <c r="Z401" s="196">
        <v>19</v>
      </c>
      <c r="AA401" s="218">
        <f t="shared" si="987"/>
        <v>1.7664898659259882</v>
      </c>
      <c r="AB401" s="196">
        <f t="shared" si="1009"/>
        <v>272201.95642026735</v>
      </c>
      <c r="AC401">
        <v>20.8</v>
      </c>
      <c r="AD401" s="196">
        <f t="shared" si="1010"/>
        <v>56618.006935415615</v>
      </c>
      <c r="AE401" s="196">
        <f t="shared" si="990"/>
        <v>53787.106588644834</v>
      </c>
      <c r="AF401" s="196">
        <f t="shared" si="1019"/>
        <v>53787.106588644834</v>
      </c>
      <c r="AG401" s="606">
        <f t="shared" si="1058"/>
        <v>2.4868796788365803E-3</v>
      </c>
      <c r="AH401" s="196">
        <f t="shared" si="1033"/>
        <v>13610.097821013369</v>
      </c>
      <c r="AI401" s="248">
        <f t="shared" si="1034"/>
        <v>1.0543536568814961E-3</v>
      </c>
      <c r="AJ401" s="196">
        <f t="shared" si="1038"/>
        <v>70228.104756428977</v>
      </c>
      <c r="AK401" s="196">
        <f t="shared" si="1067"/>
        <v>10888.078256810693</v>
      </c>
      <c r="AL401" s="196">
        <f t="shared" si="1068"/>
        <v>10888.078256810693</v>
      </c>
      <c r="AM401" s="196">
        <f t="shared" si="1039"/>
        <v>21776.156513621387</v>
      </c>
      <c r="AN401" s="627">
        <f t="shared" si="1040"/>
        <v>1.0543536568814959E-3</v>
      </c>
      <c r="AO401" s="196">
        <f t="shared" si="1041"/>
        <v>10343.674343970159</v>
      </c>
      <c r="AP401" s="589">
        <f t="shared" si="1059"/>
        <v>1.0543536568814959E-3</v>
      </c>
      <c r="AQ401" s="196"/>
      <c r="AR401" s="589"/>
      <c r="AS401">
        <v>1</v>
      </c>
      <c r="AT401" s="589">
        <f t="shared" si="1060"/>
        <v>1.2919896640826874E-3</v>
      </c>
      <c r="AU401" s="196">
        <v>10</v>
      </c>
      <c r="AV401" s="245">
        <f t="shared" si="1042"/>
        <v>1.1362345188046814E-3</v>
      </c>
      <c r="AX401" s="245"/>
      <c r="AY401" s="245"/>
      <c r="AZ401" s="196">
        <v>56</v>
      </c>
      <c r="BA401" s="589">
        <f t="shared" si="1092"/>
        <v>2.0519585211241803E-3</v>
      </c>
      <c r="BI401" s="196">
        <v>0</v>
      </c>
      <c r="BJ401" s="196">
        <f t="shared" si="1020"/>
        <v>168926.80126796337</v>
      </c>
      <c r="BK401" s="246">
        <f t="shared" si="1093"/>
        <v>3.2213321801935059E-3</v>
      </c>
      <c r="BL401" s="196">
        <f t="shared" si="1035"/>
        <v>3378.5360253592676</v>
      </c>
      <c r="BM401" s="246">
        <f t="shared" si="1094"/>
        <v>3.2213318116203812E-3</v>
      </c>
      <c r="BN401" s="196">
        <v>0</v>
      </c>
      <c r="BO401" s="196">
        <f t="shared" si="1021"/>
        <v>21018.389097856958</v>
      </c>
      <c r="BP401" s="196">
        <f t="shared" si="1043"/>
        <v>0</v>
      </c>
      <c r="BQ401" s="248">
        <f t="shared" si="1095"/>
        <v>0</v>
      </c>
      <c r="BR401" s="248"/>
      <c r="BS401" s="248"/>
      <c r="BT401" s="276">
        <v>1</v>
      </c>
      <c r="BU401" s="196">
        <f t="shared" si="1036"/>
        <v>44026.16219297918</v>
      </c>
      <c r="BV401" s="264">
        <f t="shared" si="1096"/>
        <v>3.0537380021595953E-3</v>
      </c>
      <c r="BW401" s="196">
        <f t="shared" si="1037"/>
        <v>188334.1382699665</v>
      </c>
      <c r="BX401" s="247">
        <f t="shared" si="1097"/>
        <v>3.0537380296677841E-3</v>
      </c>
      <c r="BY401" s="196">
        <f t="shared" ref="BY401:BY467" si="1100">BU401+BW401</f>
        <v>232360.30046294568</v>
      </c>
      <c r="BZ401" s="620">
        <v>0</v>
      </c>
      <c r="CA401" s="196">
        <f t="shared" si="1022"/>
        <v>83293.798664601796</v>
      </c>
      <c r="CB401" s="196">
        <f t="shared" si="1023"/>
        <v>166587.59732920359</v>
      </c>
      <c r="CC401" s="196">
        <f t="shared" si="1056"/>
        <v>249881.39599380537</v>
      </c>
      <c r="CD401" s="247">
        <f t="shared" si="1044"/>
        <v>1.0543536568814957E-3</v>
      </c>
      <c r="CE401" s="196">
        <f t="shared" si="1024"/>
        <v>34374.778505651237</v>
      </c>
      <c r="CF401" s="247">
        <f t="shared" si="1045"/>
        <v>1.4844098395674589E-3</v>
      </c>
      <c r="CG401" s="196">
        <f t="shared" si="1069"/>
        <v>41374.697375880634</v>
      </c>
      <c r="CH401" s="589">
        <f t="shared" si="1061"/>
        <v>1.0543536568814959E-3</v>
      </c>
      <c r="CI401" s="196">
        <f t="shared" si="1025"/>
        <v>104643.13387844662</v>
      </c>
      <c r="CJ401" s="248">
        <f t="shared" si="1062"/>
        <v>1.7203328553422696E-3</v>
      </c>
      <c r="CK401" s="196">
        <f t="shared" si="1026"/>
        <v>84947.687625682782</v>
      </c>
      <c r="CL401" s="589">
        <f t="shared" si="1063"/>
        <v>1.2211404826130705E-3</v>
      </c>
      <c r="CM401" s="196">
        <f t="shared" si="1027"/>
        <v>16482.521935052919</v>
      </c>
      <c r="CN401" s="589">
        <f t="shared" si="1064"/>
        <v>2.3753187289511546E-3</v>
      </c>
      <c r="CO401" s="196">
        <f t="shared" si="1028"/>
        <v>658.35107974158666</v>
      </c>
      <c r="CP401" s="589">
        <f t="shared" si="1065"/>
        <v>1.2415487316584256E-3</v>
      </c>
      <c r="CQ401" s="196">
        <f>'Detailed Budget'!$AC$12</f>
        <v>292876014141.44696</v>
      </c>
      <c r="CR401" s="269">
        <f t="shared" si="1066"/>
        <v>943450929.16065145</v>
      </c>
      <c r="CS401" s="269">
        <f>'Detailed Budget'!$AC$16</f>
        <v>10488008800.000002</v>
      </c>
      <c r="CT401" s="607">
        <f t="shared" si="1070"/>
        <v>33785356.387994505</v>
      </c>
      <c r="CU401" s="269">
        <f>'Detailed Budget'!$AC$24</f>
        <v>30624985696</v>
      </c>
      <c r="CV401" s="269">
        <f t="shared" si="1091"/>
        <v>98653251.940490618</v>
      </c>
      <c r="CW401" s="269"/>
      <c r="CX401" s="269">
        <f t="shared" si="1057"/>
        <v>1075889537.4891367</v>
      </c>
      <c r="CY401" s="196">
        <f>'Detailed Budget'!$AC$97</f>
        <v>74629165494.837845</v>
      </c>
      <c r="CZ401" s="269">
        <f t="shared" si="1071"/>
        <v>0</v>
      </c>
      <c r="DA401" s="269">
        <f>'Detailed Budget'!$AC$100</f>
        <v>14925833098.967569</v>
      </c>
      <c r="DB401" s="269">
        <f t="shared" si="1072"/>
        <v>0</v>
      </c>
      <c r="DC401" s="269">
        <f t="shared" si="1046"/>
        <v>0</v>
      </c>
      <c r="DD401" s="207">
        <v>0</v>
      </c>
      <c r="DE401" s="606">
        <v>0</v>
      </c>
      <c r="DF401" s="269">
        <f>'Detailed Budget'!$AC$147</f>
        <v>5913600671000</v>
      </c>
      <c r="DG401" s="269">
        <f t="shared" si="1086"/>
        <v>0</v>
      </c>
      <c r="DH401" s="269">
        <f>'Detailed Budget'!$AC$153</f>
        <v>226428026880.00003</v>
      </c>
      <c r="DI401" s="269"/>
      <c r="DJ401" s="269">
        <f>'Detailed Budget'!$AC$156</f>
        <v>27713070000</v>
      </c>
      <c r="DK401" s="269"/>
      <c r="DL401" s="269"/>
      <c r="DM401" s="196">
        <f>'Detailed Budget'!$AC$178</f>
        <v>5622683761.6229038</v>
      </c>
      <c r="DN401" s="269">
        <f t="shared" si="1029"/>
        <v>17170203.076993525</v>
      </c>
      <c r="DO401" s="196">
        <f>'Detailed Budget'!$AC$179</f>
        <v>26827890683.128094</v>
      </c>
      <c r="DP401" s="269">
        <f t="shared" si="1030"/>
        <v>81925350.034838289</v>
      </c>
      <c r="DQ401" s="269">
        <f t="shared" si="1008"/>
        <v>99095553.111831814</v>
      </c>
      <c r="DR401" s="269">
        <f>'Detailed Budget'!$AC$181</f>
        <v>50888946855.375237</v>
      </c>
      <c r="DS401" s="269">
        <f t="shared" si="1031"/>
        <v>126554687.81202736</v>
      </c>
      <c r="DT401" s="269">
        <f t="shared" si="1032"/>
        <v>225650240.92385918</v>
      </c>
      <c r="DU401" s="272">
        <f>'Detailed Budget'!$AC$192</f>
        <v>77498869683.252869</v>
      </c>
      <c r="DV401" s="269">
        <f t="shared" si="1073"/>
        <v>0</v>
      </c>
      <c r="DW401" s="140">
        <f>'Detailed Budget'!$AC$194</f>
        <v>2684962805.4134097</v>
      </c>
      <c r="DX401" s="269">
        <f t="shared" si="1074"/>
        <v>0</v>
      </c>
      <c r="DY401" s="607">
        <f t="shared" si="1047"/>
        <v>0</v>
      </c>
      <c r="DZ401" s="196">
        <f>'Detailed Budget'!$AC$198</f>
        <v>18732540018.380611</v>
      </c>
      <c r="EA401" s="269">
        <f t="shared" si="1013"/>
        <v>27806766.723375365</v>
      </c>
      <c r="EB401" s="196">
        <f>'Detailed Budget'!$AC$200</f>
        <v>4683135004.5951529</v>
      </c>
      <c r="EC401" s="269">
        <f t="shared" si="1075"/>
        <v>6951691.6808438413</v>
      </c>
      <c r="ED401" s="269">
        <f t="shared" si="1048"/>
        <v>34758458.40421921</v>
      </c>
      <c r="EE401" s="196">
        <f>'Detailed Budget'!$AC$161</f>
        <v>251147290106.36197</v>
      </c>
      <c r="EF401" s="269">
        <f t="shared" si="1076"/>
        <v>264798063.73952067</v>
      </c>
      <c r="EG401" s="196">
        <f>'Detailed Budget'!$AC$163</f>
        <v>15696705631.647623</v>
      </c>
      <c r="EH401" s="269">
        <f t="shared" si="1077"/>
        <v>16549878.983720042</v>
      </c>
      <c r="EI401" s="269">
        <f t="shared" si="1049"/>
        <v>281347942.72324073</v>
      </c>
      <c r="EJ401" s="196">
        <f>'Detailed Budget'!$AC$204</f>
        <v>45012172507.531975</v>
      </c>
      <c r="EK401" s="269">
        <f t="shared" si="1078"/>
        <v>77435919.255041286</v>
      </c>
      <c r="EL401" s="201">
        <f>'Detailed Budget'!$AC$206</f>
        <v>11253043126.882994</v>
      </c>
      <c r="EM401" s="269">
        <f t="shared" si="1079"/>
        <v>19358979.813760322</v>
      </c>
      <c r="EN401" s="269">
        <f t="shared" si="1050"/>
        <v>96794899.068801612</v>
      </c>
      <c r="EO401" s="140">
        <f>'Detailed Budget'!$AC$209</f>
        <v>135789361677.54817</v>
      </c>
      <c r="EP401" s="269">
        <f t="shared" si="1080"/>
        <v>165817886.65264195</v>
      </c>
      <c r="EQ401" s="196">
        <f>'Detailed Budget'!$AC$211</f>
        <v>33947340419.387043</v>
      </c>
      <c r="ER401" s="269">
        <f t="shared" si="1081"/>
        <v>41454471.663160488</v>
      </c>
      <c r="ES401" s="269">
        <f t="shared" si="1051"/>
        <v>207272358.31580245</v>
      </c>
      <c r="ET401" s="196">
        <f>'Detailed Budget'!$AC$214</f>
        <v>22239745544.201103</v>
      </c>
      <c r="EU401" s="269">
        <f t="shared" si="1082"/>
        <v>52826484.118248865</v>
      </c>
      <c r="EV401" s="140">
        <f>'Detailed Budget'!$AC$217</f>
        <v>5559936386.0502758</v>
      </c>
      <c r="EW401" s="269">
        <f t="shared" si="1083"/>
        <v>13206621.029562216</v>
      </c>
      <c r="EX401" s="269">
        <f t="shared" si="1052"/>
        <v>66033105.147811085</v>
      </c>
      <c r="EY401" s="196">
        <f>'Detailed Budget'!$AC$219</f>
        <v>372777004.58170313</v>
      </c>
      <c r="EZ401" s="269">
        <f t="shared" si="1084"/>
        <v>462820.81722984061</v>
      </c>
      <c r="FA401" s="196">
        <f>'Detailed Budget'!$AC$222</f>
        <v>93194251.145425782</v>
      </c>
      <c r="FB401" s="269">
        <f t="shared" si="1085"/>
        <v>115705.20430746015</v>
      </c>
      <c r="FC401" s="269">
        <f t="shared" si="1053"/>
        <v>578526.02153730078</v>
      </c>
      <c r="FD401" s="269"/>
      <c r="FE401" s="269">
        <f t="shared" si="1054"/>
        <v>370678888.55395246</v>
      </c>
      <c r="FF401" s="140">
        <f>'Detailed Budget'!$AC$165</f>
        <v>14927760000</v>
      </c>
      <c r="FG401" s="1087">
        <f t="shared" si="1087"/>
        <v>505630540.65160888</v>
      </c>
      <c r="FH401" s="269">
        <f t="shared" si="1014"/>
        <v>16961436.200431772</v>
      </c>
      <c r="FJ401" s="140">
        <f>'Detailed Budget'!$AC$235</f>
        <v>3623696172</v>
      </c>
      <c r="FK401" s="269">
        <f t="shared" si="1015"/>
        <v>4681778</v>
      </c>
      <c r="FL401" s="269">
        <f t="shared" si="1088"/>
        <v>4681778</v>
      </c>
      <c r="FO401" s="607"/>
      <c r="FP401" s="607"/>
      <c r="FQ401" s="607"/>
      <c r="FR401" s="269">
        <f>'Detailed Budget'!$AC$257</f>
        <v>13636439388</v>
      </c>
      <c r="FS401" s="269">
        <f t="shared" si="1016"/>
        <v>27981408</v>
      </c>
      <c r="FT401" s="269">
        <f t="shared" si="1089"/>
        <v>27981408</v>
      </c>
      <c r="FU401" s="269"/>
      <c r="FV401" s="269"/>
      <c r="FW401" s="269"/>
      <c r="FX401" s="140">
        <f>'Detailed Budget'!$AC$278</f>
        <v>1114560000</v>
      </c>
      <c r="FY401" s="269">
        <f t="shared" si="1017"/>
        <v>1440000</v>
      </c>
      <c r="FZ401" s="269">
        <f t="shared" si="1090"/>
        <v>1440000</v>
      </c>
      <c r="GB401" s="269">
        <f t="shared" si="1098"/>
        <v>2545020230.9464488</v>
      </c>
      <c r="GC401" s="887">
        <f t="shared" si="1055"/>
        <v>1590637.6443415305</v>
      </c>
      <c r="GD401" s="1078">
        <f t="shared" si="1099"/>
        <v>1.4280909919881343E-3</v>
      </c>
    </row>
    <row r="402" spans="1:186" hidden="1" outlineLevel="1">
      <c r="A402" s="211" t="s">
        <v>942</v>
      </c>
      <c r="B402" s="212" t="s">
        <v>943</v>
      </c>
      <c r="C402" s="213" t="s">
        <v>215</v>
      </c>
      <c r="D402" s="214" t="s">
        <v>215</v>
      </c>
      <c r="E402" s="213"/>
      <c r="F402" s="213"/>
      <c r="G402" s="213"/>
      <c r="H402" s="213" t="s">
        <v>215</v>
      </c>
      <c r="I402" s="214" t="s">
        <v>215</v>
      </c>
      <c r="J402" s="214"/>
      <c r="K402" s="213" t="s">
        <v>215</v>
      </c>
      <c r="L402" s="213"/>
      <c r="M402" s="214"/>
      <c r="N402" s="213"/>
      <c r="O402" s="214"/>
      <c r="P402" s="213"/>
      <c r="Q402" s="214"/>
      <c r="R402" s="214" t="s">
        <v>215</v>
      </c>
      <c r="S402" s="214"/>
      <c r="T402" s="214"/>
      <c r="U402" s="215">
        <f t="shared" si="1018"/>
        <v>6</v>
      </c>
      <c r="V402" s="845" t="s">
        <v>219</v>
      </c>
      <c r="W402" s="216">
        <v>140679</v>
      </c>
      <c r="X402" s="217">
        <v>3.04</v>
      </c>
      <c r="Y402" s="218">
        <f t="shared" ref="Y402:Y468" si="1101">1+X402/100</f>
        <v>1.0304</v>
      </c>
      <c r="Z402" s="196">
        <v>19</v>
      </c>
      <c r="AA402" s="218">
        <f t="shared" ref="AA402:AA468" si="1102">POWER(Y402,Z402)</f>
        <v>1.7664898659259882</v>
      </c>
      <c r="AB402" s="196">
        <f t="shared" ref="AB402:AB435" si="1103">W402*AA402</f>
        <v>248508.0278486021</v>
      </c>
      <c r="AC402">
        <v>20.8</v>
      </c>
      <c r="AD402" s="196">
        <f t="shared" ref="AD402:AD435" si="1104">AB402*AC402/100</f>
        <v>51689.669792509238</v>
      </c>
      <c r="AE402" s="196">
        <f t="shared" si="990"/>
        <v>49105.186302883776</v>
      </c>
      <c r="AF402" s="196">
        <f t="shared" si="1019"/>
        <v>49105.186302883776</v>
      </c>
      <c r="AG402" s="606">
        <f t="shared" si="1058"/>
        <v>2.27040823883817E-3</v>
      </c>
      <c r="AH402" s="196">
        <f t="shared" si="1033"/>
        <v>12425.401392430105</v>
      </c>
      <c r="AI402" s="248">
        <f t="shared" si="1034"/>
        <v>9.6257701954956764E-4</v>
      </c>
      <c r="AJ402" s="196">
        <f t="shared" si="1038"/>
        <v>64115.071184939341</v>
      </c>
      <c r="AK402" s="196">
        <f t="shared" si="1067"/>
        <v>9940.3211139440846</v>
      </c>
      <c r="AL402" s="196">
        <f t="shared" si="1068"/>
        <v>9940.3211139440846</v>
      </c>
      <c r="AM402" s="196">
        <f t="shared" si="1039"/>
        <v>19880.642227888169</v>
      </c>
      <c r="AN402" s="627">
        <f t="shared" si="1040"/>
        <v>9.6257701954956764E-4</v>
      </c>
      <c r="AO402" s="196">
        <f t="shared" si="1041"/>
        <v>9443.3050582468786</v>
      </c>
      <c r="AP402" s="589">
        <f t="shared" si="1059"/>
        <v>9.6257701954956753E-4</v>
      </c>
      <c r="AQ402" s="196"/>
      <c r="AR402" s="589"/>
      <c r="AS402">
        <v>1</v>
      </c>
      <c r="AT402" s="589">
        <f t="shared" si="1060"/>
        <v>1.2919896640826874E-3</v>
      </c>
      <c r="AU402" s="196">
        <v>10</v>
      </c>
      <c r="AV402" s="245">
        <f t="shared" si="1042"/>
        <v>1.1362345188046814E-3</v>
      </c>
      <c r="AX402" s="245"/>
      <c r="AY402" s="245"/>
      <c r="AZ402" s="196">
        <v>41</v>
      </c>
      <c r="BA402" s="589">
        <f t="shared" si="1092"/>
        <v>1.5023267743944891E-3</v>
      </c>
      <c r="BI402" s="196">
        <v>0</v>
      </c>
      <c r="BJ402" s="196">
        <f t="shared" si="1020"/>
        <v>154222.500036185</v>
      </c>
      <c r="BK402" s="246">
        <f t="shared" si="1093"/>
        <v>2.9409300273696374E-3</v>
      </c>
      <c r="BL402" s="196">
        <f t="shared" si="1035"/>
        <v>3084.4500007236998</v>
      </c>
      <c r="BM402" s="246">
        <f t="shared" si="1094"/>
        <v>2.9409296908791084E-3</v>
      </c>
      <c r="BN402" s="196">
        <v>0</v>
      </c>
      <c r="BO402" s="196">
        <f t="shared" si="1021"/>
        <v>19188.834981033535</v>
      </c>
      <c r="BP402" s="196">
        <f t="shared" si="1043"/>
        <v>0</v>
      </c>
      <c r="BQ402" s="248">
        <f t="shared" si="1095"/>
        <v>0</v>
      </c>
      <c r="BR402" s="248"/>
      <c r="BS402" s="248"/>
      <c r="BT402" s="276">
        <v>1</v>
      </c>
      <c r="BU402" s="196">
        <f t="shared" si="1036"/>
        <v>40193.887230655186</v>
      </c>
      <c r="BV402" s="264">
        <f t="shared" si="1096"/>
        <v>2.7879241518431177E-3</v>
      </c>
      <c r="BW402" s="196">
        <f t="shared" si="1037"/>
        <v>171940.51759780274</v>
      </c>
      <c r="BX402" s="247">
        <f t="shared" si="1097"/>
        <v>2.7879241769568457E-3</v>
      </c>
      <c r="BY402" s="196">
        <f t="shared" si="1100"/>
        <v>212134.40482845792</v>
      </c>
      <c r="BZ402" s="620">
        <v>0</v>
      </c>
      <c r="CA402" s="196">
        <f t="shared" si="1022"/>
        <v>76043.456521672255</v>
      </c>
      <c r="CB402" s="196">
        <f t="shared" si="1023"/>
        <v>152086.91304334451</v>
      </c>
      <c r="CC402" s="196">
        <f t="shared" si="1056"/>
        <v>228130.36956501676</v>
      </c>
      <c r="CD402" s="247">
        <f t="shared" si="1044"/>
        <v>9.6257701954956774E-4</v>
      </c>
      <c r="CE402" s="196">
        <f t="shared" si="1024"/>
        <v>31382.612110924059</v>
      </c>
      <c r="CF402" s="247">
        <f t="shared" si="1045"/>
        <v>1.3551987891682277E-3</v>
      </c>
      <c r="CG402" s="196">
        <f t="shared" si="1069"/>
        <v>37773.220232987514</v>
      </c>
      <c r="CH402" s="589">
        <f t="shared" si="1061"/>
        <v>9.6257701954956753E-4</v>
      </c>
      <c r="CI402" s="196">
        <f t="shared" si="1025"/>
        <v>95534.43028116964</v>
      </c>
      <c r="CJ402" s="248">
        <f t="shared" si="1062"/>
        <v>1.5705857913239827E-3</v>
      </c>
      <c r="CK402" s="196">
        <f t="shared" si="1026"/>
        <v>77553.382054184694</v>
      </c>
      <c r="CL402" s="589">
        <f t="shared" si="1063"/>
        <v>1.1148458190790187E-3</v>
      </c>
      <c r="CM402" s="196">
        <f t="shared" si="1027"/>
        <v>15047.794196332774</v>
      </c>
      <c r="CN402" s="589">
        <f t="shared" si="1064"/>
        <v>2.1685581566214954E-3</v>
      </c>
      <c r="CO402" s="196">
        <f t="shared" si="1028"/>
        <v>601.0446457114366</v>
      </c>
      <c r="CP402" s="589">
        <f t="shared" si="1065"/>
        <v>1.1334776238933603E-3</v>
      </c>
      <c r="CQ402" s="196">
        <f>'Detailed Budget'!$AC$12</f>
        <v>292876014141.44696</v>
      </c>
      <c r="CR402" s="269">
        <f t="shared" si="1066"/>
        <v>861327864.28491592</v>
      </c>
      <c r="CS402" s="269">
        <f>'Detailed Budget'!$AC$16</f>
        <v>10488008800.000002</v>
      </c>
      <c r="CT402" s="607">
        <f t="shared" si="1070"/>
        <v>30844496.478121374</v>
      </c>
      <c r="CU402" s="269">
        <f>'Detailed Budget'!$AC$24</f>
        <v>30624985696</v>
      </c>
      <c r="CV402" s="269">
        <f t="shared" si="1091"/>
        <v>90065940.021132037</v>
      </c>
      <c r="CW402" s="269"/>
      <c r="CX402" s="269">
        <f t="shared" si="1057"/>
        <v>982238300.78416932</v>
      </c>
      <c r="CY402" s="196">
        <f>'Detailed Budget'!$AC$97</f>
        <v>74629165494.837845</v>
      </c>
      <c r="CZ402" s="269">
        <f t="shared" si="1071"/>
        <v>0</v>
      </c>
      <c r="DA402" s="269">
        <f>'Detailed Budget'!$AC$100</f>
        <v>14925833098.967569</v>
      </c>
      <c r="DB402" s="269">
        <f t="shared" si="1072"/>
        <v>0</v>
      </c>
      <c r="DC402" s="269">
        <f t="shared" si="1046"/>
        <v>0</v>
      </c>
      <c r="DD402" s="207">
        <v>0</v>
      </c>
      <c r="DE402" s="606">
        <v>0</v>
      </c>
      <c r="DF402" s="269">
        <f>'Detailed Budget'!$AC$147</f>
        <v>5913600671000</v>
      </c>
      <c r="DG402" s="269">
        <f t="shared" si="1086"/>
        <v>0</v>
      </c>
      <c r="DH402" s="269">
        <f>'Detailed Budget'!$AC$153</f>
        <v>226428026880.00003</v>
      </c>
      <c r="DI402" s="269"/>
      <c r="DJ402" s="269">
        <f>'Detailed Budget'!$AC$156</f>
        <v>27713070000</v>
      </c>
      <c r="DK402" s="269"/>
      <c r="DL402" s="269"/>
      <c r="DM402" s="196">
        <f>'Detailed Budget'!$AC$178</f>
        <v>5622683761.6229038</v>
      </c>
      <c r="DN402" s="269">
        <f t="shared" si="1029"/>
        <v>15675615.857204605</v>
      </c>
      <c r="DO402" s="196">
        <f>'Detailed Budget'!$AC$179</f>
        <v>26827890683.128094</v>
      </c>
      <c r="DP402" s="269">
        <f t="shared" si="1030"/>
        <v>74794125.05224812</v>
      </c>
      <c r="DQ402" s="269">
        <f t="shared" si="1008"/>
        <v>90469740.909452721</v>
      </c>
      <c r="DR402" s="269">
        <f>'Detailed Budget'!$AC$181</f>
        <v>50888946855.375237</v>
      </c>
      <c r="DS402" s="269">
        <f t="shared" si="1031"/>
        <v>115538684.20624171</v>
      </c>
      <c r="DT402" s="269">
        <f t="shared" si="1032"/>
        <v>206008425.11569443</v>
      </c>
      <c r="DU402" s="272">
        <f>'Detailed Budget'!$AC$192</f>
        <v>77498869683.252869</v>
      </c>
      <c r="DV402" s="269">
        <f t="shared" si="1073"/>
        <v>0</v>
      </c>
      <c r="DW402" s="140">
        <f>'Detailed Budget'!$AC$194</f>
        <v>2684962805.4134097</v>
      </c>
      <c r="DX402" s="269">
        <f t="shared" si="1074"/>
        <v>0</v>
      </c>
      <c r="DY402" s="607">
        <f t="shared" si="1047"/>
        <v>0</v>
      </c>
      <c r="DZ402" s="196">
        <f>'Detailed Budget'!$AC$198</f>
        <v>18732540018.380611</v>
      </c>
      <c r="EA402" s="269">
        <f t="shared" si="1013"/>
        <v>25386315.550954774</v>
      </c>
      <c r="EB402" s="196">
        <f>'Detailed Budget'!$AC$200</f>
        <v>4683135004.5951529</v>
      </c>
      <c r="EC402" s="269">
        <f t="shared" si="1075"/>
        <v>6346578.8877386935</v>
      </c>
      <c r="ED402" s="269">
        <f t="shared" si="1048"/>
        <v>31732894.438693468</v>
      </c>
      <c r="EE402" s="196">
        <f>'Detailed Budget'!$AC$161</f>
        <v>251147290106.36197</v>
      </c>
      <c r="EF402" s="269">
        <f t="shared" si="1076"/>
        <v>241748609.97853249</v>
      </c>
      <c r="EG402" s="196">
        <f>'Detailed Budget'!$AC$163</f>
        <v>15696705631.647623</v>
      </c>
      <c r="EH402" s="269">
        <f t="shared" si="1077"/>
        <v>15109288.123658281</v>
      </c>
      <c r="EI402" s="269">
        <f t="shared" si="1049"/>
        <v>256857898.10219076</v>
      </c>
      <c r="EJ402" s="196">
        <f>'Detailed Budget'!$AC$204</f>
        <v>45012172507.531975</v>
      </c>
      <c r="EK402" s="269">
        <f t="shared" si="1078"/>
        <v>70695478.576953724</v>
      </c>
      <c r="EL402" s="201">
        <f>'Detailed Budget'!$AC$206</f>
        <v>11253043126.882994</v>
      </c>
      <c r="EM402" s="269">
        <f t="shared" si="1079"/>
        <v>17673869.644238431</v>
      </c>
      <c r="EN402" s="269">
        <f t="shared" si="1050"/>
        <v>88369348.221192151</v>
      </c>
      <c r="EO402" s="140">
        <f>'Detailed Budget'!$AC$209</f>
        <v>135789361677.54817</v>
      </c>
      <c r="EP402" s="269">
        <f t="shared" si="1080"/>
        <v>151384202.14162332</v>
      </c>
      <c r="EQ402" s="196">
        <f>'Detailed Budget'!$AC$211</f>
        <v>33947340419.387043</v>
      </c>
      <c r="ER402" s="269">
        <f t="shared" si="1081"/>
        <v>37846050.53540583</v>
      </c>
      <c r="ES402" s="269">
        <f t="shared" si="1051"/>
        <v>189230252.67702913</v>
      </c>
      <c r="ET402" s="196">
        <f>'Detailed Budget'!$AC$214</f>
        <v>22239745544.201103</v>
      </c>
      <c r="EU402" s="269">
        <f t="shared" si="1082"/>
        <v>48228181.601063862</v>
      </c>
      <c r="EV402" s="140">
        <f>'Detailed Budget'!$AC$217</f>
        <v>5559936386.0502758</v>
      </c>
      <c r="EW402" s="269">
        <f t="shared" si="1083"/>
        <v>12057045.400265966</v>
      </c>
      <c r="EX402" s="269">
        <f t="shared" si="1052"/>
        <v>60285227.001329824</v>
      </c>
      <c r="EY402" s="196">
        <f>'Detailed Budget'!$AC$219</f>
        <v>372777004.58170313</v>
      </c>
      <c r="EZ402" s="269">
        <f t="shared" si="1084"/>
        <v>422534.39339535317</v>
      </c>
      <c r="FA402" s="196">
        <f>'Detailed Budget'!$AC$222</f>
        <v>93194251.145425782</v>
      </c>
      <c r="FB402" s="269">
        <f t="shared" si="1085"/>
        <v>105633.59834883829</v>
      </c>
      <c r="FC402" s="269">
        <f t="shared" si="1053"/>
        <v>528167.9917441915</v>
      </c>
      <c r="FD402" s="269"/>
      <c r="FE402" s="269">
        <f t="shared" si="1054"/>
        <v>338412995.89129531</v>
      </c>
      <c r="FF402" s="140">
        <f>'Detailed Budget'!$AC$165</f>
        <v>14927760000</v>
      </c>
      <c r="FG402" s="1087">
        <f t="shared" si="1087"/>
        <v>461617727.25597495</v>
      </c>
      <c r="FH402" s="269">
        <f t="shared" si="1014"/>
        <v>16961436.200431772</v>
      </c>
      <c r="FJ402" s="140">
        <f>'Detailed Budget'!$AC$235</f>
        <v>3623696172</v>
      </c>
      <c r="FK402" s="269">
        <f t="shared" si="1015"/>
        <v>4681778</v>
      </c>
      <c r="FL402" s="269">
        <f t="shared" si="1088"/>
        <v>4681778</v>
      </c>
      <c r="FO402" s="607"/>
      <c r="FP402" s="607"/>
      <c r="FQ402" s="607"/>
      <c r="FR402" s="269">
        <f>'Detailed Budget'!$AC$257</f>
        <v>13636439388</v>
      </c>
      <c r="FS402" s="269">
        <f t="shared" si="1016"/>
        <v>20486388</v>
      </c>
      <c r="FT402" s="269">
        <f t="shared" si="1089"/>
        <v>20486388</v>
      </c>
      <c r="FU402" s="269"/>
      <c r="FV402" s="269"/>
      <c r="FW402" s="269"/>
      <c r="FX402" s="140">
        <f>'Detailed Budget'!$AC$278</f>
        <v>1114560000</v>
      </c>
      <c r="FY402" s="269">
        <f t="shared" si="1017"/>
        <v>1440000</v>
      </c>
      <c r="FZ402" s="269">
        <f t="shared" si="1090"/>
        <v>1440000</v>
      </c>
      <c r="GB402" s="269">
        <f t="shared" si="1098"/>
        <v>2320437843.7884498</v>
      </c>
      <c r="GC402" s="887">
        <f t="shared" si="1055"/>
        <v>1450273.6523677811</v>
      </c>
      <c r="GD402" s="1078">
        <f t="shared" si="1099"/>
        <v>1.3020707426558693E-3</v>
      </c>
    </row>
    <row r="403" spans="1:186" hidden="1" outlineLevel="1">
      <c r="A403" s="211" t="s">
        <v>944</v>
      </c>
      <c r="B403" s="212" t="s">
        <v>945</v>
      </c>
      <c r="C403" s="213" t="s">
        <v>215</v>
      </c>
      <c r="D403" s="214" t="s">
        <v>215</v>
      </c>
      <c r="E403" s="213"/>
      <c r="F403" s="213"/>
      <c r="G403" s="213"/>
      <c r="H403" s="213" t="s">
        <v>215</v>
      </c>
      <c r="I403" s="214" t="s">
        <v>215</v>
      </c>
      <c r="J403" s="214"/>
      <c r="K403" s="213" t="s">
        <v>215</v>
      </c>
      <c r="L403" s="213"/>
      <c r="M403" s="214"/>
      <c r="N403" s="213"/>
      <c r="O403" s="214"/>
      <c r="P403" s="213"/>
      <c r="Q403" s="214"/>
      <c r="R403" s="214" t="s">
        <v>215</v>
      </c>
      <c r="S403" s="214"/>
      <c r="T403" s="214"/>
      <c r="U403" s="215">
        <f t="shared" si="1018"/>
        <v>6</v>
      </c>
      <c r="V403" s="845" t="s">
        <v>219</v>
      </c>
      <c r="W403" s="216">
        <v>185207</v>
      </c>
      <c r="X403" s="217">
        <v>3.04</v>
      </c>
      <c r="Y403" s="218">
        <f t="shared" si="1101"/>
        <v>1.0304</v>
      </c>
      <c r="Z403" s="196">
        <v>19</v>
      </c>
      <c r="AA403" s="218">
        <f t="shared" si="1102"/>
        <v>1.7664898659259882</v>
      </c>
      <c r="AB403" s="196">
        <f t="shared" si="1103"/>
        <v>327166.2885985545</v>
      </c>
      <c r="AC403">
        <v>20.8</v>
      </c>
      <c r="AD403" s="196">
        <f t="shared" si="1104"/>
        <v>68050.588028499333</v>
      </c>
      <c r="AE403" s="196">
        <f t="shared" si="990"/>
        <v>64648.058627074366</v>
      </c>
      <c r="AF403" s="196">
        <f t="shared" si="1019"/>
        <v>64648.058627074366</v>
      </c>
      <c r="AG403" s="606">
        <f t="shared" si="1058"/>
        <v>2.9890424206207105E-3</v>
      </c>
      <c r="AH403" s="196">
        <f t="shared" si="1033"/>
        <v>16358.314429927726</v>
      </c>
      <c r="AI403" s="248">
        <f t="shared" si="1034"/>
        <v>1.2672538336192096E-3</v>
      </c>
      <c r="AJ403" s="196">
        <f t="shared" si="1038"/>
        <v>84408.902458427066</v>
      </c>
      <c r="AK403" s="196">
        <f t="shared" si="1067"/>
        <v>13086.65154394218</v>
      </c>
      <c r="AL403" s="196">
        <f t="shared" si="1068"/>
        <v>13086.65154394218</v>
      </c>
      <c r="AM403" s="196">
        <f t="shared" si="1039"/>
        <v>26173.30308788436</v>
      </c>
      <c r="AN403" s="627">
        <f t="shared" si="1040"/>
        <v>1.2672538336192096E-3</v>
      </c>
      <c r="AO403" s="196">
        <f t="shared" si="1041"/>
        <v>12432.318966745072</v>
      </c>
      <c r="AP403" s="589">
        <f t="shared" si="1059"/>
        <v>1.2672538336192096E-3</v>
      </c>
      <c r="AQ403" s="196"/>
      <c r="AR403" s="589"/>
      <c r="AS403">
        <v>1</v>
      </c>
      <c r="AT403" s="589">
        <f t="shared" si="1060"/>
        <v>1.2919896640826874E-3</v>
      </c>
      <c r="AU403" s="196">
        <v>10</v>
      </c>
      <c r="AV403" s="245">
        <f t="shared" si="1042"/>
        <v>1.1362345188046814E-3</v>
      </c>
      <c r="AX403" s="245"/>
      <c r="AY403" s="245"/>
      <c r="AZ403" s="196">
        <v>45</v>
      </c>
      <c r="BA403" s="589">
        <f t="shared" si="1092"/>
        <v>1.6488952401890733E-3</v>
      </c>
      <c r="BI403" s="196">
        <v>0</v>
      </c>
      <c r="BJ403" s="196">
        <f t="shared" si="1020"/>
        <v>203037.31590501577</v>
      </c>
      <c r="BK403" s="246">
        <f t="shared" si="1093"/>
        <v>3.8717991141467342E-3</v>
      </c>
      <c r="BL403" s="196">
        <f t="shared" si="1035"/>
        <v>4060.7463181003154</v>
      </c>
      <c r="BM403" s="246">
        <f t="shared" si="1094"/>
        <v>3.8717986711495466E-3</v>
      </c>
      <c r="BN403" s="196">
        <v>0</v>
      </c>
      <c r="BO403" s="196">
        <f t="shared" si="1021"/>
        <v>25262.523619959469</v>
      </c>
      <c r="BP403" s="196">
        <f t="shared" si="1043"/>
        <v>0</v>
      </c>
      <c r="BQ403" s="248">
        <f t="shared" si="1095"/>
        <v>0</v>
      </c>
      <c r="BR403" s="248"/>
      <c r="BS403" s="248"/>
      <c r="BT403" s="276">
        <v>1</v>
      </c>
      <c r="BU403" s="196">
        <f t="shared" si="1036"/>
        <v>52916.137250961081</v>
      </c>
      <c r="BV403" s="264">
        <f t="shared" si="1096"/>
        <v>3.6703635111879403E-3</v>
      </c>
      <c r="BW403" s="196">
        <f t="shared" si="1037"/>
        <v>226363.47601800019</v>
      </c>
      <c r="BX403" s="247">
        <f t="shared" si="1097"/>
        <v>3.6703635442507155E-3</v>
      </c>
      <c r="BY403" s="196">
        <f t="shared" si="1100"/>
        <v>279279.61326896126</v>
      </c>
      <c r="BZ403" s="620">
        <v>0</v>
      </c>
      <c r="CA403" s="196">
        <f t="shared" si="1022"/>
        <v>100112.88431115769</v>
      </c>
      <c r="CB403" s="196">
        <f t="shared" si="1023"/>
        <v>200225.76862231537</v>
      </c>
      <c r="CC403" s="196">
        <f t="shared" si="1056"/>
        <v>300338.65293347306</v>
      </c>
      <c r="CD403" s="247">
        <f t="shared" si="1044"/>
        <v>1.2672538336192096E-3</v>
      </c>
      <c r="CE403" s="196">
        <f t="shared" si="1024"/>
        <v>41315.899609948268</v>
      </c>
      <c r="CF403" s="247">
        <f t="shared" si="1045"/>
        <v>1.7841490353605013E-3</v>
      </c>
      <c r="CG403" s="196">
        <f t="shared" si="1069"/>
        <v>49729.275866980286</v>
      </c>
      <c r="CH403" s="589">
        <f t="shared" si="1061"/>
        <v>1.2672538336192096E-3</v>
      </c>
      <c r="CI403" s="196">
        <f t="shared" si="1025"/>
        <v>125773.18028337267</v>
      </c>
      <c r="CJ403" s="248">
        <f t="shared" si="1062"/>
        <v>2.0677107646041048E-3</v>
      </c>
      <c r="CK403" s="196">
        <f t="shared" si="1026"/>
        <v>102100.73450983717</v>
      </c>
      <c r="CL403" s="589">
        <f t="shared" si="1063"/>
        <v>1.4677190598040063E-3</v>
      </c>
      <c r="CM403" s="196">
        <f t="shared" si="1027"/>
        <v>19810.752278024465</v>
      </c>
      <c r="CN403" s="589">
        <f t="shared" si="1064"/>
        <v>2.8549545455497784E-3</v>
      </c>
      <c r="CO403" s="196">
        <f t="shared" si="1028"/>
        <v>791.28850573488592</v>
      </c>
      <c r="CP403" s="589">
        <f t="shared" si="1065"/>
        <v>1.4922482409486671E-3</v>
      </c>
      <c r="CQ403" s="196">
        <f>'Detailed Budget'!$AC$12</f>
        <v>292876014141.44696</v>
      </c>
      <c r="CR403" s="269">
        <f t="shared" si="1066"/>
        <v>1133957092.1076808</v>
      </c>
      <c r="CS403" s="269">
        <f>'Detailed Budget'!$AC$16</f>
        <v>10488008800.000002</v>
      </c>
      <c r="CT403" s="607">
        <f t="shared" si="1070"/>
        <v>40607458.534844756</v>
      </c>
      <c r="CU403" s="269">
        <f>'Detailed Budget'!$AC$24</f>
        <v>30624985696</v>
      </c>
      <c r="CV403" s="269">
        <f t="shared" si="1091"/>
        <v>118573792.48852921</v>
      </c>
      <c r="CW403" s="269"/>
      <c r="CX403" s="269">
        <f t="shared" si="1057"/>
        <v>1293138343.1310549</v>
      </c>
      <c r="CY403" s="196">
        <f>'Detailed Budget'!$AC$97</f>
        <v>74629165494.837845</v>
      </c>
      <c r="CZ403" s="269">
        <f t="shared" si="1071"/>
        <v>0</v>
      </c>
      <c r="DA403" s="269">
        <f>'Detailed Budget'!$AC$100</f>
        <v>14925833098.967569</v>
      </c>
      <c r="DB403" s="269">
        <f t="shared" si="1072"/>
        <v>0</v>
      </c>
      <c r="DC403" s="269">
        <f t="shared" si="1046"/>
        <v>0</v>
      </c>
      <c r="DD403" s="207">
        <v>0</v>
      </c>
      <c r="DE403" s="606">
        <v>0</v>
      </c>
      <c r="DF403" s="269">
        <f>'Detailed Budget'!$AC$147</f>
        <v>5913600671000</v>
      </c>
      <c r="DG403" s="269">
        <f t="shared" si="1086"/>
        <v>0</v>
      </c>
      <c r="DH403" s="269">
        <f>'Detailed Budget'!$AC$153</f>
        <v>226428026880.00003</v>
      </c>
      <c r="DI403" s="269"/>
      <c r="DJ403" s="269">
        <f>'Detailed Budget'!$AC$156</f>
        <v>27713070000</v>
      </c>
      <c r="DK403" s="269"/>
      <c r="DL403" s="269"/>
      <c r="DM403" s="196">
        <f>'Detailed Budget'!$AC$178</f>
        <v>5622683761.6229038</v>
      </c>
      <c r="DN403" s="269">
        <f t="shared" si="1029"/>
        <v>20637293.313609656</v>
      </c>
      <c r="DO403" s="196">
        <f>'Detailed Budget'!$AC$179</f>
        <v>26827890683.128094</v>
      </c>
      <c r="DP403" s="269">
        <f t="shared" si="1030"/>
        <v>98468111.932496786</v>
      </c>
      <c r="DQ403" s="269">
        <f t="shared" si="1008"/>
        <v>119105405.24610645</v>
      </c>
      <c r="DR403" s="269">
        <f>'Detailed Budget'!$AC$181</f>
        <v>50888946855.375237</v>
      </c>
      <c r="DS403" s="269">
        <f t="shared" si="1031"/>
        <v>152109220.89142948</v>
      </c>
      <c r="DT403" s="269">
        <f t="shared" si="1032"/>
        <v>271214626.13753593</v>
      </c>
      <c r="DU403" s="272">
        <f>'Detailed Budget'!$AC$192</f>
        <v>77498869683.252869</v>
      </c>
      <c r="DV403" s="269">
        <f t="shared" si="1073"/>
        <v>0</v>
      </c>
      <c r="DW403" s="140">
        <f>'Detailed Budget'!$AC$194</f>
        <v>2684962805.4134097</v>
      </c>
      <c r="DX403" s="269">
        <f t="shared" si="1074"/>
        <v>0</v>
      </c>
      <c r="DY403" s="607">
        <f t="shared" si="1047"/>
        <v>0</v>
      </c>
      <c r="DZ403" s="196">
        <f>'Detailed Budget'!$AC$198</f>
        <v>18732540018.380611</v>
      </c>
      <c r="EA403" s="269">
        <f t="shared" si="1013"/>
        <v>33421643.203645755</v>
      </c>
      <c r="EB403" s="196">
        <f>'Detailed Budget'!$AC$200</f>
        <v>4683135004.5951529</v>
      </c>
      <c r="EC403" s="269">
        <f t="shared" si="1075"/>
        <v>8355410.8009114387</v>
      </c>
      <c r="ED403" s="269">
        <f t="shared" si="1048"/>
        <v>41777054.004557192</v>
      </c>
      <c r="EE403" s="196">
        <f>'Detailed Budget'!$AC$161</f>
        <v>251147290106.36197</v>
      </c>
      <c r="EF403" s="269">
        <f t="shared" si="1076"/>
        <v>318267366.19036299</v>
      </c>
      <c r="EG403" s="196">
        <f>'Detailed Budget'!$AC$163</f>
        <v>15696705631.647623</v>
      </c>
      <c r="EH403" s="269">
        <f t="shared" si="1077"/>
        <v>19891710.386897687</v>
      </c>
      <c r="EI403" s="269">
        <f t="shared" si="1049"/>
        <v>338159076.57726067</v>
      </c>
      <c r="EJ403" s="196">
        <f>'Detailed Budget'!$AC$204</f>
        <v>45012172507.531975</v>
      </c>
      <c r="EK403" s="269">
        <f t="shared" si="1078"/>
        <v>93072153.632040799</v>
      </c>
      <c r="EL403" s="201">
        <f>'Detailed Budget'!$AC$206</f>
        <v>11253043126.882994</v>
      </c>
      <c r="EM403" s="269">
        <f t="shared" si="1079"/>
        <v>23268038.4080102</v>
      </c>
      <c r="EN403" s="269">
        <f t="shared" si="1050"/>
        <v>116340192.040051</v>
      </c>
      <c r="EO403" s="140">
        <f>'Detailed Budget'!$AC$209</f>
        <v>135789361677.54817</v>
      </c>
      <c r="EP403" s="269">
        <f t="shared" si="1080"/>
        <v>199300634.25275716</v>
      </c>
      <c r="EQ403" s="196">
        <f>'Detailed Budget'!$AC$211</f>
        <v>33947340419.387043</v>
      </c>
      <c r="ER403" s="269">
        <f t="shared" si="1081"/>
        <v>49825158.56318929</v>
      </c>
      <c r="ES403" s="269">
        <f t="shared" si="1051"/>
        <v>249125792.81594646</v>
      </c>
      <c r="ET403" s="196">
        <f>'Detailed Budget'!$AC$214</f>
        <v>22239745544.201103</v>
      </c>
      <c r="EU403" s="269">
        <f t="shared" si="1082"/>
        <v>63493462.63328737</v>
      </c>
      <c r="EV403" s="140">
        <f>'Detailed Budget'!$AC$217</f>
        <v>5559936386.0502758</v>
      </c>
      <c r="EW403" s="269">
        <f t="shared" si="1083"/>
        <v>15873365.658321843</v>
      </c>
      <c r="EX403" s="269">
        <f t="shared" si="1052"/>
        <v>79366828.291609213</v>
      </c>
      <c r="EY403" s="196">
        <f>'Detailed Budget'!$AC$219</f>
        <v>372777004.58170313</v>
      </c>
      <c r="EZ403" s="269">
        <f t="shared" si="1084"/>
        <v>556275.82935315976</v>
      </c>
      <c r="FA403" s="196">
        <f>'Detailed Budget'!$AC$222</f>
        <v>93194251.145425782</v>
      </c>
      <c r="FB403" s="269">
        <f t="shared" si="1085"/>
        <v>139068.95733828994</v>
      </c>
      <c r="FC403" s="269">
        <f t="shared" si="1053"/>
        <v>695344.7866914497</v>
      </c>
      <c r="FD403" s="269"/>
      <c r="FE403" s="269">
        <f t="shared" si="1054"/>
        <v>445528157.9342981</v>
      </c>
      <c r="FF403" s="140">
        <f>'Detailed Budget'!$AC$165</f>
        <v>14927760000</v>
      </c>
      <c r="FG403" s="1087">
        <f t="shared" si="1087"/>
        <v>607729898.64796686</v>
      </c>
      <c r="FH403" s="269">
        <f t="shared" si="1014"/>
        <v>16961436.200431772</v>
      </c>
      <c r="FJ403" s="140">
        <f>'Detailed Budget'!$AC$235</f>
        <v>3623696172</v>
      </c>
      <c r="FK403" s="269">
        <f t="shared" si="1015"/>
        <v>4681778</v>
      </c>
      <c r="FL403" s="269">
        <f t="shared" si="1088"/>
        <v>4681778</v>
      </c>
      <c r="FO403" s="607"/>
      <c r="FP403" s="607"/>
      <c r="FQ403" s="607"/>
      <c r="FR403" s="269">
        <f>'Detailed Budget'!$AC$257</f>
        <v>13636439388</v>
      </c>
      <c r="FS403" s="269">
        <f t="shared" si="1016"/>
        <v>22485060</v>
      </c>
      <c r="FT403" s="269">
        <f t="shared" si="1089"/>
        <v>22485060</v>
      </c>
      <c r="FU403" s="269"/>
      <c r="FV403" s="269"/>
      <c r="FW403" s="269"/>
      <c r="FX403" s="140">
        <f>'Detailed Budget'!$AC$278</f>
        <v>1114560000</v>
      </c>
      <c r="FY403" s="269">
        <f t="shared" si="1017"/>
        <v>1440000</v>
      </c>
      <c r="FZ403" s="269">
        <f t="shared" si="1090"/>
        <v>1440000</v>
      </c>
      <c r="GB403" s="269">
        <f t="shared" si="1098"/>
        <v>3043115430.6331058</v>
      </c>
      <c r="GC403" s="887">
        <f t="shared" si="1055"/>
        <v>1901947.1441456911</v>
      </c>
      <c r="GD403" s="1078">
        <f t="shared" si="1099"/>
        <v>1.7075878931033432E-3</v>
      </c>
    </row>
    <row r="404" spans="1:186" hidden="1" outlineLevel="1">
      <c r="A404" s="211" t="s">
        <v>946</v>
      </c>
      <c r="B404" s="212" t="s">
        <v>947</v>
      </c>
      <c r="C404" s="213" t="s">
        <v>215</v>
      </c>
      <c r="D404" s="214" t="s">
        <v>215</v>
      </c>
      <c r="E404" s="213"/>
      <c r="F404" s="213"/>
      <c r="G404" s="213"/>
      <c r="H404" s="213" t="s">
        <v>215</v>
      </c>
      <c r="I404" s="214" t="s">
        <v>215</v>
      </c>
      <c r="J404" s="214"/>
      <c r="K404" s="213" t="s">
        <v>215</v>
      </c>
      <c r="L404" s="213"/>
      <c r="M404" s="214"/>
      <c r="N404" s="213"/>
      <c r="O404" s="214"/>
      <c r="P404" s="213"/>
      <c r="Q404" s="214"/>
      <c r="R404" s="214" t="s">
        <v>215</v>
      </c>
      <c r="S404" s="214"/>
      <c r="T404" s="214"/>
      <c r="U404" s="215">
        <f t="shared" si="1018"/>
        <v>6</v>
      </c>
      <c r="V404" s="845" t="s">
        <v>219</v>
      </c>
      <c r="W404" s="216">
        <v>136944</v>
      </c>
      <c r="X404" s="217">
        <v>3.04</v>
      </c>
      <c r="Y404" s="218">
        <f t="shared" si="1101"/>
        <v>1.0304</v>
      </c>
      <c r="Z404" s="196">
        <v>19</v>
      </c>
      <c r="AA404" s="218">
        <f t="shared" si="1102"/>
        <v>1.7664898659259882</v>
      </c>
      <c r="AB404" s="196">
        <f t="shared" si="1103"/>
        <v>241910.18819936854</v>
      </c>
      <c r="AC404">
        <v>20.8</v>
      </c>
      <c r="AD404" s="196">
        <f t="shared" si="1104"/>
        <v>50317.31914546866</v>
      </c>
      <c r="AE404" s="196">
        <f t="shared" si="990"/>
        <v>47801.453188195228</v>
      </c>
      <c r="AF404" s="196">
        <f t="shared" si="1019"/>
        <v>47801.453188195228</v>
      </c>
      <c r="AG404" s="606">
        <f t="shared" si="1058"/>
        <v>2.210129343110588E-3</v>
      </c>
      <c r="AH404" s="196">
        <f t="shared" si="1033"/>
        <v>12095.509409968428</v>
      </c>
      <c r="AI404" s="248">
        <f t="shared" si="1034"/>
        <v>9.3702078750343692E-4</v>
      </c>
      <c r="AJ404" s="196">
        <f t="shared" si="1038"/>
        <v>62412.828555437089</v>
      </c>
      <c r="AK404" s="196">
        <f t="shared" si="1067"/>
        <v>9676.4075279747412</v>
      </c>
      <c r="AL404" s="196">
        <f t="shared" si="1068"/>
        <v>9676.4075279747412</v>
      </c>
      <c r="AM404" s="196">
        <f t="shared" si="1039"/>
        <v>19352.815055949482</v>
      </c>
      <c r="AN404" s="627">
        <f t="shared" si="1040"/>
        <v>9.3702078750343681E-4</v>
      </c>
      <c r="AO404" s="196">
        <f t="shared" si="1041"/>
        <v>9192.5871515760045</v>
      </c>
      <c r="AP404" s="589">
        <f t="shared" si="1059"/>
        <v>9.3702078750343681E-4</v>
      </c>
      <c r="AQ404" s="196"/>
      <c r="AR404" s="589"/>
      <c r="AS404">
        <v>1</v>
      </c>
      <c r="AT404" s="589">
        <f t="shared" si="1060"/>
        <v>1.2919896640826874E-3</v>
      </c>
      <c r="AU404" s="196">
        <v>11</v>
      </c>
      <c r="AV404" s="245">
        <f t="shared" si="1042"/>
        <v>1.2498579706851495E-3</v>
      </c>
      <c r="AX404" s="245"/>
      <c r="AY404" s="245"/>
      <c r="AZ404" s="196">
        <v>42</v>
      </c>
      <c r="BA404" s="589">
        <f t="shared" si="1092"/>
        <v>1.5389688908431351E-3</v>
      </c>
      <c r="BI404" s="196">
        <v>0</v>
      </c>
      <c r="BJ404" s="196">
        <f t="shared" si="1020"/>
        <v>150127.92275290072</v>
      </c>
      <c r="BK404" s="246">
        <f t="shared" si="1093"/>
        <v>2.862848908992157E-3</v>
      </c>
      <c r="BL404" s="196">
        <f t="shared" si="1035"/>
        <v>3002.5584550580143</v>
      </c>
      <c r="BM404" s="246">
        <f t="shared" si="1094"/>
        <v>2.8628485814353858E-3</v>
      </c>
      <c r="BN404" s="196">
        <v>0</v>
      </c>
      <c r="BO404" s="196">
        <f t="shared" si="1021"/>
        <v>18679.375156509901</v>
      </c>
      <c r="BP404" s="196">
        <f t="shared" si="1043"/>
        <v>0</v>
      </c>
      <c r="BQ404" s="248">
        <f t="shared" si="1095"/>
        <v>0</v>
      </c>
      <c r="BR404" s="248"/>
      <c r="BS404" s="248"/>
      <c r="BT404" s="276">
        <v>1</v>
      </c>
      <c r="BU404" s="196">
        <f t="shared" si="1036"/>
        <v>39126.747367516429</v>
      </c>
      <c r="BV404" s="264">
        <f t="shared" si="1096"/>
        <v>2.7139053096055838E-3</v>
      </c>
      <c r="BW404" s="196">
        <f t="shared" si="1037"/>
        <v>167375.53040548696</v>
      </c>
      <c r="BX404" s="247">
        <f t="shared" si="1097"/>
        <v>2.7139053340525473E-3</v>
      </c>
      <c r="BY404" s="196">
        <f t="shared" si="1100"/>
        <v>206502.27777300338</v>
      </c>
      <c r="BZ404" s="620">
        <v>0</v>
      </c>
      <c r="CA404" s="196">
        <f t="shared" si="1022"/>
        <v>74024.517589006777</v>
      </c>
      <c r="CB404" s="196">
        <f t="shared" si="1023"/>
        <v>148049.03517801355</v>
      </c>
      <c r="CC404" s="196">
        <f t="shared" si="1056"/>
        <v>222073.55276702033</v>
      </c>
      <c r="CD404" s="247">
        <f t="shared" si="1044"/>
        <v>9.3702078750343692E-4</v>
      </c>
      <c r="CE404" s="196">
        <f t="shared" si="1024"/>
        <v>30549.409882913475</v>
      </c>
      <c r="CF404" s="247">
        <f t="shared" si="1045"/>
        <v>1.3192185257490726E-3</v>
      </c>
      <c r="CG404" s="196">
        <f t="shared" si="1069"/>
        <v>36770.348606304018</v>
      </c>
      <c r="CH404" s="589">
        <f t="shared" si="1061"/>
        <v>9.3702078750343681E-4</v>
      </c>
      <c r="CI404" s="196">
        <f t="shared" si="1025"/>
        <v>92998.009798367173</v>
      </c>
      <c r="CJ404" s="248">
        <f t="shared" si="1062"/>
        <v>1.5288870450249966E-3</v>
      </c>
      <c r="CK404" s="196">
        <f t="shared" si="1026"/>
        <v>75494.354893255353</v>
      </c>
      <c r="CL404" s="589">
        <f t="shared" si="1063"/>
        <v>1.0852468801168416E-3</v>
      </c>
      <c r="CM404" s="196">
        <f t="shared" si="1027"/>
        <v>14648.278196622065</v>
      </c>
      <c r="CN404" s="589">
        <f t="shared" si="1064"/>
        <v>2.1109833607032614E-3</v>
      </c>
      <c r="CO404" s="196">
        <f t="shared" si="1028"/>
        <v>585.08702764667771</v>
      </c>
      <c r="CP404" s="589">
        <f t="shared" si="1065"/>
        <v>1.1033840141488945E-3</v>
      </c>
      <c r="CQ404" s="196">
        <f>'Detailed Budget'!$AC$12</f>
        <v>292876014141.44696</v>
      </c>
      <c r="CR404" s="269">
        <f t="shared" si="1066"/>
        <v>838459777.55481303</v>
      </c>
      <c r="CS404" s="269">
        <f>'Detailed Budget'!$AC$16</f>
        <v>10488008800.000002</v>
      </c>
      <c r="CT404" s="607">
        <f t="shared" si="1070"/>
        <v>30025581.115161847</v>
      </c>
      <c r="CU404" s="269">
        <f>'Detailed Budget'!$AC$24</f>
        <v>30624985696</v>
      </c>
      <c r="CV404" s="269">
        <f t="shared" si="1091"/>
        <v>87674706.887694016</v>
      </c>
      <c r="CW404" s="269"/>
      <c r="CX404" s="269">
        <f t="shared" si="1057"/>
        <v>956160065.55766892</v>
      </c>
      <c r="CY404" s="196">
        <f>'Detailed Budget'!$AC$97</f>
        <v>74629165494.837845</v>
      </c>
      <c r="CZ404" s="269">
        <f t="shared" si="1071"/>
        <v>0</v>
      </c>
      <c r="DA404" s="269">
        <f>'Detailed Budget'!$AC$100</f>
        <v>14925833098.967569</v>
      </c>
      <c r="DB404" s="269">
        <f t="shared" si="1072"/>
        <v>0</v>
      </c>
      <c r="DC404" s="269">
        <f t="shared" si="1046"/>
        <v>0</v>
      </c>
      <c r="DD404" s="207">
        <v>0</v>
      </c>
      <c r="DE404" s="606">
        <v>0</v>
      </c>
      <c r="DF404" s="269">
        <f>'Detailed Budget'!$AC$147</f>
        <v>5913600671000</v>
      </c>
      <c r="DG404" s="269">
        <f t="shared" si="1086"/>
        <v>0</v>
      </c>
      <c r="DH404" s="269">
        <f>'Detailed Budget'!$AC$153</f>
        <v>226428026880.00003</v>
      </c>
      <c r="DI404" s="269"/>
      <c r="DJ404" s="269">
        <f>'Detailed Budget'!$AC$156</f>
        <v>27713070000</v>
      </c>
      <c r="DK404" s="269"/>
      <c r="DL404" s="269"/>
      <c r="DM404" s="196">
        <f>'Detailed Budget'!$AC$178</f>
        <v>5622683761.6229038</v>
      </c>
      <c r="DN404" s="269">
        <f t="shared" si="1029"/>
        <v>15259431.314901495</v>
      </c>
      <c r="DO404" s="196">
        <f>'Detailed Budget'!$AC$179</f>
        <v>26827890683.128094</v>
      </c>
      <c r="DP404" s="269">
        <f t="shared" si="1030"/>
        <v>72808355.626319975</v>
      </c>
      <c r="DQ404" s="269">
        <f t="shared" si="1008"/>
        <v>88067786.941221476</v>
      </c>
      <c r="DR404" s="269">
        <f>'Detailed Budget'!$AC$181</f>
        <v>50888946855.375237</v>
      </c>
      <c r="DS404" s="269">
        <f t="shared" si="1031"/>
        <v>112471154.6850601</v>
      </c>
      <c r="DT404" s="269">
        <f t="shared" si="1032"/>
        <v>200538941.62628156</v>
      </c>
      <c r="DU404" s="272">
        <f>'Detailed Budget'!$AC$192</f>
        <v>77498869683.252869</v>
      </c>
      <c r="DV404" s="269">
        <f t="shared" si="1073"/>
        <v>0</v>
      </c>
      <c r="DW404" s="140">
        <f>'Detailed Budget'!$AC$194</f>
        <v>2684962805.4134097</v>
      </c>
      <c r="DX404" s="269">
        <f t="shared" si="1074"/>
        <v>0</v>
      </c>
      <c r="DY404" s="607">
        <f t="shared" si="1047"/>
        <v>0</v>
      </c>
      <c r="DZ404" s="196">
        <f>'Detailed Budget'!$AC$198</f>
        <v>18732540018.380611</v>
      </c>
      <c r="EA404" s="269">
        <f t="shared" si="1013"/>
        <v>24712313.826583575</v>
      </c>
      <c r="EB404" s="196">
        <f>'Detailed Budget'!$AC$200</f>
        <v>4683135004.5951529</v>
      </c>
      <c r="EC404" s="269">
        <f t="shared" si="1075"/>
        <v>6178078.4566458939</v>
      </c>
      <c r="ED404" s="269">
        <f t="shared" si="1048"/>
        <v>30890392.28322947</v>
      </c>
      <c r="EE404" s="196">
        <f>'Detailed Budget'!$AC$161</f>
        <v>251147290106.36197</v>
      </c>
      <c r="EF404" s="269">
        <f t="shared" si="1076"/>
        <v>235330231.55481741</v>
      </c>
      <c r="EG404" s="196">
        <f>'Detailed Budget'!$AC$163</f>
        <v>15696705631.647623</v>
      </c>
      <c r="EH404" s="269">
        <f t="shared" si="1077"/>
        <v>14708139.472176088</v>
      </c>
      <c r="EI404" s="269">
        <f t="shared" si="1049"/>
        <v>250038371.02699348</v>
      </c>
      <c r="EJ404" s="196">
        <f>'Detailed Budget'!$AC$204</f>
        <v>45012172507.531975</v>
      </c>
      <c r="EK404" s="269">
        <f t="shared" si="1078"/>
        <v>68818527.415195957</v>
      </c>
      <c r="EL404" s="201">
        <f>'Detailed Budget'!$AC$206</f>
        <v>11253043126.882994</v>
      </c>
      <c r="EM404" s="269">
        <f t="shared" si="1079"/>
        <v>17204631.853798989</v>
      </c>
      <c r="EN404" s="269">
        <f t="shared" si="1050"/>
        <v>86023159.268994942</v>
      </c>
      <c r="EO404" s="140">
        <f>'Detailed Budget'!$AC$209</f>
        <v>135789361677.54817</v>
      </c>
      <c r="EP404" s="269">
        <f t="shared" si="1080"/>
        <v>147364981.11361656</v>
      </c>
      <c r="EQ404" s="196">
        <f>'Detailed Budget'!$AC$211</f>
        <v>33947340419.387043</v>
      </c>
      <c r="ER404" s="269">
        <f t="shared" si="1081"/>
        <v>36841245.278404139</v>
      </c>
      <c r="ES404" s="269">
        <f t="shared" si="1051"/>
        <v>184206226.3920207</v>
      </c>
      <c r="ET404" s="196">
        <f>'Detailed Budget'!$AC$214</f>
        <v>22239745544.201103</v>
      </c>
      <c r="EU404" s="269">
        <f t="shared" si="1082"/>
        <v>46947732.790083028</v>
      </c>
      <c r="EV404" s="140">
        <f>'Detailed Budget'!$AC$217</f>
        <v>5559936386.0502758</v>
      </c>
      <c r="EW404" s="269">
        <f t="shared" si="1083"/>
        <v>11736933.197520757</v>
      </c>
      <c r="EX404" s="269">
        <f t="shared" si="1052"/>
        <v>58684665.987603784</v>
      </c>
      <c r="EY404" s="196">
        <f>'Detailed Budget'!$AC$219</f>
        <v>372777004.58170313</v>
      </c>
      <c r="EZ404" s="269">
        <f t="shared" si="1084"/>
        <v>411316.18769776041</v>
      </c>
      <c r="FA404" s="196">
        <f>'Detailed Budget'!$AC$222</f>
        <v>93194251.145425782</v>
      </c>
      <c r="FB404" s="269">
        <f t="shared" si="1085"/>
        <v>102829.0469244401</v>
      </c>
      <c r="FC404" s="269">
        <f t="shared" si="1053"/>
        <v>514145.23462220049</v>
      </c>
      <c r="FD404" s="269"/>
      <c r="FE404" s="269">
        <f t="shared" si="1054"/>
        <v>329428196.88324159</v>
      </c>
      <c r="FF404" s="140">
        <f>'Detailed Budget'!$AC$165</f>
        <v>14927760000</v>
      </c>
      <c r="FG404" s="1087">
        <f t="shared" si="1087"/>
        <v>449361866.67052102</v>
      </c>
      <c r="FH404" s="269">
        <f t="shared" si="1014"/>
        <v>18657579.820474949</v>
      </c>
      <c r="FJ404" s="140">
        <f>'Detailed Budget'!$AC$235</f>
        <v>3623696172</v>
      </c>
      <c r="FK404" s="269">
        <f t="shared" si="1015"/>
        <v>4681778</v>
      </c>
      <c r="FL404" s="269">
        <f t="shared" si="1088"/>
        <v>4681778</v>
      </c>
      <c r="FO404" s="607"/>
      <c r="FP404" s="607"/>
      <c r="FQ404" s="607"/>
      <c r="FR404" s="269">
        <f>'Detailed Budget'!$AC$257</f>
        <v>13636439388</v>
      </c>
      <c r="FS404" s="269">
        <f t="shared" si="1016"/>
        <v>20986056</v>
      </c>
      <c r="FT404" s="269">
        <f t="shared" si="1089"/>
        <v>20986056</v>
      </c>
      <c r="FU404" s="269"/>
      <c r="FV404" s="269"/>
      <c r="FW404" s="269"/>
      <c r="FX404" s="140">
        <f>'Detailed Budget'!$AC$278</f>
        <v>1114560000</v>
      </c>
      <c r="FY404" s="269">
        <f t="shared" si="1017"/>
        <v>1440000</v>
      </c>
      <c r="FZ404" s="269">
        <f t="shared" si="1090"/>
        <v>1440000</v>
      </c>
      <c r="GB404" s="269">
        <f t="shared" si="1098"/>
        <v>2262183247.8684111</v>
      </c>
      <c r="GC404" s="887">
        <f t="shared" si="1055"/>
        <v>1413864.529917757</v>
      </c>
      <c r="GD404" s="1078">
        <f t="shared" si="1099"/>
        <v>1.2693822545001669E-3</v>
      </c>
    </row>
    <row r="405" spans="1:186" hidden="1" outlineLevel="1">
      <c r="A405" s="211" t="s">
        <v>948</v>
      </c>
      <c r="B405" s="212" t="s">
        <v>949</v>
      </c>
      <c r="C405" s="213" t="s">
        <v>215</v>
      </c>
      <c r="D405" s="214" t="s">
        <v>215</v>
      </c>
      <c r="E405" s="213"/>
      <c r="F405" s="213"/>
      <c r="G405" s="213"/>
      <c r="H405" s="213" t="s">
        <v>215</v>
      </c>
      <c r="I405" s="214" t="s">
        <v>215</v>
      </c>
      <c r="J405" s="214"/>
      <c r="K405" s="213" t="s">
        <v>215</v>
      </c>
      <c r="L405" s="213"/>
      <c r="M405" s="214"/>
      <c r="N405" s="213"/>
      <c r="O405" s="214"/>
      <c r="P405" s="213"/>
      <c r="Q405" s="214"/>
      <c r="R405" s="214" t="s">
        <v>215</v>
      </c>
      <c r="S405" s="214"/>
      <c r="T405" s="214"/>
      <c r="U405" s="215">
        <f t="shared" si="1018"/>
        <v>6</v>
      </c>
      <c r="V405" s="845" t="s">
        <v>219</v>
      </c>
      <c r="W405" s="216">
        <v>156052</v>
      </c>
      <c r="X405" s="217">
        <v>3.04</v>
      </c>
      <c r="Y405" s="218">
        <f t="shared" si="1101"/>
        <v>1.0304</v>
      </c>
      <c r="Z405" s="196">
        <v>19</v>
      </c>
      <c r="AA405" s="218">
        <f t="shared" si="1102"/>
        <v>1.7664898659259882</v>
      </c>
      <c r="AB405" s="196">
        <f t="shared" si="1103"/>
        <v>275664.27655748231</v>
      </c>
      <c r="AC405">
        <v>20.8</v>
      </c>
      <c r="AD405" s="196">
        <f t="shared" si="1104"/>
        <v>57338.16952395632</v>
      </c>
      <c r="AE405" s="196">
        <f t="shared" si="990"/>
        <v>54471.261047758504</v>
      </c>
      <c r="AF405" s="196">
        <f t="shared" si="1019"/>
        <v>54471.261047758504</v>
      </c>
      <c r="AG405" s="606">
        <f t="shared" si="1058"/>
        <v>2.5185119775316439E-3</v>
      </c>
      <c r="AH405" s="196">
        <f t="shared" si="1033"/>
        <v>13783.213827874117</v>
      </c>
      <c r="AI405" s="248">
        <f t="shared" si="1034"/>
        <v>1.0677646916366277E-3</v>
      </c>
      <c r="AJ405" s="196">
        <f t="shared" si="1038"/>
        <v>71121.383351830431</v>
      </c>
      <c r="AK405" s="196">
        <f t="shared" si="1067"/>
        <v>11026.571062299292</v>
      </c>
      <c r="AL405" s="196">
        <f t="shared" si="1068"/>
        <v>11026.571062299292</v>
      </c>
      <c r="AM405" s="196">
        <f t="shared" si="1039"/>
        <v>22053.142124598584</v>
      </c>
      <c r="AN405" s="627">
        <f t="shared" si="1040"/>
        <v>1.0677646916366274E-3</v>
      </c>
      <c r="AO405" s="196">
        <f t="shared" si="1041"/>
        <v>10475.242509184327</v>
      </c>
      <c r="AP405" s="589">
        <f t="shared" si="1059"/>
        <v>1.0677646916366274E-3</v>
      </c>
      <c r="AQ405" s="196"/>
      <c r="AR405" s="589"/>
      <c r="AS405">
        <v>1</v>
      </c>
      <c r="AT405" s="589">
        <f t="shared" si="1060"/>
        <v>1.2919896640826874E-3</v>
      </c>
      <c r="AU405" s="196">
        <v>10</v>
      </c>
      <c r="AV405" s="245">
        <f t="shared" si="1042"/>
        <v>1.1362345188046814E-3</v>
      </c>
      <c r="AX405" s="245"/>
      <c r="AY405" s="245"/>
      <c r="AZ405" s="196">
        <v>43</v>
      </c>
      <c r="BA405" s="589">
        <f t="shared" si="1092"/>
        <v>1.5756110072917811E-3</v>
      </c>
      <c r="BI405" s="196">
        <v>0</v>
      </c>
      <c r="BJ405" s="196">
        <f t="shared" si="1020"/>
        <v>171075.49510336824</v>
      </c>
      <c r="BK405" s="246">
        <f t="shared" si="1093"/>
        <v>3.2623064752456774E-3</v>
      </c>
      <c r="BL405" s="196">
        <f t="shared" si="1035"/>
        <v>3421.5099020673647</v>
      </c>
      <c r="BM405" s="246">
        <f t="shared" si="1094"/>
        <v>3.262306101984423E-3</v>
      </c>
      <c r="BN405" s="196">
        <v>0</v>
      </c>
      <c r="BO405" s="196">
        <f t="shared" si="1021"/>
        <v>21285.736154367354</v>
      </c>
      <c r="BP405" s="196">
        <f t="shared" si="1043"/>
        <v>0</v>
      </c>
      <c r="BQ405" s="248">
        <f t="shared" si="1095"/>
        <v>0</v>
      </c>
      <c r="BR405" s="248"/>
      <c r="BS405" s="248"/>
      <c r="BT405" s="276">
        <v>1</v>
      </c>
      <c r="BU405" s="196">
        <f t="shared" si="1036"/>
        <v>44586.160621828436</v>
      </c>
      <c r="BV405" s="264">
        <f t="shared" si="1096"/>
        <v>3.0925805539094124E-3</v>
      </c>
      <c r="BW405" s="196">
        <f t="shared" si="1037"/>
        <v>190729.68710448834</v>
      </c>
      <c r="BX405" s="247">
        <f t="shared" si="1097"/>
        <v>3.0925805817674967E-3</v>
      </c>
      <c r="BY405" s="196">
        <f t="shared" si="1100"/>
        <v>235315.84772631677</v>
      </c>
      <c r="BZ405" s="620">
        <v>0</v>
      </c>
      <c r="CA405" s="196">
        <f t="shared" si="1022"/>
        <v>84353.268626589561</v>
      </c>
      <c r="CB405" s="196">
        <f t="shared" si="1023"/>
        <v>168706.53725317912</v>
      </c>
      <c r="CC405" s="196">
        <f t="shared" si="1056"/>
        <v>253059.80587976868</v>
      </c>
      <c r="CD405" s="247">
        <f t="shared" si="1044"/>
        <v>1.0677646916366272E-3</v>
      </c>
      <c r="CE405" s="196">
        <f t="shared" si="1024"/>
        <v>34812.014480725069</v>
      </c>
      <c r="CF405" s="247">
        <f t="shared" si="1045"/>
        <v>1.5032910487512727E-3</v>
      </c>
      <c r="CG405" s="196">
        <f t="shared" si="1069"/>
        <v>41900.970036737308</v>
      </c>
      <c r="CH405" s="589">
        <f t="shared" si="1061"/>
        <v>1.0677646916366274E-3</v>
      </c>
      <c r="CI405" s="196">
        <f t="shared" si="1025"/>
        <v>105974.16042363881</v>
      </c>
      <c r="CJ405" s="248">
        <f t="shared" si="1062"/>
        <v>1.742214928366637E-3</v>
      </c>
      <c r="CK405" s="196">
        <f t="shared" si="1026"/>
        <v>86028.194516023214</v>
      </c>
      <c r="CL405" s="589">
        <f t="shared" si="1063"/>
        <v>1.2366729914124995E-3</v>
      </c>
      <c r="CM405" s="196">
        <f t="shared" si="1027"/>
        <v>16692.174240121993</v>
      </c>
      <c r="CN405" s="589">
        <f t="shared" si="1064"/>
        <v>2.4055320087368946E-3</v>
      </c>
      <c r="CO405" s="196">
        <f t="shared" si="1028"/>
        <v>666.72509082777879</v>
      </c>
      <c r="CP405" s="589">
        <f t="shared" si="1065"/>
        <v>1.2573408267318267E-3</v>
      </c>
      <c r="CQ405" s="196">
        <f>'Detailed Budget'!$AC$12</f>
        <v>292876014141.44696</v>
      </c>
      <c r="CR405" s="269">
        <f t="shared" si="1066"/>
        <v>955451317.37778699</v>
      </c>
      <c r="CS405" s="269">
        <f>'Detailed Budget'!$AC$16</f>
        <v>10488008800.000002</v>
      </c>
      <c r="CT405" s="607">
        <f t="shared" si="1070"/>
        <v>34215095.10590633</v>
      </c>
      <c r="CU405" s="269">
        <f>'Detailed Budget'!$AC$24</f>
        <v>30624985696</v>
      </c>
      <c r="CV405" s="269">
        <f t="shared" si="1091"/>
        <v>99908089.140367046</v>
      </c>
      <c r="CW405" s="269"/>
      <c r="CX405" s="269">
        <f t="shared" si="1057"/>
        <v>1089574501.6240604</v>
      </c>
      <c r="CY405" s="196">
        <f>'Detailed Budget'!$AC$97</f>
        <v>74629165494.837845</v>
      </c>
      <c r="CZ405" s="269">
        <f t="shared" si="1071"/>
        <v>0</v>
      </c>
      <c r="DA405" s="269">
        <f>'Detailed Budget'!$AC$100</f>
        <v>14925833098.967569</v>
      </c>
      <c r="DB405" s="269">
        <f t="shared" si="1072"/>
        <v>0</v>
      </c>
      <c r="DC405" s="269">
        <f t="shared" si="1046"/>
        <v>0</v>
      </c>
      <c r="DD405" s="207">
        <v>0</v>
      </c>
      <c r="DE405" s="606">
        <v>0</v>
      </c>
      <c r="DF405" s="269">
        <f>'Detailed Budget'!$AC$147</f>
        <v>5913600671000</v>
      </c>
      <c r="DG405" s="269">
        <f t="shared" si="1086"/>
        <v>0</v>
      </c>
      <c r="DH405" s="269">
        <f>'Detailed Budget'!$AC$153</f>
        <v>226428026880.00003</v>
      </c>
      <c r="DI405" s="269"/>
      <c r="DJ405" s="269">
        <f>'Detailed Budget'!$AC$156</f>
        <v>27713070000</v>
      </c>
      <c r="DK405" s="269"/>
      <c r="DL405" s="269"/>
      <c r="DM405" s="196">
        <f>'Detailed Budget'!$AC$178</f>
        <v>5622683761.6229038</v>
      </c>
      <c r="DN405" s="269">
        <f t="shared" si="1029"/>
        <v>17388602.461977217</v>
      </c>
      <c r="DO405" s="196">
        <f>'Detailed Budget'!$AC$179</f>
        <v>26827890683.128094</v>
      </c>
      <c r="DP405" s="269">
        <f t="shared" si="1030"/>
        <v>82967413.776423082</v>
      </c>
      <c r="DQ405" s="269">
        <f t="shared" si="1008"/>
        <v>100356016.2384003</v>
      </c>
      <c r="DR405" s="269">
        <f>'Detailed Budget'!$AC$181</f>
        <v>50888946855.375237</v>
      </c>
      <c r="DS405" s="269">
        <f t="shared" si="1031"/>
        <v>128164422.17923382</v>
      </c>
      <c r="DT405" s="269">
        <f t="shared" si="1032"/>
        <v>228520438.41763413</v>
      </c>
      <c r="DU405" s="272">
        <f>'Detailed Budget'!$AC$192</f>
        <v>77498869683.252869</v>
      </c>
      <c r="DV405" s="269">
        <f t="shared" si="1073"/>
        <v>0</v>
      </c>
      <c r="DW405" s="140">
        <f>'Detailed Budget'!$AC$194</f>
        <v>2684962805.4134097</v>
      </c>
      <c r="DX405" s="269">
        <f t="shared" si="1074"/>
        <v>0</v>
      </c>
      <c r="DY405" s="607">
        <f t="shared" si="1047"/>
        <v>0</v>
      </c>
      <c r="DZ405" s="196">
        <f>'Detailed Budget'!$AC$198</f>
        <v>18732540018.380611</v>
      </c>
      <c r="EA405" s="269">
        <f t="shared" si="1013"/>
        <v>28160459.730006576</v>
      </c>
      <c r="EB405" s="196">
        <f>'Detailed Budget'!$AC$200</f>
        <v>4683135004.5951529</v>
      </c>
      <c r="EC405" s="269">
        <f t="shared" si="1075"/>
        <v>7040114.9325016439</v>
      </c>
      <c r="ED405" s="269">
        <f t="shared" si="1048"/>
        <v>35200574.662508219</v>
      </c>
      <c r="EE405" s="196">
        <f>'Detailed Budget'!$AC$161</f>
        <v>251147290106.36197</v>
      </c>
      <c r="EF405" s="269">
        <f t="shared" si="1076"/>
        <v>268166208.77579421</v>
      </c>
      <c r="EG405" s="196">
        <f>'Detailed Budget'!$AC$163</f>
        <v>15696705631.647623</v>
      </c>
      <c r="EH405" s="269">
        <f t="shared" si="1077"/>
        <v>16760388.048487138</v>
      </c>
      <c r="EI405" s="269">
        <f t="shared" si="1049"/>
        <v>284926596.82428133</v>
      </c>
      <c r="EJ405" s="196">
        <f>'Detailed Budget'!$AC$204</f>
        <v>45012172507.531975</v>
      </c>
      <c r="EK405" s="269">
        <f t="shared" si="1078"/>
        <v>78420878.900836527</v>
      </c>
      <c r="EL405" s="201">
        <f>'Detailed Budget'!$AC$206</f>
        <v>11253043126.882994</v>
      </c>
      <c r="EM405" s="269">
        <f t="shared" si="1079"/>
        <v>19605219.725209132</v>
      </c>
      <c r="EN405" s="269">
        <f t="shared" si="1050"/>
        <v>98026098.626045659</v>
      </c>
      <c r="EO405" s="140">
        <f>'Detailed Budget'!$AC$209</f>
        <v>135789361677.54817</v>
      </c>
      <c r="EP405" s="269">
        <f t="shared" si="1080"/>
        <v>167927036.10776731</v>
      </c>
      <c r="EQ405" s="196">
        <f>'Detailed Budget'!$AC$211</f>
        <v>33947340419.387043</v>
      </c>
      <c r="ER405" s="269">
        <f t="shared" si="1081"/>
        <v>41981759.026941828</v>
      </c>
      <c r="ES405" s="269">
        <f t="shared" si="1051"/>
        <v>209908795.13470915</v>
      </c>
      <c r="ET405" s="196">
        <f>'Detailed Budget'!$AC$214</f>
        <v>22239745544.201103</v>
      </c>
      <c r="EU405" s="269">
        <f t="shared" si="1082"/>
        <v>53498419.772739485</v>
      </c>
      <c r="EV405" s="140">
        <f>'Detailed Budget'!$AC$217</f>
        <v>5559936386.0502758</v>
      </c>
      <c r="EW405" s="269">
        <f t="shared" si="1083"/>
        <v>13374604.943184871</v>
      </c>
      <c r="EX405" s="269">
        <f t="shared" si="1052"/>
        <v>66873024.715924352</v>
      </c>
      <c r="EY405" s="196">
        <f>'Detailed Budget'!$AC$219</f>
        <v>372777004.58170313</v>
      </c>
      <c r="EZ405" s="269">
        <f t="shared" si="1084"/>
        <v>468707.74712737254</v>
      </c>
      <c r="FA405" s="196">
        <f>'Detailed Budget'!$AC$222</f>
        <v>93194251.145425782</v>
      </c>
      <c r="FB405" s="269">
        <f t="shared" si="1085"/>
        <v>117176.93678184313</v>
      </c>
      <c r="FC405" s="269">
        <f t="shared" si="1053"/>
        <v>585884.68390921573</v>
      </c>
      <c r="FD405" s="269"/>
      <c r="FE405" s="269">
        <f t="shared" si="1054"/>
        <v>375393803.16058844</v>
      </c>
      <c r="FF405" s="140">
        <f>'Detailed Budget'!$AC$165</f>
        <v>14927760000</v>
      </c>
      <c r="FG405" s="1087">
        <f t="shared" si="1087"/>
        <v>512061996.27342677</v>
      </c>
      <c r="FH405" s="269">
        <f t="shared" si="1014"/>
        <v>16961436.200431772</v>
      </c>
      <c r="FJ405" s="140">
        <f>'Detailed Budget'!$AC$235</f>
        <v>3623696172</v>
      </c>
      <c r="FK405" s="269">
        <f t="shared" si="1015"/>
        <v>4681778</v>
      </c>
      <c r="FL405" s="269">
        <f t="shared" si="1088"/>
        <v>4681778</v>
      </c>
      <c r="FO405" s="607"/>
      <c r="FP405" s="607"/>
      <c r="FQ405" s="607"/>
      <c r="FR405" s="269">
        <f>'Detailed Budget'!$AC$257</f>
        <v>13636439388</v>
      </c>
      <c r="FS405" s="269">
        <f t="shared" si="1016"/>
        <v>21485724</v>
      </c>
      <c r="FT405" s="269">
        <f t="shared" si="1089"/>
        <v>21485724</v>
      </c>
      <c r="FU405" s="269"/>
      <c r="FV405" s="269"/>
      <c r="FW405" s="269"/>
      <c r="FX405" s="140">
        <f>'Detailed Budget'!$AC$278</f>
        <v>1114560000</v>
      </c>
      <c r="FY405" s="269">
        <f t="shared" si="1017"/>
        <v>1440000</v>
      </c>
      <c r="FZ405" s="269">
        <f t="shared" si="1090"/>
        <v>1440000</v>
      </c>
      <c r="GB405" s="269">
        <f t="shared" si="1098"/>
        <v>2570246849.1629314</v>
      </c>
      <c r="GC405" s="887">
        <f t="shared" si="1055"/>
        <v>1606404.2807268321</v>
      </c>
      <c r="GD405" s="1078">
        <f t="shared" si="1099"/>
        <v>1.4422464418329811E-3</v>
      </c>
    </row>
    <row r="406" spans="1:186" hidden="1" outlineLevel="1">
      <c r="A406" s="211"/>
      <c r="B406" s="212"/>
      <c r="C406" s="213"/>
      <c r="D406" s="214"/>
      <c r="E406" s="213"/>
      <c r="F406" s="213"/>
      <c r="G406" s="213"/>
      <c r="H406" s="213"/>
      <c r="I406" s="214"/>
      <c r="J406" s="214"/>
      <c r="K406" s="213"/>
      <c r="L406" s="213"/>
      <c r="M406" s="214"/>
      <c r="N406" s="213"/>
      <c r="O406" s="214"/>
      <c r="P406" s="213"/>
      <c r="Q406" s="214"/>
      <c r="R406" s="214"/>
      <c r="S406" s="214"/>
      <c r="T406" s="214"/>
      <c r="U406" s="215"/>
      <c r="V406" s="845"/>
      <c r="W406" s="216"/>
      <c r="X406" s="217"/>
      <c r="Y406" s="218"/>
      <c r="Z406" s="196"/>
      <c r="AA406" s="218"/>
      <c r="AG406" s="606"/>
      <c r="AJ406" s="196"/>
      <c r="AK406" s="196"/>
      <c r="AL406" s="196"/>
      <c r="AM406" s="196"/>
      <c r="AO406" s="196"/>
      <c r="AP406" s="589"/>
      <c r="AQ406" s="196"/>
      <c r="AR406" s="589"/>
      <c r="AS406"/>
      <c r="AT406" s="589"/>
      <c r="AV406" s="245"/>
      <c r="AX406" s="245"/>
      <c r="AY406" s="245"/>
      <c r="BA406" s="589">
        <f t="shared" si="1092"/>
        <v>0</v>
      </c>
      <c r="BK406" s="246">
        <f t="shared" si="1093"/>
        <v>0</v>
      </c>
      <c r="BL406" s="246"/>
      <c r="BM406" s="246">
        <f t="shared" si="1094"/>
        <v>0</v>
      </c>
      <c r="BN406" s="196"/>
      <c r="BQ406" s="248">
        <f t="shared" si="1095"/>
        <v>0</v>
      </c>
      <c r="BR406" s="248"/>
      <c r="BS406" s="248"/>
      <c r="BT406" s="276"/>
      <c r="BV406" s="264">
        <f t="shared" si="1096"/>
        <v>0</v>
      </c>
      <c r="BX406" s="247">
        <f t="shared" si="1097"/>
        <v>0</v>
      </c>
      <c r="BY406" s="196"/>
      <c r="BZ406" s="620"/>
      <c r="CA406" s="196"/>
      <c r="CB406" s="196"/>
      <c r="CC406" s="196"/>
      <c r="CD406" s="247"/>
      <c r="CF406" s="247"/>
      <c r="CG406" s="196"/>
      <c r="CH406" s="589"/>
      <c r="CI406" s="196"/>
      <c r="CJ406" s="248"/>
      <c r="CK406" s="196"/>
      <c r="CL406" s="589"/>
      <c r="CM406" s="196"/>
      <c r="CN406" s="589"/>
      <c r="CO406" s="196"/>
      <c r="CP406" s="589"/>
      <c r="CQ406" s="196"/>
      <c r="CR406" s="269">
        <f t="shared" si="1066"/>
        <v>0</v>
      </c>
      <c r="CS406" s="269"/>
      <c r="CT406" s="607"/>
      <c r="CU406" s="269">
        <f>'Detailed Budget'!$AC$24</f>
        <v>30624985696</v>
      </c>
      <c r="CV406" s="269">
        <f t="shared" si="1091"/>
        <v>0</v>
      </c>
      <c r="CW406" s="269"/>
      <c r="CX406" s="269"/>
      <c r="CY406" s="196"/>
      <c r="DC406" s="269"/>
      <c r="DD406" s="207"/>
      <c r="DE406" s="606">
        <v>0</v>
      </c>
      <c r="DF406" s="269">
        <f>'Detailed Budget'!$AC$147</f>
        <v>5913600671000</v>
      </c>
      <c r="DG406" s="269">
        <f t="shared" si="1086"/>
        <v>0</v>
      </c>
      <c r="DH406" s="269">
        <f>'Detailed Budget'!$AC$153</f>
        <v>226428026880.00003</v>
      </c>
      <c r="DI406" s="269"/>
      <c r="DJ406" s="269">
        <f>'Detailed Budget'!$AC$156</f>
        <v>27713070000</v>
      </c>
      <c r="DK406" s="269"/>
      <c r="DL406" s="269"/>
      <c r="DM406" s="196"/>
      <c r="DN406" s="269"/>
      <c r="DO406" s="196"/>
      <c r="DP406" s="269"/>
      <c r="DQ406" s="269"/>
      <c r="DR406" s="269"/>
      <c r="DS406" s="269"/>
      <c r="DT406" s="269"/>
      <c r="DU406" s="272"/>
      <c r="DV406" s="269"/>
      <c r="DW406" s="140"/>
      <c r="DX406" s="269"/>
      <c r="DY406" s="607"/>
      <c r="DZ406" s="196"/>
      <c r="EA406" s="269"/>
      <c r="EB406" s="196"/>
      <c r="ED406" s="269"/>
      <c r="EE406" s="196"/>
      <c r="EG406" s="196"/>
      <c r="EI406" s="269"/>
      <c r="EJ406" s="196"/>
      <c r="EL406" s="201"/>
      <c r="EN406" s="269"/>
      <c r="EO406" s="140"/>
      <c r="EQ406" s="196"/>
      <c r="ES406" s="269"/>
      <c r="ET406" s="196"/>
      <c r="EV406" s="140"/>
      <c r="EX406" s="269"/>
      <c r="EY406" s="196"/>
      <c r="FA406" s="196"/>
      <c r="FC406" s="269"/>
      <c r="FD406" s="269"/>
      <c r="FE406" s="269"/>
      <c r="FF406" s="140"/>
      <c r="FG406" s="1087">
        <f t="shared" si="1087"/>
        <v>0</v>
      </c>
      <c r="FJ406" s="140"/>
      <c r="FL406" s="269">
        <f t="shared" si="1088"/>
        <v>0</v>
      </c>
      <c r="FO406" s="607"/>
      <c r="FP406" s="607"/>
      <c r="FQ406" s="607"/>
      <c r="FT406" s="269">
        <f t="shared" si="1089"/>
        <v>0</v>
      </c>
      <c r="FU406" s="269"/>
      <c r="FV406" s="269"/>
      <c r="FW406" s="269"/>
      <c r="FX406" s="140">
        <f>'Detailed Budget'!$AC$278</f>
        <v>1114560000</v>
      </c>
      <c r="FY406" s="269"/>
      <c r="FZ406" s="269"/>
      <c r="GB406" s="269">
        <f t="shared" si="1098"/>
        <v>0</v>
      </c>
      <c r="GD406" s="1078">
        <f t="shared" si="1099"/>
        <v>0</v>
      </c>
    </row>
    <row r="407" spans="1:186" s="210" customFormat="1" collapsed="1">
      <c r="A407" s="203">
        <v>3.5</v>
      </c>
      <c r="B407" s="204" t="s">
        <v>950</v>
      </c>
      <c r="C407" s="205">
        <f t="shared" ref="C407:T407" si="1105">COUNTA(C408:C428)</f>
        <v>21</v>
      </c>
      <c r="D407" s="205">
        <f t="shared" si="1105"/>
        <v>21</v>
      </c>
      <c r="E407" s="205">
        <f t="shared" si="1105"/>
        <v>0</v>
      </c>
      <c r="F407" s="205">
        <f t="shared" si="1105"/>
        <v>0</v>
      </c>
      <c r="G407" s="205">
        <f t="shared" si="1105"/>
        <v>0</v>
      </c>
      <c r="H407" s="205">
        <f t="shared" si="1105"/>
        <v>21</v>
      </c>
      <c r="I407" s="205">
        <f t="shared" si="1105"/>
        <v>6</v>
      </c>
      <c r="J407" s="205">
        <f t="shared" si="1105"/>
        <v>15</v>
      </c>
      <c r="K407" s="205">
        <f t="shared" si="1105"/>
        <v>6</v>
      </c>
      <c r="L407" s="205">
        <f t="shared" si="1105"/>
        <v>15</v>
      </c>
      <c r="M407" s="205">
        <f t="shared" si="1105"/>
        <v>0</v>
      </c>
      <c r="N407" s="205">
        <f t="shared" si="1105"/>
        <v>0</v>
      </c>
      <c r="O407" s="205">
        <f t="shared" si="1105"/>
        <v>0</v>
      </c>
      <c r="P407" s="205">
        <f t="shared" si="1105"/>
        <v>0</v>
      </c>
      <c r="Q407" s="205">
        <f t="shared" si="1105"/>
        <v>0</v>
      </c>
      <c r="R407" s="205">
        <f t="shared" si="1105"/>
        <v>21</v>
      </c>
      <c r="S407" s="205">
        <f t="shared" si="1105"/>
        <v>3</v>
      </c>
      <c r="T407" s="205">
        <f t="shared" si="1105"/>
        <v>0</v>
      </c>
      <c r="U407" s="206">
        <f>SUM(C407:T407)</f>
        <v>129</v>
      </c>
      <c r="V407" s="844"/>
      <c r="W407" s="207">
        <f>SUM(W408:W428)</f>
        <v>3256541</v>
      </c>
      <c r="X407" s="208">
        <v>3.17</v>
      </c>
      <c r="Y407" s="209">
        <f t="shared" si="1101"/>
        <v>1.0317000000000001</v>
      </c>
      <c r="Z407" s="207">
        <v>19</v>
      </c>
      <c r="AA407" s="209">
        <f t="shared" si="1102"/>
        <v>1.8093191519340412</v>
      </c>
      <c r="AB407" s="207">
        <f t="shared" si="1103"/>
        <v>5892122.0003584344</v>
      </c>
      <c r="AC407" s="210">
        <v>20.2</v>
      </c>
      <c r="AD407" s="207">
        <f t="shared" si="1104"/>
        <v>1190208.6440724037</v>
      </c>
      <c r="AE407" s="207">
        <f t="shared" si="990"/>
        <v>1130698.2118687835</v>
      </c>
      <c r="AF407" s="207">
        <f>SUM(AF408:AF428)</f>
        <v>1130698.2118687835</v>
      </c>
      <c r="AG407" s="588">
        <f t="shared" si="1058"/>
        <v>5.22785214586532E-2</v>
      </c>
      <c r="AH407" s="207">
        <f>SUM(AH408:AH428)</f>
        <v>294606.10001792177</v>
      </c>
      <c r="AI407" s="633">
        <f t="shared" si="1034"/>
        <v>2.2822688196546981E-2</v>
      </c>
      <c r="AJ407" s="207">
        <f>SUM(AJ408:AJ428)</f>
        <v>1484814.7440903254</v>
      </c>
      <c r="AK407" s="207">
        <f t="shared" si="1067"/>
        <v>235684.88001433737</v>
      </c>
      <c r="AL407" s="207">
        <f t="shared" si="1068"/>
        <v>235684.88001433737</v>
      </c>
      <c r="AM407" s="207">
        <f t="shared" si="1039"/>
        <v>471369.76002867473</v>
      </c>
      <c r="AN407" s="632">
        <f t="shared" si="1040"/>
        <v>2.2822688196546974E-2</v>
      </c>
      <c r="AO407" s="207">
        <f t="shared" si="1041"/>
        <v>223900.6360136205</v>
      </c>
      <c r="AP407" s="588">
        <f t="shared" si="1059"/>
        <v>2.2822688196546974E-2</v>
      </c>
      <c r="AQ407" s="207">
        <v>1</v>
      </c>
      <c r="AR407" s="588">
        <f>AQ407/37</f>
        <v>2.7027027027027029E-2</v>
      </c>
      <c r="AS407" s="207">
        <f>SUM(AS408:AS428)</f>
        <v>21</v>
      </c>
      <c r="AT407" s="588">
        <f t="shared" si="1060"/>
        <v>2.7131782945736434E-2</v>
      </c>
      <c r="AU407" s="207">
        <f>SUM(AU408:AU428)</f>
        <v>225</v>
      </c>
      <c r="AV407" s="892">
        <f t="shared" si="1042"/>
        <v>2.556527667310533E-2</v>
      </c>
      <c r="AW407" s="207">
        <v>41855</v>
      </c>
      <c r="AX407" s="208">
        <f>AW407*0.002</f>
        <v>83.710000000000008</v>
      </c>
      <c r="AY407" s="207">
        <f>AX407*100</f>
        <v>8371</v>
      </c>
      <c r="AZ407" s="207">
        <f>SUM(AZ408:AZ428)</f>
        <v>900</v>
      </c>
      <c r="BA407" s="588">
        <f t="shared" si="1092"/>
        <v>3.2977904803781467E-2</v>
      </c>
      <c r="BB407" s="207">
        <v>33</v>
      </c>
      <c r="BC407" s="207">
        <v>2</v>
      </c>
      <c r="BD407" s="207">
        <f>BB407+BC407</f>
        <v>35</v>
      </c>
      <c r="BE407" s="633">
        <f>BD407/1306</f>
        <v>2.679938744257274E-2</v>
      </c>
      <c r="BF407" s="207">
        <f>AZ407+BD407</f>
        <v>935</v>
      </c>
      <c r="BG407" s="588">
        <f>BF407/28597</f>
        <v>3.2695737315102981E-2</v>
      </c>
      <c r="BH407" s="1084">
        <v>76.8</v>
      </c>
      <c r="BI407" s="207"/>
      <c r="BJ407" s="207">
        <v>3117056</v>
      </c>
      <c r="BK407" s="892">
        <f t="shared" si="1093"/>
        <v>5.9440377281147969E-2</v>
      </c>
      <c r="BL407" s="207">
        <f>BJ407/50</f>
        <v>62341.120000000003</v>
      </c>
      <c r="BM407" s="892">
        <f t="shared" si="1094"/>
        <v>5.9440370480195959E-2</v>
      </c>
      <c r="BN407" s="207"/>
      <c r="BO407" s="207">
        <v>390427</v>
      </c>
      <c r="BP407" s="207">
        <f>SUM(BP408:BP428)</f>
        <v>0</v>
      </c>
      <c r="BQ407" s="633">
        <f t="shared" si="1095"/>
        <v>0</v>
      </c>
      <c r="BR407" s="207">
        <f>AY407*0.5*24</f>
        <v>100452</v>
      </c>
      <c r="BS407" s="633">
        <f>BR407/2211211</f>
        <v>4.5428500491359713E-2</v>
      </c>
      <c r="BT407" s="634"/>
      <c r="BU407" s="207">
        <f>SUM(BU408:BU428)</f>
        <v>994062.25952927163</v>
      </c>
      <c r="BV407" s="264">
        <f t="shared" si="1096"/>
        <v>6.8950041230740222E-2</v>
      </c>
      <c r="BW407" s="207">
        <f>SUM(BW408:BW428)</f>
        <v>4252377.4435418835</v>
      </c>
      <c r="BX407" s="247">
        <f t="shared" si="1097"/>
        <v>6.895004185184482E-2</v>
      </c>
      <c r="BY407" s="207">
        <f>SUM(BY408:BY428)</f>
        <v>5246439.7030711547</v>
      </c>
      <c r="CA407" s="207">
        <f>SUM(CA408:CA428)</f>
        <v>1802989.3321096813</v>
      </c>
      <c r="CB407" s="207">
        <f>SUM(CB408:CB428)</f>
        <v>3605978.6642193627</v>
      </c>
      <c r="CC407" s="207">
        <f>SUM(CC408:CC428)</f>
        <v>5408967.9963290431</v>
      </c>
      <c r="CD407" s="633">
        <f t="shared" si="1044"/>
        <v>2.2822688196546977E-2</v>
      </c>
      <c r="CE407" s="207">
        <f>SUM(CE408:CE428)</f>
        <v>369083.12530265719</v>
      </c>
      <c r="CF407" s="633">
        <f t="shared" si="1045"/>
        <v>1.5938157179034722E-2</v>
      </c>
      <c r="CG407" s="207">
        <f t="shared" ref="CG407:CG428" si="1106">AO407*4</f>
        <v>895602.54405448202</v>
      </c>
      <c r="CH407" s="588">
        <f t="shared" si="1061"/>
        <v>2.2822688196546974E-2</v>
      </c>
      <c r="CI407" s="207">
        <f t="shared" ref="CI407:CO407" si="1107">SUM(CI408:CI428)</f>
        <v>1371055.5899907777</v>
      </c>
      <c r="CJ407" s="633">
        <f t="shared" si="1062"/>
        <v>2.2540150419249162E-2</v>
      </c>
      <c r="CK407" s="207">
        <f t="shared" si="1107"/>
        <v>1106970.6689644197</v>
      </c>
      <c r="CL407" s="588">
        <f t="shared" si="1063"/>
        <v>1.5912931060515847E-2</v>
      </c>
      <c r="CM407" s="207">
        <f t="shared" si="1107"/>
        <v>107237.96793087301</v>
      </c>
      <c r="CN407" s="588">
        <f t="shared" si="1064"/>
        <v>1.545420990092243E-2</v>
      </c>
      <c r="CO407" s="207">
        <f t="shared" si="1107"/>
        <v>8578.9974344818038</v>
      </c>
      <c r="CP407" s="588">
        <f t="shared" si="1065"/>
        <v>1.6178667752565323E-2</v>
      </c>
      <c r="CQ407" s="207">
        <f>'Detailed Budget'!$AC$12</f>
        <v>292876014141.44696</v>
      </c>
      <c r="CR407" s="605">
        <f t="shared" si="1066"/>
        <v>17408660777.166435</v>
      </c>
      <c r="CS407" s="605">
        <f>'Detailed Budget'!$AC$16</f>
        <v>10488008800.000002</v>
      </c>
      <c r="CT407" s="605">
        <f t="shared" ref="CT407:CT428" si="1108">BM407*CS407</f>
        <v>623411128.67155552</v>
      </c>
      <c r="CU407" s="605">
        <f>'Detailed Budget'!$AC$24</f>
        <v>30624985696</v>
      </c>
      <c r="CV407" s="605">
        <f t="shared" si="1091"/>
        <v>1820360704</v>
      </c>
      <c r="CW407" s="605"/>
      <c r="CX407" s="605">
        <f t="shared" si="1057"/>
        <v>19852432609.83799</v>
      </c>
      <c r="CY407" s="207">
        <f>'Detailed Budget'!$AC$97</f>
        <v>74629165494.837845</v>
      </c>
      <c r="CZ407" s="605">
        <f t="shared" ref="CZ407:CZ428" si="1109">BQ407*CY407</f>
        <v>0</v>
      </c>
      <c r="DA407" s="605">
        <f>'Detailed Budget'!$AC$100</f>
        <v>14925833098.967569</v>
      </c>
      <c r="DB407" s="605">
        <f t="shared" ref="DB407:DB428" si="1110">BQ407*DA407</f>
        <v>0</v>
      </c>
      <c r="DC407" s="605">
        <f t="shared" si="1046"/>
        <v>0</v>
      </c>
      <c r="DD407" s="207">
        <f>SUM(DD408:DD428)</f>
        <v>3</v>
      </c>
      <c r="DE407" s="606">
        <v>0</v>
      </c>
      <c r="DF407" s="605">
        <f>'Detailed Budget'!$AC$147</f>
        <v>5913600671000</v>
      </c>
      <c r="DG407" s="605">
        <f t="shared" si="1086"/>
        <v>0</v>
      </c>
      <c r="DH407" s="605">
        <f>'Detailed Budget'!$AC$153</f>
        <v>226428026880.00003</v>
      </c>
      <c r="DI407" s="605">
        <f>BS407*DH407</f>
        <v>10286285730.375692</v>
      </c>
      <c r="DJ407" s="605">
        <f>'Detailed Budget'!$AC$156</f>
        <v>27713070000</v>
      </c>
      <c r="DK407" s="605">
        <f>AT407*DJ407</f>
        <v>751905000</v>
      </c>
      <c r="DL407" s="605">
        <f>DI407+DK407</f>
        <v>11038190730.375692</v>
      </c>
      <c r="DM407" s="207">
        <f>'Detailed Budget'!$AC$178</f>
        <v>5622683761.6229038</v>
      </c>
      <c r="DN407" s="605">
        <f>SUM(DN408:DN428)</f>
        <v>387684277.19131267</v>
      </c>
      <c r="DO407" s="605">
        <f>'Detailed Budget'!$AC$179</f>
        <v>26827890683.128094</v>
      </c>
      <c r="DP407" s="605">
        <f>SUM(DP408:DP428)</f>
        <v>1849784185.3983998</v>
      </c>
      <c r="DQ407" s="605">
        <f>SUM(DQ408:DQ428)</f>
        <v>2237468462.5897126</v>
      </c>
      <c r="DR407" s="605">
        <f>'Detailed Budget'!$AC$181</f>
        <v>50888946855.375237</v>
      </c>
      <c r="DS407" s="605">
        <f>SUM(DS408:DS428)</f>
        <v>2660398900.1869969</v>
      </c>
      <c r="DT407" s="605">
        <f>SUM(DT408:DT428)</f>
        <v>4897867362.7767105</v>
      </c>
      <c r="DU407" s="634">
        <f>'Detailed Budget'!$AC$192</f>
        <v>77498869683.252869</v>
      </c>
      <c r="DV407" s="605">
        <f t="shared" ref="DV407:DV428" si="1111">BZ407*CD407*DU407</f>
        <v>0</v>
      </c>
      <c r="DW407" s="930">
        <f>'Detailed Budget'!$AC$194</f>
        <v>2684962805.4134097</v>
      </c>
      <c r="DX407" s="605">
        <f t="shared" ref="DX407:DX428" si="1112">BZ407*AN407*DW407</f>
        <v>0</v>
      </c>
      <c r="DY407" s="605">
        <f t="shared" si="1047"/>
        <v>0</v>
      </c>
      <c r="DZ407" s="207">
        <f>'Detailed Budget'!$AC$198</f>
        <v>18732540018.380611</v>
      </c>
      <c r="EA407" s="605">
        <f t="shared" ref="EA407:EA428" si="1113">CF407*DZ407</f>
        <v>298562167.1755082</v>
      </c>
      <c r="EB407" s="207">
        <f>'Detailed Budget'!$AC$200</f>
        <v>4683135004.5951529</v>
      </c>
      <c r="EC407" s="605">
        <f t="shared" ref="EC407:EC428" si="1114">CF407*EB407</f>
        <v>74640541.79387705</v>
      </c>
      <c r="ED407" s="605">
        <f t="shared" si="1048"/>
        <v>373202708.96938527</v>
      </c>
      <c r="EE407" s="207">
        <f>'Detailed Budget'!$AC$161</f>
        <v>251147290106.36197</v>
      </c>
      <c r="EF407" s="605">
        <f t="shared" ref="EF407:EF428" si="1115">CH407*EE407</f>
        <v>5731856293.5052261</v>
      </c>
      <c r="EG407" s="207">
        <f>'Detailed Budget'!$AC$163</f>
        <v>15696705631.647623</v>
      </c>
      <c r="EH407" s="605">
        <f t="shared" ref="EH407:EH428" si="1116">AP407*EG407</f>
        <v>358241018.34407663</v>
      </c>
      <c r="EI407" s="605">
        <f t="shared" si="1049"/>
        <v>6090097311.8493023</v>
      </c>
      <c r="EJ407" s="207">
        <f>'Detailed Budget'!$AC$204</f>
        <v>45012172507.531975</v>
      </c>
      <c r="EK407" s="605">
        <f t="shared" ref="EK407:EK428" si="1117">CJ407*EJ407</f>
        <v>1014581139.0169624</v>
      </c>
      <c r="EL407" s="207">
        <f>'Detailed Budget'!$AC$206</f>
        <v>11253043126.882994</v>
      </c>
      <c r="EM407" s="605">
        <f t="shared" ref="EM407:EM428" si="1118">CJ407*EL407</f>
        <v>253645284.7542406</v>
      </c>
      <c r="EN407" s="605">
        <f t="shared" si="1050"/>
        <v>1268226423.771203</v>
      </c>
      <c r="EO407" s="930">
        <f>'Detailed Budget'!$AC$209</f>
        <v>135789361677.54817</v>
      </c>
      <c r="EP407" s="605">
        <f t="shared" ref="EP407:EP428" si="1119">CL407*EO407</f>
        <v>2160806751.1262765</v>
      </c>
      <c r="EQ407" s="207">
        <f>'Detailed Budget'!$AC$211</f>
        <v>33947340419.387043</v>
      </c>
      <c r="ER407" s="605">
        <f t="shared" ref="ER407:ER428" si="1120">CL407*EQ407</f>
        <v>540201687.78156912</v>
      </c>
      <c r="ES407" s="605">
        <f t="shared" si="1051"/>
        <v>2701008438.9078455</v>
      </c>
      <c r="ET407" s="207">
        <f>'Detailed Budget'!$AC$214</f>
        <v>22239745544.201103</v>
      </c>
      <c r="EU407" s="605">
        <f t="shared" ref="EU407:EU428" si="1121">CN407*ET407</f>
        <v>343697695.78318822</v>
      </c>
      <c r="EV407" s="930">
        <f>'Detailed Budget'!$AC$217</f>
        <v>5559936386.0502758</v>
      </c>
      <c r="EW407" s="605">
        <f t="shared" ref="EW407:EW428" si="1122">CN407*EV407</f>
        <v>85924423.945797056</v>
      </c>
      <c r="EX407" s="605">
        <f t="shared" si="1052"/>
        <v>429622119.72898531</v>
      </c>
      <c r="EY407" s="207">
        <f>'Detailed Budget'!$AC$219</f>
        <v>372777004.58170313</v>
      </c>
      <c r="EZ407" s="605">
        <f t="shared" ref="EZ407:EZ428" si="1123">CP407*EY407</f>
        <v>6031035.3029238963</v>
      </c>
      <c r="FA407" s="207">
        <f>'Detailed Budget'!$AC$222</f>
        <v>93194251.145425782</v>
      </c>
      <c r="FB407" s="605">
        <f t="shared" ref="FB407:FB428" si="1124">CP407*FA407</f>
        <v>1507758.8257309741</v>
      </c>
      <c r="FC407" s="605">
        <f t="shared" si="1053"/>
        <v>7538794.1286548702</v>
      </c>
      <c r="FD407" s="605"/>
      <c r="FE407" s="605">
        <f t="shared" si="1054"/>
        <v>4406395776.5366879</v>
      </c>
      <c r="FF407" s="930">
        <f>'Detailed Budget'!$AC$165</f>
        <v>14927760000</v>
      </c>
      <c r="FG407" s="1087">
        <f t="shared" si="1087"/>
        <v>6010615515.5122194</v>
      </c>
      <c r="FH407" s="605">
        <f t="shared" ref="FH407:FH428" si="1125">AV407*FF407</f>
        <v>381632314.50971484</v>
      </c>
      <c r="FI407" s="605"/>
      <c r="FJ407" s="930">
        <f>'Detailed Budget'!$AC$235</f>
        <v>3623696172</v>
      </c>
      <c r="FK407" s="605">
        <f t="shared" ref="FK407:FK428" si="1126">AT407*FJ407</f>
        <v>98317338</v>
      </c>
      <c r="FL407" s="605">
        <f t="shared" si="1088"/>
        <v>98317338</v>
      </c>
      <c r="FM407" s="605"/>
      <c r="FN407" s="605">
        <f>'Detailed Budget'!$AC$251</f>
        <v>1047595800</v>
      </c>
      <c r="FO407" s="605">
        <f>AR407*FN407</f>
        <v>28313400</v>
      </c>
      <c r="FP407" s="605">
        <f>'Detailed Budget'!$AB$254</f>
        <v>2773297530</v>
      </c>
      <c r="FQ407" s="605">
        <f>BE407*FP407</f>
        <v>74322675</v>
      </c>
      <c r="FR407" s="605">
        <f>'Detailed Budget'!$AC$257</f>
        <v>13636439388</v>
      </c>
      <c r="FS407" s="605">
        <f t="shared" ref="FS407:FS428" si="1127">BA407*FR407</f>
        <v>449701200</v>
      </c>
      <c r="FT407" s="605">
        <f t="shared" si="1089"/>
        <v>552337275</v>
      </c>
      <c r="FU407" s="605"/>
      <c r="FV407" s="605">
        <f>'Detailed Budget'!$AC$265</f>
        <v>6277805540</v>
      </c>
      <c r="FW407" s="605">
        <f>AR407*FV407</f>
        <v>169670420</v>
      </c>
      <c r="FX407" s="930">
        <f>'Detailed Budget'!$AC$278</f>
        <v>1114560000</v>
      </c>
      <c r="FY407" s="605">
        <f t="shared" ref="FY407:FY428" si="1128">AT407*FX407</f>
        <v>30240000</v>
      </c>
      <c r="FZ407" s="605">
        <f t="shared" si="1090"/>
        <v>199910420</v>
      </c>
      <c r="GB407" s="269">
        <f t="shared" si="1098"/>
        <v>53900999363.367706</v>
      </c>
      <c r="GC407" s="889">
        <f t="shared" si="1055"/>
        <v>33688124.602104813</v>
      </c>
      <c r="GD407" s="1078">
        <f t="shared" si="1099"/>
        <v>3.0245548036904098E-2</v>
      </c>
    </row>
    <row r="408" spans="1:186" hidden="1" outlineLevel="1">
      <c r="A408" s="211" t="s">
        <v>951</v>
      </c>
      <c r="B408" s="212" t="s">
        <v>952</v>
      </c>
      <c r="C408" s="213" t="s">
        <v>215</v>
      </c>
      <c r="D408" s="214" t="s">
        <v>215</v>
      </c>
      <c r="E408" s="213"/>
      <c r="F408" s="213"/>
      <c r="G408" s="213"/>
      <c r="H408" s="213" t="s">
        <v>215</v>
      </c>
      <c r="I408" s="214" t="s">
        <v>215</v>
      </c>
      <c r="J408" s="214"/>
      <c r="K408" s="213" t="s">
        <v>215</v>
      </c>
      <c r="L408" s="213"/>
      <c r="M408" s="214"/>
      <c r="N408" s="213"/>
      <c r="O408" s="214"/>
      <c r="P408" s="213"/>
      <c r="Q408" s="214"/>
      <c r="R408" s="214" t="s">
        <v>215</v>
      </c>
      <c r="S408" s="214"/>
      <c r="T408" s="214"/>
      <c r="U408" s="215">
        <f t="shared" ref="U408:U428" si="1129">COUNTA(C408:T408)</f>
        <v>6</v>
      </c>
      <c r="V408" s="845" t="s">
        <v>219</v>
      </c>
      <c r="W408" s="216">
        <v>67078</v>
      </c>
      <c r="X408" s="217">
        <v>3.17</v>
      </c>
      <c r="Y408" s="218">
        <f t="shared" si="1101"/>
        <v>1.0317000000000001</v>
      </c>
      <c r="Z408" s="196">
        <v>19</v>
      </c>
      <c r="AA408" s="218">
        <f t="shared" si="1102"/>
        <v>1.8093191519340412</v>
      </c>
      <c r="AB408" s="196">
        <f t="shared" si="1103"/>
        <v>121365.51007343162</v>
      </c>
      <c r="AC408">
        <v>20.2</v>
      </c>
      <c r="AD408" s="196">
        <f t="shared" si="1104"/>
        <v>24515.833034833184</v>
      </c>
      <c r="AE408" s="196">
        <f t="shared" si="990"/>
        <v>23290.041383091524</v>
      </c>
      <c r="AF408" s="196">
        <f t="shared" ref="AF408:AF428" si="1130">AE408*BT408</f>
        <v>23290.041383091524</v>
      </c>
      <c r="AG408" s="606">
        <f t="shared" si="1058"/>
        <v>1.0768292683566826E-3</v>
      </c>
      <c r="AH408" s="196">
        <f>AB408*0.05</f>
        <v>6068.2755036715816</v>
      </c>
      <c r="AI408" s="248">
        <f t="shared" si="1034"/>
        <v>4.7010010893398189E-4</v>
      </c>
      <c r="AJ408" s="196">
        <f t="shared" si="1038"/>
        <v>30584.108538504766</v>
      </c>
      <c r="AK408" s="196">
        <f t="shared" si="1067"/>
        <v>4854.6204029372648</v>
      </c>
      <c r="AL408" s="196">
        <f t="shared" si="1068"/>
        <v>4854.6204029372648</v>
      </c>
      <c r="AM408" s="196">
        <f t="shared" si="1039"/>
        <v>9709.2408058745295</v>
      </c>
      <c r="AN408" s="627">
        <f t="shared" si="1040"/>
        <v>4.7010010893398183E-4</v>
      </c>
      <c r="AO408" s="196">
        <f t="shared" si="1041"/>
        <v>4611.8893827904012</v>
      </c>
      <c r="AP408" s="589">
        <f t="shared" si="1059"/>
        <v>4.7010010893398178E-4</v>
      </c>
      <c r="AQ408" s="196"/>
      <c r="AR408" s="589"/>
      <c r="AS408">
        <v>1</v>
      </c>
      <c r="AT408" s="589">
        <f t="shared" si="1060"/>
        <v>1.2919896640826874E-3</v>
      </c>
      <c r="AU408" s="196">
        <v>10</v>
      </c>
      <c r="AV408" s="245">
        <f t="shared" si="1042"/>
        <v>1.1362345188046814E-3</v>
      </c>
      <c r="AX408" s="245"/>
      <c r="AY408" s="245"/>
      <c r="AZ408" s="196">
        <v>21</v>
      </c>
      <c r="BA408" s="589">
        <f t="shared" si="1092"/>
        <v>7.6948444542156754E-4</v>
      </c>
      <c r="BI408" s="196">
        <v>0</v>
      </c>
      <c r="BJ408" s="196">
        <f t="shared" ref="BJ408:BJ428" si="1131">AB408/5892122*3117056</f>
        <v>64204.897890344175</v>
      </c>
      <c r="BK408" s="246">
        <f t="shared" si="1093"/>
        <v>1.2243486655034877E-3</v>
      </c>
      <c r="BL408" s="196">
        <f>BJ408/50</f>
        <v>1284.0979578068834</v>
      </c>
      <c r="BM408" s="246">
        <f t="shared" si="1094"/>
        <v>1.2243485254179614E-3</v>
      </c>
      <c r="BN408" s="196">
        <v>0</v>
      </c>
      <c r="BO408" s="196">
        <f t="shared" ref="BO408:BO428" si="1132">AJ408/1484815*390427</f>
        <v>8041.9862032393257</v>
      </c>
      <c r="BP408" s="196">
        <f t="shared" si="1043"/>
        <v>0</v>
      </c>
      <c r="BQ408" s="248">
        <f t="shared" si="1095"/>
        <v>0</v>
      </c>
      <c r="BR408" s="248"/>
      <c r="BS408" s="248"/>
      <c r="BT408" s="276">
        <v>1</v>
      </c>
      <c r="BU408" s="196">
        <f>AD408*BT408*0.18*4*1.16</f>
        <v>20475.623750692674</v>
      </c>
      <c r="BV408" s="264">
        <f t="shared" si="1096"/>
        <v>1.420228047390035E-3</v>
      </c>
      <c r="BW408" s="196">
        <f>AD408*BT408*0.77*4*1.16</f>
        <v>87590.168266851993</v>
      </c>
      <c r="BX408" s="247">
        <f t="shared" si="1097"/>
        <v>1.4202280601835035E-3</v>
      </c>
      <c r="BY408" s="196">
        <f t="shared" si="1100"/>
        <v>108065.79201754466</v>
      </c>
      <c r="BZ408" s="620">
        <v>0</v>
      </c>
      <c r="CA408" s="196">
        <f t="shared" ref="CA408:CA428" si="1133">AK408*0.85*0.75*12</f>
        <v>37137.846082470074</v>
      </c>
      <c r="CB408" s="196">
        <f t="shared" ref="CB408:CB428" si="1134">AL408*0.85*0.75*2*12</f>
        <v>74275.692164940148</v>
      </c>
      <c r="CC408" s="196">
        <f t="shared" si="1056"/>
        <v>111413.53824741022</v>
      </c>
      <c r="CD408" s="247">
        <f t="shared" si="1044"/>
        <v>4.7010010893398178E-4</v>
      </c>
      <c r="CE408" s="196">
        <f t="shared" ref="CE408:CE428" si="1135">AH408/294606*369083</f>
        <v>7602.3479756746929</v>
      </c>
      <c r="CF408" s="247">
        <f t="shared" si="1045"/>
        <v>3.2829302847877273E-4</v>
      </c>
      <c r="CG408" s="196">
        <f t="shared" si="1106"/>
        <v>18447.557531161605</v>
      </c>
      <c r="CH408" s="589">
        <f t="shared" si="1061"/>
        <v>4.7010010893398178E-4</v>
      </c>
      <c r="CI408" s="196">
        <f t="shared" ref="CI408:CI428" si="1136">AD408/1190209*1371056</f>
        <v>28240.905569867351</v>
      </c>
      <c r="CJ408" s="248">
        <f t="shared" si="1062"/>
        <v>4.6428041588372304E-4</v>
      </c>
      <c r="CK408" s="196">
        <f t="shared" ref="CK408:CK428" si="1137">AD408/1190209*1106971</f>
        <v>22801.303141214968</v>
      </c>
      <c r="CL408" s="589">
        <f t="shared" si="1063"/>
        <v>3.2777342268292697E-4</v>
      </c>
      <c r="CM408" s="196">
        <f t="shared" ref="CM408:CM428" si="1138">AD408/1190209*107238</f>
        <v>2208.8800395472067</v>
      </c>
      <c r="CN408" s="589">
        <f t="shared" si="1064"/>
        <v>3.1832471684958819E-4</v>
      </c>
      <c r="CO408" s="196">
        <f t="shared" ref="CO408:CO428" si="1139">AD408/1190209*8579</f>
        <v>176.70957924686664</v>
      </c>
      <c r="CP408" s="589">
        <f t="shared" si="1065"/>
        <v>3.3324704817368385E-4</v>
      </c>
      <c r="CQ408" s="196">
        <f>'Detailed Budget'!$AC$12</f>
        <v>292876014141.44696</v>
      </c>
      <c r="CR408" s="269">
        <f t="shared" si="1066"/>
        <v>358582357.07206118</v>
      </c>
      <c r="CS408" s="269">
        <f>'Detailed Budget'!$AC$16</f>
        <v>10488008800.000002</v>
      </c>
      <c r="CT408" s="607">
        <f t="shared" si="1108"/>
        <v>12840978.108850606</v>
      </c>
      <c r="CU408" s="269">
        <f>'Detailed Budget'!$AC$24</f>
        <v>30624985696</v>
      </c>
      <c r="CV408" s="269">
        <f t="shared" si="1091"/>
        <v>37495660.367960997</v>
      </c>
      <c r="CW408" s="269"/>
      <c r="CX408" s="269">
        <f t="shared" si="1057"/>
        <v>408918995.54887277</v>
      </c>
      <c r="CY408" s="196">
        <f>'Detailed Budget'!$AC$97</f>
        <v>74629165494.837845</v>
      </c>
      <c r="CZ408" s="269">
        <f t="shared" si="1109"/>
        <v>0</v>
      </c>
      <c r="DA408" s="269">
        <f>'Detailed Budget'!$AC$100</f>
        <v>14925833098.967569</v>
      </c>
      <c r="DB408" s="269">
        <f t="shared" si="1110"/>
        <v>0</v>
      </c>
      <c r="DC408" s="269">
        <f t="shared" si="1046"/>
        <v>0</v>
      </c>
      <c r="DD408" s="207">
        <v>0</v>
      </c>
      <c r="DE408" s="606">
        <v>0</v>
      </c>
      <c r="DF408" s="269">
        <f>'Detailed Budget'!$AC$147</f>
        <v>5913600671000</v>
      </c>
      <c r="DG408" s="269">
        <f t="shared" si="1086"/>
        <v>0</v>
      </c>
      <c r="DH408" s="269">
        <f>'Detailed Budget'!$AC$153</f>
        <v>226428026880.00003</v>
      </c>
      <c r="DI408" s="269"/>
      <c r="DJ408" s="269">
        <f>'Detailed Budget'!$AC$156</f>
        <v>27713070000</v>
      </c>
      <c r="DK408" s="269"/>
      <c r="DL408" s="269"/>
      <c r="DM408" s="196">
        <f>'Detailed Budget'!$AC$178</f>
        <v>5622683761.6229038</v>
      </c>
      <c r="DN408" s="269">
        <f t="shared" ref="DN408:DN428" si="1140">BT408*BV408*DM408</f>
        <v>7985493.1798613537</v>
      </c>
      <c r="DO408" s="196">
        <f>'Detailed Budget'!$AC$179</f>
        <v>26827890683.128094</v>
      </c>
      <c r="DP408" s="269">
        <f t="shared" ref="DP408:DP428" si="1141">BT408*BX408*DO408</f>
        <v>38101723.1437141</v>
      </c>
      <c r="DQ408" s="269">
        <f t="shared" si="1008"/>
        <v>46087216.323575452</v>
      </c>
      <c r="DR408" s="269">
        <f>'Detailed Budget'!$AC$181</f>
        <v>50888946855.375237</v>
      </c>
      <c r="DS408" s="269">
        <f t="shared" ref="DS408:DS428" si="1142">BT408*AG408*DR408</f>
        <v>54798707.409715824</v>
      </c>
      <c r="DT408" s="269">
        <f t="shared" ref="DT408:DT428" si="1143">DQ408+DS408</f>
        <v>100885923.73329127</v>
      </c>
      <c r="DU408" s="272">
        <f>'Detailed Budget'!$AC$192</f>
        <v>77498869683.252869</v>
      </c>
      <c r="DV408" s="269">
        <f t="shared" si="1111"/>
        <v>0</v>
      </c>
      <c r="DW408" s="140">
        <f>'Detailed Budget'!$AC$194</f>
        <v>2684962805.4134097</v>
      </c>
      <c r="DX408" s="269">
        <f t="shared" si="1112"/>
        <v>0</v>
      </c>
      <c r="DY408" s="607">
        <f t="shared" si="1047"/>
        <v>0</v>
      </c>
      <c r="DZ408" s="196">
        <f>'Detailed Budget'!$AC$198</f>
        <v>18732540018.380611</v>
      </c>
      <c r="EA408" s="269">
        <f t="shared" si="1113"/>
        <v>6149762.2937339759</v>
      </c>
      <c r="EB408" s="196">
        <f>'Detailed Budget'!$AC$200</f>
        <v>4683135004.5951529</v>
      </c>
      <c r="EC408" s="269">
        <f t="shared" si="1114"/>
        <v>1537440.573433494</v>
      </c>
      <c r="ED408" s="269">
        <f t="shared" si="1048"/>
        <v>7687202.86716747</v>
      </c>
      <c r="EE408" s="196">
        <f>'Detailed Budget'!$AC$161</f>
        <v>251147290106.36197</v>
      </c>
      <c r="EF408" s="269">
        <f t="shared" si="1115"/>
        <v>118064368.43747509</v>
      </c>
      <c r="EG408" s="196">
        <f>'Detailed Budget'!$AC$163</f>
        <v>15696705631.647623</v>
      </c>
      <c r="EH408" s="269">
        <f t="shared" si="1116"/>
        <v>7379023.0273421928</v>
      </c>
      <c r="EI408" s="269">
        <f t="shared" si="1049"/>
        <v>125443391.46481729</v>
      </c>
      <c r="EJ408" s="196">
        <f>'Detailed Budget'!$AC$204</f>
        <v>45012172507.531975</v>
      </c>
      <c r="EK408" s="269">
        <f t="shared" si="1117"/>
        <v>20898270.171626829</v>
      </c>
      <c r="EL408" s="201">
        <f>'Detailed Budget'!$AC$206</f>
        <v>11253043126.882994</v>
      </c>
      <c r="EM408" s="269">
        <f t="shared" si="1118"/>
        <v>5224567.5429067072</v>
      </c>
      <c r="EN408" s="269">
        <f t="shared" si="1050"/>
        <v>26122837.714533538</v>
      </c>
      <c r="EO408" s="140">
        <f>'Detailed Budget'!$AC$209</f>
        <v>135789361677.54817</v>
      </c>
      <c r="EP408" s="269">
        <f t="shared" si="1119"/>
        <v>44508143.840979844</v>
      </c>
      <c r="EQ408" s="196">
        <f>'Detailed Budget'!$AC$211</f>
        <v>33947340419.387043</v>
      </c>
      <c r="ER408" s="269">
        <f t="shared" si="1120"/>
        <v>11127035.960244961</v>
      </c>
      <c r="ES408" s="269">
        <f t="shared" si="1051"/>
        <v>55635179.801224805</v>
      </c>
      <c r="ET408" s="196">
        <f>'Detailed Budget'!$AC$214</f>
        <v>22239745544.201103</v>
      </c>
      <c r="EU408" s="269">
        <f t="shared" si="1121"/>
        <v>7079460.7031647069</v>
      </c>
      <c r="EV408" s="140">
        <f>'Detailed Budget'!$AC$217</f>
        <v>5559936386.0502758</v>
      </c>
      <c r="EW408" s="269">
        <f t="shared" si="1122"/>
        <v>1769865.1757911767</v>
      </c>
      <c r="EX408" s="269">
        <f t="shared" si="1052"/>
        <v>8849325.8789558839</v>
      </c>
      <c r="EY408" s="196">
        <f>'Detailed Budget'!$AC$219</f>
        <v>372777004.58170313</v>
      </c>
      <c r="EZ408" s="269">
        <f t="shared" si="1123"/>
        <v>124226.83640388038</v>
      </c>
      <c r="FA408" s="196">
        <f>'Detailed Budget'!$AC$222</f>
        <v>93194251.145425782</v>
      </c>
      <c r="FB408" s="269">
        <f t="shared" si="1124"/>
        <v>31056.709100970096</v>
      </c>
      <c r="FC408" s="269">
        <f t="shared" si="1053"/>
        <v>155283.54550485048</v>
      </c>
      <c r="FD408" s="269"/>
      <c r="FE408" s="269">
        <f t="shared" si="1054"/>
        <v>90762626.940219074</v>
      </c>
      <c r="FF408" s="140">
        <f>'Detailed Budget'!$AC$165</f>
        <v>14927760000</v>
      </c>
      <c r="FG408" s="1087">
        <f t="shared" si="1087"/>
        <v>123806231.07448323</v>
      </c>
      <c r="FH408" s="269">
        <f t="shared" si="1125"/>
        <v>16961436.200431772</v>
      </c>
      <c r="FJ408" s="140">
        <f>'Detailed Budget'!$AC$235</f>
        <v>3623696172</v>
      </c>
      <c r="FK408" s="269">
        <f t="shared" si="1126"/>
        <v>4681778</v>
      </c>
      <c r="FL408" s="269">
        <f t="shared" si="1088"/>
        <v>4681778</v>
      </c>
      <c r="FO408" s="607"/>
      <c r="FP408" s="607"/>
      <c r="FQ408" s="607"/>
      <c r="FR408" s="269">
        <f>'Detailed Budget'!$AC$257</f>
        <v>13636439388</v>
      </c>
      <c r="FS408" s="269">
        <f t="shared" si="1127"/>
        <v>10493028</v>
      </c>
      <c r="FT408" s="269">
        <f t="shared" si="1089"/>
        <v>10493028</v>
      </c>
      <c r="FU408" s="269"/>
      <c r="FV408" s="269"/>
      <c r="FW408" s="269"/>
      <c r="FX408" s="140">
        <f>'Detailed Budget'!$AC$278</f>
        <v>1114560000</v>
      </c>
      <c r="FY408" s="269">
        <f t="shared" si="1128"/>
        <v>1440000</v>
      </c>
      <c r="FZ408" s="269">
        <f t="shared" si="1090"/>
        <v>1440000</v>
      </c>
      <c r="GB408" s="269">
        <f t="shared" si="1098"/>
        <v>891080613.829283</v>
      </c>
      <c r="GC408" s="887">
        <f t="shared" si="1055"/>
        <v>556925.3836433019</v>
      </c>
      <c r="GD408" s="1078">
        <f t="shared" si="1099"/>
        <v>5.0001339174880321E-4</v>
      </c>
    </row>
    <row r="409" spans="1:186" hidden="1" outlineLevel="1">
      <c r="A409" s="211" t="s">
        <v>953</v>
      </c>
      <c r="B409" s="212" t="s">
        <v>954</v>
      </c>
      <c r="C409" s="213" t="s">
        <v>215</v>
      </c>
      <c r="D409" s="214" t="s">
        <v>215</v>
      </c>
      <c r="E409" s="213"/>
      <c r="F409" s="213"/>
      <c r="G409" s="213"/>
      <c r="H409" s="213" t="s">
        <v>215</v>
      </c>
      <c r="I409" s="214" t="s">
        <v>215</v>
      </c>
      <c r="J409" s="214"/>
      <c r="K409" s="213" t="s">
        <v>215</v>
      </c>
      <c r="L409" s="213"/>
      <c r="M409" s="214"/>
      <c r="N409" s="213"/>
      <c r="O409" s="214"/>
      <c r="P409" s="213"/>
      <c r="Q409" s="214"/>
      <c r="R409" s="214" t="s">
        <v>215</v>
      </c>
      <c r="S409" s="214"/>
      <c r="T409" s="214"/>
      <c r="U409" s="215">
        <f t="shared" si="1129"/>
        <v>6</v>
      </c>
      <c r="V409" s="845" t="s">
        <v>219</v>
      </c>
      <c r="W409" s="216">
        <v>189728</v>
      </c>
      <c r="X409" s="217">
        <v>3.17</v>
      </c>
      <c r="Y409" s="218">
        <f t="shared" si="1101"/>
        <v>1.0317000000000001</v>
      </c>
      <c r="Z409" s="196">
        <v>19</v>
      </c>
      <c r="AA409" s="218">
        <f t="shared" si="1102"/>
        <v>1.8093191519340412</v>
      </c>
      <c r="AB409" s="196">
        <f t="shared" si="1103"/>
        <v>343278.50405814179</v>
      </c>
      <c r="AC409">
        <v>20.2</v>
      </c>
      <c r="AD409" s="196">
        <f t="shared" si="1104"/>
        <v>69342.257819744642</v>
      </c>
      <c r="AE409" s="196">
        <f t="shared" si="990"/>
        <v>65875.144928757407</v>
      </c>
      <c r="AF409" s="196">
        <f t="shared" si="1130"/>
        <v>65875.144928757407</v>
      </c>
      <c r="AG409" s="606">
        <f t="shared" si="1058"/>
        <v>3.0457775042007319E-3</v>
      </c>
      <c r="AH409" s="196">
        <f t="shared" ref="AH409:AH428" si="1144">AB409*0.05</f>
        <v>17163.925202907089</v>
      </c>
      <c r="AI409" s="248">
        <f t="shared" si="1034"/>
        <v>1.3296632795823742E-3</v>
      </c>
      <c r="AJ409" s="196">
        <f t="shared" si="1038"/>
        <v>86506.183022651734</v>
      </c>
      <c r="AK409" s="196">
        <f t="shared" si="1067"/>
        <v>13731.140162325672</v>
      </c>
      <c r="AL409" s="196">
        <f t="shared" si="1068"/>
        <v>13731.140162325672</v>
      </c>
      <c r="AM409" s="196">
        <f t="shared" si="1039"/>
        <v>27462.280324651343</v>
      </c>
      <c r="AN409" s="627">
        <f t="shared" si="1040"/>
        <v>1.3296632795823744E-3</v>
      </c>
      <c r="AO409" s="196">
        <f t="shared" si="1041"/>
        <v>13044.583154209387</v>
      </c>
      <c r="AP409" s="589">
        <f t="shared" si="1059"/>
        <v>1.3296632795823742E-3</v>
      </c>
      <c r="AQ409" s="196"/>
      <c r="AR409" s="589"/>
      <c r="AS409">
        <v>1</v>
      </c>
      <c r="AT409" s="589">
        <f t="shared" si="1060"/>
        <v>1.2919896640826874E-3</v>
      </c>
      <c r="AU409" s="196">
        <v>11</v>
      </c>
      <c r="AV409" s="245">
        <f t="shared" si="1042"/>
        <v>1.2498579706851495E-3</v>
      </c>
      <c r="AX409" s="245"/>
      <c r="AY409" s="245"/>
      <c r="AZ409" s="196">
        <v>52</v>
      </c>
      <c r="BA409" s="589">
        <f t="shared" si="1092"/>
        <v>1.9053900553295958E-3</v>
      </c>
      <c r="BI409" s="196">
        <v>0</v>
      </c>
      <c r="BJ409" s="196">
        <f t="shared" si="1131"/>
        <v>181601.52161571928</v>
      </c>
      <c r="BK409" s="246">
        <f t="shared" si="1093"/>
        <v>3.4630314500826748E-3</v>
      </c>
      <c r="BL409" s="196">
        <f t="shared" ref="BL409:BL428" si="1145">BJ409/50</f>
        <v>3632.0304323143855</v>
      </c>
      <c r="BM409" s="246">
        <f t="shared" si="1094"/>
        <v>3.4630310538551982E-3</v>
      </c>
      <c r="BN409" s="196">
        <v>0</v>
      </c>
      <c r="BO409" s="196">
        <f t="shared" si="1132"/>
        <v>22746.503449241049</v>
      </c>
      <c r="BP409" s="196">
        <f t="shared" si="1043"/>
        <v>0</v>
      </c>
      <c r="BQ409" s="248">
        <f t="shared" si="1095"/>
        <v>0</v>
      </c>
      <c r="BR409" s="248"/>
      <c r="BS409" s="248"/>
      <c r="BT409" s="276">
        <v>1</v>
      </c>
      <c r="BU409" s="196">
        <f t="shared" ref="BU409:BU428" si="1146">AD409*BT409*0.18*4*1.16</f>
        <v>57914.653731050712</v>
      </c>
      <c r="BV409" s="264">
        <f t="shared" si="1096"/>
        <v>4.0170700822209455E-3</v>
      </c>
      <c r="BW409" s="196">
        <f t="shared" ref="BW409:BW428" si="1147">AD409*BT409*0.77*4*1.16</f>
        <v>247746.01873838363</v>
      </c>
      <c r="BX409" s="247">
        <f t="shared" si="1097"/>
        <v>4.017070118406867E-3</v>
      </c>
      <c r="BY409" s="196">
        <f t="shared" si="1100"/>
        <v>305660.67246943433</v>
      </c>
      <c r="BZ409" s="620">
        <v>0</v>
      </c>
      <c r="CA409" s="196">
        <f t="shared" si="1133"/>
        <v>105043.2222417914</v>
      </c>
      <c r="CB409" s="196">
        <f t="shared" si="1134"/>
        <v>210086.4444835828</v>
      </c>
      <c r="CC409" s="196">
        <f t="shared" si="1056"/>
        <v>315129.66672537418</v>
      </c>
      <c r="CD409" s="247">
        <f t="shared" si="1044"/>
        <v>1.3296632795823744E-3</v>
      </c>
      <c r="CE409" s="196">
        <f t="shared" si="1135"/>
        <v>21503.000637001816</v>
      </c>
      <c r="CF409" s="247">
        <f t="shared" si="1045"/>
        <v>9.2856644066937862E-4</v>
      </c>
      <c r="CG409" s="196">
        <f t="shared" si="1106"/>
        <v>52178.33261683755</v>
      </c>
      <c r="CH409" s="589">
        <f t="shared" si="1061"/>
        <v>1.3296632795823742E-3</v>
      </c>
      <c r="CI409" s="196">
        <f t="shared" si="1136"/>
        <v>79878.507587581524</v>
      </c>
      <c r="CJ409" s="248">
        <f t="shared" si="1062"/>
        <v>1.3132024619813801E-3</v>
      </c>
      <c r="CK409" s="196">
        <f t="shared" si="1137"/>
        <v>64492.764280038675</v>
      </c>
      <c r="CL409" s="589">
        <f t="shared" si="1063"/>
        <v>9.2709675212120785E-4</v>
      </c>
      <c r="CM409" s="196">
        <f t="shared" si="1138"/>
        <v>6247.7472814218145</v>
      </c>
      <c r="CN409" s="589">
        <f t="shared" si="1064"/>
        <v>9.0037138672051451E-4</v>
      </c>
      <c r="CO409" s="196">
        <f t="shared" si="1139"/>
        <v>499.81745209084227</v>
      </c>
      <c r="CP409" s="589">
        <f t="shared" si="1065"/>
        <v>9.4257872858309274E-4</v>
      </c>
      <c r="CQ409" s="196">
        <f>'Detailed Budget'!$AC$12</f>
        <v>292876014141.44696</v>
      </c>
      <c r="CR409" s="269">
        <f t="shared" si="1066"/>
        <v>1014238847.946689</v>
      </c>
      <c r="CS409" s="269">
        <f>'Detailed Budget'!$AC$16</f>
        <v>10488008800.000002</v>
      </c>
      <c r="CT409" s="607">
        <f t="shared" si="1108"/>
        <v>36320300.167506598</v>
      </c>
      <c r="CU409" s="269">
        <f>'Detailed Budget'!$AC$24</f>
        <v>30624985696</v>
      </c>
      <c r="CV409" s="269">
        <f t="shared" si="1091"/>
        <v>106055288.62358005</v>
      </c>
      <c r="CW409" s="269"/>
      <c r="CX409" s="269">
        <f t="shared" si="1057"/>
        <v>1156614436.7377756</v>
      </c>
      <c r="CY409" s="196">
        <f>'Detailed Budget'!$AC$97</f>
        <v>74629165494.837845</v>
      </c>
      <c r="CZ409" s="269">
        <f t="shared" si="1109"/>
        <v>0</v>
      </c>
      <c r="DA409" s="269">
        <f>'Detailed Budget'!$AC$100</f>
        <v>14925833098.967569</v>
      </c>
      <c r="DB409" s="269">
        <f t="shared" si="1110"/>
        <v>0</v>
      </c>
      <c r="DC409" s="269">
        <f t="shared" si="1046"/>
        <v>0</v>
      </c>
      <c r="DD409" s="207">
        <v>0</v>
      </c>
      <c r="DE409" s="606">
        <v>0</v>
      </c>
      <c r="DF409" s="269">
        <f>'Detailed Budget'!$AC$147</f>
        <v>5913600671000</v>
      </c>
      <c r="DG409" s="269">
        <f t="shared" si="1086"/>
        <v>0</v>
      </c>
      <c r="DH409" s="269">
        <f>'Detailed Budget'!$AC$153</f>
        <v>226428026880.00003</v>
      </c>
      <c r="DI409" s="269"/>
      <c r="DJ409" s="269">
        <f>'Detailed Budget'!$AC$156</f>
        <v>27713070000</v>
      </c>
      <c r="DK409" s="269"/>
      <c r="DL409" s="269"/>
      <c r="DM409" s="196">
        <f>'Detailed Budget'!$AC$178</f>
        <v>5622683761.6229038</v>
      </c>
      <c r="DN409" s="269">
        <f t="shared" si="1140"/>
        <v>22586714.720604893</v>
      </c>
      <c r="DO409" s="196">
        <f>'Detailed Budget'!$AC$179</f>
        <v>26827890683.128094</v>
      </c>
      <c r="DP409" s="269">
        <f t="shared" si="1141"/>
        <v>107769518.00307986</v>
      </c>
      <c r="DQ409" s="269">
        <f t="shared" si="1008"/>
        <v>130356232.72368476</v>
      </c>
      <c r="DR409" s="269">
        <f>'Detailed Budget'!$AC$181</f>
        <v>50888946855.375237</v>
      </c>
      <c r="DS409" s="269">
        <f t="shared" si="1142"/>
        <v>154996409.54456848</v>
      </c>
      <c r="DT409" s="269">
        <f t="shared" si="1143"/>
        <v>285352642.26825321</v>
      </c>
      <c r="DU409" s="272">
        <f>'Detailed Budget'!$AC$192</f>
        <v>77498869683.252869</v>
      </c>
      <c r="DV409" s="269">
        <f t="shared" si="1111"/>
        <v>0</v>
      </c>
      <c r="DW409" s="140">
        <f>'Detailed Budget'!$AC$194</f>
        <v>2684962805.4134097</v>
      </c>
      <c r="DX409" s="269">
        <f t="shared" si="1112"/>
        <v>0</v>
      </c>
      <c r="DY409" s="607">
        <f t="shared" si="1047"/>
        <v>0</v>
      </c>
      <c r="DZ409" s="196">
        <f>'Detailed Budget'!$AC$198</f>
        <v>18732540018.380611</v>
      </c>
      <c r="EA409" s="269">
        <f t="shared" si="1113"/>
        <v>17394408.009564381</v>
      </c>
      <c r="EB409" s="196">
        <f>'Detailed Budget'!$AC$200</f>
        <v>4683135004.5951529</v>
      </c>
      <c r="EC409" s="269">
        <f t="shared" si="1114"/>
        <v>4348602.0023910953</v>
      </c>
      <c r="ED409" s="269">
        <f t="shared" si="1048"/>
        <v>21743010.011955477</v>
      </c>
      <c r="EE409" s="196">
        <f>'Detailed Budget'!$AC$161</f>
        <v>251147290106.36197</v>
      </c>
      <c r="EF409" s="269">
        <f t="shared" si="1115"/>
        <v>333941329.4210512</v>
      </c>
      <c r="EG409" s="196">
        <f>'Detailed Budget'!$AC$163</f>
        <v>15696705631.647623</v>
      </c>
      <c r="EH409" s="269">
        <f t="shared" si="1116"/>
        <v>20871333.0888157</v>
      </c>
      <c r="EI409" s="269">
        <f t="shared" si="1049"/>
        <v>354812662.50986689</v>
      </c>
      <c r="EJ409" s="196">
        <f>'Detailed Budget'!$AC$204</f>
        <v>45012172507.531975</v>
      </c>
      <c r="EK409" s="269">
        <f t="shared" si="1117"/>
        <v>59110095.756021582</v>
      </c>
      <c r="EL409" s="201">
        <f>'Detailed Budget'!$AC$206</f>
        <v>11253043126.882994</v>
      </c>
      <c r="EM409" s="269">
        <f t="shared" si="1118"/>
        <v>14777523.939005395</v>
      </c>
      <c r="EN409" s="269">
        <f t="shared" si="1050"/>
        <v>73887619.695026979</v>
      </c>
      <c r="EO409" s="140">
        <f>'Detailed Budget'!$AC$209</f>
        <v>135789361677.54817</v>
      </c>
      <c r="EP409" s="269">
        <f t="shared" si="1119"/>
        <v>125889876.18386692</v>
      </c>
      <c r="EQ409" s="196">
        <f>'Detailed Budget'!$AC$211</f>
        <v>33947340419.387043</v>
      </c>
      <c r="ER409" s="269">
        <f t="shared" si="1120"/>
        <v>31472469.04596673</v>
      </c>
      <c r="ES409" s="269">
        <f t="shared" si="1051"/>
        <v>157362345.22983366</v>
      </c>
      <c r="ET409" s="196">
        <f>'Detailed Budget'!$AC$214</f>
        <v>22239745544.201103</v>
      </c>
      <c r="EU409" s="269">
        <f t="shared" si="1121"/>
        <v>20024030.535943732</v>
      </c>
      <c r="EV409" s="140">
        <f>'Detailed Budget'!$AC$217</f>
        <v>5559936386.0502758</v>
      </c>
      <c r="EW409" s="269">
        <f t="shared" si="1122"/>
        <v>5006007.6339859329</v>
      </c>
      <c r="EX409" s="269">
        <f t="shared" si="1052"/>
        <v>25030038.169929665</v>
      </c>
      <c r="EY409" s="196">
        <f>'Detailed Budget'!$AC$219</f>
        <v>372777004.58170313</v>
      </c>
      <c r="EZ409" s="269">
        <f t="shared" si="1123"/>
        <v>351371.6750236355</v>
      </c>
      <c r="FA409" s="196">
        <f>'Detailed Budget'!$AC$222</f>
        <v>93194251.145425782</v>
      </c>
      <c r="FB409" s="269">
        <f t="shared" si="1124"/>
        <v>87842.918755908875</v>
      </c>
      <c r="FC409" s="269">
        <f t="shared" si="1053"/>
        <v>439214.59377954435</v>
      </c>
      <c r="FD409" s="269"/>
      <c r="FE409" s="269">
        <f t="shared" si="1054"/>
        <v>256719217.68856984</v>
      </c>
      <c r="FF409" s="140">
        <f>'Detailed Budget'!$AC$165</f>
        <v>14927760000</v>
      </c>
      <c r="FG409" s="1087">
        <f t="shared" si="1087"/>
        <v>350182006.16147703</v>
      </c>
      <c r="FH409" s="269">
        <f t="shared" si="1125"/>
        <v>18657579.820474949</v>
      </c>
      <c r="FJ409" s="140">
        <f>'Detailed Budget'!$AC$235</f>
        <v>3623696172</v>
      </c>
      <c r="FK409" s="269">
        <f t="shared" si="1126"/>
        <v>4681778</v>
      </c>
      <c r="FL409" s="269">
        <f t="shared" si="1088"/>
        <v>4681778</v>
      </c>
      <c r="FO409" s="607"/>
      <c r="FP409" s="607"/>
      <c r="FQ409" s="607"/>
      <c r="FR409" s="269">
        <f>'Detailed Budget'!$AC$257</f>
        <v>13636439388</v>
      </c>
      <c r="FS409" s="269">
        <f t="shared" si="1127"/>
        <v>25982736</v>
      </c>
      <c r="FT409" s="269">
        <f t="shared" si="1089"/>
        <v>25982736</v>
      </c>
      <c r="FU409" s="269"/>
      <c r="FV409" s="269"/>
      <c r="FW409" s="269"/>
      <c r="FX409" s="140">
        <f>'Detailed Budget'!$AC$278</f>
        <v>1114560000</v>
      </c>
      <c r="FY409" s="269">
        <f t="shared" si="1128"/>
        <v>1440000</v>
      </c>
      <c r="FZ409" s="269">
        <f t="shared" si="1090"/>
        <v>1440000</v>
      </c>
      <c r="GB409" s="269">
        <f t="shared" si="1098"/>
        <v>2476186069.1983728</v>
      </c>
      <c r="GC409" s="887">
        <f t="shared" si="1055"/>
        <v>1547616.2932489831</v>
      </c>
      <c r="GD409" s="1078">
        <f t="shared" si="1099"/>
        <v>1.3894659763052826E-3</v>
      </c>
    </row>
    <row r="410" spans="1:186" hidden="1" outlineLevel="1">
      <c r="A410" s="211" t="s">
        <v>955</v>
      </c>
      <c r="B410" s="212" t="s">
        <v>956</v>
      </c>
      <c r="C410" s="213" t="s">
        <v>215</v>
      </c>
      <c r="D410" s="214" t="s">
        <v>215</v>
      </c>
      <c r="E410" s="213"/>
      <c r="F410" s="213"/>
      <c r="G410" s="213"/>
      <c r="H410" s="213" t="s">
        <v>215</v>
      </c>
      <c r="I410" s="214"/>
      <c r="J410" s="214" t="s">
        <v>215</v>
      </c>
      <c r="K410" s="213"/>
      <c r="L410" s="213" t="s">
        <v>215</v>
      </c>
      <c r="M410" s="214"/>
      <c r="N410" s="213"/>
      <c r="O410" s="214"/>
      <c r="P410" s="213"/>
      <c r="Q410" s="214"/>
      <c r="R410" s="214" t="s">
        <v>215</v>
      </c>
      <c r="S410" s="214"/>
      <c r="T410" s="214"/>
      <c r="U410" s="215">
        <f t="shared" si="1129"/>
        <v>6</v>
      </c>
      <c r="V410" s="845" t="s">
        <v>957</v>
      </c>
      <c r="W410" s="216">
        <v>200248</v>
      </c>
      <c r="X410" s="217">
        <v>3.17</v>
      </c>
      <c r="Y410" s="218">
        <f t="shared" si="1101"/>
        <v>1.0317000000000001</v>
      </c>
      <c r="Z410" s="196">
        <v>19</v>
      </c>
      <c r="AA410" s="218">
        <f t="shared" si="1102"/>
        <v>1.8093191519340412</v>
      </c>
      <c r="AB410" s="196">
        <f t="shared" si="1103"/>
        <v>362312.54153648787</v>
      </c>
      <c r="AC410">
        <v>20.2</v>
      </c>
      <c r="AD410" s="196">
        <f t="shared" si="1104"/>
        <v>73187.133390370553</v>
      </c>
      <c r="AE410" s="196">
        <f t="shared" ref="AE410:AE475" si="1148">AD410*0.95</f>
        <v>69527.776720852024</v>
      </c>
      <c r="AF410" s="196">
        <f t="shared" si="1130"/>
        <v>69527.776720852024</v>
      </c>
      <c r="AG410" s="606">
        <f t="shared" si="1058"/>
        <v>3.2146591629131607E-3</v>
      </c>
      <c r="AH410" s="196">
        <f t="shared" si="1144"/>
        <v>18115.627076824396</v>
      </c>
      <c r="AI410" s="248">
        <f t="shared" si="1034"/>
        <v>1.403390181785563E-3</v>
      </c>
      <c r="AJ410" s="196">
        <f t="shared" si="1038"/>
        <v>91302.760467194952</v>
      </c>
      <c r="AK410" s="196">
        <f t="shared" si="1067"/>
        <v>14492.501661459515</v>
      </c>
      <c r="AL410" s="196">
        <f t="shared" si="1068"/>
        <v>14492.501661459515</v>
      </c>
      <c r="AM410" s="196">
        <f t="shared" si="1039"/>
        <v>28985.00332291903</v>
      </c>
      <c r="AN410" s="627">
        <f t="shared" si="1040"/>
        <v>1.403390181785563E-3</v>
      </c>
      <c r="AO410" s="196">
        <f t="shared" si="1041"/>
        <v>13767.876578386538</v>
      </c>
      <c r="AP410" s="589">
        <f t="shared" si="1059"/>
        <v>1.4033901817855628E-3</v>
      </c>
      <c r="AQ410" s="196"/>
      <c r="AR410" s="589"/>
      <c r="AS410">
        <v>1</v>
      </c>
      <c r="AT410" s="589">
        <f t="shared" si="1060"/>
        <v>1.2919896640826874E-3</v>
      </c>
      <c r="AU410" s="196">
        <v>11</v>
      </c>
      <c r="AV410" s="245">
        <f t="shared" si="1042"/>
        <v>1.2498579706851495E-3</v>
      </c>
      <c r="AX410" s="245"/>
      <c r="AY410" s="245"/>
      <c r="AZ410" s="196">
        <v>47</v>
      </c>
      <c r="BA410" s="589">
        <f t="shared" si="1092"/>
        <v>1.7221794730863656E-3</v>
      </c>
      <c r="BI410" s="196">
        <v>0</v>
      </c>
      <c r="BJ410" s="196">
        <f t="shared" si="1131"/>
        <v>191670.92627606128</v>
      </c>
      <c r="BK410" s="246">
        <f t="shared" si="1093"/>
        <v>3.6550489216992509E-3</v>
      </c>
      <c r="BL410" s="196">
        <f t="shared" si="1145"/>
        <v>3833.4185255212255</v>
      </c>
      <c r="BM410" s="246">
        <f t="shared" si="1094"/>
        <v>3.6550485035018328E-3</v>
      </c>
      <c r="BN410" s="196">
        <v>0</v>
      </c>
      <c r="BO410" s="196">
        <f t="shared" si="1132"/>
        <v>24007.746999407686</v>
      </c>
      <c r="BP410" s="196">
        <f t="shared" si="1043"/>
        <v>0</v>
      </c>
      <c r="BQ410" s="248">
        <f t="shared" si="1095"/>
        <v>0</v>
      </c>
      <c r="BR410" s="248"/>
      <c r="BS410" s="248"/>
      <c r="BT410" s="276">
        <v>1</v>
      </c>
      <c r="BU410" s="196">
        <f t="shared" si="1146"/>
        <v>61125.893807637483</v>
      </c>
      <c r="BV410" s="264">
        <f t="shared" si="1096"/>
        <v>4.2398077765252356E-3</v>
      </c>
      <c r="BW410" s="196">
        <f t="shared" si="1147"/>
        <v>261482.99017711589</v>
      </c>
      <c r="BX410" s="247">
        <f t="shared" si="1097"/>
        <v>4.2398078147175859E-3</v>
      </c>
      <c r="BY410" s="196">
        <f t="shared" si="1100"/>
        <v>322608.8839847534</v>
      </c>
      <c r="BZ410" s="620">
        <v>0</v>
      </c>
      <c r="CA410" s="196">
        <f t="shared" si="1133"/>
        <v>110867.63771016531</v>
      </c>
      <c r="CB410" s="196">
        <f t="shared" si="1134"/>
        <v>221735.27542033061</v>
      </c>
      <c r="CC410" s="196">
        <f t="shared" si="1056"/>
        <v>332602.91313049593</v>
      </c>
      <c r="CD410" s="247">
        <f t="shared" si="1044"/>
        <v>1.4033901817855632E-3</v>
      </c>
      <c r="CE410" s="196">
        <f t="shared" si="1135"/>
        <v>22695.294693236319</v>
      </c>
      <c r="CF410" s="247">
        <f t="shared" si="1045"/>
        <v>9.8005340598731738E-4</v>
      </c>
      <c r="CG410" s="196">
        <f t="shared" si="1106"/>
        <v>55071.506313546153</v>
      </c>
      <c r="CH410" s="589">
        <f t="shared" si="1061"/>
        <v>1.4033901817855628E-3</v>
      </c>
      <c r="CI410" s="196">
        <f t="shared" si="1136"/>
        <v>84307.595017066662</v>
      </c>
      <c r="CJ410" s="248">
        <f t="shared" si="1062"/>
        <v>1.3860166480796055E-3</v>
      </c>
      <c r="CK410" s="196">
        <f t="shared" si="1137"/>
        <v>68068.746107844825</v>
      </c>
      <c r="CL410" s="589">
        <f t="shared" si="1063"/>
        <v>9.7850222644400202E-4</v>
      </c>
      <c r="CM410" s="196">
        <f t="shared" si="1138"/>
        <v>6594.1711165993174</v>
      </c>
      <c r="CN410" s="589">
        <f t="shared" si="1064"/>
        <v>9.5029499835559098E-4</v>
      </c>
      <c r="CO410" s="196">
        <f t="shared" si="1139"/>
        <v>527.53122968822197</v>
      </c>
      <c r="CP410" s="589">
        <f t="shared" si="1065"/>
        <v>9.9484264442416064E-4</v>
      </c>
      <c r="CQ410" s="196">
        <f>'Detailed Budget'!$AC$12</f>
        <v>292876014141.44696</v>
      </c>
      <c r="CR410" s="269">
        <f t="shared" si="1066"/>
        <v>1070476159.6792703</v>
      </c>
      <c r="CS410" s="269">
        <f>'Detailed Budget'!$AC$16</f>
        <v>10488008800.000002</v>
      </c>
      <c r="CT410" s="607">
        <f t="shared" si="1108"/>
        <v>38334180.869154058</v>
      </c>
      <c r="CU410" s="269">
        <f>'Detailed Budget'!$AC$24</f>
        <v>30624985696</v>
      </c>
      <c r="CV410" s="269">
        <f t="shared" si="1091"/>
        <v>111935820.94521978</v>
      </c>
      <c r="CW410" s="269"/>
      <c r="CX410" s="269">
        <f t="shared" si="1057"/>
        <v>1220746161.493644</v>
      </c>
      <c r="CY410" s="196">
        <f>'Detailed Budget'!$AC$97</f>
        <v>74629165494.837845</v>
      </c>
      <c r="CZ410" s="269">
        <f t="shared" si="1109"/>
        <v>0</v>
      </c>
      <c r="DA410" s="269">
        <f>'Detailed Budget'!$AC$100</f>
        <v>14925833098.967569</v>
      </c>
      <c r="DB410" s="269">
        <f t="shared" si="1110"/>
        <v>0</v>
      </c>
      <c r="DC410" s="269">
        <f t="shared" si="1046"/>
        <v>0</v>
      </c>
      <c r="DD410" s="207">
        <v>0</v>
      </c>
      <c r="DE410" s="606">
        <v>0</v>
      </c>
      <c r="DF410" s="269">
        <f>'Detailed Budget'!$AC$147</f>
        <v>5913600671000</v>
      </c>
      <c r="DG410" s="269">
        <f t="shared" si="1086"/>
        <v>0</v>
      </c>
      <c r="DH410" s="269">
        <f>'Detailed Budget'!$AC$153</f>
        <v>226428026880.00003</v>
      </c>
      <c r="DI410" s="269"/>
      <c r="DJ410" s="269">
        <f>'Detailed Budget'!$AC$156</f>
        <v>27713070000</v>
      </c>
      <c r="DK410" s="269"/>
      <c r="DL410" s="269"/>
      <c r="DM410" s="196">
        <f>'Detailed Budget'!$AC$178</f>
        <v>5622683761.6229038</v>
      </c>
      <c r="DN410" s="269">
        <f t="shared" si="1140"/>
        <v>23839098.337470952</v>
      </c>
      <c r="DO410" s="196">
        <f>'Detailed Budget'!$AC$179</f>
        <v>26827890683.128094</v>
      </c>
      <c r="DP410" s="269">
        <f t="shared" si="1141"/>
        <v>113745100.57071561</v>
      </c>
      <c r="DQ410" s="269">
        <f t="shared" si="1008"/>
        <v>137584198.90818655</v>
      </c>
      <c r="DR410" s="269">
        <f>'Detailed Budget'!$AC$181</f>
        <v>50888946855.375237</v>
      </c>
      <c r="DS410" s="269">
        <f t="shared" si="1142"/>
        <v>163590619.29963288</v>
      </c>
      <c r="DT410" s="269">
        <f t="shared" si="1143"/>
        <v>301174818.20781946</v>
      </c>
      <c r="DU410" s="272">
        <f>'Detailed Budget'!$AC$192</f>
        <v>77498869683.252869</v>
      </c>
      <c r="DV410" s="269">
        <f t="shared" si="1111"/>
        <v>0</v>
      </c>
      <c r="DW410" s="140">
        <f>'Detailed Budget'!$AC$194</f>
        <v>2684962805.4134097</v>
      </c>
      <c r="DX410" s="269">
        <f t="shared" si="1112"/>
        <v>0</v>
      </c>
      <c r="DY410" s="607">
        <f t="shared" si="1047"/>
        <v>0</v>
      </c>
      <c r="DZ410" s="196">
        <f>'Detailed Budget'!$AC$198</f>
        <v>18732540018.380611</v>
      </c>
      <c r="EA410" s="269">
        <f t="shared" si="1113"/>
        <v>18358889.647807643</v>
      </c>
      <c r="EB410" s="196">
        <f>'Detailed Budget'!$AC$200</f>
        <v>4683135004.5951529</v>
      </c>
      <c r="EC410" s="269">
        <f t="shared" si="1114"/>
        <v>4589722.4119519107</v>
      </c>
      <c r="ED410" s="269">
        <f t="shared" si="1048"/>
        <v>22948612.059759554</v>
      </c>
      <c r="EE410" s="196">
        <f>'Detailed Budget'!$AC$161</f>
        <v>251147290106.36197</v>
      </c>
      <c r="EF410" s="269">
        <f t="shared" si="1115"/>
        <v>352457641.11731881</v>
      </c>
      <c r="EG410" s="196">
        <f>'Detailed Budget'!$AC$163</f>
        <v>15696705631.647623</v>
      </c>
      <c r="EH410" s="269">
        <f t="shared" si="1116"/>
        <v>22028602.569832426</v>
      </c>
      <c r="EI410" s="269">
        <f t="shared" si="1049"/>
        <v>374486243.68715125</v>
      </c>
      <c r="EJ410" s="196">
        <f>'Detailed Budget'!$AC$204</f>
        <v>45012172507.531975</v>
      </c>
      <c r="EK410" s="269">
        <f t="shared" si="1117"/>
        <v>62387620.461670436</v>
      </c>
      <c r="EL410" s="201">
        <f>'Detailed Budget'!$AC$206</f>
        <v>11253043126.882994</v>
      </c>
      <c r="EM410" s="269">
        <f t="shared" si="1118"/>
        <v>15596905.115417609</v>
      </c>
      <c r="EN410" s="269">
        <f t="shared" si="1050"/>
        <v>77984525.577088043</v>
      </c>
      <c r="EO410" s="140">
        <f>'Detailed Budget'!$AC$209</f>
        <v>135789361677.54817</v>
      </c>
      <c r="EP410" s="269">
        <f t="shared" si="1119"/>
        <v>132870192.72889073</v>
      </c>
      <c r="EQ410" s="196">
        <f>'Detailed Budget'!$AC$211</f>
        <v>33947340419.387043</v>
      </c>
      <c r="ER410" s="269">
        <f t="shared" si="1120"/>
        <v>33217548.182222683</v>
      </c>
      <c r="ES410" s="269">
        <f t="shared" si="1051"/>
        <v>166087740.91111341</v>
      </c>
      <c r="ET410" s="196">
        <f>'Detailed Budget'!$AC$214</f>
        <v>22239745544.201103</v>
      </c>
      <c r="EU410" s="269">
        <f t="shared" si="1121"/>
        <v>21134318.95535535</v>
      </c>
      <c r="EV410" s="140">
        <f>'Detailed Budget'!$AC$217</f>
        <v>5559936386.0502758</v>
      </c>
      <c r="EW410" s="269">
        <f t="shared" si="1122"/>
        <v>5283579.7388388375</v>
      </c>
      <c r="EX410" s="269">
        <f t="shared" si="1052"/>
        <v>26417898.694194186</v>
      </c>
      <c r="EY410" s="196">
        <f>'Detailed Budget'!$AC$219</f>
        <v>372777004.58170313</v>
      </c>
      <c r="EZ410" s="269">
        <f t="shared" si="1123"/>
        <v>370854.46101857896</v>
      </c>
      <c r="FA410" s="196">
        <f>'Detailed Budget'!$AC$222</f>
        <v>93194251.145425782</v>
      </c>
      <c r="FB410" s="269">
        <f t="shared" si="1124"/>
        <v>92713.615254644741</v>
      </c>
      <c r="FC410" s="269">
        <f t="shared" si="1053"/>
        <v>463568.07627322373</v>
      </c>
      <c r="FD410" s="269"/>
      <c r="FE410" s="269">
        <f t="shared" si="1054"/>
        <v>270953733.25866884</v>
      </c>
      <c r="FF410" s="140">
        <f>'Detailed Budget'!$AC$165</f>
        <v>14927760000</v>
      </c>
      <c r="FG410" s="1087">
        <f t="shared" si="1087"/>
        <v>369598827.63652933</v>
      </c>
      <c r="FH410" s="269">
        <f t="shared" si="1125"/>
        <v>18657579.820474949</v>
      </c>
      <c r="FJ410" s="140">
        <f>'Detailed Budget'!$AC$235</f>
        <v>3623696172</v>
      </c>
      <c r="FK410" s="269">
        <f t="shared" si="1126"/>
        <v>4681778</v>
      </c>
      <c r="FL410" s="269">
        <f t="shared" si="1088"/>
        <v>4681778</v>
      </c>
      <c r="FO410" s="607"/>
      <c r="FP410" s="607"/>
      <c r="FQ410" s="607"/>
      <c r="FR410" s="269">
        <f>'Detailed Budget'!$AC$257</f>
        <v>13636439388</v>
      </c>
      <c r="FS410" s="269">
        <f t="shared" si="1127"/>
        <v>23484396</v>
      </c>
      <c r="FT410" s="269">
        <f t="shared" si="1089"/>
        <v>23484396</v>
      </c>
      <c r="FU410" s="269"/>
      <c r="FV410" s="269"/>
      <c r="FW410" s="269"/>
      <c r="FX410" s="140">
        <f>'Detailed Budget'!$AC$278</f>
        <v>1114560000</v>
      </c>
      <c r="FY410" s="269">
        <f t="shared" si="1128"/>
        <v>1440000</v>
      </c>
      <c r="FZ410" s="269">
        <f t="shared" si="1090"/>
        <v>1440000</v>
      </c>
      <c r="GB410" s="269">
        <f t="shared" si="1098"/>
        <v>2608172150.1640477</v>
      </c>
      <c r="GC410" s="887">
        <f t="shared" si="1055"/>
        <v>1630107.5938525298</v>
      </c>
      <c r="GD410" s="1078">
        <f t="shared" si="1099"/>
        <v>1.4635275224584153E-3</v>
      </c>
    </row>
    <row r="411" spans="1:186" hidden="1" outlineLevel="1">
      <c r="A411" s="211" t="s">
        <v>958</v>
      </c>
      <c r="B411" s="212" t="s">
        <v>959</v>
      </c>
      <c r="C411" s="213" t="s">
        <v>215</v>
      </c>
      <c r="D411" s="214" t="s">
        <v>215</v>
      </c>
      <c r="E411" s="213"/>
      <c r="F411" s="213"/>
      <c r="G411" s="213"/>
      <c r="H411" s="213" t="s">
        <v>215</v>
      </c>
      <c r="I411" s="214"/>
      <c r="J411" s="214" t="s">
        <v>215</v>
      </c>
      <c r="K411" s="213"/>
      <c r="L411" s="213" t="s">
        <v>215</v>
      </c>
      <c r="M411" s="214"/>
      <c r="N411" s="213"/>
      <c r="O411" s="214"/>
      <c r="P411" s="213"/>
      <c r="Q411" s="214"/>
      <c r="R411" s="214" t="s">
        <v>215</v>
      </c>
      <c r="S411" s="214"/>
      <c r="T411" s="214"/>
      <c r="U411" s="215">
        <f t="shared" si="1129"/>
        <v>6</v>
      </c>
      <c r="V411" s="845" t="s">
        <v>957</v>
      </c>
      <c r="W411" s="216">
        <v>116368</v>
      </c>
      <c r="X411" s="217">
        <v>3.17</v>
      </c>
      <c r="Y411" s="218">
        <f t="shared" si="1101"/>
        <v>1.0317000000000001</v>
      </c>
      <c r="Z411" s="196">
        <v>19</v>
      </c>
      <c r="AA411" s="218">
        <f t="shared" si="1102"/>
        <v>1.8093191519340412</v>
      </c>
      <c r="AB411" s="196">
        <f t="shared" si="1103"/>
        <v>210546.8510722605</v>
      </c>
      <c r="AC411">
        <v>20.2</v>
      </c>
      <c r="AD411" s="196">
        <f t="shared" si="1104"/>
        <v>42530.463916596622</v>
      </c>
      <c r="AE411" s="196">
        <f t="shared" si="1148"/>
        <v>40403.94072076679</v>
      </c>
      <c r="AF411" s="196">
        <f t="shared" si="1130"/>
        <v>40403.94072076679</v>
      </c>
      <c r="AG411" s="606">
        <f t="shared" si="1058"/>
        <v>1.8681008423049354E-3</v>
      </c>
      <c r="AH411" s="196">
        <f t="shared" si="1144"/>
        <v>10527.342553613025</v>
      </c>
      <c r="AI411" s="248">
        <f t="shared" si="1034"/>
        <v>8.1553727714645029E-4</v>
      </c>
      <c r="AJ411" s="196">
        <f t="shared" si="1038"/>
        <v>53057.806470209645</v>
      </c>
      <c r="AK411" s="196">
        <f t="shared" si="1067"/>
        <v>8421.8740428904202</v>
      </c>
      <c r="AL411" s="196">
        <f t="shared" si="1068"/>
        <v>8421.8740428904202</v>
      </c>
      <c r="AM411" s="196">
        <f t="shared" si="1039"/>
        <v>16843.74808578084</v>
      </c>
      <c r="AN411" s="627">
        <f t="shared" si="1040"/>
        <v>8.1553727714645029E-4</v>
      </c>
      <c r="AO411" s="196">
        <f t="shared" si="1041"/>
        <v>8000.7803407458987</v>
      </c>
      <c r="AP411" s="589">
        <f t="shared" si="1059"/>
        <v>8.1553727714645029E-4</v>
      </c>
      <c r="AQ411" s="196"/>
      <c r="AR411" s="589"/>
      <c r="AS411">
        <v>1</v>
      </c>
      <c r="AT411" s="589">
        <f t="shared" si="1060"/>
        <v>1.2919896640826874E-3</v>
      </c>
      <c r="AU411" s="196">
        <v>10</v>
      </c>
      <c r="AV411" s="245">
        <f t="shared" si="1042"/>
        <v>1.1362345188046814E-3</v>
      </c>
      <c r="AX411" s="245"/>
      <c r="AY411" s="245"/>
      <c r="AZ411" s="196">
        <v>38</v>
      </c>
      <c r="BA411" s="589">
        <f t="shared" si="1092"/>
        <v>1.3924004250485508E-3</v>
      </c>
      <c r="BI411" s="196">
        <v>0</v>
      </c>
      <c r="BJ411" s="196">
        <f t="shared" si="1131"/>
        <v>111383.69596147128</v>
      </c>
      <c r="BK411" s="246">
        <f t="shared" si="1093"/>
        <v>2.1240198799503539E-3</v>
      </c>
      <c r="BL411" s="196">
        <f t="shared" si="1145"/>
        <v>2227.6739192294258</v>
      </c>
      <c r="BM411" s="246">
        <f t="shared" si="1094"/>
        <v>2.1240196369277163E-3</v>
      </c>
      <c r="BN411" s="196">
        <v>0</v>
      </c>
      <c r="BO411" s="196">
        <f t="shared" si="1132"/>
        <v>13951.367818040995</v>
      </c>
      <c r="BP411" s="196">
        <f t="shared" si="1043"/>
        <v>0</v>
      </c>
      <c r="BQ411" s="248">
        <f t="shared" si="1095"/>
        <v>0</v>
      </c>
      <c r="BR411" s="248"/>
      <c r="BS411" s="248"/>
      <c r="BT411" s="276">
        <v>1</v>
      </c>
      <c r="BU411" s="196">
        <f t="shared" si="1146"/>
        <v>35521.443463141499</v>
      </c>
      <c r="BV411" s="264">
        <f t="shared" si="1096"/>
        <v>2.4638346017872271E-3</v>
      </c>
      <c r="BW411" s="196">
        <f t="shared" si="1147"/>
        <v>151952.8414812164</v>
      </c>
      <c r="BX411" s="247">
        <f t="shared" si="1097"/>
        <v>2.4638346239815433E-3</v>
      </c>
      <c r="BY411" s="196">
        <f t="shared" si="1100"/>
        <v>187474.2849443579</v>
      </c>
      <c r="BZ411" s="620">
        <v>0</v>
      </c>
      <c r="CA411" s="196">
        <f t="shared" si="1133"/>
        <v>64427.33642811171</v>
      </c>
      <c r="CB411" s="196">
        <f t="shared" si="1134"/>
        <v>128854.67285622342</v>
      </c>
      <c r="CC411" s="196">
        <f t="shared" si="1056"/>
        <v>193282.00928433513</v>
      </c>
      <c r="CD411" s="247">
        <f t="shared" si="1044"/>
        <v>8.1553727714645029E-4</v>
      </c>
      <c r="CE411" s="196">
        <f t="shared" si="1135"/>
        <v>13188.676305693558</v>
      </c>
      <c r="CF411" s="247">
        <f t="shared" si="1045"/>
        <v>5.6952805894656695E-4</v>
      </c>
      <c r="CG411" s="196">
        <f t="shared" si="1106"/>
        <v>32003.121362983595</v>
      </c>
      <c r="CH411" s="589">
        <f t="shared" si="1061"/>
        <v>8.1553727714645029E-4</v>
      </c>
      <c r="CI411" s="196">
        <f t="shared" si="1136"/>
        <v>48992.780037483586</v>
      </c>
      <c r="CJ411" s="248">
        <f t="shared" si="1062"/>
        <v>8.0544117945611203E-4</v>
      </c>
      <c r="CK411" s="196">
        <f t="shared" si="1137"/>
        <v>39556.069708949341</v>
      </c>
      <c r="CL411" s="589">
        <f t="shared" si="1063"/>
        <v>5.6862663840255903E-4</v>
      </c>
      <c r="CM411" s="196">
        <f t="shared" si="1138"/>
        <v>3832.000841438763</v>
      </c>
      <c r="CN411" s="589">
        <f t="shared" si="1064"/>
        <v>5.5223487060366856E-4</v>
      </c>
      <c r="CO411" s="196">
        <f t="shared" si="1139"/>
        <v>306.5586379707114</v>
      </c>
      <c r="CP411" s="589">
        <f t="shared" si="1065"/>
        <v>5.7812237248986624E-4</v>
      </c>
      <c r="CQ411" s="196">
        <f>'Detailed Budget'!$AC$12</f>
        <v>292876014141.44696</v>
      </c>
      <c r="CR411" s="269">
        <f t="shared" si="1066"/>
        <v>622074476.39705431</v>
      </c>
      <c r="CS411" s="269">
        <f>'Detailed Budget'!$AC$16</f>
        <v>10488008800.000002</v>
      </c>
      <c r="CT411" s="607">
        <f t="shared" si="1108"/>
        <v>22276736.643470697</v>
      </c>
      <c r="CU411" s="269">
        <f>'Detailed Budget'!$AC$24</f>
        <v>30624985696</v>
      </c>
      <c r="CV411" s="269">
        <f t="shared" si="1091"/>
        <v>65048078.441499226</v>
      </c>
      <c r="CW411" s="269"/>
      <c r="CX411" s="269">
        <f t="shared" si="1057"/>
        <v>709399291.48202419</v>
      </c>
      <c r="CY411" s="196">
        <f>'Detailed Budget'!$AC$97</f>
        <v>74629165494.837845</v>
      </c>
      <c r="CZ411" s="269">
        <f t="shared" si="1109"/>
        <v>0</v>
      </c>
      <c r="DA411" s="269">
        <f>'Detailed Budget'!$AC$100</f>
        <v>14925833098.967569</v>
      </c>
      <c r="DB411" s="269">
        <f t="shared" si="1110"/>
        <v>0</v>
      </c>
      <c r="DC411" s="269">
        <f t="shared" si="1046"/>
        <v>0</v>
      </c>
      <c r="DD411" s="207">
        <v>0</v>
      </c>
      <c r="DE411" s="606">
        <v>0</v>
      </c>
      <c r="DF411" s="269">
        <f>'Detailed Budget'!$AC$147</f>
        <v>5913600671000</v>
      </c>
      <c r="DG411" s="269">
        <f t="shared" si="1086"/>
        <v>0</v>
      </c>
      <c r="DH411" s="269">
        <f>'Detailed Budget'!$AC$153</f>
        <v>226428026880.00003</v>
      </c>
      <c r="DI411" s="269"/>
      <c r="DJ411" s="269">
        <f>'Detailed Budget'!$AC$156</f>
        <v>27713070000</v>
      </c>
      <c r="DK411" s="269"/>
      <c r="DL411" s="269"/>
      <c r="DM411" s="196">
        <f>'Detailed Budget'!$AC$178</f>
        <v>5622683761.6229038</v>
      </c>
      <c r="DN411" s="269">
        <f t="shared" si="1140"/>
        <v>13853362.806793675</v>
      </c>
      <c r="DO411" s="196">
        <f>'Detailed Budget'!$AC$179</f>
        <v>26827890683.128094</v>
      </c>
      <c r="DP411" s="269">
        <f t="shared" si="1141"/>
        <v>66099485.953482859</v>
      </c>
      <c r="DQ411" s="269">
        <f t="shared" si="1008"/>
        <v>79952848.760276526</v>
      </c>
      <c r="DR411" s="269">
        <f>'Detailed Budget'!$AC$181</f>
        <v>50888946855.375237</v>
      </c>
      <c r="DS411" s="269">
        <f t="shared" si="1142"/>
        <v>95065684.484537572</v>
      </c>
      <c r="DT411" s="269">
        <f t="shared" si="1143"/>
        <v>175018533.2448141</v>
      </c>
      <c r="DU411" s="272">
        <f>'Detailed Budget'!$AC$192</f>
        <v>77498869683.252869</v>
      </c>
      <c r="DV411" s="269">
        <f t="shared" si="1111"/>
        <v>0</v>
      </c>
      <c r="DW411" s="140">
        <f>'Detailed Budget'!$AC$194</f>
        <v>2684962805.4134097</v>
      </c>
      <c r="DX411" s="269">
        <f t="shared" si="1112"/>
        <v>0</v>
      </c>
      <c r="DY411" s="607">
        <f t="shared" si="1047"/>
        <v>0</v>
      </c>
      <c r="DZ411" s="196">
        <f>'Detailed Budget'!$AC$198</f>
        <v>18732540018.380611</v>
      </c>
      <c r="EA411" s="269">
        <f t="shared" si="1113"/>
        <v>10668707.155807197</v>
      </c>
      <c r="EB411" s="196">
        <f>'Detailed Budget'!$AC$200</f>
        <v>4683135004.5951529</v>
      </c>
      <c r="EC411" s="269">
        <f t="shared" si="1114"/>
        <v>2667176.7889517993</v>
      </c>
      <c r="ED411" s="269">
        <f t="shared" si="1048"/>
        <v>13335883.944758996</v>
      </c>
      <c r="EE411" s="196">
        <f>'Detailed Budget'!$AC$161</f>
        <v>251147290106.36197</v>
      </c>
      <c r="EF411" s="269">
        <f t="shared" si="1115"/>
        <v>204819977.13605207</v>
      </c>
      <c r="EG411" s="196">
        <f>'Detailed Budget'!$AC$163</f>
        <v>15696705631.647623</v>
      </c>
      <c r="EH411" s="269">
        <f t="shared" si="1116"/>
        <v>12801248.571003255</v>
      </c>
      <c r="EI411" s="269">
        <f t="shared" si="1049"/>
        <v>217621225.70705533</v>
      </c>
      <c r="EJ411" s="196">
        <f>'Detailed Budget'!$AC$204</f>
        <v>45012172507.531975</v>
      </c>
      <c r="EK411" s="269">
        <f t="shared" si="1117"/>
        <v>36254657.314348534</v>
      </c>
      <c r="EL411" s="201">
        <f>'Detailed Budget'!$AC$206</f>
        <v>11253043126.882994</v>
      </c>
      <c r="EM411" s="269">
        <f t="shared" si="1118"/>
        <v>9063664.3285871334</v>
      </c>
      <c r="EN411" s="269">
        <f t="shared" si="1050"/>
        <v>45318321.642935663</v>
      </c>
      <c r="EO411" s="140">
        <f>'Detailed Budget'!$AC$209</f>
        <v>135789361677.54817</v>
      </c>
      <c r="EP411" s="269">
        <f t="shared" si="1119"/>
        <v>77213448.261533499</v>
      </c>
      <c r="EQ411" s="196">
        <f>'Detailed Budget'!$AC$211</f>
        <v>33947340419.387043</v>
      </c>
      <c r="ER411" s="269">
        <f t="shared" si="1120"/>
        <v>19303362.065383375</v>
      </c>
      <c r="ES411" s="269">
        <f t="shared" si="1051"/>
        <v>96516810.326916873</v>
      </c>
      <c r="ET411" s="196">
        <f>'Detailed Budget'!$AC$214</f>
        <v>22239745544.201103</v>
      </c>
      <c r="EU411" s="269">
        <f t="shared" si="1121"/>
        <v>12281563.00286041</v>
      </c>
      <c r="EV411" s="140">
        <f>'Detailed Budget'!$AC$217</f>
        <v>5559936386.0502758</v>
      </c>
      <c r="EW411" s="269">
        <f t="shared" si="1122"/>
        <v>3070390.7507151025</v>
      </c>
      <c r="EX411" s="269">
        <f t="shared" si="1052"/>
        <v>15351953.753575513</v>
      </c>
      <c r="EY411" s="196">
        <f>'Detailed Budget'!$AC$219</f>
        <v>372777004.58170313</v>
      </c>
      <c r="EZ411" s="269">
        <f t="shared" si="1123"/>
        <v>215510.72629843996</v>
      </c>
      <c r="FA411" s="196">
        <f>'Detailed Budget'!$AC$222</f>
        <v>93194251.145425782</v>
      </c>
      <c r="FB411" s="269">
        <f t="shared" si="1124"/>
        <v>53877.681574609989</v>
      </c>
      <c r="FC411" s="269">
        <f t="shared" si="1053"/>
        <v>269388.40787304996</v>
      </c>
      <c r="FD411" s="269"/>
      <c r="FE411" s="269">
        <f t="shared" si="1054"/>
        <v>157456474.13130111</v>
      </c>
      <c r="FF411" s="140">
        <f>'Detailed Budget'!$AC$165</f>
        <v>14927760000</v>
      </c>
      <c r="FG411" s="1087">
        <f t="shared" si="1087"/>
        <v>214781053.3658646</v>
      </c>
      <c r="FH411" s="269">
        <f t="shared" si="1125"/>
        <v>16961436.200431772</v>
      </c>
      <c r="FJ411" s="140">
        <f>'Detailed Budget'!$AC$235</f>
        <v>3623696172</v>
      </c>
      <c r="FK411" s="269">
        <f t="shared" si="1126"/>
        <v>4681778</v>
      </c>
      <c r="FL411" s="269">
        <f t="shared" si="1088"/>
        <v>4681778</v>
      </c>
      <c r="FO411" s="607"/>
      <c r="FP411" s="607"/>
      <c r="FQ411" s="607"/>
      <c r="FR411" s="269">
        <f>'Detailed Budget'!$AC$257</f>
        <v>13636439388</v>
      </c>
      <c r="FS411" s="269">
        <f t="shared" si="1127"/>
        <v>18987384</v>
      </c>
      <c r="FT411" s="269">
        <f t="shared" si="1089"/>
        <v>18987384</v>
      </c>
      <c r="FU411" s="269"/>
      <c r="FV411" s="269"/>
      <c r="FW411" s="269"/>
      <c r="FX411" s="140">
        <f>'Detailed Budget'!$AC$278</f>
        <v>1114560000</v>
      </c>
      <c r="FY411" s="269">
        <f t="shared" si="1128"/>
        <v>1440000</v>
      </c>
      <c r="FZ411" s="269">
        <f t="shared" si="1090"/>
        <v>1440000</v>
      </c>
      <c r="GB411" s="269">
        <f t="shared" si="1098"/>
        <v>1529683060.0762501</v>
      </c>
      <c r="GC411" s="887">
        <f t="shared" si="1055"/>
        <v>956051.91254765633</v>
      </c>
      <c r="GD411" s="1078">
        <f t="shared" si="1099"/>
        <v>8.5835333335615546E-4</v>
      </c>
    </row>
    <row r="412" spans="1:186" hidden="1" outlineLevel="1">
      <c r="A412" s="211" t="s">
        <v>960</v>
      </c>
      <c r="B412" s="212" t="s">
        <v>961</v>
      </c>
      <c r="C412" s="213" t="s">
        <v>215</v>
      </c>
      <c r="D412" s="214" t="s">
        <v>215</v>
      </c>
      <c r="E412" s="213"/>
      <c r="F412" s="213"/>
      <c r="G412" s="213"/>
      <c r="H412" s="213" t="s">
        <v>215</v>
      </c>
      <c r="I412" s="214"/>
      <c r="J412" s="214" t="s">
        <v>215</v>
      </c>
      <c r="K412" s="213"/>
      <c r="L412" s="213" t="s">
        <v>215</v>
      </c>
      <c r="M412" s="214"/>
      <c r="N412" s="213"/>
      <c r="O412" s="214"/>
      <c r="P412" s="213"/>
      <c r="Q412" s="214"/>
      <c r="R412" s="214" t="s">
        <v>215</v>
      </c>
      <c r="S412" s="214"/>
      <c r="T412" s="214"/>
      <c r="U412" s="215">
        <f t="shared" si="1129"/>
        <v>6</v>
      </c>
      <c r="V412" s="845" t="s">
        <v>957</v>
      </c>
      <c r="W412" s="216">
        <v>238014</v>
      </c>
      <c r="X412" s="217">
        <v>3.17</v>
      </c>
      <c r="Y412" s="218">
        <f t="shared" si="1101"/>
        <v>1.0317000000000001</v>
      </c>
      <c r="Z412" s="196">
        <v>19</v>
      </c>
      <c r="AA412" s="218">
        <f t="shared" si="1102"/>
        <v>1.8093191519340412</v>
      </c>
      <c r="AB412" s="196">
        <f t="shared" si="1103"/>
        <v>430643.28862842888</v>
      </c>
      <c r="AC412">
        <v>20.2</v>
      </c>
      <c r="AD412" s="196">
        <f t="shared" si="1104"/>
        <v>86989.944302942618</v>
      </c>
      <c r="AE412" s="196">
        <f t="shared" si="1148"/>
        <v>82640.447087795488</v>
      </c>
      <c r="AF412" s="196">
        <f t="shared" si="1130"/>
        <v>82640.447087795488</v>
      </c>
      <c r="AG412" s="606">
        <f t="shared" si="1058"/>
        <v>3.8209314749790904E-3</v>
      </c>
      <c r="AH412" s="196">
        <f t="shared" si="1144"/>
        <v>21532.164431421446</v>
      </c>
      <c r="AI412" s="248">
        <f t="shared" si="1034"/>
        <v>1.6680641540864779E-3</v>
      </c>
      <c r="AJ412" s="196">
        <f t="shared" si="1038"/>
        <v>108522.10873436407</v>
      </c>
      <c r="AK412" s="196">
        <f t="shared" si="1067"/>
        <v>17225.731545137154</v>
      </c>
      <c r="AL412" s="196">
        <f t="shared" si="1068"/>
        <v>17225.731545137154</v>
      </c>
      <c r="AM412" s="196">
        <f t="shared" si="1039"/>
        <v>34451.463090274308</v>
      </c>
      <c r="AN412" s="627">
        <f t="shared" si="1040"/>
        <v>1.6680641540864774E-3</v>
      </c>
      <c r="AO412" s="196">
        <f t="shared" si="1041"/>
        <v>16364.444967880298</v>
      </c>
      <c r="AP412" s="589">
        <f t="shared" si="1059"/>
        <v>1.6680641540864777E-3</v>
      </c>
      <c r="AQ412" s="196"/>
      <c r="AR412" s="589"/>
      <c r="AS412">
        <v>1</v>
      </c>
      <c r="AT412" s="589">
        <f t="shared" si="1060"/>
        <v>1.2919896640826874E-3</v>
      </c>
      <c r="AU412" s="196">
        <v>11</v>
      </c>
      <c r="AV412" s="245">
        <f t="shared" si="1042"/>
        <v>1.2498579706851495E-3</v>
      </c>
      <c r="AX412" s="245"/>
      <c r="AY412" s="245"/>
      <c r="AZ412" s="196">
        <v>52</v>
      </c>
      <c r="BA412" s="589">
        <f t="shared" si="1092"/>
        <v>1.9053900553295958E-3</v>
      </c>
      <c r="BI412" s="196">
        <v>0</v>
      </c>
      <c r="BJ412" s="196">
        <f t="shared" si="1131"/>
        <v>227819.32327249434</v>
      </c>
      <c r="BK412" s="246">
        <f t="shared" si="1093"/>
        <v>4.3443770427136624E-3</v>
      </c>
      <c r="BL412" s="196">
        <f t="shared" si="1145"/>
        <v>4556.3864654498866</v>
      </c>
      <c r="BM412" s="246">
        <f t="shared" si="1094"/>
        <v>4.344376545645825E-3</v>
      </c>
      <c r="BN412" s="196">
        <v>0</v>
      </c>
      <c r="BO412" s="196">
        <f t="shared" si="1132"/>
        <v>28535.515432448865</v>
      </c>
      <c r="BP412" s="196">
        <f t="shared" si="1043"/>
        <v>0</v>
      </c>
      <c r="BQ412" s="248">
        <f t="shared" si="1095"/>
        <v>0</v>
      </c>
      <c r="BR412" s="248"/>
      <c r="BS412" s="248"/>
      <c r="BT412" s="276">
        <v>1</v>
      </c>
      <c r="BU412" s="196">
        <f t="shared" si="1146"/>
        <v>72654.001481817671</v>
      </c>
      <c r="BV412" s="264">
        <f t="shared" si="1096"/>
        <v>5.0394191608499322E-3</v>
      </c>
      <c r="BW412" s="196">
        <f t="shared" si="1147"/>
        <v>310797.67300555337</v>
      </c>
      <c r="BX412" s="247">
        <f t="shared" si="1097"/>
        <v>5.0394192062452126E-3</v>
      </c>
      <c r="BY412" s="196">
        <f t="shared" si="1100"/>
        <v>383451.67448737106</v>
      </c>
      <c r="BZ412" s="620">
        <v>0</v>
      </c>
      <c r="CA412" s="196">
        <f t="shared" si="1133"/>
        <v>131776.84632029923</v>
      </c>
      <c r="CB412" s="196">
        <f t="shared" si="1134"/>
        <v>263553.69264059846</v>
      </c>
      <c r="CC412" s="196">
        <f t="shared" si="1056"/>
        <v>395330.53896089771</v>
      </c>
      <c r="CD412" s="247">
        <f t="shared" si="1044"/>
        <v>1.6680641540864777E-3</v>
      </c>
      <c r="CE412" s="196">
        <f t="shared" si="1135"/>
        <v>26975.539686368647</v>
      </c>
      <c r="CF412" s="247">
        <f t="shared" si="1045"/>
        <v>1.1648876961201377E-3</v>
      </c>
      <c r="CG412" s="196">
        <f t="shared" si="1106"/>
        <v>65457.77987152119</v>
      </c>
      <c r="CH412" s="589">
        <f t="shared" si="1061"/>
        <v>1.6680641540864777E-3</v>
      </c>
      <c r="CI412" s="196">
        <f t="shared" si="1136"/>
        <v>100207.68207618601</v>
      </c>
      <c r="CJ412" s="248">
        <f t="shared" si="1062"/>
        <v>1.6474140389717705E-3</v>
      </c>
      <c r="CK412" s="196">
        <f t="shared" si="1137"/>
        <v>80906.248931887327</v>
      </c>
      <c r="CL412" s="589">
        <f t="shared" si="1063"/>
        <v>1.1630439701012876E-3</v>
      </c>
      <c r="CM412" s="196">
        <f t="shared" si="1138"/>
        <v>7837.8063408686712</v>
      </c>
      <c r="CN412" s="589">
        <f t="shared" si="1064"/>
        <v>1.129516967653148E-3</v>
      </c>
      <c r="CO412" s="196">
        <f t="shared" si="1139"/>
        <v>627.02158375121064</v>
      </c>
      <c r="CP412" s="589">
        <f t="shared" si="1065"/>
        <v>1.1824661278513249E-3</v>
      </c>
      <c r="CQ412" s="196">
        <f>'Detailed Budget'!$AC$12</f>
        <v>292876014141.44696</v>
      </c>
      <c r="CR412" s="269">
        <f t="shared" si="1066"/>
        <v>1272363832.1975842</v>
      </c>
      <c r="CS412" s="269">
        <f>'Detailed Budget'!$AC$16</f>
        <v>10488008800.000002</v>
      </c>
      <c r="CT412" s="607">
        <f t="shared" si="1108"/>
        <v>45563859.441247024</v>
      </c>
      <c r="CU412" s="269">
        <f>'Detailed Budget'!$AC$24</f>
        <v>30624985696</v>
      </c>
      <c r="CV412" s="269">
        <f t="shared" si="1091"/>
        <v>133046484.7911367</v>
      </c>
      <c r="CW412" s="269"/>
      <c r="CX412" s="269">
        <f t="shared" si="1057"/>
        <v>1450974176.4299679</v>
      </c>
      <c r="CY412" s="196">
        <f>'Detailed Budget'!$AC$97</f>
        <v>74629165494.837845</v>
      </c>
      <c r="CZ412" s="269">
        <f t="shared" si="1109"/>
        <v>0</v>
      </c>
      <c r="DA412" s="269">
        <f>'Detailed Budget'!$AC$100</f>
        <v>14925833098.967569</v>
      </c>
      <c r="DB412" s="269">
        <f t="shared" si="1110"/>
        <v>0</v>
      </c>
      <c r="DC412" s="269">
        <f t="shared" si="1046"/>
        <v>0</v>
      </c>
      <c r="DD412" s="207">
        <v>0</v>
      </c>
      <c r="DE412" s="606">
        <v>0</v>
      </c>
      <c r="DF412" s="269">
        <f>'Detailed Budget'!$AC$147</f>
        <v>5913600671000</v>
      </c>
      <c r="DG412" s="269">
        <f t="shared" si="1086"/>
        <v>0</v>
      </c>
      <c r="DH412" s="269">
        <f>'Detailed Budget'!$AC$153</f>
        <v>226428026880.00003</v>
      </c>
      <c r="DI412" s="269"/>
      <c r="DJ412" s="269">
        <f>'Detailed Budget'!$AC$156</f>
        <v>27713070000</v>
      </c>
      <c r="DK412" s="269"/>
      <c r="DL412" s="269"/>
      <c r="DM412" s="196">
        <f>'Detailed Budget'!$AC$178</f>
        <v>5622683761.6229038</v>
      </c>
      <c r="DN412" s="269">
        <f t="shared" si="1140"/>
        <v>28335060.283722233</v>
      </c>
      <c r="DO412" s="196">
        <f>'Detailed Budget'!$AC$179</f>
        <v>26827890683.128094</v>
      </c>
      <c r="DP412" s="269">
        <f t="shared" si="1141"/>
        <v>135196987.5716027</v>
      </c>
      <c r="DQ412" s="269">
        <f t="shared" si="1008"/>
        <v>163532047.85532492</v>
      </c>
      <c r="DR412" s="269">
        <f>'Detailed Budget'!$AC$181</f>
        <v>50888946855.375237</v>
      </c>
      <c r="DS412" s="269">
        <f t="shared" si="1142"/>
        <v>194443178.76824144</v>
      </c>
      <c r="DT412" s="269">
        <f t="shared" si="1143"/>
        <v>357975226.62356639</v>
      </c>
      <c r="DU412" s="272">
        <f>'Detailed Budget'!$AC$192</f>
        <v>77498869683.252869</v>
      </c>
      <c r="DV412" s="269">
        <f t="shared" si="1111"/>
        <v>0</v>
      </c>
      <c r="DW412" s="140">
        <f>'Detailed Budget'!$AC$194</f>
        <v>2684962805.4134097</v>
      </c>
      <c r="DX412" s="269">
        <f t="shared" si="1112"/>
        <v>0</v>
      </c>
      <c r="DY412" s="607">
        <f t="shared" si="1047"/>
        <v>0</v>
      </c>
      <c r="DZ412" s="196">
        <f>'Detailed Budget'!$AC$198</f>
        <v>18732540018.380611</v>
      </c>
      <c r="EA412" s="269">
        <f t="shared" si="1113"/>
        <v>21821305.384489674</v>
      </c>
      <c r="EB412" s="196">
        <f>'Detailed Budget'!$AC$200</f>
        <v>4683135004.5951529</v>
      </c>
      <c r="EC412" s="269">
        <f t="shared" si="1114"/>
        <v>5455326.3461224185</v>
      </c>
      <c r="ED412" s="269">
        <f t="shared" si="1048"/>
        <v>27276631.730612092</v>
      </c>
      <c r="EE412" s="196">
        <f>'Detailed Budget'!$AC$161</f>
        <v>251147290106.36197</v>
      </c>
      <c r="EF412" s="269">
        <f t="shared" si="1115"/>
        <v>418929792.02237988</v>
      </c>
      <c r="EG412" s="196">
        <f>'Detailed Budget'!$AC$163</f>
        <v>15696705631.647623</v>
      </c>
      <c r="EH412" s="269">
        <f t="shared" si="1116"/>
        <v>26183112.001398742</v>
      </c>
      <c r="EI412" s="269">
        <f t="shared" si="1049"/>
        <v>445112904.02377862</v>
      </c>
      <c r="EJ412" s="196">
        <f>'Detailed Budget'!$AC$204</f>
        <v>45012172507.531975</v>
      </c>
      <c r="EK412" s="269">
        <f t="shared" si="1117"/>
        <v>74153684.91352734</v>
      </c>
      <c r="EL412" s="201">
        <f>'Detailed Budget'!$AC$206</f>
        <v>11253043126.882994</v>
      </c>
      <c r="EM412" s="269">
        <f t="shared" si="1118"/>
        <v>18538421.228381835</v>
      </c>
      <c r="EN412" s="269">
        <f t="shared" si="1050"/>
        <v>92692106.141909182</v>
      </c>
      <c r="EO412" s="140">
        <f>'Detailed Budget'!$AC$209</f>
        <v>135789361677.54817</v>
      </c>
      <c r="EP412" s="269">
        <f t="shared" si="1119"/>
        <v>157928998.30297527</v>
      </c>
      <c r="EQ412" s="196">
        <f>'Detailed Budget'!$AC$211</f>
        <v>33947340419.387043</v>
      </c>
      <c r="ER412" s="269">
        <f t="shared" si="1120"/>
        <v>39482249.575743817</v>
      </c>
      <c r="ES412" s="269">
        <f t="shared" si="1051"/>
        <v>197411247.87871909</v>
      </c>
      <c r="ET412" s="196">
        <f>'Detailed Budget'!$AC$214</f>
        <v>22239745544.201103</v>
      </c>
      <c r="EU412" s="269">
        <f t="shared" si="1121"/>
        <v>25120169.948463641</v>
      </c>
      <c r="EV412" s="140">
        <f>'Detailed Budget'!$AC$217</f>
        <v>5559936386.0502758</v>
      </c>
      <c r="EW412" s="269">
        <f t="shared" si="1122"/>
        <v>6280042.4871159103</v>
      </c>
      <c r="EX412" s="269">
        <f t="shared" si="1052"/>
        <v>31400212.435579553</v>
      </c>
      <c r="EY412" s="196">
        <f>'Detailed Budget'!$AC$219</f>
        <v>372777004.58170313</v>
      </c>
      <c r="EZ412" s="269">
        <f t="shared" si="1123"/>
        <v>440796.18115974206</v>
      </c>
      <c r="FA412" s="196">
        <f>'Detailed Budget'!$AC$222</f>
        <v>93194251.145425782</v>
      </c>
      <c r="FB412" s="269">
        <f t="shared" si="1124"/>
        <v>110199.04528993552</v>
      </c>
      <c r="FC412" s="269">
        <f t="shared" si="1053"/>
        <v>550995.2264496776</v>
      </c>
      <c r="FD412" s="269"/>
      <c r="FE412" s="269">
        <f t="shared" si="1054"/>
        <v>322054561.68265748</v>
      </c>
      <c r="FF412" s="140">
        <f>'Detailed Budget'!$AC$165</f>
        <v>14927760000</v>
      </c>
      <c r="FG412" s="1087">
        <f t="shared" si="1087"/>
        <v>439303740.16759658</v>
      </c>
      <c r="FH412" s="269">
        <f t="shared" si="1125"/>
        <v>18657579.820474949</v>
      </c>
      <c r="FJ412" s="140">
        <f>'Detailed Budget'!$AC$235</f>
        <v>3623696172</v>
      </c>
      <c r="FK412" s="269">
        <f t="shared" si="1126"/>
        <v>4681778</v>
      </c>
      <c r="FL412" s="269">
        <f t="shared" si="1088"/>
        <v>4681778</v>
      </c>
      <c r="FO412" s="607"/>
      <c r="FP412" s="607"/>
      <c r="FQ412" s="607"/>
      <c r="FR412" s="269">
        <f>'Detailed Budget'!$AC$257</f>
        <v>13636439388</v>
      </c>
      <c r="FS412" s="269">
        <f t="shared" si="1127"/>
        <v>25982736</v>
      </c>
      <c r="FT412" s="269">
        <f t="shared" si="1089"/>
        <v>25982736</v>
      </c>
      <c r="FU412" s="269"/>
      <c r="FV412" s="269"/>
      <c r="FW412" s="269"/>
      <c r="FX412" s="140">
        <f>'Detailed Budget'!$AC$278</f>
        <v>1114560000</v>
      </c>
      <c r="FY412" s="269">
        <f t="shared" si="1128"/>
        <v>1440000</v>
      </c>
      <c r="FZ412" s="269">
        <f t="shared" si="1090"/>
        <v>1440000</v>
      </c>
      <c r="GB412" s="269">
        <f t="shared" si="1098"/>
        <v>3093459334.4786544</v>
      </c>
      <c r="GC412" s="887">
        <f t="shared" si="1055"/>
        <v>1933412.084049159</v>
      </c>
      <c r="GD412" s="1078">
        <f t="shared" si="1099"/>
        <v>1.735837442835452E-3</v>
      </c>
    </row>
    <row r="413" spans="1:186" hidden="1" outlineLevel="1">
      <c r="A413" s="211" t="s">
        <v>962</v>
      </c>
      <c r="B413" s="212" t="s">
        <v>963</v>
      </c>
      <c r="C413" s="213" t="s">
        <v>215</v>
      </c>
      <c r="D413" s="214" t="s">
        <v>215</v>
      </c>
      <c r="E413" s="213"/>
      <c r="F413" s="213"/>
      <c r="G413" s="213"/>
      <c r="H413" s="213" t="s">
        <v>215</v>
      </c>
      <c r="I413" s="214"/>
      <c r="J413" s="214" t="s">
        <v>215</v>
      </c>
      <c r="K413" s="213"/>
      <c r="L413" s="213" t="s">
        <v>215</v>
      </c>
      <c r="M413" s="214"/>
      <c r="N413" s="213"/>
      <c r="O413" s="214"/>
      <c r="P413" s="213"/>
      <c r="Q413" s="214"/>
      <c r="R413" s="214" t="s">
        <v>215</v>
      </c>
      <c r="S413" s="214"/>
      <c r="T413" s="214"/>
      <c r="U413" s="215">
        <f t="shared" si="1129"/>
        <v>6</v>
      </c>
      <c r="V413" s="845" t="s">
        <v>957</v>
      </c>
      <c r="W413" s="216">
        <v>268620</v>
      </c>
      <c r="X413" s="217">
        <v>3.17</v>
      </c>
      <c r="Y413" s="218">
        <f t="shared" si="1101"/>
        <v>1.0317000000000001</v>
      </c>
      <c r="Z413" s="196">
        <v>19</v>
      </c>
      <c r="AA413" s="218">
        <f t="shared" si="1102"/>
        <v>1.8093191519340412</v>
      </c>
      <c r="AB413" s="196">
        <f t="shared" si="1103"/>
        <v>486019.31059252215</v>
      </c>
      <c r="AC413">
        <v>20.2</v>
      </c>
      <c r="AD413" s="196">
        <f t="shared" si="1104"/>
        <v>98175.900739689474</v>
      </c>
      <c r="AE413" s="196">
        <f t="shared" si="1148"/>
        <v>93267.105702704997</v>
      </c>
      <c r="AF413" s="196">
        <f t="shared" si="1130"/>
        <v>93267.105702704997</v>
      </c>
      <c r="AG413" s="606">
        <f t="shared" si="1058"/>
        <v>4.3122615174270565E-3</v>
      </c>
      <c r="AH413" s="196">
        <f t="shared" si="1144"/>
        <v>24300.965529626108</v>
      </c>
      <c r="AI413" s="248">
        <f t="shared" si="1034"/>
        <v>1.8825589800209636E-3</v>
      </c>
      <c r="AJ413" s="196">
        <f t="shared" si="1038"/>
        <v>122476.86626931558</v>
      </c>
      <c r="AK413" s="196">
        <f t="shared" si="1067"/>
        <v>19440.772423700888</v>
      </c>
      <c r="AL413" s="196">
        <f t="shared" si="1068"/>
        <v>19440.772423700888</v>
      </c>
      <c r="AM413" s="196">
        <f t="shared" si="1039"/>
        <v>38881.544847401776</v>
      </c>
      <c r="AN413" s="627">
        <f t="shared" si="1040"/>
        <v>1.8825589800209638E-3</v>
      </c>
      <c r="AO413" s="196">
        <f t="shared" si="1041"/>
        <v>18468.733802515842</v>
      </c>
      <c r="AP413" s="589">
        <f t="shared" si="1059"/>
        <v>1.8825589800209636E-3</v>
      </c>
      <c r="AQ413" s="196"/>
      <c r="AR413" s="589"/>
      <c r="AS413">
        <v>1</v>
      </c>
      <c r="AT413" s="589">
        <f t="shared" si="1060"/>
        <v>1.2919896640826874E-3</v>
      </c>
      <c r="AU413" s="196">
        <v>15</v>
      </c>
      <c r="AV413" s="245">
        <f t="shared" si="1042"/>
        <v>1.7043517782070218E-3</v>
      </c>
      <c r="AX413" s="245"/>
      <c r="AY413" s="245"/>
      <c r="AZ413" s="196">
        <v>50</v>
      </c>
      <c r="BA413" s="589">
        <f t="shared" si="1092"/>
        <v>1.8321058224323038E-3</v>
      </c>
      <c r="BI413" s="196">
        <v>0</v>
      </c>
      <c r="BJ413" s="196">
        <f t="shared" si="1131"/>
        <v>257114.39922633723</v>
      </c>
      <c r="BK413" s="246">
        <f t="shared" si="1093"/>
        <v>4.9030164663160323E-3</v>
      </c>
      <c r="BL413" s="196">
        <f t="shared" si="1145"/>
        <v>5142.2879845267444</v>
      </c>
      <c r="BM413" s="246">
        <f t="shared" si="1094"/>
        <v>4.9030159053307012E-3</v>
      </c>
      <c r="BN413" s="196">
        <v>0</v>
      </c>
      <c r="BO413" s="196">
        <f t="shared" si="1132"/>
        <v>32204.870954920363</v>
      </c>
      <c r="BP413" s="196">
        <f t="shared" si="1043"/>
        <v>0</v>
      </c>
      <c r="BQ413" s="248">
        <f t="shared" si="1095"/>
        <v>0</v>
      </c>
      <c r="BR413" s="248"/>
      <c r="BS413" s="248"/>
      <c r="BT413" s="276">
        <v>1</v>
      </c>
      <c r="BU413" s="196">
        <f t="shared" si="1146"/>
        <v>81996.512297788649</v>
      </c>
      <c r="BV413" s="264">
        <f t="shared" si="1096"/>
        <v>5.687433407226084E-3</v>
      </c>
      <c r="BW413" s="196">
        <f t="shared" si="1147"/>
        <v>350762.85816276254</v>
      </c>
      <c r="BX413" s="247">
        <f t="shared" si="1097"/>
        <v>5.6874334584587011E-3</v>
      </c>
      <c r="BY413" s="196">
        <f t="shared" si="1100"/>
        <v>432759.37046055117</v>
      </c>
      <c r="BZ413" s="620">
        <v>0</v>
      </c>
      <c r="CA413" s="196">
        <f t="shared" si="1133"/>
        <v>148721.9090413118</v>
      </c>
      <c r="CB413" s="196">
        <f t="shared" si="1134"/>
        <v>297443.81808262359</v>
      </c>
      <c r="CC413" s="196">
        <f t="shared" si="1056"/>
        <v>446165.72712393536</v>
      </c>
      <c r="CD413" s="247">
        <f t="shared" si="1044"/>
        <v>1.8825589800209636E-3</v>
      </c>
      <c r="CE413" s="196">
        <f t="shared" si="1135"/>
        <v>30444.299371265326</v>
      </c>
      <c r="CF413" s="247">
        <f t="shared" si="1045"/>
        <v>1.3146795269681254E-3</v>
      </c>
      <c r="CG413" s="196">
        <f t="shared" si="1106"/>
        <v>73874.93521006337</v>
      </c>
      <c r="CH413" s="589">
        <f t="shared" si="1061"/>
        <v>1.8825589800209636E-3</v>
      </c>
      <c r="CI413" s="196">
        <f t="shared" si="1136"/>
        <v>113093.29518139729</v>
      </c>
      <c r="CJ413" s="248">
        <f t="shared" si="1062"/>
        <v>1.8592534857134332E-3</v>
      </c>
      <c r="CK413" s="196">
        <f t="shared" si="1137"/>
        <v>91309.908610769024</v>
      </c>
      <c r="CL413" s="589">
        <f t="shared" si="1063"/>
        <v>1.3125987179267099E-3</v>
      </c>
      <c r="CM413" s="196">
        <f t="shared" si="1138"/>
        <v>8845.6626050742507</v>
      </c>
      <c r="CN413" s="589">
        <f t="shared" si="1064"/>
        <v>1.2747605092599118E-3</v>
      </c>
      <c r="CO413" s="196">
        <f t="shared" si="1139"/>
        <v>707.64970895514648</v>
      </c>
      <c r="CP413" s="589">
        <f t="shared" si="1065"/>
        <v>1.3345183529684093E-3</v>
      </c>
      <c r="CQ413" s="196">
        <f>'Detailed Budget'!$AC$12</f>
        <v>292876014141.44696</v>
      </c>
      <c r="CR413" s="269">
        <f t="shared" si="1066"/>
        <v>1435975919.9245217</v>
      </c>
      <c r="CS413" s="269">
        <f>'Detailed Budget'!$AC$16</f>
        <v>10488008800.000002</v>
      </c>
      <c r="CT413" s="607">
        <f t="shared" si="1108"/>
        <v>51422873.961648367</v>
      </c>
      <c r="CU413" s="269">
        <f>'Detailed Budget'!$AC$24</f>
        <v>30624985696</v>
      </c>
      <c r="CV413" s="269">
        <f t="shared" si="1091"/>
        <v>150154809.14818096</v>
      </c>
      <c r="CW413" s="269"/>
      <c r="CX413" s="269">
        <f t="shared" si="1057"/>
        <v>1637553603.0343511</v>
      </c>
      <c r="CY413" s="196">
        <f>'Detailed Budget'!$AC$97</f>
        <v>74629165494.837845</v>
      </c>
      <c r="CZ413" s="269">
        <f t="shared" si="1109"/>
        <v>0</v>
      </c>
      <c r="DA413" s="269">
        <f>'Detailed Budget'!$AC$100</f>
        <v>14925833098.967569</v>
      </c>
      <c r="DB413" s="269">
        <f t="shared" si="1110"/>
        <v>0</v>
      </c>
      <c r="DC413" s="269">
        <f t="shared" si="1046"/>
        <v>0</v>
      </c>
      <c r="DD413" s="207">
        <v>0</v>
      </c>
      <c r="DE413" s="606">
        <v>0</v>
      </c>
      <c r="DF413" s="269">
        <f>'Detailed Budget'!$AC$147</f>
        <v>5913600671000</v>
      </c>
      <c r="DG413" s="269">
        <f t="shared" si="1086"/>
        <v>0</v>
      </c>
      <c r="DH413" s="269">
        <f>'Detailed Budget'!$AC$153</f>
        <v>226428026880.00003</v>
      </c>
      <c r="DI413" s="269"/>
      <c r="DJ413" s="269">
        <f>'Detailed Budget'!$AC$156</f>
        <v>27713070000</v>
      </c>
      <c r="DK413" s="269"/>
      <c r="DL413" s="269"/>
      <c r="DM413" s="196">
        <f>'Detailed Budget'!$AC$178</f>
        <v>5622683761.6229038</v>
      </c>
      <c r="DN413" s="269">
        <f t="shared" si="1140"/>
        <v>31978639.464121725</v>
      </c>
      <c r="DO413" s="196">
        <f>'Detailed Budget'!$AC$179</f>
        <v>26827890683.128094</v>
      </c>
      <c r="DP413" s="269">
        <f t="shared" si="1141"/>
        <v>152581843.09109518</v>
      </c>
      <c r="DQ413" s="269">
        <f t="shared" si="1008"/>
        <v>184560482.55521691</v>
      </c>
      <c r="DR413" s="269">
        <f>'Detailed Budget'!$AC$181</f>
        <v>50888946855.375237</v>
      </c>
      <c r="DS413" s="269">
        <f t="shared" si="1142"/>
        <v>219446447.18682525</v>
      </c>
      <c r="DT413" s="269">
        <f t="shared" si="1143"/>
        <v>404006929.74204218</v>
      </c>
      <c r="DU413" s="272">
        <f>'Detailed Budget'!$AC$192</f>
        <v>77498869683.252869</v>
      </c>
      <c r="DV413" s="269">
        <f t="shared" si="1111"/>
        <v>0</v>
      </c>
      <c r="DW413" s="140">
        <f>'Detailed Budget'!$AC$194</f>
        <v>2684962805.4134097</v>
      </c>
      <c r="DX413" s="269">
        <f t="shared" si="1112"/>
        <v>0</v>
      </c>
      <c r="DY413" s="607">
        <f t="shared" si="1047"/>
        <v>0</v>
      </c>
      <c r="DZ413" s="196">
        <f>'Detailed Budget'!$AC$198</f>
        <v>18732540018.380611</v>
      </c>
      <c r="EA413" s="269">
        <f t="shared" si="1113"/>
        <v>24627286.850276101</v>
      </c>
      <c r="EB413" s="196">
        <f>'Detailed Budget'!$AC$200</f>
        <v>4683135004.5951529</v>
      </c>
      <c r="EC413" s="269">
        <f t="shared" si="1114"/>
        <v>6156821.7125690253</v>
      </c>
      <c r="ED413" s="269">
        <f t="shared" si="1048"/>
        <v>30784108.562845126</v>
      </c>
      <c r="EE413" s="196">
        <f>'Detailed Budget'!$AC$161</f>
        <v>251147290106.36197</v>
      </c>
      <c r="EF413" s="269">
        <f t="shared" si="1115"/>
        <v>472799586.29766184</v>
      </c>
      <c r="EG413" s="196">
        <f>'Detailed Budget'!$AC$163</f>
        <v>15696705631.647623</v>
      </c>
      <c r="EH413" s="269">
        <f t="shared" si="1116"/>
        <v>29549974.143603865</v>
      </c>
      <c r="EI413" s="269">
        <f t="shared" si="1049"/>
        <v>502349560.4412657</v>
      </c>
      <c r="EJ413" s="196">
        <f>'Detailed Budget'!$AC$204</f>
        <v>45012172507.531975</v>
      </c>
      <c r="EK413" s="269">
        <f t="shared" si="1117"/>
        <v>83689038.634163186</v>
      </c>
      <c r="EL413" s="201">
        <f>'Detailed Budget'!$AC$206</f>
        <v>11253043126.882994</v>
      </c>
      <c r="EM413" s="269">
        <f t="shared" si="1118"/>
        <v>20922259.658540796</v>
      </c>
      <c r="EN413" s="269">
        <f t="shared" si="1050"/>
        <v>104611298.29270399</v>
      </c>
      <c r="EO413" s="140">
        <f>'Detailed Budget'!$AC$209</f>
        <v>135789361677.54817</v>
      </c>
      <c r="EP413" s="269">
        <f t="shared" si="1119"/>
        <v>178236942.04603603</v>
      </c>
      <c r="EQ413" s="196">
        <f>'Detailed Budget'!$AC$211</f>
        <v>33947340419.387043</v>
      </c>
      <c r="ER413" s="269">
        <f t="shared" si="1120"/>
        <v>44559235.511509009</v>
      </c>
      <c r="ES413" s="269">
        <f t="shared" si="1051"/>
        <v>222796177.55754504</v>
      </c>
      <c r="ET413" s="196">
        <f>'Detailed Budget'!$AC$214</f>
        <v>22239745544.201103</v>
      </c>
      <c r="EU413" s="269">
        <f t="shared" si="1121"/>
        <v>28350349.355736654</v>
      </c>
      <c r="EV413" s="140">
        <f>'Detailed Budget'!$AC$217</f>
        <v>5559936386.0502758</v>
      </c>
      <c r="EW413" s="269">
        <f t="shared" si="1122"/>
        <v>7087587.3389341636</v>
      </c>
      <c r="EX413" s="269">
        <f t="shared" si="1052"/>
        <v>35437936.694670819</v>
      </c>
      <c r="EY413" s="196">
        <f>'Detailed Budget'!$AC$219</f>
        <v>372777004.58170313</v>
      </c>
      <c r="EZ413" s="269">
        <f t="shared" si="1123"/>
        <v>497477.75417887163</v>
      </c>
      <c r="FA413" s="196">
        <f>'Detailed Budget'!$AC$222</f>
        <v>93194251.145425782</v>
      </c>
      <c r="FB413" s="269">
        <f t="shared" si="1124"/>
        <v>124369.43854471791</v>
      </c>
      <c r="FC413" s="269">
        <f t="shared" si="1053"/>
        <v>621847.19272358948</v>
      </c>
      <c r="FD413" s="269"/>
      <c r="FE413" s="269">
        <f t="shared" si="1054"/>
        <v>363467259.73764342</v>
      </c>
      <c r="FF413" s="140">
        <f>'Detailed Budget'!$AC$165</f>
        <v>14927760000</v>
      </c>
      <c r="FG413" s="1087">
        <f t="shared" si="1087"/>
        <v>495793401.58066249</v>
      </c>
      <c r="FH413" s="269">
        <f t="shared" si="1125"/>
        <v>25442154.300647654</v>
      </c>
      <c r="FJ413" s="140">
        <f>'Detailed Budget'!$AC$235</f>
        <v>3623696172</v>
      </c>
      <c r="FK413" s="269">
        <f t="shared" si="1126"/>
        <v>4681778</v>
      </c>
      <c r="FL413" s="269">
        <f t="shared" si="1088"/>
        <v>4681778</v>
      </c>
      <c r="FO413" s="607"/>
      <c r="FP413" s="607"/>
      <c r="FQ413" s="607"/>
      <c r="FR413" s="269">
        <f>'Detailed Budget'!$AC$257</f>
        <v>13636439388</v>
      </c>
      <c r="FS413" s="269">
        <f t="shared" si="1127"/>
        <v>24983400</v>
      </c>
      <c r="FT413" s="269">
        <f t="shared" si="1089"/>
        <v>24983400</v>
      </c>
      <c r="FU413" s="269"/>
      <c r="FV413" s="269"/>
      <c r="FW413" s="269"/>
      <c r="FX413" s="140">
        <f>'Detailed Budget'!$AC$278</f>
        <v>1114560000</v>
      </c>
      <c r="FY413" s="269">
        <f t="shared" si="1128"/>
        <v>1440000</v>
      </c>
      <c r="FZ413" s="269">
        <f t="shared" si="1090"/>
        <v>1440000</v>
      </c>
      <c r="GB413" s="269">
        <f t="shared" si="1098"/>
        <v>3490502195.3994579</v>
      </c>
      <c r="GC413" s="887">
        <f t="shared" si="1055"/>
        <v>2181563.8721246612</v>
      </c>
      <c r="GD413" s="1078">
        <f t="shared" si="1099"/>
        <v>1.9586306946216413E-3</v>
      </c>
    </row>
    <row r="414" spans="1:186" hidden="1" outlineLevel="1">
      <c r="A414" s="211" t="s">
        <v>964</v>
      </c>
      <c r="B414" s="212" t="s">
        <v>965</v>
      </c>
      <c r="C414" s="213" t="s">
        <v>215</v>
      </c>
      <c r="D414" s="214" t="s">
        <v>215</v>
      </c>
      <c r="E414" s="213"/>
      <c r="F414" s="213"/>
      <c r="G414" s="213"/>
      <c r="H414" s="213" t="s">
        <v>215</v>
      </c>
      <c r="I414" s="214"/>
      <c r="J414" s="214" t="s">
        <v>215</v>
      </c>
      <c r="K414" s="213"/>
      <c r="L414" s="213" t="s">
        <v>215</v>
      </c>
      <c r="M414" s="214"/>
      <c r="N414" s="213"/>
      <c r="O414" s="214"/>
      <c r="P414" s="213"/>
      <c r="Q414" s="214"/>
      <c r="R414" s="214" t="s">
        <v>215</v>
      </c>
      <c r="S414" s="214"/>
      <c r="T414" s="214"/>
      <c r="U414" s="215">
        <f t="shared" si="1129"/>
        <v>6</v>
      </c>
      <c r="V414" s="845" t="s">
        <v>957</v>
      </c>
      <c r="W414" s="216">
        <v>123547</v>
      </c>
      <c r="X414" s="217">
        <v>3.17</v>
      </c>
      <c r="Y414" s="218">
        <f t="shared" si="1101"/>
        <v>1.0317000000000001</v>
      </c>
      <c r="Z414" s="196">
        <v>19</v>
      </c>
      <c r="AA414" s="218">
        <f t="shared" si="1102"/>
        <v>1.8093191519340412</v>
      </c>
      <c r="AB414" s="196">
        <f t="shared" si="1103"/>
        <v>223535.953263995</v>
      </c>
      <c r="AC414">
        <v>20.2</v>
      </c>
      <c r="AD414" s="196">
        <f t="shared" si="1104"/>
        <v>45154.262559326991</v>
      </c>
      <c r="AE414" s="196">
        <f t="shared" si="1148"/>
        <v>42896.54943136064</v>
      </c>
      <c r="AF414" s="196">
        <f t="shared" si="1130"/>
        <v>42896.54943136064</v>
      </c>
      <c r="AG414" s="606">
        <f t="shared" si="1058"/>
        <v>1.983348126325518E-3</v>
      </c>
      <c r="AH414" s="196">
        <f t="shared" si="1144"/>
        <v>11176.797663199752</v>
      </c>
      <c r="AI414" s="248">
        <f t="shared" si="1034"/>
        <v>8.6584958046552766E-4</v>
      </c>
      <c r="AJ414" s="196">
        <f t="shared" si="1038"/>
        <v>56331.060222526743</v>
      </c>
      <c r="AK414" s="196">
        <f t="shared" si="1067"/>
        <v>8941.4381305597999</v>
      </c>
      <c r="AL414" s="196">
        <f t="shared" si="1068"/>
        <v>8941.4381305597999</v>
      </c>
      <c r="AM414" s="196">
        <f t="shared" si="1039"/>
        <v>17882.8762611196</v>
      </c>
      <c r="AN414" s="627">
        <f t="shared" si="1040"/>
        <v>8.6584958046552745E-4</v>
      </c>
      <c r="AO414" s="196">
        <f t="shared" si="1041"/>
        <v>8494.3662240318099</v>
      </c>
      <c r="AP414" s="589">
        <f t="shared" si="1059"/>
        <v>8.6584958046552745E-4</v>
      </c>
      <c r="AQ414" s="196"/>
      <c r="AR414" s="589"/>
      <c r="AS414">
        <v>1</v>
      </c>
      <c r="AT414" s="589">
        <f t="shared" si="1060"/>
        <v>1.2919896640826874E-3</v>
      </c>
      <c r="AU414" s="196">
        <v>10</v>
      </c>
      <c r="AV414" s="245">
        <f t="shared" si="1042"/>
        <v>1.1362345188046814E-3</v>
      </c>
      <c r="AX414" s="245"/>
      <c r="AY414" s="245"/>
      <c r="AZ414" s="196">
        <v>37</v>
      </c>
      <c r="BA414" s="589">
        <f t="shared" si="1092"/>
        <v>1.3557583085999048E-3</v>
      </c>
      <c r="BI414" s="196">
        <v>0</v>
      </c>
      <c r="BJ414" s="196">
        <f t="shared" si="1131"/>
        <v>118255.20319118565</v>
      </c>
      <c r="BK414" s="246">
        <f t="shared" si="1093"/>
        <v>2.2550553769784334E-3</v>
      </c>
      <c r="BL414" s="196">
        <f t="shared" si="1145"/>
        <v>2365.1040638237127</v>
      </c>
      <c r="BM414" s="246">
        <f t="shared" si="1094"/>
        <v>2.2550551189631902E-3</v>
      </c>
      <c r="BN414" s="196">
        <v>0</v>
      </c>
      <c r="BO414" s="196">
        <f t="shared" si="1132"/>
        <v>14812.058639965551</v>
      </c>
      <c r="BP414" s="196">
        <f t="shared" si="1043"/>
        <v>0</v>
      </c>
      <c r="BQ414" s="248">
        <f t="shared" si="1095"/>
        <v>0</v>
      </c>
      <c r="BR414" s="248"/>
      <c r="BS414" s="248"/>
      <c r="BT414" s="276">
        <v>1</v>
      </c>
      <c r="BU414" s="196">
        <f t="shared" si="1146"/>
        <v>37712.8400895499</v>
      </c>
      <c r="BV414" s="264">
        <f t="shared" si="1096"/>
        <v>2.6158340226437385E-3</v>
      </c>
      <c r="BW414" s="196">
        <f t="shared" si="1147"/>
        <v>161327.14927196348</v>
      </c>
      <c r="BX414" s="247">
        <f t="shared" si="1097"/>
        <v>2.6158340462072716E-3</v>
      </c>
      <c r="BY414" s="196">
        <f t="shared" si="1100"/>
        <v>199039.98936151338</v>
      </c>
      <c r="BZ414" s="620">
        <v>0</v>
      </c>
      <c r="CA414" s="196">
        <f t="shared" si="1133"/>
        <v>68402.001698782464</v>
      </c>
      <c r="CB414" s="196">
        <f t="shared" si="1134"/>
        <v>136804.00339756493</v>
      </c>
      <c r="CC414" s="196">
        <f t="shared" si="1056"/>
        <v>205206.00509634739</v>
      </c>
      <c r="CD414" s="247">
        <f t="shared" si="1044"/>
        <v>8.6584958046552745E-4</v>
      </c>
      <c r="CE414" s="196">
        <f t="shared" si="1135"/>
        <v>14002.314996730393</v>
      </c>
      <c r="CF414" s="247">
        <f t="shared" si="1045"/>
        <v>6.0466350799765845E-4</v>
      </c>
      <c r="CG414" s="196">
        <f t="shared" si="1106"/>
        <v>33977.46489612724</v>
      </c>
      <c r="CH414" s="589">
        <f t="shared" si="1061"/>
        <v>8.6584958046552745E-4</v>
      </c>
      <c r="CI414" s="196">
        <f t="shared" si="1136"/>
        <v>52015.253293783382</v>
      </c>
      <c r="CJ414" s="248">
        <f t="shared" si="1062"/>
        <v>8.5513063211762924E-4</v>
      </c>
      <c r="CK414" s="196">
        <f t="shared" si="1137"/>
        <v>41996.371376422758</v>
      </c>
      <c r="CL414" s="589">
        <f t="shared" si="1063"/>
        <v>6.0370647682112736E-4</v>
      </c>
      <c r="CM414" s="196">
        <f t="shared" si="1138"/>
        <v>4068.4054719272899</v>
      </c>
      <c r="CN414" s="589">
        <f t="shared" si="1064"/>
        <v>5.8630346451319466E-4</v>
      </c>
      <c r="CO414" s="196">
        <f t="shared" si="1139"/>
        <v>325.47092023036816</v>
      </c>
      <c r="CP414" s="589">
        <f t="shared" si="1065"/>
        <v>6.1378802380384213E-4</v>
      </c>
      <c r="CQ414" s="196">
        <f>'Detailed Budget'!$AC$12</f>
        <v>292876014141.44696</v>
      </c>
      <c r="CR414" s="269">
        <f t="shared" si="1066"/>
        <v>660451630.47768164</v>
      </c>
      <c r="CS414" s="269">
        <f>'Detailed Budget'!$AC$16</f>
        <v>10488008800.000002</v>
      </c>
      <c r="CT414" s="607">
        <f t="shared" si="1108"/>
        <v>23651037.932170991</v>
      </c>
      <c r="CU414" s="269">
        <f>'Detailed Budget'!$AC$24</f>
        <v>30624985696</v>
      </c>
      <c r="CV414" s="269">
        <f t="shared" si="1091"/>
        <v>69061038.663652405</v>
      </c>
      <c r="CW414" s="269"/>
      <c r="CX414" s="269">
        <f t="shared" si="1057"/>
        <v>753163707.07350504</v>
      </c>
      <c r="CY414" s="196">
        <f>'Detailed Budget'!$AC$97</f>
        <v>74629165494.837845</v>
      </c>
      <c r="CZ414" s="269">
        <f t="shared" si="1109"/>
        <v>0</v>
      </c>
      <c r="DA414" s="269">
        <f>'Detailed Budget'!$AC$100</f>
        <v>14925833098.967569</v>
      </c>
      <c r="DB414" s="269">
        <f t="shared" si="1110"/>
        <v>0</v>
      </c>
      <c r="DC414" s="269">
        <f t="shared" si="1046"/>
        <v>0</v>
      </c>
      <c r="DD414" s="207">
        <v>0</v>
      </c>
      <c r="DE414" s="606">
        <v>0</v>
      </c>
      <c r="DF414" s="269">
        <f>'Detailed Budget'!$AC$147</f>
        <v>5913600671000</v>
      </c>
      <c r="DG414" s="269">
        <f t="shared" si="1086"/>
        <v>0</v>
      </c>
      <c r="DH414" s="269">
        <f>'Detailed Budget'!$AC$153</f>
        <v>226428026880.00003</v>
      </c>
      <c r="DI414" s="269"/>
      <c r="DJ414" s="269">
        <f>'Detailed Budget'!$AC$156</f>
        <v>27713070000</v>
      </c>
      <c r="DK414" s="269"/>
      <c r="DL414" s="269"/>
      <c r="DM414" s="196">
        <f>'Detailed Budget'!$AC$178</f>
        <v>5622683761.6229038</v>
      </c>
      <c r="DN414" s="269">
        <f t="shared" si="1140"/>
        <v>14708007.482219668</v>
      </c>
      <c r="DO414" s="196">
        <f>'Detailed Budget'!$AC$179</f>
        <v>26827890683.128094</v>
      </c>
      <c r="DP414" s="269">
        <f t="shared" si="1141"/>
        <v>70177309.836853325</v>
      </c>
      <c r="DQ414" s="269">
        <f t="shared" si="1008"/>
        <v>84885317.319072992</v>
      </c>
      <c r="DR414" s="269">
        <f>'Detailed Budget'!$AC$181</f>
        <v>50888946855.375237</v>
      </c>
      <c r="DS414" s="269">
        <f t="shared" si="1142"/>
        <v>100930497.39628734</v>
      </c>
      <c r="DT414" s="269">
        <f t="shared" si="1143"/>
        <v>185815814.71536034</v>
      </c>
      <c r="DU414" s="272">
        <f>'Detailed Budget'!$AC$192</f>
        <v>77498869683.252869</v>
      </c>
      <c r="DV414" s="269">
        <f t="shared" si="1111"/>
        <v>0</v>
      </c>
      <c r="DW414" s="140">
        <f>'Detailed Budget'!$AC$194</f>
        <v>2684962805.4134097</v>
      </c>
      <c r="DX414" s="269">
        <f t="shared" si="1112"/>
        <v>0</v>
      </c>
      <c r="DY414" s="607">
        <f t="shared" si="1047"/>
        <v>0</v>
      </c>
      <c r="DZ414" s="196">
        <f>'Detailed Budget'!$AC$198</f>
        <v>18732540018.380611</v>
      </c>
      <c r="EA414" s="269">
        <f t="shared" si="1113"/>
        <v>11326883.361220542</v>
      </c>
      <c r="EB414" s="196">
        <f>'Detailed Budget'!$AC$200</f>
        <v>4683135004.5951529</v>
      </c>
      <c r="EC414" s="269">
        <f t="shared" si="1114"/>
        <v>2831720.8403051356</v>
      </c>
      <c r="ED414" s="269">
        <f t="shared" si="1048"/>
        <v>14158604.201525677</v>
      </c>
      <c r="EE414" s="196">
        <f>'Detailed Budget'!$AC$161</f>
        <v>251147290106.36197</v>
      </c>
      <c r="EF414" s="269">
        <f t="shared" si="1115"/>
        <v>217455775.77364764</v>
      </c>
      <c r="EG414" s="196">
        <f>'Detailed Budget'!$AC$163</f>
        <v>15696705631.647623</v>
      </c>
      <c r="EH414" s="269">
        <f t="shared" si="1116"/>
        <v>13590985.985852977</v>
      </c>
      <c r="EI414" s="269">
        <f t="shared" si="1049"/>
        <v>231046761.75950062</v>
      </c>
      <c r="EJ414" s="196">
        <f>'Detailed Budget'!$AC$204</f>
        <v>45012172507.531975</v>
      </c>
      <c r="EK414" s="269">
        <f t="shared" si="1117"/>
        <v>38491287.529353589</v>
      </c>
      <c r="EL414" s="201">
        <f>'Detailed Budget'!$AC$206</f>
        <v>11253043126.882994</v>
      </c>
      <c r="EM414" s="269">
        <f t="shared" si="1118"/>
        <v>9622821.8823383972</v>
      </c>
      <c r="EN414" s="269">
        <f t="shared" si="1050"/>
        <v>48114109.411691986</v>
      </c>
      <c r="EO414" s="140">
        <f>'Detailed Budget'!$AC$209</f>
        <v>135789361677.54817</v>
      </c>
      <c r="EP414" s="269">
        <f t="shared" si="1119"/>
        <v>81976917.128142416</v>
      </c>
      <c r="EQ414" s="196">
        <f>'Detailed Budget'!$AC$211</f>
        <v>33947340419.387043</v>
      </c>
      <c r="ER414" s="269">
        <f t="shared" si="1120"/>
        <v>20494229.282035604</v>
      </c>
      <c r="ES414" s="269">
        <f t="shared" si="1051"/>
        <v>102471146.41017802</v>
      </c>
      <c r="ET414" s="196">
        <f>'Detailed Budget'!$AC$214</f>
        <v>22239745544.201103</v>
      </c>
      <c r="EU414" s="269">
        <f t="shared" si="1121"/>
        <v>13039239.86245699</v>
      </c>
      <c r="EV414" s="140">
        <f>'Detailed Budget'!$AC$217</f>
        <v>5559936386.0502758</v>
      </c>
      <c r="EW414" s="269">
        <f t="shared" si="1122"/>
        <v>3259809.9656142476</v>
      </c>
      <c r="EX414" s="269">
        <f t="shared" si="1052"/>
        <v>16299049.828071238</v>
      </c>
      <c r="EY414" s="196">
        <f>'Detailed Budget'!$AC$219</f>
        <v>372777004.58170313</v>
      </c>
      <c r="EZ414" s="269">
        <f t="shared" si="1123"/>
        <v>228806.06096171937</v>
      </c>
      <c r="FA414" s="196">
        <f>'Detailed Budget'!$AC$222</f>
        <v>93194251.145425782</v>
      </c>
      <c r="FB414" s="269">
        <f t="shared" si="1124"/>
        <v>57201.515240429842</v>
      </c>
      <c r="FC414" s="269">
        <f t="shared" si="1053"/>
        <v>286007.57620214921</v>
      </c>
      <c r="FD414" s="269"/>
      <c r="FE414" s="269">
        <f t="shared" si="1054"/>
        <v>167170313.22614339</v>
      </c>
      <c r="FF414" s="140">
        <f>'Detailed Budget'!$AC$165</f>
        <v>14927760000</v>
      </c>
      <c r="FG414" s="1087">
        <f t="shared" si="1087"/>
        <v>228031372.88767076</v>
      </c>
      <c r="FH414" s="269">
        <f t="shared" si="1125"/>
        <v>16961436.200431772</v>
      </c>
      <c r="FJ414" s="140">
        <f>'Detailed Budget'!$AC$235</f>
        <v>3623696172</v>
      </c>
      <c r="FK414" s="269">
        <f t="shared" si="1126"/>
        <v>4681778</v>
      </c>
      <c r="FL414" s="269">
        <f t="shared" si="1088"/>
        <v>4681778</v>
      </c>
      <c r="FO414" s="607"/>
      <c r="FP414" s="607"/>
      <c r="FQ414" s="607"/>
      <c r="FR414" s="269">
        <f>'Detailed Budget'!$AC$257</f>
        <v>13636439388</v>
      </c>
      <c r="FS414" s="269">
        <f t="shared" si="1127"/>
        <v>18487716</v>
      </c>
      <c r="FT414" s="269">
        <f t="shared" si="1089"/>
        <v>18487716</v>
      </c>
      <c r="FU414" s="269"/>
      <c r="FV414" s="269"/>
      <c r="FW414" s="269"/>
      <c r="FX414" s="140">
        <f>'Detailed Budget'!$AC$278</f>
        <v>1114560000</v>
      </c>
      <c r="FY414" s="269">
        <f t="shared" si="1128"/>
        <v>1440000</v>
      </c>
      <c r="FZ414" s="269">
        <f t="shared" si="1090"/>
        <v>1440000</v>
      </c>
      <c r="GB414" s="269">
        <f t="shared" si="1098"/>
        <v>1620957504.0641377</v>
      </c>
      <c r="GC414" s="887">
        <f t="shared" si="1055"/>
        <v>1013098.440040086</v>
      </c>
      <c r="GD414" s="1078">
        <f t="shared" si="1099"/>
        <v>9.0957029802812329E-4</v>
      </c>
    </row>
    <row r="415" spans="1:186" hidden="1" outlineLevel="1">
      <c r="A415" s="211" t="s">
        <v>966</v>
      </c>
      <c r="B415" s="212" t="s">
        <v>967</v>
      </c>
      <c r="C415" s="213" t="s">
        <v>215</v>
      </c>
      <c r="D415" s="214" t="s">
        <v>215</v>
      </c>
      <c r="E415" s="213"/>
      <c r="F415" s="213"/>
      <c r="G415" s="213"/>
      <c r="H415" s="213" t="s">
        <v>215</v>
      </c>
      <c r="I415" s="214"/>
      <c r="J415" s="214" t="s">
        <v>215</v>
      </c>
      <c r="K415" s="213"/>
      <c r="L415" s="213" t="s">
        <v>215</v>
      </c>
      <c r="M415" s="214"/>
      <c r="N415" s="213"/>
      <c r="O415" s="214"/>
      <c r="P415" s="213"/>
      <c r="Q415" s="214"/>
      <c r="R415" s="214" t="s">
        <v>215</v>
      </c>
      <c r="S415" s="214"/>
      <c r="T415" s="214"/>
      <c r="U415" s="215">
        <f t="shared" si="1129"/>
        <v>6</v>
      </c>
      <c r="V415" s="845" t="s">
        <v>957</v>
      </c>
      <c r="W415" s="216">
        <v>146211</v>
      </c>
      <c r="X415" s="217">
        <v>3.17</v>
      </c>
      <c r="Y415" s="218">
        <f t="shared" si="1101"/>
        <v>1.0317000000000001</v>
      </c>
      <c r="Z415" s="196">
        <v>19</v>
      </c>
      <c r="AA415" s="218">
        <f t="shared" si="1102"/>
        <v>1.8093191519340412</v>
      </c>
      <c r="AB415" s="196">
        <f t="shared" si="1103"/>
        <v>264542.36252342811</v>
      </c>
      <c r="AC415">
        <v>20.2</v>
      </c>
      <c r="AD415" s="196">
        <f t="shared" si="1104"/>
        <v>53437.557229732483</v>
      </c>
      <c r="AE415" s="196">
        <f t="shared" si="1148"/>
        <v>50765.679368245859</v>
      </c>
      <c r="AF415" s="196">
        <f t="shared" si="1130"/>
        <v>50765.679368245859</v>
      </c>
      <c r="AG415" s="606">
        <f t="shared" si="1058"/>
        <v>2.3471821484793666E-3</v>
      </c>
      <c r="AH415" s="196">
        <f t="shared" si="1144"/>
        <v>13227.118126171406</v>
      </c>
      <c r="AI415" s="248">
        <f t="shared" si="1034"/>
        <v>1.0246848001930055E-3</v>
      </c>
      <c r="AJ415" s="196">
        <f t="shared" si="1038"/>
        <v>66664.675355903892</v>
      </c>
      <c r="AK415" s="196">
        <f t="shared" si="1067"/>
        <v>10581.694500937125</v>
      </c>
      <c r="AL415" s="196">
        <f t="shared" si="1068"/>
        <v>10581.694500937125</v>
      </c>
      <c r="AM415" s="196">
        <f t="shared" si="1039"/>
        <v>21163.38900187425</v>
      </c>
      <c r="AN415" s="627">
        <f t="shared" si="1040"/>
        <v>1.0246848001930055E-3</v>
      </c>
      <c r="AO415" s="196">
        <f t="shared" si="1041"/>
        <v>10052.609775890267</v>
      </c>
      <c r="AP415" s="589">
        <f t="shared" si="1059"/>
        <v>1.0246848001930053E-3</v>
      </c>
      <c r="AQ415" s="196"/>
      <c r="AR415" s="589"/>
      <c r="AS415">
        <v>1</v>
      </c>
      <c r="AT415" s="589">
        <f t="shared" si="1060"/>
        <v>1.2919896640826874E-3</v>
      </c>
      <c r="AU415" s="196">
        <v>11</v>
      </c>
      <c r="AV415" s="245">
        <f t="shared" si="1042"/>
        <v>1.2498579706851495E-3</v>
      </c>
      <c r="AX415" s="245"/>
      <c r="AY415" s="245"/>
      <c r="AZ415" s="196">
        <v>27</v>
      </c>
      <c r="BA415" s="589">
        <f t="shared" si="1092"/>
        <v>9.8933714411344391E-4</v>
      </c>
      <c r="BI415" s="196">
        <v>0</v>
      </c>
      <c r="BJ415" s="196">
        <f t="shared" si="1131"/>
        <v>139948.45292711636</v>
      </c>
      <c r="BK415" s="246">
        <f t="shared" si="1093"/>
        <v>2.6687325610771106E-3</v>
      </c>
      <c r="BL415" s="196">
        <f t="shared" si="1145"/>
        <v>2798.9690585423273</v>
      </c>
      <c r="BM415" s="246">
        <f t="shared" si="1094"/>
        <v>2.6687322557304269E-3</v>
      </c>
      <c r="BN415" s="196">
        <v>0</v>
      </c>
      <c r="BO415" s="196">
        <f t="shared" si="1132"/>
        <v>17529.247216104017</v>
      </c>
      <c r="BP415" s="196">
        <f t="shared" si="1043"/>
        <v>0</v>
      </c>
      <c r="BQ415" s="248">
        <f t="shared" si="1095"/>
        <v>0</v>
      </c>
      <c r="BR415" s="248"/>
      <c r="BS415" s="248"/>
      <c r="BT415" s="276">
        <v>1</v>
      </c>
      <c r="BU415" s="196">
        <f t="shared" si="1146"/>
        <v>44631.047798272572</v>
      </c>
      <c r="BV415" s="264">
        <f t="shared" si="1096"/>
        <v>3.095694013490928E-3</v>
      </c>
      <c r="BW415" s="196">
        <f t="shared" si="1147"/>
        <v>190921.70447038821</v>
      </c>
      <c r="BX415" s="247">
        <f t="shared" si="1097"/>
        <v>3.095694041377058E-3</v>
      </c>
      <c r="BY415" s="196">
        <f t="shared" si="1100"/>
        <v>235552.75226866078</v>
      </c>
      <c r="BZ415" s="620">
        <v>0</v>
      </c>
      <c r="CA415" s="196">
        <f t="shared" si="1133"/>
        <v>80949.962932169001</v>
      </c>
      <c r="CB415" s="196">
        <f t="shared" si="1134"/>
        <v>161899.925864338</v>
      </c>
      <c r="CC415" s="196">
        <f t="shared" si="1056"/>
        <v>242849.888796507</v>
      </c>
      <c r="CD415" s="247">
        <f t="shared" si="1044"/>
        <v>1.0246848001930055E-3</v>
      </c>
      <c r="CE415" s="196">
        <f t="shared" si="1135"/>
        <v>16570.960670732169</v>
      </c>
      <c r="CF415" s="247">
        <f t="shared" si="1045"/>
        <v>7.1558561654953693E-4</v>
      </c>
      <c r="CG415" s="196">
        <f t="shared" si="1106"/>
        <v>40210.439103561068</v>
      </c>
      <c r="CH415" s="589">
        <f t="shared" si="1061"/>
        <v>1.0246848001930053E-3</v>
      </c>
      <c r="CI415" s="196">
        <f t="shared" si="1136"/>
        <v>61557.157999282565</v>
      </c>
      <c r="CJ415" s="248">
        <f t="shared" si="1062"/>
        <v>1.0119995212554793E-3</v>
      </c>
      <c r="CK415" s="196">
        <f t="shared" si="1137"/>
        <v>49700.368728646979</v>
      </c>
      <c r="CL415" s="589">
        <f t="shared" si="1063"/>
        <v>7.1445302340399899E-4</v>
      </c>
      <c r="CM415" s="196">
        <f t="shared" si="1138"/>
        <v>4814.7314985872663</v>
      </c>
      <c r="CN415" s="589">
        <f t="shared" si="1064"/>
        <v>6.9385752668975136E-4</v>
      </c>
      <c r="CO415" s="196">
        <f t="shared" si="1139"/>
        <v>385.1767239819855</v>
      </c>
      <c r="CP415" s="589">
        <f t="shared" si="1065"/>
        <v>7.2638397329262199E-4</v>
      </c>
      <c r="CQ415" s="196">
        <f>'Detailed Budget'!$AC$12</f>
        <v>292876014141.44696</v>
      </c>
      <c r="CR415" s="269">
        <f t="shared" si="1066"/>
        <v>781607755.29775977</v>
      </c>
      <c r="CS415" s="269">
        <f>'Detailed Budget'!$AC$16</f>
        <v>10488008800.000002</v>
      </c>
      <c r="CT415" s="607">
        <f t="shared" si="1108"/>
        <v>27989687.382944573</v>
      </c>
      <c r="CU415" s="269">
        <f>'Detailed Budget'!$AC$24</f>
        <v>30624985696</v>
      </c>
      <c r="CV415" s="269">
        <f t="shared" si="1091"/>
        <v>81729896.509435952</v>
      </c>
      <c r="CW415" s="269"/>
      <c r="CX415" s="269">
        <f t="shared" si="1057"/>
        <v>891327339.19014025</v>
      </c>
      <c r="CY415" s="196">
        <f>'Detailed Budget'!$AC$97</f>
        <v>74629165494.837845</v>
      </c>
      <c r="CZ415" s="269">
        <f t="shared" si="1109"/>
        <v>0</v>
      </c>
      <c r="DA415" s="269">
        <f>'Detailed Budget'!$AC$100</f>
        <v>14925833098.967569</v>
      </c>
      <c r="DB415" s="269">
        <f t="shared" si="1110"/>
        <v>0</v>
      </c>
      <c r="DC415" s="269">
        <f t="shared" si="1046"/>
        <v>0</v>
      </c>
      <c r="DD415" s="207">
        <v>0</v>
      </c>
      <c r="DE415" s="606">
        <v>0</v>
      </c>
      <c r="DF415" s="269">
        <f>'Detailed Budget'!$AC$147</f>
        <v>5913600671000</v>
      </c>
      <c r="DG415" s="269">
        <f t="shared" si="1086"/>
        <v>0</v>
      </c>
      <c r="DH415" s="269">
        <f>'Detailed Budget'!$AC$153</f>
        <v>226428026880.00003</v>
      </c>
      <c r="DI415" s="269"/>
      <c r="DJ415" s="269">
        <f>'Detailed Budget'!$AC$156</f>
        <v>27713070000</v>
      </c>
      <c r="DK415" s="269"/>
      <c r="DL415" s="269"/>
      <c r="DM415" s="196">
        <f>'Detailed Budget'!$AC$178</f>
        <v>5622683761.6229038</v>
      </c>
      <c r="DN415" s="269">
        <f t="shared" si="1140"/>
        <v>17406108.460608676</v>
      </c>
      <c r="DO415" s="196">
        <f>'Detailed Budget'!$AC$179</f>
        <v>26827890683.128094</v>
      </c>
      <c r="DP415" s="269">
        <f t="shared" si="1141"/>
        <v>83050941.330474734</v>
      </c>
      <c r="DQ415" s="269">
        <f t="shared" si="1008"/>
        <v>100457049.79108341</v>
      </c>
      <c r="DR415" s="269">
        <f>'Detailed Budget'!$AC$181</f>
        <v>50888946855.375237</v>
      </c>
      <c r="DS415" s="269">
        <f t="shared" si="1142"/>
        <v>119445627.61385195</v>
      </c>
      <c r="DT415" s="269">
        <f t="shared" si="1143"/>
        <v>219902677.40493536</v>
      </c>
      <c r="DU415" s="272">
        <f>'Detailed Budget'!$AC$192</f>
        <v>77498869683.252869</v>
      </c>
      <c r="DV415" s="269">
        <f t="shared" si="1111"/>
        <v>0</v>
      </c>
      <c r="DW415" s="140">
        <f>'Detailed Budget'!$AC$194</f>
        <v>2684962805.4134097</v>
      </c>
      <c r="DX415" s="269">
        <f t="shared" si="1112"/>
        <v>0</v>
      </c>
      <c r="DY415" s="607">
        <f t="shared" si="1047"/>
        <v>0</v>
      </c>
      <c r="DZ415" s="196">
        <f>'Detailed Budget'!$AC$198</f>
        <v>18732540018.380611</v>
      </c>
      <c r="EA415" s="269">
        <f t="shared" si="1113"/>
        <v>13404736.198591763</v>
      </c>
      <c r="EB415" s="196">
        <f>'Detailed Budget'!$AC$200</f>
        <v>4683135004.5951529</v>
      </c>
      <c r="EC415" s="269">
        <f t="shared" si="1114"/>
        <v>3351184.0496479408</v>
      </c>
      <c r="ED415" s="269">
        <f t="shared" si="1048"/>
        <v>16755920.248239703</v>
      </c>
      <c r="EE415" s="196">
        <f>'Detailed Budget'!$AC$161</f>
        <v>251147290106.36197</v>
      </c>
      <c r="EF415" s="269">
        <f t="shared" si="1115"/>
        <v>257346810.78165224</v>
      </c>
      <c r="EG415" s="196">
        <f>'Detailed Budget'!$AC$163</f>
        <v>15696705631.647623</v>
      </c>
      <c r="EH415" s="269">
        <f t="shared" si="1116"/>
        <v>16084175.673853265</v>
      </c>
      <c r="EI415" s="269">
        <f t="shared" si="1049"/>
        <v>273430986.45550549</v>
      </c>
      <c r="EJ415" s="196">
        <f>'Detailed Budget'!$AC$204</f>
        <v>45012172507.531975</v>
      </c>
      <c r="EK415" s="269">
        <f t="shared" si="1117"/>
        <v>45552297.028291404</v>
      </c>
      <c r="EL415" s="201">
        <f>'Detailed Budget'!$AC$206</f>
        <v>11253043126.882994</v>
      </c>
      <c r="EM415" s="269">
        <f t="shared" si="1118"/>
        <v>11388074.257072851</v>
      </c>
      <c r="EN415" s="269">
        <f t="shared" si="1050"/>
        <v>56940371.285364255</v>
      </c>
      <c r="EO415" s="140">
        <f>'Detailed Budget'!$AC$209</f>
        <v>135789361677.54817</v>
      </c>
      <c r="EP415" s="269">
        <f t="shared" si="1119"/>
        <v>97015119.996623412</v>
      </c>
      <c r="EQ415" s="196">
        <f>'Detailed Budget'!$AC$211</f>
        <v>33947340419.387043</v>
      </c>
      <c r="ER415" s="269">
        <f t="shared" si="1120"/>
        <v>24253779.999155853</v>
      </c>
      <c r="ES415" s="269">
        <f t="shared" si="1051"/>
        <v>121268899.99577926</v>
      </c>
      <c r="ET415" s="196">
        <f>'Detailed Budget'!$AC$214</f>
        <v>22239745544.201103</v>
      </c>
      <c r="EU415" s="269">
        <f t="shared" si="1121"/>
        <v>15431214.837508796</v>
      </c>
      <c r="EV415" s="140">
        <f>'Detailed Budget'!$AC$217</f>
        <v>5559936386.0502758</v>
      </c>
      <c r="EW415" s="269">
        <f t="shared" si="1122"/>
        <v>3857803.7093771989</v>
      </c>
      <c r="EX415" s="269">
        <f t="shared" si="1052"/>
        <v>19289018.546885993</v>
      </c>
      <c r="EY415" s="196">
        <f>'Detailed Budget'!$AC$219</f>
        <v>372777004.58170313</v>
      </c>
      <c r="EZ415" s="269">
        <f t="shared" si="1123"/>
        <v>270779.24174017948</v>
      </c>
      <c r="FA415" s="196">
        <f>'Detailed Budget'!$AC$222</f>
        <v>93194251.145425782</v>
      </c>
      <c r="FB415" s="269">
        <f t="shared" si="1124"/>
        <v>67694.81043504487</v>
      </c>
      <c r="FC415" s="269">
        <f t="shared" si="1053"/>
        <v>338474.05217522435</v>
      </c>
      <c r="FD415" s="269"/>
      <c r="FE415" s="269">
        <f t="shared" si="1054"/>
        <v>197836763.88020474</v>
      </c>
      <c r="FF415" s="140">
        <f>'Detailed Budget'!$AC$165</f>
        <v>14927760000</v>
      </c>
      <c r="FG415" s="1087">
        <f t="shared" si="1087"/>
        <v>269862441.51035017</v>
      </c>
      <c r="FH415" s="269">
        <f t="shared" si="1125"/>
        <v>18657579.820474949</v>
      </c>
      <c r="FJ415" s="140">
        <f>'Detailed Budget'!$AC$235</f>
        <v>3623696172</v>
      </c>
      <c r="FK415" s="269">
        <f t="shared" si="1126"/>
        <v>4681778</v>
      </c>
      <c r="FL415" s="269">
        <f t="shared" si="1088"/>
        <v>4681778</v>
      </c>
      <c r="FO415" s="607"/>
      <c r="FP415" s="607"/>
      <c r="FQ415" s="607"/>
      <c r="FR415" s="269">
        <f>'Detailed Budget'!$AC$257</f>
        <v>13636439388</v>
      </c>
      <c r="FS415" s="269">
        <f t="shared" si="1127"/>
        <v>13491035.999999998</v>
      </c>
      <c r="FT415" s="269">
        <f t="shared" si="1089"/>
        <v>13491035.999999998</v>
      </c>
      <c r="FU415" s="269"/>
      <c r="FV415" s="269"/>
      <c r="FW415" s="269"/>
      <c r="FX415" s="140">
        <f>'Detailed Budget'!$AC$278</f>
        <v>1114560000</v>
      </c>
      <c r="FY415" s="269">
        <f t="shared" si="1128"/>
        <v>1440000</v>
      </c>
      <c r="FZ415" s="269">
        <f t="shared" si="1090"/>
        <v>1440000</v>
      </c>
      <c r="GB415" s="269">
        <f t="shared" si="1098"/>
        <v>1907386522.5098507</v>
      </c>
      <c r="GC415" s="887">
        <f t="shared" si="1055"/>
        <v>1192116.5765686566</v>
      </c>
      <c r="GD415" s="1078">
        <f t="shared" si="1099"/>
        <v>1.0702946396708647E-3</v>
      </c>
    </row>
    <row r="416" spans="1:186" hidden="1" outlineLevel="1">
      <c r="A416" s="211" t="s">
        <v>968</v>
      </c>
      <c r="B416" s="212" t="s">
        <v>969</v>
      </c>
      <c r="C416" s="213" t="s">
        <v>215</v>
      </c>
      <c r="D416" s="214" t="s">
        <v>215</v>
      </c>
      <c r="E416" s="213"/>
      <c r="F416" s="213"/>
      <c r="G416" s="213"/>
      <c r="H416" s="213" t="s">
        <v>215</v>
      </c>
      <c r="I416" s="214"/>
      <c r="J416" s="214" t="s">
        <v>215</v>
      </c>
      <c r="K416" s="213"/>
      <c r="L416" s="213" t="s">
        <v>215</v>
      </c>
      <c r="M416" s="214"/>
      <c r="N416" s="213"/>
      <c r="O416" s="214"/>
      <c r="P416" s="213"/>
      <c r="Q416" s="214"/>
      <c r="R416" s="214" t="s">
        <v>215</v>
      </c>
      <c r="S416" s="214"/>
      <c r="T416" s="214"/>
      <c r="U416" s="215">
        <f t="shared" si="1129"/>
        <v>6</v>
      </c>
      <c r="V416" s="845" t="s">
        <v>957</v>
      </c>
      <c r="W416" s="216">
        <v>119772</v>
      </c>
      <c r="X416" s="217">
        <v>3.17</v>
      </c>
      <c r="Y416" s="218">
        <f t="shared" si="1101"/>
        <v>1.0317000000000001</v>
      </c>
      <c r="Z416" s="196">
        <v>19</v>
      </c>
      <c r="AA416" s="218">
        <f t="shared" si="1102"/>
        <v>1.8093191519340412</v>
      </c>
      <c r="AB416" s="196">
        <f t="shared" si="1103"/>
        <v>216705.77346544398</v>
      </c>
      <c r="AC416">
        <v>20.2</v>
      </c>
      <c r="AD416" s="196">
        <f t="shared" si="1104"/>
        <v>43774.566240019689</v>
      </c>
      <c r="AE416" s="196">
        <f t="shared" si="1148"/>
        <v>41585.8379280187</v>
      </c>
      <c r="AF416" s="196">
        <f t="shared" si="1130"/>
        <v>41585.8379280187</v>
      </c>
      <c r="AG416" s="606">
        <f t="shared" si="1058"/>
        <v>1.9227465805423029E-3</v>
      </c>
      <c r="AH416" s="196">
        <f t="shared" si="1144"/>
        <v>10835.2886732722</v>
      </c>
      <c r="AI416" s="248">
        <f t="shared" si="1034"/>
        <v>8.3939339645250116E-4</v>
      </c>
      <c r="AJ416" s="196">
        <f t="shared" si="1038"/>
        <v>54609.854913291885</v>
      </c>
      <c r="AK416" s="196">
        <f t="shared" si="1067"/>
        <v>8668.2309386177603</v>
      </c>
      <c r="AL416" s="196">
        <f t="shared" si="1068"/>
        <v>8668.2309386177603</v>
      </c>
      <c r="AM416" s="196">
        <f t="shared" si="1039"/>
        <v>17336.461877235521</v>
      </c>
      <c r="AN416" s="627">
        <f t="shared" si="1040"/>
        <v>8.3939339645250116E-4</v>
      </c>
      <c r="AO416" s="196">
        <f t="shared" si="1041"/>
        <v>8234.8193916868713</v>
      </c>
      <c r="AP416" s="589">
        <f t="shared" si="1059"/>
        <v>8.3939339645250105E-4</v>
      </c>
      <c r="AQ416" s="196"/>
      <c r="AR416" s="589"/>
      <c r="AS416">
        <v>1</v>
      </c>
      <c r="AT416" s="589">
        <f t="shared" si="1060"/>
        <v>1.2919896640826874E-3</v>
      </c>
      <c r="AU416" s="196">
        <v>10</v>
      </c>
      <c r="AV416" s="245">
        <f t="shared" si="1042"/>
        <v>1.1362345188046814E-3</v>
      </c>
      <c r="AX416" s="245"/>
      <c r="AY416" s="245"/>
      <c r="AZ416" s="196">
        <v>50</v>
      </c>
      <c r="BA416" s="589">
        <f t="shared" si="1092"/>
        <v>1.8321058224323038E-3</v>
      </c>
      <c r="BI416" s="196">
        <v>0</v>
      </c>
      <c r="BJ416" s="196">
        <f t="shared" si="1131"/>
        <v>114641.89495993174</v>
      </c>
      <c r="BK416" s="246">
        <f t="shared" si="1093"/>
        <v>2.1861517690551849E-3</v>
      </c>
      <c r="BL416" s="196">
        <f t="shared" si="1145"/>
        <v>2292.8378991986347</v>
      </c>
      <c r="BM416" s="246">
        <f t="shared" si="1094"/>
        <v>2.1861515189236418E-3</v>
      </c>
      <c r="BN416" s="196">
        <v>0</v>
      </c>
      <c r="BO416" s="196">
        <f t="shared" si="1132"/>
        <v>14359.473620775525</v>
      </c>
      <c r="BP416" s="196">
        <f t="shared" si="1043"/>
        <v>0</v>
      </c>
      <c r="BQ416" s="248">
        <f t="shared" si="1095"/>
        <v>0</v>
      </c>
      <c r="BR416" s="248"/>
      <c r="BS416" s="248"/>
      <c r="BT416" s="276">
        <v>1</v>
      </c>
      <c r="BU416" s="196">
        <f t="shared" si="1146"/>
        <v>36560.517723664438</v>
      </c>
      <c r="BV416" s="264">
        <f t="shared" si="1096"/>
        <v>2.535906760666676E-3</v>
      </c>
      <c r="BW416" s="196">
        <f t="shared" si="1147"/>
        <v>156397.77026234232</v>
      </c>
      <c r="BX416" s="247">
        <f t="shared" si="1097"/>
        <v>2.5359067835102212E-3</v>
      </c>
      <c r="BY416" s="196">
        <f t="shared" si="1100"/>
        <v>192958.28798600676</v>
      </c>
      <c r="BZ416" s="620">
        <v>0</v>
      </c>
      <c r="CA416" s="196">
        <f t="shared" si="1133"/>
        <v>66311.96668042586</v>
      </c>
      <c r="CB416" s="196">
        <f t="shared" si="1134"/>
        <v>132623.93336085172</v>
      </c>
      <c r="CC416" s="196">
        <f t="shared" si="1056"/>
        <v>198935.90004127758</v>
      </c>
      <c r="CD416" s="247">
        <f t="shared" si="1044"/>
        <v>8.3939339645250116E-4</v>
      </c>
      <c r="CE416" s="196">
        <f t="shared" si="1135"/>
        <v>13574.471834916205</v>
      </c>
      <c r="CF416" s="247">
        <f t="shared" si="1045"/>
        <v>5.8618790970153497E-4</v>
      </c>
      <c r="CG416" s="196">
        <f t="shared" si="1106"/>
        <v>32939.277566747485</v>
      </c>
      <c r="CH416" s="589">
        <f t="shared" si="1061"/>
        <v>8.3939339645250105E-4</v>
      </c>
      <c r="CI416" s="196">
        <f t="shared" si="1136"/>
        <v>50425.918213336008</v>
      </c>
      <c r="CJ416" s="248">
        <f t="shared" si="1062"/>
        <v>8.290019674293402E-4</v>
      </c>
      <c r="CK416" s="196">
        <f t="shared" si="1137"/>
        <v>40713.164969581674</v>
      </c>
      <c r="CL416" s="589">
        <f t="shared" si="1063"/>
        <v>5.8526012077848974E-4</v>
      </c>
      <c r="CM416" s="196">
        <f t="shared" si="1138"/>
        <v>3944.0946375361232</v>
      </c>
      <c r="CN416" s="589">
        <f t="shared" si="1064"/>
        <v>5.683888605281744E-4</v>
      </c>
      <c r="CO416" s="196">
        <f t="shared" si="1139"/>
        <v>315.52609984727803</v>
      </c>
      <c r="CP416" s="589">
        <f t="shared" si="1065"/>
        <v>5.9503362434566427E-4</v>
      </c>
      <c r="CQ416" s="196">
        <f>'Detailed Budget'!$AC$12</f>
        <v>292876014141.44696</v>
      </c>
      <c r="CR416" s="269">
        <f t="shared" si="1066"/>
        <v>640271416.42915559</v>
      </c>
      <c r="CS416" s="269">
        <f>'Detailed Budget'!$AC$16</f>
        <v>10488008800.000002</v>
      </c>
      <c r="CT416" s="607">
        <f t="shared" si="1108"/>
        <v>22928376.368604526</v>
      </c>
      <c r="CU416" s="269">
        <f>'Detailed Budget'!$AC$24</f>
        <v>30624985696</v>
      </c>
      <c r="CV416" s="269">
        <f t="shared" si="1091"/>
        <v>66950866.656600133</v>
      </c>
      <c r="CW416" s="269"/>
      <c r="CX416" s="269">
        <f t="shared" si="1057"/>
        <v>730150659.45436025</v>
      </c>
      <c r="CY416" s="196">
        <f>'Detailed Budget'!$AC$97</f>
        <v>74629165494.837845</v>
      </c>
      <c r="CZ416" s="269">
        <f t="shared" si="1109"/>
        <v>0</v>
      </c>
      <c r="DA416" s="269">
        <f>'Detailed Budget'!$AC$100</f>
        <v>14925833098.967569</v>
      </c>
      <c r="DB416" s="269">
        <f t="shared" si="1110"/>
        <v>0</v>
      </c>
      <c r="DC416" s="269">
        <f t="shared" si="1046"/>
        <v>0</v>
      </c>
      <c r="DD416" s="207">
        <v>0</v>
      </c>
      <c r="DE416" s="606">
        <v>0</v>
      </c>
      <c r="DF416" s="269">
        <f>'Detailed Budget'!$AC$147</f>
        <v>5913600671000</v>
      </c>
      <c r="DG416" s="269">
        <f t="shared" si="1086"/>
        <v>0</v>
      </c>
      <c r="DH416" s="269">
        <f>'Detailed Budget'!$AC$153</f>
        <v>226428026880.00003</v>
      </c>
      <c r="DI416" s="269"/>
      <c r="DJ416" s="269">
        <f>'Detailed Budget'!$AC$156</f>
        <v>27713070000</v>
      </c>
      <c r="DK416" s="269"/>
      <c r="DL416" s="269"/>
      <c r="DM416" s="196">
        <f>'Detailed Budget'!$AC$178</f>
        <v>5622683761.6229038</v>
      </c>
      <c r="DN416" s="269">
        <f t="shared" si="1140"/>
        <v>14258601.764190258</v>
      </c>
      <c r="DO416" s="196">
        <f>'Detailed Budget'!$AC$179</f>
        <v>26827890683.128094</v>
      </c>
      <c r="DP416" s="269">
        <f t="shared" si="1141"/>
        <v>68033029.970615193</v>
      </c>
      <c r="DQ416" s="269">
        <f t="shared" si="1008"/>
        <v>82291631.73480545</v>
      </c>
      <c r="DR416" s="269">
        <f>'Detailed Budget'!$AC$181</f>
        <v>50888946855.375237</v>
      </c>
      <c r="DS416" s="269">
        <f t="shared" si="1142"/>
        <v>97846548.553571716</v>
      </c>
      <c r="DT416" s="269">
        <f t="shared" si="1143"/>
        <v>180138180.28837717</v>
      </c>
      <c r="DU416" s="272">
        <f>'Detailed Budget'!$AC$192</f>
        <v>77498869683.252869</v>
      </c>
      <c r="DV416" s="269">
        <f t="shared" si="1111"/>
        <v>0</v>
      </c>
      <c r="DW416" s="140">
        <f>'Detailed Budget'!$AC$194</f>
        <v>2684962805.4134097</v>
      </c>
      <c r="DX416" s="269">
        <f t="shared" si="1112"/>
        <v>0</v>
      </c>
      <c r="DY416" s="607">
        <f t="shared" si="1047"/>
        <v>0</v>
      </c>
      <c r="DZ416" s="196">
        <f>'Detailed Budget'!$AC$198</f>
        <v>18732540018.380611</v>
      </c>
      <c r="EA416" s="269">
        <f t="shared" si="1113"/>
        <v>10980788.476774884</v>
      </c>
      <c r="EB416" s="196">
        <f>'Detailed Budget'!$AC$200</f>
        <v>4683135004.5951529</v>
      </c>
      <c r="EC416" s="269">
        <f t="shared" si="1114"/>
        <v>2745197.1191937211</v>
      </c>
      <c r="ED416" s="269">
        <f t="shared" si="1048"/>
        <v>13725985.595968606</v>
      </c>
      <c r="EE416" s="196">
        <f>'Detailed Budget'!$AC$161</f>
        <v>251147290106.36197</v>
      </c>
      <c r="EF416" s="269">
        <f t="shared" si="1115"/>
        <v>210811376.85222077</v>
      </c>
      <c r="EG416" s="196">
        <f>'Detailed Budget'!$AC$163</f>
        <v>15696705631.647623</v>
      </c>
      <c r="EH416" s="269">
        <f t="shared" si="1116"/>
        <v>13175711.053263798</v>
      </c>
      <c r="EI416" s="269">
        <f t="shared" si="1049"/>
        <v>223987087.90548456</v>
      </c>
      <c r="EJ416" s="196">
        <f>'Detailed Budget'!$AC$204</f>
        <v>45012172507.531975</v>
      </c>
      <c r="EK416" s="269">
        <f t="shared" si="1117"/>
        <v>37315179.567012861</v>
      </c>
      <c r="EL416" s="201">
        <f>'Detailed Budget'!$AC$206</f>
        <v>11253043126.882994</v>
      </c>
      <c r="EM416" s="269">
        <f t="shared" si="1118"/>
        <v>9328794.8917532153</v>
      </c>
      <c r="EN416" s="269">
        <f t="shared" si="1050"/>
        <v>46643974.458766073</v>
      </c>
      <c r="EO416" s="140">
        <f>'Detailed Budget'!$AC$209</f>
        <v>135789361677.54817</v>
      </c>
      <c r="EP416" s="269">
        <f t="shared" si="1119"/>
        <v>79472098.215835869</v>
      </c>
      <c r="EQ416" s="196">
        <f>'Detailed Budget'!$AC$211</f>
        <v>33947340419.387043</v>
      </c>
      <c r="ER416" s="269">
        <f t="shared" si="1120"/>
        <v>19868024.553958967</v>
      </c>
      <c r="ES416" s="269">
        <f t="shared" si="1051"/>
        <v>99340122.769794837</v>
      </c>
      <c r="ET416" s="196">
        <f>'Detailed Budget'!$AC$214</f>
        <v>22239745544.201103</v>
      </c>
      <c r="EU416" s="269">
        <f t="shared" si="1121"/>
        <v>12640823.628305009</v>
      </c>
      <c r="EV416" s="140">
        <f>'Detailed Budget'!$AC$217</f>
        <v>5559936386.0502758</v>
      </c>
      <c r="EW416" s="269">
        <f t="shared" si="1122"/>
        <v>3160205.9070762522</v>
      </c>
      <c r="EX416" s="269">
        <f t="shared" si="1052"/>
        <v>15801029.535381261</v>
      </c>
      <c r="EY416" s="196">
        <f>'Detailed Budget'!$AC$219</f>
        <v>372777004.58170313</v>
      </c>
      <c r="EZ416" s="269">
        <f t="shared" si="1123"/>
        <v>221814.8521089711</v>
      </c>
      <c r="FA416" s="196">
        <f>'Detailed Budget'!$AC$222</f>
        <v>93194251.145425782</v>
      </c>
      <c r="FB416" s="269">
        <f t="shared" si="1124"/>
        <v>55453.713027242775</v>
      </c>
      <c r="FC416" s="269">
        <f t="shared" si="1053"/>
        <v>277268.5651362139</v>
      </c>
      <c r="FD416" s="269"/>
      <c r="FE416" s="269">
        <f t="shared" si="1054"/>
        <v>162062395.32907841</v>
      </c>
      <c r="FF416" s="140">
        <f>'Detailed Budget'!$AC$165</f>
        <v>14927760000</v>
      </c>
      <c r="FG416" s="1087">
        <f t="shared" si="1087"/>
        <v>221063834.76330552</v>
      </c>
      <c r="FH416" s="269">
        <f t="shared" si="1125"/>
        <v>16961436.200431772</v>
      </c>
      <c r="FJ416" s="140">
        <f>'Detailed Budget'!$AC$235</f>
        <v>3623696172</v>
      </c>
      <c r="FK416" s="269">
        <f t="shared" si="1126"/>
        <v>4681778</v>
      </c>
      <c r="FL416" s="269">
        <f t="shared" si="1088"/>
        <v>4681778</v>
      </c>
      <c r="FO416" s="607"/>
      <c r="FP416" s="607"/>
      <c r="FQ416" s="607"/>
      <c r="FR416" s="269">
        <f>'Detailed Budget'!$AC$257</f>
        <v>13636439388</v>
      </c>
      <c r="FS416" s="269">
        <f t="shared" si="1127"/>
        <v>24983400</v>
      </c>
      <c r="FT416" s="269">
        <f t="shared" si="1089"/>
        <v>24983400</v>
      </c>
      <c r="FU416" s="269"/>
      <c r="FV416" s="269"/>
      <c r="FW416" s="269"/>
      <c r="FX416" s="140">
        <f>'Detailed Budget'!$AC$278</f>
        <v>1114560000</v>
      </c>
      <c r="FY416" s="269">
        <f t="shared" si="1128"/>
        <v>1440000</v>
      </c>
      <c r="FZ416" s="269">
        <f t="shared" si="1090"/>
        <v>1440000</v>
      </c>
      <c r="GB416" s="269">
        <f t="shared" si="1098"/>
        <v>1579194757.5370064</v>
      </c>
      <c r="GC416" s="887">
        <f t="shared" si="1055"/>
        <v>986996.723460629</v>
      </c>
      <c r="GD416" s="1078">
        <f t="shared" si="1099"/>
        <v>8.8613590588032477E-4</v>
      </c>
    </row>
    <row r="417" spans="1:186" hidden="1" outlineLevel="1">
      <c r="A417" s="211" t="s">
        <v>970</v>
      </c>
      <c r="B417" s="212" t="s">
        <v>971</v>
      </c>
      <c r="C417" s="213" t="s">
        <v>215</v>
      </c>
      <c r="D417" s="214" t="s">
        <v>215</v>
      </c>
      <c r="E417" s="213"/>
      <c r="F417" s="213"/>
      <c r="G417" s="213"/>
      <c r="H417" s="213" t="s">
        <v>215</v>
      </c>
      <c r="I417" s="214"/>
      <c r="J417" s="214" t="s">
        <v>215</v>
      </c>
      <c r="K417" s="213"/>
      <c r="L417" s="213" t="s">
        <v>215</v>
      </c>
      <c r="M417" s="214"/>
      <c r="N417" s="213"/>
      <c r="O417" s="214"/>
      <c r="P417" s="213"/>
      <c r="Q417" s="214"/>
      <c r="R417" s="214" t="s">
        <v>215</v>
      </c>
      <c r="S417" s="214"/>
      <c r="T417" s="214"/>
      <c r="U417" s="215">
        <f t="shared" si="1129"/>
        <v>6</v>
      </c>
      <c r="V417" s="845" t="s">
        <v>957</v>
      </c>
      <c r="W417" s="216">
        <v>151077</v>
      </c>
      <c r="X417" s="217">
        <v>3.17</v>
      </c>
      <c r="Y417" s="218">
        <f t="shared" si="1101"/>
        <v>1.0317000000000001</v>
      </c>
      <c r="Z417" s="196">
        <v>19</v>
      </c>
      <c r="AA417" s="218">
        <f t="shared" si="1102"/>
        <v>1.8093191519340412</v>
      </c>
      <c r="AB417" s="196">
        <f t="shared" si="1103"/>
        <v>273346.50951673917</v>
      </c>
      <c r="AC417">
        <v>20.2</v>
      </c>
      <c r="AD417" s="196">
        <f t="shared" si="1104"/>
        <v>55215.994922381316</v>
      </c>
      <c r="AE417" s="196">
        <f t="shared" si="1148"/>
        <v>52455.195176262248</v>
      </c>
      <c r="AF417" s="196">
        <f t="shared" si="1130"/>
        <v>52455.195176262248</v>
      </c>
      <c r="AG417" s="606">
        <f t="shared" si="1058"/>
        <v>2.4252979423286707E-3</v>
      </c>
      <c r="AH417" s="196">
        <f t="shared" si="1144"/>
        <v>13667.325475836959</v>
      </c>
      <c r="AI417" s="248">
        <f t="shared" si="1034"/>
        <v>1.0587869965923132E-3</v>
      </c>
      <c r="AJ417" s="196">
        <f t="shared" si="1038"/>
        <v>68883.320398218275</v>
      </c>
      <c r="AK417" s="196">
        <f t="shared" si="1067"/>
        <v>10933.860380669566</v>
      </c>
      <c r="AL417" s="196">
        <f t="shared" si="1068"/>
        <v>10933.860380669566</v>
      </c>
      <c r="AM417" s="196">
        <f t="shared" si="1039"/>
        <v>21867.720761339133</v>
      </c>
      <c r="AN417" s="627">
        <f t="shared" si="1040"/>
        <v>1.0587869965923129E-3</v>
      </c>
      <c r="AO417" s="196">
        <f t="shared" si="1041"/>
        <v>10387.167361636088</v>
      </c>
      <c r="AP417" s="589">
        <f t="shared" si="1059"/>
        <v>1.0587869965923129E-3</v>
      </c>
      <c r="AQ417" s="196"/>
      <c r="AR417" s="589"/>
      <c r="AS417">
        <v>1</v>
      </c>
      <c r="AT417" s="589">
        <f t="shared" si="1060"/>
        <v>1.2919896640826874E-3</v>
      </c>
      <c r="AU417" s="196">
        <v>10</v>
      </c>
      <c r="AV417" s="245">
        <f t="shared" si="1042"/>
        <v>1.1362345188046814E-3</v>
      </c>
      <c r="AX417" s="245"/>
      <c r="AY417" s="245"/>
      <c r="AZ417" s="196">
        <v>54</v>
      </c>
      <c r="BA417" s="589">
        <f t="shared" si="1092"/>
        <v>1.9786742882268878E-3</v>
      </c>
      <c r="BI417" s="196">
        <v>0</v>
      </c>
      <c r="BJ417" s="196">
        <f t="shared" si="1131"/>
        <v>144606.03116639625</v>
      </c>
      <c r="BK417" s="246">
        <f t="shared" si="1093"/>
        <v>2.7575497680054624E-3</v>
      </c>
      <c r="BL417" s="196">
        <f t="shared" si="1145"/>
        <v>2892.1206233279249</v>
      </c>
      <c r="BM417" s="246">
        <f t="shared" si="1094"/>
        <v>2.7575494524966367E-3</v>
      </c>
      <c r="BN417" s="196">
        <v>0</v>
      </c>
      <c r="BO417" s="196">
        <f t="shared" si="1132"/>
        <v>18112.632303091745</v>
      </c>
      <c r="BP417" s="196">
        <f t="shared" si="1043"/>
        <v>0</v>
      </c>
      <c r="BQ417" s="248">
        <f t="shared" si="1095"/>
        <v>0</v>
      </c>
      <c r="BR417" s="248"/>
      <c r="BS417" s="248"/>
      <c r="BT417" s="276">
        <v>1</v>
      </c>
      <c r="BU417" s="196">
        <f t="shared" si="1146"/>
        <v>46116.398959172875</v>
      </c>
      <c r="BV417" s="264">
        <f t="shared" si="1096"/>
        <v>3.198720783498977E-3</v>
      </c>
      <c r="BW417" s="196">
        <f t="shared" si="1147"/>
        <v>197275.70665868398</v>
      </c>
      <c r="BX417" s="247">
        <f t="shared" si="1097"/>
        <v>3.1987208123131767E-3</v>
      </c>
      <c r="BY417" s="196">
        <f t="shared" si="1100"/>
        <v>243392.10561785684</v>
      </c>
      <c r="BZ417" s="620">
        <v>0</v>
      </c>
      <c r="CA417" s="196">
        <f t="shared" si="1133"/>
        <v>83644.031912122184</v>
      </c>
      <c r="CB417" s="196">
        <f t="shared" si="1134"/>
        <v>167288.06382424437</v>
      </c>
      <c r="CC417" s="196">
        <f t="shared" si="1056"/>
        <v>250932.09573636655</v>
      </c>
      <c r="CD417" s="247">
        <f t="shared" si="1044"/>
        <v>1.0587869965923129E-3</v>
      </c>
      <c r="CE417" s="196">
        <f t="shared" si="1135"/>
        <v>17122.453339709074</v>
      </c>
      <c r="CF417" s="247">
        <f t="shared" si="1045"/>
        <v>7.3940078510819544E-4</v>
      </c>
      <c r="CG417" s="196">
        <f t="shared" si="1106"/>
        <v>41548.669446544351</v>
      </c>
      <c r="CH417" s="589">
        <f t="shared" si="1061"/>
        <v>1.0587869965923129E-3</v>
      </c>
      <c r="CI417" s="196">
        <f t="shared" si="1136"/>
        <v>63605.821443377121</v>
      </c>
      <c r="CJ417" s="248">
        <f t="shared" si="1062"/>
        <v>1.0456795430761985E-3</v>
      </c>
      <c r="CK417" s="196">
        <f t="shared" si="1137"/>
        <v>51354.430285120819</v>
      </c>
      <c r="CL417" s="589">
        <f t="shared" si="1063"/>
        <v>7.3823049850425728E-4</v>
      </c>
      <c r="CM417" s="196">
        <f t="shared" si="1138"/>
        <v>4974.96898736804</v>
      </c>
      <c r="CN417" s="589">
        <f t="shared" si="1064"/>
        <v>7.1694956986620418E-4</v>
      </c>
      <c r="CO417" s="196">
        <f t="shared" si="1139"/>
        <v>397.99566331552637</v>
      </c>
      <c r="CP417" s="589">
        <f t="shared" si="1065"/>
        <v>7.5055851839553431E-4</v>
      </c>
      <c r="CQ417" s="196">
        <f>'Detailed Budget'!$AC$12</f>
        <v>292876014141.44696</v>
      </c>
      <c r="CR417" s="269">
        <f t="shared" si="1066"/>
        <v>807620184.8501116</v>
      </c>
      <c r="CS417" s="269">
        <f>'Detailed Budget'!$AC$16</f>
        <v>10488008800.000002</v>
      </c>
      <c r="CT417" s="607">
        <f t="shared" si="1108"/>
        <v>28921202.924219914</v>
      </c>
      <c r="CU417" s="269">
        <f>'Detailed Budget'!$AC$24</f>
        <v>30624985696</v>
      </c>
      <c r="CV417" s="269">
        <f t="shared" si="1091"/>
        <v>84449922.201175407</v>
      </c>
      <c r="CW417" s="269"/>
      <c r="CX417" s="269">
        <f t="shared" si="1057"/>
        <v>920991309.97550702</v>
      </c>
      <c r="CY417" s="196">
        <f>'Detailed Budget'!$AC$97</f>
        <v>74629165494.837845</v>
      </c>
      <c r="CZ417" s="269">
        <f t="shared" si="1109"/>
        <v>0</v>
      </c>
      <c r="DA417" s="269">
        <f>'Detailed Budget'!$AC$100</f>
        <v>14925833098.967569</v>
      </c>
      <c r="DB417" s="269">
        <f t="shared" si="1110"/>
        <v>0</v>
      </c>
      <c r="DC417" s="269">
        <f t="shared" si="1046"/>
        <v>0</v>
      </c>
      <c r="DD417" s="207">
        <v>0</v>
      </c>
      <c r="DE417" s="606">
        <v>0</v>
      </c>
      <c r="DF417" s="269">
        <f>'Detailed Budget'!$AC$147</f>
        <v>5913600671000</v>
      </c>
      <c r="DG417" s="269">
        <f t="shared" si="1086"/>
        <v>0</v>
      </c>
      <c r="DH417" s="269">
        <f>'Detailed Budget'!$AC$153</f>
        <v>226428026880.00003</v>
      </c>
      <c r="DI417" s="269"/>
      <c r="DJ417" s="269">
        <f>'Detailed Budget'!$AC$156</f>
        <v>27713070000</v>
      </c>
      <c r="DK417" s="269"/>
      <c r="DL417" s="269"/>
      <c r="DM417" s="196">
        <f>'Detailed Budget'!$AC$178</f>
        <v>5622683761.6229038</v>
      </c>
      <c r="DN417" s="269">
        <f t="shared" si="1140"/>
        <v>17985395.407345392</v>
      </c>
      <c r="DO417" s="196">
        <f>'Detailed Budget'!$AC$179</f>
        <v>26827890683.128094</v>
      </c>
      <c r="DP417" s="269">
        <f t="shared" si="1141"/>
        <v>85814932.278584599</v>
      </c>
      <c r="DQ417" s="269">
        <f t="shared" si="1008"/>
        <v>103800327.68592998</v>
      </c>
      <c r="DR417" s="269">
        <f>'Detailed Budget'!$AC$181</f>
        <v>50888946855.375237</v>
      </c>
      <c r="DS417" s="269">
        <f t="shared" si="1142"/>
        <v>123420858.09561464</v>
      </c>
      <c r="DT417" s="269">
        <f t="shared" si="1143"/>
        <v>227221185.78154463</v>
      </c>
      <c r="DU417" s="272">
        <f>'Detailed Budget'!$AC$192</f>
        <v>77498869683.252869</v>
      </c>
      <c r="DV417" s="269">
        <f t="shared" si="1111"/>
        <v>0</v>
      </c>
      <c r="DW417" s="140">
        <f>'Detailed Budget'!$AC$194</f>
        <v>2684962805.4134097</v>
      </c>
      <c r="DX417" s="269">
        <f t="shared" si="1112"/>
        <v>0</v>
      </c>
      <c r="DY417" s="607">
        <f t="shared" si="1047"/>
        <v>0</v>
      </c>
      <c r="DZ417" s="196">
        <f>'Detailed Budget'!$AC$198</f>
        <v>18732540018.380611</v>
      </c>
      <c r="EA417" s="269">
        <f t="shared" si="1113"/>
        <v>13850854.796661314</v>
      </c>
      <c r="EB417" s="196">
        <f>'Detailed Budget'!$AC$200</f>
        <v>4683135004.5951529</v>
      </c>
      <c r="EC417" s="269">
        <f t="shared" si="1114"/>
        <v>3462713.6991653284</v>
      </c>
      <c r="ED417" s="269">
        <f t="shared" si="1048"/>
        <v>17313568.495826643</v>
      </c>
      <c r="EE417" s="196">
        <f>'Detailed Budget'!$AC$161</f>
        <v>251147290106.36197</v>
      </c>
      <c r="EF417" s="269">
        <f t="shared" si="1115"/>
        <v>265911484.99401331</v>
      </c>
      <c r="EG417" s="196">
        <f>'Detailed Budget'!$AC$163</f>
        <v>15696705631.647623</v>
      </c>
      <c r="EH417" s="269">
        <f t="shared" si="1116"/>
        <v>16619467.812125832</v>
      </c>
      <c r="EI417" s="269">
        <f t="shared" si="1049"/>
        <v>282530952.80613911</v>
      </c>
      <c r="EJ417" s="196">
        <f>'Detailed Budget'!$AC$204</f>
        <v>45012172507.531975</v>
      </c>
      <c r="EK417" s="269">
        <f t="shared" si="1117"/>
        <v>47068307.980543055</v>
      </c>
      <c r="EL417" s="201">
        <f>'Detailed Budget'!$AC$206</f>
        <v>11253043126.882994</v>
      </c>
      <c r="EM417" s="269">
        <f t="shared" si="1118"/>
        <v>11767076.995135764</v>
      </c>
      <c r="EN417" s="269">
        <f t="shared" si="1050"/>
        <v>58835384.975678816</v>
      </c>
      <c r="EO417" s="140">
        <f>'Detailed Budget'!$AC$209</f>
        <v>135789361677.54817</v>
      </c>
      <c r="EP417" s="269">
        <f t="shared" si="1119"/>
        <v>100243848.16279128</v>
      </c>
      <c r="EQ417" s="196">
        <f>'Detailed Budget'!$AC$211</f>
        <v>33947340419.387043</v>
      </c>
      <c r="ER417" s="269">
        <f t="shared" si="1120"/>
        <v>25060962.04069782</v>
      </c>
      <c r="ES417" s="269">
        <f t="shared" si="1051"/>
        <v>125304810.20348909</v>
      </c>
      <c r="ET417" s="196">
        <f>'Detailed Budget'!$AC$214</f>
        <v>22239745544.201103</v>
      </c>
      <c r="EU417" s="269">
        <f t="shared" si="1121"/>
        <v>15944776.001848811</v>
      </c>
      <c r="EV417" s="140">
        <f>'Detailed Budget'!$AC$217</f>
        <v>5559936386.0502758</v>
      </c>
      <c r="EW417" s="269">
        <f t="shared" si="1122"/>
        <v>3986194.0004622028</v>
      </c>
      <c r="EX417" s="269">
        <f t="shared" si="1052"/>
        <v>19930970.002311014</v>
      </c>
      <c r="EY417" s="196">
        <f>'Detailed Budget'!$AC$219</f>
        <v>372777004.58170313</v>
      </c>
      <c r="EZ417" s="269">
        <f t="shared" si="1123"/>
        <v>279790.95625076839</v>
      </c>
      <c r="FA417" s="196">
        <f>'Detailed Budget'!$AC$222</f>
        <v>93194251.145425782</v>
      </c>
      <c r="FB417" s="269">
        <f t="shared" si="1124"/>
        <v>69947.739062692097</v>
      </c>
      <c r="FC417" s="269">
        <f t="shared" si="1053"/>
        <v>349738.69531346048</v>
      </c>
      <c r="FD417" s="269"/>
      <c r="FE417" s="269">
        <f t="shared" si="1054"/>
        <v>204420903.8767924</v>
      </c>
      <c r="FF417" s="140">
        <f>'Detailed Budget'!$AC$165</f>
        <v>14927760000</v>
      </c>
      <c r="FG417" s="1087">
        <f t="shared" si="1087"/>
        <v>278843644.29529363</v>
      </c>
      <c r="FH417" s="269">
        <f t="shared" si="1125"/>
        <v>16961436.200431772</v>
      </c>
      <c r="FJ417" s="140">
        <f>'Detailed Budget'!$AC$235</f>
        <v>3623696172</v>
      </c>
      <c r="FK417" s="269">
        <f t="shared" si="1126"/>
        <v>4681778</v>
      </c>
      <c r="FL417" s="269">
        <f t="shared" si="1088"/>
        <v>4681778</v>
      </c>
      <c r="FO417" s="607"/>
      <c r="FP417" s="607"/>
      <c r="FQ417" s="607"/>
      <c r="FR417" s="269">
        <f>'Detailed Budget'!$AC$257</f>
        <v>13636439388</v>
      </c>
      <c r="FS417" s="269">
        <f t="shared" si="1127"/>
        <v>26982071.999999996</v>
      </c>
      <c r="FT417" s="269">
        <f t="shared" si="1089"/>
        <v>26982071.999999996</v>
      </c>
      <c r="FU417" s="269"/>
      <c r="FV417" s="269"/>
      <c r="FW417" s="269"/>
      <c r="FX417" s="140">
        <f>'Detailed Budget'!$AC$278</f>
        <v>1114560000</v>
      </c>
      <c r="FY417" s="269">
        <f t="shared" si="1128"/>
        <v>1440000</v>
      </c>
      <c r="FZ417" s="269">
        <f t="shared" si="1090"/>
        <v>1440000</v>
      </c>
      <c r="GB417" s="269">
        <f t="shared" si="1098"/>
        <v>1981386851.4315355</v>
      </c>
      <c r="GC417" s="887">
        <f t="shared" si="1055"/>
        <v>1238366.7821447097</v>
      </c>
      <c r="GD417" s="1078">
        <f t="shared" si="1099"/>
        <v>1.1118185544327984E-3</v>
      </c>
    </row>
    <row r="418" spans="1:186" hidden="1" outlineLevel="1">
      <c r="A418" s="211" t="s">
        <v>972</v>
      </c>
      <c r="B418" s="212" t="s">
        <v>973</v>
      </c>
      <c r="C418" s="213" t="s">
        <v>215</v>
      </c>
      <c r="D418" s="214" t="s">
        <v>215</v>
      </c>
      <c r="E418" s="213"/>
      <c r="F418" s="213"/>
      <c r="G418" s="213"/>
      <c r="H418" s="213" t="s">
        <v>215</v>
      </c>
      <c r="I418" s="214"/>
      <c r="J418" s="214" t="s">
        <v>215</v>
      </c>
      <c r="K418" s="213"/>
      <c r="L418" s="213" t="s">
        <v>215</v>
      </c>
      <c r="M418" s="214"/>
      <c r="N418" s="213"/>
      <c r="O418" s="214"/>
      <c r="P418" s="213"/>
      <c r="Q418" s="214"/>
      <c r="R418" s="214" t="s">
        <v>215</v>
      </c>
      <c r="S418" s="214" t="s">
        <v>215</v>
      </c>
      <c r="T418" s="214"/>
      <c r="U418" s="215">
        <f t="shared" si="1129"/>
        <v>7</v>
      </c>
      <c r="V418" s="845" t="s">
        <v>974</v>
      </c>
      <c r="W418" s="216">
        <v>197757</v>
      </c>
      <c r="X418" s="217">
        <v>3.17</v>
      </c>
      <c r="Y418" s="218">
        <f t="shared" si="1101"/>
        <v>1.0317000000000001</v>
      </c>
      <c r="Z418" s="196">
        <v>19</v>
      </c>
      <c r="AA418" s="218">
        <f t="shared" si="1102"/>
        <v>1.8093191519340412</v>
      </c>
      <c r="AB418" s="196">
        <f t="shared" si="1103"/>
        <v>357805.52752902021</v>
      </c>
      <c r="AC418">
        <v>20.2</v>
      </c>
      <c r="AD418" s="196">
        <f t="shared" si="1104"/>
        <v>72276.716560862085</v>
      </c>
      <c r="AE418" s="196">
        <f t="shared" si="1148"/>
        <v>68662.880732818972</v>
      </c>
      <c r="AF418" s="196">
        <f t="shared" si="1130"/>
        <v>68662.880732818972</v>
      </c>
      <c r="AG418" s="606">
        <f t="shared" si="1058"/>
        <v>3.1746701693910447E-3</v>
      </c>
      <c r="AH418" s="196">
        <f t="shared" si="1144"/>
        <v>17890.276376451013</v>
      </c>
      <c r="AI418" s="248">
        <f t="shared" si="1034"/>
        <v>1.3859326044672986E-3</v>
      </c>
      <c r="AJ418" s="196">
        <f t="shared" si="1038"/>
        <v>90166.992937313102</v>
      </c>
      <c r="AK418" s="196">
        <f t="shared" si="1067"/>
        <v>14312.221101160809</v>
      </c>
      <c r="AL418" s="196">
        <f t="shared" si="1068"/>
        <v>14312.221101160809</v>
      </c>
      <c r="AM418" s="196">
        <f t="shared" si="1039"/>
        <v>28624.442202321618</v>
      </c>
      <c r="AN418" s="627">
        <f t="shared" si="1040"/>
        <v>1.3859326044672986E-3</v>
      </c>
      <c r="AO418" s="196">
        <f t="shared" si="1041"/>
        <v>13596.610046102767</v>
      </c>
      <c r="AP418" s="589">
        <f t="shared" si="1059"/>
        <v>1.3859326044672984E-3</v>
      </c>
      <c r="AQ418" s="196"/>
      <c r="AR418" s="589"/>
      <c r="AS418">
        <v>1</v>
      </c>
      <c r="AT418" s="589">
        <f t="shared" si="1060"/>
        <v>1.2919896640826874E-3</v>
      </c>
      <c r="AU418" s="196">
        <v>11</v>
      </c>
      <c r="AV418" s="245">
        <f t="shared" si="1042"/>
        <v>1.2498579706851495E-3</v>
      </c>
      <c r="AX418" s="245"/>
      <c r="AY418" s="245"/>
      <c r="AZ418" s="196">
        <v>43</v>
      </c>
      <c r="BA418" s="589">
        <f t="shared" si="1092"/>
        <v>1.5756110072917811E-3</v>
      </c>
      <c r="BI418" s="196">
        <v>0</v>
      </c>
      <c r="BJ418" s="196">
        <f t="shared" si="1131"/>
        <v>189286.62142730542</v>
      </c>
      <c r="BK418" s="246">
        <f t="shared" si="1093"/>
        <v>3.6095816667755928E-3</v>
      </c>
      <c r="BL418" s="196">
        <f t="shared" si="1145"/>
        <v>3785.7324285461086</v>
      </c>
      <c r="BM418" s="246">
        <f t="shared" si="1094"/>
        <v>3.6095812537803727E-3</v>
      </c>
      <c r="BN418" s="196">
        <v>0</v>
      </c>
      <c r="BO418" s="196">
        <f t="shared" si="1132"/>
        <v>23709.100831777927</v>
      </c>
      <c r="BP418" s="196">
        <f t="shared" si="1043"/>
        <v>0</v>
      </c>
      <c r="BQ418" s="248">
        <f t="shared" si="1095"/>
        <v>0</v>
      </c>
      <c r="BR418" s="248"/>
      <c r="BS418" s="248"/>
      <c r="BT418" s="276">
        <v>1</v>
      </c>
      <c r="BU418" s="196">
        <f t="shared" si="1146"/>
        <v>60365.513671632005</v>
      </c>
      <c r="BV418" s="264">
        <f t="shared" si="1096"/>
        <v>4.1870663700126895E-3</v>
      </c>
      <c r="BW418" s="196">
        <f t="shared" si="1147"/>
        <v>258230.25292864803</v>
      </c>
      <c r="BX418" s="247">
        <f t="shared" si="1097"/>
        <v>4.1870664077299433E-3</v>
      </c>
      <c r="BY418" s="196">
        <f t="shared" si="1100"/>
        <v>318595.76660028001</v>
      </c>
      <c r="BZ418" s="620">
        <v>0</v>
      </c>
      <c r="CA418" s="196">
        <f t="shared" si="1133"/>
        <v>109488.4914238802</v>
      </c>
      <c r="CB418" s="196">
        <f t="shared" si="1134"/>
        <v>218976.9828477604</v>
      </c>
      <c r="CC418" s="196">
        <f t="shared" si="1056"/>
        <v>328465.47427164059</v>
      </c>
      <c r="CD418" s="247">
        <f t="shared" si="1044"/>
        <v>1.3859326044672986E-3</v>
      </c>
      <c r="CE418" s="196">
        <f t="shared" si="1135"/>
        <v>22412.97487440741</v>
      </c>
      <c r="CF418" s="247">
        <f t="shared" si="1045"/>
        <v>9.6786195821098808E-4</v>
      </c>
      <c r="CG418" s="196">
        <f t="shared" si="1106"/>
        <v>54386.440184411069</v>
      </c>
      <c r="CH418" s="589">
        <f t="shared" si="1061"/>
        <v>1.3859326044672984E-3</v>
      </c>
      <c r="CI418" s="196">
        <f t="shared" si="1136"/>
        <v>83258.844371929066</v>
      </c>
      <c r="CJ418" s="248">
        <f t="shared" si="1062"/>
        <v>1.3687751901356245E-3</v>
      </c>
      <c r="CK418" s="196">
        <f t="shared" si="1137"/>
        <v>67221.999840443197</v>
      </c>
      <c r="CL418" s="589">
        <f t="shared" si="1063"/>
        <v>9.6633007468182707E-4</v>
      </c>
      <c r="CM418" s="196">
        <f t="shared" si="1138"/>
        <v>6512.1424309123258</v>
      </c>
      <c r="CN418" s="589">
        <f t="shared" si="1064"/>
        <v>9.384737325207075E-4</v>
      </c>
      <c r="CO418" s="196">
        <f t="shared" si="1139"/>
        <v>520.9689654301352</v>
      </c>
      <c r="CP418" s="589">
        <f t="shared" si="1065"/>
        <v>9.8246722480818151E-4</v>
      </c>
      <c r="CQ418" s="196">
        <f>'Detailed Budget'!$AC$12</f>
        <v>292876014141.44696</v>
      </c>
      <c r="CR418" s="269">
        <f t="shared" si="1066"/>
        <v>1057159891.2832762</v>
      </c>
      <c r="CS418" s="269">
        <f>'Detailed Budget'!$AC$16</f>
        <v>10488008800.000002</v>
      </c>
      <c r="CT418" s="607">
        <f t="shared" si="1108"/>
        <v>37857319.953963593</v>
      </c>
      <c r="CU418" s="269">
        <f>'Detailed Budget'!$AC$24</f>
        <v>30624985696</v>
      </c>
      <c r="CV418" s="269">
        <f t="shared" si="1091"/>
        <v>110543386.91354637</v>
      </c>
      <c r="CW418" s="269"/>
      <c r="CX418" s="269">
        <f t="shared" si="1057"/>
        <v>1205560598.1507862</v>
      </c>
      <c r="CY418" s="196">
        <f>'Detailed Budget'!$AC$97</f>
        <v>74629165494.837845</v>
      </c>
      <c r="CZ418" s="269">
        <f t="shared" si="1109"/>
        <v>0</v>
      </c>
      <c r="DA418" s="269">
        <f>'Detailed Budget'!$AC$100</f>
        <v>14925833098.967569</v>
      </c>
      <c r="DB418" s="269">
        <f t="shared" si="1110"/>
        <v>0</v>
      </c>
      <c r="DC418" s="269">
        <f t="shared" si="1046"/>
        <v>0</v>
      </c>
      <c r="DD418" s="207">
        <v>1</v>
      </c>
      <c r="DE418" s="606">
        <v>0</v>
      </c>
      <c r="DF418" s="269">
        <f>'Detailed Budget'!$AC$147</f>
        <v>5913600671000</v>
      </c>
      <c r="DG418" s="269">
        <f t="shared" si="1086"/>
        <v>0</v>
      </c>
      <c r="DH418" s="269">
        <f>'Detailed Budget'!$AC$153</f>
        <v>226428026880.00003</v>
      </c>
      <c r="DI418" s="269"/>
      <c r="DJ418" s="269">
        <f>'Detailed Budget'!$AC$156</f>
        <v>27713070000</v>
      </c>
      <c r="DK418" s="269"/>
      <c r="DL418" s="269"/>
      <c r="DM418" s="196">
        <f>'Detailed Budget'!$AC$178</f>
        <v>5622683761.6229038</v>
      </c>
      <c r="DN418" s="269">
        <f t="shared" si="1140"/>
        <v>23542550.087507706</v>
      </c>
      <c r="DO418" s="196">
        <f>'Detailed Budget'!$AC$179</f>
        <v>26827890683.128094</v>
      </c>
      <c r="DP418" s="269">
        <f t="shared" si="1141"/>
        <v>112330159.86957677</v>
      </c>
      <c r="DQ418" s="269">
        <f t="shared" si="1008"/>
        <v>135872709.95708448</v>
      </c>
      <c r="DR418" s="269">
        <f>'Detailed Budget'!$AC$181</f>
        <v>50888946855.375237</v>
      </c>
      <c r="DS418" s="269">
        <f t="shared" si="1142"/>
        <v>161555621.53348598</v>
      </c>
      <c r="DT418" s="269">
        <f t="shared" si="1143"/>
        <v>297428331.49057043</v>
      </c>
      <c r="DU418" s="272">
        <f>'Detailed Budget'!$AC$192</f>
        <v>77498869683.252869</v>
      </c>
      <c r="DV418" s="269">
        <f t="shared" si="1111"/>
        <v>0</v>
      </c>
      <c r="DW418" s="140">
        <f>'Detailed Budget'!$AC$194</f>
        <v>2684962805.4134097</v>
      </c>
      <c r="DX418" s="269">
        <f t="shared" si="1112"/>
        <v>0</v>
      </c>
      <c r="DY418" s="607">
        <f t="shared" si="1047"/>
        <v>0</v>
      </c>
      <c r="DZ418" s="196">
        <f>'Detailed Budget'!$AC$198</f>
        <v>18732540018.380611</v>
      </c>
      <c r="EA418" s="269">
        <f t="shared" si="1113"/>
        <v>18130512.864455558</v>
      </c>
      <c r="EB418" s="196">
        <f>'Detailed Budget'!$AC$200</f>
        <v>4683135004.5951529</v>
      </c>
      <c r="EC418" s="269">
        <f t="shared" si="1114"/>
        <v>4532628.2161138896</v>
      </c>
      <c r="ED418" s="269">
        <f t="shared" si="1048"/>
        <v>22663141.080569446</v>
      </c>
      <c r="EE418" s="196">
        <f>'Detailed Budget'!$AC$161</f>
        <v>251147290106.36197</v>
      </c>
      <c r="EF418" s="269">
        <f t="shared" si="1115"/>
        <v>348073217.88201439</v>
      </c>
      <c r="EG418" s="196">
        <f>'Detailed Budget'!$AC$163</f>
        <v>15696705631.647623</v>
      </c>
      <c r="EH418" s="269">
        <f t="shared" si="1116"/>
        <v>21754576.1176259</v>
      </c>
      <c r="EI418" s="269">
        <f t="shared" si="1049"/>
        <v>369827793.99964029</v>
      </c>
      <c r="EJ418" s="196">
        <f>'Detailed Budget'!$AC$204</f>
        <v>45012172507.531975</v>
      </c>
      <c r="EK418" s="269">
        <f t="shared" si="1117"/>
        <v>61611544.982414611</v>
      </c>
      <c r="EL418" s="201">
        <f>'Detailed Budget'!$AC$206</f>
        <v>11253043126.882994</v>
      </c>
      <c r="EM418" s="269">
        <f t="shared" si="1118"/>
        <v>15402886.245603653</v>
      </c>
      <c r="EN418" s="269">
        <f t="shared" si="1050"/>
        <v>77014431.228018269</v>
      </c>
      <c r="EO418" s="140">
        <f>'Detailed Budget'!$AC$209</f>
        <v>135789361677.54817</v>
      </c>
      <c r="EP418" s="269">
        <f t="shared" si="1119"/>
        <v>131217344.01086275</v>
      </c>
      <c r="EQ418" s="196">
        <f>'Detailed Budget'!$AC$211</f>
        <v>33947340419.387043</v>
      </c>
      <c r="ER418" s="269">
        <f t="shared" si="1120"/>
        <v>32804336.002715688</v>
      </c>
      <c r="ES418" s="269">
        <f t="shared" si="1051"/>
        <v>164021680.01357844</v>
      </c>
      <c r="ET418" s="196">
        <f>'Detailed Budget'!$AC$214</f>
        <v>22239745544.201103</v>
      </c>
      <c r="EU418" s="269">
        <f t="shared" si="1121"/>
        <v>20871417.011177182</v>
      </c>
      <c r="EV418" s="140">
        <f>'Detailed Budget'!$AC$217</f>
        <v>5559936386.0502758</v>
      </c>
      <c r="EW418" s="269">
        <f t="shared" si="1122"/>
        <v>5217854.2527942955</v>
      </c>
      <c r="EX418" s="269">
        <f t="shared" si="1052"/>
        <v>26089271.263971478</v>
      </c>
      <c r="EY418" s="196">
        <f>'Detailed Budget'!$AC$219</f>
        <v>372777004.58170313</v>
      </c>
      <c r="EZ418" s="269">
        <f t="shared" si="1123"/>
        <v>366241.18916369264</v>
      </c>
      <c r="FA418" s="196">
        <f>'Detailed Budget'!$AC$222</f>
        <v>93194251.145425782</v>
      </c>
      <c r="FB418" s="269">
        <f t="shared" si="1124"/>
        <v>91560.297290923161</v>
      </c>
      <c r="FC418" s="269">
        <f t="shared" si="1053"/>
        <v>457801.48645461584</v>
      </c>
      <c r="FD418" s="269"/>
      <c r="FE418" s="269">
        <f t="shared" si="1054"/>
        <v>267583183.99202278</v>
      </c>
      <c r="FF418" s="140">
        <f>'Detailed Budget'!$AC$165</f>
        <v>14927760000</v>
      </c>
      <c r="FG418" s="1087">
        <f t="shared" si="1087"/>
        <v>365001175.32717997</v>
      </c>
      <c r="FH418" s="269">
        <f t="shared" si="1125"/>
        <v>18657579.820474949</v>
      </c>
      <c r="FJ418" s="140">
        <f>'Detailed Budget'!$AC$235</f>
        <v>3623696172</v>
      </c>
      <c r="FK418" s="269">
        <f t="shared" si="1126"/>
        <v>4681778</v>
      </c>
      <c r="FL418" s="269">
        <f t="shared" si="1088"/>
        <v>4681778</v>
      </c>
      <c r="FO418" s="607"/>
      <c r="FP418" s="607"/>
      <c r="FQ418" s="607"/>
      <c r="FR418" s="269">
        <f>'Detailed Budget'!$AC$257</f>
        <v>13636439388</v>
      </c>
      <c r="FS418" s="269">
        <f t="shared" si="1127"/>
        <v>21485724</v>
      </c>
      <c r="FT418" s="269">
        <f t="shared" si="1089"/>
        <v>21485724</v>
      </c>
      <c r="FU418" s="269"/>
      <c r="FV418" s="269"/>
      <c r="FW418" s="269"/>
      <c r="FX418" s="140">
        <f>'Detailed Budget'!$AC$278</f>
        <v>1114560000</v>
      </c>
      <c r="FY418" s="269">
        <f t="shared" si="1128"/>
        <v>1440000</v>
      </c>
      <c r="FZ418" s="269">
        <f t="shared" si="1090"/>
        <v>1440000</v>
      </c>
      <c r="GB418" s="269">
        <f t="shared" si="1098"/>
        <v>2574329305.8612442</v>
      </c>
      <c r="GC418" s="887">
        <f t="shared" si="1055"/>
        <v>1608955.8161632777</v>
      </c>
      <c r="GD418" s="1078">
        <f t="shared" si="1099"/>
        <v>1.4445372368393037E-3</v>
      </c>
    </row>
    <row r="419" spans="1:186" hidden="1" outlineLevel="1">
      <c r="A419" s="211" t="s">
        <v>975</v>
      </c>
      <c r="B419" s="212" t="s">
        <v>976</v>
      </c>
      <c r="C419" s="213" t="s">
        <v>215</v>
      </c>
      <c r="D419" s="214" t="s">
        <v>215</v>
      </c>
      <c r="E419" s="213"/>
      <c r="F419" s="213"/>
      <c r="G419" s="213"/>
      <c r="H419" s="213" t="s">
        <v>215</v>
      </c>
      <c r="I419" s="214"/>
      <c r="J419" s="214" t="s">
        <v>215</v>
      </c>
      <c r="K419" s="213"/>
      <c r="L419" s="213" t="s">
        <v>215</v>
      </c>
      <c r="M419" s="214"/>
      <c r="N419" s="213"/>
      <c r="O419" s="214"/>
      <c r="P419" s="213"/>
      <c r="Q419" s="214"/>
      <c r="R419" s="214" t="s">
        <v>215</v>
      </c>
      <c r="S419" s="214"/>
      <c r="T419" s="214"/>
      <c r="U419" s="215">
        <f t="shared" si="1129"/>
        <v>6</v>
      </c>
      <c r="V419" s="845" t="s">
        <v>957</v>
      </c>
      <c r="W419" s="216">
        <v>84928</v>
      </c>
      <c r="X419" s="217">
        <v>3.17</v>
      </c>
      <c r="Y419" s="218">
        <f t="shared" si="1101"/>
        <v>1.0317000000000001</v>
      </c>
      <c r="Z419" s="196">
        <v>19</v>
      </c>
      <c r="AA419" s="218">
        <f t="shared" si="1102"/>
        <v>1.8093191519340412</v>
      </c>
      <c r="AB419" s="196">
        <f t="shared" si="1103"/>
        <v>153661.85693545424</v>
      </c>
      <c r="AC419">
        <v>20.2</v>
      </c>
      <c r="AD419" s="196">
        <f t="shared" si="1104"/>
        <v>31039.695100961755</v>
      </c>
      <c r="AE419" s="196">
        <f t="shared" si="1148"/>
        <v>29487.710345913667</v>
      </c>
      <c r="AF419" s="196">
        <f t="shared" si="1130"/>
        <v>29487.710345913667</v>
      </c>
      <c r="AG419" s="606">
        <f t="shared" si="1058"/>
        <v>1.3633822729210224E-3</v>
      </c>
      <c r="AH419" s="196">
        <f t="shared" si="1144"/>
        <v>7683.0928467727126</v>
      </c>
      <c r="AI419" s="248">
        <f t="shared" si="1034"/>
        <v>5.9519756181676867E-4</v>
      </c>
      <c r="AJ419" s="196">
        <f t="shared" si="1038"/>
        <v>38722.787947734469</v>
      </c>
      <c r="AK419" s="196">
        <f t="shared" si="1067"/>
        <v>6146.4742774181695</v>
      </c>
      <c r="AL419" s="196">
        <f t="shared" si="1068"/>
        <v>6146.4742774181695</v>
      </c>
      <c r="AM419" s="196">
        <f t="shared" si="1039"/>
        <v>12292.948554836339</v>
      </c>
      <c r="AN419" s="627">
        <f t="shared" si="1040"/>
        <v>5.9519756181676856E-4</v>
      </c>
      <c r="AO419" s="196">
        <f t="shared" si="1041"/>
        <v>5839.1505635472613</v>
      </c>
      <c r="AP419" s="589">
        <f t="shared" si="1059"/>
        <v>5.9519756181676856E-4</v>
      </c>
      <c r="AQ419" s="196"/>
      <c r="AR419" s="589"/>
      <c r="AS419">
        <v>1</v>
      </c>
      <c r="AT419" s="589">
        <f t="shared" si="1060"/>
        <v>1.2919896640826874E-3</v>
      </c>
      <c r="AU419" s="196">
        <v>10</v>
      </c>
      <c r="AV419" s="245">
        <f t="shared" si="1042"/>
        <v>1.1362345188046814E-3</v>
      </c>
      <c r="AX419" s="245"/>
      <c r="AY419" s="245"/>
      <c r="AZ419" s="196">
        <v>32</v>
      </c>
      <c r="BA419" s="589">
        <f t="shared" si="1092"/>
        <v>1.1725477263566744E-3</v>
      </c>
      <c r="BI419" s="196">
        <v>0</v>
      </c>
      <c r="BJ419" s="196">
        <f t="shared" si="1131"/>
        <v>81290.342109650694</v>
      </c>
      <c r="BK419" s="246">
        <f t="shared" si="1093"/>
        <v>1.5501577784650731E-3</v>
      </c>
      <c r="BL419" s="196">
        <f t="shared" si="1145"/>
        <v>1625.8068421930138</v>
      </c>
      <c r="BM419" s="246">
        <f t="shared" si="1094"/>
        <v>1.5501576011016521E-3</v>
      </c>
      <c r="BN419" s="196">
        <v>0</v>
      </c>
      <c r="BO419" s="196">
        <f t="shared" si="1132"/>
        <v>10182.023976098117</v>
      </c>
      <c r="BP419" s="196">
        <f t="shared" si="1043"/>
        <v>0</v>
      </c>
      <c r="BQ419" s="248">
        <f t="shared" si="1095"/>
        <v>0</v>
      </c>
      <c r="BR419" s="248"/>
      <c r="BS419" s="248"/>
      <c r="BT419" s="276">
        <v>1</v>
      </c>
      <c r="BU419" s="196">
        <f t="shared" si="1146"/>
        <v>25924.353348323253</v>
      </c>
      <c r="BV419" s="264">
        <f t="shared" si="1096"/>
        <v>1.7981622530299185E-3</v>
      </c>
      <c r="BW419" s="196">
        <f t="shared" si="1147"/>
        <v>110898.62265671616</v>
      </c>
      <c r="BX419" s="247">
        <f t="shared" si="1097"/>
        <v>1.7981622692278332E-3</v>
      </c>
      <c r="BY419" s="196">
        <f t="shared" si="1100"/>
        <v>136822.97600503941</v>
      </c>
      <c r="BZ419" s="620">
        <v>0</v>
      </c>
      <c r="CA419" s="196">
        <f t="shared" si="1133"/>
        <v>47020.528222248991</v>
      </c>
      <c r="CB419" s="196">
        <f t="shared" si="1134"/>
        <v>94041.056444497983</v>
      </c>
      <c r="CC419" s="196">
        <f t="shared" si="1056"/>
        <v>141061.58466674696</v>
      </c>
      <c r="CD419" s="247">
        <f t="shared" si="1044"/>
        <v>5.9519756181676845E-4</v>
      </c>
      <c r="CE419" s="196">
        <f t="shared" si="1135"/>
        <v>9625.3944494185907</v>
      </c>
      <c r="CF419" s="247">
        <f t="shared" si="1045"/>
        <v>4.1565446677964765E-4</v>
      </c>
      <c r="CG419" s="196">
        <f t="shared" si="1106"/>
        <v>23356.602254189045</v>
      </c>
      <c r="CH419" s="589">
        <f t="shared" si="1061"/>
        <v>5.9519756181676856E-4</v>
      </c>
      <c r="CI419" s="196">
        <f t="shared" si="1136"/>
        <v>35756.039658870184</v>
      </c>
      <c r="CJ419" s="248">
        <f t="shared" si="1062"/>
        <v>5.8782920123099714E-4</v>
      </c>
      <c r="CK419" s="196">
        <f t="shared" si="1137"/>
        <v>28868.914892768189</v>
      </c>
      <c r="CL419" s="589">
        <f t="shared" si="1063"/>
        <v>4.1499658966599512E-4</v>
      </c>
      <c r="CM419" s="196">
        <f t="shared" si="1138"/>
        <v>2796.6809385888837</v>
      </c>
      <c r="CN419" s="589">
        <f t="shared" si="1064"/>
        <v>4.0303350655359168E-4</v>
      </c>
      <c r="CO419" s="196">
        <f t="shared" si="1139"/>
        <v>223.73343191922672</v>
      </c>
      <c r="CP419" s="589">
        <f t="shared" si="1065"/>
        <v>4.2192679130705481E-4</v>
      </c>
      <c r="CQ419" s="196">
        <f>'Detailed Budget'!$AC$12</f>
        <v>292876014141.44696</v>
      </c>
      <c r="CR419" s="269">
        <f t="shared" si="1066"/>
        <v>454004031.44721079</v>
      </c>
      <c r="CS419" s="269">
        <f>'Detailed Budget'!$AC$16</f>
        <v>10488008800.000002</v>
      </c>
      <c r="CT419" s="607">
        <f t="shared" si="1108"/>
        <v>16258066.561741021</v>
      </c>
      <c r="CU419" s="269">
        <f>'Detailed Budget'!$AC$24</f>
        <v>30624985696</v>
      </c>
      <c r="CV419" s="269">
        <f t="shared" si="1091"/>
        <v>47473559.792036004</v>
      </c>
      <c r="CW419" s="269"/>
      <c r="CX419" s="269">
        <f t="shared" si="1057"/>
        <v>517735657.80098778</v>
      </c>
      <c r="CY419" s="196">
        <f>'Detailed Budget'!$AC$97</f>
        <v>74629165494.837845</v>
      </c>
      <c r="CZ419" s="269">
        <f t="shared" si="1109"/>
        <v>0</v>
      </c>
      <c r="DA419" s="269">
        <f>'Detailed Budget'!$AC$100</f>
        <v>14925833098.967569</v>
      </c>
      <c r="DB419" s="269">
        <f t="shared" si="1110"/>
        <v>0</v>
      </c>
      <c r="DC419" s="269">
        <f t="shared" si="1046"/>
        <v>0</v>
      </c>
      <c r="DD419" s="207">
        <v>0</v>
      </c>
      <c r="DE419" s="606">
        <v>0</v>
      </c>
      <c r="DF419" s="269">
        <f>'Detailed Budget'!$AC$147</f>
        <v>5913600671000</v>
      </c>
      <c r="DG419" s="269">
        <f t="shared" si="1086"/>
        <v>0</v>
      </c>
      <c r="DH419" s="269">
        <f>'Detailed Budget'!$AC$153</f>
        <v>226428026880.00003</v>
      </c>
      <c r="DI419" s="269"/>
      <c r="DJ419" s="269">
        <f>'Detailed Budget'!$AC$156</f>
        <v>27713070000</v>
      </c>
      <c r="DK419" s="269"/>
      <c r="DL419" s="269"/>
      <c r="DM419" s="196">
        <f>'Detailed Budget'!$AC$178</f>
        <v>5622683761.6229038</v>
      </c>
      <c r="DN419" s="269">
        <f t="shared" si="1140"/>
        <v>10110497.700874578</v>
      </c>
      <c r="DO419" s="196">
        <f>'Detailed Budget'!$AC$179</f>
        <v>26827890683.128094</v>
      </c>
      <c r="DP419" s="269">
        <f t="shared" si="1141"/>
        <v>48240900.789369859</v>
      </c>
      <c r="DQ419" s="269">
        <f t="shared" si="1008"/>
        <v>58351398.490244433</v>
      </c>
      <c r="DR419" s="269">
        <f>'Detailed Budget'!$AC$181</f>
        <v>50888946855.375237</v>
      </c>
      <c r="DS419" s="269">
        <f t="shared" si="1142"/>
        <v>69381088.030238599</v>
      </c>
      <c r="DT419" s="269">
        <f t="shared" si="1143"/>
        <v>127732486.52048303</v>
      </c>
      <c r="DU419" s="272">
        <f>'Detailed Budget'!$AC$192</f>
        <v>77498869683.252869</v>
      </c>
      <c r="DV419" s="269">
        <f t="shared" si="1111"/>
        <v>0</v>
      </c>
      <c r="DW419" s="140">
        <f>'Detailed Budget'!$AC$194</f>
        <v>2684962805.4134097</v>
      </c>
      <c r="DX419" s="269">
        <f t="shared" si="1112"/>
        <v>0</v>
      </c>
      <c r="DY419" s="607">
        <f t="shared" si="1047"/>
        <v>0</v>
      </c>
      <c r="DZ419" s="196">
        <f>'Detailed Budget'!$AC$198</f>
        <v>18732540018.380611</v>
      </c>
      <c r="EA419" s="269">
        <f t="shared" si="1113"/>
        <v>7786263.9327684045</v>
      </c>
      <c r="EB419" s="196">
        <f>'Detailed Budget'!$AC$200</f>
        <v>4683135004.5951529</v>
      </c>
      <c r="EC419" s="269">
        <f t="shared" si="1114"/>
        <v>1946565.9831921011</v>
      </c>
      <c r="ED419" s="269">
        <f t="shared" si="1048"/>
        <v>9732829.9159605056</v>
      </c>
      <c r="EE419" s="196">
        <f>'Detailed Budget'!$AC$161</f>
        <v>251147290106.36197</v>
      </c>
      <c r="EF419" s="269">
        <f t="shared" si="1115"/>
        <v>149482254.72819528</v>
      </c>
      <c r="EG419" s="196">
        <f>'Detailed Budget'!$AC$163</f>
        <v>15696705631.647623</v>
      </c>
      <c r="EH419" s="269">
        <f t="shared" si="1116"/>
        <v>9342640.920512205</v>
      </c>
      <c r="EI419" s="269">
        <f t="shared" si="1049"/>
        <v>158824895.64870748</v>
      </c>
      <c r="EJ419" s="196">
        <f>'Detailed Budget'!$AC$204</f>
        <v>45012172507.531975</v>
      </c>
      <c r="EK419" s="269">
        <f t="shared" si="1117"/>
        <v>26459469.410774369</v>
      </c>
      <c r="EL419" s="201">
        <f>'Detailed Budget'!$AC$206</f>
        <v>11253043126.882994</v>
      </c>
      <c r="EM419" s="269">
        <f t="shared" si="1118"/>
        <v>6614867.3526935922</v>
      </c>
      <c r="EN419" s="269">
        <f t="shared" si="1050"/>
        <v>33074336.76346796</v>
      </c>
      <c r="EO419" s="140">
        <f>'Detailed Budget'!$AC$209</f>
        <v>135789361677.54817</v>
      </c>
      <c r="EP419" s="269">
        <f t="shared" si="1119"/>
        <v>56352122.009104863</v>
      </c>
      <c r="EQ419" s="196">
        <f>'Detailed Budget'!$AC$211</f>
        <v>33947340419.387043</v>
      </c>
      <c r="ER419" s="269">
        <f t="shared" si="1120"/>
        <v>14088030.502276216</v>
      </c>
      <c r="ES419" s="269">
        <f t="shared" si="1051"/>
        <v>70440152.511381075</v>
      </c>
      <c r="ET419" s="196">
        <f>'Detailed Budget'!$AC$214</f>
        <v>22239745544.201103</v>
      </c>
      <c r="EU419" s="269">
        <f t="shared" si="1121"/>
        <v>8963362.6315389872</v>
      </c>
      <c r="EV419" s="140">
        <f>'Detailed Budget'!$AC$217</f>
        <v>5559936386.0502758</v>
      </c>
      <c r="EW419" s="269">
        <f t="shared" si="1122"/>
        <v>2240840.6578847468</v>
      </c>
      <c r="EX419" s="269">
        <f t="shared" si="1052"/>
        <v>11204203.289423734</v>
      </c>
      <c r="EY419" s="196">
        <f>'Detailed Budget'!$AC$219</f>
        <v>372777004.58170313</v>
      </c>
      <c r="EZ419" s="269">
        <f t="shared" si="1123"/>
        <v>157284.60541621328</v>
      </c>
      <c r="FA419" s="196">
        <f>'Detailed Budget'!$AC$222</f>
        <v>93194251.145425782</v>
      </c>
      <c r="FB419" s="269">
        <f t="shared" si="1124"/>
        <v>39321.15135405332</v>
      </c>
      <c r="FC419" s="269">
        <f t="shared" si="1053"/>
        <v>196605.7567702666</v>
      </c>
      <c r="FD419" s="269"/>
      <c r="FE419" s="269">
        <f t="shared" si="1054"/>
        <v>114915298.32104303</v>
      </c>
      <c r="FF419" s="140">
        <f>'Detailed Budget'!$AC$165</f>
        <v>14927760000</v>
      </c>
      <c r="FG419" s="1087">
        <f t="shared" si="1087"/>
        <v>156752073.59631637</v>
      </c>
      <c r="FH419" s="269">
        <f t="shared" si="1125"/>
        <v>16961436.200431772</v>
      </c>
      <c r="FJ419" s="140">
        <f>'Detailed Budget'!$AC$235</f>
        <v>3623696172</v>
      </c>
      <c r="FK419" s="269">
        <f t="shared" si="1126"/>
        <v>4681778</v>
      </c>
      <c r="FL419" s="269">
        <f t="shared" si="1088"/>
        <v>4681778</v>
      </c>
      <c r="FO419" s="607"/>
      <c r="FP419" s="607"/>
      <c r="FQ419" s="607"/>
      <c r="FR419" s="269">
        <f>'Detailed Budget'!$AC$257</f>
        <v>13636439388</v>
      </c>
      <c r="FS419" s="269">
        <f t="shared" si="1127"/>
        <v>15989376</v>
      </c>
      <c r="FT419" s="269">
        <f t="shared" si="1089"/>
        <v>15989376</v>
      </c>
      <c r="FU419" s="269"/>
      <c r="FV419" s="269"/>
      <c r="FW419" s="269"/>
      <c r="FX419" s="140">
        <f>'Detailed Budget'!$AC$278</f>
        <v>1114560000</v>
      </c>
      <c r="FY419" s="269">
        <f t="shared" si="1128"/>
        <v>1440000</v>
      </c>
      <c r="FZ419" s="269">
        <f t="shared" si="1090"/>
        <v>1440000</v>
      </c>
      <c r="GB419" s="269">
        <f t="shared" si="1098"/>
        <v>1124765832.0039301</v>
      </c>
      <c r="GC419" s="887">
        <f t="shared" si="1055"/>
        <v>702978.64500245627</v>
      </c>
      <c r="GD419" s="1078">
        <f t="shared" si="1099"/>
        <v>6.3114152620449252E-4</v>
      </c>
    </row>
    <row r="420" spans="1:186" hidden="1" outlineLevel="1">
      <c r="A420" s="211" t="s">
        <v>977</v>
      </c>
      <c r="B420" s="212" t="s">
        <v>978</v>
      </c>
      <c r="C420" s="213" t="s">
        <v>215</v>
      </c>
      <c r="D420" s="214" t="s">
        <v>215</v>
      </c>
      <c r="E420" s="213"/>
      <c r="F420" s="213"/>
      <c r="G420" s="213"/>
      <c r="H420" s="213" t="s">
        <v>215</v>
      </c>
      <c r="I420" s="214"/>
      <c r="J420" s="214" t="s">
        <v>215</v>
      </c>
      <c r="K420" s="213"/>
      <c r="L420" s="213" t="s">
        <v>215</v>
      </c>
      <c r="M420" s="214"/>
      <c r="N420" s="213"/>
      <c r="O420" s="214"/>
      <c r="P420" s="213"/>
      <c r="Q420" s="214"/>
      <c r="R420" s="214" t="s">
        <v>215</v>
      </c>
      <c r="S420" s="214"/>
      <c r="T420" s="214"/>
      <c r="U420" s="215">
        <f t="shared" si="1129"/>
        <v>6</v>
      </c>
      <c r="V420" s="845" t="s">
        <v>957</v>
      </c>
      <c r="W420" s="216">
        <v>154818</v>
      </c>
      <c r="X420" s="217">
        <v>3.17</v>
      </c>
      <c r="Y420" s="218">
        <f t="shared" si="1101"/>
        <v>1.0317000000000001</v>
      </c>
      <c r="Z420" s="196">
        <v>19</v>
      </c>
      <c r="AA420" s="218">
        <f t="shared" si="1102"/>
        <v>1.8093191519340412</v>
      </c>
      <c r="AB420" s="196">
        <f t="shared" si="1103"/>
        <v>280115.17246412439</v>
      </c>
      <c r="AC420">
        <v>20.2</v>
      </c>
      <c r="AD420" s="196">
        <f t="shared" si="1104"/>
        <v>56583.264837753122</v>
      </c>
      <c r="AE420" s="196">
        <f t="shared" si="1148"/>
        <v>53754.101595865461</v>
      </c>
      <c r="AF420" s="196">
        <f t="shared" si="1130"/>
        <v>53754.101595865461</v>
      </c>
      <c r="AG420" s="606">
        <f t="shared" si="1058"/>
        <v>2.4853536728650953E-3</v>
      </c>
      <c r="AH420" s="196">
        <f t="shared" si="1144"/>
        <v>14005.75862320622</v>
      </c>
      <c r="AI420" s="248">
        <f t="shared" si="1034"/>
        <v>1.0850048997427056E-3</v>
      </c>
      <c r="AJ420" s="196">
        <f t="shared" si="1038"/>
        <v>70589.023460959346</v>
      </c>
      <c r="AK420" s="196">
        <f t="shared" si="1067"/>
        <v>11204.606898564976</v>
      </c>
      <c r="AL420" s="196">
        <f t="shared" si="1068"/>
        <v>11204.606898564976</v>
      </c>
      <c r="AM420" s="196">
        <f t="shared" si="1039"/>
        <v>22409.213797129953</v>
      </c>
      <c r="AN420" s="627">
        <f t="shared" si="1040"/>
        <v>1.0850048997427056E-3</v>
      </c>
      <c r="AO420" s="196">
        <f t="shared" si="1041"/>
        <v>10644.376553636726</v>
      </c>
      <c r="AP420" s="589">
        <f t="shared" si="1059"/>
        <v>1.0850048997427053E-3</v>
      </c>
      <c r="AQ420" s="196"/>
      <c r="AR420" s="589"/>
      <c r="AS420">
        <v>1</v>
      </c>
      <c r="AT420" s="589">
        <f t="shared" si="1060"/>
        <v>1.2919896640826874E-3</v>
      </c>
      <c r="AU420" s="196">
        <v>12</v>
      </c>
      <c r="AV420" s="245">
        <f t="shared" si="1042"/>
        <v>1.3634814225656176E-3</v>
      </c>
      <c r="AX420" s="245"/>
      <c r="AY420" s="245"/>
      <c r="AZ420" s="196">
        <v>29</v>
      </c>
      <c r="BA420" s="589">
        <f t="shared" si="1092"/>
        <v>1.0626213770107361E-3</v>
      </c>
      <c r="BI420" s="196">
        <v>0</v>
      </c>
      <c r="BJ420" s="196">
        <f t="shared" si="1131"/>
        <v>148186.79569437527</v>
      </c>
      <c r="BK420" s="246">
        <f t="shared" si="1093"/>
        <v>2.8258327871421175E-3</v>
      </c>
      <c r="BL420" s="196">
        <f t="shared" si="1145"/>
        <v>2963.7359138875054</v>
      </c>
      <c r="BM420" s="246">
        <f t="shared" si="1094"/>
        <v>2.8258324638205964E-3</v>
      </c>
      <c r="BN420" s="196">
        <v>0</v>
      </c>
      <c r="BO420" s="196">
        <f t="shared" si="1132"/>
        <v>18561.141059857269</v>
      </c>
      <c r="BP420" s="196">
        <f t="shared" si="1043"/>
        <v>0</v>
      </c>
      <c r="BQ420" s="248">
        <f t="shared" si="1095"/>
        <v>0</v>
      </c>
      <c r="BR420" s="248"/>
      <c r="BS420" s="248"/>
      <c r="BT420" s="276">
        <v>1</v>
      </c>
      <c r="BU420" s="196">
        <f t="shared" si="1146"/>
        <v>47258.342792491399</v>
      </c>
      <c r="BV420" s="264">
        <f t="shared" si="1096"/>
        <v>3.2779281707986285E-3</v>
      </c>
      <c r="BW420" s="196">
        <f t="shared" si="1147"/>
        <v>202160.68861232436</v>
      </c>
      <c r="BX420" s="247">
        <f t="shared" si="1097"/>
        <v>3.2779282003263317E-3</v>
      </c>
      <c r="BY420" s="196">
        <f t="shared" si="1100"/>
        <v>249419.03140481576</v>
      </c>
      <c r="BZ420" s="620">
        <v>0</v>
      </c>
      <c r="CA420" s="196">
        <f t="shared" si="1133"/>
        <v>85715.242774022074</v>
      </c>
      <c r="CB420" s="196">
        <f t="shared" si="1134"/>
        <v>171430.48554804415</v>
      </c>
      <c r="CC420" s="196">
        <f t="shared" si="1056"/>
        <v>257145.72832206622</v>
      </c>
      <c r="CD420" s="247">
        <f t="shared" si="1044"/>
        <v>1.0850048997427056E-3</v>
      </c>
      <c r="CE420" s="196">
        <f t="shared" si="1135"/>
        <v>17546.443079668512</v>
      </c>
      <c r="CF420" s="247">
        <f t="shared" si="1045"/>
        <v>7.5770998066469828E-4</v>
      </c>
      <c r="CG420" s="196">
        <f t="shared" si="1106"/>
        <v>42577.506214546906</v>
      </c>
      <c r="CH420" s="589">
        <f t="shared" si="1061"/>
        <v>1.0850048997427053E-3</v>
      </c>
      <c r="CI420" s="196">
        <f t="shared" si="1136"/>
        <v>65180.841982702572</v>
      </c>
      <c r="CJ420" s="248">
        <f t="shared" si="1062"/>
        <v>1.0715728767447781E-3</v>
      </c>
      <c r="CK420" s="196">
        <f t="shared" si="1137"/>
        <v>52626.079336244657</v>
      </c>
      <c r="CL420" s="589">
        <f t="shared" si="1063"/>
        <v>7.5651071518121281E-4</v>
      </c>
      <c r="CM420" s="196">
        <f t="shared" si="1138"/>
        <v>5098.1602009991266</v>
      </c>
      <c r="CN420" s="589">
        <f t="shared" si="1064"/>
        <v>7.347028237755976E-4</v>
      </c>
      <c r="CO420" s="196">
        <f t="shared" si="1139"/>
        <v>407.850914455431</v>
      </c>
      <c r="CP420" s="589">
        <f t="shared" si="1065"/>
        <v>7.6914400405726747E-4</v>
      </c>
      <c r="CQ420" s="196">
        <f>'Detailed Budget'!$AC$12</f>
        <v>292876014141.44696</v>
      </c>
      <c r="CR420" s="269">
        <f t="shared" si="1066"/>
        <v>827618643.3283993</v>
      </c>
      <c r="CS420" s="269">
        <f>'Detailed Budget'!$AC$16</f>
        <v>10488008800.000002</v>
      </c>
      <c r="CT420" s="607">
        <f t="shared" si="1108"/>
        <v>29637355.747876104</v>
      </c>
      <c r="CU420" s="269">
        <f>'Detailed Budget'!$AC$24</f>
        <v>30624985696</v>
      </c>
      <c r="CV420" s="269">
        <f t="shared" si="1091"/>
        <v>86541088.685515165</v>
      </c>
      <c r="CW420" s="269"/>
      <c r="CX420" s="269">
        <f t="shared" si="1057"/>
        <v>943797087.76179051</v>
      </c>
      <c r="CY420" s="196">
        <f>'Detailed Budget'!$AC$97</f>
        <v>74629165494.837845</v>
      </c>
      <c r="CZ420" s="269">
        <f t="shared" si="1109"/>
        <v>0</v>
      </c>
      <c r="DA420" s="269">
        <f>'Detailed Budget'!$AC$100</f>
        <v>14925833098.967569</v>
      </c>
      <c r="DB420" s="269">
        <f t="shared" si="1110"/>
        <v>0</v>
      </c>
      <c r="DC420" s="269">
        <f t="shared" si="1046"/>
        <v>0</v>
      </c>
      <c r="DD420" s="207">
        <v>0</v>
      </c>
      <c r="DE420" s="606">
        <v>0</v>
      </c>
      <c r="DF420" s="269">
        <f>'Detailed Budget'!$AC$147</f>
        <v>5913600671000</v>
      </c>
      <c r="DG420" s="269">
        <f t="shared" si="1086"/>
        <v>0</v>
      </c>
      <c r="DH420" s="269">
        <f>'Detailed Budget'!$AC$153</f>
        <v>226428026880.00003</v>
      </c>
      <c r="DI420" s="269"/>
      <c r="DJ420" s="269">
        <f>'Detailed Budget'!$AC$156</f>
        <v>27713070000</v>
      </c>
      <c r="DK420" s="269"/>
      <c r="DL420" s="269"/>
      <c r="DM420" s="196">
        <f>'Detailed Budget'!$AC$178</f>
        <v>5622683761.6229038</v>
      </c>
      <c r="DN420" s="269">
        <f t="shared" si="1140"/>
        <v>18430753.497715715</v>
      </c>
      <c r="DO420" s="196">
        <f>'Detailed Budget'!$AC$179</f>
        <v>26827890683.128094</v>
      </c>
      <c r="DP420" s="269">
        <f t="shared" si="1141"/>
        <v>87939899.425497636</v>
      </c>
      <c r="DQ420" s="269">
        <f t="shared" si="1008"/>
        <v>106370652.92321335</v>
      </c>
      <c r="DR420" s="269">
        <f>'Detailed Budget'!$AC$181</f>
        <v>50888946855.375237</v>
      </c>
      <c r="DS420" s="269">
        <f t="shared" si="1142"/>
        <v>126477030.97524348</v>
      </c>
      <c r="DT420" s="269">
        <f t="shared" si="1143"/>
        <v>232847683.89845681</v>
      </c>
      <c r="DU420" s="272">
        <f>'Detailed Budget'!$AC$192</f>
        <v>77498869683.252869</v>
      </c>
      <c r="DV420" s="269">
        <f t="shared" si="1111"/>
        <v>0</v>
      </c>
      <c r="DW420" s="140">
        <f>'Detailed Budget'!$AC$194</f>
        <v>2684962805.4134097</v>
      </c>
      <c r="DX420" s="269">
        <f t="shared" si="1112"/>
        <v>0</v>
      </c>
      <c r="DY420" s="607">
        <f t="shared" si="1047"/>
        <v>0</v>
      </c>
      <c r="DZ420" s="196">
        <f>'Detailed Budget'!$AC$198</f>
        <v>18732540018.380611</v>
      </c>
      <c r="EA420" s="269">
        <f t="shared" si="1113"/>
        <v>14193832.53512786</v>
      </c>
      <c r="EB420" s="196">
        <f>'Detailed Budget'!$AC$200</f>
        <v>4683135004.5951529</v>
      </c>
      <c r="EC420" s="269">
        <f t="shared" si="1114"/>
        <v>3548458.1337819649</v>
      </c>
      <c r="ED420" s="269">
        <f t="shared" si="1048"/>
        <v>17742290.668909825</v>
      </c>
      <c r="EE420" s="196">
        <f>'Detailed Budget'!$AC$161</f>
        <v>251147290106.36197</v>
      </c>
      <c r="EF420" s="269">
        <f t="shared" si="1115"/>
        <v>272496040.32250541</v>
      </c>
      <c r="EG420" s="196">
        <f>'Detailed Budget'!$AC$163</f>
        <v>15696705631.647623</v>
      </c>
      <c r="EH420" s="269">
        <f t="shared" si="1116"/>
        <v>17031002.520156588</v>
      </c>
      <c r="EI420" s="269">
        <f t="shared" si="1049"/>
        <v>289527042.84266198</v>
      </c>
      <c r="EJ420" s="196">
        <f>'Detailed Budget'!$AC$204</f>
        <v>45012172507.531975</v>
      </c>
      <c r="EK420" s="269">
        <f t="shared" si="1117"/>
        <v>48233823.182428256</v>
      </c>
      <c r="EL420" s="201">
        <f>'Detailed Budget'!$AC$206</f>
        <v>11253043126.882994</v>
      </c>
      <c r="EM420" s="269">
        <f t="shared" si="1118"/>
        <v>12058455.795607064</v>
      </c>
      <c r="EN420" s="269">
        <f t="shared" si="1050"/>
        <v>60292278.978035316</v>
      </c>
      <c r="EO420" s="140">
        <f>'Detailed Budget'!$AC$209</f>
        <v>135789361677.54817</v>
      </c>
      <c r="EP420" s="269">
        <f t="shared" si="1119"/>
        <v>102726107.11668234</v>
      </c>
      <c r="EQ420" s="196">
        <f>'Detailed Budget'!$AC$211</f>
        <v>33947340419.387043</v>
      </c>
      <c r="ER420" s="269">
        <f t="shared" si="1120"/>
        <v>25681526.779170584</v>
      </c>
      <c r="ES420" s="269">
        <f t="shared" si="1051"/>
        <v>128407633.89585292</v>
      </c>
      <c r="ET420" s="196">
        <f>'Detailed Budget'!$AC$214</f>
        <v>22239745544.201103</v>
      </c>
      <c r="EU420" s="269">
        <f t="shared" si="1121"/>
        <v>16339603.851375315</v>
      </c>
      <c r="EV420" s="140">
        <f>'Detailed Budget'!$AC$217</f>
        <v>5559936386.0502758</v>
      </c>
      <c r="EW420" s="269">
        <f t="shared" si="1122"/>
        <v>4084900.9628438288</v>
      </c>
      <c r="EX420" s="269">
        <f t="shared" si="1052"/>
        <v>20424504.814219143</v>
      </c>
      <c r="EY420" s="196">
        <f>'Detailed Budget'!$AC$219</f>
        <v>372777004.58170313</v>
      </c>
      <c r="EZ420" s="269">
        <f t="shared" si="1123"/>
        <v>286719.1979244455</v>
      </c>
      <c r="FA420" s="196">
        <f>'Detailed Budget'!$AC$222</f>
        <v>93194251.145425782</v>
      </c>
      <c r="FB420" s="269">
        <f t="shared" si="1124"/>
        <v>71679.799481111375</v>
      </c>
      <c r="FC420" s="269">
        <f t="shared" si="1053"/>
        <v>358398.99740555685</v>
      </c>
      <c r="FD420" s="269"/>
      <c r="FE420" s="269">
        <f t="shared" si="1054"/>
        <v>209482816.68551296</v>
      </c>
      <c r="FF420" s="140">
        <f>'Detailed Budget'!$AC$165</f>
        <v>14927760000</v>
      </c>
      <c r="FG420" s="1087">
        <f t="shared" si="1087"/>
        <v>285748428.43390304</v>
      </c>
      <c r="FH420" s="269">
        <f t="shared" si="1125"/>
        <v>20353723.440518126</v>
      </c>
      <c r="FJ420" s="140">
        <f>'Detailed Budget'!$AC$235</f>
        <v>3623696172</v>
      </c>
      <c r="FK420" s="269">
        <f t="shared" si="1126"/>
        <v>4681778</v>
      </c>
      <c r="FL420" s="269">
        <f t="shared" si="1088"/>
        <v>4681778</v>
      </c>
      <c r="FO420" s="607"/>
      <c r="FP420" s="607"/>
      <c r="FQ420" s="607"/>
      <c r="FR420" s="269">
        <f>'Detailed Budget'!$AC$257</f>
        <v>13636439388</v>
      </c>
      <c r="FS420" s="269">
        <f t="shared" si="1127"/>
        <v>14490372</v>
      </c>
      <c r="FT420" s="269">
        <f t="shared" si="1089"/>
        <v>14490372</v>
      </c>
      <c r="FU420" s="269"/>
      <c r="FV420" s="269"/>
      <c r="FW420" s="269"/>
      <c r="FX420" s="140">
        <f>'Detailed Budget'!$AC$278</f>
        <v>1114560000</v>
      </c>
      <c r="FY420" s="269">
        <f t="shared" si="1128"/>
        <v>1440000</v>
      </c>
      <c r="FZ420" s="269">
        <f t="shared" si="1090"/>
        <v>1440000</v>
      </c>
      <c r="GB420" s="269">
        <f t="shared" si="1098"/>
        <v>2020111223.7317533</v>
      </c>
      <c r="GC420" s="887">
        <f t="shared" si="1055"/>
        <v>1262569.5148323458</v>
      </c>
      <c r="GD420" s="1078">
        <f t="shared" si="1099"/>
        <v>1.133548019126197E-3</v>
      </c>
    </row>
    <row r="421" spans="1:186" hidden="1" outlineLevel="1">
      <c r="A421" s="211" t="s">
        <v>979</v>
      </c>
      <c r="B421" s="212" t="s">
        <v>980</v>
      </c>
      <c r="C421" s="213" t="s">
        <v>215</v>
      </c>
      <c r="D421" s="214" t="s">
        <v>215</v>
      </c>
      <c r="E421" s="213"/>
      <c r="F421" s="213"/>
      <c r="G421" s="213"/>
      <c r="H421" s="213" t="s">
        <v>215</v>
      </c>
      <c r="I421" s="214" t="s">
        <v>215</v>
      </c>
      <c r="J421" s="214"/>
      <c r="K421" s="213" t="s">
        <v>215</v>
      </c>
      <c r="L421" s="213"/>
      <c r="M421" s="214"/>
      <c r="N421" s="213"/>
      <c r="O421" s="214"/>
      <c r="P421" s="213"/>
      <c r="Q421" s="214"/>
      <c r="R421" s="214" t="s">
        <v>215</v>
      </c>
      <c r="S421" s="214"/>
      <c r="T421" s="214"/>
      <c r="U421" s="215">
        <f t="shared" si="1129"/>
        <v>6</v>
      </c>
      <c r="V421" s="845" t="s">
        <v>957</v>
      </c>
      <c r="W421" s="216">
        <v>173759</v>
      </c>
      <c r="X421" s="217">
        <v>3.17</v>
      </c>
      <c r="Y421" s="218">
        <f t="shared" si="1101"/>
        <v>1.0317000000000001</v>
      </c>
      <c r="Z421" s="196">
        <v>19</v>
      </c>
      <c r="AA421" s="218">
        <f t="shared" si="1102"/>
        <v>1.8093191519340412</v>
      </c>
      <c r="AB421" s="196">
        <f t="shared" si="1103"/>
        <v>314385.48652090708</v>
      </c>
      <c r="AC421">
        <v>20.2</v>
      </c>
      <c r="AD421" s="196">
        <f t="shared" si="1104"/>
        <v>63505.868277223228</v>
      </c>
      <c r="AE421" s="196">
        <f t="shared" si="1148"/>
        <v>60330.574863362061</v>
      </c>
      <c r="AF421" s="196">
        <f t="shared" si="1130"/>
        <v>60330.574863362061</v>
      </c>
      <c r="AG421" s="606">
        <f t="shared" si="1058"/>
        <v>2.7894209254955248E-3</v>
      </c>
      <c r="AH421" s="196">
        <f t="shared" si="1144"/>
        <v>15719.274326045355</v>
      </c>
      <c r="AI421" s="248">
        <f t="shared" si="1034"/>
        <v>1.2177483650117737E-3</v>
      </c>
      <c r="AJ421" s="196">
        <f t="shared" si="1038"/>
        <v>79225.142603268585</v>
      </c>
      <c r="AK421" s="196">
        <f t="shared" si="1067"/>
        <v>12575.419460836283</v>
      </c>
      <c r="AL421" s="196">
        <f t="shared" si="1068"/>
        <v>12575.419460836283</v>
      </c>
      <c r="AM421" s="196">
        <f t="shared" si="1039"/>
        <v>25150.838921672566</v>
      </c>
      <c r="AN421" s="627">
        <f t="shared" si="1040"/>
        <v>1.2177483650117737E-3</v>
      </c>
      <c r="AO421" s="196">
        <f t="shared" si="1041"/>
        <v>11946.648487794469</v>
      </c>
      <c r="AP421" s="589">
        <f t="shared" si="1059"/>
        <v>1.2177483650117737E-3</v>
      </c>
      <c r="AQ421" s="196"/>
      <c r="AR421" s="589"/>
      <c r="AS421">
        <v>1</v>
      </c>
      <c r="AT421" s="589">
        <f t="shared" si="1060"/>
        <v>1.2919896640826874E-3</v>
      </c>
      <c r="AU421" s="196">
        <v>11</v>
      </c>
      <c r="AV421" s="245">
        <f t="shared" si="1042"/>
        <v>1.2498579706851495E-3</v>
      </c>
      <c r="AX421" s="245"/>
      <c r="AY421" s="245"/>
      <c r="AZ421" s="196">
        <v>42</v>
      </c>
      <c r="BA421" s="589">
        <f t="shared" si="1092"/>
        <v>1.5389688908431351E-3</v>
      </c>
      <c r="BI421" s="196">
        <v>0</v>
      </c>
      <c r="BJ421" s="196">
        <f t="shared" si="1131"/>
        <v>166316.50992170777</v>
      </c>
      <c r="BK421" s="246">
        <f t="shared" si="1093"/>
        <v>3.1715554991088063E-3</v>
      </c>
      <c r="BL421" s="196">
        <f t="shared" si="1145"/>
        <v>3326.3301984341551</v>
      </c>
      <c r="BM421" s="246">
        <f t="shared" si="1094"/>
        <v>3.1715551362309488E-3</v>
      </c>
      <c r="BN421" s="196">
        <v>0</v>
      </c>
      <c r="BO421" s="196">
        <f t="shared" si="1132"/>
        <v>20831.978900513765</v>
      </c>
      <c r="BP421" s="196">
        <f t="shared" si="1043"/>
        <v>0</v>
      </c>
      <c r="BQ421" s="248">
        <f t="shared" si="1095"/>
        <v>0</v>
      </c>
      <c r="BR421" s="248"/>
      <c r="BS421" s="248"/>
      <c r="BT421" s="276">
        <v>1</v>
      </c>
      <c r="BU421" s="196">
        <f t="shared" si="1146"/>
        <v>53040.101185136831</v>
      </c>
      <c r="BV421" s="264">
        <f t="shared" si="1096"/>
        <v>3.6789618844694995E-3</v>
      </c>
      <c r="BW421" s="196">
        <f t="shared" si="1147"/>
        <v>226893.76618086314</v>
      </c>
      <c r="BX421" s="247">
        <f t="shared" si="1097"/>
        <v>3.6789619176097296E-3</v>
      </c>
      <c r="BY421" s="196">
        <f t="shared" si="1100"/>
        <v>279933.86736599996</v>
      </c>
      <c r="BZ421" s="620">
        <v>0</v>
      </c>
      <c r="CA421" s="196">
        <f t="shared" si="1133"/>
        <v>96201.958875397569</v>
      </c>
      <c r="CB421" s="196">
        <f t="shared" si="1134"/>
        <v>192403.91775079514</v>
      </c>
      <c r="CC421" s="196">
        <f t="shared" si="1056"/>
        <v>288605.87662619271</v>
      </c>
      <c r="CD421" s="247">
        <f t="shared" si="1044"/>
        <v>1.2177483650117737E-3</v>
      </c>
      <c r="CE421" s="196">
        <f t="shared" si="1135"/>
        <v>19693.139060575133</v>
      </c>
      <c r="CF421" s="247">
        <f t="shared" si="1045"/>
        <v>8.5041098922810851E-4</v>
      </c>
      <c r="CG421" s="196">
        <f t="shared" si="1106"/>
        <v>47786.593951177878</v>
      </c>
      <c r="CH421" s="589">
        <f t="shared" si="1061"/>
        <v>1.2177483650117737E-3</v>
      </c>
      <c r="CI421" s="196">
        <f t="shared" si="1136"/>
        <v>73155.304435352591</v>
      </c>
      <c r="CJ421" s="248">
        <f t="shared" si="1062"/>
        <v>1.2026730192244825E-3</v>
      </c>
      <c r="CK421" s="196">
        <f t="shared" si="1137"/>
        <v>59064.54623743063</v>
      </c>
      <c r="CL421" s="589">
        <f t="shared" si="1063"/>
        <v>8.4906500122190157E-4</v>
      </c>
      <c r="CM421" s="196">
        <f t="shared" si="1138"/>
        <v>5721.8877544304105</v>
      </c>
      <c r="CN421" s="589">
        <f t="shared" si="1064"/>
        <v>8.2458905267103358E-4</v>
      </c>
      <c r="CO421" s="196">
        <f t="shared" si="1139"/>
        <v>457.74888607824175</v>
      </c>
      <c r="CP421" s="589">
        <f t="shared" si="1065"/>
        <v>8.6324389283537277E-4</v>
      </c>
      <c r="CQ421" s="196">
        <f>'Detailed Budget'!$AC$12</f>
        <v>292876014141.44696</v>
      </c>
      <c r="CR421" s="269">
        <f t="shared" si="1066"/>
        <v>928872533.20737457</v>
      </c>
      <c r="CS421" s="269">
        <f>'Detailed Budget'!$AC$16</f>
        <v>10488008800.000002</v>
      </c>
      <c r="CT421" s="607">
        <f t="shared" si="1108"/>
        <v>33263298.178475395</v>
      </c>
      <c r="CU421" s="269">
        <f>'Detailed Budget'!$AC$24</f>
        <v>30624985696</v>
      </c>
      <c r="CV421" s="269">
        <f t="shared" si="1091"/>
        <v>97128841.79427734</v>
      </c>
      <c r="CW421" s="269"/>
      <c r="CX421" s="269">
        <f t="shared" si="1057"/>
        <v>1059264673.1801273</v>
      </c>
      <c r="CY421" s="196">
        <f>'Detailed Budget'!$AC$97</f>
        <v>74629165494.837845</v>
      </c>
      <c r="CZ421" s="269">
        <f t="shared" si="1109"/>
        <v>0</v>
      </c>
      <c r="DA421" s="269">
        <f>'Detailed Budget'!$AC$100</f>
        <v>14925833098.967569</v>
      </c>
      <c r="DB421" s="269">
        <f t="shared" si="1110"/>
        <v>0</v>
      </c>
      <c r="DC421" s="269">
        <f t="shared" si="1046"/>
        <v>0</v>
      </c>
      <c r="DD421" s="207">
        <v>0</v>
      </c>
      <c r="DE421" s="606">
        <v>0</v>
      </c>
      <c r="DF421" s="269">
        <f>'Detailed Budget'!$AC$147</f>
        <v>5913600671000</v>
      </c>
      <c r="DG421" s="269">
        <f t="shared" si="1086"/>
        <v>0</v>
      </c>
      <c r="DH421" s="269">
        <f>'Detailed Budget'!$AC$153</f>
        <v>226428026880.00003</v>
      </c>
      <c r="DI421" s="269"/>
      <c r="DJ421" s="269">
        <f>'Detailed Budget'!$AC$156</f>
        <v>27713070000</v>
      </c>
      <c r="DK421" s="269"/>
      <c r="DL421" s="269"/>
      <c r="DM421" s="196">
        <f>'Detailed Budget'!$AC$178</f>
        <v>5622683761.6229038</v>
      </c>
      <c r="DN421" s="269">
        <f t="shared" si="1140"/>
        <v>20685639.247436251</v>
      </c>
      <c r="DO421" s="196">
        <f>'Detailed Budget'!$AC$179</f>
        <v>26827890683.128094</v>
      </c>
      <c r="DP421" s="269">
        <f t="shared" si="1141"/>
        <v>98698788.153025135</v>
      </c>
      <c r="DQ421" s="269">
        <f t="shared" si="1008"/>
        <v>119384427.40046139</v>
      </c>
      <c r="DR421" s="269">
        <f>'Detailed Budget'!$AC$181</f>
        <v>50888946855.375237</v>
      </c>
      <c r="DS421" s="269">
        <f t="shared" si="1142"/>
        <v>141950693.23481336</v>
      </c>
      <c r="DT421" s="269">
        <f t="shared" si="1143"/>
        <v>261335120.63527477</v>
      </c>
      <c r="DU421" s="272">
        <f>'Detailed Budget'!$AC$192</f>
        <v>77498869683.252869</v>
      </c>
      <c r="DV421" s="269">
        <f t="shared" si="1111"/>
        <v>0</v>
      </c>
      <c r="DW421" s="140">
        <f>'Detailed Budget'!$AC$194</f>
        <v>2684962805.4134097</v>
      </c>
      <c r="DX421" s="269">
        <f t="shared" si="1112"/>
        <v>0</v>
      </c>
      <c r="DY421" s="607">
        <f t="shared" si="1047"/>
        <v>0</v>
      </c>
      <c r="DZ421" s="196">
        <f>'Detailed Budget'!$AC$198</f>
        <v>18732540018.380611</v>
      </c>
      <c r="EA421" s="269">
        <f t="shared" si="1113"/>
        <v>15930357.887786185</v>
      </c>
      <c r="EB421" s="196">
        <f>'Detailed Budget'!$AC$200</f>
        <v>4683135004.5951529</v>
      </c>
      <c r="EC421" s="269">
        <f t="shared" si="1114"/>
        <v>3982589.4719465463</v>
      </c>
      <c r="ED421" s="269">
        <f t="shared" si="1048"/>
        <v>19912947.359732732</v>
      </c>
      <c r="EE421" s="196">
        <f>'Detailed Budget'!$AC$161</f>
        <v>251147290106.36197</v>
      </c>
      <c r="EF421" s="269">
        <f t="shared" si="1115"/>
        <v>305834201.9041599</v>
      </c>
      <c r="EG421" s="196">
        <f>'Detailed Budget'!$AC$163</f>
        <v>15696705631.647623</v>
      </c>
      <c r="EH421" s="269">
        <f t="shared" si="1116"/>
        <v>19114637.619009994</v>
      </c>
      <c r="EI421" s="269">
        <f t="shared" si="1049"/>
        <v>324948839.52316988</v>
      </c>
      <c r="EJ421" s="196">
        <f>'Detailed Budget'!$AC$204</f>
        <v>45012172507.531975</v>
      </c>
      <c r="EK421" s="269">
        <f t="shared" si="1117"/>
        <v>54134925.411486723</v>
      </c>
      <c r="EL421" s="201">
        <f>'Detailed Budget'!$AC$206</f>
        <v>11253043126.882994</v>
      </c>
      <c r="EM421" s="269">
        <f t="shared" si="1118"/>
        <v>13533731.352871681</v>
      </c>
      <c r="EN421" s="269">
        <f t="shared" si="1050"/>
        <v>67668656.764358401</v>
      </c>
      <c r="EO421" s="140">
        <f>'Detailed Budget'!$AC$209</f>
        <v>135789361677.54817</v>
      </c>
      <c r="EP421" s="269">
        <f t="shared" si="1119"/>
        <v>115293994.53866868</v>
      </c>
      <c r="EQ421" s="196">
        <f>'Detailed Budget'!$AC$211</f>
        <v>33947340419.387043</v>
      </c>
      <c r="ER421" s="269">
        <f t="shared" si="1120"/>
        <v>28823498.634667169</v>
      </c>
      <c r="ES421" s="269">
        <f t="shared" si="1051"/>
        <v>144117493.17333585</v>
      </c>
      <c r="ET421" s="196">
        <f>'Detailed Budget'!$AC$214</f>
        <v>22239745544.201103</v>
      </c>
      <c r="EU421" s="269">
        <f t="shared" si="1121"/>
        <v>18338650.709937628</v>
      </c>
      <c r="EV421" s="140">
        <f>'Detailed Budget'!$AC$217</f>
        <v>5559936386.0502758</v>
      </c>
      <c r="EW421" s="269">
        <f t="shared" si="1122"/>
        <v>4584662.6774844071</v>
      </c>
      <c r="EX421" s="269">
        <f t="shared" si="1052"/>
        <v>22923313.387422036</v>
      </c>
      <c r="EY421" s="196">
        <f>'Detailed Budget'!$AC$219</f>
        <v>372777004.58170313</v>
      </c>
      <c r="EZ421" s="269">
        <f t="shared" si="1123"/>
        <v>321797.47259461897</v>
      </c>
      <c r="FA421" s="196">
        <f>'Detailed Budget'!$AC$222</f>
        <v>93194251.145425782</v>
      </c>
      <c r="FB421" s="269">
        <f t="shared" si="1124"/>
        <v>80449.368148654743</v>
      </c>
      <c r="FC421" s="269">
        <f t="shared" si="1053"/>
        <v>402246.84074327373</v>
      </c>
      <c r="FD421" s="269"/>
      <c r="FE421" s="269">
        <f t="shared" si="1054"/>
        <v>235111710.16585955</v>
      </c>
      <c r="FF421" s="140">
        <f>'Detailed Budget'!$AC$165</f>
        <v>14927760000</v>
      </c>
      <c r="FG421" s="1087">
        <f t="shared" si="1087"/>
        <v>320707935.61631429</v>
      </c>
      <c r="FH421" s="269">
        <f t="shared" si="1125"/>
        <v>18657579.820474949</v>
      </c>
      <c r="FJ421" s="140">
        <f>'Detailed Budget'!$AC$235</f>
        <v>3623696172</v>
      </c>
      <c r="FK421" s="269">
        <f t="shared" si="1126"/>
        <v>4681778</v>
      </c>
      <c r="FL421" s="269">
        <f t="shared" si="1088"/>
        <v>4681778</v>
      </c>
      <c r="FO421" s="607"/>
      <c r="FP421" s="607"/>
      <c r="FQ421" s="607"/>
      <c r="FR421" s="269">
        <f>'Detailed Budget'!$AC$257</f>
        <v>13636439388</v>
      </c>
      <c r="FS421" s="269">
        <f t="shared" si="1127"/>
        <v>20986056</v>
      </c>
      <c r="FT421" s="269">
        <f t="shared" si="1089"/>
        <v>20986056</v>
      </c>
      <c r="FU421" s="269"/>
      <c r="FV421" s="269"/>
      <c r="FW421" s="269"/>
      <c r="FX421" s="140">
        <f>'Detailed Budget'!$AC$278</f>
        <v>1114560000</v>
      </c>
      <c r="FY421" s="269">
        <f t="shared" si="1128"/>
        <v>1440000</v>
      </c>
      <c r="FZ421" s="269">
        <f t="shared" si="1090"/>
        <v>1440000</v>
      </c>
      <c r="GB421" s="269">
        <f t="shared" si="1098"/>
        <v>2267046640.3009534</v>
      </c>
      <c r="GC421" s="887">
        <f t="shared" si="1055"/>
        <v>1416904.1501880959</v>
      </c>
      <c r="GD421" s="1078">
        <f t="shared" si="1099"/>
        <v>1.2721112571379314E-3</v>
      </c>
    </row>
    <row r="422" spans="1:186" hidden="1" outlineLevel="1">
      <c r="A422" s="211" t="s">
        <v>981</v>
      </c>
      <c r="B422" s="212" t="s">
        <v>982</v>
      </c>
      <c r="C422" s="213" t="s">
        <v>215</v>
      </c>
      <c r="D422" s="214" t="s">
        <v>215</v>
      </c>
      <c r="E422" s="213"/>
      <c r="F422" s="213"/>
      <c r="G422" s="213"/>
      <c r="H422" s="213" t="s">
        <v>215</v>
      </c>
      <c r="I422" s="214" t="s">
        <v>215</v>
      </c>
      <c r="J422" s="214"/>
      <c r="K422" s="213" t="s">
        <v>215</v>
      </c>
      <c r="L422" s="213"/>
      <c r="M422" s="214"/>
      <c r="N422" s="213"/>
      <c r="O422" s="214"/>
      <c r="P422" s="213"/>
      <c r="Q422" s="214"/>
      <c r="R422" s="214" t="s">
        <v>215</v>
      </c>
      <c r="S422" s="214" t="s">
        <v>215</v>
      </c>
      <c r="T422" s="214"/>
      <c r="U422" s="215">
        <f t="shared" si="1129"/>
        <v>7</v>
      </c>
      <c r="V422" s="845" t="s">
        <v>974</v>
      </c>
      <c r="W422" s="216">
        <v>126102</v>
      </c>
      <c r="X422" s="217">
        <v>3.17</v>
      </c>
      <c r="Y422" s="218">
        <f t="shared" si="1101"/>
        <v>1.0317000000000001</v>
      </c>
      <c r="Z422" s="196">
        <v>19</v>
      </c>
      <c r="AA422" s="218">
        <f t="shared" si="1102"/>
        <v>1.8093191519340412</v>
      </c>
      <c r="AB422" s="196">
        <f t="shared" si="1103"/>
        <v>228158.76369718646</v>
      </c>
      <c r="AC422">
        <v>20.2</v>
      </c>
      <c r="AD422" s="196">
        <f t="shared" si="1104"/>
        <v>46088.070266831666</v>
      </c>
      <c r="AE422" s="196">
        <f t="shared" si="1148"/>
        <v>43783.666753490084</v>
      </c>
      <c r="AF422" s="196">
        <f t="shared" si="1130"/>
        <v>43783.666753490084</v>
      </c>
      <c r="AG422" s="606">
        <f t="shared" si="1058"/>
        <v>2.0243645367827665E-3</v>
      </c>
      <c r="AH422" s="196">
        <f t="shared" si="1144"/>
        <v>11407.938184859324</v>
      </c>
      <c r="AI422" s="248">
        <f t="shared" si="1034"/>
        <v>8.8375568646639703E-4</v>
      </c>
      <c r="AJ422" s="196">
        <f t="shared" si="1038"/>
        <v>57496.008451690992</v>
      </c>
      <c r="AK422" s="196">
        <f t="shared" si="1067"/>
        <v>9126.3505478874577</v>
      </c>
      <c r="AL422" s="196">
        <f t="shared" si="1068"/>
        <v>9126.3505478874577</v>
      </c>
      <c r="AM422" s="196">
        <f t="shared" si="1039"/>
        <v>18252.701095774915</v>
      </c>
      <c r="AN422" s="627">
        <f t="shared" si="1040"/>
        <v>8.8375568646639681E-4</v>
      </c>
      <c r="AO422" s="196">
        <f t="shared" si="1041"/>
        <v>8670.0330204930851</v>
      </c>
      <c r="AP422" s="589">
        <f t="shared" si="1059"/>
        <v>8.8375568646639692E-4</v>
      </c>
      <c r="AQ422" s="196"/>
      <c r="AR422" s="589"/>
      <c r="AS422">
        <v>1</v>
      </c>
      <c r="AT422" s="589">
        <f t="shared" si="1060"/>
        <v>1.2919896640826874E-3</v>
      </c>
      <c r="AU422" s="196">
        <v>10</v>
      </c>
      <c r="AV422" s="245">
        <f t="shared" si="1042"/>
        <v>1.1362345188046814E-3</v>
      </c>
      <c r="AX422" s="245"/>
      <c r="AY422" s="245"/>
      <c r="AZ422" s="196">
        <v>46</v>
      </c>
      <c r="BA422" s="589">
        <f t="shared" si="1092"/>
        <v>1.6855373566377193E-3</v>
      </c>
      <c r="BI422" s="196">
        <v>0</v>
      </c>
      <c r="BJ422" s="196">
        <f t="shared" si="1131"/>
        <v>120700.76677551777</v>
      </c>
      <c r="BK422" s="246">
        <f t="shared" si="1093"/>
        <v>2.301690799029798E-3</v>
      </c>
      <c r="BL422" s="196">
        <f t="shared" si="1145"/>
        <v>2414.0153355103553</v>
      </c>
      <c r="BM422" s="246">
        <f t="shared" si="1094"/>
        <v>2.3016905356786992E-3</v>
      </c>
      <c r="BN422" s="196">
        <v>0</v>
      </c>
      <c r="BO422" s="196">
        <f t="shared" si="1132"/>
        <v>15118.377772159065</v>
      </c>
      <c r="BP422" s="196">
        <f t="shared" si="1043"/>
        <v>0</v>
      </c>
      <c r="BQ422" s="248">
        <f t="shared" si="1095"/>
        <v>0</v>
      </c>
      <c r="BR422" s="248"/>
      <c r="BS422" s="248"/>
      <c r="BT422" s="276">
        <v>1</v>
      </c>
      <c r="BU422" s="196">
        <f t="shared" si="1146"/>
        <v>38492.75628685781</v>
      </c>
      <c r="BV422" s="264">
        <f t="shared" si="1096"/>
        <v>2.6699304873725846E-3</v>
      </c>
      <c r="BW422" s="196">
        <f t="shared" si="1147"/>
        <v>164663.45744933616</v>
      </c>
      <c r="BX422" s="247">
        <f t="shared" si="1097"/>
        <v>2.6699305114234202E-3</v>
      </c>
      <c r="BY422" s="196">
        <f t="shared" si="1100"/>
        <v>203156.21373619395</v>
      </c>
      <c r="BZ422" s="620">
        <v>0</v>
      </c>
      <c r="CA422" s="196">
        <f t="shared" si="1133"/>
        <v>69816.581691339059</v>
      </c>
      <c r="CB422" s="196">
        <f t="shared" si="1134"/>
        <v>139633.16338267812</v>
      </c>
      <c r="CC422" s="196">
        <f t="shared" si="1056"/>
        <v>209449.74507401718</v>
      </c>
      <c r="CD422" s="247">
        <f t="shared" si="1044"/>
        <v>8.8375568646639692E-4</v>
      </c>
      <c r="CE422" s="196">
        <f t="shared" si="1135"/>
        <v>14291.888315521184</v>
      </c>
      <c r="CF422" s="247">
        <f t="shared" si="1045"/>
        <v>6.1716818446033261E-4</v>
      </c>
      <c r="CG422" s="196">
        <f t="shared" si="1106"/>
        <v>34680.132081972341</v>
      </c>
      <c r="CH422" s="589">
        <f t="shared" si="1061"/>
        <v>8.8375568646639692E-4</v>
      </c>
      <c r="CI422" s="196">
        <f t="shared" si="1136"/>
        <v>53090.948957503395</v>
      </c>
      <c r="CJ422" s="248">
        <f t="shared" si="1062"/>
        <v>8.7281506609870961E-4</v>
      </c>
      <c r="CK422" s="196">
        <f t="shared" si="1137"/>
        <v>42864.872666350966</v>
      </c>
      <c r="CL422" s="589">
        <f t="shared" si="1063"/>
        <v>6.1619136150693906E-4</v>
      </c>
      <c r="CM422" s="196">
        <f t="shared" si="1138"/>
        <v>4152.5416790450199</v>
      </c>
      <c r="CN422" s="589">
        <f t="shared" si="1064"/>
        <v>5.9842844813749318E-4</v>
      </c>
      <c r="CO422" s="196">
        <f t="shared" si="1139"/>
        <v>332.201785416804</v>
      </c>
      <c r="CP422" s="589">
        <f t="shared" si="1065"/>
        <v>6.2648139880136381E-4</v>
      </c>
      <c r="CQ422" s="196">
        <f>'Detailed Budget'!$AC$12</f>
        <v>292876014141.44696</v>
      </c>
      <c r="CR422" s="269">
        <f t="shared" si="1066"/>
        <v>674110027.00588942</v>
      </c>
      <c r="CS422" s="269">
        <f>'Detailed Budget'!$AC$16</f>
        <v>10488008800.000002</v>
      </c>
      <c r="CT422" s="607">
        <f t="shared" si="1108"/>
        <v>24140150.593074914</v>
      </c>
      <c r="CU422" s="269">
        <f>'Detailed Budget'!$AC$24</f>
        <v>30624985696</v>
      </c>
      <c r="CV422" s="269">
        <f t="shared" si="1091"/>
        <v>70489247.796902373</v>
      </c>
      <c r="CW422" s="269"/>
      <c r="CX422" s="269">
        <f t="shared" si="1057"/>
        <v>768739425.39586675</v>
      </c>
      <c r="CY422" s="196">
        <f>'Detailed Budget'!$AC$97</f>
        <v>74629165494.837845</v>
      </c>
      <c r="CZ422" s="269">
        <f t="shared" si="1109"/>
        <v>0</v>
      </c>
      <c r="DA422" s="269">
        <f>'Detailed Budget'!$AC$100</f>
        <v>14925833098.967569</v>
      </c>
      <c r="DB422" s="269">
        <f t="shared" si="1110"/>
        <v>0</v>
      </c>
      <c r="DC422" s="269">
        <f t="shared" si="1046"/>
        <v>0</v>
      </c>
      <c r="DD422" s="207">
        <v>1</v>
      </c>
      <c r="DE422" s="606">
        <v>0</v>
      </c>
      <c r="DF422" s="269">
        <f>'Detailed Budget'!$AC$147</f>
        <v>5913600671000</v>
      </c>
      <c r="DG422" s="269">
        <f t="shared" si="1086"/>
        <v>0</v>
      </c>
      <c r="DH422" s="269">
        <f>'Detailed Budget'!$AC$153</f>
        <v>226428026880.00003</v>
      </c>
      <c r="DI422" s="269"/>
      <c r="DJ422" s="269">
        <f>'Detailed Budget'!$AC$156</f>
        <v>27713070000</v>
      </c>
      <c r="DK422" s="269"/>
      <c r="DL422" s="269"/>
      <c r="DM422" s="196">
        <f>'Detailed Budget'!$AC$178</f>
        <v>5622683761.6229038</v>
      </c>
      <c r="DN422" s="269">
        <f t="shared" si="1140"/>
        <v>15012174.796011757</v>
      </c>
      <c r="DO422" s="196">
        <f>'Detailed Budget'!$AC$179</f>
        <v>26827890683.128094</v>
      </c>
      <c r="DP422" s="269">
        <f t="shared" si="1141"/>
        <v>71628603.8920158</v>
      </c>
      <c r="DQ422" s="269">
        <f t="shared" si="1008"/>
        <v>86640778.688027561</v>
      </c>
      <c r="DR422" s="269">
        <f>'Detailed Budget'!$AC$181</f>
        <v>50888946855.375237</v>
      </c>
      <c r="DS422" s="269">
        <f t="shared" si="1142"/>
        <v>103017779.32824451</v>
      </c>
      <c r="DT422" s="269">
        <f t="shared" si="1143"/>
        <v>189658558.01627207</v>
      </c>
      <c r="DU422" s="272">
        <f>'Detailed Budget'!$AC$192</f>
        <v>77498869683.252869</v>
      </c>
      <c r="DV422" s="269">
        <f t="shared" si="1111"/>
        <v>0</v>
      </c>
      <c r="DW422" s="140">
        <f>'Detailed Budget'!$AC$194</f>
        <v>2684962805.4134097</v>
      </c>
      <c r="DX422" s="269">
        <f t="shared" si="1112"/>
        <v>0</v>
      </c>
      <c r="DY422" s="607">
        <f t="shared" si="1047"/>
        <v>0</v>
      </c>
      <c r="DZ422" s="196">
        <f>'Detailed Budget'!$AC$198</f>
        <v>18732540018.380611</v>
      </c>
      <c r="EA422" s="269">
        <f t="shared" si="1113"/>
        <v>11561127.713474488</v>
      </c>
      <c r="EB422" s="196">
        <f>'Detailed Budget'!$AC$200</f>
        <v>4683135004.5951529</v>
      </c>
      <c r="EC422" s="269">
        <f t="shared" si="1114"/>
        <v>2890281.928368622</v>
      </c>
      <c r="ED422" s="269">
        <f t="shared" si="1048"/>
        <v>14451409.64184311</v>
      </c>
      <c r="EE422" s="196">
        <f>'Detailed Budget'!$AC$161</f>
        <v>251147290106.36197</v>
      </c>
      <c r="EF422" s="269">
        <f t="shared" si="1115"/>
        <v>221952845.77212325</v>
      </c>
      <c r="EG422" s="196">
        <f>'Detailed Budget'!$AC$163</f>
        <v>15696705631.647623</v>
      </c>
      <c r="EH422" s="269">
        <f t="shared" si="1116"/>
        <v>13872052.860757703</v>
      </c>
      <c r="EI422" s="269">
        <f t="shared" si="1049"/>
        <v>235824898.63288096</v>
      </c>
      <c r="EJ422" s="196">
        <f>'Detailed Budget'!$AC$204</f>
        <v>45012172507.531975</v>
      </c>
      <c r="EK422" s="269">
        <f t="shared" si="1117"/>
        <v>39287302.322408043</v>
      </c>
      <c r="EL422" s="201">
        <f>'Detailed Budget'!$AC$206</f>
        <v>11253043126.882994</v>
      </c>
      <c r="EM422" s="269">
        <f t="shared" si="1118"/>
        <v>9821825.5806020107</v>
      </c>
      <c r="EN422" s="269">
        <f t="shared" si="1050"/>
        <v>49109127.903010055</v>
      </c>
      <c r="EO422" s="140">
        <f>'Detailed Budget'!$AC$209</f>
        <v>135789361677.54817</v>
      </c>
      <c r="EP422" s="269">
        <f t="shared" si="1119"/>
        <v>83672231.650246575</v>
      </c>
      <c r="EQ422" s="196">
        <f>'Detailed Budget'!$AC$211</f>
        <v>33947340419.387043</v>
      </c>
      <c r="ER422" s="269">
        <f t="shared" si="1120"/>
        <v>20918057.912561644</v>
      </c>
      <c r="ES422" s="269">
        <f t="shared" si="1051"/>
        <v>104590289.56280822</v>
      </c>
      <c r="ET422" s="196">
        <f>'Detailed Budget'!$AC$214</f>
        <v>22239745544.201103</v>
      </c>
      <c r="EU422" s="269">
        <f t="shared" si="1121"/>
        <v>13308896.412988994</v>
      </c>
      <c r="EV422" s="140">
        <f>'Detailed Budget'!$AC$217</f>
        <v>5559936386.0502758</v>
      </c>
      <c r="EW422" s="269">
        <f t="shared" si="1122"/>
        <v>3327224.1032472486</v>
      </c>
      <c r="EX422" s="269">
        <f t="shared" si="1052"/>
        <v>16636120.516236242</v>
      </c>
      <c r="EY422" s="196">
        <f>'Detailed Budget'!$AC$219</f>
        <v>372777004.58170313</v>
      </c>
      <c r="EZ422" s="269">
        <f t="shared" si="1123"/>
        <v>233537.85927132779</v>
      </c>
      <c r="FA422" s="196">
        <f>'Detailed Budget'!$AC$222</f>
        <v>93194251.145425782</v>
      </c>
      <c r="FB422" s="269">
        <f t="shared" si="1124"/>
        <v>58384.464817831948</v>
      </c>
      <c r="FC422" s="269">
        <f t="shared" si="1053"/>
        <v>291922.32408915972</v>
      </c>
      <c r="FD422" s="269"/>
      <c r="FE422" s="269">
        <f t="shared" si="1054"/>
        <v>170627460.3061437</v>
      </c>
      <c r="FF422" s="140">
        <f>'Detailed Budget'!$AC$165</f>
        <v>14927760000</v>
      </c>
      <c r="FG422" s="1087">
        <f t="shared" si="1087"/>
        <v>232747150.34667829</v>
      </c>
      <c r="FH422" s="269">
        <f t="shared" si="1125"/>
        <v>16961436.200431772</v>
      </c>
      <c r="FJ422" s="140">
        <f>'Detailed Budget'!$AC$235</f>
        <v>3623696172</v>
      </c>
      <c r="FK422" s="269">
        <f t="shared" si="1126"/>
        <v>4681778</v>
      </c>
      <c r="FL422" s="269">
        <f t="shared" si="1088"/>
        <v>4681778</v>
      </c>
      <c r="FO422" s="607"/>
      <c r="FP422" s="607"/>
      <c r="FQ422" s="607"/>
      <c r="FR422" s="269">
        <f>'Detailed Budget'!$AC$257</f>
        <v>13636439388</v>
      </c>
      <c r="FS422" s="269">
        <f t="shared" si="1127"/>
        <v>22984728</v>
      </c>
      <c r="FT422" s="269">
        <f t="shared" si="1089"/>
        <v>22984728</v>
      </c>
      <c r="FU422" s="269"/>
      <c r="FV422" s="269"/>
      <c r="FW422" s="269"/>
      <c r="FX422" s="140">
        <f>'Detailed Budget'!$AC$278</f>
        <v>1114560000</v>
      </c>
      <c r="FY422" s="269">
        <f t="shared" si="1128"/>
        <v>1440000</v>
      </c>
      <c r="FZ422" s="269">
        <f t="shared" si="1090"/>
        <v>1440000</v>
      </c>
      <c r="GB422" s="269">
        <f t="shared" si="1098"/>
        <v>1658116844.5401168</v>
      </c>
      <c r="GC422" s="887">
        <f t="shared" si="1055"/>
        <v>1036323.027837573</v>
      </c>
      <c r="GD422" s="1078">
        <f t="shared" si="1099"/>
        <v>9.3042157408349327E-4</v>
      </c>
    </row>
    <row r="423" spans="1:186" hidden="1" outlineLevel="1">
      <c r="A423" s="211" t="s">
        <v>983</v>
      </c>
      <c r="B423" s="212" t="s">
        <v>984</v>
      </c>
      <c r="C423" s="213" t="s">
        <v>215</v>
      </c>
      <c r="D423" s="214" t="s">
        <v>215</v>
      </c>
      <c r="E423" s="213"/>
      <c r="F423" s="213"/>
      <c r="G423" s="213"/>
      <c r="H423" s="213" t="s">
        <v>215</v>
      </c>
      <c r="I423" s="214" t="s">
        <v>215</v>
      </c>
      <c r="J423" s="214"/>
      <c r="K423" s="213" t="s">
        <v>215</v>
      </c>
      <c r="L423" s="213"/>
      <c r="M423" s="214"/>
      <c r="N423" s="213"/>
      <c r="O423" s="214"/>
      <c r="P423" s="213"/>
      <c r="Q423" s="214"/>
      <c r="R423" s="214" t="s">
        <v>215</v>
      </c>
      <c r="S423" s="214" t="s">
        <v>215</v>
      </c>
      <c r="T423" s="214"/>
      <c r="U423" s="215">
        <f t="shared" si="1129"/>
        <v>7</v>
      </c>
      <c r="V423" s="845" t="s">
        <v>974</v>
      </c>
      <c r="W423" s="216">
        <v>91728</v>
      </c>
      <c r="X423" s="217">
        <v>3.17</v>
      </c>
      <c r="Y423" s="218">
        <f t="shared" si="1101"/>
        <v>1.0317000000000001</v>
      </c>
      <c r="Z423" s="196">
        <v>19</v>
      </c>
      <c r="AA423" s="218">
        <f t="shared" si="1102"/>
        <v>1.8093191519340412</v>
      </c>
      <c r="AB423" s="196">
        <f t="shared" si="1103"/>
        <v>165965.22716860572</v>
      </c>
      <c r="AC423">
        <v>20.2</v>
      </c>
      <c r="AD423" s="196">
        <f t="shared" si="1104"/>
        <v>33524.975888058354</v>
      </c>
      <c r="AE423" s="196">
        <f t="shared" si="1148"/>
        <v>31848.727093655434</v>
      </c>
      <c r="AF423" s="196">
        <f t="shared" si="1130"/>
        <v>31848.727093655434</v>
      </c>
      <c r="AG423" s="606">
        <f t="shared" si="1058"/>
        <v>1.4725453222788659E-3</v>
      </c>
      <c r="AH423" s="196">
        <f t="shared" si="1144"/>
        <v>8298.2613584302871</v>
      </c>
      <c r="AI423" s="248">
        <f t="shared" si="1034"/>
        <v>6.4285373434354461E-4</v>
      </c>
      <c r="AJ423" s="196">
        <f t="shared" si="1038"/>
        <v>41823.237246488643</v>
      </c>
      <c r="AK423" s="196">
        <f t="shared" si="1067"/>
        <v>6638.609086744229</v>
      </c>
      <c r="AL423" s="196">
        <f t="shared" si="1068"/>
        <v>6638.609086744229</v>
      </c>
      <c r="AM423" s="196">
        <f t="shared" si="1039"/>
        <v>13277.218173488458</v>
      </c>
      <c r="AN423" s="627">
        <f t="shared" si="1040"/>
        <v>6.428537343435445E-4</v>
      </c>
      <c r="AO423" s="196">
        <f t="shared" si="1041"/>
        <v>6306.6786324070172</v>
      </c>
      <c r="AP423" s="589">
        <f t="shared" si="1059"/>
        <v>6.428537343435445E-4</v>
      </c>
      <c r="AQ423" s="196"/>
      <c r="AR423" s="589"/>
      <c r="AS423">
        <v>1</v>
      </c>
      <c r="AT423" s="589">
        <f t="shared" si="1060"/>
        <v>1.2919896640826874E-3</v>
      </c>
      <c r="AU423" s="196">
        <v>10</v>
      </c>
      <c r="AV423" s="245">
        <f t="shared" si="1042"/>
        <v>1.1362345188046814E-3</v>
      </c>
      <c r="AX423" s="245"/>
      <c r="AY423" s="245"/>
      <c r="AZ423" s="196">
        <v>50</v>
      </c>
      <c r="BA423" s="589">
        <f t="shared" si="1092"/>
        <v>1.8321058224323038E-3</v>
      </c>
      <c r="BI423" s="196">
        <v>0</v>
      </c>
      <c r="BJ423" s="196">
        <f t="shared" si="1131"/>
        <v>87799.082764624618</v>
      </c>
      <c r="BK423" s="246">
        <f t="shared" si="1093"/>
        <v>1.6742755357837728E-3</v>
      </c>
      <c r="BL423" s="196">
        <f t="shared" si="1145"/>
        <v>1755.9816552924924</v>
      </c>
      <c r="BM423" s="246">
        <f t="shared" si="1094"/>
        <v>1.6742753442192488E-3</v>
      </c>
      <c r="BN423" s="196">
        <v>0</v>
      </c>
      <c r="BO423" s="196">
        <f t="shared" si="1132"/>
        <v>10997.276460996703</v>
      </c>
      <c r="BP423" s="196">
        <f t="shared" si="1043"/>
        <v>0</v>
      </c>
      <c r="BQ423" s="248">
        <f t="shared" si="1095"/>
        <v>0</v>
      </c>
      <c r="BR423" s="248"/>
      <c r="BS423" s="248"/>
      <c r="BT423" s="276">
        <v>1</v>
      </c>
      <c r="BU423" s="196">
        <f t="shared" si="1146"/>
        <v>28000.059861706333</v>
      </c>
      <c r="BV423" s="264">
        <f t="shared" si="1096"/>
        <v>1.9421371885117791E-3</v>
      </c>
      <c r="BW423" s="196">
        <f t="shared" si="1147"/>
        <v>119778.03385285487</v>
      </c>
      <c r="BX423" s="247">
        <f t="shared" si="1097"/>
        <v>1.9421372060066252E-3</v>
      </c>
      <c r="BY423" s="196">
        <f t="shared" si="1100"/>
        <v>147778.0937145612</v>
      </c>
      <c r="BZ423" s="620">
        <v>0</v>
      </c>
      <c r="CA423" s="196">
        <f t="shared" si="1133"/>
        <v>50785.35951359335</v>
      </c>
      <c r="CB423" s="196">
        <f t="shared" si="1134"/>
        <v>101570.7190271867</v>
      </c>
      <c r="CC423" s="196">
        <f t="shared" si="1056"/>
        <v>152356.07854078006</v>
      </c>
      <c r="CD423" s="247">
        <f t="shared" si="1044"/>
        <v>6.4285373434354461E-4</v>
      </c>
      <c r="CE423" s="196">
        <f t="shared" si="1135"/>
        <v>10396.078820368646</v>
      </c>
      <c r="CF423" s="247">
        <f t="shared" si="1045"/>
        <v>4.4893501470379046E-4</v>
      </c>
      <c r="CG423" s="196">
        <f t="shared" si="1106"/>
        <v>25226.714529628069</v>
      </c>
      <c r="CH423" s="589">
        <f t="shared" si="1061"/>
        <v>6.428537343435445E-4</v>
      </c>
      <c r="CI423" s="196">
        <f t="shared" si="1136"/>
        <v>38618.947883252215</v>
      </c>
      <c r="CJ423" s="248">
        <f t="shared" si="1062"/>
        <v>6.3489540517281588E-4</v>
      </c>
      <c r="CK423" s="196">
        <f t="shared" si="1137"/>
        <v>31180.386036217038</v>
      </c>
      <c r="CL423" s="589">
        <f t="shared" si="1063"/>
        <v>4.4822446280240203E-4</v>
      </c>
      <c r="CM423" s="196">
        <f t="shared" si="1138"/>
        <v>3020.6050906047608</v>
      </c>
      <c r="CN423" s="589">
        <f t="shared" si="1064"/>
        <v>4.3530352167892635E-4</v>
      </c>
      <c r="CO423" s="196">
        <f t="shared" si="1139"/>
        <v>241.64728055631628</v>
      </c>
      <c r="CP423" s="589">
        <f t="shared" si="1065"/>
        <v>4.5570955059595804E-4</v>
      </c>
      <c r="CQ423" s="196">
        <f>'Detailed Budget'!$AC$12</f>
        <v>292876014141.44696</v>
      </c>
      <c r="CR423" s="269">
        <f t="shared" si="1066"/>
        <v>490355145.49488693</v>
      </c>
      <c r="CS423" s="269">
        <f>'Detailed Budget'!$AC$16</f>
        <v>10488008800.000002</v>
      </c>
      <c r="CT423" s="607">
        <f t="shared" si="1108"/>
        <v>17559814.543794513</v>
      </c>
      <c r="CU423" s="269">
        <f>'Detailed Budget'!$AC$24</f>
        <v>30624985696</v>
      </c>
      <c r="CV423" s="269">
        <f t="shared" si="1091"/>
        <v>51274664.334540777</v>
      </c>
      <c r="CW423" s="269"/>
      <c r="CX423" s="269">
        <f t="shared" si="1057"/>
        <v>559189624.37322223</v>
      </c>
      <c r="CY423" s="196">
        <f>'Detailed Budget'!$AC$97</f>
        <v>74629165494.837845</v>
      </c>
      <c r="CZ423" s="269">
        <f t="shared" si="1109"/>
        <v>0</v>
      </c>
      <c r="DA423" s="269">
        <f>'Detailed Budget'!$AC$100</f>
        <v>14925833098.967569</v>
      </c>
      <c r="DB423" s="269">
        <f t="shared" si="1110"/>
        <v>0</v>
      </c>
      <c r="DC423" s="269">
        <f t="shared" si="1046"/>
        <v>0</v>
      </c>
      <c r="DD423" s="207">
        <v>1</v>
      </c>
      <c r="DE423" s="606">
        <v>0</v>
      </c>
      <c r="DF423" s="269">
        <f>'Detailed Budget'!$AC$147</f>
        <v>5913600671000</v>
      </c>
      <c r="DG423" s="269">
        <f t="shared" si="1086"/>
        <v>0</v>
      </c>
      <c r="DH423" s="269">
        <f>'Detailed Budget'!$AC$153</f>
        <v>226428026880.00003</v>
      </c>
      <c r="DI423" s="269"/>
      <c r="DJ423" s="269">
        <f>'Detailed Budget'!$AC$156</f>
        <v>27713070000</v>
      </c>
      <c r="DK423" s="269"/>
      <c r="DL423" s="269"/>
      <c r="DM423" s="196">
        <f>'Detailed Budget'!$AC$178</f>
        <v>5622683761.6229038</v>
      </c>
      <c r="DN423" s="269">
        <f t="shared" si="1140"/>
        <v>10920023.23268914</v>
      </c>
      <c r="DO423" s="196">
        <f>'Detailed Budget'!$AC$179</f>
        <v>26827890683.128094</v>
      </c>
      <c r="DP423" s="269">
        <f t="shared" si="1141"/>
        <v>52103444.654381566</v>
      </c>
      <c r="DQ423" s="269">
        <f t="shared" si="1008"/>
        <v>63023467.887070708</v>
      </c>
      <c r="DR423" s="269">
        <f>'Detailed Budget'!$AC$181</f>
        <v>50888946855.375237</v>
      </c>
      <c r="DS423" s="269">
        <f t="shared" si="1142"/>
        <v>74936280.647580609</v>
      </c>
      <c r="DT423" s="269">
        <f t="shared" si="1143"/>
        <v>137959748.53465131</v>
      </c>
      <c r="DU423" s="272">
        <f>'Detailed Budget'!$AC$192</f>
        <v>77498869683.252869</v>
      </c>
      <c r="DV423" s="269">
        <f t="shared" si="1111"/>
        <v>0</v>
      </c>
      <c r="DW423" s="140">
        <f>'Detailed Budget'!$AC$194</f>
        <v>2684962805.4134097</v>
      </c>
      <c r="DX423" s="269">
        <f t="shared" si="1112"/>
        <v>0</v>
      </c>
      <c r="DY423" s="607">
        <f t="shared" si="1047"/>
        <v>0</v>
      </c>
      <c r="DZ423" s="196">
        <f>'Detailed Budget'!$AC$198</f>
        <v>18732540018.380611</v>
      </c>
      <c r="EA423" s="269">
        <f t="shared" si="1113"/>
        <v>8409693.128591042</v>
      </c>
      <c r="EB423" s="196">
        <f>'Detailed Budget'!$AC$200</f>
        <v>4683135004.5951529</v>
      </c>
      <c r="EC423" s="269">
        <f t="shared" si="1114"/>
        <v>2102423.2821477605</v>
      </c>
      <c r="ED423" s="269">
        <f t="shared" si="1048"/>
        <v>10512116.410738803</v>
      </c>
      <c r="EE423" s="196">
        <f>'Detailed Budget'!$AC$161</f>
        <v>251147290106.36197</v>
      </c>
      <c r="EF423" s="269">
        <f t="shared" si="1115"/>
        <v>161450973.31513631</v>
      </c>
      <c r="EG423" s="196">
        <f>'Detailed Budget'!$AC$163</f>
        <v>15696705631.647623</v>
      </c>
      <c r="EH423" s="269">
        <f t="shared" si="1116"/>
        <v>10090685.83219602</v>
      </c>
      <c r="EI423" s="269">
        <f t="shared" si="1049"/>
        <v>171541659.14733234</v>
      </c>
      <c r="EJ423" s="196">
        <f>'Detailed Budget'!$AC$204</f>
        <v>45012172507.531975</v>
      </c>
      <c r="EK423" s="269">
        <f t="shared" si="1117"/>
        <v>28578021.501878198</v>
      </c>
      <c r="EL423" s="201">
        <f>'Detailed Budget'!$AC$206</f>
        <v>11253043126.882994</v>
      </c>
      <c r="EM423" s="269">
        <f t="shared" si="1118"/>
        <v>7144505.3754695496</v>
      </c>
      <c r="EN423" s="269">
        <f t="shared" si="1050"/>
        <v>35722526.877347745</v>
      </c>
      <c r="EO423" s="140">
        <f>'Detailed Budget'!$AC$209</f>
        <v>135789361677.54817</v>
      </c>
      <c r="EP423" s="269">
        <f t="shared" si="1119"/>
        <v>60864113.692200109</v>
      </c>
      <c r="EQ423" s="196">
        <f>'Detailed Budget'!$AC$211</f>
        <v>33947340419.387043</v>
      </c>
      <c r="ER423" s="269">
        <f t="shared" si="1120"/>
        <v>15216028.423050027</v>
      </c>
      <c r="ES423" s="269">
        <f t="shared" si="1051"/>
        <v>76080142.11525014</v>
      </c>
      <c r="ET423" s="196">
        <f>'Detailed Budget'!$AC$214</f>
        <v>22239745544.201103</v>
      </c>
      <c r="EU423" s="269">
        <f t="shared" si="1121"/>
        <v>9681039.5566339511</v>
      </c>
      <c r="EV423" s="140">
        <f>'Detailed Budget'!$AC$217</f>
        <v>5559936386.0502758</v>
      </c>
      <c r="EW423" s="269">
        <f t="shared" si="1122"/>
        <v>2420259.8891584878</v>
      </c>
      <c r="EX423" s="269">
        <f t="shared" si="1052"/>
        <v>12101299.445792438</v>
      </c>
      <c r="EY423" s="196">
        <f>'Detailed Budget'!$AC$219</f>
        <v>372777004.58170313</v>
      </c>
      <c r="EZ423" s="269">
        <f t="shared" si="1123"/>
        <v>169878.04123043531</v>
      </c>
      <c r="FA423" s="196">
        <f>'Detailed Budget'!$AC$222</f>
        <v>93194251.145425782</v>
      </c>
      <c r="FB423" s="269">
        <f t="shared" si="1124"/>
        <v>42469.510307608827</v>
      </c>
      <c r="FC423" s="269">
        <f t="shared" si="1053"/>
        <v>212347.55153804412</v>
      </c>
      <c r="FD423" s="269"/>
      <c r="FE423" s="269">
        <f t="shared" si="1054"/>
        <v>124116315.98992836</v>
      </c>
      <c r="FF423" s="140">
        <f>'Detailed Budget'!$AC$165</f>
        <v>14927760000</v>
      </c>
      <c r="FG423" s="1087">
        <f t="shared" si="1087"/>
        <v>169302870.74749094</v>
      </c>
      <c r="FH423" s="269">
        <f t="shared" si="1125"/>
        <v>16961436.200431772</v>
      </c>
      <c r="FJ423" s="140">
        <f>'Detailed Budget'!$AC$235</f>
        <v>3623696172</v>
      </c>
      <c r="FK423" s="269">
        <f t="shared" si="1126"/>
        <v>4681778</v>
      </c>
      <c r="FL423" s="269">
        <f t="shared" si="1088"/>
        <v>4681778</v>
      </c>
      <c r="FO423" s="607"/>
      <c r="FP423" s="607"/>
      <c r="FQ423" s="607"/>
      <c r="FR423" s="269">
        <f>'Detailed Budget'!$AC$257</f>
        <v>13636439388</v>
      </c>
      <c r="FS423" s="269">
        <f t="shared" si="1127"/>
        <v>24983400</v>
      </c>
      <c r="FT423" s="269">
        <f t="shared" si="1089"/>
        <v>24983400</v>
      </c>
      <c r="FU423" s="269"/>
      <c r="FV423" s="269"/>
      <c r="FW423" s="269"/>
      <c r="FX423" s="140">
        <f>'Detailed Budget'!$AC$278</f>
        <v>1114560000</v>
      </c>
      <c r="FY423" s="269">
        <f t="shared" si="1128"/>
        <v>1440000</v>
      </c>
      <c r="FZ423" s="269">
        <f t="shared" si="1090"/>
        <v>1440000</v>
      </c>
      <c r="GB423" s="269">
        <f t="shared" si="1098"/>
        <v>1220688949.4037957</v>
      </c>
      <c r="GC423" s="887">
        <f t="shared" si="1055"/>
        <v>762930.59337737237</v>
      </c>
      <c r="GD423" s="1078">
        <f t="shared" si="1099"/>
        <v>6.8496700791047694E-4</v>
      </c>
    </row>
    <row r="424" spans="1:186" hidden="1" outlineLevel="1">
      <c r="A424" s="211" t="s">
        <v>985</v>
      </c>
      <c r="B424" s="212" t="s">
        <v>986</v>
      </c>
      <c r="C424" s="213" t="s">
        <v>215</v>
      </c>
      <c r="D424" s="214" t="s">
        <v>215</v>
      </c>
      <c r="E424" s="213"/>
      <c r="F424" s="213"/>
      <c r="G424" s="213"/>
      <c r="H424" s="213" t="s">
        <v>215</v>
      </c>
      <c r="I424" s="214"/>
      <c r="J424" s="214" t="s">
        <v>215</v>
      </c>
      <c r="K424" s="213"/>
      <c r="L424" s="213" t="s">
        <v>215</v>
      </c>
      <c r="M424" s="214"/>
      <c r="N424" s="213"/>
      <c r="O424" s="214"/>
      <c r="P424" s="213"/>
      <c r="Q424" s="214"/>
      <c r="R424" s="214" t="s">
        <v>215</v>
      </c>
      <c r="S424" s="214"/>
      <c r="T424" s="214"/>
      <c r="U424" s="215">
        <f t="shared" si="1129"/>
        <v>6</v>
      </c>
      <c r="V424" s="845" t="s">
        <v>957</v>
      </c>
      <c r="W424" s="216">
        <v>127142</v>
      </c>
      <c r="X424" s="217">
        <v>3.17</v>
      </c>
      <c r="Y424" s="218">
        <f t="shared" si="1101"/>
        <v>1.0317000000000001</v>
      </c>
      <c r="Z424" s="196">
        <v>19</v>
      </c>
      <c r="AA424" s="218">
        <f t="shared" si="1102"/>
        <v>1.8093191519340412</v>
      </c>
      <c r="AB424" s="196">
        <f t="shared" si="1103"/>
        <v>230040.45561519786</v>
      </c>
      <c r="AC424">
        <v>20.2</v>
      </c>
      <c r="AD424" s="196">
        <f t="shared" si="1104"/>
        <v>46468.172034269963</v>
      </c>
      <c r="AE424" s="196">
        <f t="shared" si="1148"/>
        <v>44144.763432556465</v>
      </c>
      <c r="AF424" s="196">
        <f t="shared" si="1130"/>
        <v>44144.763432556465</v>
      </c>
      <c r="AG424" s="606">
        <f t="shared" si="1058"/>
        <v>2.0410600619786717E-3</v>
      </c>
      <c r="AH424" s="196">
        <f t="shared" si="1144"/>
        <v>11502.022780759893</v>
      </c>
      <c r="AI424" s="248">
        <f t="shared" si="1034"/>
        <v>8.9104427755872732E-4</v>
      </c>
      <c r="AJ424" s="196">
        <f t="shared" si="1038"/>
        <v>57970.194815029856</v>
      </c>
      <c r="AK424" s="196">
        <f t="shared" si="1067"/>
        <v>9201.6182246079152</v>
      </c>
      <c r="AL424" s="196">
        <f t="shared" si="1068"/>
        <v>9201.6182246079152</v>
      </c>
      <c r="AM424" s="196">
        <f t="shared" si="1039"/>
        <v>18403.23644921583</v>
      </c>
      <c r="AN424" s="627">
        <f t="shared" si="1040"/>
        <v>8.9104427755872743E-4</v>
      </c>
      <c r="AO424" s="196">
        <f t="shared" si="1041"/>
        <v>8741.5373133775192</v>
      </c>
      <c r="AP424" s="589">
        <f t="shared" si="1059"/>
        <v>8.9104427755872743E-4</v>
      </c>
      <c r="AQ424" s="196"/>
      <c r="AR424" s="589"/>
      <c r="AS424">
        <v>1</v>
      </c>
      <c r="AT424" s="589">
        <f t="shared" si="1060"/>
        <v>1.2919896640826874E-3</v>
      </c>
      <c r="AU424" s="196">
        <v>10</v>
      </c>
      <c r="AV424" s="245">
        <f t="shared" si="1042"/>
        <v>1.1362345188046814E-3</v>
      </c>
      <c r="AX424" s="245"/>
      <c r="AY424" s="245"/>
      <c r="AZ424" s="196">
        <v>41</v>
      </c>
      <c r="BA424" s="589">
        <f t="shared" si="1092"/>
        <v>1.5023267743944891E-3</v>
      </c>
      <c r="BI424" s="196">
        <v>0</v>
      </c>
      <c r="BJ424" s="196">
        <f t="shared" si="1131"/>
        <v>121696.22122863142</v>
      </c>
      <c r="BK424" s="246">
        <f t="shared" si="1093"/>
        <v>2.3206735148550107E-3</v>
      </c>
      <c r="BL424" s="196">
        <f t="shared" si="1145"/>
        <v>2433.9244245726281</v>
      </c>
      <c r="BM424" s="246">
        <f t="shared" si="1094"/>
        <v>2.3206732493319783E-3</v>
      </c>
      <c r="BN424" s="196">
        <v>0</v>
      </c>
      <c r="BO424" s="196">
        <f t="shared" si="1132"/>
        <v>15243.063446320022</v>
      </c>
      <c r="BP424" s="196">
        <f t="shared" si="1043"/>
        <v>0</v>
      </c>
      <c r="BQ424" s="248">
        <f t="shared" si="1095"/>
        <v>0</v>
      </c>
      <c r="BR424" s="248"/>
      <c r="BS424" s="248"/>
      <c r="BT424" s="276">
        <v>1</v>
      </c>
      <c r="BU424" s="196">
        <f t="shared" si="1146"/>
        <v>38810.21728302227</v>
      </c>
      <c r="BV424" s="264">
        <f t="shared" si="1096"/>
        <v>2.6919501833874565E-3</v>
      </c>
      <c r="BW424" s="196">
        <f t="shared" si="1147"/>
        <v>166021.4850440397</v>
      </c>
      <c r="BX424" s="247">
        <f t="shared" si="1097"/>
        <v>2.6919502076366468E-3</v>
      </c>
      <c r="BY424" s="196">
        <f t="shared" si="1100"/>
        <v>204831.70232706197</v>
      </c>
      <c r="BZ424" s="620">
        <v>0</v>
      </c>
      <c r="CA424" s="196">
        <f t="shared" si="1133"/>
        <v>70392.379418250552</v>
      </c>
      <c r="CB424" s="196">
        <f t="shared" si="1134"/>
        <v>140784.7588365011</v>
      </c>
      <c r="CC424" s="196">
        <f t="shared" si="1056"/>
        <v>211177.13825475166</v>
      </c>
      <c r="CD424" s="247">
        <f t="shared" si="1044"/>
        <v>8.9104427755872743E-4</v>
      </c>
      <c r="CE424" s="196">
        <f t="shared" si="1135"/>
        <v>14409.75768990178</v>
      </c>
      <c r="CF424" s="247">
        <f t="shared" si="1045"/>
        <v>6.2225815061343686E-4</v>
      </c>
      <c r="CG424" s="196">
        <f t="shared" si="1106"/>
        <v>34966.149253510077</v>
      </c>
      <c r="CH424" s="589">
        <f t="shared" si="1061"/>
        <v>8.9104427755872743E-4</v>
      </c>
      <c r="CI424" s="196">
        <f t="shared" si="1136"/>
        <v>53528.805509467697</v>
      </c>
      <c r="CJ424" s="248">
        <f t="shared" si="1062"/>
        <v>8.8001342670157589E-4</v>
      </c>
      <c r="CK424" s="196">
        <f t="shared" si="1137"/>
        <v>43218.391782407838</v>
      </c>
      <c r="CL424" s="589">
        <f t="shared" si="1063"/>
        <v>6.2127327151603653E-4</v>
      </c>
      <c r="CM424" s="196">
        <f t="shared" si="1138"/>
        <v>4186.7889022945064</v>
      </c>
      <c r="CN424" s="589">
        <f t="shared" si="1064"/>
        <v>6.0336386221548541E-4</v>
      </c>
      <c r="CO424" s="196">
        <f t="shared" si="1139"/>
        <v>334.94155050247645</v>
      </c>
      <c r="CP424" s="589">
        <f t="shared" si="1065"/>
        <v>6.3164817375143127E-4</v>
      </c>
      <c r="CQ424" s="196">
        <f>'Detailed Budget'!$AC$12</f>
        <v>292876014141.44696</v>
      </c>
      <c r="CR424" s="269">
        <f t="shared" si="1066"/>
        <v>679669609.15435755</v>
      </c>
      <c r="CS424" s="269">
        <f>'Detailed Budget'!$AC$16</f>
        <v>10488008800.000002</v>
      </c>
      <c r="CT424" s="607">
        <f t="shared" si="1108"/>
        <v>24339241.460918386</v>
      </c>
      <c r="CU424" s="269">
        <f>'Detailed Budget'!$AC$24</f>
        <v>30624985696</v>
      </c>
      <c r="CV424" s="269">
        <f t="shared" si="1091"/>
        <v>71070593.197520748</v>
      </c>
      <c r="CW424" s="269"/>
      <c r="CX424" s="269">
        <f t="shared" si="1057"/>
        <v>775079443.81279671</v>
      </c>
      <c r="CY424" s="196">
        <f>'Detailed Budget'!$AC$97</f>
        <v>74629165494.837845</v>
      </c>
      <c r="CZ424" s="269">
        <f t="shared" si="1109"/>
        <v>0</v>
      </c>
      <c r="DA424" s="269">
        <f>'Detailed Budget'!$AC$100</f>
        <v>14925833098.967569</v>
      </c>
      <c r="DB424" s="269">
        <f t="shared" si="1110"/>
        <v>0</v>
      </c>
      <c r="DC424" s="269">
        <f t="shared" si="1046"/>
        <v>0</v>
      </c>
      <c r="DD424" s="207">
        <v>0</v>
      </c>
      <c r="DE424" s="606">
        <v>0</v>
      </c>
      <c r="DF424" s="269">
        <f>'Detailed Budget'!$AC$147</f>
        <v>5913600671000</v>
      </c>
      <c r="DG424" s="269">
        <f t="shared" si="1086"/>
        <v>0</v>
      </c>
      <c r="DH424" s="269">
        <f>'Detailed Budget'!$AC$153</f>
        <v>226428026880.00003</v>
      </c>
      <c r="DI424" s="269"/>
      <c r="DJ424" s="269">
        <f>'Detailed Budget'!$AC$156</f>
        <v>27713070000</v>
      </c>
      <c r="DK424" s="269"/>
      <c r="DL424" s="269"/>
      <c r="DM424" s="196">
        <f>'Detailed Budget'!$AC$178</f>
        <v>5622683761.6229038</v>
      </c>
      <c r="DN424" s="269">
        <f t="shared" si="1140"/>
        <v>15135984.583230449</v>
      </c>
      <c r="DO424" s="196">
        <f>'Detailed Budget'!$AC$179</f>
        <v>26827890683.128094</v>
      </c>
      <c r="DP424" s="269">
        <f t="shared" si="1141"/>
        <v>72219345.894899935</v>
      </c>
      <c r="DQ424" s="269">
        <f t="shared" si="1008"/>
        <v>87355330.478130385</v>
      </c>
      <c r="DR424" s="269">
        <f>'Detailed Budget'!$AC$181</f>
        <v>50888946855.375237</v>
      </c>
      <c r="DS424" s="269">
        <f t="shared" si="1142"/>
        <v>103867397.02266151</v>
      </c>
      <c r="DT424" s="269">
        <f t="shared" si="1143"/>
        <v>191222727.50079191</v>
      </c>
      <c r="DU424" s="272">
        <f>'Detailed Budget'!$AC$192</f>
        <v>77498869683.252869</v>
      </c>
      <c r="DV424" s="269">
        <f t="shared" si="1111"/>
        <v>0</v>
      </c>
      <c r="DW424" s="140">
        <f>'Detailed Budget'!$AC$194</f>
        <v>2684962805.4134097</v>
      </c>
      <c r="DX424" s="269">
        <f t="shared" si="1112"/>
        <v>0</v>
      </c>
      <c r="DY424" s="607">
        <f t="shared" si="1047"/>
        <v>0</v>
      </c>
      <c r="DZ424" s="196">
        <f>'Detailed Budget'!$AC$198</f>
        <v>18732540018.380611</v>
      </c>
      <c r="EA424" s="269">
        <f t="shared" si="1113"/>
        <v>11656475.708129715</v>
      </c>
      <c r="EB424" s="196">
        <f>'Detailed Budget'!$AC$200</f>
        <v>4683135004.5951529</v>
      </c>
      <c r="EC424" s="269">
        <f t="shared" si="1114"/>
        <v>2914118.9270324288</v>
      </c>
      <c r="ED424" s="269">
        <f t="shared" si="1048"/>
        <v>14570594.635162145</v>
      </c>
      <c r="EE424" s="196">
        <f>'Detailed Budget'!$AC$161</f>
        <v>251147290106.36197</v>
      </c>
      <c r="EF424" s="269">
        <f t="shared" si="1115"/>
        <v>223783355.67365542</v>
      </c>
      <c r="EG424" s="196">
        <f>'Detailed Budget'!$AC$163</f>
        <v>15696705631.647623</v>
      </c>
      <c r="EH424" s="269">
        <f t="shared" si="1116"/>
        <v>13986459.729603464</v>
      </c>
      <c r="EI424" s="269">
        <f t="shared" si="1049"/>
        <v>237769815.40325889</v>
      </c>
      <c r="EJ424" s="196">
        <f>'Detailed Budget'!$AC$204</f>
        <v>45012172507.531975</v>
      </c>
      <c r="EK424" s="269">
        <f t="shared" si="1117"/>
        <v>39611316.17163568</v>
      </c>
      <c r="EL424" s="201">
        <f>'Detailed Budget'!$AC$206</f>
        <v>11253043126.882994</v>
      </c>
      <c r="EM424" s="269">
        <f t="shared" si="1118"/>
        <v>9902829.04290892</v>
      </c>
      <c r="EN424" s="269">
        <f t="shared" si="1050"/>
        <v>49514145.214544602</v>
      </c>
      <c r="EO424" s="140">
        <f>'Detailed Budget'!$AC$209</f>
        <v>135789361677.54817</v>
      </c>
      <c r="EP424" s="269">
        <f t="shared" si="1119"/>
        <v>84362300.966484666</v>
      </c>
      <c r="EQ424" s="196">
        <f>'Detailed Budget'!$AC$211</f>
        <v>33947340419.387043</v>
      </c>
      <c r="ER424" s="269">
        <f t="shared" si="1120"/>
        <v>21090575.241621166</v>
      </c>
      <c r="ES424" s="269">
        <f t="shared" si="1051"/>
        <v>105452876.20810583</v>
      </c>
      <c r="ET424" s="196">
        <f>'Detailed Budget'!$AC$214</f>
        <v>22239745544.201103</v>
      </c>
      <c r="EU424" s="269">
        <f t="shared" si="1121"/>
        <v>13418658.76623881</v>
      </c>
      <c r="EV424" s="140">
        <f>'Detailed Budget'!$AC$217</f>
        <v>5559936386.0502758</v>
      </c>
      <c r="EW424" s="269">
        <f t="shared" si="1122"/>
        <v>3354664.6915597026</v>
      </c>
      <c r="EX424" s="269">
        <f t="shared" si="1052"/>
        <v>16773323.457798513</v>
      </c>
      <c r="EY424" s="196">
        <f>'Detailed Budget'!$AC$219</f>
        <v>372777004.58170313</v>
      </c>
      <c r="EZ424" s="269">
        <f t="shared" si="1123"/>
        <v>235463.91416056172</v>
      </c>
      <c r="FA424" s="196">
        <f>'Detailed Budget'!$AC$222</f>
        <v>93194251.145425782</v>
      </c>
      <c r="FB424" s="269">
        <f t="shared" si="1124"/>
        <v>58865.97854014043</v>
      </c>
      <c r="FC424" s="269">
        <f t="shared" si="1053"/>
        <v>294329.89270070213</v>
      </c>
      <c r="FD424" s="269"/>
      <c r="FE424" s="269">
        <f t="shared" si="1054"/>
        <v>172034674.77314964</v>
      </c>
      <c r="FF424" s="140">
        <f>'Detailed Budget'!$AC$165</f>
        <v>14927760000</v>
      </c>
      <c r="FG424" s="1087">
        <f t="shared" si="1087"/>
        <v>234666684.02862257</v>
      </c>
      <c r="FH424" s="269">
        <f t="shared" si="1125"/>
        <v>16961436.200431772</v>
      </c>
      <c r="FJ424" s="140">
        <f>'Detailed Budget'!$AC$235</f>
        <v>3623696172</v>
      </c>
      <c r="FK424" s="269">
        <f t="shared" si="1126"/>
        <v>4681778</v>
      </c>
      <c r="FL424" s="269">
        <f t="shared" si="1088"/>
        <v>4681778</v>
      </c>
      <c r="FO424" s="607"/>
      <c r="FP424" s="607"/>
      <c r="FQ424" s="607"/>
      <c r="FR424" s="269">
        <f>'Detailed Budget'!$AC$257</f>
        <v>13636439388</v>
      </c>
      <c r="FS424" s="269">
        <f t="shared" si="1127"/>
        <v>20486388</v>
      </c>
      <c r="FT424" s="269">
        <f t="shared" si="1089"/>
        <v>20486388</v>
      </c>
      <c r="FU424" s="269"/>
      <c r="FV424" s="269"/>
      <c r="FW424" s="269"/>
      <c r="FX424" s="140">
        <f>'Detailed Budget'!$AC$278</f>
        <v>1114560000</v>
      </c>
      <c r="FY424" s="269">
        <f t="shared" si="1128"/>
        <v>1440000</v>
      </c>
      <c r="FZ424" s="269">
        <f t="shared" si="1090"/>
        <v>1440000</v>
      </c>
      <c r="GB424" s="269">
        <f t="shared" si="1098"/>
        <v>1668913542.3542137</v>
      </c>
      <c r="GC424" s="887">
        <f t="shared" si="1055"/>
        <v>1043070.9639713835</v>
      </c>
      <c r="GD424" s="1078">
        <f t="shared" si="1099"/>
        <v>9.3647994120531208E-4</v>
      </c>
    </row>
    <row r="425" spans="1:186" hidden="1" outlineLevel="1">
      <c r="A425" s="211" t="s">
        <v>987</v>
      </c>
      <c r="B425" s="212" t="s">
        <v>988</v>
      </c>
      <c r="C425" s="213" t="s">
        <v>215</v>
      </c>
      <c r="D425" s="214" t="s">
        <v>215</v>
      </c>
      <c r="E425" s="213"/>
      <c r="F425" s="213"/>
      <c r="G425" s="213"/>
      <c r="H425" s="213" t="s">
        <v>215</v>
      </c>
      <c r="I425" s="214"/>
      <c r="J425" s="214" t="s">
        <v>215</v>
      </c>
      <c r="K425" s="213"/>
      <c r="L425" s="213" t="s">
        <v>215</v>
      </c>
      <c r="M425" s="214"/>
      <c r="N425" s="213"/>
      <c r="O425" s="214"/>
      <c r="P425" s="213"/>
      <c r="Q425" s="214"/>
      <c r="R425" s="214" t="s">
        <v>215</v>
      </c>
      <c r="S425" s="214"/>
      <c r="T425" s="214"/>
      <c r="U425" s="215">
        <f t="shared" si="1129"/>
        <v>6</v>
      </c>
      <c r="V425" s="845" t="s">
        <v>957</v>
      </c>
      <c r="W425" s="216">
        <v>148474</v>
      </c>
      <c r="X425" s="217">
        <v>3.17</v>
      </c>
      <c r="Y425" s="218">
        <f t="shared" si="1101"/>
        <v>1.0317000000000001</v>
      </c>
      <c r="Z425" s="196">
        <v>19</v>
      </c>
      <c r="AA425" s="218">
        <f t="shared" si="1102"/>
        <v>1.8093191519340412</v>
      </c>
      <c r="AB425" s="196">
        <f t="shared" si="1103"/>
        <v>268636.85176425485</v>
      </c>
      <c r="AC425">
        <v>20.2</v>
      </c>
      <c r="AD425" s="196">
        <f t="shared" si="1104"/>
        <v>54264.644056379475</v>
      </c>
      <c r="AE425" s="196">
        <f t="shared" si="1148"/>
        <v>51551.411853560501</v>
      </c>
      <c r="AF425" s="196">
        <f t="shared" si="1130"/>
        <v>51551.411853560501</v>
      </c>
      <c r="AG425" s="606">
        <f t="shared" si="1058"/>
        <v>2.383510969170072E-3</v>
      </c>
      <c r="AH425" s="196">
        <f t="shared" si="1144"/>
        <v>13431.842588212743</v>
      </c>
      <c r="AI425" s="248">
        <f t="shared" si="1034"/>
        <v>1.0405444940794898E-3</v>
      </c>
      <c r="AJ425" s="196">
        <f t="shared" si="1038"/>
        <v>67696.486644592223</v>
      </c>
      <c r="AK425" s="196">
        <f t="shared" si="1067"/>
        <v>10745.474070570195</v>
      </c>
      <c r="AL425" s="196">
        <f t="shared" si="1068"/>
        <v>10745.474070570195</v>
      </c>
      <c r="AM425" s="196">
        <f t="shared" si="1039"/>
        <v>21490.94814114039</v>
      </c>
      <c r="AN425" s="627">
        <f t="shared" si="1040"/>
        <v>1.04054449407949E-3</v>
      </c>
      <c r="AO425" s="196">
        <f t="shared" si="1041"/>
        <v>10208.200367041683</v>
      </c>
      <c r="AP425" s="589">
        <f t="shared" si="1059"/>
        <v>1.0405444940794898E-3</v>
      </c>
      <c r="AQ425" s="196"/>
      <c r="AR425" s="589"/>
      <c r="AS425">
        <v>1</v>
      </c>
      <c r="AT425" s="589">
        <f t="shared" si="1060"/>
        <v>1.2919896640826874E-3</v>
      </c>
      <c r="AU425" s="196">
        <v>11</v>
      </c>
      <c r="AV425" s="245">
        <f t="shared" si="1042"/>
        <v>1.2498579706851495E-3</v>
      </c>
      <c r="AX425" s="245"/>
      <c r="AY425" s="245"/>
      <c r="AZ425" s="196">
        <v>45</v>
      </c>
      <c r="BA425" s="589">
        <f t="shared" si="1092"/>
        <v>1.6488952401890733E-3</v>
      </c>
      <c r="BI425" s="196">
        <v>0</v>
      </c>
      <c r="BJ425" s="196">
        <f t="shared" si="1131"/>
        <v>142114.52353038196</v>
      </c>
      <c r="BK425" s="246">
        <f t="shared" si="1093"/>
        <v>2.7100382206083191E-3</v>
      </c>
      <c r="BL425" s="196">
        <f t="shared" si="1145"/>
        <v>2842.2904706076392</v>
      </c>
      <c r="BM425" s="246">
        <f t="shared" si="1094"/>
        <v>2.710037910535592E-3</v>
      </c>
      <c r="BN425" s="196">
        <v>0</v>
      </c>
      <c r="BO425" s="196">
        <f t="shared" si="1132"/>
        <v>17800.558447475414</v>
      </c>
      <c r="BP425" s="196">
        <f t="shared" si="1043"/>
        <v>0</v>
      </c>
      <c r="BQ425" s="248">
        <f t="shared" si="1095"/>
        <v>0</v>
      </c>
      <c r="BR425" s="248"/>
      <c r="BS425" s="248"/>
      <c r="BT425" s="276">
        <v>1</v>
      </c>
      <c r="BU425" s="196">
        <f t="shared" si="1146"/>
        <v>45321.830715888129</v>
      </c>
      <c r="BV425" s="264">
        <f t="shared" si="1096"/>
        <v>3.1436080251079049E-3</v>
      </c>
      <c r="BW425" s="196">
        <f t="shared" si="1147"/>
        <v>193876.72028463258</v>
      </c>
      <c r="BX425" s="247">
        <f t="shared" si="1097"/>
        <v>3.1436080534256467E-3</v>
      </c>
      <c r="BY425" s="196">
        <f t="shared" si="1100"/>
        <v>239198.5510005207</v>
      </c>
      <c r="BZ425" s="620">
        <v>0</v>
      </c>
      <c r="CA425" s="196">
        <f t="shared" si="1133"/>
        <v>82202.876639861992</v>
      </c>
      <c r="CB425" s="196">
        <f t="shared" si="1134"/>
        <v>164405.75327972398</v>
      </c>
      <c r="CC425" s="196">
        <f t="shared" si="1056"/>
        <v>246608.62991958598</v>
      </c>
      <c r="CD425" s="247">
        <f t="shared" si="1044"/>
        <v>1.04054449407949E-3</v>
      </c>
      <c r="CE425" s="196">
        <f t="shared" si="1135"/>
        <v>16827.439895946871</v>
      </c>
      <c r="CF425" s="247">
        <f t="shared" si="1045"/>
        <v>7.2666118713076268E-4</v>
      </c>
      <c r="CG425" s="196">
        <f t="shared" si="1106"/>
        <v>40832.801468166734</v>
      </c>
      <c r="CH425" s="589">
        <f t="shared" si="1061"/>
        <v>1.0405444940794898E-3</v>
      </c>
      <c r="CI425" s="196">
        <f t="shared" si="1136"/>
        <v>62509.917015720283</v>
      </c>
      <c r="CJ425" s="248">
        <f t="shared" si="1062"/>
        <v>1.0276628770672933E-3</v>
      </c>
      <c r="CK425" s="196">
        <f t="shared" si="1137"/>
        <v>50469.612728297674</v>
      </c>
      <c r="CL425" s="589">
        <f t="shared" si="1063"/>
        <v>7.2551106412571784E-4</v>
      </c>
      <c r="CM425" s="196">
        <f t="shared" si="1138"/>
        <v>4889.2521391772552</v>
      </c>
      <c r="CN425" s="589">
        <f t="shared" si="1064"/>
        <v>7.0459679789984422E-4</v>
      </c>
      <c r="CO425" s="196">
        <f t="shared" si="1139"/>
        <v>391.1383474328286</v>
      </c>
      <c r="CP425" s="589">
        <f t="shared" si="1065"/>
        <v>7.3762667686185532E-4</v>
      </c>
      <c r="CQ425" s="196">
        <f>'Detailed Budget'!$AC$12</f>
        <v>292876014141.44696</v>
      </c>
      <c r="CR425" s="269">
        <f t="shared" si="1066"/>
        <v>793705192.22274387</v>
      </c>
      <c r="CS425" s="269">
        <f>'Detailed Budget'!$AC$16</f>
        <v>10488008800.000002</v>
      </c>
      <c r="CT425" s="607">
        <f t="shared" si="1108"/>
        <v>28422901.454030909</v>
      </c>
      <c r="CU425" s="269">
        <f>'Detailed Budget'!$AC$24</f>
        <v>30624985696</v>
      </c>
      <c r="CV425" s="269">
        <f t="shared" si="1091"/>
        <v>82994881.741743058</v>
      </c>
      <c r="CW425" s="269"/>
      <c r="CX425" s="269">
        <f t="shared" si="1057"/>
        <v>905122975.41851783</v>
      </c>
      <c r="CY425" s="196">
        <f>'Detailed Budget'!$AC$97</f>
        <v>74629165494.837845</v>
      </c>
      <c r="CZ425" s="269">
        <f t="shared" si="1109"/>
        <v>0</v>
      </c>
      <c r="DA425" s="269">
        <f>'Detailed Budget'!$AC$100</f>
        <v>14925833098.967569</v>
      </c>
      <c r="DB425" s="269">
        <f t="shared" si="1110"/>
        <v>0</v>
      </c>
      <c r="DC425" s="269">
        <f t="shared" si="1046"/>
        <v>0</v>
      </c>
      <c r="DD425" s="207">
        <v>0</v>
      </c>
      <c r="DE425" s="606">
        <v>0</v>
      </c>
      <c r="DF425" s="269">
        <f>'Detailed Budget'!$AC$147</f>
        <v>5913600671000</v>
      </c>
      <c r="DG425" s="269">
        <f t="shared" si="1086"/>
        <v>0</v>
      </c>
      <c r="DH425" s="269">
        <f>'Detailed Budget'!$AC$153</f>
        <v>226428026880.00003</v>
      </c>
      <c r="DI425" s="269"/>
      <c r="DJ425" s="269">
        <f>'Detailed Budget'!$AC$156</f>
        <v>27713070000</v>
      </c>
      <c r="DK425" s="269"/>
      <c r="DL425" s="269"/>
      <c r="DM425" s="196">
        <f>'Detailed Budget'!$AC$178</f>
        <v>5622683761.6229038</v>
      </c>
      <c r="DN425" s="269">
        <f t="shared" si="1140"/>
        <v>17675513.795681663</v>
      </c>
      <c r="DO425" s="196">
        <f>'Detailed Budget'!$AC$179</f>
        <v>26827890683.128094</v>
      </c>
      <c r="DP425" s="269">
        <f t="shared" si="1141"/>
        <v>84336373.207904354</v>
      </c>
      <c r="DQ425" s="269">
        <f t="shared" si="1008"/>
        <v>102011887.00358602</v>
      </c>
      <c r="DR425" s="269">
        <f>'Detailed Budget'!$AC$181</f>
        <v>50888946855.375237</v>
      </c>
      <c r="DS425" s="269">
        <f t="shared" si="1142"/>
        <v>121294363.03929973</v>
      </c>
      <c r="DT425" s="269">
        <f t="shared" si="1143"/>
        <v>223306250.04288575</v>
      </c>
      <c r="DU425" s="272">
        <f>'Detailed Budget'!$AC$192</f>
        <v>77498869683.252869</v>
      </c>
      <c r="DV425" s="269">
        <f t="shared" si="1111"/>
        <v>0</v>
      </c>
      <c r="DW425" s="140">
        <f>'Detailed Budget'!$AC$194</f>
        <v>2684962805.4134097</v>
      </c>
      <c r="DX425" s="269">
        <f t="shared" si="1112"/>
        <v>0</v>
      </c>
      <c r="DY425" s="607">
        <f t="shared" si="1047"/>
        <v>0</v>
      </c>
      <c r="DZ425" s="196">
        <f>'Detailed Budget'!$AC$198</f>
        <v>18732540018.380611</v>
      </c>
      <c r="EA425" s="269">
        <f t="shared" si="1113"/>
        <v>13612209.767730974</v>
      </c>
      <c r="EB425" s="196">
        <f>'Detailed Budget'!$AC$200</f>
        <v>4683135004.5951529</v>
      </c>
      <c r="EC425" s="269">
        <f t="shared" si="1114"/>
        <v>3403052.4419327434</v>
      </c>
      <c r="ED425" s="269">
        <f t="shared" si="1048"/>
        <v>17015262.209663719</v>
      </c>
      <c r="EE425" s="196">
        <f>'Detailed Budget'!$AC$161</f>
        <v>251147290106.36197</v>
      </c>
      <c r="EF425" s="269">
        <f t="shared" si="1115"/>
        <v>261329929.92315927</v>
      </c>
      <c r="EG425" s="196">
        <f>'Detailed Budget'!$AC$163</f>
        <v>15696705631.647623</v>
      </c>
      <c r="EH425" s="269">
        <f t="shared" si="1116"/>
        <v>16333120.620197454</v>
      </c>
      <c r="EI425" s="269">
        <f t="shared" si="1049"/>
        <v>277663050.54335672</v>
      </c>
      <c r="EJ425" s="196">
        <f>'Detailed Budget'!$AC$204</f>
        <v>45012172507.531975</v>
      </c>
      <c r="EK425" s="269">
        <f t="shared" si="1117"/>
        <v>46257338.702139631</v>
      </c>
      <c r="EL425" s="201">
        <f>'Detailed Budget'!$AC$206</f>
        <v>11253043126.882994</v>
      </c>
      <c r="EM425" s="269">
        <f t="shared" si="1118"/>
        <v>11564334.675534908</v>
      </c>
      <c r="EN425" s="269">
        <f t="shared" si="1050"/>
        <v>57821673.377674535</v>
      </c>
      <c r="EO425" s="140">
        <f>'Detailed Budget'!$AC$209</f>
        <v>135789361677.54817</v>
      </c>
      <c r="EP425" s="269">
        <f t="shared" si="1119"/>
        <v>98516684.287629947</v>
      </c>
      <c r="EQ425" s="196">
        <f>'Detailed Budget'!$AC$211</f>
        <v>33947340419.387043</v>
      </c>
      <c r="ER425" s="269">
        <f t="shared" si="1120"/>
        <v>24629171.071907487</v>
      </c>
      <c r="ES425" s="269">
        <f t="shared" si="1051"/>
        <v>123145855.35953744</v>
      </c>
      <c r="ET425" s="196">
        <f>'Detailed Budget'!$AC$214</f>
        <v>22239745544.201103</v>
      </c>
      <c r="EU425" s="269">
        <f t="shared" si="1121"/>
        <v>15670053.496551426</v>
      </c>
      <c r="EV425" s="140">
        <f>'Detailed Budget'!$AC$217</f>
        <v>5559936386.0502758</v>
      </c>
      <c r="EW425" s="269">
        <f t="shared" si="1122"/>
        <v>3917513.3741378565</v>
      </c>
      <c r="EX425" s="269">
        <f t="shared" si="1052"/>
        <v>19587566.870689284</v>
      </c>
      <c r="EY425" s="196">
        <f>'Detailed Budget'!$AC$219</f>
        <v>372777004.58170313</v>
      </c>
      <c r="EZ425" s="269">
        <f t="shared" si="1123"/>
        <v>274970.26310011832</v>
      </c>
      <c r="FA425" s="196">
        <f>'Detailed Budget'!$AC$222</f>
        <v>93194251.145425782</v>
      </c>
      <c r="FB425" s="269">
        <f t="shared" si="1124"/>
        <v>68742.56577502958</v>
      </c>
      <c r="FC425" s="269">
        <f t="shared" si="1053"/>
        <v>343712.82887514791</v>
      </c>
      <c r="FD425" s="269"/>
      <c r="FE425" s="269">
        <f t="shared" si="1054"/>
        <v>200898808.4367764</v>
      </c>
      <c r="FF425" s="140">
        <f>'Detailed Budget'!$AC$165</f>
        <v>14927760000</v>
      </c>
      <c r="FG425" s="1087">
        <f t="shared" si="1087"/>
        <v>274039272.97404248</v>
      </c>
      <c r="FH425" s="269">
        <f t="shared" si="1125"/>
        <v>18657579.820474949</v>
      </c>
      <c r="FJ425" s="140">
        <f>'Detailed Budget'!$AC$235</f>
        <v>3623696172</v>
      </c>
      <c r="FK425" s="269">
        <f t="shared" si="1126"/>
        <v>4681778</v>
      </c>
      <c r="FL425" s="269">
        <f t="shared" si="1088"/>
        <v>4681778</v>
      </c>
      <c r="FO425" s="607"/>
      <c r="FP425" s="607"/>
      <c r="FQ425" s="607"/>
      <c r="FR425" s="269">
        <f>'Detailed Budget'!$AC$257</f>
        <v>13636439388</v>
      </c>
      <c r="FS425" s="269">
        <f t="shared" si="1127"/>
        <v>22485060</v>
      </c>
      <c r="FT425" s="269">
        <f t="shared" si="1089"/>
        <v>22485060</v>
      </c>
      <c r="FU425" s="269"/>
      <c r="FV425" s="269"/>
      <c r="FW425" s="269"/>
      <c r="FX425" s="140">
        <f>'Detailed Budget'!$AC$278</f>
        <v>1114560000</v>
      </c>
      <c r="FY425" s="269">
        <f t="shared" si="1128"/>
        <v>1440000</v>
      </c>
      <c r="FZ425" s="269">
        <f t="shared" si="1090"/>
        <v>1440000</v>
      </c>
      <c r="GB425" s="269">
        <f t="shared" si="1098"/>
        <v>1945310037.4457176</v>
      </c>
      <c r="GC425" s="887">
        <f t="shared" si="1055"/>
        <v>1215818.7734035735</v>
      </c>
      <c r="GD425" s="1078">
        <f t="shared" si="1099"/>
        <v>1.0915747180788461E-3</v>
      </c>
    </row>
    <row r="426" spans="1:186" hidden="1" outlineLevel="1">
      <c r="A426" s="211" t="s">
        <v>989</v>
      </c>
      <c r="B426" s="212" t="s">
        <v>990</v>
      </c>
      <c r="C426" s="213" t="s">
        <v>215</v>
      </c>
      <c r="D426" s="214" t="s">
        <v>215</v>
      </c>
      <c r="E426" s="213"/>
      <c r="F426" s="213"/>
      <c r="G426" s="213"/>
      <c r="H426" s="213" t="s">
        <v>215</v>
      </c>
      <c r="I426" s="214" t="s">
        <v>215</v>
      </c>
      <c r="J426" s="214"/>
      <c r="K426" s="213" t="s">
        <v>215</v>
      </c>
      <c r="L426" s="213"/>
      <c r="M426" s="214"/>
      <c r="N426" s="213"/>
      <c r="O426" s="214"/>
      <c r="P426" s="213"/>
      <c r="Q426" s="214"/>
      <c r="R426" s="214" t="s">
        <v>215</v>
      </c>
      <c r="S426" s="214"/>
      <c r="T426" s="214"/>
      <c r="U426" s="215">
        <f t="shared" si="1129"/>
        <v>6</v>
      </c>
      <c r="V426" s="845" t="s">
        <v>957</v>
      </c>
      <c r="W426" s="216">
        <v>265271</v>
      </c>
      <c r="X426" s="217">
        <v>3.17</v>
      </c>
      <c r="Y426" s="218">
        <f t="shared" si="1101"/>
        <v>1.0317000000000001</v>
      </c>
      <c r="Z426" s="196">
        <v>19</v>
      </c>
      <c r="AA426" s="218">
        <f t="shared" si="1102"/>
        <v>1.8093191519340412</v>
      </c>
      <c r="AB426" s="196">
        <f t="shared" si="1103"/>
        <v>479959.90075269504</v>
      </c>
      <c r="AC426">
        <v>20.2</v>
      </c>
      <c r="AD426" s="196">
        <f t="shared" si="1104"/>
        <v>96951.89995204439</v>
      </c>
      <c r="AE426" s="196">
        <f t="shared" si="1148"/>
        <v>92104.304954442166</v>
      </c>
      <c r="AF426" s="196">
        <f t="shared" si="1130"/>
        <v>92104.304954442166</v>
      </c>
      <c r="AG426" s="606">
        <f t="shared" si="1058"/>
        <v>4.2584987156183184E-3</v>
      </c>
      <c r="AH426" s="196">
        <f t="shared" si="1144"/>
        <v>23997.995037634755</v>
      </c>
      <c r="AI426" s="248">
        <f t="shared" si="1034"/>
        <v>1.8590883150515266E-3</v>
      </c>
      <c r="AJ426" s="196">
        <f t="shared" si="1038"/>
        <v>120949.89498967915</v>
      </c>
      <c r="AK426" s="196">
        <f t="shared" si="1067"/>
        <v>19198.3960301078</v>
      </c>
      <c r="AL426" s="196">
        <f t="shared" si="1068"/>
        <v>19198.3960301078</v>
      </c>
      <c r="AM426" s="196">
        <f t="shared" si="1039"/>
        <v>38396.792060215601</v>
      </c>
      <c r="AN426" s="627">
        <f t="shared" si="1040"/>
        <v>1.8590883150515264E-3</v>
      </c>
      <c r="AO426" s="196">
        <f t="shared" si="1041"/>
        <v>18238.476228602412</v>
      </c>
      <c r="AP426" s="589">
        <f t="shared" si="1059"/>
        <v>1.8590883150515264E-3</v>
      </c>
      <c r="AQ426" s="196"/>
      <c r="AR426" s="589"/>
      <c r="AS426">
        <v>1</v>
      </c>
      <c r="AT426" s="589">
        <f t="shared" si="1060"/>
        <v>1.2919896640826874E-3</v>
      </c>
      <c r="AU426" s="196">
        <v>11</v>
      </c>
      <c r="AV426" s="245">
        <f t="shared" si="1042"/>
        <v>1.2498579706851495E-3</v>
      </c>
      <c r="AX426" s="245"/>
      <c r="AY426" s="245"/>
      <c r="AZ426" s="196">
        <v>75</v>
      </c>
      <c r="BA426" s="589">
        <f t="shared" si="1092"/>
        <v>2.7481587336484555E-3</v>
      </c>
      <c r="BI426" s="196">
        <v>0</v>
      </c>
      <c r="BJ426" s="196">
        <f t="shared" si="1131"/>
        <v>253908.84445376258</v>
      </c>
      <c r="BK426" s="246">
        <f t="shared" si="1093"/>
        <v>4.8418884708365728E-3</v>
      </c>
      <c r="BL426" s="196">
        <f t="shared" si="1145"/>
        <v>5078.1768890752519</v>
      </c>
      <c r="BM426" s="246">
        <f t="shared" si="1094"/>
        <v>4.841887916845285E-3</v>
      </c>
      <c r="BN426" s="196">
        <v>0</v>
      </c>
      <c r="BO426" s="196">
        <f t="shared" si="1132"/>
        <v>31803.359106107804</v>
      </c>
      <c r="BP426" s="196">
        <f t="shared" si="1043"/>
        <v>0</v>
      </c>
      <c r="BQ426" s="248">
        <f t="shared" si="1095"/>
        <v>0</v>
      </c>
      <c r="BR426" s="248"/>
      <c r="BS426" s="248"/>
      <c r="BT426" s="276">
        <v>1</v>
      </c>
      <c r="BU426" s="196">
        <f t="shared" si="1146"/>
        <v>80974.226839947471</v>
      </c>
      <c r="BV426" s="264">
        <f t="shared" si="1096"/>
        <v>5.6165257515012664E-3</v>
      </c>
      <c r="BW426" s="196">
        <f t="shared" si="1147"/>
        <v>346389.74814866419</v>
      </c>
      <c r="BX426" s="247">
        <f t="shared" si="1097"/>
        <v>5.6165258020951462E-3</v>
      </c>
      <c r="BY426" s="196">
        <f t="shared" si="1100"/>
        <v>427363.97498861165</v>
      </c>
      <c r="BZ426" s="620">
        <v>0</v>
      </c>
      <c r="CA426" s="196">
        <f t="shared" si="1133"/>
        <v>146867.72963032467</v>
      </c>
      <c r="CB426" s="196">
        <f t="shared" si="1134"/>
        <v>293735.45926064934</v>
      </c>
      <c r="CC426" s="196">
        <f t="shared" si="1056"/>
        <v>440603.18889097404</v>
      </c>
      <c r="CD426" s="247">
        <f t="shared" si="1044"/>
        <v>1.8590883150515264E-3</v>
      </c>
      <c r="CE426" s="196">
        <f t="shared" si="1135"/>
        <v>30064.737318572425</v>
      </c>
      <c r="CF426" s="247">
        <f t="shared" si="1045"/>
        <v>1.298288857115485E-3</v>
      </c>
      <c r="CG426" s="196">
        <f t="shared" si="1106"/>
        <v>72953.90491440965</v>
      </c>
      <c r="CH426" s="589">
        <f t="shared" si="1061"/>
        <v>1.8590883150515264E-3</v>
      </c>
      <c r="CI426" s="196">
        <f t="shared" si="1136"/>
        <v>111683.31288088913</v>
      </c>
      <c r="CJ426" s="248">
        <f t="shared" si="1062"/>
        <v>1.8360733802720874E-3</v>
      </c>
      <c r="CK426" s="196">
        <f t="shared" si="1137"/>
        <v>90171.509072620465</v>
      </c>
      <c r="CL426" s="589">
        <f t="shared" si="1063"/>
        <v>1.2962339904070293E-3</v>
      </c>
      <c r="CM426" s="196">
        <f t="shared" si="1138"/>
        <v>8735.37996020643</v>
      </c>
      <c r="CN426" s="589">
        <f t="shared" si="1064"/>
        <v>1.2588675268106844E-3</v>
      </c>
      <c r="CO426" s="196">
        <f t="shared" si="1139"/>
        <v>698.82713850137986</v>
      </c>
      <c r="CP426" s="589">
        <f t="shared" si="1065"/>
        <v>1.3178803440186244E-3</v>
      </c>
      <c r="CQ426" s="196">
        <f>'Detailed Budget'!$AC$12</f>
        <v>292876014141.44696</v>
      </c>
      <c r="CR426" s="269">
        <f t="shared" si="1066"/>
        <v>1418072996.256041</v>
      </c>
      <c r="CS426" s="269">
        <f>'Detailed Budget'!$AC$16</f>
        <v>10488008800.000002</v>
      </c>
      <c r="CT426" s="607">
        <f t="shared" si="1108"/>
        <v>50781763.080487028</v>
      </c>
      <c r="CU426" s="269">
        <f>'Detailed Budget'!$AC$24</f>
        <v>30624985696</v>
      </c>
      <c r="CV426" s="269">
        <f t="shared" si="1091"/>
        <v>148282765.16099736</v>
      </c>
      <c r="CW426" s="269"/>
      <c r="CX426" s="269">
        <f t="shared" si="1057"/>
        <v>1617137524.4975255</v>
      </c>
      <c r="CY426" s="196">
        <f>'Detailed Budget'!$AC$97</f>
        <v>74629165494.837845</v>
      </c>
      <c r="CZ426" s="269">
        <f t="shared" si="1109"/>
        <v>0</v>
      </c>
      <c r="DA426" s="269">
        <f>'Detailed Budget'!$AC$100</f>
        <v>14925833098.967569</v>
      </c>
      <c r="DB426" s="269">
        <f t="shared" si="1110"/>
        <v>0</v>
      </c>
      <c r="DC426" s="269">
        <f t="shared" si="1046"/>
        <v>0</v>
      </c>
      <c r="DD426" s="207">
        <v>0</v>
      </c>
      <c r="DE426" s="606">
        <v>0</v>
      </c>
      <c r="DF426" s="269">
        <f>'Detailed Budget'!$AC$147</f>
        <v>5913600671000</v>
      </c>
      <c r="DG426" s="269">
        <f t="shared" si="1086"/>
        <v>0</v>
      </c>
      <c r="DH426" s="269">
        <f>'Detailed Budget'!$AC$153</f>
        <v>226428026880.00003</v>
      </c>
      <c r="DI426" s="269"/>
      <c r="DJ426" s="269">
        <f>'Detailed Budget'!$AC$156</f>
        <v>27713070000</v>
      </c>
      <c r="DK426" s="269"/>
      <c r="DL426" s="269"/>
      <c r="DM426" s="196">
        <f>'Detailed Budget'!$AC$178</f>
        <v>5622683761.6229038</v>
      </c>
      <c r="DN426" s="269">
        <f t="shared" si="1140"/>
        <v>31579948.139703047</v>
      </c>
      <c r="DO426" s="196">
        <f>'Detailed Budget'!$AC$179</f>
        <v>26827890683.128094</v>
      </c>
      <c r="DP426" s="269">
        <f t="shared" si="1141"/>
        <v>150679540.2375769</v>
      </c>
      <c r="DQ426" s="269">
        <f t="shared" si="1008"/>
        <v>182259488.37727994</v>
      </c>
      <c r="DR426" s="269">
        <f>'Detailed Budget'!$AC$181</f>
        <v>50888946855.375237</v>
      </c>
      <c r="DS426" s="269">
        <f t="shared" si="1142"/>
        <v>216710514.8227843</v>
      </c>
      <c r="DT426" s="269">
        <f t="shared" si="1143"/>
        <v>398970003.20006424</v>
      </c>
      <c r="DU426" s="272">
        <f>'Detailed Budget'!$AC$192</f>
        <v>77498869683.252869</v>
      </c>
      <c r="DV426" s="269">
        <f t="shared" si="1111"/>
        <v>0</v>
      </c>
      <c r="DW426" s="140">
        <f>'Detailed Budget'!$AC$194</f>
        <v>2684962805.4134097</v>
      </c>
      <c r="DX426" s="269">
        <f t="shared" si="1112"/>
        <v>0</v>
      </c>
      <c r="DY426" s="607">
        <f t="shared" si="1047"/>
        <v>0</v>
      </c>
      <c r="DZ426" s="196">
        <f>'Detailed Budget'!$AC$198</f>
        <v>18732540018.380611</v>
      </c>
      <c r="EA426" s="269">
        <f t="shared" si="1113"/>
        <v>24320247.971333452</v>
      </c>
      <c r="EB426" s="196">
        <f>'Detailed Budget'!$AC$200</f>
        <v>4683135004.5951529</v>
      </c>
      <c r="EC426" s="269">
        <f t="shared" si="1114"/>
        <v>6080061.9928333629</v>
      </c>
      <c r="ED426" s="269">
        <f t="shared" si="1048"/>
        <v>30400309.964166813</v>
      </c>
      <c r="EE426" s="196">
        <f>'Detailed Budget'!$AC$161</f>
        <v>251147290106.36197</v>
      </c>
      <c r="EF426" s="269">
        <f t="shared" si="1115"/>
        <v>466904992.39359337</v>
      </c>
      <c r="EG426" s="196">
        <f>'Detailed Budget'!$AC$163</f>
        <v>15696705631.647623</v>
      </c>
      <c r="EH426" s="269">
        <f t="shared" si="1116"/>
        <v>29181562.024599586</v>
      </c>
      <c r="EI426" s="269">
        <f t="shared" si="1049"/>
        <v>496086554.41819298</v>
      </c>
      <c r="EJ426" s="196">
        <f>'Detailed Budget'!$AC$204</f>
        <v>45012172507.531975</v>
      </c>
      <c r="EK426" s="269">
        <f t="shared" si="1117"/>
        <v>82645651.729294553</v>
      </c>
      <c r="EL426" s="201">
        <f>'Detailed Budget'!$AC$206</f>
        <v>11253043126.882994</v>
      </c>
      <c r="EM426" s="269">
        <f t="shared" si="1118"/>
        <v>20661412.932323638</v>
      </c>
      <c r="EN426" s="269">
        <f t="shared" si="1050"/>
        <v>103307064.66161819</v>
      </c>
      <c r="EO426" s="140">
        <f>'Detailed Budget'!$AC$209</f>
        <v>135789361677.54817</v>
      </c>
      <c r="EP426" s="269">
        <f t="shared" si="1119"/>
        <v>176014786.1421116</v>
      </c>
      <c r="EQ426" s="196">
        <f>'Detailed Budget'!$AC$211</f>
        <v>33947340419.387043</v>
      </c>
      <c r="ER426" s="269">
        <f t="shared" si="1120"/>
        <v>44003696.5355279</v>
      </c>
      <c r="ES426" s="269">
        <f t="shared" si="1051"/>
        <v>220018482.67763948</v>
      </c>
      <c r="ET426" s="196">
        <f>'Detailed Budget'!$AC$214</f>
        <v>22239745544.201103</v>
      </c>
      <c r="EU426" s="269">
        <f t="shared" si="1121"/>
        <v>27996893.470127381</v>
      </c>
      <c r="EV426" s="140">
        <f>'Detailed Budget'!$AC$217</f>
        <v>5559936386.0502758</v>
      </c>
      <c r="EW426" s="269">
        <f t="shared" si="1122"/>
        <v>6999223.3675318453</v>
      </c>
      <c r="EX426" s="269">
        <f t="shared" si="1052"/>
        <v>34996116.837659225</v>
      </c>
      <c r="EY426" s="196">
        <f>'Detailed Budget'!$AC$219</f>
        <v>372777004.58170313</v>
      </c>
      <c r="EZ426" s="269">
        <f t="shared" si="1123"/>
        <v>491275.48704036721</v>
      </c>
      <c r="FA426" s="196">
        <f>'Detailed Budget'!$AC$222</f>
        <v>93194251.145425782</v>
      </c>
      <c r="FB426" s="269">
        <f t="shared" si="1124"/>
        <v>122818.8717600918</v>
      </c>
      <c r="FC426" s="269">
        <f t="shared" si="1053"/>
        <v>614094.35880045895</v>
      </c>
      <c r="FD426" s="269"/>
      <c r="FE426" s="269">
        <f t="shared" si="1054"/>
        <v>358935758.53571737</v>
      </c>
      <c r="FF426" s="140">
        <f>'Detailed Budget'!$AC$165</f>
        <v>14927760000</v>
      </c>
      <c r="FG426" s="1087">
        <f t="shared" si="1087"/>
        <v>489612133.98370904</v>
      </c>
      <c r="FH426" s="269">
        <f t="shared" si="1125"/>
        <v>18657579.820474949</v>
      </c>
      <c r="FJ426" s="140">
        <f>'Detailed Budget'!$AC$235</f>
        <v>3623696172</v>
      </c>
      <c r="FK426" s="269">
        <f t="shared" si="1126"/>
        <v>4681778</v>
      </c>
      <c r="FL426" s="269">
        <f t="shared" si="1088"/>
        <v>4681778</v>
      </c>
      <c r="FO426" s="607"/>
      <c r="FP426" s="607"/>
      <c r="FQ426" s="607"/>
      <c r="FR426" s="269">
        <f>'Detailed Budget'!$AC$257</f>
        <v>13636439388</v>
      </c>
      <c r="FS426" s="269">
        <f t="shared" si="1127"/>
        <v>37475100</v>
      </c>
      <c r="FT426" s="269">
        <f t="shared" si="1089"/>
        <v>37475100</v>
      </c>
      <c r="FU426" s="269"/>
      <c r="FV426" s="269"/>
      <c r="FW426" s="269"/>
      <c r="FX426" s="140">
        <f>'Detailed Budget'!$AC$278</f>
        <v>1114560000</v>
      </c>
      <c r="FY426" s="269">
        <f t="shared" si="1128"/>
        <v>1440000</v>
      </c>
      <c r="FZ426" s="269">
        <f t="shared" si="1090"/>
        <v>1440000</v>
      </c>
      <c r="GB426" s="269">
        <f t="shared" si="1098"/>
        <v>3453396742.4198508</v>
      </c>
      <c r="GC426" s="887">
        <f t="shared" si="1055"/>
        <v>2158372.9640124068</v>
      </c>
      <c r="GD426" s="1078">
        <f t="shared" si="1099"/>
        <v>1.9378096565373544E-3</v>
      </c>
    </row>
    <row r="427" spans="1:186" hidden="1" outlineLevel="1">
      <c r="A427" s="211" t="s">
        <v>991</v>
      </c>
      <c r="B427" s="212" t="s">
        <v>992</v>
      </c>
      <c r="C427" s="213" t="s">
        <v>215</v>
      </c>
      <c r="D427" s="214" t="s">
        <v>215</v>
      </c>
      <c r="E427" s="213"/>
      <c r="F427" s="213"/>
      <c r="G427" s="213"/>
      <c r="H427" s="213" t="s">
        <v>215</v>
      </c>
      <c r="I427" s="214"/>
      <c r="J427" s="214" t="s">
        <v>215</v>
      </c>
      <c r="K427" s="213"/>
      <c r="L427" s="213" t="s">
        <v>215</v>
      </c>
      <c r="M427" s="214"/>
      <c r="N427" s="213"/>
      <c r="O427" s="214"/>
      <c r="P427" s="213"/>
      <c r="Q427" s="214"/>
      <c r="R427" s="214" t="s">
        <v>215</v>
      </c>
      <c r="S427" s="214"/>
      <c r="T427" s="214"/>
      <c r="U427" s="215">
        <f t="shared" si="1129"/>
        <v>6</v>
      </c>
      <c r="V427" s="845" t="s">
        <v>957</v>
      </c>
      <c r="W427" s="216">
        <v>100564</v>
      </c>
      <c r="X427" s="217">
        <v>3.17</v>
      </c>
      <c r="Y427" s="218">
        <f t="shared" si="1101"/>
        <v>1.0317000000000001</v>
      </c>
      <c r="Z427" s="196">
        <v>19</v>
      </c>
      <c r="AA427" s="218">
        <f t="shared" si="1102"/>
        <v>1.8093191519340412</v>
      </c>
      <c r="AB427" s="196">
        <f t="shared" si="1103"/>
        <v>181952.37119509492</v>
      </c>
      <c r="AC427">
        <v>20.2</v>
      </c>
      <c r="AD427" s="196">
        <f t="shared" si="1104"/>
        <v>36754.378981409172</v>
      </c>
      <c r="AE427" s="196">
        <f t="shared" si="1148"/>
        <v>34916.66003233871</v>
      </c>
      <c r="AF427" s="196">
        <f t="shared" si="1130"/>
        <v>34916.66003233871</v>
      </c>
      <c r="AG427" s="606">
        <f t="shared" si="1058"/>
        <v>1.6143930728856172E-3</v>
      </c>
      <c r="AH427" s="196">
        <f t="shared" si="1144"/>
        <v>9097.6185597547465</v>
      </c>
      <c r="AI427" s="248">
        <f t="shared" si="1034"/>
        <v>7.0477872558569047E-4</v>
      </c>
      <c r="AJ427" s="196">
        <f t="shared" si="1038"/>
        <v>45851.997541163917</v>
      </c>
      <c r="AK427" s="196">
        <f t="shared" si="1067"/>
        <v>7278.0948478037972</v>
      </c>
      <c r="AL427" s="196">
        <f t="shared" si="1068"/>
        <v>7278.0948478037972</v>
      </c>
      <c r="AM427" s="196">
        <f t="shared" si="1039"/>
        <v>14556.189695607594</v>
      </c>
      <c r="AN427" s="627">
        <f t="shared" si="1040"/>
        <v>7.0477872558569047E-4</v>
      </c>
      <c r="AO427" s="196">
        <f t="shared" si="1041"/>
        <v>6914.1901054136069</v>
      </c>
      <c r="AP427" s="589">
        <f t="shared" si="1059"/>
        <v>7.0477872558569047E-4</v>
      </c>
      <c r="AQ427" s="196"/>
      <c r="AR427" s="589"/>
      <c r="AS427">
        <v>1</v>
      </c>
      <c r="AT427" s="589">
        <f t="shared" si="1060"/>
        <v>1.2919896640826874E-3</v>
      </c>
      <c r="AU427" s="196">
        <v>10</v>
      </c>
      <c r="AV427" s="245">
        <f t="shared" si="1042"/>
        <v>1.1362345188046814E-3</v>
      </c>
      <c r="AX427" s="245"/>
      <c r="AY427" s="245"/>
      <c r="AZ427" s="196">
        <v>26</v>
      </c>
      <c r="BA427" s="589">
        <f t="shared" si="1092"/>
        <v>9.526950276647979E-4</v>
      </c>
      <c r="BI427" s="196">
        <v>0</v>
      </c>
      <c r="BJ427" s="196">
        <f t="shared" si="1131"/>
        <v>96256.616945117188</v>
      </c>
      <c r="BK427" s="246">
        <f t="shared" si="1093"/>
        <v>1.8355556098526003E-3</v>
      </c>
      <c r="BL427" s="196">
        <f t="shared" si="1145"/>
        <v>1925.1323389023437</v>
      </c>
      <c r="BM427" s="246">
        <f t="shared" si="1094"/>
        <v>1.8355553998349961E-3</v>
      </c>
      <c r="BN427" s="196">
        <v>0</v>
      </c>
      <c r="BO427" s="196">
        <f t="shared" si="1132"/>
        <v>12056.625131079632</v>
      </c>
      <c r="BP427" s="196">
        <f t="shared" si="1043"/>
        <v>0</v>
      </c>
      <c r="BQ427" s="248">
        <f t="shared" si="1095"/>
        <v>0</v>
      </c>
      <c r="BR427" s="248"/>
      <c r="BS427" s="248"/>
      <c r="BT427" s="276">
        <v>1</v>
      </c>
      <c r="BU427" s="196">
        <f t="shared" si="1146"/>
        <v>30697.257325272938</v>
      </c>
      <c r="BV427" s="264">
        <f t="shared" si="1096"/>
        <v>2.129219913499679E-3</v>
      </c>
      <c r="BW427" s="196">
        <f t="shared" si="1147"/>
        <v>131316.04522477867</v>
      </c>
      <c r="BX427" s="247">
        <f t="shared" si="1097"/>
        <v>2.1292199326797736E-3</v>
      </c>
      <c r="BY427" s="196">
        <f t="shared" si="1100"/>
        <v>162013.30255005162</v>
      </c>
      <c r="BZ427" s="620">
        <v>0</v>
      </c>
      <c r="CA427" s="196">
        <f t="shared" si="1133"/>
        <v>55677.425585699049</v>
      </c>
      <c r="CB427" s="196">
        <f t="shared" si="1134"/>
        <v>111354.8511713981</v>
      </c>
      <c r="CC427" s="196">
        <f t="shared" si="1056"/>
        <v>167032.27675709716</v>
      </c>
      <c r="CD427" s="247">
        <f t="shared" si="1044"/>
        <v>7.0477872558569058E-4</v>
      </c>
      <c r="CE427" s="196">
        <f t="shared" si="1135"/>
        <v>11397.515158856104</v>
      </c>
      <c r="CF427" s="247">
        <f t="shared" si="1045"/>
        <v>4.9218015021227973E-4</v>
      </c>
      <c r="CG427" s="196">
        <f t="shared" si="1106"/>
        <v>27656.760421654428</v>
      </c>
      <c r="CH427" s="589">
        <f t="shared" si="1061"/>
        <v>7.0477872558569047E-4</v>
      </c>
      <c r="CI427" s="196">
        <f t="shared" si="1136"/>
        <v>42339.044511287459</v>
      </c>
      <c r="CJ427" s="248">
        <f t="shared" si="1062"/>
        <v>6.9605378429486156E-4</v>
      </c>
      <c r="CK427" s="196">
        <f t="shared" si="1137"/>
        <v>34183.938833792628</v>
      </c>
      <c r="CL427" s="589">
        <f t="shared" si="1063"/>
        <v>4.9140115207200379E-4</v>
      </c>
      <c r="CM427" s="196">
        <f t="shared" si="1138"/>
        <v>3311.5747681359803</v>
      </c>
      <c r="CN427" s="589">
        <f t="shared" si="1064"/>
        <v>4.7723555898002303E-4</v>
      </c>
      <c r="CO427" s="196">
        <f t="shared" si="1139"/>
        <v>264.92474622651088</v>
      </c>
      <c r="CP427" s="589">
        <f t="shared" si="1065"/>
        <v>4.9960726546018574E-4</v>
      </c>
      <c r="CQ427" s="196">
        <f>'Detailed Budget'!$AC$12</f>
        <v>292876014141.44696</v>
      </c>
      <c r="CR427" s="269">
        <f t="shared" si="1066"/>
        <v>537590210.74860251</v>
      </c>
      <c r="CS427" s="269">
        <f>'Detailed Budget'!$AC$16</f>
        <v>10488008800.000002</v>
      </c>
      <c r="CT427" s="607">
        <f t="shared" si="1108"/>
        <v>19251321.186356962</v>
      </c>
      <c r="CU427" s="269">
        <f>'Detailed Budget'!$AC$24</f>
        <v>30624985696</v>
      </c>
      <c r="CV427" s="269">
        <f t="shared" si="1091"/>
        <v>56213864.295948438</v>
      </c>
      <c r="CW427" s="269"/>
      <c r="CX427" s="269">
        <f t="shared" si="1057"/>
        <v>613055396.2309078</v>
      </c>
      <c r="CY427" s="196">
        <f>'Detailed Budget'!$AC$97</f>
        <v>74629165494.837845</v>
      </c>
      <c r="CZ427" s="269">
        <f t="shared" si="1109"/>
        <v>0</v>
      </c>
      <c r="DA427" s="269">
        <f>'Detailed Budget'!$AC$100</f>
        <v>14925833098.967569</v>
      </c>
      <c r="DB427" s="269">
        <f t="shared" si="1110"/>
        <v>0</v>
      </c>
      <c r="DC427" s="269">
        <f t="shared" si="1046"/>
        <v>0</v>
      </c>
      <c r="DD427" s="207">
        <v>0</v>
      </c>
      <c r="DE427" s="606">
        <v>0</v>
      </c>
      <c r="DF427" s="269">
        <f>'Detailed Budget'!$AC$147</f>
        <v>5913600671000</v>
      </c>
      <c r="DG427" s="269">
        <f t="shared" si="1086"/>
        <v>0</v>
      </c>
      <c r="DH427" s="269">
        <f>'Detailed Budget'!$AC$153</f>
        <v>226428026880.00003</v>
      </c>
      <c r="DI427" s="269"/>
      <c r="DJ427" s="269">
        <f>'Detailed Budget'!$AC$156</f>
        <v>27713070000</v>
      </c>
      <c r="DK427" s="269"/>
      <c r="DL427" s="269"/>
      <c r="DM427" s="196">
        <f>'Detailed Budget'!$AC$178</f>
        <v>5622683761.6229038</v>
      </c>
      <c r="DN427" s="269">
        <f t="shared" si="1140"/>
        <v>11971930.232558768</v>
      </c>
      <c r="DO427" s="196">
        <f>'Detailed Budget'!$AC$179</f>
        <v>26827890683.128094</v>
      </c>
      <c r="DP427" s="269">
        <f t="shared" si="1141"/>
        <v>57122479.594270326</v>
      </c>
      <c r="DQ427" s="269">
        <f t="shared" si="1008"/>
        <v>69094409.826829091</v>
      </c>
      <c r="DR427" s="269">
        <f>'Detailed Budget'!$AC$181</f>
        <v>50888946855.375237</v>
      </c>
      <c r="DS427" s="269">
        <f t="shared" si="1142"/>
        <v>82154763.289762095</v>
      </c>
      <c r="DT427" s="269">
        <f t="shared" si="1143"/>
        <v>151249173.11659119</v>
      </c>
      <c r="DU427" s="272">
        <f>'Detailed Budget'!$AC$192</f>
        <v>77498869683.252869</v>
      </c>
      <c r="DV427" s="269">
        <f t="shared" si="1111"/>
        <v>0</v>
      </c>
      <c r="DW427" s="140">
        <f>'Detailed Budget'!$AC$194</f>
        <v>2684962805.4134097</v>
      </c>
      <c r="DX427" s="269">
        <f t="shared" si="1112"/>
        <v>0</v>
      </c>
      <c r="DY427" s="607">
        <f t="shared" si="1047"/>
        <v>0</v>
      </c>
      <c r="DZ427" s="196">
        <f>'Detailed Budget'!$AC$198</f>
        <v>18732540018.380611</v>
      </c>
      <c r="EA427" s="269">
        <f t="shared" si="1113"/>
        <v>9219784.3601041101</v>
      </c>
      <c r="EB427" s="196">
        <f>'Detailed Budget'!$AC$200</f>
        <v>4683135004.5951529</v>
      </c>
      <c r="EC427" s="269">
        <f t="shared" si="1114"/>
        <v>2304946.0900260275</v>
      </c>
      <c r="ED427" s="269">
        <f t="shared" si="1048"/>
        <v>11524730.450130139</v>
      </c>
      <c r="EE427" s="196">
        <f>'Detailed Budget'!$AC$161</f>
        <v>251147290106.36197</v>
      </c>
      <c r="EF427" s="269">
        <f t="shared" si="1115"/>
        <v>177003267.05546147</v>
      </c>
      <c r="EG427" s="196">
        <f>'Detailed Budget'!$AC$163</f>
        <v>15696705631.647623</v>
      </c>
      <c r="EH427" s="269">
        <f t="shared" si="1116"/>
        <v>11062704.190966342</v>
      </c>
      <c r="EI427" s="269">
        <f t="shared" si="1049"/>
        <v>188065971.2464278</v>
      </c>
      <c r="EJ427" s="196">
        <f>'Detailed Budget'!$AC$204</f>
        <v>45012172507.531975</v>
      </c>
      <c r="EK427" s="269">
        <f t="shared" si="1117"/>
        <v>31330893.01320076</v>
      </c>
      <c r="EL427" s="201">
        <f>'Detailed Budget'!$AC$206</f>
        <v>11253043126.882994</v>
      </c>
      <c r="EM427" s="269">
        <f t="shared" si="1118"/>
        <v>7832723.25330019</v>
      </c>
      <c r="EN427" s="269">
        <f t="shared" si="1050"/>
        <v>39163616.26650095</v>
      </c>
      <c r="EO427" s="140">
        <f>'Detailed Budget'!$AC$209</f>
        <v>135789361677.54817</v>
      </c>
      <c r="EP427" s="269">
        <f t="shared" si="1119"/>
        <v>66727048.767469175</v>
      </c>
      <c r="EQ427" s="196">
        <f>'Detailed Budget'!$AC$211</f>
        <v>33947340419.387043</v>
      </c>
      <c r="ER427" s="269">
        <f t="shared" si="1120"/>
        <v>16681762.191867294</v>
      </c>
      <c r="ES427" s="269">
        <f t="shared" si="1051"/>
        <v>83408810.959336475</v>
      </c>
      <c r="ET427" s="196">
        <f>'Detailed Budget'!$AC$214</f>
        <v>22239745544.201103</v>
      </c>
      <c r="EU427" s="269">
        <f t="shared" si="1121"/>
        <v>10613597.396360289</v>
      </c>
      <c r="EV427" s="140">
        <f>'Detailed Budget'!$AC$217</f>
        <v>5559936386.0502758</v>
      </c>
      <c r="EW427" s="269">
        <f t="shared" si="1122"/>
        <v>2653399.3490900723</v>
      </c>
      <c r="EX427" s="269">
        <f t="shared" si="1052"/>
        <v>13266996.745450363</v>
      </c>
      <c r="EY427" s="196">
        <f>'Detailed Budget'!$AC$219</f>
        <v>372777004.58170313</v>
      </c>
      <c r="EZ427" s="269">
        <f t="shared" si="1123"/>
        <v>186242.09988550382</v>
      </c>
      <c r="FA427" s="196">
        <f>'Detailed Budget'!$AC$222</f>
        <v>93194251.145425782</v>
      </c>
      <c r="FB427" s="269">
        <f t="shared" si="1124"/>
        <v>46560.524971375955</v>
      </c>
      <c r="FC427" s="269">
        <f t="shared" si="1053"/>
        <v>232802.62485687976</v>
      </c>
      <c r="FD427" s="269"/>
      <c r="FE427" s="269">
        <f t="shared" si="1054"/>
        <v>136072226.59614468</v>
      </c>
      <c r="FF427" s="140">
        <f>'Detailed Budget'!$AC$165</f>
        <v>14927760000</v>
      </c>
      <c r="FG427" s="1087">
        <f t="shared" si="1087"/>
        <v>185611524.22216424</v>
      </c>
      <c r="FH427" s="269">
        <f t="shared" si="1125"/>
        <v>16961436.200431772</v>
      </c>
      <c r="FJ427" s="140">
        <f>'Detailed Budget'!$AC$235</f>
        <v>3623696172</v>
      </c>
      <c r="FK427" s="269">
        <f t="shared" si="1126"/>
        <v>4681778</v>
      </c>
      <c r="FL427" s="269">
        <f t="shared" si="1088"/>
        <v>4681778</v>
      </c>
      <c r="FO427" s="607"/>
      <c r="FP427" s="607"/>
      <c r="FQ427" s="607"/>
      <c r="FR427" s="269">
        <f>'Detailed Budget'!$AC$257</f>
        <v>13636439388</v>
      </c>
      <c r="FS427" s="269">
        <f t="shared" si="1127"/>
        <v>12991368</v>
      </c>
      <c r="FT427" s="269">
        <f t="shared" si="1089"/>
        <v>12991368</v>
      </c>
      <c r="FU427" s="269"/>
      <c r="FV427" s="269"/>
      <c r="FW427" s="269"/>
      <c r="FX427" s="140">
        <f>'Detailed Budget'!$AC$278</f>
        <v>1114560000</v>
      </c>
      <c r="FY427" s="269">
        <f t="shared" si="1128"/>
        <v>1440000</v>
      </c>
      <c r="FZ427" s="269">
        <f t="shared" si="1090"/>
        <v>1440000</v>
      </c>
      <c r="GB427" s="269">
        <f t="shared" si="1098"/>
        <v>1321653604.0627975</v>
      </c>
      <c r="GC427" s="887">
        <f t="shared" si="1055"/>
        <v>826033.50253924844</v>
      </c>
      <c r="GD427" s="1078">
        <f t="shared" si="1099"/>
        <v>7.4162145492604858E-4</v>
      </c>
    </row>
    <row r="428" spans="1:186" hidden="1" outlineLevel="1">
      <c r="A428" s="211" t="s">
        <v>993</v>
      </c>
      <c r="B428" s="212" t="s">
        <v>994</v>
      </c>
      <c r="C428" s="213" t="s">
        <v>215</v>
      </c>
      <c r="D428" s="214" t="s">
        <v>215</v>
      </c>
      <c r="E428" s="213"/>
      <c r="F428" s="213"/>
      <c r="G428" s="213"/>
      <c r="H428" s="213" t="s">
        <v>215</v>
      </c>
      <c r="I428" s="214"/>
      <c r="J428" s="214" t="s">
        <v>215</v>
      </c>
      <c r="K428" s="213"/>
      <c r="L428" s="213" t="s">
        <v>215</v>
      </c>
      <c r="M428" s="214"/>
      <c r="N428" s="213"/>
      <c r="O428" s="214"/>
      <c r="P428" s="213"/>
      <c r="Q428" s="214"/>
      <c r="R428" s="214" t="s">
        <v>215</v>
      </c>
      <c r="S428" s="214"/>
      <c r="T428" s="214"/>
      <c r="U428" s="215">
        <f t="shared" si="1129"/>
        <v>6</v>
      </c>
      <c r="V428" s="845" t="s">
        <v>957</v>
      </c>
      <c r="W428" s="216">
        <v>165335</v>
      </c>
      <c r="X428" s="217">
        <v>3.17</v>
      </c>
      <c r="Y428" s="218">
        <f t="shared" si="1101"/>
        <v>1.0317000000000001</v>
      </c>
      <c r="Z428" s="196">
        <v>19</v>
      </c>
      <c r="AA428" s="218">
        <f t="shared" si="1102"/>
        <v>1.8093191519340412</v>
      </c>
      <c r="AB428" s="196">
        <f t="shared" si="1103"/>
        <v>299143.78198501474</v>
      </c>
      <c r="AC428">
        <v>20.2</v>
      </c>
      <c r="AD428" s="196">
        <f t="shared" si="1104"/>
        <v>60427.04396097298</v>
      </c>
      <c r="AE428" s="196">
        <f t="shared" si="1148"/>
        <v>57405.691762924325</v>
      </c>
      <c r="AF428" s="196">
        <f t="shared" si="1130"/>
        <v>57405.691762924325</v>
      </c>
      <c r="AG428" s="606">
        <f t="shared" si="1058"/>
        <v>2.6541871714086908E-3</v>
      </c>
      <c r="AH428" s="196">
        <f t="shared" si="1144"/>
        <v>14957.189099250738</v>
      </c>
      <c r="AI428" s="248">
        <f t="shared" si="1034"/>
        <v>1.1587107771638971E-3</v>
      </c>
      <c r="AJ428" s="196">
        <f t="shared" si="1038"/>
        <v>75384.23306022372</v>
      </c>
      <c r="AK428" s="196">
        <f t="shared" si="1067"/>
        <v>11965.751279400589</v>
      </c>
      <c r="AL428" s="196">
        <f t="shared" si="1068"/>
        <v>11965.751279400589</v>
      </c>
      <c r="AM428" s="196">
        <f t="shared" si="1039"/>
        <v>23931.502558801178</v>
      </c>
      <c r="AN428" s="627">
        <f t="shared" si="1040"/>
        <v>1.1587107771638971E-3</v>
      </c>
      <c r="AO428" s="196">
        <f t="shared" si="1041"/>
        <v>11367.46371543056</v>
      </c>
      <c r="AP428" s="589">
        <f t="shared" si="1059"/>
        <v>1.1587107771638971E-3</v>
      </c>
      <c r="AQ428" s="196"/>
      <c r="AR428" s="589"/>
      <c r="AS428">
        <v>1</v>
      </c>
      <c r="AT428" s="589">
        <f t="shared" si="1060"/>
        <v>1.2919896640826874E-3</v>
      </c>
      <c r="AU428" s="196">
        <v>10</v>
      </c>
      <c r="AV428" s="245">
        <f t="shared" si="1042"/>
        <v>1.1362345188046814E-3</v>
      </c>
      <c r="AX428" s="245"/>
      <c r="AY428" s="245"/>
      <c r="AZ428" s="196">
        <v>43</v>
      </c>
      <c r="BA428" s="589">
        <f t="shared" si="1092"/>
        <v>1.5756110072917811E-3</v>
      </c>
      <c r="BI428" s="196">
        <v>0</v>
      </c>
      <c r="BJ428" s="196">
        <f t="shared" si="1131"/>
        <v>158253.32885148714</v>
      </c>
      <c r="BK428" s="246">
        <f t="shared" si="1093"/>
        <v>3.0177955009245824E-3</v>
      </c>
      <c r="BL428" s="196">
        <f t="shared" si="1145"/>
        <v>3165.0665770297428</v>
      </c>
      <c r="BM428" s="246">
        <f t="shared" si="1094"/>
        <v>3.0177951556393853E-3</v>
      </c>
      <c r="BN428" s="196">
        <v>0</v>
      </c>
      <c r="BO428" s="196">
        <f t="shared" si="1132"/>
        <v>19822.024939809988</v>
      </c>
      <c r="BP428" s="196">
        <f t="shared" si="1043"/>
        <v>0</v>
      </c>
      <c r="BQ428" s="248">
        <f t="shared" si="1095"/>
        <v>0</v>
      </c>
      <c r="BR428" s="248"/>
      <c r="BS428" s="248"/>
      <c r="BT428" s="276">
        <v>1</v>
      </c>
      <c r="BU428" s="196">
        <f t="shared" si="1146"/>
        <v>50468.667116204626</v>
      </c>
      <c r="BV428" s="264">
        <f t="shared" si="1096"/>
        <v>3.5006023467490308E-3</v>
      </c>
      <c r="BW428" s="196">
        <f t="shared" si="1147"/>
        <v>215893.74266376425</v>
      </c>
      <c r="BX428" s="247">
        <f t="shared" si="1097"/>
        <v>3.5006023782825908E-3</v>
      </c>
      <c r="BY428" s="196">
        <f t="shared" si="1100"/>
        <v>266362.4097799689</v>
      </c>
      <c r="BZ428" s="620">
        <v>0</v>
      </c>
      <c r="CA428" s="196">
        <f t="shared" si="1133"/>
        <v>91537.997287414502</v>
      </c>
      <c r="CB428" s="196">
        <f t="shared" si="1134"/>
        <v>183075.994574829</v>
      </c>
      <c r="CC428" s="196">
        <f t="shared" si="1056"/>
        <v>274613.99186224351</v>
      </c>
      <c r="CD428" s="247">
        <f t="shared" si="1044"/>
        <v>1.1587107771638971E-3</v>
      </c>
      <c r="CE428" s="196">
        <f t="shared" si="1135"/>
        <v>18738.3971280923</v>
      </c>
      <c r="CF428" s="247">
        <f t="shared" si="1045"/>
        <v>8.0918226338796452E-4</v>
      </c>
      <c r="CG428" s="196">
        <f t="shared" si="1106"/>
        <v>45469.85486172224</v>
      </c>
      <c r="CH428" s="589">
        <f t="shared" si="1061"/>
        <v>1.1587107771638971E-3</v>
      </c>
      <c r="CI428" s="196">
        <f t="shared" si="1136"/>
        <v>69608.666364441684</v>
      </c>
      <c r="CJ428" s="248">
        <f t="shared" si="1062"/>
        <v>1.1443662983412648E-3</v>
      </c>
      <c r="CK428" s="196">
        <f t="shared" si="1137"/>
        <v>56201.041397369889</v>
      </c>
      <c r="CL428" s="589">
        <f t="shared" si="1063"/>
        <v>8.0790153014821166E-4</v>
      </c>
      <c r="CM428" s="196">
        <f t="shared" si="1138"/>
        <v>5444.4852461095661</v>
      </c>
      <c r="CN428" s="589">
        <f t="shared" si="1064"/>
        <v>7.8461219863929562E-4</v>
      </c>
      <c r="CO428" s="196">
        <f t="shared" si="1139"/>
        <v>435.55678888429441</v>
      </c>
      <c r="CP428" s="589">
        <f t="shared" si="1065"/>
        <v>8.2139301573982569E-4</v>
      </c>
      <c r="CQ428" s="196">
        <f>'Detailed Budget'!$AC$12</f>
        <v>292876014141.44696</v>
      </c>
      <c r="CR428" s="269">
        <f t="shared" si="1066"/>
        <v>883839917.80478299</v>
      </c>
      <c r="CS428" s="269">
        <f>'Detailed Budget'!$AC$16</f>
        <v>10488008800.000002</v>
      </c>
      <c r="CT428" s="607">
        <f t="shared" si="1108"/>
        <v>31650662.148943249</v>
      </c>
      <c r="CU428" s="269">
        <f>'Detailed Budget'!$AC$24</f>
        <v>30624985696</v>
      </c>
      <c r="CV428" s="269">
        <f t="shared" si="1091"/>
        <v>92419944.049268484</v>
      </c>
      <c r="CW428" s="269"/>
      <c r="CX428" s="269">
        <f t="shared" si="1057"/>
        <v>1007910524.0029948</v>
      </c>
      <c r="CY428" s="196">
        <f>'Detailed Budget'!$AC$97</f>
        <v>74629165494.837845</v>
      </c>
      <c r="CZ428" s="269">
        <f t="shared" si="1109"/>
        <v>0</v>
      </c>
      <c r="DA428" s="269">
        <f>'Detailed Budget'!$AC$100</f>
        <v>14925833098.967569</v>
      </c>
      <c r="DB428" s="269">
        <f t="shared" si="1110"/>
        <v>0</v>
      </c>
      <c r="DC428" s="269">
        <f t="shared" si="1046"/>
        <v>0</v>
      </c>
      <c r="DD428" s="207">
        <v>0</v>
      </c>
      <c r="DE428" s="606">
        <v>0</v>
      </c>
      <c r="DF428" s="269">
        <f>'Detailed Budget'!$AC$147</f>
        <v>5913600671000</v>
      </c>
      <c r="DG428" s="269">
        <f t="shared" si="1086"/>
        <v>0</v>
      </c>
      <c r="DH428" s="269">
        <f>'Detailed Budget'!$AC$153</f>
        <v>226428026880.00003</v>
      </c>
      <c r="DI428" s="269"/>
      <c r="DJ428" s="269">
        <f>'Detailed Budget'!$AC$156</f>
        <v>27713070000</v>
      </c>
      <c r="DK428" s="269"/>
      <c r="DL428" s="269"/>
      <c r="DM428" s="196">
        <f>'Detailed Budget'!$AC$178</f>
        <v>5622683761.6229038</v>
      </c>
      <c r="DN428" s="269">
        <f t="shared" si="1140"/>
        <v>19682779.970964804</v>
      </c>
      <c r="DO428" s="196">
        <f>'Detailed Budget'!$AC$179</f>
        <v>26827890683.128094</v>
      </c>
      <c r="DP428" s="269">
        <f t="shared" si="1141"/>
        <v>93913777.929663569</v>
      </c>
      <c r="DQ428" s="269">
        <f t="shared" si="1008"/>
        <v>113596557.90062837</v>
      </c>
      <c r="DR428" s="269">
        <f>'Detailed Budget'!$AC$181</f>
        <v>50888946855.375237</v>
      </c>
      <c r="DS428" s="269">
        <f t="shared" si="1142"/>
        <v>135068789.91003558</v>
      </c>
      <c r="DT428" s="269">
        <f t="shared" si="1143"/>
        <v>248665347.81066394</v>
      </c>
      <c r="DU428" s="272">
        <f>'Detailed Budget'!$AC$192</f>
        <v>77498869683.252869</v>
      </c>
      <c r="DV428" s="269">
        <f t="shared" si="1111"/>
        <v>0</v>
      </c>
      <c r="DW428" s="140">
        <f>'Detailed Budget'!$AC$194</f>
        <v>2684962805.4134097</v>
      </c>
      <c r="DX428" s="269">
        <f t="shared" si="1112"/>
        <v>0</v>
      </c>
      <c r="DY428" s="607">
        <f t="shared" si="1047"/>
        <v>0</v>
      </c>
      <c r="DZ428" s="196">
        <f>'Detailed Budget'!$AC$198</f>
        <v>18732540018.380611</v>
      </c>
      <c r="EA428" s="269">
        <f t="shared" si="1113"/>
        <v>15158039.131078845</v>
      </c>
      <c r="EB428" s="196">
        <f>'Detailed Budget'!$AC$200</f>
        <v>4683135004.5951529</v>
      </c>
      <c r="EC428" s="269">
        <f t="shared" si="1114"/>
        <v>3789509.7827697112</v>
      </c>
      <c r="ED428" s="269">
        <f t="shared" si="1048"/>
        <v>18947548.913848557</v>
      </c>
      <c r="EE428" s="196">
        <f>'Detailed Budget'!$AC$161</f>
        <v>251147290106.36197</v>
      </c>
      <c r="EF428" s="269">
        <f t="shared" si="1115"/>
        <v>291007071.70174938</v>
      </c>
      <c r="EG428" s="196">
        <f>'Detailed Budget'!$AC$163</f>
        <v>15696705631.647623</v>
      </c>
      <c r="EH428" s="269">
        <f t="shared" si="1116"/>
        <v>18187941.981359337</v>
      </c>
      <c r="EI428" s="269">
        <f t="shared" si="1049"/>
        <v>309195013.68310875</v>
      </c>
      <c r="EJ428" s="196">
        <f>'Detailed Budget'!$AC$204</f>
        <v>45012172507.531975</v>
      </c>
      <c r="EK428" s="269">
        <f t="shared" si="1117"/>
        <v>51510413.232742816</v>
      </c>
      <c r="EL428" s="201">
        <f>'Detailed Budget'!$AC$206</f>
        <v>11253043126.882994</v>
      </c>
      <c r="EM428" s="269">
        <f t="shared" si="1118"/>
        <v>12877603.308185704</v>
      </c>
      <c r="EN428" s="269">
        <f t="shared" si="1050"/>
        <v>64388016.54092852</v>
      </c>
      <c r="EO428" s="140">
        <f>'Detailed Budget'!$AC$209</f>
        <v>135789361677.54817</v>
      </c>
      <c r="EP428" s="269">
        <f t="shared" si="1119"/>
        <v>109704433.07714011</v>
      </c>
      <c r="EQ428" s="196">
        <f>'Detailed Budget'!$AC$211</f>
        <v>33947340419.387043</v>
      </c>
      <c r="ER428" s="269">
        <f t="shared" si="1120"/>
        <v>27426108.269285027</v>
      </c>
      <c r="ES428" s="269">
        <f t="shared" si="1051"/>
        <v>137130541.34642515</v>
      </c>
      <c r="ET428" s="196">
        <f>'Detailed Budget'!$AC$214</f>
        <v>22239745544.201103</v>
      </c>
      <c r="EU428" s="269">
        <f t="shared" si="1121"/>
        <v>17449575.648614105</v>
      </c>
      <c r="EV428" s="140">
        <f>'Detailed Budget'!$AC$217</f>
        <v>5559936386.0502758</v>
      </c>
      <c r="EW428" s="269">
        <f t="shared" si="1122"/>
        <v>4362393.9121535262</v>
      </c>
      <c r="EX428" s="269">
        <f t="shared" si="1052"/>
        <v>21811969.560767632</v>
      </c>
      <c r="EY428" s="196">
        <f>'Detailed Budget'!$AC$219</f>
        <v>372777004.58170313</v>
      </c>
      <c r="EZ428" s="269">
        <f t="shared" si="1123"/>
        <v>306196.42799182393</v>
      </c>
      <c r="FA428" s="196">
        <f>'Detailed Budget'!$AC$222</f>
        <v>93194251.145425782</v>
      </c>
      <c r="FB428" s="269">
        <f t="shared" si="1124"/>
        <v>76549.106997955983</v>
      </c>
      <c r="FC428" s="269">
        <f t="shared" si="1053"/>
        <v>382745.53498977993</v>
      </c>
      <c r="FD428" s="269"/>
      <c r="FE428" s="269">
        <f t="shared" si="1054"/>
        <v>223713272.98311105</v>
      </c>
      <c r="FF428" s="140">
        <f>'Detailed Budget'!$AC$165</f>
        <v>14927760000</v>
      </c>
      <c r="FG428" s="1087">
        <f t="shared" si="1087"/>
        <v>305159712.79256517</v>
      </c>
      <c r="FH428" s="269">
        <f t="shared" si="1125"/>
        <v>16961436.200431772</v>
      </c>
      <c r="FJ428" s="140">
        <f>'Detailed Budget'!$AC$235</f>
        <v>3623696172</v>
      </c>
      <c r="FK428" s="269">
        <f t="shared" si="1126"/>
        <v>4681778</v>
      </c>
      <c r="FL428" s="269">
        <f t="shared" si="1088"/>
        <v>4681778</v>
      </c>
      <c r="FO428" s="607"/>
      <c r="FP428" s="607"/>
      <c r="FQ428" s="607"/>
      <c r="FR428" s="269">
        <f>'Detailed Budget'!$AC$257</f>
        <v>13636439388</v>
      </c>
      <c r="FS428" s="269">
        <f t="shared" si="1127"/>
        <v>21485724</v>
      </c>
      <c r="FT428" s="269">
        <f t="shared" si="1089"/>
        <v>21485724</v>
      </c>
      <c r="FU428" s="269"/>
      <c r="FV428" s="269"/>
      <c r="FW428" s="269"/>
      <c r="FX428" s="140">
        <f>'Detailed Budget'!$AC$278</f>
        <v>1114560000</v>
      </c>
      <c r="FY428" s="269">
        <f t="shared" si="1128"/>
        <v>1440000</v>
      </c>
      <c r="FZ428" s="269">
        <f t="shared" si="1090"/>
        <v>1440000</v>
      </c>
      <c r="GB428" s="269">
        <f t="shared" si="1098"/>
        <v>2158160358.3867245</v>
      </c>
      <c r="GC428" s="887">
        <f t="shared" si="1055"/>
        <v>1348850.2239917028</v>
      </c>
      <c r="GD428" s="1078">
        <f t="shared" si="1099"/>
        <v>1.2110117356245156E-3</v>
      </c>
    </row>
    <row r="429" spans="1:186" hidden="1" outlineLevel="1">
      <c r="A429" s="211"/>
      <c r="B429" s="212"/>
      <c r="C429" s="213"/>
      <c r="D429" s="214"/>
      <c r="E429" s="213"/>
      <c r="F429" s="213"/>
      <c r="G429" s="213"/>
      <c r="H429" s="213"/>
      <c r="I429" s="214"/>
      <c r="J429" s="214"/>
      <c r="K429" s="213"/>
      <c r="L429" s="213"/>
      <c r="M429" s="214"/>
      <c r="N429" s="213"/>
      <c r="O429" s="214"/>
      <c r="P429" s="213"/>
      <c r="Q429" s="214"/>
      <c r="R429" s="214"/>
      <c r="S429" s="214"/>
      <c r="T429" s="214"/>
      <c r="U429" s="215"/>
      <c r="V429" s="845"/>
      <c r="W429" s="216"/>
      <c r="X429" s="217"/>
      <c r="Y429" s="218"/>
      <c r="Z429" s="196"/>
      <c r="AA429" s="218"/>
      <c r="AG429" s="606"/>
      <c r="AJ429" s="196"/>
      <c r="AK429" s="196"/>
      <c r="AL429" s="196"/>
      <c r="AM429" s="196"/>
      <c r="AO429" s="196"/>
      <c r="AP429" s="589"/>
      <c r="AQ429" s="196"/>
      <c r="AR429" s="589"/>
      <c r="AS429"/>
      <c r="AT429" s="589"/>
      <c r="AV429" s="245"/>
      <c r="AX429" s="245"/>
      <c r="AY429" s="245"/>
      <c r="BA429" s="589">
        <f t="shared" si="1092"/>
        <v>0</v>
      </c>
      <c r="BK429" s="246">
        <f t="shared" si="1093"/>
        <v>0</v>
      </c>
      <c r="BL429" s="246"/>
      <c r="BM429" s="246">
        <f t="shared" si="1094"/>
        <v>0</v>
      </c>
      <c r="BN429" s="196"/>
      <c r="BQ429" s="248">
        <f t="shared" si="1095"/>
        <v>0</v>
      </c>
      <c r="BR429" s="248"/>
      <c r="BS429" s="248"/>
      <c r="BT429" s="276"/>
      <c r="BV429" s="264">
        <f t="shared" si="1096"/>
        <v>0</v>
      </c>
      <c r="BX429" s="247">
        <f t="shared" si="1097"/>
        <v>0</v>
      </c>
      <c r="BY429" s="196"/>
      <c r="BZ429" s="620"/>
      <c r="CA429" s="196"/>
      <c r="CB429" s="196"/>
      <c r="CC429" s="196"/>
      <c r="CD429" s="247"/>
      <c r="CF429" s="247"/>
      <c r="CG429" s="196"/>
      <c r="CH429" s="589"/>
      <c r="CI429" s="196"/>
      <c r="CJ429" s="248"/>
      <c r="CK429" s="196"/>
      <c r="CL429" s="589"/>
      <c r="CM429" s="196"/>
      <c r="CN429" s="589"/>
      <c r="CO429" s="196"/>
      <c r="CP429" s="589"/>
      <c r="CQ429" s="196"/>
      <c r="CR429" s="269">
        <f t="shared" si="1066"/>
        <v>0</v>
      </c>
      <c r="CS429" s="269"/>
      <c r="CT429" s="607"/>
      <c r="CU429" s="269">
        <f>'Detailed Budget'!$AC$24</f>
        <v>30624985696</v>
      </c>
      <c r="CV429" s="269">
        <f t="shared" si="1091"/>
        <v>0</v>
      </c>
      <c r="CW429" s="269"/>
      <c r="CX429" s="269"/>
      <c r="CY429" s="196"/>
      <c r="DC429" s="269"/>
      <c r="DD429" s="207"/>
      <c r="DE429" s="606">
        <v>0</v>
      </c>
      <c r="DF429" s="269">
        <f>'Detailed Budget'!$AC$147</f>
        <v>5913600671000</v>
      </c>
      <c r="DG429" s="269">
        <f t="shared" si="1086"/>
        <v>0</v>
      </c>
      <c r="DH429" s="269">
        <f>'Detailed Budget'!$AC$153</f>
        <v>226428026880.00003</v>
      </c>
      <c r="DI429" s="269"/>
      <c r="DJ429" s="269">
        <f>'Detailed Budget'!$AC$156</f>
        <v>27713070000</v>
      </c>
      <c r="DK429" s="269"/>
      <c r="DL429" s="269"/>
      <c r="DM429" s="196"/>
      <c r="DN429" s="269"/>
      <c r="DO429" s="196"/>
      <c r="DP429" s="269"/>
      <c r="DQ429" s="269"/>
      <c r="DR429" s="269"/>
      <c r="DS429" s="269"/>
      <c r="DT429" s="269"/>
      <c r="DU429" s="272"/>
      <c r="DV429" s="269"/>
      <c r="DW429" s="140"/>
      <c r="DX429" s="269"/>
      <c r="DY429" s="607"/>
      <c r="DZ429" s="196"/>
      <c r="EA429" s="269"/>
      <c r="EB429" s="196"/>
      <c r="ED429" s="269"/>
      <c r="EE429" s="196"/>
      <c r="EG429" s="196"/>
      <c r="EI429" s="269"/>
      <c r="EJ429" s="196"/>
      <c r="EL429" s="201"/>
      <c r="EN429" s="269"/>
      <c r="EO429" s="140"/>
      <c r="EQ429" s="196"/>
      <c r="ES429" s="269"/>
      <c r="ET429" s="196"/>
      <c r="EV429" s="140"/>
      <c r="EX429" s="269"/>
      <c r="EY429" s="196"/>
      <c r="FA429" s="196"/>
      <c r="FC429" s="269"/>
      <c r="FD429" s="269"/>
      <c r="FE429" s="269"/>
      <c r="FF429" s="140"/>
      <c r="FG429" s="1087">
        <f t="shared" si="1087"/>
        <v>0</v>
      </c>
      <c r="FJ429" s="140"/>
      <c r="FL429" s="269">
        <f t="shared" si="1088"/>
        <v>0</v>
      </c>
      <c r="FO429" s="607"/>
      <c r="FP429" s="607"/>
      <c r="FQ429" s="607"/>
      <c r="FT429" s="269">
        <f t="shared" si="1089"/>
        <v>0</v>
      </c>
      <c r="FU429" s="269"/>
      <c r="FV429" s="269"/>
      <c r="FW429" s="269"/>
      <c r="FX429" s="140">
        <f>'Detailed Budget'!$AC$278</f>
        <v>1114560000</v>
      </c>
      <c r="FY429" s="269"/>
      <c r="FZ429" s="269"/>
      <c r="GB429" s="269">
        <f t="shared" si="1098"/>
        <v>0</v>
      </c>
      <c r="GD429" s="1078">
        <f t="shared" si="1099"/>
        <v>0</v>
      </c>
    </row>
    <row r="430" spans="1:186" s="210" customFormat="1" collapsed="1">
      <c r="A430" s="203">
        <v>3.6</v>
      </c>
      <c r="B430" s="204" t="s">
        <v>995</v>
      </c>
      <c r="C430" s="205">
        <f t="shared" ref="C430:T430" si="1149">COUNTA(C431:C453)</f>
        <v>23</v>
      </c>
      <c r="D430" s="205">
        <f t="shared" si="1149"/>
        <v>23</v>
      </c>
      <c r="E430" s="205">
        <f t="shared" si="1149"/>
        <v>0</v>
      </c>
      <c r="F430" s="205">
        <f t="shared" si="1149"/>
        <v>0</v>
      </c>
      <c r="G430" s="205">
        <f t="shared" si="1149"/>
        <v>0</v>
      </c>
      <c r="H430" s="205">
        <f t="shared" si="1149"/>
        <v>23</v>
      </c>
      <c r="I430" s="205">
        <f t="shared" si="1149"/>
        <v>23</v>
      </c>
      <c r="J430" s="205">
        <f t="shared" si="1149"/>
        <v>0</v>
      </c>
      <c r="K430" s="205">
        <f t="shared" si="1149"/>
        <v>23</v>
      </c>
      <c r="L430" s="205">
        <f t="shared" si="1149"/>
        <v>0</v>
      </c>
      <c r="M430" s="205">
        <f t="shared" si="1149"/>
        <v>0</v>
      </c>
      <c r="N430" s="205">
        <f t="shared" si="1149"/>
        <v>0</v>
      </c>
      <c r="O430" s="205">
        <f t="shared" si="1149"/>
        <v>0</v>
      </c>
      <c r="P430" s="205">
        <f t="shared" si="1149"/>
        <v>0</v>
      </c>
      <c r="Q430" s="205">
        <f t="shared" si="1149"/>
        <v>2</v>
      </c>
      <c r="R430" s="205">
        <f t="shared" si="1149"/>
        <v>21</v>
      </c>
      <c r="S430" s="205">
        <f t="shared" si="1149"/>
        <v>2</v>
      </c>
      <c r="T430" s="205">
        <f t="shared" si="1149"/>
        <v>0</v>
      </c>
      <c r="U430" s="206">
        <f>SUM(C430:T430)</f>
        <v>140</v>
      </c>
      <c r="V430" s="844"/>
      <c r="W430" s="207">
        <f>SUM(W431:W453)</f>
        <v>3702676</v>
      </c>
      <c r="X430" s="208">
        <v>3.03</v>
      </c>
      <c r="Y430" s="209">
        <f t="shared" si="1101"/>
        <v>1.0303</v>
      </c>
      <c r="Z430" s="207">
        <v>19</v>
      </c>
      <c r="AA430" s="209">
        <f t="shared" si="1102"/>
        <v>1.7632354008841205</v>
      </c>
      <c r="AB430" s="207">
        <f t="shared" si="1103"/>
        <v>6528689.4012040114</v>
      </c>
      <c r="AC430" s="210">
        <v>20.2</v>
      </c>
      <c r="AD430" s="207">
        <f t="shared" si="1104"/>
        <v>1318795.2590432102</v>
      </c>
      <c r="AE430" s="207">
        <f t="shared" si="1148"/>
        <v>1252855.4960910496</v>
      </c>
      <c r="AF430" s="207">
        <f>SUM(AF431:AF453)</f>
        <v>1252855.4960910496</v>
      </c>
      <c r="AG430" s="588">
        <f t="shared" si="1058"/>
        <v>5.792653800056461E-2</v>
      </c>
      <c r="AH430" s="207">
        <f>SUM(AH431:AH453)</f>
        <v>326434.47006020061</v>
      </c>
      <c r="AI430" s="633">
        <f t="shared" si="1034"/>
        <v>2.5288383799031304E-2</v>
      </c>
      <c r="AJ430" s="207">
        <f>SUM(AJ431:AJ453)</f>
        <v>1645229.7291034108</v>
      </c>
      <c r="AK430" s="207">
        <f t="shared" si="1067"/>
        <v>261147.57604816047</v>
      </c>
      <c r="AL430" s="207">
        <f t="shared" si="1068"/>
        <v>261147.57604816047</v>
      </c>
      <c r="AM430" s="207">
        <f t="shared" si="1039"/>
        <v>522295.15209632093</v>
      </c>
      <c r="AN430" s="632">
        <f t="shared" si="1040"/>
        <v>2.5288383799031301E-2</v>
      </c>
      <c r="AO430" s="207">
        <f t="shared" si="1041"/>
        <v>248090.19724575244</v>
      </c>
      <c r="AP430" s="588">
        <f t="shared" si="1059"/>
        <v>2.5288383799031301E-2</v>
      </c>
      <c r="AQ430" s="207">
        <v>1</v>
      </c>
      <c r="AR430" s="588">
        <f>AQ430/37</f>
        <v>2.7027027027027029E-2</v>
      </c>
      <c r="AS430" s="207">
        <f>SUM(AS431:AS453)</f>
        <v>23</v>
      </c>
      <c r="AT430" s="588">
        <f t="shared" si="1060"/>
        <v>2.9715762273901807E-2</v>
      </c>
      <c r="AU430" s="207">
        <f>SUM(AU431:AU453)</f>
        <v>244</v>
      </c>
      <c r="AV430" s="892">
        <f t="shared" si="1042"/>
        <v>2.7724122258834222E-2</v>
      </c>
      <c r="AW430" s="207">
        <v>25973</v>
      </c>
      <c r="AX430" s="208">
        <f>AW430*0.002</f>
        <v>51.945999999999998</v>
      </c>
      <c r="AY430" s="207">
        <f>AX430*100</f>
        <v>5194.5999999999995</v>
      </c>
      <c r="AZ430" s="207">
        <f>SUM(AZ431:AZ453)</f>
        <v>776</v>
      </c>
      <c r="BA430" s="588">
        <f t="shared" si="1092"/>
        <v>2.8434282364149355E-2</v>
      </c>
      <c r="BB430" s="207">
        <v>25</v>
      </c>
      <c r="BC430" s="207">
        <v>1</v>
      </c>
      <c r="BD430" s="207">
        <f>BB430+BC430</f>
        <v>26</v>
      </c>
      <c r="BE430" s="633">
        <f>BD430/1306</f>
        <v>1.9908116385911178E-2</v>
      </c>
      <c r="BF430" s="207">
        <f>AZ430+BD430</f>
        <v>802</v>
      </c>
      <c r="BG430" s="588">
        <f>BF430/28597</f>
        <v>2.8044899814665875E-2</v>
      </c>
      <c r="BH430" s="1084">
        <v>54.7</v>
      </c>
      <c r="BI430" s="207"/>
      <c r="BJ430" s="207">
        <v>3731317</v>
      </c>
      <c r="BK430" s="892">
        <f t="shared" si="1093"/>
        <v>7.1153963944042456E-2</v>
      </c>
      <c r="BL430" s="207">
        <f>BJ430/50</f>
        <v>74626.34</v>
      </c>
      <c r="BM430" s="892">
        <f t="shared" si="1094"/>
        <v>7.1153955802864405E-2</v>
      </c>
      <c r="BN430" s="207"/>
      <c r="BO430" s="207">
        <v>476936</v>
      </c>
      <c r="BP430" s="207">
        <f>SUM(BP431:BP453)</f>
        <v>0</v>
      </c>
      <c r="BQ430" s="633">
        <f t="shared" si="1095"/>
        <v>0</v>
      </c>
      <c r="BR430" s="207">
        <f>AY430*0.5*24</f>
        <v>62335.199999999997</v>
      </c>
      <c r="BS430" s="633">
        <f>BR430/2211211</f>
        <v>2.8190525463196409E-2</v>
      </c>
      <c r="BT430" s="634"/>
      <c r="BU430" s="207">
        <f>SUM(BU431:BU453)</f>
        <v>1063476.496892445</v>
      </c>
      <c r="BV430" s="264">
        <f t="shared" si="1096"/>
        <v>7.3764744215699743E-2</v>
      </c>
      <c r="BW430" s="207">
        <f>SUM(BW431:BW453)</f>
        <v>4549316.1255954588</v>
      </c>
      <c r="BX430" s="247">
        <f t="shared" si="1097"/>
        <v>7.3764744880175384E-2</v>
      </c>
      <c r="BY430" s="207">
        <f>SUM(BY431:BY453)</f>
        <v>5612792.6224879026</v>
      </c>
      <c r="CA430" s="207">
        <f>SUM(CA431:CA453)</f>
        <v>1997778.9567684273</v>
      </c>
      <c r="CB430" s="207">
        <f>SUM(CB431:CB453)</f>
        <v>3995557.9135368546</v>
      </c>
      <c r="CC430" s="207">
        <f>SUM(CC431:CC453)</f>
        <v>5993336.8703052839</v>
      </c>
      <c r="CD430" s="633">
        <f t="shared" si="1044"/>
        <v>2.5288383799031307E-2</v>
      </c>
      <c r="CE430" s="207">
        <f>SUM(CE431:CE453)</f>
        <v>439653.63309390988</v>
      </c>
      <c r="CF430" s="633">
        <f t="shared" si="1045"/>
        <v>1.8985611175905876E-2</v>
      </c>
      <c r="CG430" s="207">
        <f t="shared" ref="CG430:CG469" si="1150">AO430*4</f>
        <v>992360.78898300976</v>
      </c>
      <c r="CH430" s="588">
        <f t="shared" si="1061"/>
        <v>2.5288383799031301E-2</v>
      </c>
      <c r="CI430" s="207">
        <f t="shared" ref="CI430:CO430" si="1151">SUM(CI431:CI453)</f>
        <v>1595194.3133346541</v>
      </c>
      <c r="CJ430" s="633">
        <f t="shared" si="1062"/>
        <v>2.6224990462083184E-2</v>
      </c>
      <c r="CK430" s="207">
        <f t="shared" si="1151"/>
        <v>1936863.3804467027</v>
      </c>
      <c r="CL430" s="588">
        <f t="shared" si="1063"/>
        <v>2.7842809489721638E-2</v>
      </c>
      <c r="CM430" s="207">
        <f t="shared" si="1151"/>
        <v>187634.03685585229</v>
      </c>
      <c r="CN430" s="588">
        <f t="shared" si="1064"/>
        <v>2.7040197106280157E-2</v>
      </c>
      <c r="CO430" s="207">
        <f t="shared" si="1151"/>
        <v>15011.002948523183</v>
      </c>
      <c r="CP430" s="588">
        <f t="shared" si="1065"/>
        <v>2.8308439440814955E-2</v>
      </c>
      <c r="CQ430" s="207">
        <f>'Detailed Budget'!$AC$12</f>
        <v>292876014141.44696</v>
      </c>
      <c r="CR430" s="605">
        <f t="shared" si="1066"/>
        <v>20839289350.295387</v>
      </c>
      <c r="CS430" s="605">
        <f>'Detailed Budget'!$AC$16</f>
        <v>10488008800.000002</v>
      </c>
      <c r="CT430" s="605">
        <f t="shared" ref="CT430:CT469" si="1152">BM430*CS430</f>
        <v>746263314.61525309</v>
      </c>
      <c r="CU430" s="605">
        <f>'Detailed Budget'!$AC$24</f>
        <v>30624985696</v>
      </c>
      <c r="CV430" s="605">
        <f t="shared" si="1091"/>
        <v>2179089128</v>
      </c>
      <c r="CW430" s="605"/>
      <c r="CX430" s="605">
        <f t="shared" si="1057"/>
        <v>23764641792.910641</v>
      </c>
      <c r="CY430" s="207">
        <f>'Detailed Budget'!$AC$97</f>
        <v>74629165494.837845</v>
      </c>
      <c r="CZ430" s="605">
        <f t="shared" ref="CZ430:CZ453" si="1153">BQ430*CY430</f>
        <v>0</v>
      </c>
      <c r="DA430" s="605">
        <f>'Detailed Budget'!$AC$100</f>
        <v>14925833098.967569</v>
      </c>
      <c r="DB430" s="605">
        <f t="shared" ref="DB430:DB453" si="1154">BQ430*DA430</f>
        <v>0</v>
      </c>
      <c r="DC430" s="605">
        <f t="shared" si="1046"/>
        <v>0</v>
      </c>
      <c r="DD430" s="207">
        <f>SUM(DD431:DD453)</f>
        <v>2</v>
      </c>
      <c r="DE430" s="606">
        <v>0</v>
      </c>
      <c r="DF430" s="605">
        <f>'Detailed Budget'!$AC$147</f>
        <v>5913600671000</v>
      </c>
      <c r="DG430" s="605">
        <f t="shared" si="1086"/>
        <v>0</v>
      </c>
      <c r="DH430" s="605">
        <f>'Detailed Budget'!$AC$153</f>
        <v>226428026880.00003</v>
      </c>
      <c r="DI430" s="605">
        <f>BS430*DH430</f>
        <v>6383125057.3419619</v>
      </c>
      <c r="DJ430" s="605">
        <f>'Detailed Budget'!$AC$156</f>
        <v>27713070000</v>
      </c>
      <c r="DK430" s="605">
        <f>AT430*DJ430</f>
        <v>823515000</v>
      </c>
      <c r="DL430" s="605">
        <f>DI430+DK430</f>
        <v>7206640057.3419619</v>
      </c>
      <c r="DM430" s="207">
        <f>'Detailed Budget'!$AC$178</f>
        <v>5622683761.6229038</v>
      </c>
      <c r="DN430" s="605">
        <f>SUM(DN431:DN453)</f>
        <v>414755829.48188198</v>
      </c>
      <c r="DO430" s="605">
        <f>'Detailed Budget'!$AC$179</f>
        <v>26827890683.128094</v>
      </c>
      <c r="DP430" s="605">
        <f>SUM(DP431:DP453)</f>
        <v>1978952511.9141779</v>
      </c>
      <c r="DQ430" s="605">
        <f>SUM(DQ431:DQ453)</f>
        <v>2393708341.3960595</v>
      </c>
      <c r="DR430" s="605">
        <f>'Detailed Budget'!$AC$181</f>
        <v>50888946855.375237</v>
      </c>
      <c r="DS430" s="605">
        <f>SUM(DS431:DS453)</f>
        <v>2947820513.8266068</v>
      </c>
      <c r="DT430" s="605">
        <f>SUM(DT431:DT453)</f>
        <v>5341528855.2226658</v>
      </c>
      <c r="DU430" s="634">
        <f>'Detailed Budget'!$AC$192</f>
        <v>77498869683.252869</v>
      </c>
      <c r="DV430" s="605">
        <f t="shared" ref="DV430:DV469" si="1155">BZ430*CD430*DU430</f>
        <v>0</v>
      </c>
      <c r="DW430" s="930">
        <f>'Detailed Budget'!$AC$194</f>
        <v>2684962805.4134097</v>
      </c>
      <c r="DX430" s="605">
        <f t="shared" ref="DX430:DX469" si="1156">BZ430*AN430*DW430</f>
        <v>0</v>
      </c>
      <c r="DY430" s="605">
        <f t="shared" si="1047"/>
        <v>0</v>
      </c>
      <c r="DZ430" s="207">
        <f>'Detailed Budget'!$AC$198</f>
        <v>18732540018.380611</v>
      </c>
      <c r="EA430" s="605">
        <f t="shared" ref="EA430:EA453" si="1157">CF430*DZ430</f>
        <v>355648721.12607098</v>
      </c>
      <c r="EB430" s="207">
        <f>'Detailed Budget'!$AC$200</f>
        <v>4683135004.5951529</v>
      </c>
      <c r="EC430" s="605">
        <f t="shared" ref="EC430:EC469" si="1158">CF430*EB430</f>
        <v>88912180.281517744</v>
      </c>
      <c r="ED430" s="605">
        <f t="shared" si="1048"/>
        <v>444560901.40758872</v>
      </c>
      <c r="EE430" s="207">
        <f>'Detailed Budget'!$AC$161</f>
        <v>251147290106.36197</v>
      </c>
      <c r="EF430" s="605">
        <f t="shared" ref="EF430:EF469" si="1159">CH430*EE430</f>
        <v>6351109062.2963381</v>
      </c>
      <c r="EG430" s="207">
        <f>'Detailed Budget'!$AC$163</f>
        <v>15696705631.647623</v>
      </c>
      <c r="EH430" s="605">
        <f t="shared" ref="EH430:EH469" si="1160">AP430*EG430</f>
        <v>396944316.39352113</v>
      </c>
      <c r="EI430" s="605">
        <f t="shared" si="1049"/>
        <v>6748053378.6898594</v>
      </c>
      <c r="EJ430" s="207">
        <f>'Detailed Budget'!$AC$204</f>
        <v>45012172507.531975</v>
      </c>
      <c r="EK430" s="605">
        <f t="shared" ref="EK430:EK469" si="1161">CJ430*EJ430</f>
        <v>1180443794.687669</v>
      </c>
      <c r="EL430" s="207">
        <f>'Detailed Budget'!$AC$206</f>
        <v>11253043126.882994</v>
      </c>
      <c r="EM430" s="605">
        <f t="shared" ref="EM430:EM469" si="1162">CJ430*EL430</f>
        <v>295110948.67191726</v>
      </c>
      <c r="EN430" s="605">
        <f t="shared" si="1050"/>
        <v>1475554743.3595862</v>
      </c>
      <c r="EO430" s="930">
        <f>'Detailed Budget'!$AC$209</f>
        <v>135789361677.54817</v>
      </c>
      <c r="EP430" s="605">
        <f t="shared" ref="EP430:EP469" si="1163">CL430*EO430</f>
        <v>3780757327.9188819</v>
      </c>
      <c r="EQ430" s="207">
        <f>'Detailed Budget'!$AC$211</f>
        <v>33947340419.387043</v>
      </c>
      <c r="ER430" s="605">
        <f t="shared" ref="ER430:ER469" si="1164">CL430*EQ430</f>
        <v>945189331.97972047</v>
      </c>
      <c r="ES430" s="605">
        <f t="shared" si="1051"/>
        <v>4725946659.8986025</v>
      </c>
      <c r="ET430" s="207">
        <f>'Detailed Budget'!$AC$214</f>
        <v>22239745544.201103</v>
      </c>
      <c r="EU430" s="605">
        <f t="shared" ref="EU430:EU469" si="1165">CN430*ET430</f>
        <v>601367103.10871363</v>
      </c>
      <c r="EV430" s="930">
        <f>'Detailed Budget'!$AC$217</f>
        <v>5559936386.0502758</v>
      </c>
      <c r="EW430" s="605">
        <f t="shared" ref="EW430:EW469" si="1166">CN430*EV430</f>
        <v>150341775.77717841</v>
      </c>
      <c r="EX430" s="605">
        <f t="shared" si="1052"/>
        <v>751708878.88589203</v>
      </c>
      <c r="EY430" s="207">
        <f>'Detailed Budget'!$AC$219</f>
        <v>372777004.58170313</v>
      </c>
      <c r="EZ430" s="605">
        <f t="shared" ref="EZ430:EZ469" si="1167">CP430*EY430</f>
        <v>10552735.259129543</v>
      </c>
      <c r="FA430" s="207">
        <f>'Detailed Budget'!$AC$222</f>
        <v>93194251.145425782</v>
      </c>
      <c r="FB430" s="605">
        <f t="shared" ref="FB430:FB469" si="1168">CP430*FA430</f>
        <v>2638183.8147823857</v>
      </c>
      <c r="FC430" s="605">
        <f t="shared" si="1053"/>
        <v>13190919.073911928</v>
      </c>
      <c r="FD430" s="605"/>
      <c r="FE430" s="605">
        <f t="shared" si="1054"/>
        <v>6966401201.2179918</v>
      </c>
      <c r="FF430" s="930">
        <f>'Detailed Budget'!$AC$165</f>
        <v>14927760000</v>
      </c>
      <c r="FG430" s="1087">
        <f t="shared" si="1087"/>
        <v>9502632371.4013729</v>
      </c>
      <c r="FH430" s="605">
        <f t="shared" ref="FH430:FH453" si="1169">AV430*FF430</f>
        <v>413859043.29053515</v>
      </c>
      <c r="FI430" s="605"/>
      <c r="FJ430" s="930">
        <f>'Detailed Budget'!$AC$235</f>
        <v>3623696172</v>
      </c>
      <c r="FK430" s="605">
        <f t="shared" ref="FK430:FK453" si="1170">AT430*FJ430</f>
        <v>107680894</v>
      </c>
      <c r="FL430" s="605">
        <f t="shared" si="1088"/>
        <v>107680894</v>
      </c>
      <c r="FM430" s="605"/>
      <c r="FN430" s="605">
        <f>'Detailed Budget'!$AC$251</f>
        <v>1047595800</v>
      </c>
      <c r="FO430" s="605">
        <f>AR430*FN430</f>
        <v>28313400</v>
      </c>
      <c r="FP430" s="605">
        <f>'Detailed Budget'!$AB$254</f>
        <v>2773297530</v>
      </c>
      <c r="FQ430" s="605">
        <f>BE430*FP430</f>
        <v>55211130</v>
      </c>
      <c r="FR430" s="605">
        <f>'Detailed Budget'!$AC$257</f>
        <v>13636439388</v>
      </c>
      <c r="FS430" s="605">
        <f t="shared" ref="FS430:FS453" si="1171">BA430*FR430</f>
        <v>387742368</v>
      </c>
      <c r="FT430" s="605">
        <f t="shared" si="1089"/>
        <v>471266898</v>
      </c>
      <c r="FU430" s="605"/>
      <c r="FV430" s="605">
        <f>'Detailed Budget'!$AC$265</f>
        <v>6277805540</v>
      </c>
      <c r="FW430" s="605">
        <f>AR430*FV430</f>
        <v>169670420</v>
      </c>
      <c r="FX430" s="930">
        <f>'Detailed Budget'!$AC$278</f>
        <v>1114560000</v>
      </c>
      <c r="FY430" s="605">
        <f t="shared" ref="FY430:FY453" si="1172">AT430*FX430</f>
        <v>33120000</v>
      </c>
      <c r="FZ430" s="605">
        <f t="shared" si="1090"/>
        <v>202790420</v>
      </c>
      <c r="GB430" s="269">
        <f t="shared" si="1098"/>
        <v>61170055813.482613</v>
      </c>
      <c r="GC430" s="889">
        <f t="shared" si="1055"/>
        <v>38231284.883426636</v>
      </c>
      <c r="GD430" s="1078">
        <f t="shared" si="1099"/>
        <v>3.4324444507130535E-2</v>
      </c>
    </row>
    <row r="431" spans="1:186" hidden="1" outlineLevel="1">
      <c r="A431" s="211" t="s">
        <v>996</v>
      </c>
      <c r="B431" s="212" t="s">
        <v>997</v>
      </c>
      <c r="C431" s="213" t="s">
        <v>215</v>
      </c>
      <c r="D431" s="214" t="s">
        <v>215</v>
      </c>
      <c r="E431" s="213"/>
      <c r="F431" s="213"/>
      <c r="G431" s="213"/>
      <c r="H431" s="213" t="s">
        <v>215</v>
      </c>
      <c r="I431" s="214" t="s">
        <v>215</v>
      </c>
      <c r="J431" s="214"/>
      <c r="K431" s="213" t="s">
        <v>215</v>
      </c>
      <c r="L431" s="213"/>
      <c r="M431" s="214"/>
      <c r="N431" s="213"/>
      <c r="O431" s="214"/>
      <c r="P431" s="213"/>
      <c r="Q431" s="214"/>
      <c r="R431" s="214" t="s">
        <v>215</v>
      </c>
      <c r="S431" s="214"/>
      <c r="T431" s="214"/>
      <c r="U431" s="215">
        <f t="shared" ref="U431:U453" si="1173">COUNTA(C431:T431)</f>
        <v>6</v>
      </c>
      <c r="V431" s="845" t="s">
        <v>219</v>
      </c>
      <c r="W431" s="216">
        <v>104274</v>
      </c>
      <c r="X431" s="217">
        <v>3.03</v>
      </c>
      <c r="Y431" s="218">
        <f t="shared" si="1101"/>
        <v>1.0303</v>
      </c>
      <c r="Z431" s="196">
        <v>19</v>
      </c>
      <c r="AA431" s="218">
        <f t="shared" si="1102"/>
        <v>1.7632354008841205</v>
      </c>
      <c r="AB431" s="196">
        <f t="shared" si="1103"/>
        <v>183859.60819179079</v>
      </c>
      <c r="AC431">
        <v>20.2</v>
      </c>
      <c r="AD431" s="196">
        <f t="shared" si="1104"/>
        <v>37139.640854741738</v>
      </c>
      <c r="AE431" s="196">
        <f t="shared" si="1148"/>
        <v>35282.658812004651</v>
      </c>
      <c r="AF431" s="196">
        <f t="shared" ref="AF431:AF454" si="1174">AE431*BT431</f>
        <v>35282.658812004651</v>
      </c>
      <c r="AG431" s="606">
        <f t="shared" si="1058"/>
        <v>1.6313152496926211E-3</v>
      </c>
      <c r="AH431" s="196">
        <f>AB431*0.05</f>
        <v>9192.9804095895397</v>
      </c>
      <c r="AI431" s="248">
        <f t="shared" si="1034"/>
        <v>7.1216626360507654E-4</v>
      </c>
      <c r="AJ431" s="196">
        <f t="shared" si="1038"/>
        <v>46332.621264331276</v>
      </c>
      <c r="AK431" s="196">
        <f t="shared" si="1067"/>
        <v>7354.3843276716316</v>
      </c>
      <c r="AL431" s="196">
        <f t="shared" si="1068"/>
        <v>7354.3843276716316</v>
      </c>
      <c r="AM431" s="196">
        <f t="shared" si="1039"/>
        <v>14708.768655343263</v>
      </c>
      <c r="AN431" s="627">
        <f t="shared" si="1040"/>
        <v>7.1216626360507643E-4</v>
      </c>
      <c r="AO431" s="196">
        <f t="shared" si="1041"/>
        <v>6986.66511128805</v>
      </c>
      <c r="AP431" s="589">
        <f t="shared" si="1059"/>
        <v>7.1216626360507643E-4</v>
      </c>
      <c r="AQ431" s="196"/>
      <c r="AR431" s="589"/>
      <c r="AS431">
        <v>1</v>
      </c>
      <c r="AT431" s="589">
        <f t="shared" si="1060"/>
        <v>1.2919896640826874E-3</v>
      </c>
      <c r="AU431" s="196">
        <v>10</v>
      </c>
      <c r="AV431" s="245">
        <f t="shared" si="1042"/>
        <v>1.1362345188046814E-3</v>
      </c>
      <c r="AX431" s="245"/>
      <c r="AY431" s="245"/>
      <c r="AZ431" s="196">
        <v>32</v>
      </c>
      <c r="BA431" s="589">
        <f t="shared" si="1092"/>
        <v>1.1725477263566744E-3</v>
      </c>
      <c r="BI431" s="196">
        <v>0</v>
      </c>
      <c r="BJ431" s="196">
        <f t="shared" ref="BJ431:BJ453" si="1175">AB431/6528689*3731317</f>
        <v>105080.58840900038</v>
      </c>
      <c r="BK431" s="246">
        <f t="shared" si="1093"/>
        <v>2.0038234218300883E-3</v>
      </c>
      <c r="BL431" s="196">
        <f>BJ431/50</f>
        <v>2101.6117681800079</v>
      </c>
      <c r="BM431" s="246">
        <f t="shared" si="1094"/>
        <v>2.0038231925598926E-3</v>
      </c>
      <c r="BN431" s="196">
        <v>0</v>
      </c>
      <c r="BO431" s="196">
        <f t="shared" ref="BO431:BO453" si="1176">AJ431/1645230*476936</f>
        <v>13431.371331257698</v>
      </c>
      <c r="BP431" s="196">
        <f t="shared" si="1043"/>
        <v>0</v>
      </c>
      <c r="BQ431" s="248">
        <f t="shared" si="1095"/>
        <v>0</v>
      </c>
      <c r="BR431" s="248"/>
      <c r="BS431" s="248"/>
      <c r="BT431" s="276">
        <v>1</v>
      </c>
      <c r="BU431" s="196">
        <f>AD431*BT431*0.18*4*1.12</f>
        <v>29949.406385263737</v>
      </c>
      <c r="BV431" s="264">
        <f t="shared" si="1096"/>
        <v>2.0773475557536968E-3</v>
      </c>
      <c r="BW431" s="196">
        <f>AD431*BT431*0.77*4*1.12</f>
        <v>128116.90509251712</v>
      </c>
      <c r="BX431" s="247">
        <f t="shared" si="1097"/>
        <v>2.0773475744665232E-3</v>
      </c>
      <c r="BY431" s="196">
        <f t="shared" si="1100"/>
        <v>158066.31147778087</v>
      </c>
      <c r="BZ431" s="620">
        <v>0</v>
      </c>
      <c r="CA431" s="196">
        <f t="shared" ref="CA431:CA454" si="1177">AK431*0.85*0.75*12</f>
        <v>56261.040106687986</v>
      </c>
      <c r="CB431" s="196">
        <f t="shared" ref="CB431:CB454" si="1178">AL431*0.85*0.75*2*12</f>
        <v>112522.08021337597</v>
      </c>
      <c r="CC431" s="196">
        <f t="shared" si="1056"/>
        <v>168783.12032006396</v>
      </c>
      <c r="CD431" s="247">
        <f t="shared" si="1044"/>
        <v>7.1216626360507654E-4</v>
      </c>
      <c r="CE431" s="196">
        <f t="shared" ref="CE431:CE453" si="1179">AH431/326434*439653</f>
        <v>12381.435193690822</v>
      </c>
      <c r="CF431" s="247">
        <f t="shared" si="1045"/>
        <v>5.3466887725429099E-4</v>
      </c>
      <c r="CG431" s="196">
        <f t="shared" si="1150"/>
        <v>27946.6604451522</v>
      </c>
      <c r="CH431" s="589">
        <f t="shared" si="1061"/>
        <v>7.1216626360507643E-4</v>
      </c>
      <c r="CI431" s="196">
        <f t="shared" ref="CI431:CI453" si="1180">AD431/1318795*1595194</f>
        <v>44923.534176000736</v>
      </c>
      <c r="CJ431" s="248">
        <f t="shared" si="1062"/>
        <v>7.3854278782244564E-4</v>
      </c>
      <c r="CK431" s="196">
        <f t="shared" ref="CK431:CK453" si="1181">AD431/1318795*1936863</f>
        <v>54545.548174536336</v>
      </c>
      <c r="CL431" s="589">
        <f t="shared" si="1063"/>
        <v>7.8410347454955132E-4</v>
      </c>
      <c r="CM431" s="196">
        <f t="shared" ref="CM431:CM453" si="1182">AD431/1318795*187634</f>
        <v>5284.1111561225298</v>
      </c>
      <c r="CN431" s="589">
        <f t="shared" si="1064"/>
        <v>7.6150046967659538E-4</v>
      </c>
      <c r="CO431" s="196">
        <f t="shared" ref="CO431:CO453" si="1183">AD431/1318795*15011</f>
        <v>422.73677779376493</v>
      </c>
      <c r="CP431" s="589">
        <f t="shared" si="1065"/>
        <v>7.9721644946831392E-4</v>
      </c>
      <c r="CQ431" s="196">
        <f>'Detailed Budget'!$AC$12</f>
        <v>292876014141.44696</v>
      </c>
      <c r="CR431" s="269">
        <f t="shared" si="1066"/>
        <v>586871816.82887161</v>
      </c>
      <c r="CS431" s="269">
        <f>'Detailed Budget'!$AC$16</f>
        <v>10488008800.000002</v>
      </c>
      <c r="CT431" s="607">
        <f t="shared" si="1152"/>
        <v>21016115.277212251</v>
      </c>
      <c r="CU431" s="269">
        <f>'Detailed Budget'!$AC$24</f>
        <v>30624985696</v>
      </c>
      <c r="CV431" s="269">
        <f t="shared" si="1091"/>
        <v>61367063.630856231</v>
      </c>
      <c r="CW431" s="269"/>
      <c r="CX431" s="269">
        <f t="shared" si="1057"/>
        <v>669254995.73694015</v>
      </c>
      <c r="CY431" s="196">
        <f>'Detailed Budget'!$AC$97</f>
        <v>74629165494.837845</v>
      </c>
      <c r="CZ431" s="269">
        <f t="shared" si="1153"/>
        <v>0</v>
      </c>
      <c r="DA431" s="269">
        <f>'Detailed Budget'!$AC$100</f>
        <v>14925833098.967569</v>
      </c>
      <c r="DB431" s="269">
        <f t="shared" si="1154"/>
        <v>0</v>
      </c>
      <c r="DC431" s="269">
        <f t="shared" si="1046"/>
        <v>0</v>
      </c>
      <c r="DD431" s="207">
        <v>0</v>
      </c>
      <c r="DE431" s="606">
        <v>0</v>
      </c>
      <c r="DF431" s="269">
        <f>'Detailed Budget'!$AC$147</f>
        <v>5913600671000</v>
      </c>
      <c r="DG431" s="269">
        <f t="shared" si="1086"/>
        <v>0</v>
      </c>
      <c r="DH431" s="269">
        <f>'Detailed Budget'!$AC$153</f>
        <v>226428026880.00003</v>
      </c>
      <c r="DI431" s="269"/>
      <c r="DJ431" s="269">
        <f>'Detailed Budget'!$AC$156</f>
        <v>27713070000</v>
      </c>
      <c r="DK431" s="269"/>
      <c r="DL431" s="269"/>
      <c r="DM431" s="196">
        <f>'Detailed Budget'!$AC$178</f>
        <v>5622683761.6229038</v>
      </c>
      <c r="DN431" s="269">
        <f t="shared" ref="DN431:DN453" si="1184">BT431*BV431*DM431</f>
        <v>11680268.368983341</v>
      </c>
      <c r="DO431" s="196">
        <f>'Detailed Budget'!$AC$179</f>
        <v>26827890683.128094</v>
      </c>
      <c r="DP431" s="269">
        <f t="shared" ref="DP431:DP453" si="1185">BT431*BX431*DO431</f>
        <v>55730853.638649181</v>
      </c>
      <c r="DQ431" s="269">
        <f t="shared" si="1008"/>
        <v>67411122.007632524</v>
      </c>
      <c r="DR431" s="269">
        <f>'Detailed Budget'!$AC$181</f>
        <v>50888946855.375237</v>
      </c>
      <c r="DS431" s="269">
        <f t="shared" ref="DS431:DS453" si="1186">BT431*AG431*DR431</f>
        <v>83015915.045970976</v>
      </c>
      <c r="DT431" s="269">
        <f t="shared" ref="DT431:DT453" si="1187">DQ431+DS431</f>
        <v>150427037.0536035</v>
      </c>
      <c r="DU431" s="272">
        <f>'Detailed Budget'!$AC$192</f>
        <v>77498869683.252869</v>
      </c>
      <c r="DV431" s="269">
        <f t="shared" si="1155"/>
        <v>0</v>
      </c>
      <c r="DW431" s="140">
        <f>'Detailed Budget'!$AC$194</f>
        <v>2684962805.4134097</v>
      </c>
      <c r="DX431" s="269">
        <f t="shared" si="1156"/>
        <v>0</v>
      </c>
      <c r="DY431" s="607">
        <f t="shared" si="1047"/>
        <v>0</v>
      </c>
      <c r="DZ431" s="196">
        <f>'Detailed Budget'!$AC$198</f>
        <v>18732540018.380611</v>
      </c>
      <c r="EA431" s="269">
        <f t="shared" si="1157"/>
        <v>10015706.139748637</v>
      </c>
      <c r="EB431" s="196">
        <f>'Detailed Budget'!$AC$200</f>
        <v>4683135004.5951529</v>
      </c>
      <c r="EC431" s="269">
        <f t="shared" si="1158"/>
        <v>2503926.5349371592</v>
      </c>
      <c r="ED431" s="269">
        <f t="shared" si="1048"/>
        <v>12519632.674685795</v>
      </c>
      <c r="EE431" s="196">
        <f>'Detailed Budget'!$AC$161</f>
        <v>251147290106.36197</v>
      </c>
      <c r="EF431" s="269">
        <f t="shared" si="1159"/>
        <v>178858627.20958799</v>
      </c>
      <c r="EG431" s="196">
        <f>'Detailed Budget'!$AC$163</f>
        <v>15696705631.647623</v>
      </c>
      <c r="EH431" s="269">
        <f t="shared" si="1160"/>
        <v>11178664.200599249</v>
      </c>
      <c r="EI431" s="269">
        <f t="shared" si="1049"/>
        <v>190037291.41018724</v>
      </c>
      <c r="EJ431" s="196">
        <f>'Detailed Budget'!$AC$204</f>
        <v>45012172507.531975</v>
      </c>
      <c r="EK431" s="269">
        <f t="shared" si="1161"/>
        <v>33243415.369657509</v>
      </c>
      <c r="EL431" s="201">
        <f>'Detailed Budget'!$AC$206</f>
        <v>11253043126.882994</v>
      </c>
      <c r="EM431" s="269">
        <f t="shared" si="1162"/>
        <v>8310853.8424143773</v>
      </c>
      <c r="EN431" s="269">
        <f t="shared" si="1050"/>
        <v>41554269.212071888</v>
      </c>
      <c r="EO431" s="140">
        <f>'Detailed Budget'!$AC$209</f>
        <v>135789361677.54817</v>
      </c>
      <c r="EP431" s="269">
        <f t="shared" si="1163"/>
        <v>106472910.29823121</v>
      </c>
      <c r="EQ431" s="196">
        <f>'Detailed Budget'!$AC$211</f>
        <v>33947340419.387043</v>
      </c>
      <c r="ER431" s="269">
        <f t="shared" si="1164"/>
        <v>26618227.574557804</v>
      </c>
      <c r="ES431" s="269">
        <f t="shared" si="1051"/>
        <v>133091137.87278903</v>
      </c>
      <c r="ET431" s="196">
        <f>'Detailed Budget'!$AC$214</f>
        <v>22239745544.201103</v>
      </c>
      <c r="EU431" s="269">
        <f t="shared" si="1165"/>
        <v>16935576.67739711</v>
      </c>
      <c r="EV431" s="140">
        <f>'Detailed Budget'!$AC$217</f>
        <v>5559936386.0502758</v>
      </c>
      <c r="EW431" s="269">
        <f t="shared" si="1166"/>
        <v>4233894.1693492774</v>
      </c>
      <c r="EX431" s="269">
        <f t="shared" si="1052"/>
        <v>21169470.846746385</v>
      </c>
      <c r="EY431" s="196">
        <f>'Detailed Budget'!$AC$219</f>
        <v>372777004.58170313</v>
      </c>
      <c r="EZ431" s="269">
        <f t="shared" si="1167"/>
        <v>297183.96003605874</v>
      </c>
      <c r="FA431" s="196">
        <f>'Detailed Budget'!$AC$222</f>
        <v>93194251.145425782</v>
      </c>
      <c r="FB431" s="269">
        <f t="shared" si="1168"/>
        <v>74295.990009014684</v>
      </c>
      <c r="FC431" s="269">
        <f t="shared" si="1053"/>
        <v>371479.9500450734</v>
      </c>
      <c r="FD431" s="269"/>
      <c r="FE431" s="269">
        <f t="shared" si="1054"/>
        <v>196186357.88165238</v>
      </c>
      <c r="FF431" s="140">
        <f>'Detailed Budget'!$AC$165</f>
        <v>14927760000</v>
      </c>
      <c r="FG431" s="1087">
        <f t="shared" si="1087"/>
        <v>267611178.481592</v>
      </c>
      <c r="FH431" s="269">
        <f t="shared" si="1169"/>
        <v>16961436.200431772</v>
      </c>
      <c r="FJ431" s="140">
        <f>'Detailed Budget'!$AC$235</f>
        <v>3623696172</v>
      </c>
      <c r="FK431" s="269">
        <f t="shared" si="1170"/>
        <v>4681778</v>
      </c>
      <c r="FL431" s="269">
        <f t="shared" si="1088"/>
        <v>4681778</v>
      </c>
      <c r="FO431" s="607"/>
      <c r="FP431" s="607"/>
      <c r="FQ431" s="607"/>
      <c r="FR431" s="269">
        <f>'Detailed Budget'!$AC$257</f>
        <v>13636439388</v>
      </c>
      <c r="FS431" s="269">
        <f t="shared" si="1171"/>
        <v>15989376</v>
      </c>
      <c r="FT431" s="269">
        <f t="shared" si="1089"/>
        <v>15989376</v>
      </c>
      <c r="FU431" s="269"/>
      <c r="FV431" s="269"/>
      <c r="FW431" s="269"/>
      <c r="FX431" s="140">
        <f>'Detailed Budget'!$AC$278</f>
        <v>1114560000</v>
      </c>
      <c r="FY431" s="269">
        <f t="shared" si="1172"/>
        <v>1440000</v>
      </c>
      <c r="FZ431" s="269">
        <f t="shared" si="1090"/>
        <v>1440000</v>
      </c>
      <c r="GB431" s="269">
        <f t="shared" si="1098"/>
        <v>1525109083.4390929</v>
      </c>
      <c r="GC431" s="887">
        <f t="shared" si="1055"/>
        <v>953193.17714943306</v>
      </c>
      <c r="GD431" s="1078">
        <f t="shared" si="1099"/>
        <v>8.5578673103462529E-4</v>
      </c>
    </row>
    <row r="432" spans="1:186" hidden="1" outlineLevel="1">
      <c r="A432" s="211" t="s">
        <v>998</v>
      </c>
      <c r="B432" s="212" t="s">
        <v>999</v>
      </c>
      <c r="C432" s="213" t="s">
        <v>215</v>
      </c>
      <c r="D432" s="214" t="s">
        <v>215</v>
      </c>
      <c r="E432" s="213"/>
      <c r="F432" s="213"/>
      <c r="G432" s="213"/>
      <c r="H432" s="213" t="s">
        <v>215</v>
      </c>
      <c r="I432" s="214" t="s">
        <v>215</v>
      </c>
      <c r="J432" s="214"/>
      <c r="K432" s="213" t="s">
        <v>215</v>
      </c>
      <c r="L432" s="213"/>
      <c r="M432" s="214"/>
      <c r="N432" s="213"/>
      <c r="O432" s="214"/>
      <c r="P432" s="213"/>
      <c r="Q432" s="214"/>
      <c r="R432" s="214" t="s">
        <v>215</v>
      </c>
      <c r="S432" s="214"/>
      <c r="T432" s="214"/>
      <c r="U432" s="215">
        <f t="shared" si="1173"/>
        <v>6</v>
      </c>
      <c r="V432" s="845" t="s">
        <v>219</v>
      </c>
      <c r="W432" s="216">
        <v>174302</v>
      </c>
      <c r="X432" s="217">
        <v>3.03</v>
      </c>
      <c r="Y432" s="218">
        <f t="shared" si="1101"/>
        <v>1.0303</v>
      </c>
      <c r="Z432" s="196">
        <v>19</v>
      </c>
      <c r="AA432" s="218">
        <f t="shared" si="1102"/>
        <v>1.7632354008841205</v>
      </c>
      <c r="AB432" s="196">
        <f t="shared" si="1103"/>
        <v>307335.45684490394</v>
      </c>
      <c r="AC432">
        <v>20.2</v>
      </c>
      <c r="AD432" s="196">
        <f t="shared" si="1104"/>
        <v>62081.762282670599</v>
      </c>
      <c r="AE432" s="196">
        <f t="shared" si="1148"/>
        <v>58977.674168537065</v>
      </c>
      <c r="AF432" s="196">
        <f t="shared" si="1174"/>
        <v>58977.674168537065</v>
      </c>
      <c r="AG432" s="606">
        <f t="shared" si="1058"/>
        <v>2.7268687367121547E-3</v>
      </c>
      <c r="AH432" s="196">
        <f t="shared" ref="AH432:AH453" si="1188">AB432*0.05</f>
        <v>15366.772842245198</v>
      </c>
      <c r="AI432" s="248">
        <f t="shared" si="1034"/>
        <v>1.1904406091536915E-3</v>
      </c>
      <c r="AJ432" s="196">
        <f t="shared" si="1038"/>
        <v>77448.535124915797</v>
      </c>
      <c r="AK432" s="196">
        <f t="shared" si="1067"/>
        <v>12293.418273796158</v>
      </c>
      <c r="AL432" s="196">
        <f t="shared" si="1068"/>
        <v>12293.418273796158</v>
      </c>
      <c r="AM432" s="196">
        <f t="shared" si="1039"/>
        <v>24586.836547592316</v>
      </c>
      <c r="AN432" s="627">
        <f t="shared" si="1040"/>
        <v>1.1904406091536915E-3</v>
      </c>
      <c r="AO432" s="196">
        <f t="shared" si="1041"/>
        <v>11678.747360106348</v>
      </c>
      <c r="AP432" s="589">
        <f t="shared" si="1059"/>
        <v>1.1904406091536913E-3</v>
      </c>
      <c r="AQ432" s="196"/>
      <c r="AR432" s="589"/>
      <c r="AS432">
        <v>1</v>
      </c>
      <c r="AT432" s="589">
        <f t="shared" si="1060"/>
        <v>1.2919896640826874E-3</v>
      </c>
      <c r="AU432" s="196">
        <v>11</v>
      </c>
      <c r="AV432" s="245">
        <f t="shared" si="1042"/>
        <v>1.2498579706851495E-3</v>
      </c>
      <c r="AX432" s="245"/>
      <c r="AY432" s="245"/>
      <c r="AZ432" s="196">
        <v>33</v>
      </c>
      <c r="BA432" s="589">
        <f t="shared" si="1092"/>
        <v>1.2091898428053204E-3</v>
      </c>
      <c r="BI432" s="196">
        <v>0</v>
      </c>
      <c r="BJ432" s="196">
        <f t="shared" si="1175"/>
        <v>175650.27447748795</v>
      </c>
      <c r="BK432" s="246">
        <f t="shared" si="1093"/>
        <v>3.3495447577711404E-3</v>
      </c>
      <c r="BL432" s="196">
        <f t="shared" ref="BL432:BL453" si="1189">BJ432/50</f>
        <v>3513.0054895497592</v>
      </c>
      <c r="BM432" s="246">
        <f t="shared" si="1094"/>
        <v>3.3495443745283986E-3</v>
      </c>
      <c r="BN432" s="196">
        <v>0</v>
      </c>
      <c r="BO432" s="196">
        <f t="shared" si="1176"/>
        <v>22451.568806997708</v>
      </c>
      <c r="BP432" s="196">
        <f t="shared" si="1043"/>
        <v>0</v>
      </c>
      <c r="BQ432" s="248">
        <f t="shared" si="1095"/>
        <v>0</v>
      </c>
      <c r="BR432" s="248"/>
      <c r="BS432" s="248"/>
      <c r="BT432" s="276">
        <v>1</v>
      </c>
      <c r="BU432" s="196">
        <f t="shared" ref="BU432:BU453" si="1190">AD432*BT432*0.18*4*1.12</f>
        <v>50062.733104745574</v>
      </c>
      <c r="BV432" s="264">
        <f t="shared" si="1096"/>
        <v>3.4724459948115619E-3</v>
      </c>
      <c r="BW432" s="196">
        <f t="shared" ref="BW432:BW453" si="1191">AD432*BT432*0.77*4*1.12</f>
        <v>214157.24717030051</v>
      </c>
      <c r="BX432" s="247">
        <f t="shared" si="1097"/>
        <v>3.4724460260914885E-3</v>
      </c>
      <c r="BY432" s="196">
        <f t="shared" si="1100"/>
        <v>264219.98027504608</v>
      </c>
      <c r="BZ432" s="620">
        <v>0</v>
      </c>
      <c r="CA432" s="196">
        <f t="shared" si="1177"/>
        <v>94044.649794540601</v>
      </c>
      <c r="CB432" s="196">
        <f t="shared" si="1178"/>
        <v>188089.2995890812</v>
      </c>
      <c r="CC432" s="196">
        <f t="shared" si="1056"/>
        <v>282133.9493836218</v>
      </c>
      <c r="CD432" s="247">
        <f t="shared" si="1044"/>
        <v>1.1904406091536913E-3</v>
      </c>
      <c r="CE432" s="196">
        <f t="shared" si="1179"/>
        <v>20696.519910339081</v>
      </c>
      <c r="CF432" s="247">
        <f t="shared" si="1045"/>
        <v>8.9374009478084102E-4</v>
      </c>
      <c r="CG432" s="196">
        <f t="shared" si="1150"/>
        <v>46714.989440425394</v>
      </c>
      <c r="CH432" s="589">
        <f t="shared" si="1061"/>
        <v>1.1904406091536913E-3</v>
      </c>
      <c r="CI432" s="196">
        <f t="shared" si="1180"/>
        <v>75093.13782865605</v>
      </c>
      <c r="CJ432" s="248">
        <f t="shared" si="1062"/>
        <v>1.2345309952915197E-3</v>
      </c>
      <c r="CK432" s="196">
        <f t="shared" si="1181"/>
        <v>91177.073267718049</v>
      </c>
      <c r="CL432" s="589">
        <f t="shared" si="1063"/>
        <v>1.3106891825472877E-3</v>
      </c>
      <c r="CM432" s="196">
        <f t="shared" si="1182"/>
        <v>8832.7976555466284</v>
      </c>
      <c r="CN432" s="589">
        <f t="shared" si="1064"/>
        <v>1.2729065238273195E-3</v>
      </c>
      <c r="CO432" s="196">
        <f t="shared" si="1183"/>
        <v>706.63699333495231</v>
      </c>
      <c r="CP432" s="589">
        <f t="shared" si="1065"/>
        <v>1.3326085272956447E-3</v>
      </c>
      <c r="CQ432" s="196">
        <f>'Detailed Budget'!$AC$12</f>
        <v>292876014141.44696</v>
      </c>
      <c r="CR432" s="269">
        <f t="shared" si="1066"/>
        <v>981001317.84439003</v>
      </c>
      <c r="CS432" s="269">
        <f>'Detailed Budget'!$AC$16</f>
        <v>10488008800.000002</v>
      </c>
      <c r="CT432" s="607">
        <f t="shared" si="1152"/>
        <v>35130050.876044348</v>
      </c>
      <c r="CU432" s="269">
        <f>'Detailed Budget'!$AC$24</f>
        <v>30624985696</v>
      </c>
      <c r="CV432" s="269">
        <f t="shared" si="1091"/>
        <v>102579760.29485296</v>
      </c>
      <c r="CW432" s="269"/>
      <c r="CX432" s="269">
        <f t="shared" si="1057"/>
        <v>1118711129.0152874</v>
      </c>
      <c r="CY432" s="196">
        <f>'Detailed Budget'!$AC$97</f>
        <v>74629165494.837845</v>
      </c>
      <c r="CZ432" s="269">
        <f t="shared" si="1153"/>
        <v>0</v>
      </c>
      <c r="DA432" s="269">
        <f>'Detailed Budget'!$AC$100</f>
        <v>14925833098.967569</v>
      </c>
      <c r="DB432" s="269">
        <f t="shared" si="1154"/>
        <v>0</v>
      </c>
      <c r="DC432" s="269">
        <f t="shared" si="1046"/>
        <v>0</v>
      </c>
      <c r="DD432" s="207">
        <v>0</v>
      </c>
      <c r="DE432" s="606">
        <v>0</v>
      </c>
      <c r="DF432" s="269">
        <f>'Detailed Budget'!$AC$147</f>
        <v>5913600671000</v>
      </c>
      <c r="DG432" s="269">
        <f t="shared" si="1086"/>
        <v>0</v>
      </c>
      <c r="DH432" s="269">
        <f>'Detailed Budget'!$AC$153</f>
        <v>226428026880.00003</v>
      </c>
      <c r="DI432" s="269"/>
      <c r="DJ432" s="269">
        <f>'Detailed Budget'!$AC$156</f>
        <v>27713070000</v>
      </c>
      <c r="DK432" s="269"/>
      <c r="DL432" s="269"/>
      <c r="DM432" s="196">
        <f>'Detailed Budget'!$AC$178</f>
        <v>5622683761.6229038</v>
      </c>
      <c r="DN432" s="269">
        <f t="shared" si="1184"/>
        <v>19524465.708139461</v>
      </c>
      <c r="DO432" s="196">
        <f>'Detailed Budget'!$AC$179</f>
        <v>26827890683.128094</v>
      </c>
      <c r="DP432" s="269">
        <f t="shared" si="1185"/>
        <v>93158402.391045019</v>
      </c>
      <c r="DQ432" s="269">
        <f t="shared" si="1008"/>
        <v>112682868.09918448</v>
      </c>
      <c r="DR432" s="269">
        <f>'Detailed Budget'!$AC$181</f>
        <v>50888946855.375237</v>
      </c>
      <c r="DS432" s="269">
        <f t="shared" si="1186"/>
        <v>138767478.22412905</v>
      </c>
      <c r="DT432" s="269">
        <f t="shared" si="1187"/>
        <v>251450346.32331353</v>
      </c>
      <c r="DU432" s="272">
        <f>'Detailed Budget'!$AC$192</f>
        <v>77498869683.252869</v>
      </c>
      <c r="DV432" s="269">
        <f t="shared" si="1155"/>
        <v>0</v>
      </c>
      <c r="DW432" s="140">
        <f>'Detailed Budget'!$AC$194</f>
        <v>2684962805.4134097</v>
      </c>
      <c r="DX432" s="269">
        <f t="shared" si="1156"/>
        <v>0</v>
      </c>
      <c r="DY432" s="607">
        <f t="shared" si="1047"/>
        <v>0</v>
      </c>
      <c r="DZ432" s="196">
        <f>'Detailed Budget'!$AC$198</f>
        <v>18732540018.380611</v>
      </c>
      <c r="EA432" s="269">
        <f t="shared" si="1157"/>
        <v>16742022.091513384</v>
      </c>
      <c r="EB432" s="196">
        <f>'Detailed Budget'!$AC$200</f>
        <v>4683135004.5951529</v>
      </c>
      <c r="EC432" s="269">
        <f t="shared" si="1158"/>
        <v>4185505.522878346</v>
      </c>
      <c r="ED432" s="269">
        <f t="shared" si="1048"/>
        <v>20927527.614391729</v>
      </c>
      <c r="EE432" s="196">
        <f>'Detailed Budget'!$AC$161</f>
        <v>251147290106.36197</v>
      </c>
      <c r="EF432" s="269">
        <f t="shared" si="1159"/>
        <v>298975933.02151638</v>
      </c>
      <c r="EG432" s="196">
        <f>'Detailed Budget'!$AC$163</f>
        <v>15696705631.647623</v>
      </c>
      <c r="EH432" s="269">
        <f t="shared" si="1160"/>
        <v>18685995.813844774</v>
      </c>
      <c r="EI432" s="269">
        <f t="shared" si="1049"/>
        <v>317661928.83536118</v>
      </c>
      <c r="EJ432" s="196">
        <f>'Detailed Budget'!$AC$204</f>
        <v>45012172507.531975</v>
      </c>
      <c r="EK432" s="269">
        <f t="shared" si="1161"/>
        <v>55568922.125957027</v>
      </c>
      <c r="EL432" s="201">
        <f>'Detailed Budget'!$AC$206</f>
        <v>11253043126.882994</v>
      </c>
      <c r="EM432" s="269">
        <f t="shared" si="1162"/>
        <v>13892230.531489257</v>
      </c>
      <c r="EN432" s="269">
        <f t="shared" si="1050"/>
        <v>69461152.65744628</v>
      </c>
      <c r="EO432" s="140">
        <f>'Detailed Budget'!$AC$209</f>
        <v>135789361677.54817</v>
      </c>
      <c r="EP432" s="269">
        <f t="shared" si="1163"/>
        <v>177977647.45576361</v>
      </c>
      <c r="EQ432" s="196">
        <f>'Detailed Budget'!$AC$211</f>
        <v>33947340419.387043</v>
      </c>
      <c r="ER432" s="269">
        <f t="shared" si="1164"/>
        <v>44494411.863940902</v>
      </c>
      <c r="ES432" s="269">
        <f t="shared" si="1051"/>
        <v>222472059.3197045</v>
      </c>
      <c r="ET432" s="196">
        <f>'Detailed Budget'!$AC$214</f>
        <v>22239745544.201103</v>
      </c>
      <c r="EU432" s="269">
        <f t="shared" si="1165"/>
        <v>28309117.191473145</v>
      </c>
      <c r="EV432" s="140">
        <f>'Detailed Budget'!$AC$217</f>
        <v>5559936386.0502758</v>
      </c>
      <c r="EW432" s="269">
        <f t="shared" si="1166"/>
        <v>7077279.2978682863</v>
      </c>
      <c r="EX432" s="269">
        <f t="shared" si="1052"/>
        <v>35386396.48934143</v>
      </c>
      <c r="EY432" s="196">
        <f>'Detailed Budget'!$AC$219</f>
        <v>372777004.58170313</v>
      </c>
      <c r="EZ432" s="269">
        <f t="shared" si="1167"/>
        <v>496765.81508530519</v>
      </c>
      <c r="FA432" s="196">
        <f>'Detailed Budget'!$AC$222</f>
        <v>93194251.145425782</v>
      </c>
      <c r="FB432" s="269">
        <f t="shared" si="1168"/>
        <v>124191.4537713263</v>
      </c>
      <c r="FC432" s="269">
        <f t="shared" si="1053"/>
        <v>620957.26885663148</v>
      </c>
      <c r="FD432" s="269"/>
      <c r="FE432" s="269">
        <f t="shared" si="1054"/>
        <v>327940565.73534888</v>
      </c>
      <c r="FF432" s="140">
        <f>'Detailed Budget'!$AC$165</f>
        <v>14927760000</v>
      </c>
      <c r="FG432" s="1087">
        <f t="shared" si="1087"/>
        <v>447332639.31275719</v>
      </c>
      <c r="FH432" s="269">
        <f t="shared" si="1169"/>
        <v>18657579.820474949</v>
      </c>
      <c r="FJ432" s="140">
        <f>'Detailed Budget'!$AC$235</f>
        <v>3623696172</v>
      </c>
      <c r="FK432" s="269">
        <f t="shared" si="1170"/>
        <v>4681778</v>
      </c>
      <c r="FL432" s="269">
        <f t="shared" si="1088"/>
        <v>4681778</v>
      </c>
      <c r="FO432" s="607"/>
      <c r="FP432" s="607"/>
      <c r="FQ432" s="607"/>
      <c r="FR432" s="269">
        <f>'Detailed Budget'!$AC$257</f>
        <v>13636439388</v>
      </c>
      <c r="FS432" s="269">
        <f t="shared" si="1171"/>
        <v>16489044</v>
      </c>
      <c r="FT432" s="269">
        <f t="shared" si="1089"/>
        <v>16489044</v>
      </c>
      <c r="FU432" s="269"/>
      <c r="FV432" s="269"/>
      <c r="FW432" s="269"/>
      <c r="FX432" s="140">
        <f>'Detailed Budget'!$AC$278</f>
        <v>1114560000</v>
      </c>
      <c r="FY432" s="269">
        <f t="shared" si="1172"/>
        <v>1440000</v>
      </c>
      <c r="FZ432" s="269">
        <f t="shared" si="1090"/>
        <v>1440000</v>
      </c>
      <c r="GB432" s="269">
        <f t="shared" si="1098"/>
        <v>2525292538.6569352</v>
      </c>
      <c r="GC432" s="887">
        <f t="shared" si="1055"/>
        <v>1578307.8366605844</v>
      </c>
      <c r="GD432" s="1078">
        <f t="shared" si="1099"/>
        <v>1.4170211626371547E-3</v>
      </c>
    </row>
    <row r="433" spans="1:186" hidden="1" outlineLevel="1">
      <c r="A433" s="211" t="s">
        <v>1000</v>
      </c>
      <c r="B433" s="212" t="s">
        <v>2271</v>
      </c>
      <c r="C433" s="213" t="s">
        <v>215</v>
      </c>
      <c r="D433" s="214" t="s">
        <v>215</v>
      </c>
      <c r="E433" s="213"/>
      <c r="F433" s="213"/>
      <c r="G433" s="213"/>
      <c r="H433" s="213" t="s">
        <v>215</v>
      </c>
      <c r="I433" s="214" t="s">
        <v>215</v>
      </c>
      <c r="J433" s="214"/>
      <c r="K433" s="213" t="s">
        <v>215</v>
      </c>
      <c r="L433" s="213"/>
      <c r="M433" s="214"/>
      <c r="N433" s="213"/>
      <c r="O433" s="214"/>
      <c r="P433" s="213"/>
      <c r="Q433" s="214"/>
      <c r="R433" s="214" t="s">
        <v>215</v>
      </c>
      <c r="S433" s="214"/>
      <c r="T433" s="214"/>
      <c r="U433" s="215">
        <f t="shared" si="1173"/>
        <v>6</v>
      </c>
      <c r="V433" s="845" t="s">
        <v>219</v>
      </c>
      <c r="W433" s="216">
        <v>193443</v>
      </c>
      <c r="X433" s="217">
        <v>3.03</v>
      </c>
      <c r="Y433" s="218">
        <f t="shared" si="1101"/>
        <v>1.0303</v>
      </c>
      <c r="Z433" s="196">
        <v>19</v>
      </c>
      <c r="AA433" s="218">
        <f t="shared" si="1102"/>
        <v>1.7632354008841205</v>
      </c>
      <c r="AB433" s="196">
        <f t="shared" si="1103"/>
        <v>341085.5456532269</v>
      </c>
      <c r="AC433">
        <v>20.2</v>
      </c>
      <c r="AD433" s="196">
        <f t="shared" si="1104"/>
        <v>68899.280221951834</v>
      </c>
      <c r="AE433" s="196">
        <f t="shared" si="1148"/>
        <v>65454.316210854238</v>
      </c>
      <c r="AF433" s="196">
        <f t="shared" si="1174"/>
        <v>65454.316210854238</v>
      </c>
      <c r="AG433" s="606">
        <f t="shared" si="1058"/>
        <v>3.0263202317575779E-3</v>
      </c>
      <c r="AH433" s="196">
        <f t="shared" si="1188"/>
        <v>17054.277282661347</v>
      </c>
      <c r="AI433" s="248">
        <f t="shared" si="1034"/>
        <v>1.3211690213337632E-3</v>
      </c>
      <c r="AJ433" s="196">
        <f t="shared" si="1038"/>
        <v>85953.557504613185</v>
      </c>
      <c r="AK433" s="196">
        <f t="shared" si="1067"/>
        <v>13643.421826129077</v>
      </c>
      <c r="AL433" s="196">
        <f t="shared" si="1068"/>
        <v>13643.421826129077</v>
      </c>
      <c r="AM433" s="196">
        <f t="shared" si="1039"/>
        <v>27286.843652258154</v>
      </c>
      <c r="AN433" s="627">
        <f t="shared" si="1040"/>
        <v>1.321169021333763E-3</v>
      </c>
      <c r="AO433" s="196">
        <f t="shared" si="1041"/>
        <v>12961.250734822623</v>
      </c>
      <c r="AP433" s="589">
        <f t="shared" si="1059"/>
        <v>1.321169021333763E-3</v>
      </c>
      <c r="AQ433" s="196"/>
      <c r="AR433" s="589"/>
      <c r="AS433">
        <v>1</v>
      </c>
      <c r="AT433" s="589">
        <f t="shared" si="1060"/>
        <v>1.2919896640826874E-3</v>
      </c>
      <c r="AU433" s="196">
        <v>11</v>
      </c>
      <c r="AV433" s="245">
        <f t="shared" si="1042"/>
        <v>1.2498579706851495E-3</v>
      </c>
      <c r="AX433" s="245"/>
      <c r="AY433" s="245"/>
      <c r="AZ433" s="196">
        <v>30</v>
      </c>
      <c r="BA433" s="589">
        <f t="shared" si="1092"/>
        <v>1.0992634934593821E-3</v>
      </c>
      <c r="BI433" s="196">
        <v>0</v>
      </c>
      <c r="BJ433" s="196">
        <f t="shared" si="1175"/>
        <v>194939.33543934498</v>
      </c>
      <c r="BK433" s="246">
        <f t="shared" si="1093"/>
        <v>3.7173755124870794E-3</v>
      </c>
      <c r="BL433" s="196">
        <f t="shared" si="1189"/>
        <v>3898.7867087868999</v>
      </c>
      <c r="BM433" s="246">
        <f t="shared" si="1094"/>
        <v>3.717375087158479E-3</v>
      </c>
      <c r="BN433" s="196">
        <v>0</v>
      </c>
      <c r="BO433" s="196">
        <f t="shared" si="1176"/>
        <v>24917.091167812519</v>
      </c>
      <c r="BP433" s="196">
        <f t="shared" si="1043"/>
        <v>0</v>
      </c>
      <c r="BQ433" s="248">
        <f t="shared" si="1095"/>
        <v>0</v>
      </c>
      <c r="BR433" s="248"/>
      <c r="BS433" s="248"/>
      <c r="BT433" s="276">
        <v>1</v>
      </c>
      <c r="BU433" s="196">
        <f t="shared" si="1190"/>
        <v>55560.379570981961</v>
      </c>
      <c r="BV433" s="264">
        <f t="shared" si="1096"/>
        <v>3.8537731671141637E-3</v>
      </c>
      <c r="BW433" s="196">
        <f t="shared" si="1191"/>
        <v>237674.95705364508</v>
      </c>
      <c r="BX433" s="247">
        <f t="shared" si="1097"/>
        <v>3.8537732018291003E-3</v>
      </c>
      <c r="BY433" s="196">
        <f t="shared" si="1100"/>
        <v>293235.33662462706</v>
      </c>
      <c r="BZ433" s="620">
        <v>0</v>
      </c>
      <c r="CA433" s="196">
        <f t="shared" si="1177"/>
        <v>104372.17696988744</v>
      </c>
      <c r="CB433" s="196">
        <f t="shared" si="1178"/>
        <v>208744.35393977488</v>
      </c>
      <c r="CC433" s="196">
        <f t="shared" si="1056"/>
        <v>313116.53090966231</v>
      </c>
      <c r="CD433" s="247">
        <f t="shared" si="1044"/>
        <v>1.321169021333763E-3</v>
      </c>
      <c r="CE433" s="196">
        <f t="shared" si="1179"/>
        <v>22969.311316081992</v>
      </c>
      <c r="CF433" s="247">
        <f t="shared" si="1045"/>
        <v>9.9188629593860217E-4</v>
      </c>
      <c r="CG433" s="196">
        <f t="shared" si="1150"/>
        <v>51845.002939290491</v>
      </c>
      <c r="CH433" s="589">
        <f t="shared" si="1061"/>
        <v>1.321169021333763E-3</v>
      </c>
      <c r="CI433" s="196">
        <f t="shared" si="1180"/>
        <v>83339.501904675271</v>
      </c>
      <c r="CJ433" s="248">
        <f t="shared" si="1062"/>
        <v>1.3701011997692362E-3</v>
      </c>
      <c r="CK433" s="196">
        <f t="shared" si="1181"/>
        <v>101189.69710116454</v>
      </c>
      <c r="CL433" s="589">
        <f t="shared" si="1063"/>
        <v>1.4546227096619371E-3</v>
      </c>
      <c r="CM433" s="196">
        <f t="shared" si="1182"/>
        <v>9802.7726410592313</v>
      </c>
      <c r="CN433" s="589">
        <f t="shared" si="1064"/>
        <v>1.4126909426669121E-3</v>
      </c>
      <c r="CO433" s="196">
        <f t="shared" si="1183"/>
        <v>784.23643963748646</v>
      </c>
      <c r="CP433" s="589">
        <f t="shared" si="1065"/>
        <v>1.4789491305071162E-3</v>
      </c>
      <c r="CQ433" s="196">
        <f>'Detailed Budget'!$AC$12</f>
        <v>292876014141.44696</v>
      </c>
      <c r="CR433" s="269">
        <f t="shared" si="1066"/>
        <v>1088730123.1642346</v>
      </c>
      <c r="CS433" s="269">
        <f>'Detailed Budget'!$AC$16</f>
        <v>10488008800.000002</v>
      </c>
      <c r="CT433" s="607">
        <f t="shared" si="1152"/>
        <v>38987862.627018899</v>
      </c>
      <c r="CU433" s="269">
        <f>'Detailed Budget'!$AC$24</f>
        <v>30624985696</v>
      </c>
      <c r="CV433" s="269">
        <f t="shared" si="1091"/>
        <v>113844571.89657748</v>
      </c>
      <c r="CW433" s="269"/>
      <c r="CX433" s="269">
        <f t="shared" si="1057"/>
        <v>1241562557.6878309</v>
      </c>
      <c r="CY433" s="196">
        <f>'Detailed Budget'!$AC$97</f>
        <v>74629165494.837845</v>
      </c>
      <c r="CZ433" s="269">
        <f t="shared" si="1153"/>
        <v>0</v>
      </c>
      <c r="DA433" s="269">
        <f>'Detailed Budget'!$AC$100</f>
        <v>14925833098.967569</v>
      </c>
      <c r="DB433" s="269">
        <f t="shared" si="1154"/>
        <v>0</v>
      </c>
      <c r="DC433" s="269">
        <f t="shared" si="1046"/>
        <v>0</v>
      </c>
      <c r="DD433" s="207">
        <v>0</v>
      </c>
      <c r="DE433" s="606">
        <v>0</v>
      </c>
      <c r="DF433" s="269">
        <f>'Detailed Budget'!$AC$147</f>
        <v>5913600671000</v>
      </c>
      <c r="DG433" s="269">
        <f t="shared" si="1086"/>
        <v>0</v>
      </c>
      <c r="DH433" s="269">
        <f>'Detailed Budget'!$AC$153</f>
        <v>226428026880.00003</v>
      </c>
      <c r="DI433" s="269"/>
      <c r="DJ433" s="269">
        <f>'Detailed Budget'!$AC$156</f>
        <v>27713070000</v>
      </c>
      <c r="DK433" s="269"/>
      <c r="DL433" s="269"/>
      <c r="DM433" s="196">
        <f>'Detailed Budget'!$AC$178</f>
        <v>5622683761.6229038</v>
      </c>
      <c r="DN433" s="269">
        <f t="shared" si="1184"/>
        <v>21668547.807710879</v>
      </c>
      <c r="DO433" s="196">
        <f>'Detailed Budget'!$AC$179</f>
        <v>26827890683.128094</v>
      </c>
      <c r="DP433" s="269">
        <f t="shared" si="1185"/>
        <v>103388606.17623964</v>
      </c>
      <c r="DQ433" s="269">
        <f t="shared" ref="DQ433:DQ498" si="1192">DN433+DP433</f>
        <v>125057153.98395053</v>
      </c>
      <c r="DR433" s="269">
        <f>'Detailed Budget'!$AC$181</f>
        <v>50888946855.375237</v>
      </c>
      <c r="DS433" s="269">
        <f t="shared" si="1186"/>
        <v>154006249.44125825</v>
      </c>
      <c r="DT433" s="269">
        <f t="shared" si="1187"/>
        <v>279063403.42520881</v>
      </c>
      <c r="DU433" s="272">
        <f>'Detailed Budget'!$AC$192</f>
        <v>77498869683.252869</v>
      </c>
      <c r="DV433" s="269">
        <f t="shared" si="1155"/>
        <v>0</v>
      </c>
      <c r="DW433" s="140">
        <f>'Detailed Budget'!$AC$194</f>
        <v>2684962805.4134097</v>
      </c>
      <c r="DX433" s="269">
        <f t="shared" si="1156"/>
        <v>0</v>
      </c>
      <c r="DY433" s="607">
        <f t="shared" si="1047"/>
        <v>0</v>
      </c>
      <c r="DZ433" s="196">
        <f>'Detailed Budget'!$AC$198</f>
        <v>18732540018.380611</v>
      </c>
      <c r="EA433" s="269">
        <f t="shared" si="1157"/>
        <v>18580549.732353181</v>
      </c>
      <c r="EB433" s="196">
        <f>'Detailed Budget'!$AC$200</f>
        <v>4683135004.5951529</v>
      </c>
      <c r="EC433" s="269">
        <f t="shared" si="1158"/>
        <v>4645137.4330882952</v>
      </c>
      <c r="ED433" s="269">
        <f t="shared" si="1048"/>
        <v>23225687.165441476</v>
      </c>
      <c r="EE433" s="196">
        <f>'Detailed Budget'!$AC$161</f>
        <v>251147290106.36197</v>
      </c>
      <c r="EF433" s="269">
        <f t="shared" si="1159"/>
        <v>331808019.4804489</v>
      </c>
      <c r="EG433" s="196">
        <f>'Detailed Budget'!$AC$163</f>
        <v>15696705631.647623</v>
      </c>
      <c r="EH433" s="269">
        <f t="shared" si="1160"/>
        <v>20738001.217528056</v>
      </c>
      <c r="EI433" s="269">
        <f t="shared" si="1049"/>
        <v>352546020.69797695</v>
      </c>
      <c r="EJ433" s="196">
        <f>'Detailed Budget'!$AC$204</f>
        <v>45012172507.531975</v>
      </c>
      <c r="EK433" s="269">
        <f t="shared" si="1161"/>
        <v>61671231.556789383</v>
      </c>
      <c r="EL433" s="201">
        <f>'Detailed Budget'!$AC$206</f>
        <v>11253043126.882994</v>
      </c>
      <c r="EM433" s="269">
        <f t="shared" si="1162"/>
        <v>15417807.889197346</v>
      </c>
      <c r="EN433" s="269">
        <f t="shared" si="1050"/>
        <v>77089039.445986733</v>
      </c>
      <c r="EO433" s="140">
        <f>'Detailed Budget'!$AC$209</f>
        <v>135789361677.54817</v>
      </c>
      <c r="EP433" s="269">
        <f t="shared" si="1163"/>
        <v>197522289.22665992</v>
      </c>
      <c r="EQ433" s="196">
        <f>'Detailed Budget'!$AC$211</f>
        <v>33947340419.387043</v>
      </c>
      <c r="ER433" s="269">
        <f t="shared" si="1164"/>
        <v>49380572.306664981</v>
      </c>
      <c r="ES433" s="269">
        <f t="shared" si="1051"/>
        <v>246902861.5333249</v>
      </c>
      <c r="ET433" s="196">
        <f>'Detailed Budget'!$AC$214</f>
        <v>22239745544.201103</v>
      </c>
      <c r="EU433" s="269">
        <f t="shared" si="1165"/>
        <v>31417887.097509712</v>
      </c>
      <c r="EV433" s="140">
        <f>'Detailed Budget'!$AC$217</f>
        <v>5559936386.0502758</v>
      </c>
      <c r="EW433" s="269">
        <f t="shared" si="1166"/>
        <v>7854471.774377428</v>
      </c>
      <c r="EX433" s="269">
        <f t="shared" si="1052"/>
        <v>39272358.87188714</v>
      </c>
      <c r="EY433" s="196">
        <f>'Detailed Budget'!$AC$219</f>
        <v>372777004.58170313</v>
      </c>
      <c r="EZ433" s="269">
        <f t="shared" si="1167"/>
        <v>551318.2267991571</v>
      </c>
      <c r="FA433" s="196">
        <f>'Detailed Budget'!$AC$222</f>
        <v>93194251.145425782</v>
      </c>
      <c r="FB433" s="269">
        <f t="shared" si="1168"/>
        <v>137829.55669978927</v>
      </c>
      <c r="FC433" s="269">
        <f t="shared" si="1053"/>
        <v>689147.78349894634</v>
      </c>
      <c r="FD433" s="269"/>
      <c r="FE433" s="269">
        <f t="shared" si="1054"/>
        <v>363953407.63469774</v>
      </c>
      <c r="FF433" s="140">
        <f>'Detailed Budget'!$AC$165</f>
        <v>14927760000</v>
      </c>
      <c r="FG433" s="1087">
        <f t="shared" si="1087"/>
        <v>496456539.49224722</v>
      </c>
      <c r="FH433" s="269">
        <f t="shared" si="1169"/>
        <v>18657579.820474949</v>
      </c>
      <c r="FJ433" s="140">
        <f>'Detailed Budget'!$AC$235</f>
        <v>3623696172</v>
      </c>
      <c r="FK433" s="269">
        <f t="shared" si="1170"/>
        <v>4681778</v>
      </c>
      <c r="FL433" s="269">
        <f t="shared" si="1088"/>
        <v>4681778</v>
      </c>
      <c r="FO433" s="607"/>
      <c r="FP433" s="607"/>
      <c r="FQ433" s="607"/>
      <c r="FR433" s="269">
        <f>'Detailed Budget'!$AC$257</f>
        <v>13636439388</v>
      </c>
      <c r="FS433" s="269">
        <f t="shared" si="1171"/>
        <v>14990039.999999998</v>
      </c>
      <c r="FT433" s="269">
        <f t="shared" si="1089"/>
        <v>14990039.999999998</v>
      </c>
      <c r="FU433" s="269"/>
      <c r="FV433" s="269"/>
      <c r="FW433" s="269"/>
      <c r="FX433" s="140">
        <f>'Detailed Budget'!$AC$278</f>
        <v>1114560000</v>
      </c>
      <c r="FY433" s="269">
        <f t="shared" si="1172"/>
        <v>1440000</v>
      </c>
      <c r="FZ433" s="269">
        <f t="shared" si="1090"/>
        <v>1440000</v>
      </c>
      <c r="GB433" s="269">
        <f t="shared" si="1098"/>
        <v>2796577013.9238782</v>
      </c>
      <c r="GC433" s="887">
        <f t="shared" si="1055"/>
        <v>1747860.6337024239</v>
      </c>
      <c r="GD433" s="1078">
        <f t="shared" si="1099"/>
        <v>1.5692474242142089E-3</v>
      </c>
    </row>
    <row r="434" spans="1:186" hidden="1" outlineLevel="1">
      <c r="A434" s="211" t="s">
        <v>1001</v>
      </c>
      <c r="B434" s="212" t="s">
        <v>1002</v>
      </c>
      <c r="C434" s="213" t="s">
        <v>215</v>
      </c>
      <c r="D434" s="214" t="s">
        <v>215</v>
      </c>
      <c r="E434" s="213"/>
      <c r="F434" s="213"/>
      <c r="G434" s="213"/>
      <c r="H434" s="213" t="s">
        <v>215</v>
      </c>
      <c r="I434" s="214" t="s">
        <v>215</v>
      </c>
      <c r="J434" s="214"/>
      <c r="K434" s="213" t="s">
        <v>215</v>
      </c>
      <c r="L434" s="213"/>
      <c r="M434" s="214"/>
      <c r="N434" s="213"/>
      <c r="O434" s="214"/>
      <c r="P434" s="213"/>
      <c r="Q434" s="214"/>
      <c r="R434" s="214" t="s">
        <v>215</v>
      </c>
      <c r="S434" s="214"/>
      <c r="T434" s="214"/>
      <c r="U434" s="215">
        <f t="shared" si="1173"/>
        <v>6</v>
      </c>
      <c r="V434" s="845" t="s">
        <v>219</v>
      </c>
      <c r="W434" s="216">
        <v>249051</v>
      </c>
      <c r="X434" s="217">
        <v>3.03</v>
      </c>
      <c r="Y434" s="218">
        <f t="shared" si="1101"/>
        <v>1.0303</v>
      </c>
      <c r="Z434" s="196">
        <v>19</v>
      </c>
      <c r="AA434" s="218">
        <f t="shared" si="1102"/>
        <v>1.7632354008841205</v>
      </c>
      <c r="AB434" s="196">
        <f t="shared" si="1103"/>
        <v>439135.53982559108</v>
      </c>
      <c r="AC434">
        <v>20.2</v>
      </c>
      <c r="AD434" s="196">
        <f t="shared" si="1104"/>
        <v>88705.37904476939</v>
      </c>
      <c r="AE434" s="196">
        <f t="shared" si="1148"/>
        <v>84270.110092530915</v>
      </c>
      <c r="AF434" s="196">
        <f t="shared" si="1174"/>
        <v>84270.110092530915</v>
      </c>
      <c r="AG434" s="606">
        <f t="shared" si="1058"/>
        <v>3.8962799379634126E-3</v>
      </c>
      <c r="AH434" s="196">
        <f t="shared" si="1188"/>
        <v>21956.776991279556</v>
      </c>
      <c r="AI434" s="248">
        <f t="shared" si="1034"/>
        <v>1.7009582457478173E-3</v>
      </c>
      <c r="AJ434" s="196">
        <f t="shared" si="1038"/>
        <v>110662.15603604895</v>
      </c>
      <c r="AK434" s="196">
        <f t="shared" si="1067"/>
        <v>17565.421593023642</v>
      </c>
      <c r="AL434" s="196">
        <f t="shared" si="1068"/>
        <v>17565.421593023642</v>
      </c>
      <c r="AM434" s="196">
        <f t="shared" si="1039"/>
        <v>35130.843186047285</v>
      </c>
      <c r="AN434" s="627">
        <f t="shared" si="1040"/>
        <v>1.7009582457478171E-3</v>
      </c>
      <c r="AO434" s="196">
        <f t="shared" si="1041"/>
        <v>16687.15051337246</v>
      </c>
      <c r="AP434" s="589">
        <f t="shared" si="1059"/>
        <v>1.7009582457478171E-3</v>
      </c>
      <c r="AQ434" s="196"/>
      <c r="AR434" s="589"/>
      <c r="AS434">
        <v>1</v>
      </c>
      <c r="AT434" s="589">
        <f t="shared" si="1060"/>
        <v>1.2919896640826874E-3</v>
      </c>
      <c r="AU434" s="196">
        <v>11</v>
      </c>
      <c r="AV434" s="245">
        <f t="shared" si="1042"/>
        <v>1.2498579706851495E-3</v>
      </c>
      <c r="AX434" s="245"/>
      <c r="AY434" s="245"/>
      <c r="AZ434" s="196">
        <v>42</v>
      </c>
      <c r="BA434" s="589">
        <f t="shared" si="1092"/>
        <v>1.5389688908431351E-3</v>
      </c>
      <c r="BI434" s="196">
        <v>0</v>
      </c>
      <c r="BJ434" s="196">
        <f t="shared" si="1175"/>
        <v>250977.47879480934</v>
      </c>
      <c r="BK434" s="246">
        <f t="shared" si="1093"/>
        <v>4.7859890963251163E-3</v>
      </c>
      <c r="BL434" s="196">
        <f t="shared" si="1189"/>
        <v>5019.549575896187</v>
      </c>
      <c r="BM434" s="246">
        <f t="shared" si="1094"/>
        <v>4.7859885487296326E-3</v>
      </c>
      <c r="BN434" s="196">
        <v>0</v>
      </c>
      <c r="BO434" s="196">
        <f t="shared" si="1176"/>
        <v>32079.870930635254</v>
      </c>
      <c r="BP434" s="196">
        <f t="shared" si="1043"/>
        <v>0</v>
      </c>
      <c r="BQ434" s="248">
        <f t="shared" si="1095"/>
        <v>0</v>
      </c>
      <c r="BR434" s="248"/>
      <c r="BS434" s="248"/>
      <c r="BT434" s="276">
        <v>1</v>
      </c>
      <c r="BU434" s="196">
        <f t="shared" si="1190"/>
        <v>71532.017661702033</v>
      </c>
      <c r="BV434" s="264">
        <f t="shared" si="1096"/>
        <v>4.961596237873428E-3</v>
      </c>
      <c r="BW434" s="196">
        <f t="shared" si="1191"/>
        <v>305998.07555283653</v>
      </c>
      <c r="BX434" s="247">
        <f t="shared" si="1097"/>
        <v>4.9615962825676771E-3</v>
      </c>
      <c r="BY434" s="196">
        <f t="shared" si="1100"/>
        <v>377530.09321453853</v>
      </c>
      <c r="BZ434" s="620">
        <v>0</v>
      </c>
      <c r="CA434" s="196">
        <f t="shared" si="1177"/>
        <v>134375.47518663085</v>
      </c>
      <c r="CB434" s="196">
        <f t="shared" si="1178"/>
        <v>268750.9503732617</v>
      </c>
      <c r="CC434" s="196">
        <f t="shared" si="1056"/>
        <v>403126.42555989255</v>
      </c>
      <c r="CD434" s="247">
        <f t="shared" si="1044"/>
        <v>1.7009582457478169E-3</v>
      </c>
      <c r="CE434" s="196">
        <f t="shared" si="1179"/>
        <v>29572.173470125756</v>
      </c>
      <c r="CF434" s="247">
        <f t="shared" si="1045"/>
        <v>1.2770184182927522E-3</v>
      </c>
      <c r="CG434" s="196">
        <f t="shared" si="1150"/>
        <v>66748.602053489842</v>
      </c>
      <c r="CH434" s="589">
        <f t="shared" si="1061"/>
        <v>1.7009582457478171E-3</v>
      </c>
      <c r="CI434" s="196">
        <f t="shared" si="1180"/>
        <v>107296.65218623201</v>
      </c>
      <c r="CJ434" s="248">
        <f t="shared" si="1062"/>
        <v>1.7639566895867413E-3</v>
      </c>
      <c r="CK434" s="196">
        <f t="shared" si="1181"/>
        <v>130278.14525592618</v>
      </c>
      <c r="CL434" s="589">
        <f t="shared" si="1063"/>
        <v>1.8727751351251536E-3</v>
      </c>
      <c r="CM434" s="196">
        <f t="shared" si="1182"/>
        <v>12620.722016451578</v>
      </c>
      <c r="CN434" s="589">
        <f t="shared" si="1064"/>
        <v>1.8187894726722452E-3</v>
      </c>
      <c r="CO434" s="196">
        <f t="shared" si="1183"/>
        <v>1009.67659480134</v>
      </c>
      <c r="CP434" s="589">
        <f t="shared" si="1065"/>
        <v>1.9040945389697623E-3</v>
      </c>
      <c r="CQ434" s="196">
        <f>'Detailed Budget'!$AC$12</f>
        <v>292876014141.44696</v>
      </c>
      <c r="CR434" s="269">
        <f t="shared" si="1066"/>
        <v>1401701410.2561257</v>
      </c>
      <c r="CS434" s="269">
        <f>'Detailed Budget'!$AC$16</f>
        <v>10488008800.000002</v>
      </c>
      <c r="CT434" s="607">
        <f t="shared" si="1152"/>
        <v>50195490.015775628</v>
      </c>
      <c r="CU434" s="269">
        <f>'Detailed Budget'!$AC$24</f>
        <v>30624985696</v>
      </c>
      <c r="CV434" s="269">
        <f t="shared" si="1091"/>
        <v>146570847.61616865</v>
      </c>
      <c r="CW434" s="269"/>
      <c r="CX434" s="269">
        <f t="shared" si="1057"/>
        <v>1598467747.8880701</v>
      </c>
      <c r="CY434" s="196">
        <f>'Detailed Budget'!$AC$97</f>
        <v>74629165494.837845</v>
      </c>
      <c r="CZ434" s="269">
        <f t="shared" si="1153"/>
        <v>0</v>
      </c>
      <c r="DA434" s="269">
        <f>'Detailed Budget'!$AC$100</f>
        <v>14925833098.967569</v>
      </c>
      <c r="DB434" s="269">
        <f t="shared" si="1154"/>
        <v>0</v>
      </c>
      <c r="DC434" s="269">
        <f t="shared" si="1046"/>
        <v>0</v>
      </c>
      <c r="DD434" s="207">
        <v>0</v>
      </c>
      <c r="DE434" s="606">
        <v>0</v>
      </c>
      <c r="DF434" s="269">
        <f>'Detailed Budget'!$AC$147</f>
        <v>5913600671000</v>
      </c>
      <c r="DG434" s="269">
        <f t="shared" si="1086"/>
        <v>0</v>
      </c>
      <c r="DH434" s="269">
        <f>'Detailed Budget'!$AC$153</f>
        <v>226428026880.00003</v>
      </c>
      <c r="DI434" s="269"/>
      <c r="DJ434" s="269">
        <f>'Detailed Budget'!$AC$156</f>
        <v>27713070000</v>
      </c>
      <c r="DK434" s="269"/>
      <c r="DL434" s="269"/>
      <c r="DM434" s="196">
        <f>'Detailed Budget'!$AC$178</f>
        <v>5622683761.6229038</v>
      </c>
      <c r="DN434" s="269">
        <f t="shared" si="1184"/>
        <v>27897486.598420214</v>
      </c>
      <c r="DO434" s="196">
        <f>'Detailed Budget'!$AC$179</f>
        <v>26827890683.128094</v>
      </c>
      <c r="DP434" s="269">
        <f t="shared" si="1185"/>
        <v>133109162.68254037</v>
      </c>
      <c r="DQ434" s="269">
        <f t="shared" si="1192"/>
        <v>161006649.28096059</v>
      </c>
      <c r="DR434" s="269">
        <f>'Detailed Budget'!$AC$181</f>
        <v>50888946855.375237</v>
      </c>
      <c r="DS434" s="269">
        <f t="shared" si="1186"/>
        <v>198277582.69668484</v>
      </c>
      <c r="DT434" s="269">
        <f t="shared" si="1187"/>
        <v>359284231.9776454</v>
      </c>
      <c r="DU434" s="272">
        <f>'Detailed Budget'!$AC$192</f>
        <v>77498869683.252869</v>
      </c>
      <c r="DV434" s="269">
        <f t="shared" si="1155"/>
        <v>0</v>
      </c>
      <c r="DW434" s="140">
        <f>'Detailed Budget'!$AC$194</f>
        <v>2684962805.4134097</v>
      </c>
      <c r="DX434" s="269">
        <f t="shared" si="1156"/>
        <v>0</v>
      </c>
      <c r="DY434" s="607">
        <f t="shared" si="1047"/>
        <v>0</v>
      </c>
      <c r="DZ434" s="196">
        <f>'Detailed Budget'!$AC$198</f>
        <v>18732540018.380611</v>
      </c>
      <c r="EA434" s="269">
        <f t="shared" si="1157"/>
        <v>23921798.62487809</v>
      </c>
      <c r="EB434" s="196">
        <f>'Detailed Budget'!$AC$200</f>
        <v>4683135004.5951529</v>
      </c>
      <c r="EC434" s="269">
        <f t="shared" si="1158"/>
        <v>5980449.6562195225</v>
      </c>
      <c r="ED434" s="269">
        <f t="shared" si="1048"/>
        <v>29902248.281097613</v>
      </c>
      <c r="EE434" s="196">
        <f>'Detailed Budget'!$AC$161</f>
        <v>251147290106.36197</v>
      </c>
      <c r="EF434" s="269">
        <f t="shared" si="1159"/>
        <v>427191054.00363553</v>
      </c>
      <c r="EG434" s="196">
        <f>'Detailed Budget'!$AC$163</f>
        <v>15696705631.647623</v>
      </c>
      <c r="EH434" s="269">
        <f t="shared" si="1160"/>
        <v>26699440.87522722</v>
      </c>
      <c r="EI434" s="269">
        <f t="shared" si="1049"/>
        <v>453890494.87886274</v>
      </c>
      <c r="EJ434" s="196">
        <f>'Detailed Budget'!$AC$204</f>
        <v>45012172507.531975</v>
      </c>
      <c r="EK434" s="269">
        <f t="shared" si="1161"/>
        <v>79399522.807493433</v>
      </c>
      <c r="EL434" s="201">
        <f>'Detailed Budget'!$AC$206</f>
        <v>11253043126.882994</v>
      </c>
      <c r="EM434" s="269">
        <f t="shared" si="1162"/>
        <v>19849880.701873358</v>
      </c>
      <c r="EN434" s="269">
        <f t="shared" si="1050"/>
        <v>99249403.509366795</v>
      </c>
      <c r="EO434" s="140">
        <f>'Detailed Budget'!$AC$209</f>
        <v>135789361677.54817</v>
      </c>
      <c r="EP434" s="269">
        <f t="shared" si="1163"/>
        <v>254302940.16422862</v>
      </c>
      <c r="EQ434" s="196">
        <f>'Detailed Budget'!$AC$211</f>
        <v>33947340419.387043</v>
      </c>
      <c r="ER434" s="269">
        <f t="shared" si="1164"/>
        <v>63575735.041057155</v>
      </c>
      <c r="ES434" s="269">
        <f t="shared" si="1051"/>
        <v>317878675.20528579</v>
      </c>
      <c r="ET434" s="196">
        <f>'Detailed Budget'!$AC$214</f>
        <v>22239745544.201103</v>
      </c>
      <c r="EU434" s="269">
        <f t="shared" si="1165"/>
        <v>40449415.070702441</v>
      </c>
      <c r="EV434" s="140">
        <f>'Detailed Budget'!$AC$217</f>
        <v>5559936386.0502758</v>
      </c>
      <c r="EW434" s="269">
        <f t="shared" si="1166"/>
        <v>10112353.76767561</v>
      </c>
      <c r="EX434" s="269">
        <f t="shared" si="1052"/>
        <v>50561768.838378049</v>
      </c>
      <c r="EY434" s="196">
        <f>'Detailed Budget'!$AC$219</f>
        <v>372777004.58170313</v>
      </c>
      <c r="EZ434" s="269">
        <f t="shared" si="1167"/>
        <v>709802.65867752698</v>
      </c>
      <c r="FA434" s="196">
        <f>'Detailed Budget'!$AC$222</f>
        <v>93194251.145425782</v>
      </c>
      <c r="FB434" s="269">
        <f t="shared" si="1168"/>
        <v>177450.66466938175</v>
      </c>
      <c r="FC434" s="269">
        <f t="shared" si="1053"/>
        <v>887253.32334690867</v>
      </c>
      <c r="FD434" s="269"/>
      <c r="FE434" s="269">
        <f t="shared" si="1054"/>
        <v>468577100.87637758</v>
      </c>
      <c r="FF434" s="140">
        <f>'Detailed Budget'!$AC$165</f>
        <v>14927760000</v>
      </c>
      <c r="FG434" s="1087">
        <f t="shared" si="1087"/>
        <v>639170182.51931405</v>
      </c>
      <c r="FH434" s="269">
        <f t="shared" si="1169"/>
        <v>18657579.820474949</v>
      </c>
      <c r="FJ434" s="140">
        <f>'Detailed Budget'!$AC$235</f>
        <v>3623696172</v>
      </c>
      <c r="FK434" s="269">
        <f t="shared" si="1170"/>
        <v>4681778</v>
      </c>
      <c r="FL434" s="269">
        <f t="shared" si="1088"/>
        <v>4681778</v>
      </c>
      <c r="FO434" s="607"/>
      <c r="FP434" s="607"/>
      <c r="FQ434" s="607"/>
      <c r="FR434" s="269">
        <f>'Detailed Budget'!$AC$257</f>
        <v>13636439388</v>
      </c>
      <c r="FS434" s="269">
        <f t="shared" si="1171"/>
        <v>20986056</v>
      </c>
      <c r="FT434" s="269">
        <f t="shared" si="1089"/>
        <v>20986056</v>
      </c>
      <c r="FU434" s="269"/>
      <c r="FV434" s="269"/>
      <c r="FW434" s="269"/>
      <c r="FX434" s="140">
        <f>'Detailed Budget'!$AC$278</f>
        <v>1114560000</v>
      </c>
      <c r="FY434" s="269">
        <f t="shared" si="1172"/>
        <v>1440000</v>
      </c>
      <c r="FZ434" s="269">
        <f t="shared" si="1090"/>
        <v>1440000</v>
      </c>
      <c r="GB434" s="269">
        <f t="shared" si="1098"/>
        <v>3595057420.2418427</v>
      </c>
      <c r="GC434" s="887">
        <f t="shared" si="1055"/>
        <v>2246910.8876511515</v>
      </c>
      <c r="GD434" s="1078">
        <f t="shared" si="1099"/>
        <v>2.0172999236309432E-3</v>
      </c>
    </row>
    <row r="435" spans="1:186" hidden="1" outlineLevel="1">
      <c r="A435" s="211" t="s">
        <v>1003</v>
      </c>
      <c r="B435" s="212" t="s">
        <v>1004</v>
      </c>
      <c r="C435" s="213" t="s">
        <v>215</v>
      </c>
      <c r="D435" s="214" t="s">
        <v>215</v>
      </c>
      <c r="E435" s="213"/>
      <c r="F435" s="213"/>
      <c r="G435" s="213"/>
      <c r="H435" s="213" t="s">
        <v>215</v>
      </c>
      <c r="I435" s="214" t="s">
        <v>215</v>
      </c>
      <c r="J435" s="214"/>
      <c r="K435" s="213" t="s">
        <v>215</v>
      </c>
      <c r="L435" s="213"/>
      <c r="M435" s="214"/>
      <c r="N435" s="213"/>
      <c r="O435" s="214"/>
      <c r="P435" s="213"/>
      <c r="Q435" s="214"/>
      <c r="R435" s="214" t="s">
        <v>215</v>
      </c>
      <c r="S435" s="214"/>
      <c r="T435" s="214"/>
      <c r="U435" s="215">
        <f t="shared" si="1173"/>
        <v>6</v>
      </c>
      <c r="V435" s="845" t="s">
        <v>219</v>
      </c>
      <c r="W435" s="216">
        <v>182118</v>
      </c>
      <c r="X435" s="217">
        <v>3.03</v>
      </c>
      <c r="Y435" s="218">
        <f t="shared" si="1101"/>
        <v>1.0303</v>
      </c>
      <c r="Z435" s="196">
        <v>19</v>
      </c>
      <c r="AA435" s="218">
        <f t="shared" si="1102"/>
        <v>1.7632354008841205</v>
      </c>
      <c r="AB435" s="196">
        <f t="shared" si="1103"/>
        <v>321116.90473821427</v>
      </c>
      <c r="AC435">
        <v>20.2</v>
      </c>
      <c r="AD435" s="196">
        <f t="shared" si="1104"/>
        <v>64865.614757119278</v>
      </c>
      <c r="AE435" s="196">
        <f t="shared" si="1148"/>
        <v>61622.334019263311</v>
      </c>
      <c r="AF435" s="196">
        <f t="shared" si="1174"/>
        <v>61622.334019263311</v>
      </c>
      <c r="AG435" s="606">
        <f t="shared" si="1058"/>
        <v>2.8491461979354466E-3</v>
      </c>
      <c r="AH435" s="196">
        <f t="shared" si="1188"/>
        <v>16055.845236910714</v>
      </c>
      <c r="AI435" s="248">
        <f t="shared" ref="AI435:AI495" si="1193">AH435/12908475</f>
        <v>1.2438220035217726E-3</v>
      </c>
      <c r="AJ435" s="196">
        <f t="shared" si="1038"/>
        <v>80921.459994029996</v>
      </c>
      <c r="AK435" s="196">
        <f t="shared" si="1067"/>
        <v>12844.676189528571</v>
      </c>
      <c r="AL435" s="196">
        <f t="shared" si="1068"/>
        <v>12844.676189528571</v>
      </c>
      <c r="AM435" s="196">
        <f t="shared" si="1039"/>
        <v>25689.352379057142</v>
      </c>
      <c r="AN435" s="627">
        <f t="shared" si="1040"/>
        <v>1.2438220035217726E-3</v>
      </c>
      <c r="AO435" s="196">
        <f t="shared" si="1041"/>
        <v>12202.442380052142</v>
      </c>
      <c r="AP435" s="589">
        <f t="shared" si="1059"/>
        <v>1.2438220035217726E-3</v>
      </c>
      <c r="AQ435" s="196"/>
      <c r="AR435" s="589"/>
      <c r="AS435">
        <v>1</v>
      </c>
      <c r="AT435" s="589">
        <f t="shared" si="1060"/>
        <v>1.2919896640826874E-3</v>
      </c>
      <c r="AU435" s="196">
        <v>11</v>
      </c>
      <c r="AV435" s="245">
        <f t="shared" si="1042"/>
        <v>1.2498579706851495E-3</v>
      </c>
      <c r="AX435" s="245"/>
      <c r="AY435" s="245"/>
      <c r="AZ435" s="196">
        <v>41</v>
      </c>
      <c r="BA435" s="589">
        <f t="shared" si="1092"/>
        <v>1.5023267743944891E-3</v>
      </c>
      <c r="BI435" s="196">
        <v>0</v>
      </c>
      <c r="BJ435" s="196">
        <f t="shared" si="1175"/>
        <v>183526.73341264678</v>
      </c>
      <c r="BK435" s="246">
        <f t="shared" si="1093"/>
        <v>3.4997440774963266E-3</v>
      </c>
      <c r="BL435" s="196">
        <f t="shared" si="1189"/>
        <v>3670.5346682529357</v>
      </c>
      <c r="BM435" s="246">
        <f t="shared" si="1094"/>
        <v>3.4997436770683246E-3</v>
      </c>
      <c r="BN435" s="196">
        <v>0</v>
      </c>
      <c r="BO435" s="196">
        <f t="shared" si="1176"/>
        <v>23458.335578437476</v>
      </c>
      <c r="BP435" s="196">
        <f t="shared" si="1043"/>
        <v>0</v>
      </c>
      <c r="BQ435" s="248">
        <f t="shared" si="1095"/>
        <v>0</v>
      </c>
      <c r="BR435" s="248"/>
      <c r="BS435" s="248"/>
      <c r="BT435" s="276">
        <v>1</v>
      </c>
      <c r="BU435" s="196">
        <f t="shared" si="1190"/>
        <v>52307.631740140991</v>
      </c>
      <c r="BV435" s="264">
        <f t="shared" si="1096"/>
        <v>3.6281564163526069E-3</v>
      </c>
      <c r="BW435" s="196">
        <f t="shared" si="1191"/>
        <v>223760.42466615868</v>
      </c>
      <c r="BX435" s="247">
        <f t="shared" si="1097"/>
        <v>3.6281564490351788E-3</v>
      </c>
      <c r="BY435" s="196">
        <f t="shared" si="1100"/>
        <v>276068.0564062997</v>
      </c>
      <c r="BZ435" s="620">
        <v>0</v>
      </c>
      <c r="CA435" s="196">
        <f t="shared" si="1177"/>
        <v>98261.772849893576</v>
      </c>
      <c r="CB435" s="196">
        <f t="shared" si="1178"/>
        <v>196523.54569978715</v>
      </c>
      <c r="CC435" s="196">
        <f t="shared" si="1056"/>
        <v>294785.31854968076</v>
      </c>
      <c r="CD435" s="247">
        <f t="shared" si="1044"/>
        <v>1.2438220035217728E-3</v>
      </c>
      <c r="CE435" s="196">
        <f t="shared" si="1179"/>
        <v>21624.587285465073</v>
      </c>
      <c r="CF435" s="247">
        <f t="shared" si="1045"/>
        <v>9.3381693027789255E-4</v>
      </c>
      <c r="CG435" s="196">
        <f t="shared" si="1150"/>
        <v>48809.769520208567</v>
      </c>
      <c r="CH435" s="589">
        <f t="shared" si="1061"/>
        <v>1.2438220035217726E-3</v>
      </c>
      <c r="CI435" s="196">
        <f t="shared" si="1180"/>
        <v>78460.442651714722</v>
      </c>
      <c r="CJ435" s="248">
        <f t="shared" si="1062"/>
        <v>1.2898894780352546E-3</v>
      </c>
      <c r="CK435" s="196">
        <f t="shared" si="1181"/>
        <v>95265.609283716054</v>
      </c>
      <c r="CL435" s="589">
        <f t="shared" si="1063"/>
        <v>1.3694627287532384E-3</v>
      </c>
      <c r="CM435" s="196">
        <f t="shared" si="1182"/>
        <v>9228.8754198623119</v>
      </c>
      <c r="CN435" s="589">
        <f t="shared" si="1064"/>
        <v>1.3299858309507851E-3</v>
      </c>
      <c r="CO435" s="196">
        <f t="shared" si="1183"/>
        <v>738.32380553392863</v>
      </c>
      <c r="CP435" s="589">
        <f t="shared" si="1065"/>
        <v>1.3923649744353374E-3</v>
      </c>
      <c r="CQ435" s="196">
        <f>'Detailed Budget'!$AC$12</f>
        <v>292876014141.44696</v>
      </c>
      <c r="CR435" s="269">
        <f t="shared" si="1066"/>
        <v>1024991095.9322594</v>
      </c>
      <c r="CS435" s="269">
        <f>'Detailed Budget'!$AC$16</f>
        <v>10488008800.000002</v>
      </c>
      <c r="CT435" s="607">
        <f t="shared" si="1152"/>
        <v>36705342.482836954</v>
      </c>
      <c r="CU435" s="269">
        <f>'Detailed Budget'!$AC$24</f>
        <v>30624985696</v>
      </c>
      <c r="CV435" s="269">
        <f t="shared" si="1091"/>
        <v>107179612.31298572</v>
      </c>
      <c r="CW435" s="269"/>
      <c r="CX435" s="269">
        <f t="shared" si="1057"/>
        <v>1168876050.7280822</v>
      </c>
      <c r="CY435" s="196">
        <f>'Detailed Budget'!$AC$97</f>
        <v>74629165494.837845</v>
      </c>
      <c r="CZ435" s="269">
        <f t="shared" si="1153"/>
        <v>0</v>
      </c>
      <c r="DA435" s="269">
        <f>'Detailed Budget'!$AC$100</f>
        <v>14925833098.967569</v>
      </c>
      <c r="DB435" s="269">
        <f t="shared" si="1154"/>
        <v>0</v>
      </c>
      <c r="DC435" s="269">
        <f t="shared" si="1046"/>
        <v>0</v>
      </c>
      <c r="DD435" s="207">
        <v>0</v>
      </c>
      <c r="DE435" s="606">
        <v>0</v>
      </c>
      <c r="DF435" s="269">
        <f>'Detailed Budget'!$AC$147</f>
        <v>5913600671000</v>
      </c>
      <c r="DG435" s="269">
        <f t="shared" si="1086"/>
        <v>0</v>
      </c>
      <c r="DH435" s="269">
        <f>'Detailed Budget'!$AC$153</f>
        <v>226428026880.00003</v>
      </c>
      <c r="DI435" s="269"/>
      <c r="DJ435" s="269">
        <f>'Detailed Budget'!$AC$156</f>
        <v>27713070000</v>
      </c>
      <c r="DK435" s="269"/>
      <c r="DL435" s="269"/>
      <c r="DM435" s="196">
        <f>'Detailed Budget'!$AC$178</f>
        <v>5622683761.6229038</v>
      </c>
      <c r="DN435" s="269">
        <f t="shared" si="1184"/>
        <v>20399976.166853752</v>
      </c>
      <c r="DO435" s="196">
        <f>'Detailed Budget'!$AC$179</f>
        <v>26827890683.128094</v>
      </c>
      <c r="DP435" s="269">
        <f t="shared" si="1185"/>
        <v>97335784.596001983</v>
      </c>
      <c r="DQ435" s="269">
        <f t="shared" si="1192"/>
        <v>117735760.76285574</v>
      </c>
      <c r="DR435" s="269">
        <f>'Detailed Budget'!$AC$181</f>
        <v>50888946855.375237</v>
      </c>
      <c r="DS435" s="269">
        <f t="shared" si="1186"/>
        <v>144990049.44993135</v>
      </c>
      <c r="DT435" s="269">
        <f t="shared" si="1187"/>
        <v>262725810.21278709</v>
      </c>
      <c r="DU435" s="272">
        <f>'Detailed Budget'!$AC$192</f>
        <v>77498869683.252869</v>
      </c>
      <c r="DV435" s="269">
        <f t="shared" si="1155"/>
        <v>0</v>
      </c>
      <c r="DW435" s="140">
        <f>'Detailed Budget'!$AC$194</f>
        <v>2684962805.4134097</v>
      </c>
      <c r="DX435" s="269">
        <f t="shared" si="1156"/>
        <v>0</v>
      </c>
      <c r="DY435" s="607">
        <f t="shared" si="1047"/>
        <v>0</v>
      </c>
      <c r="DZ435" s="196">
        <f>'Detailed Budget'!$AC$198</f>
        <v>18732540018.380611</v>
      </c>
      <c r="EA435" s="269">
        <f t="shared" si="1157"/>
        <v>17492763.01627196</v>
      </c>
      <c r="EB435" s="196">
        <f>'Detailed Budget'!$AC$200</f>
        <v>4683135004.5951529</v>
      </c>
      <c r="EC435" s="269">
        <f t="shared" si="1158"/>
        <v>4373190.75406799</v>
      </c>
      <c r="ED435" s="269">
        <f t="shared" si="1048"/>
        <v>21865953.770339951</v>
      </c>
      <c r="EE435" s="196">
        <f>'Detailed Budget'!$AC$161</f>
        <v>251147290106.36197</v>
      </c>
      <c r="EF435" s="269">
        <f t="shared" si="1159"/>
        <v>312382525.55915898</v>
      </c>
      <c r="EG435" s="196">
        <f>'Detailed Budget'!$AC$163</f>
        <v>15696705631.647623</v>
      </c>
      <c r="EH435" s="269">
        <f t="shared" si="1160"/>
        <v>19523907.847447436</v>
      </c>
      <c r="EI435" s="269">
        <f t="shared" si="1049"/>
        <v>331906433.40660644</v>
      </c>
      <c r="EJ435" s="196">
        <f>'Detailed Budget'!$AC$204</f>
        <v>45012172507.531975</v>
      </c>
      <c r="EK435" s="269">
        <f t="shared" si="1161"/>
        <v>58060727.700973257</v>
      </c>
      <c r="EL435" s="201">
        <f>'Detailed Budget'!$AC$206</f>
        <v>11253043126.882994</v>
      </c>
      <c r="EM435" s="269">
        <f t="shared" si="1162"/>
        <v>14515181.925243314</v>
      </c>
      <c r="EN435" s="269">
        <f t="shared" si="1050"/>
        <v>72575909.626216576</v>
      </c>
      <c r="EO435" s="140">
        <f>'Detailed Budget'!$AC$209</f>
        <v>135789361677.54817</v>
      </c>
      <c r="EP435" s="269">
        <f t="shared" si="1163"/>
        <v>185958469.77859554</v>
      </c>
      <c r="EQ435" s="196">
        <f>'Detailed Budget'!$AC$211</f>
        <v>33947340419.387043</v>
      </c>
      <c r="ER435" s="269">
        <f t="shared" si="1164"/>
        <v>46489617.444648884</v>
      </c>
      <c r="ES435" s="269">
        <f t="shared" si="1051"/>
        <v>232448087.22324443</v>
      </c>
      <c r="ET435" s="196">
        <f>'Detailed Budget'!$AC$214</f>
        <v>22239745544.201103</v>
      </c>
      <c r="EU435" s="269">
        <f t="shared" si="1165"/>
        <v>29578546.457738325</v>
      </c>
      <c r="EV435" s="140">
        <f>'Detailed Budget'!$AC$217</f>
        <v>5559936386.0502758</v>
      </c>
      <c r="EW435" s="269">
        <f t="shared" si="1166"/>
        <v>7394636.6144345812</v>
      </c>
      <c r="EX435" s="269">
        <f t="shared" si="1052"/>
        <v>36973183.07217291</v>
      </c>
      <c r="EY435" s="196">
        <f>'Detailed Budget'!$AC$219</f>
        <v>372777004.58170313</v>
      </c>
      <c r="EZ435" s="269">
        <f t="shared" si="1167"/>
        <v>519041.64445448475</v>
      </c>
      <c r="FA435" s="196">
        <f>'Detailed Budget'!$AC$222</f>
        <v>93194251.145425782</v>
      </c>
      <c r="FB435" s="269">
        <f t="shared" si="1168"/>
        <v>129760.41111362119</v>
      </c>
      <c r="FC435" s="269">
        <f t="shared" si="1053"/>
        <v>648802.05556810589</v>
      </c>
      <c r="FD435" s="269"/>
      <c r="FE435" s="269">
        <f t="shared" si="1054"/>
        <v>342645981.97720206</v>
      </c>
      <c r="FF435" s="140">
        <f>'Detailed Budget'!$AC$165</f>
        <v>14927760000</v>
      </c>
      <c r="FG435" s="1087">
        <f t="shared" si="1087"/>
        <v>467391800.47481221</v>
      </c>
      <c r="FH435" s="269">
        <f t="shared" si="1169"/>
        <v>18657579.820474949</v>
      </c>
      <c r="FJ435" s="140">
        <f>'Detailed Budget'!$AC$235</f>
        <v>3623696172</v>
      </c>
      <c r="FK435" s="269">
        <f t="shared" si="1170"/>
        <v>4681778</v>
      </c>
      <c r="FL435" s="269">
        <f t="shared" si="1088"/>
        <v>4681778</v>
      </c>
      <c r="FO435" s="607"/>
      <c r="FP435" s="607"/>
      <c r="FQ435" s="607"/>
      <c r="FR435" s="269">
        <f>'Detailed Budget'!$AC$257</f>
        <v>13636439388</v>
      </c>
      <c r="FS435" s="269">
        <f t="shared" si="1171"/>
        <v>20486388</v>
      </c>
      <c r="FT435" s="269">
        <f t="shared" si="1089"/>
        <v>20486388</v>
      </c>
      <c r="FU435" s="269"/>
      <c r="FV435" s="269"/>
      <c r="FW435" s="269"/>
      <c r="FX435" s="140">
        <f>'Detailed Budget'!$AC$278</f>
        <v>1114560000</v>
      </c>
      <c r="FY435" s="269">
        <f t="shared" si="1172"/>
        <v>1440000</v>
      </c>
      <c r="FZ435" s="269">
        <f t="shared" si="1090"/>
        <v>1440000</v>
      </c>
      <c r="GB435" s="269">
        <f t="shared" si="1098"/>
        <v>2640677776.390305</v>
      </c>
      <c r="GC435" s="887">
        <f t="shared" si="1055"/>
        <v>1650423.6102439407</v>
      </c>
      <c r="GD435" s="1078">
        <f t="shared" si="1099"/>
        <v>1.4817674529069792E-3</v>
      </c>
    </row>
    <row r="436" spans="1:186" hidden="1" outlineLevel="1">
      <c r="A436" s="211" t="s">
        <v>1005</v>
      </c>
      <c r="B436" s="212" t="s">
        <v>1006</v>
      </c>
      <c r="C436" s="213" t="s">
        <v>215</v>
      </c>
      <c r="D436" s="214" t="s">
        <v>215</v>
      </c>
      <c r="E436" s="213"/>
      <c r="F436" s="213"/>
      <c r="G436" s="213"/>
      <c r="H436" s="213" t="s">
        <v>215</v>
      </c>
      <c r="I436" s="214" t="s">
        <v>215</v>
      </c>
      <c r="J436" s="214"/>
      <c r="K436" s="213" t="s">
        <v>215</v>
      </c>
      <c r="L436" s="213"/>
      <c r="M436" s="214"/>
      <c r="N436" s="213"/>
      <c r="O436" s="214"/>
      <c r="P436" s="213"/>
      <c r="Q436" s="214"/>
      <c r="R436" s="214" t="s">
        <v>215</v>
      </c>
      <c r="S436" s="214"/>
      <c r="T436" s="214"/>
      <c r="U436" s="215">
        <f t="shared" si="1173"/>
        <v>6</v>
      </c>
      <c r="V436" s="845" t="s">
        <v>219</v>
      </c>
      <c r="W436" s="216">
        <v>95400</v>
      </c>
      <c r="X436" s="217">
        <v>3.03</v>
      </c>
      <c r="Y436" s="218">
        <f t="shared" si="1101"/>
        <v>1.0303</v>
      </c>
      <c r="Z436" s="196">
        <v>19</v>
      </c>
      <c r="AA436" s="218">
        <f t="shared" si="1102"/>
        <v>1.7632354008841205</v>
      </c>
      <c r="AB436" s="196">
        <f t="shared" ref="AB436:AB468" si="1194">W436*AA436</f>
        <v>168212.65724434509</v>
      </c>
      <c r="AC436">
        <v>20.2</v>
      </c>
      <c r="AD436" s="196">
        <f t="shared" ref="AD436:AD468" si="1195">AB436*AC436/100</f>
        <v>33978.95676335771</v>
      </c>
      <c r="AE436" s="196">
        <f t="shared" si="1148"/>
        <v>32280.008925189824</v>
      </c>
      <c r="AF436" s="196">
        <f t="shared" si="1174"/>
        <v>32280.008925189824</v>
      </c>
      <c r="AG436" s="606">
        <f t="shared" si="1058"/>
        <v>1.4924859008062993E-3</v>
      </c>
      <c r="AH436" s="196">
        <f t="shared" si="1188"/>
        <v>8410.632862217255</v>
      </c>
      <c r="AI436" s="248">
        <f t="shared" si="1193"/>
        <v>6.5155898448246246E-4</v>
      </c>
      <c r="AJ436" s="196">
        <f t="shared" ref="AJ436:AJ496" si="1196">AD436+AH436</f>
        <v>42389.589625574969</v>
      </c>
      <c r="AK436" s="196">
        <f t="shared" si="1067"/>
        <v>6728.5062897738035</v>
      </c>
      <c r="AL436" s="196">
        <f t="shared" si="1068"/>
        <v>6728.5062897738035</v>
      </c>
      <c r="AM436" s="196">
        <f t="shared" ref="AM436:AM496" si="1197">AK436+AL436</f>
        <v>13457.012579547607</v>
      </c>
      <c r="AN436" s="627">
        <f t="shared" ref="AN436:AN496" si="1198">AM436/20653560</f>
        <v>6.5155898448246246E-4</v>
      </c>
      <c r="AO436" s="196">
        <f t="shared" ref="AO436:AO496" si="1199">AB436*0.038</f>
        <v>6392.0809752851128</v>
      </c>
      <c r="AP436" s="589">
        <f t="shared" si="1059"/>
        <v>6.5155898448246235E-4</v>
      </c>
      <c r="AQ436" s="196"/>
      <c r="AR436" s="589"/>
      <c r="AS436">
        <v>1</v>
      </c>
      <c r="AT436" s="589">
        <f t="shared" si="1060"/>
        <v>1.2919896640826874E-3</v>
      </c>
      <c r="AU436" s="196">
        <v>10</v>
      </c>
      <c r="AV436" s="245">
        <f t="shared" ref="AV436:AV496" si="1200">AU436/8801</f>
        <v>1.1362345188046814E-3</v>
      </c>
      <c r="AX436" s="245"/>
      <c r="AY436" s="245"/>
      <c r="AZ436" s="196">
        <v>24</v>
      </c>
      <c r="BA436" s="589">
        <f t="shared" si="1092"/>
        <v>8.7941079476750578E-4</v>
      </c>
      <c r="BI436" s="196">
        <v>0</v>
      </c>
      <c r="BJ436" s="196">
        <f t="shared" si="1175"/>
        <v>96137.945549404787</v>
      </c>
      <c r="BK436" s="246">
        <f t="shared" si="1093"/>
        <v>1.833292617935347E-3</v>
      </c>
      <c r="BL436" s="196">
        <f t="shared" si="1189"/>
        <v>1922.7589109880957</v>
      </c>
      <c r="BM436" s="246">
        <f t="shared" si="1094"/>
        <v>1.8332924081766663E-3</v>
      </c>
      <c r="BN436" s="196">
        <v>0</v>
      </c>
      <c r="BO436" s="196">
        <f t="shared" si="1176"/>
        <v>12288.325229702366</v>
      </c>
      <c r="BP436" s="196">
        <f t="shared" ref="BP436:BP496" si="1201">BN436*BO436</f>
        <v>0</v>
      </c>
      <c r="BQ436" s="248">
        <f t="shared" si="1095"/>
        <v>0</v>
      </c>
      <c r="BR436" s="248"/>
      <c r="BS436" s="248"/>
      <c r="BT436" s="276">
        <v>1</v>
      </c>
      <c r="BU436" s="196">
        <f t="shared" si="1190"/>
        <v>27400.630733971662</v>
      </c>
      <c r="BV436" s="264">
        <f t="shared" si="1096"/>
        <v>1.900559648799343E-3</v>
      </c>
      <c r="BW436" s="196">
        <f t="shared" si="1191"/>
        <v>117213.80925087877</v>
      </c>
      <c r="BX436" s="247">
        <f t="shared" si="1097"/>
        <v>1.9005596659196569E-3</v>
      </c>
      <c r="BY436" s="196">
        <f t="shared" si="1100"/>
        <v>144614.43998485044</v>
      </c>
      <c r="BZ436" s="620">
        <v>0</v>
      </c>
      <c r="CA436" s="196">
        <f t="shared" si="1177"/>
        <v>51473.073116769592</v>
      </c>
      <c r="CB436" s="196">
        <f t="shared" si="1178"/>
        <v>102946.14623353918</v>
      </c>
      <c r="CC436" s="196">
        <f t="shared" si="1056"/>
        <v>154419.21935030876</v>
      </c>
      <c r="CD436" s="247">
        <f t="shared" ref="CD436:CD496" si="1202">CC436/236999601</f>
        <v>6.5155898448246235E-4</v>
      </c>
      <c r="CE436" s="196">
        <f t="shared" si="1179"/>
        <v>11327.741502945168</v>
      </c>
      <c r="CF436" s="247">
        <f t="shared" ref="CF436:CF496" si="1203">CE436/23157202</f>
        <v>4.8916710675776668E-4</v>
      </c>
      <c r="CG436" s="196">
        <f t="shared" si="1150"/>
        <v>25568.323901140451</v>
      </c>
      <c r="CH436" s="589">
        <f t="shared" si="1061"/>
        <v>6.5155898448246235E-4</v>
      </c>
      <c r="CI436" s="196">
        <f t="shared" si="1180"/>
        <v>41100.419667323302</v>
      </c>
      <c r="CJ436" s="248">
        <f t="shared" si="1062"/>
        <v>6.7569079500413637E-4</v>
      </c>
      <c r="CK436" s="196">
        <f t="shared" si="1181"/>
        <v>49903.574197314447</v>
      </c>
      <c r="CL436" s="589">
        <f t="shared" si="1063"/>
        <v>7.1737414381367549E-4</v>
      </c>
      <c r="CM436" s="196">
        <f t="shared" si="1182"/>
        <v>4834.4189759104793</v>
      </c>
      <c r="CN436" s="589">
        <f t="shared" si="1064"/>
        <v>6.9669471591333597E-4</v>
      </c>
      <c r="CO436" s="196">
        <f t="shared" si="1183"/>
        <v>386.76073231606318</v>
      </c>
      <c r="CP436" s="589">
        <f t="shared" si="1065"/>
        <v>7.293711690284936E-4</v>
      </c>
      <c r="CQ436" s="196">
        <f>'Detailed Budget'!$AC$12</f>
        <v>292876014141.44696</v>
      </c>
      <c r="CR436" s="269">
        <f t="shared" si="1066"/>
        <v>536927434.69584298</v>
      </c>
      <c r="CS436" s="269">
        <f>'Detailed Budget'!$AC$16</f>
        <v>10488008800.000002</v>
      </c>
      <c r="CT436" s="607">
        <f t="shared" si="1152"/>
        <v>19227586.909930073</v>
      </c>
      <c r="CU436" s="269">
        <f>'Detailed Budget'!$AC$24</f>
        <v>30624985696</v>
      </c>
      <c r="CV436" s="269">
        <f t="shared" si="1091"/>
        <v>56144560.200852394</v>
      </c>
      <c r="CW436" s="269"/>
      <c r="CX436" s="269">
        <f t="shared" si="1057"/>
        <v>612299581.80662549</v>
      </c>
      <c r="CY436" s="196">
        <f>'Detailed Budget'!$AC$97</f>
        <v>74629165494.837845</v>
      </c>
      <c r="CZ436" s="269">
        <f t="shared" si="1153"/>
        <v>0</v>
      </c>
      <c r="DA436" s="269">
        <f>'Detailed Budget'!$AC$100</f>
        <v>14925833098.967569</v>
      </c>
      <c r="DB436" s="269">
        <f t="shared" si="1154"/>
        <v>0</v>
      </c>
      <c r="DC436" s="269">
        <f t="shared" ref="DC436:DC496" si="1204">CZ436+DB436</f>
        <v>0</v>
      </c>
      <c r="DD436" s="207">
        <v>0</v>
      </c>
      <c r="DE436" s="606">
        <v>0</v>
      </c>
      <c r="DF436" s="269">
        <f>'Detailed Budget'!$AC$147</f>
        <v>5913600671000</v>
      </c>
      <c r="DG436" s="269">
        <f t="shared" si="1086"/>
        <v>0</v>
      </c>
      <c r="DH436" s="269">
        <f>'Detailed Budget'!$AC$153</f>
        <v>226428026880.00003</v>
      </c>
      <c r="DI436" s="269"/>
      <c r="DJ436" s="269">
        <f>'Detailed Budget'!$AC$156</f>
        <v>27713070000</v>
      </c>
      <c r="DK436" s="269"/>
      <c r="DL436" s="269"/>
      <c r="DM436" s="196">
        <f>'Detailed Budget'!$AC$178</f>
        <v>5622683761.6229038</v>
      </c>
      <c r="DN436" s="269">
        <f t="shared" si="1184"/>
        <v>10686245.875299795</v>
      </c>
      <c r="DO436" s="196">
        <f>'Detailed Budget'!$AC$179</f>
        <v>26827890683.128094</v>
      </c>
      <c r="DP436" s="269">
        <f t="shared" si="1185"/>
        <v>50988006.954055004</v>
      </c>
      <c r="DQ436" s="269">
        <f t="shared" si="1192"/>
        <v>61674252.8293548</v>
      </c>
      <c r="DR436" s="269">
        <f>'Detailed Budget'!$AC$181</f>
        <v>50888946855.375237</v>
      </c>
      <c r="DS436" s="269">
        <f t="shared" si="1186"/>
        <v>75951035.688528597</v>
      </c>
      <c r="DT436" s="269">
        <f t="shared" si="1187"/>
        <v>137625288.51788339</v>
      </c>
      <c r="DU436" s="272">
        <f>'Detailed Budget'!$AC$192</f>
        <v>77498869683.252869</v>
      </c>
      <c r="DV436" s="269">
        <f t="shared" si="1155"/>
        <v>0</v>
      </c>
      <c r="DW436" s="140">
        <f>'Detailed Budget'!$AC$194</f>
        <v>2684962805.4134097</v>
      </c>
      <c r="DX436" s="269">
        <f t="shared" si="1156"/>
        <v>0</v>
      </c>
      <c r="DY436" s="607">
        <f t="shared" ref="DY436:DY496" si="1205">DV436+DX436</f>
        <v>0</v>
      </c>
      <c r="DZ436" s="196">
        <f>'Detailed Budget'!$AC$198</f>
        <v>18732540018.380611</v>
      </c>
      <c r="EA436" s="269">
        <f t="shared" si="1157"/>
        <v>9163342.4030153248</v>
      </c>
      <c r="EB436" s="196">
        <f>'Detailed Budget'!$AC$200</f>
        <v>4683135004.5951529</v>
      </c>
      <c r="EC436" s="269">
        <f t="shared" si="1158"/>
        <v>2290835.6007538312</v>
      </c>
      <c r="ED436" s="269">
        <f t="shared" ref="ED436:ED496" si="1206">EA436+EC436</f>
        <v>11454178.003769156</v>
      </c>
      <c r="EE436" s="196">
        <f>'Detailed Budget'!$AC$161</f>
        <v>251147290106.36197</v>
      </c>
      <c r="EF436" s="269">
        <f t="shared" si="1159"/>
        <v>163637273.29722357</v>
      </c>
      <c r="EG436" s="196">
        <f>'Detailed Budget'!$AC$163</f>
        <v>15696705631.647623</v>
      </c>
      <c r="EH436" s="269">
        <f t="shared" si="1160"/>
        <v>10227329.581076473</v>
      </c>
      <c r="EI436" s="269">
        <f t="shared" ref="EI436:EI496" si="1207">EF436+EH436</f>
        <v>173864602.87830004</v>
      </c>
      <c r="EJ436" s="196">
        <f>'Detailed Budget'!$AC$204</f>
        <v>45012172507.531975</v>
      </c>
      <c r="EK436" s="269">
        <f t="shared" si="1161"/>
        <v>30414310.62647761</v>
      </c>
      <c r="EL436" s="201">
        <f>'Detailed Budget'!$AC$206</f>
        <v>11253043126.882994</v>
      </c>
      <c r="EM436" s="269">
        <f t="shared" si="1162"/>
        <v>7603577.6566194026</v>
      </c>
      <c r="EN436" s="269">
        <f t="shared" ref="EN436:EN496" si="1208">EK436+EM436</f>
        <v>38017888.283097014</v>
      </c>
      <c r="EO436" s="140">
        <f>'Detailed Budget'!$AC$209</f>
        <v>135789361677.54817</v>
      </c>
      <c r="EP436" s="269">
        <f t="shared" si="1163"/>
        <v>97411777.072436631</v>
      </c>
      <c r="EQ436" s="196">
        <f>'Detailed Budget'!$AC$211</f>
        <v>33947340419.387043</v>
      </c>
      <c r="ER436" s="269">
        <f t="shared" si="1164"/>
        <v>24352944.268109158</v>
      </c>
      <c r="ES436" s="269">
        <f t="shared" ref="ES436:ES496" si="1209">EP436+ER436</f>
        <v>121764721.34054579</v>
      </c>
      <c r="ET436" s="196">
        <f>'Detailed Budget'!$AC$214</f>
        <v>22239745544.201103</v>
      </c>
      <c r="EU436" s="269">
        <f t="shared" si="1165"/>
        <v>15494313.203902068</v>
      </c>
      <c r="EV436" s="140">
        <f>'Detailed Budget'!$AC$217</f>
        <v>5559936386.0502758</v>
      </c>
      <c r="EW436" s="269">
        <f t="shared" si="1166"/>
        <v>3873578.3009755169</v>
      </c>
      <c r="EX436" s="269">
        <f t="shared" ref="EX436:EX496" si="1210">EU436+EW436</f>
        <v>19367891.504877586</v>
      </c>
      <c r="EY436" s="196">
        <f>'Detailed Budget'!$AC$219</f>
        <v>372777004.58170313</v>
      </c>
      <c r="EZ436" s="269">
        <f t="shared" si="1167"/>
        <v>271892.79961869691</v>
      </c>
      <c r="FA436" s="196">
        <f>'Detailed Budget'!$AC$222</f>
        <v>93194251.145425782</v>
      </c>
      <c r="FB436" s="269">
        <f t="shared" si="1168"/>
        <v>67973.199904674228</v>
      </c>
      <c r="FC436" s="269">
        <f t="shared" ref="FC436:FC496" si="1211">EZ436+FB436</f>
        <v>339865.99952337111</v>
      </c>
      <c r="FD436" s="269"/>
      <c r="FE436" s="269">
        <f t="shared" ref="FE436:FE496" si="1212">EN436+ES436+EX436+FC436</f>
        <v>179490367.12804377</v>
      </c>
      <c r="FF436" s="140">
        <f>'Detailed Budget'!$AC$165</f>
        <v>14927760000</v>
      </c>
      <c r="FG436" s="1087">
        <f t="shared" si="1087"/>
        <v>244836741.9217051</v>
      </c>
      <c r="FH436" s="269">
        <f t="shared" si="1169"/>
        <v>16961436.200431772</v>
      </c>
      <c r="FJ436" s="140">
        <f>'Detailed Budget'!$AC$235</f>
        <v>3623696172</v>
      </c>
      <c r="FK436" s="269">
        <f t="shared" si="1170"/>
        <v>4681778</v>
      </c>
      <c r="FL436" s="269">
        <f t="shared" si="1088"/>
        <v>4681778</v>
      </c>
      <c r="FO436" s="607"/>
      <c r="FP436" s="607"/>
      <c r="FQ436" s="607"/>
      <c r="FR436" s="269">
        <f>'Detailed Budget'!$AC$257</f>
        <v>13636439388</v>
      </c>
      <c r="FS436" s="269">
        <f t="shared" si="1171"/>
        <v>11992032</v>
      </c>
      <c r="FT436" s="269">
        <f t="shared" si="1089"/>
        <v>11992032</v>
      </c>
      <c r="FU436" s="269"/>
      <c r="FV436" s="269"/>
      <c r="FW436" s="269"/>
      <c r="FX436" s="140">
        <f>'Detailed Budget'!$AC$278</f>
        <v>1114560000</v>
      </c>
      <c r="FY436" s="269">
        <f t="shared" si="1172"/>
        <v>1440000</v>
      </c>
      <c r="FZ436" s="269">
        <f t="shared" si="1090"/>
        <v>1440000</v>
      </c>
      <c r="GB436" s="269">
        <f t="shared" si="1098"/>
        <v>1394646006.4567587</v>
      </c>
      <c r="GC436" s="887">
        <f t="shared" ref="GC436:GC496" si="1213">GB436/1600</f>
        <v>871653.75403547427</v>
      </c>
      <c r="GD436" s="1078">
        <f t="shared" si="1099"/>
        <v>7.8257979037457432E-4</v>
      </c>
    </row>
    <row r="437" spans="1:186" hidden="1" outlineLevel="1">
      <c r="A437" s="211" t="s">
        <v>1007</v>
      </c>
      <c r="B437" s="212" t="s">
        <v>1008</v>
      </c>
      <c r="C437" s="213" t="s">
        <v>215</v>
      </c>
      <c r="D437" s="214" t="s">
        <v>215</v>
      </c>
      <c r="E437" s="213"/>
      <c r="F437" s="213"/>
      <c r="G437" s="213"/>
      <c r="H437" s="213" t="s">
        <v>215</v>
      </c>
      <c r="I437" s="214" t="s">
        <v>215</v>
      </c>
      <c r="J437" s="214"/>
      <c r="K437" s="213" t="s">
        <v>215</v>
      </c>
      <c r="L437" s="213"/>
      <c r="M437" s="214"/>
      <c r="N437" s="213"/>
      <c r="O437" s="214"/>
      <c r="P437" s="213"/>
      <c r="Q437" s="214"/>
      <c r="R437" s="214" t="s">
        <v>215</v>
      </c>
      <c r="S437" s="214"/>
      <c r="T437" s="214"/>
      <c r="U437" s="215">
        <f t="shared" si="1173"/>
        <v>6</v>
      </c>
      <c r="V437" s="845" t="s">
        <v>219</v>
      </c>
      <c r="W437" s="216">
        <v>231569</v>
      </c>
      <c r="X437" s="217">
        <v>3.03</v>
      </c>
      <c r="Y437" s="218">
        <f t="shared" si="1101"/>
        <v>1.0303</v>
      </c>
      <c r="Z437" s="196">
        <v>19</v>
      </c>
      <c r="AA437" s="218">
        <f t="shared" si="1102"/>
        <v>1.7632354008841205</v>
      </c>
      <c r="AB437" s="196">
        <f t="shared" si="1194"/>
        <v>408310.6585473349</v>
      </c>
      <c r="AC437">
        <v>20.2</v>
      </c>
      <c r="AD437" s="196">
        <f t="shared" si="1195"/>
        <v>82478.753026561637</v>
      </c>
      <c r="AE437" s="196">
        <f t="shared" si="1148"/>
        <v>78354.815375233549</v>
      </c>
      <c r="AF437" s="196">
        <f t="shared" si="1174"/>
        <v>78354.815375233549</v>
      </c>
      <c r="AG437" s="606">
        <f t="shared" si="1058"/>
        <v>3.6227826788659732E-3</v>
      </c>
      <c r="AH437" s="196">
        <f t="shared" si="1188"/>
        <v>20415.532927366745</v>
      </c>
      <c r="AI437" s="248">
        <f t="shared" si="1193"/>
        <v>1.5815604033293433E-3</v>
      </c>
      <c r="AJ437" s="196">
        <f t="shared" si="1196"/>
        <v>102894.28595392838</v>
      </c>
      <c r="AK437" s="196">
        <f t="shared" si="1067"/>
        <v>16332.426341893397</v>
      </c>
      <c r="AL437" s="196">
        <f t="shared" si="1068"/>
        <v>16332.426341893397</v>
      </c>
      <c r="AM437" s="196">
        <f t="shared" si="1197"/>
        <v>32664.852683786794</v>
      </c>
      <c r="AN437" s="627">
        <f t="shared" si="1198"/>
        <v>1.5815604033293433E-3</v>
      </c>
      <c r="AO437" s="196">
        <f t="shared" si="1199"/>
        <v>15515.805024798725</v>
      </c>
      <c r="AP437" s="589">
        <f t="shared" si="1059"/>
        <v>1.5815604033293431E-3</v>
      </c>
      <c r="AQ437" s="196"/>
      <c r="AR437" s="589"/>
      <c r="AS437">
        <v>1</v>
      </c>
      <c r="AT437" s="589">
        <f t="shared" si="1060"/>
        <v>1.2919896640826874E-3</v>
      </c>
      <c r="AU437" s="196">
        <v>11</v>
      </c>
      <c r="AV437" s="245">
        <f t="shared" si="1200"/>
        <v>1.2498579706851495E-3</v>
      </c>
      <c r="AX437" s="245"/>
      <c r="AY437" s="245"/>
      <c r="AZ437" s="196">
        <v>43</v>
      </c>
      <c r="BA437" s="589">
        <f t="shared" si="1092"/>
        <v>1.5756110072917811E-3</v>
      </c>
      <c r="BI437" s="196">
        <v>0</v>
      </c>
      <c r="BJ437" s="196">
        <f t="shared" si="1175"/>
        <v>233360.25065964487</v>
      </c>
      <c r="BK437" s="246">
        <f t="shared" si="1093"/>
        <v>4.450039184933652E-3</v>
      </c>
      <c r="BL437" s="196">
        <f t="shared" si="1189"/>
        <v>4667.2050131928972</v>
      </c>
      <c r="BM437" s="246">
        <f t="shared" si="1094"/>
        <v>4.4500386757763358E-3</v>
      </c>
      <c r="BN437" s="196">
        <v>0</v>
      </c>
      <c r="BO437" s="196">
        <f t="shared" si="1176"/>
        <v>29828.041772714325</v>
      </c>
      <c r="BP437" s="196">
        <f t="shared" si="1201"/>
        <v>0</v>
      </c>
      <c r="BQ437" s="248">
        <f t="shared" si="1095"/>
        <v>0</v>
      </c>
      <c r="BR437" s="248"/>
      <c r="BS437" s="248"/>
      <c r="BT437" s="276">
        <v>1</v>
      </c>
      <c r="BU437" s="196">
        <f t="shared" si="1190"/>
        <v>66510.866440619313</v>
      </c>
      <c r="BV437" s="264">
        <f t="shared" si="1096"/>
        <v>4.6133196783313939E-3</v>
      </c>
      <c r="BW437" s="196">
        <f t="shared" si="1191"/>
        <v>284518.70644042705</v>
      </c>
      <c r="BX437" s="247">
        <f t="shared" si="1097"/>
        <v>4.6133197198883541E-3</v>
      </c>
      <c r="BY437" s="196">
        <f t="shared" si="1100"/>
        <v>351029.57288104633</v>
      </c>
      <c r="BZ437" s="620">
        <v>0</v>
      </c>
      <c r="CA437" s="196">
        <f t="shared" si="1177"/>
        <v>124943.06151548449</v>
      </c>
      <c r="CB437" s="196">
        <f t="shared" si="1178"/>
        <v>249886.12303096897</v>
      </c>
      <c r="CC437" s="196">
        <f t="shared" ref="CC437:CC497" si="1214">CA437+CB437</f>
        <v>374829.18454645347</v>
      </c>
      <c r="CD437" s="247">
        <f t="shared" si="1202"/>
        <v>1.5815604033293435E-3</v>
      </c>
      <c r="CE437" s="196">
        <f t="shared" si="1179"/>
        <v>27496.370776682492</v>
      </c>
      <c r="CF437" s="247">
        <f t="shared" si="1203"/>
        <v>1.1873788023562817E-3</v>
      </c>
      <c r="CG437" s="196">
        <f t="shared" si="1150"/>
        <v>62063.220099194899</v>
      </c>
      <c r="CH437" s="589">
        <f t="shared" si="1061"/>
        <v>1.5815604033293431E-3</v>
      </c>
      <c r="CI437" s="196">
        <f t="shared" si="1180"/>
        <v>99765.021823295479</v>
      </c>
      <c r="CJ437" s="248">
        <f t="shared" si="1062"/>
        <v>1.6401367055378703E-3</v>
      </c>
      <c r="CK437" s="196">
        <f t="shared" si="1181"/>
        <v>121133.34143918141</v>
      </c>
      <c r="CL437" s="589">
        <f t="shared" si="1063"/>
        <v>1.7413166992535532E-3</v>
      </c>
      <c r="CM437" s="196">
        <f t="shared" si="1182"/>
        <v>11734.817272878548</v>
      </c>
      <c r="CN437" s="589">
        <f t="shared" si="1064"/>
        <v>1.6911205311251074E-3</v>
      </c>
      <c r="CO437" s="196">
        <f t="shared" si="1183"/>
        <v>938.80289330920778</v>
      </c>
      <c r="CP437" s="589">
        <f t="shared" si="1065"/>
        <v>1.7704376545152956E-3</v>
      </c>
      <c r="CQ437" s="196">
        <f>'Detailed Budget'!$AC$12</f>
        <v>292876014141.44696</v>
      </c>
      <c r="CR437" s="269">
        <f t="shared" si="1066"/>
        <v>1303309739.2566214</v>
      </c>
      <c r="CS437" s="269">
        <f>'Detailed Budget'!$AC$16</f>
        <v>10488008800.000002</v>
      </c>
      <c r="CT437" s="607">
        <f t="shared" si="1152"/>
        <v>46672044.791882567</v>
      </c>
      <c r="CU437" s="269">
        <f>'Detailed Budget'!$AC$24</f>
        <v>30624985696</v>
      </c>
      <c r="CV437" s="269">
        <f t="shared" si="1091"/>
        <v>136282386.3852326</v>
      </c>
      <c r="CW437" s="269"/>
      <c r="CX437" s="269">
        <f t="shared" ref="CX437:CX497" si="1215">CR437+CT437+CV437+CW437</f>
        <v>1486264170.4337366</v>
      </c>
      <c r="CY437" s="196">
        <f>'Detailed Budget'!$AC$97</f>
        <v>74629165494.837845</v>
      </c>
      <c r="CZ437" s="269">
        <f t="shared" si="1153"/>
        <v>0</v>
      </c>
      <c r="DA437" s="269">
        <f>'Detailed Budget'!$AC$100</f>
        <v>14925833098.967569</v>
      </c>
      <c r="DB437" s="269">
        <f t="shared" si="1154"/>
        <v>0</v>
      </c>
      <c r="DC437" s="269">
        <f t="shared" si="1204"/>
        <v>0</v>
      </c>
      <c r="DD437" s="207">
        <v>0</v>
      </c>
      <c r="DE437" s="606">
        <v>0</v>
      </c>
      <c r="DF437" s="269">
        <f>'Detailed Budget'!$AC$147</f>
        <v>5913600671000</v>
      </c>
      <c r="DG437" s="269">
        <f t="shared" si="1086"/>
        <v>0</v>
      </c>
      <c r="DH437" s="269">
        <f>'Detailed Budget'!$AC$153</f>
        <v>226428026880.00003</v>
      </c>
      <c r="DI437" s="269"/>
      <c r="DJ437" s="269">
        <f>'Detailed Budget'!$AC$156</f>
        <v>27713070000</v>
      </c>
      <c r="DK437" s="269"/>
      <c r="DL437" s="269"/>
      <c r="DM437" s="196">
        <f>'Detailed Budget'!$AC$178</f>
        <v>5622683761.6229038</v>
      </c>
      <c r="DN437" s="269">
        <f t="shared" si="1184"/>
        <v>25939237.642529327</v>
      </c>
      <c r="DO437" s="196">
        <f>'Detailed Budget'!$AC$179</f>
        <v>26827890683.128094</v>
      </c>
      <c r="DP437" s="269">
        <f t="shared" si="1185"/>
        <v>123765637.13148388</v>
      </c>
      <c r="DQ437" s="269">
        <f t="shared" si="1192"/>
        <v>149704874.77401322</v>
      </c>
      <c r="DR437" s="269">
        <f>'Detailed Budget'!$AC$181</f>
        <v>50888946855.375237</v>
      </c>
      <c r="DS437" s="269">
        <f t="shared" si="1186"/>
        <v>184359595.21338445</v>
      </c>
      <c r="DT437" s="269">
        <f t="shared" si="1187"/>
        <v>334064469.98739767</v>
      </c>
      <c r="DU437" s="272">
        <f>'Detailed Budget'!$AC$192</f>
        <v>77498869683.252869</v>
      </c>
      <c r="DV437" s="269">
        <f t="shared" si="1155"/>
        <v>0</v>
      </c>
      <c r="DW437" s="140">
        <f>'Detailed Budget'!$AC$194</f>
        <v>2684962805.4134097</v>
      </c>
      <c r="DX437" s="269">
        <f t="shared" si="1156"/>
        <v>0</v>
      </c>
      <c r="DY437" s="607">
        <f t="shared" si="1205"/>
        <v>0</v>
      </c>
      <c r="DZ437" s="196">
        <f>'Detailed Budget'!$AC$198</f>
        <v>18732540018.380611</v>
      </c>
      <c r="EA437" s="269">
        <f t="shared" si="1157"/>
        <v>22242620.93211589</v>
      </c>
      <c r="EB437" s="196">
        <f>'Detailed Budget'!$AC$200</f>
        <v>4683135004.5951529</v>
      </c>
      <c r="EC437" s="269">
        <f t="shared" si="1158"/>
        <v>5560655.2330289725</v>
      </c>
      <c r="ED437" s="269">
        <f t="shared" si="1206"/>
        <v>27803276.165144861</v>
      </c>
      <c r="EE437" s="196">
        <f>'Detailed Budget'!$AC$161</f>
        <v>251147290106.36197</v>
      </c>
      <c r="EF437" s="269">
        <f t="shared" si="1159"/>
        <v>397204609.43568939</v>
      </c>
      <c r="EG437" s="196">
        <f>'Detailed Budget'!$AC$163</f>
        <v>15696705631.647623</v>
      </c>
      <c r="EH437" s="269">
        <f t="shared" si="1160"/>
        <v>24825288.089730587</v>
      </c>
      <c r="EI437" s="269">
        <f t="shared" si="1207"/>
        <v>422029897.52541995</v>
      </c>
      <c r="EJ437" s="196">
        <f>'Detailed Budget'!$AC$204</f>
        <v>45012172507.531975</v>
      </c>
      <c r="EK437" s="269">
        <f t="shared" si="1161"/>
        <v>73826116.325605795</v>
      </c>
      <c r="EL437" s="201">
        <f>'Detailed Budget'!$AC$206</f>
        <v>11253043126.882994</v>
      </c>
      <c r="EM437" s="269">
        <f t="shared" si="1162"/>
        <v>18456529.081401449</v>
      </c>
      <c r="EN437" s="269">
        <f t="shared" si="1208"/>
        <v>92282645.407007247</v>
      </c>
      <c r="EO437" s="140">
        <f>'Detailed Budget'!$AC$209</f>
        <v>135789361677.54817</v>
      </c>
      <c r="EP437" s="269">
        <f t="shared" si="1163"/>
        <v>236452283.07009512</v>
      </c>
      <c r="EQ437" s="196">
        <f>'Detailed Budget'!$AC$211</f>
        <v>33947340419.387043</v>
      </c>
      <c r="ER437" s="269">
        <f t="shared" si="1164"/>
        <v>59113070.76752378</v>
      </c>
      <c r="ES437" s="269">
        <f t="shared" si="1209"/>
        <v>295565353.83761889</v>
      </c>
      <c r="ET437" s="196">
        <f>'Detailed Budget'!$AC$214</f>
        <v>22239745544.201103</v>
      </c>
      <c r="EU437" s="269">
        <f t="shared" si="1165"/>
        <v>37610090.296796612</v>
      </c>
      <c r="EV437" s="140">
        <f>'Detailed Budget'!$AC$217</f>
        <v>5559936386.0502758</v>
      </c>
      <c r="EW437" s="269">
        <f t="shared" si="1166"/>
        <v>9402522.5741991531</v>
      </c>
      <c r="EX437" s="269">
        <f t="shared" si="1210"/>
        <v>47012612.870995767</v>
      </c>
      <c r="EY437" s="196">
        <f>'Detailed Budget'!$AC$219</f>
        <v>372777004.58170313</v>
      </c>
      <c r="EZ437" s="269">
        <f t="shared" si="1167"/>
        <v>659978.4456488681</v>
      </c>
      <c r="FA437" s="196">
        <f>'Detailed Budget'!$AC$222</f>
        <v>93194251.145425782</v>
      </c>
      <c r="FB437" s="269">
        <f t="shared" si="1168"/>
        <v>164994.61141221703</v>
      </c>
      <c r="FC437" s="269">
        <f t="shared" si="1211"/>
        <v>824973.05706108513</v>
      </c>
      <c r="FD437" s="269"/>
      <c r="FE437" s="269">
        <f t="shared" si="1212"/>
        <v>435685585.172683</v>
      </c>
      <c r="FF437" s="140">
        <f>'Detailed Budget'!$AC$165</f>
        <v>14927760000</v>
      </c>
      <c r="FG437" s="1087">
        <f t="shared" si="1087"/>
        <v>594303977.88330519</v>
      </c>
      <c r="FH437" s="269">
        <f t="shared" si="1169"/>
        <v>18657579.820474949</v>
      </c>
      <c r="FJ437" s="140">
        <f>'Detailed Budget'!$AC$235</f>
        <v>3623696172</v>
      </c>
      <c r="FK437" s="269">
        <f t="shared" si="1170"/>
        <v>4681778</v>
      </c>
      <c r="FL437" s="269">
        <f t="shared" si="1088"/>
        <v>4681778</v>
      </c>
      <c r="FO437" s="607"/>
      <c r="FP437" s="607"/>
      <c r="FQ437" s="607"/>
      <c r="FR437" s="269">
        <f>'Detailed Budget'!$AC$257</f>
        <v>13636439388</v>
      </c>
      <c r="FS437" s="269">
        <f t="shared" si="1171"/>
        <v>21485724</v>
      </c>
      <c r="FT437" s="269">
        <f t="shared" si="1089"/>
        <v>21485724</v>
      </c>
      <c r="FU437" s="269"/>
      <c r="FV437" s="269"/>
      <c r="FW437" s="269"/>
      <c r="FX437" s="140">
        <f>'Detailed Budget'!$AC$278</f>
        <v>1114560000</v>
      </c>
      <c r="FY437" s="269">
        <f t="shared" si="1172"/>
        <v>1440000</v>
      </c>
      <c r="FZ437" s="269">
        <f t="shared" si="1090"/>
        <v>1440000</v>
      </c>
      <c r="GB437" s="269">
        <f t="shared" si="1098"/>
        <v>3346416458.988162</v>
      </c>
      <c r="GC437" s="887">
        <f t="shared" si="1213"/>
        <v>2091510.2868676013</v>
      </c>
      <c r="GD437" s="1078">
        <f t="shared" si="1099"/>
        <v>1.8777796507906744E-3</v>
      </c>
    </row>
    <row r="438" spans="1:186" hidden="1" outlineLevel="1">
      <c r="A438" s="211" t="s">
        <v>1009</v>
      </c>
      <c r="B438" s="212" t="s">
        <v>1010</v>
      </c>
      <c r="C438" s="213" t="s">
        <v>215</v>
      </c>
      <c r="D438" s="214" t="s">
        <v>215</v>
      </c>
      <c r="E438" s="213"/>
      <c r="F438" s="213"/>
      <c r="G438" s="213"/>
      <c r="H438" s="213" t="s">
        <v>215</v>
      </c>
      <c r="I438" s="214" t="s">
        <v>215</v>
      </c>
      <c r="J438" s="214"/>
      <c r="K438" s="213" t="s">
        <v>215</v>
      </c>
      <c r="L438" s="213"/>
      <c r="M438" s="214"/>
      <c r="N438" s="213"/>
      <c r="O438" s="214"/>
      <c r="P438" s="213"/>
      <c r="Q438" s="214"/>
      <c r="R438" s="214" t="s">
        <v>215</v>
      </c>
      <c r="S438" s="214"/>
      <c r="T438" s="214"/>
      <c r="U438" s="215">
        <f t="shared" si="1173"/>
        <v>6</v>
      </c>
      <c r="V438" s="845" t="s">
        <v>219</v>
      </c>
      <c r="W438" s="216">
        <v>150133</v>
      </c>
      <c r="X438" s="217">
        <v>3.03</v>
      </c>
      <c r="Y438" s="218">
        <f t="shared" si="1101"/>
        <v>1.0303</v>
      </c>
      <c r="Z438" s="196">
        <v>19</v>
      </c>
      <c r="AA438" s="218">
        <f t="shared" si="1102"/>
        <v>1.7632354008841205</v>
      </c>
      <c r="AB438" s="196">
        <f t="shared" si="1194"/>
        <v>264719.82044093567</v>
      </c>
      <c r="AC438">
        <v>20.2</v>
      </c>
      <c r="AD438" s="196">
        <f t="shared" si="1195"/>
        <v>53473.403729069003</v>
      </c>
      <c r="AE438" s="196">
        <f t="shared" si="1148"/>
        <v>50799.733542615548</v>
      </c>
      <c r="AF438" s="196">
        <f t="shared" si="1174"/>
        <v>50799.733542615548</v>
      </c>
      <c r="AG438" s="606">
        <f t="shared" ref="AG438:AG498" si="1216">AE438/21628351</f>
        <v>2.3487566640015942E-3</v>
      </c>
      <c r="AH438" s="196">
        <f t="shared" si="1188"/>
        <v>13235.991022046785</v>
      </c>
      <c r="AI438" s="248">
        <f t="shared" si="1193"/>
        <v>1.0253721699927207E-3</v>
      </c>
      <c r="AJ438" s="196">
        <f t="shared" si="1196"/>
        <v>66709.394751115789</v>
      </c>
      <c r="AK438" s="196">
        <f t="shared" si="1067"/>
        <v>10588.792817637426</v>
      </c>
      <c r="AL438" s="196">
        <f t="shared" si="1068"/>
        <v>10588.792817637426</v>
      </c>
      <c r="AM438" s="196">
        <f t="shared" si="1197"/>
        <v>21177.585635274852</v>
      </c>
      <c r="AN438" s="627">
        <f t="shared" si="1198"/>
        <v>1.0253721699927205E-3</v>
      </c>
      <c r="AO438" s="196">
        <f t="shared" si="1199"/>
        <v>10059.353176755556</v>
      </c>
      <c r="AP438" s="589">
        <f t="shared" ref="AP438:AP498" si="1217">AO438/9810441</f>
        <v>1.0253721699927205E-3</v>
      </c>
      <c r="AQ438" s="196"/>
      <c r="AR438" s="589"/>
      <c r="AS438">
        <v>1</v>
      </c>
      <c r="AT438" s="589">
        <f t="shared" ref="AT438:AT498" si="1218">AS438/774</f>
        <v>1.2919896640826874E-3</v>
      </c>
      <c r="AU438" s="196">
        <v>11</v>
      </c>
      <c r="AV438" s="245">
        <f t="shared" si="1200"/>
        <v>1.2498579706851495E-3</v>
      </c>
      <c r="AX438" s="245"/>
      <c r="AY438" s="245"/>
      <c r="AZ438" s="196">
        <v>43</v>
      </c>
      <c r="BA438" s="589">
        <f t="shared" si="1092"/>
        <v>1.5756110072917811E-3</v>
      </c>
      <c r="BI438" s="196">
        <v>0</v>
      </c>
      <c r="BJ438" s="196">
        <f t="shared" si="1175"/>
        <v>151294.32053636046</v>
      </c>
      <c r="BK438" s="246">
        <f t="shared" si="1093"/>
        <v>2.8850914109904346E-3</v>
      </c>
      <c r="BL438" s="196">
        <f t="shared" si="1189"/>
        <v>3025.8864107272093</v>
      </c>
      <c r="BM438" s="246">
        <f t="shared" si="1094"/>
        <v>2.8850910808887568E-3</v>
      </c>
      <c r="BN438" s="196">
        <v>0</v>
      </c>
      <c r="BO438" s="196">
        <f t="shared" si="1176"/>
        <v>19338.397607032548</v>
      </c>
      <c r="BP438" s="196">
        <f t="shared" si="1201"/>
        <v>0</v>
      </c>
      <c r="BQ438" s="248">
        <f t="shared" si="1095"/>
        <v>0</v>
      </c>
      <c r="BR438" s="248"/>
      <c r="BS438" s="248"/>
      <c r="BT438" s="276">
        <v>1</v>
      </c>
      <c r="BU438" s="196">
        <f t="shared" si="1190"/>
        <v>43120.952767121249</v>
      </c>
      <c r="BV438" s="264">
        <f t="shared" si="1096"/>
        <v>2.9909509617734981E-3</v>
      </c>
      <c r="BW438" s="196">
        <f t="shared" si="1191"/>
        <v>184461.85350379645</v>
      </c>
      <c r="BX438" s="247">
        <f t="shared" si="1097"/>
        <v>2.990950988716099E-3</v>
      </c>
      <c r="BY438" s="196">
        <f t="shared" si="1100"/>
        <v>227582.8062709177</v>
      </c>
      <c r="BZ438" s="620">
        <v>0</v>
      </c>
      <c r="CA438" s="196">
        <f t="shared" si="1177"/>
        <v>81004.265054926305</v>
      </c>
      <c r="CB438" s="196">
        <f t="shared" si="1178"/>
        <v>162008.53010985261</v>
      </c>
      <c r="CC438" s="196">
        <f t="shared" si="1214"/>
        <v>243012.79516477892</v>
      </c>
      <c r="CD438" s="247">
        <f t="shared" si="1202"/>
        <v>1.0253721699927205E-3</v>
      </c>
      <c r="CE438" s="196">
        <f t="shared" si="1179"/>
        <v>17826.706656830891</v>
      </c>
      <c r="CF438" s="247">
        <f t="shared" si="1203"/>
        <v>7.6981263353106694E-4</v>
      </c>
      <c r="CG438" s="196">
        <f t="shared" si="1150"/>
        <v>40237.412707022224</v>
      </c>
      <c r="CH438" s="589">
        <f t="shared" ref="CH438:CH498" si="1219">CG438/39241764</f>
        <v>1.0253721699927205E-3</v>
      </c>
      <c r="CI438" s="196">
        <f t="shared" si="1180"/>
        <v>64680.60069092505</v>
      </c>
      <c r="CJ438" s="248">
        <f t="shared" ref="CJ438:CJ498" si="1220">CI438/60827260</f>
        <v>1.0633489111777359E-3</v>
      </c>
      <c r="CK438" s="196">
        <f t="shared" si="1181"/>
        <v>78534.311372803044</v>
      </c>
      <c r="CL438" s="589">
        <f t="shared" ref="CL438:CL498" si="1221">CK438/69564222</f>
        <v>1.1289468798027101E-3</v>
      </c>
      <c r="CM438" s="196">
        <f t="shared" si="1182"/>
        <v>7608.027506397988</v>
      </c>
      <c r="CN438" s="589">
        <f t="shared" ref="CN438:CN498" si="1222">CM438/6939078</f>
        <v>1.0964032262496528E-3</v>
      </c>
      <c r="CO438" s="196">
        <f t="shared" si="1183"/>
        <v>608.65355371915643</v>
      </c>
      <c r="CP438" s="589">
        <f t="shared" ref="CP438:CP498" si="1223">CO438/530266</f>
        <v>1.1478268524083316E-3</v>
      </c>
      <c r="CQ438" s="196">
        <f>'Detailed Budget'!$AC$12</f>
        <v>292876014141.44696</v>
      </c>
      <c r="CR438" s="269">
        <f t="shared" si="1066"/>
        <v>844974072.88460171</v>
      </c>
      <c r="CS438" s="269">
        <f>'Detailed Budget'!$AC$16</f>
        <v>10488008800.000002</v>
      </c>
      <c r="CT438" s="607">
        <f t="shared" si="1152"/>
        <v>30258860.645162798</v>
      </c>
      <c r="CU438" s="269">
        <f>'Detailed Budget'!$AC$24</f>
        <v>30624985696</v>
      </c>
      <c r="CV438" s="269">
        <f t="shared" si="1091"/>
        <v>88355883.193234518</v>
      </c>
      <c r="CW438" s="269"/>
      <c r="CX438" s="269">
        <f t="shared" si="1215"/>
        <v>963588816.7229991</v>
      </c>
      <c r="CY438" s="196">
        <f>'Detailed Budget'!$AC$97</f>
        <v>74629165494.837845</v>
      </c>
      <c r="CZ438" s="269">
        <f t="shared" si="1153"/>
        <v>0</v>
      </c>
      <c r="DA438" s="269">
        <f>'Detailed Budget'!$AC$100</f>
        <v>14925833098.967569</v>
      </c>
      <c r="DB438" s="269">
        <f t="shared" si="1154"/>
        <v>0</v>
      </c>
      <c r="DC438" s="269">
        <f t="shared" si="1204"/>
        <v>0</v>
      </c>
      <c r="DD438" s="207">
        <v>0</v>
      </c>
      <c r="DE438" s="606">
        <v>0</v>
      </c>
      <c r="DF438" s="269">
        <f>'Detailed Budget'!$AC$147</f>
        <v>5913600671000</v>
      </c>
      <c r="DG438" s="269">
        <f t="shared" si="1086"/>
        <v>0</v>
      </c>
      <c r="DH438" s="269">
        <f>'Detailed Budget'!$AC$153</f>
        <v>226428026880.00003</v>
      </c>
      <c r="DI438" s="269"/>
      <c r="DJ438" s="269">
        <f>'Detailed Budget'!$AC$156</f>
        <v>27713070000</v>
      </c>
      <c r="DK438" s="269"/>
      <c r="DL438" s="269"/>
      <c r="DM438" s="196">
        <f>'Detailed Budget'!$AC$178</f>
        <v>5622683761.6229038</v>
      </c>
      <c r="DN438" s="269">
        <f t="shared" si="1184"/>
        <v>16817171.404574253</v>
      </c>
      <c r="DO438" s="196">
        <f>'Detailed Budget'!$AC$179</f>
        <v>26827890683.128094</v>
      </c>
      <c r="DP438" s="269">
        <f t="shared" si="1185"/>
        <v>80240906.163869396</v>
      </c>
      <c r="DQ438" s="269">
        <f t="shared" si="1192"/>
        <v>97058077.568443656</v>
      </c>
      <c r="DR438" s="269">
        <f>'Detailed Budget'!$AC$181</f>
        <v>50888946855.375237</v>
      </c>
      <c r="DS438" s="269">
        <f t="shared" si="1186"/>
        <v>119525753.05058555</v>
      </c>
      <c r="DT438" s="269">
        <f t="shared" si="1187"/>
        <v>216583830.61902922</v>
      </c>
      <c r="DU438" s="272">
        <f>'Detailed Budget'!$AC$192</f>
        <v>77498869683.252869</v>
      </c>
      <c r="DV438" s="269">
        <f t="shared" si="1155"/>
        <v>0</v>
      </c>
      <c r="DW438" s="140">
        <f>'Detailed Budget'!$AC$194</f>
        <v>2684962805.4134097</v>
      </c>
      <c r="DX438" s="269">
        <f t="shared" si="1156"/>
        <v>0</v>
      </c>
      <c r="DY438" s="607">
        <f t="shared" si="1205"/>
        <v>0</v>
      </c>
      <c r="DZ438" s="196">
        <f>'Detailed Budget'!$AC$198</f>
        <v>18732540018.380611</v>
      </c>
      <c r="EA438" s="269">
        <f t="shared" si="1157"/>
        <v>14420545.96427568</v>
      </c>
      <c r="EB438" s="196">
        <f>'Detailed Budget'!$AC$200</f>
        <v>4683135004.5951529</v>
      </c>
      <c r="EC438" s="269">
        <f t="shared" si="1158"/>
        <v>3605136.4910689201</v>
      </c>
      <c r="ED438" s="269">
        <f t="shared" si="1206"/>
        <v>18025682.455344602</v>
      </c>
      <c r="EE438" s="196">
        <f>'Detailed Budget'!$AC$161</f>
        <v>251147290106.36197</v>
      </c>
      <c r="EF438" s="269">
        <f t="shared" si="1159"/>
        <v>257519441.84415168</v>
      </c>
      <c r="EG438" s="196">
        <f>'Detailed Budget'!$AC$163</f>
        <v>15696705631.647623</v>
      </c>
      <c r="EH438" s="269">
        <f t="shared" si="1160"/>
        <v>16094965.11525948</v>
      </c>
      <c r="EI438" s="269">
        <f t="shared" si="1207"/>
        <v>273614406.95941114</v>
      </c>
      <c r="EJ438" s="196">
        <f>'Detailed Budget'!$AC$204</f>
        <v>45012172507.531975</v>
      </c>
      <c r="EK438" s="269">
        <f t="shared" si="1161"/>
        <v>47863644.625628546</v>
      </c>
      <c r="EL438" s="201">
        <f>'Detailed Budget'!$AC$206</f>
        <v>11253043126.882994</v>
      </c>
      <c r="EM438" s="269">
        <f t="shared" si="1162"/>
        <v>11965911.156407136</v>
      </c>
      <c r="EN438" s="269">
        <f t="shared" si="1208"/>
        <v>59829555.782035679</v>
      </c>
      <c r="EO438" s="140">
        <f>'Detailed Budget'!$AC$209</f>
        <v>135789361677.54817</v>
      </c>
      <c r="EP438" s="269">
        <f t="shared" si="1163"/>
        <v>153298976.17626971</v>
      </c>
      <c r="EQ438" s="196">
        <f>'Detailed Budget'!$AC$211</f>
        <v>33947340419.387043</v>
      </c>
      <c r="ER438" s="269">
        <f t="shared" si="1164"/>
        <v>38324744.044067428</v>
      </c>
      <c r="ES438" s="269">
        <f t="shared" si="1209"/>
        <v>191623720.22033715</v>
      </c>
      <c r="ET438" s="196">
        <f>'Detailed Budget'!$AC$214</f>
        <v>22239745544.201103</v>
      </c>
      <c r="EU438" s="269">
        <f t="shared" si="1165"/>
        <v>24383728.76563343</v>
      </c>
      <c r="EV438" s="140">
        <f>'Detailed Budget'!$AC$217</f>
        <v>5559936386.0502758</v>
      </c>
      <c r="EW438" s="269">
        <f t="shared" si="1166"/>
        <v>6095932.1914083576</v>
      </c>
      <c r="EX438" s="269">
        <f t="shared" si="1210"/>
        <v>30479660.957041789</v>
      </c>
      <c r="EY438" s="196">
        <f>'Detailed Budget'!$AC$219</f>
        <v>372777004.58170313</v>
      </c>
      <c r="EZ438" s="269">
        <f t="shared" si="1167"/>
        <v>427883.45581922255</v>
      </c>
      <c r="FA438" s="196">
        <f>'Detailed Budget'!$AC$222</f>
        <v>93194251.145425782</v>
      </c>
      <c r="FB438" s="269">
        <f t="shared" si="1168"/>
        <v>106970.86395480564</v>
      </c>
      <c r="FC438" s="269">
        <f t="shared" si="1211"/>
        <v>534854.31977402815</v>
      </c>
      <c r="FD438" s="269"/>
      <c r="FE438" s="269">
        <f t="shared" si="1212"/>
        <v>282467791.27918863</v>
      </c>
      <c r="FF438" s="140">
        <f>'Detailed Budget'!$AC$165</f>
        <v>14927760000</v>
      </c>
      <c r="FG438" s="1087">
        <f t="shared" si="1087"/>
        <v>385304764.9363873</v>
      </c>
      <c r="FH438" s="269">
        <f t="shared" si="1169"/>
        <v>18657579.820474949</v>
      </c>
      <c r="FJ438" s="140">
        <f>'Detailed Budget'!$AC$235</f>
        <v>3623696172</v>
      </c>
      <c r="FK438" s="269">
        <f t="shared" si="1170"/>
        <v>4681778</v>
      </c>
      <c r="FL438" s="269">
        <f t="shared" si="1088"/>
        <v>4681778</v>
      </c>
      <c r="FO438" s="607"/>
      <c r="FP438" s="607"/>
      <c r="FQ438" s="607"/>
      <c r="FR438" s="269">
        <f>'Detailed Budget'!$AC$257</f>
        <v>13636439388</v>
      </c>
      <c r="FS438" s="269">
        <f t="shared" si="1171"/>
        <v>21485724</v>
      </c>
      <c r="FT438" s="269">
        <f t="shared" si="1089"/>
        <v>21485724</v>
      </c>
      <c r="FU438" s="269"/>
      <c r="FV438" s="269"/>
      <c r="FW438" s="269"/>
      <c r="FX438" s="140">
        <f>'Detailed Budget'!$AC$278</f>
        <v>1114560000</v>
      </c>
      <c r="FY438" s="269">
        <f t="shared" si="1172"/>
        <v>1440000</v>
      </c>
      <c r="FZ438" s="269">
        <f t="shared" si="1090"/>
        <v>1440000</v>
      </c>
      <c r="GB438" s="269">
        <f t="shared" si="1098"/>
        <v>2185850374.7928352</v>
      </c>
      <c r="GC438" s="887">
        <f t="shared" si="1213"/>
        <v>1366156.4842455219</v>
      </c>
      <c r="GD438" s="1078">
        <f t="shared" si="1099"/>
        <v>1.2265494757637619E-3</v>
      </c>
    </row>
    <row r="439" spans="1:186" hidden="1" outlineLevel="1">
      <c r="A439" s="211" t="s">
        <v>1011</v>
      </c>
      <c r="B439" s="212" t="s">
        <v>1012</v>
      </c>
      <c r="C439" s="213" t="s">
        <v>215</v>
      </c>
      <c r="D439" s="214" t="s">
        <v>215</v>
      </c>
      <c r="E439" s="213"/>
      <c r="F439" s="213"/>
      <c r="G439" s="213"/>
      <c r="H439" s="213" t="s">
        <v>215</v>
      </c>
      <c r="I439" s="214" t="s">
        <v>215</v>
      </c>
      <c r="J439" s="214"/>
      <c r="K439" s="213" t="s">
        <v>215</v>
      </c>
      <c r="L439" s="213"/>
      <c r="M439" s="214"/>
      <c r="N439" s="213"/>
      <c r="O439" s="214"/>
      <c r="P439" s="213"/>
      <c r="Q439" s="214"/>
      <c r="R439" s="214" t="s">
        <v>215</v>
      </c>
      <c r="S439" s="214" t="s">
        <v>215</v>
      </c>
      <c r="T439" s="214"/>
      <c r="U439" s="215">
        <f t="shared" si="1173"/>
        <v>7</v>
      </c>
      <c r="V439" s="845" t="s">
        <v>399</v>
      </c>
      <c r="W439" s="216">
        <v>150268</v>
      </c>
      <c r="X439" s="217">
        <v>3.03</v>
      </c>
      <c r="Y439" s="218">
        <f t="shared" si="1101"/>
        <v>1.0303</v>
      </c>
      <c r="Z439" s="196">
        <v>19</v>
      </c>
      <c r="AA439" s="218">
        <f t="shared" si="1102"/>
        <v>1.7632354008841205</v>
      </c>
      <c r="AB439" s="196">
        <f t="shared" si="1194"/>
        <v>264957.85722005501</v>
      </c>
      <c r="AC439">
        <v>20.2</v>
      </c>
      <c r="AD439" s="196">
        <f t="shared" si="1195"/>
        <v>53521.487158451106</v>
      </c>
      <c r="AE439" s="196">
        <f t="shared" si="1148"/>
        <v>50845.412800528546</v>
      </c>
      <c r="AF439" s="196">
        <f t="shared" si="1174"/>
        <v>50845.412800528546</v>
      </c>
      <c r="AG439" s="606">
        <f t="shared" si="1216"/>
        <v>2.3508686723517917E-3</v>
      </c>
      <c r="AH439" s="196">
        <f t="shared" si="1188"/>
        <v>13247.892861002751</v>
      </c>
      <c r="AI439" s="248">
        <f t="shared" si="1193"/>
        <v>1.0262941874235919E-3</v>
      </c>
      <c r="AJ439" s="196">
        <f t="shared" si="1196"/>
        <v>66769.380019453849</v>
      </c>
      <c r="AK439" s="196">
        <f t="shared" si="1067"/>
        <v>10598.314288802201</v>
      </c>
      <c r="AL439" s="196">
        <f t="shared" si="1068"/>
        <v>10598.314288802201</v>
      </c>
      <c r="AM439" s="196">
        <f t="shared" si="1197"/>
        <v>21196.628577604402</v>
      </c>
      <c r="AN439" s="627">
        <f t="shared" si="1198"/>
        <v>1.0262941874235919E-3</v>
      </c>
      <c r="AO439" s="196">
        <f t="shared" si="1199"/>
        <v>10068.398574362091</v>
      </c>
      <c r="AP439" s="589">
        <f t="shared" si="1217"/>
        <v>1.0262941874235919E-3</v>
      </c>
      <c r="AQ439" s="196"/>
      <c r="AR439" s="589"/>
      <c r="AS439">
        <v>1</v>
      </c>
      <c r="AT439" s="589">
        <f t="shared" si="1218"/>
        <v>1.2919896640826874E-3</v>
      </c>
      <c r="AU439" s="196">
        <v>10</v>
      </c>
      <c r="AV439" s="245">
        <f t="shared" si="1200"/>
        <v>1.1362345188046814E-3</v>
      </c>
      <c r="AX439" s="245"/>
      <c r="AY439" s="245"/>
      <c r="AZ439" s="196">
        <v>34</v>
      </c>
      <c r="BA439" s="589">
        <f t="shared" si="1092"/>
        <v>1.2458319592539666E-3</v>
      </c>
      <c r="BI439" s="196">
        <v>0</v>
      </c>
      <c r="BJ439" s="196">
        <f t="shared" si="1175"/>
        <v>151430.36479893039</v>
      </c>
      <c r="BK439" s="246">
        <f t="shared" si="1093"/>
        <v>2.8876856929969468E-3</v>
      </c>
      <c r="BL439" s="196">
        <f t="shared" si="1189"/>
        <v>3028.6072959786079</v>
      </c>
      <c r="BM439" s="246">
        <f t="shared" si="1094"/>
        <v>2.8876853625984414E-3</v>
      </c>
      <c r="BN439" s="196">
        <v>0</v>
      </c>
      <c r="BO439" s="196">
        <f t="shared" si="1176"/>
        <v>19355.786746508536</v>
      </c>
      <c r="BP439" s="196">
        <f t="shared" si="1201"/>
        <v>0</v>
      </c>
      <c r="BQ439" s="248">
        <f t="shared" si="1095"/>
        <v>0</v>
      </c>
      <c r="BR439" s="248"/>
      <c r="BS439" s="248"/>
      <c r="BT439" s="276">
        <v>1</v>
      </c>
      <c r="BU439" s="196">
        <f t="shared" si="1190"/>
        <v>43159.727244574977</v>
      </c>
      <c r="BV439" s="264">
        <f t="shared" si="1096"/>
        <v>2.9936404329746289E-3</v>
      </c>
      <c r="BW439" s="196">
        <f t="shared" si="1191"/>
        <v>184627.72210179298</v>
      </c>
      <c r="BX439" s="247">
        <f t="shared" si="1097"/>
        <v>2.993640459941457E-3</v>
      </c>
      <c r="BY439" s="196">
        <f t="shared" si="1100"/>
        <v>227787.44934636797</v>
      </c>
      <c r="BZ439" s="620">
        <v>0</v>
      </c>
      <c r="CA439" s="196">
        <f t="shared" si="1177"/>
        <v>81077.104309336835</v>
      </c>
      <c r="CB439" s="196">
        <f t="shared" si="1178"/>
        <v>162154.20861867367</v>
      </c>
      <c r="CC439" s="196">
        <f t="shared" si="1214"/>
        <v>243231.31292801051</v>
      </c>
      <c r="CD439" s="247">
        <f t="shared" si="1202"/>
        <v>1.0262941874235919E-3</v>
      </c>
      <c r="CE439" s="196">
        <f t="shared" si="1179"/>
        <v>17842.736479712414</v>
      </c>
      <c r="CF439" s="247">
        <f t="shared" si="1203"/>
        <v>7.7050485113496934E-4</v>
      </c>
      <c r="CG439" s="196">
        <f t="shared" si="1150"/>
        <v>40273.594297448362</v>
      </c>
      <c r="CH439" s="589">
        <f t="shared" si="1219"/>
        <v>1.0262941874235919E-3</v>
      </c>
      <c r="CI439" s="196">
        <f t="shared" si="1180"/>
        <v>64738.761662152385</v>
      </c>
      <c r="CJ439" s="248">
        <f t="shared" si="1220"/>
        <v>1.0643050773970813E-3</v>
      </c>
      <c r="CK439" s="196">
        <f t="shared" si="1181"/>
        <v>78604.929638176589</v>
      </c>
      <c r="CL439" s="589">
        <f t="shared" si="1221"/>
        <v>1.1299620318930123E-3</v>
      </c>
      <c r="CM439" s="196">
        <f t="shared" si="1182"/>
        <v>7614.868665326162</v>
      </c>
      <c r="CN439" s="589">
        <f t="shared" si="1222"/>
        <v>1.0973891149985867E-3</v>
      </c>
      <c r="CO439" s="196">
        <f t="shared" si="1183"/>
        <v>609.20085664224507</v>
      </c>
      <c r="CP439" s="589">
        <f t="shared" si="1223"/>
        <v>1.1488589814211076E-3</v>
      </c>
      <c r="CQ439" s="196">
        <f>'Detailed Budget'!$AC$12</f>
        <v>292876014141.44696</v>
      </c>
      <c r="CR439" s="269">
        <f t="shared" si="1066"/>
        <v>845733875.85822785</v>
      </c>
      <c r="CS439" s="269">
        <f>'Detailed Budget'!$AC$16</f>
        <v>10488008800.000002</v>
      </c>
      <c r="CT439" s="607">
        <f t="shared" si="1152"/>
        <v>30286069.49456365</v>
      </c>
      <c r="CU439" s="269">
        <f>'Detailed Budget'!$AC$24</f>
        <v>30624985696</v>
      </c>
      <c r="CV439" s="269">
        <f t="shared" si="1091"/>
        <v>88435333.042575344</v>
      </c>
      <c r="CW439" s="269"/>
      <c r="CX439" s="269">
        <f t="shared" si="1215"/>
        <v>964455278.39536691</v>
      </c>
      <c r="CY439" s="196">
        <f>'Detailed Budget'!$AC$97</f>
        <v>74629165494.837845</v>
      </c>
      <c r="CZ439" s="269">
        <f t="shared" si="1153"/>
        <v>0</v>
      </c>
      <c r="DA439" s="269">
        <f>'Detailed Budget'!$AC$100</f>
        <v>14925833098.967569</v>
      </c>
      <c r="DB439" s="269">
        <f t="shared" si="1154"/>
        <v>0</v>
      </c>
      <c r="DC439" s="269">
        <f t="shared" si="1204"/>
        <v>0</v>
      </c>
      <c r="DD439" s="207">
        <v>1</v>
      </c>
      <c r="DE439" s="606">
        <v>0</v>
      </c>
      <c r="DF439" s="269">
        <f>'Detailed Budget'!$AC$147</f>
        <v>5913600671000</v>
      </c>
      <c r="DG439" s="269">
        <f t="shared" si="1086"/>
        <v>0</v>
      </c>
      <c r="DH439" s="269">
        <f>'Detailed Budget'!$AC$153</f>
        <v>226428026880.00003</v>
      </c>
      <c r="DI439" s="269"/>
      <c r="DJ439" s="269">
        <f>'Detailed Budget'!$AC$156</f>
        <v>27713070000</v>
      </c>
      <c r="DK439" s="269"/>
      <c r="DL439" s="269"/>
      <c r="DM439" s="196">
        <f>'Detailed Budget'!$AC$178</f>
        <v>5622683761.6229038</v>
      </c>
      <c r="DN439" s="269">
        <f t="shared" si="1184"/>
        <v>16832293.450624205</v>
      </c>
      <c r="DO439" s="196">
        <f>'Detailed Budget'!$AC$179</f>
        <v>26827890683.128094</v>
      </c>
      <c r="DP439" s="269">
        <f t="shared" si="1185"/>
        <v>80313059.00389871</v>
      </c>
      <c r="DQ439" s="269">
        <f t="shared" si="1192"/>
        <v>97145352.454522908</v>
      </c>
      <c r="DR439" s="269">
        <f>'Detailed Budget'!$AC$181</f>
        <v>50888946855.375237</v>
      </c>
      <c r="DS439" s="269">
        <f t="shared" si="1186"/>
        <v>119633230.93127687</v>
      </c>
      <c r="DT439" s="269">
        <f t="shared" si="1187"/>
        <v>216778583.38579977</v>
      </c>
      <c r="DU439" s="272">
        <f>'Detailed Budget'!$AC$192</f>
        <v>77498869683.252869</v>
      </c>
      <c r="DV439" s="269">
        <f t="shared" si="1155"/>
        <v>0</v>
      </c>
      <c r="DW439" s="140">
        <f>'Detailed Budget'!$AC$194</f>
        <v>2684962805.4134097</v>
      </c>
      <c r="DX439" s="269">
        <f t="shared" si="1156"/>
        <v>0</v>
      </c>
      <c r="DY439" s="607">
        <f t="shared" si="1205"/>
        <v>0</v>
      </c>
      <c r="DZ439" s="196">
        <f>'Detailed Budget'!$AC$198</f>
        <v>18732540018.380611</v>
      </c>
      <c r="EA439" s="269">
        <f t="shared" si="1157"/>
        <v>14433512.95824221</v>
      </c>
      <c r="EB439" s="196">
        <f>'Detailed Budget'!$AC$200</f>
        <v>4683135004.5951529</v>
      </c>
      <c r="EC439" s="269">
        <f t="shared" si="1158"/>
        <v>3608378.2395605524</v>
      </c>
      <c r="ED439" s="269">
        <f t="shared" si="1206"/>
        <v>18041891.197802763</v>
      </c>
      <c r="EE439" s="196">
        <f>'Detailed Budget'!$AC$161</f>
        <v>251147290106.36197</v>
      </c>
      <c r="EF439" s="269">
        <f t="shared" si="1159"/>
        <v>257751004.02334586</v>
      </c>
      <c r="EG439" s="196">
        <f>'Detailed Budget'!$AC$163</f>
        <v>15696705631.647623</v>
      </c>
      <c r="EH439" s="269">
        <f t="shared" si="1160"/>
        <v>16109437.751459116</v>
      </c>
      <c r="EI439" s="269">
        <f t="shared" si="1207"/>
        <v>273860441.77480495</v>
      </c>
      <c r="EJ439" s="196">
        <f>'Detailed Budget'!$AC$204</f>
        <v>45012172507.531975</v>
      </c>
      <c r="EK439" s="269">
        <f t="shared" si="1161"/>
        <v>47906683.744439594</v>
      </c>
      <c r="EL439" s="201">
        <f>'Detailed Budget'!$AC$206</f>
        <v>11253043126.882994</v>
      </c>
      <c r="EM439" s="269">
        <f t="shared" si="1162"/>
        <v>11976670.936109899</v>
      </c>
      <c r="EN439" s="269">
        <f t="shared" si="1208"/>
        <v>59883354.680549495</v>
      </c>
      <c r="EO439" s="140">
        <f>'Detailed Budget'!$AC$209</f>
        <v>135789361677.54817</v>
      </c>
      <c r="EP439" s="269">
        <f t="shared" si="1163"/>
        <v>153436823.03061748</v>
      </c>
      <c r="EQ439" s="196">
        <f>'Detailed Budget'!$AC$211</f>
        <v>33947340419.387043</v>
      </c>
      <c r="ER439" s="269">
        <f t="shared" si="1164"/>
        <v>38359205.757654369</v>
      </c>
      <c r="ES439" s="269">
        <f t="shared" si="1209"/>
        <v>191796028.78827184</v>
      </c>
      <c r="ET439" s="196">
        <f>'Detailed Budget'!$AC$214</f>
        <v>22239745544.201103</v>
      </c>
      <c r="EU439" s="269">
        <f t="shared" si="1165"/>
        <v>24405654.680544611</v>
      </c>
      <c r="EV439" s="140">
        <f>'Detailed Budget'!$AC$217</f>
        <v>5559936386.0502758</v>
      </c>
      <c r="EW439" s="269">
        <f t="shared" si="1166"/>
        <v>6101413.6701361528</v>
      </c>
      <c r="EX439" s="269">
        <f t="shared" si="1210"/>
        <v>30507068.350680765</v>
      </c>
      <c r="EY439" s="196">
        <f>'Detailed Budget'!$AC$219</f>
        <v>372777004.58170313</v>
      </c>
      <c r="EZ439" s="269">
        <f t="shared" si="1167"/>
        <v>428268.20978094701</v>
      </c>
      <c r="FA439" s="196">
        <f>'Detailed Budget'!$AC$222</f>
        <v>93194251.145425782</v>
      </c>
      <c r="FB439" s="269">
        <f t="shared" si="1168"/>
        <v>107067.05244523675</v>
      </c>
      <c r="FC439" s="269">
        <f t="shared" si="1211"/>
        <v>535335.26222618378</v>
      </c>
      <c r="FD439" s="269"/>
      <c r="FE439" s="269">
        <f t="shared" si="1212"/>
        <v>282721787.08172828</v>
      </c>
      <c r="FF439" s="140">
        <f>'Detailed Budget'!$AC$165</f>
        <v>14927760000</v>
      </c>
      <c r="FG439" s="1087">
        <f t="shared" si="1087"/>
        <v>385651232.02401233</v>
      </c>
      <c r="FH439" s="269">
        <f t="shared" si="1169"/>
        <v>16961436.200431772</v>
      </c>
      <c r="FJ439" s="140">
        <f>'Detailed Budget'!$AC$235</f>
        <v>3623696172</v>
      </c>
      <c r="FK439" s="269">
        <f t="shared" si="1170"/>
        <v>4681778</v>
      </c>
      <c r="FL439" s="269">
        <f t="shared" si="1088"/>
        <v>4681778</v>
      </c>
      <c r="FO439" s="607"/>
      <c r="FP439" s="607"/>
      <c r="FQ439" s="607"/>
      <c r="FR439" s="269">
        <f>'Detailed Budget'!$AC$257</f>
        <v>13636439388</v>
      </c>
      <c r="FS439" s="269">
        <f t="shared" si="1171"/>
        <v>16988712</v>
      </c>
      <c r="FT439" s="269">
        <f t="shared" si="1089"/>
        <v>16988712</v>
      </c>
      <c r="FU439" s="269"/>
      <c r="FV439" s="269"/>
      <c r="FW439" s="269"/>
      <c r="FX439" s="140">
        <f>'Detailed Budget'!$AC$278</f>
        <v>1114560000</v>
      </c>
      <c r="FY439" s="269">
        <f t="shared" si="1172"/>
        <v>1440000</v>
      </c>
      <c r="FZ439" s="269">
        <f t="shared" si="1090"/>
        <v>1440000</v>
      </c>
      <c r="GB439" s="269">
        <f t="shared" si="1098"/>
        <v>2181581140.0599465</v>
      </c>
      <c r="GC439" s="887">
        <f t="shared" si="1213"/>
        <v>1363488.2125374665</v>
      </c>
      <c r="GD439" s="1078">
        <f t="shared" si="1099"/>
        <v>1.2241538737207661E-3</v>
      </c>
    </row>
    <row r="440" spans="1:186" hidden="1" outlineLevel="1">
      <c r="A440" s="211" t="s">
        <v>1013</v>
      </c>
      <c r="B440" s="212" t="s">
        <v>1014</v>
      </c>
      <c r="C440" s="213" t="s">
        <v>215</v>
      </c>
      <c r="D440" s="214" t="s">
        <v>215</v>
      </c>
      <c r="E440" s="213"/>
      <c r="F440" s="213"/>
      <c r="G440" s="213"/>
      <c r="H440" s="213" t="s">
        <v>215</v>
      </c>
      <c r="I440" s="214" t="s">
        <v>215</v>
      </c>
      <c r="J440" s="214"/>
      <c r="K440" s="213" t="s">
        <v>215</v>
      </c>
      <c r="L440" s="213"/>
      <c r="M440" s="214"/>
      <c r="N440" s="213"/>
      <c r="O440" s="214"/>
      <c r="P440" s="213"/>
      <c r="Q440" s="214"/>
      <c r="R440" s="214" t="s">
        <v>215</v>
      </c>
      <c r="S440" s="214"/>
      <c r="T440" s="214"/>
      <c r="U440" s="215">
        <f t="shared" si="1173"/>
        <v>6</v>
      </c>
      <c r="V440" s="845" t="s">
        <v>219</v>
      </c>
      <c r="W440" s="216">
        <v>123154</v>
      </c>
      <c r="X440" s="217">
        <v>3.03</v>
      </c>
      <c r="Y440" s="218">
        <f t="shared" si="1101"/>
        <v>1.0303</v>
      </c>
      <c r="Z440" s="196">
        <v>19</v>
      </c>
      <c r="AA440" s="218">
        <f t="shared" si="1102"/>
        <v>1.7632354008841205</v>
      </c>
      <c r="AB440" s="196">
        <f t="shared" si="1194"/>
        <v>217149.49256048296</v>
      </c>
      <c r="AC440">
        <v>20.2</v>
      </c>
      <c r="AD440" s="196">
        <f t="shared" si="1195"/>
        <v>43864.197497217552</v>
      </c>
      <c r="AE440" s="196">
        <f t="shared" si="1148"/>
        <v>41670.987622356675</v>
      </c>
      <c r="AF440" s="196">
        <f t="shared" si="1174"/>
        <v>41670.987622356675</v>
      </c>
      <c r="AG440" s="606">
        <f t="shared" si="1216"/>
        <v>1.9266835285943287E-3</v>
      </c>
      <c r="AH440" s="196">
        <f t="shared" si="1188"/>
        <v>10857.474628024149</v>
      </c>
      <c r="AI440" s="248">
        <f t="shared" si="1193"/>
        <v>8.4111210875212979E-4</v>
      </c>
      <c r="AJ440" s="196">
        <f t="shared" si="1196"/>
        <v>54721.672125241705</v>
      </c>
      <c r="AK440" s="196">
        <f t="shared" si="1067"/>
        <v>8685.9797024193194</v>
      </c>
      <c r="AL440" s="196">
        <f t="shared" si="1068"/>
        <v>8685.9797024193194</v>
      </c>
      <c r="AM440" s="196">
        <f t="shared" si="1197"/>
        <v>17371.959404838639</v>
      </c>
      <c r="AN440" s="627">
        <f t="shared" si="1198"/>
        <v>8.4111210875212989E-4</v>
      </c>
      <c r="AO440" s="196">
        <f t="shared" si="1199"/>
        <v>8251.6807172983517</v>
      </c>
      <c r="AP440" s="589">
        <f t="shared" si="1217"/>
        <v>8.4111210875212968E-4</v>
      </c>
      <c r="AQ440" s="196"/>
      <c r="AR440" s="589"/>
      <c r="AS440">
        <v>1</v>
      </c>
      <c r="AT440" s="589">
        <f t="shared" si="1218"/>
        <v>1.2919896640826874E-3</v>
      </c>
      <c r="AU440" s="196">
        <v>10</v>
      </c>
      <c r="AV440" s="245">
        <f t="shared" si="1200"/>
        <v>1.1362345188046814E-3</v>
      </c>
      <c r="AX440" s="245"/>
      <c r="AY440" s="245"/>
      <c r="AZ440" s="196">
        <v>21</v>
      </c>
      <c r="BA440" s="589">
        <f t="shared" si="1092"/>
        <v>7.6948444542156754E-4</v>
      </c>
      <c r="BI440" s="196">
        <v>0</v>
      </c>
      <c r="BJ440" s="196">
        <f t="shared" si="1175"/>
        <v>124106.63046322219</v>
      </c>
      <c r="BK440" s="246">
        <f t="shared" si="1093"/>
        <v>2.3666385646667685E-3</v>
      </c>
      <c r="BL440" s="196">
        <f t="shared" si="1189"/>
        <v>2482.1326092644435</v>
      </c>
      <c r="BM440" s="246">
        <f t="shared" si="1094"/>
        <v>2.3666382938845819E-3</v>
      </c>
      <c r="BN440" s="196">
        <v>0</v>
      </c>
      <c r="BO440" s="196">
        <f t="shared" si="1176"/>
        <v>15863.274689085587</v>
      </c>
      <c r="BP440" s="196">
        <f t="shared" si="1201"/>
        <v>0</v>
      </c>
      <c r="BQ440" s="248">
        <f t="shared" si="1095"/>
        <v>0</v>
      </c>
      <c r="BR440" s="248"/>
      <c r="BS440" s="248"/>
      <c r="BT440" s="276">
        <v>1</v>
      </c>
      <c r="BU440" s="196">
        <f t="shared" si="1190"/>
        <v>35372.088861756238</v>
      </c>
      <c r="BV440" s="264">
        <f t="shared" si="1096"/>
        <v>2.4534750837341113E-3</v>
      </c>
      <c r="BW440" s="196">
        <f t="shared" si="1191"/>
        <v>151313.9356864017</v>
      </c>
      <c r="BX440" s="247">
        <f t="shared" si="1097"/>
        <v>2.453475105835109E-3</v>
      </c>
      <c r="BY440" s="196">
        <f t="shared" si="1100"/>
        <v>186686.02454815793</v>
      </c>
      <c r="BZ440" s="620">
        <v>0</v>
      </c>
      <c r="CA440" s="196">
        <f t="shared" si="1177"/>
        <v>66447.744723507785</v>
      </c>
      <c r="CB440" s="196">
        <f t="shared" si="1178"/>
        <v>132895.48944701557</v>
      </c>
      <c r="CC440" s="196">
        <f t="shared" si="1214"/>
        <v>199343.23417052336</v>
      </c>
      <c r="CD440" s="247">
        <f t="shared" si="1202"/>
        <v>8.4111210875212979E-4</v>
      </c>
      <c r="CE440" s="196">
        <f t="shared" si="1179"/>
        <v>14623.235608529447</v>
      </c>
      <c r="CF440" s="247">
        <f t="shared" si="1203"/>
        <v>6.3147679104450731E-4</v>
      </c>
      <c r="CG440" s="196">
        <f t="shared" si="1150"/>
        <v>33006.722869193407</v>
      </c>
      <c r="CH440" s="589">
        <f t="shared" si="1219"/>
        <v>8.4111210875212968E-4</v>
      </c>
      <c r="CI440" s="196">
        <f t="shared" si="1180"/>
        <v>53057.453707647095</v>
      </c>
      <c r="CJ440" s="248">
        <f t="shared" si="1220"/>
        <v>8.7226440427609425E-4</v>
      </c>
      <c r="CK440" s="196">
        <f t="shared" si="1181"/>
        <v>64421.643361593931</v>
      </c>
      <c r="CL440" s="589">
        <f t="shared" si="1221"/>
        <v>9.2607437428961583E-4</v>
      </c>
      <c r="CM440" s="196">
        <f t="shared" si="1182"/>
        <v>6240.8599010406606</v>
      </c>
      <c r="CN440" s="589">
        <f t="shared" si="1222"/>
        <v>8.9937883693491563E-4</v>
      </c>
      <c r="CO440" s="196">
        <f t="shared" si="1183"/>
        <v>499.27810511166075</v>
      </c>
      <c r="CP440" s="589">
        <f t="shared" si="1223"/>
        <v>9.4156160325508471E-4</v>
      </c>
      <c r="CQ440" s="196">
        <f>'Detailed Budget'!$AC$12</f>
        <v>292876014141.44696</v>
      </c>
      <c r="CR440" s="269">
        <f t="shared" si="1066"/>
        <v>693131669.73303819</v>
      </c>
      <c r="CS440" s="269">
        <f>'Detailed Budget'!$AC$16</f>
        <v>10488008800.000002</v>
      </c>
      <c r="CT440" s="607">
        <f t="shared" si="1152"/>
        <v>24821323.252678487</v>
      </c>
      <c r="CU440" s="269">
        <f>'Detailed Budget'!$AC$24</f>
        <v>30624985696</v>
      </c>
      <c r="CV440" s="269">
        <f t="shared" si="1091"/>
        <v>72478272.190521762</v>
      </c>
      <c r="CW440" s="269"/>
      <c r="CX440" s="269">
        <f t="shared" si="1215"/>
        <v>790431265.17623842</v>
      </c>
      <c r="CY440" s="196">
        <f>'Detailed Budget'!$AC$97</f>
        <v>74629165494.837845</v>
      </c>
      <c r="CZ440" s="269">
        <f t="shared" si="1153"/>
        <v>0</v>
      </c>
      <c r="DA440" s="269">
        <f>'Detailed Budget'!$AC$100</f>
        <v>14925833098.967569</v>
      </c>
      <c r="DB440" s="269">
        <f t="shared" si="1154"/>
        <v>0</v>
      </c>
      <c r="DC440" s="269">
        <f t="shared" si="1204"/>
        <v>0</v>
      </c>
      <c r="DD440" s="207">
        <v>0</v>
      </c>
      <c r="DE440" s="606">
        <v>0</v>
      </c>
      <c r="DF440" s="269">
        <f>'Detailed Budget'!$AC$147</f>
        <v>5913600671000</v>
      </c>
      <c r="DG440" s="269">
        <f t="shared" si="1086"/>
        <v>0</v>
      </c>
      <c r="DH440" s="269">
        <f>'Detailed Budget'!$AC$153</f>
        <v>226428026880.00003</v>
      </c>
      <c r="DI440" s="269"/>
      <c r="DJ440" s="269">
        <f>'Detailed Budget'!$AC$156</f>
        <v>27713070000</v>
      </c>
      <c r="DK440" s="269"/>
      <c r="DL440" s="269"/>
      <c r="DM440" s="196">
        <f>'Detailed Budget'!$AC$178</f>
        <v>5622683761.6229038</v>
      </c>
      <c r="DN440" s="269">
        <f t="shared" si="1184"/>
        <v>13795114.512858182</v>
      </c>
      <c r="DO440" s="196">
        <f>'Detailed Budget'!$AC$179</f>
        <v>26827890683.128094</v>
      </c>
      <c r="DP440" s="269">
        <f t="shared" si="1185"/>
        <v>65821561.933120437</v>
      </c>
      <c r="DQ440" s="269">
        <f t="shared" si="1192"/>
        <v>79616676.445978612</v>
      </c>
      <c r="DR440" s="269">
        <f>'Detailed Budget'!$AC$181</f>
        <v>50888946855.375237</v>
      </c>
      <c r="DS440" s="269">
        <f t="shared" si="1186"/>
        <v>98046895.693763629</v>
      </c>
      <c r="DT440" s="269">
        <f t="shared" si="1187"/>
        <v>177663572.13974226</v>
      </c>
      <c r="DU440" s="272">
        <f>'Detailed Budget'!$AC$192</f>
        <v>77498869683.252869</v>
      </c>
      <c r="DV440" s="269">
        <f t="shared" si="1155"/>
        <v>0</v>
      </c>
      <c r="DW440" s="140">
        <f>'Detailed Budget'!$AC$194</f>
        <v>2684962805.4134097</v>
      </c>
      <c r="DX440" s="269">
        <f t="shared" si="1156"/>
        <v>0</v>
      </c>
      <c r="DY440" s="607">
        <f t="shared" si="1205"/>
        <v>0</v>
      </c>
      <c r="DZ440" s="196">
        <f>'Detailed Budget'!$AC$198</f>
        <v>18732540018.380611</v>
      </c>
      <c r="EA440" s="269">
        <f t="shared" si="1157"/>
        <v>11829164.258919805</v>
      </c>
      <c r="EB440" s="196">
        <f>'Detailed Budget'!$AC$200</f>
        <v>4683135004.5951529</v>
      </c>
      <c r="EC440" s="269">
        <f t="shared" si="1158"/>
        <v>2957291.0647299513</v>
      </c>
      <c r="ED440" s="269">
        <f t="shared" si="1206"/>
        <v>14786455.323649757</v>
      </c>
      <c r="EE440" s="196">
        <f>'Detailed Budget'!$AC$161</f>
        <v>251147290106.36197</v>
      </c>
      <c r="EF440" s="269">
        <f t="shared" si="1159"/>
        <v>211243026.78874499</v>
      </c>
      <c r="EG440" s="196">
        <f>'Detailed Budget'!$AC$163</f>
        <v>15696705631.647623</v>
      </c>
      <c r="EH440" s="269">
        <f t="shared" si="1160"/>
        <v>13202689.174296562</v>
      </c>
      <c r="EI440" s="269">
        <f t="shared" si="1207"/>
        <v>224445715.96304154</v>
      </c>
      <c r="EJ440" s="196">
        <f>'Detailed Budget'!$AC$204</f>
        <v>45012172507.531975</v>
      </c>
      <c r="EK440" s="269">
        <f t="shared" si="1161"/>
        <v>39262515.837455168</v>
      </c>
      <c r="EL440" s="201">
        <f>'Detailed Budget'!$AC$206</f>
        <v>11253043126.882994</v>
      </c>
      <c r="EM440" s="269">
        <f t="shared" si="1162"/>
        <v>9815628.9593637921</v>
      </c>
      <c r="EN440" s="269">
        <f t="shared" si="1208"/>
        <v>49078144.796818957</v>
      </c>
      <c r="EO440" s="140">
        <f>'Detailed Budget'!$AC$209</f>
        <v>135789361677.54817</v>
      </c>
      <c r="EP440" s="269">
        <f t="shared" si="1163"/>
        <v>125751048.15072176</v>
      </c>
      <c r="EQ440" s="196">
        <f>'Detailed Budget'!$AC$211</f>
        <v>33947340419.387043</v>
      </c>
      <c r="ER440" s="269">
        <f t="shared" si="1164"/>
        <v>31437762.03768044</v>
      </c>
      <c r="ES440" s="269">
        <f t="shared" si="1209"/>
        <v>157188810.18840221</v>
      </c>
      <c r="ET440" s="196">
        <f>'Detailed Budget'!$AC$214</f>
        <v>22239745544.201103</v>
      </c>
      <c r="EU440" s="269">
        <f t="shared" si="1165"/>
        <v>20001956.48127206</v>
      </c>
      <c r="EV440" s="140">
        <f>'Detailed Budget'!$AC$217</f>
        <v>5559936386.0502758</v>
      </c>
      <c r="EW440" s="269">
        <f t="shared" si="1166"/>
        <v>5000489.1203180151</v>
      </c>
      <c r="EX440" s="269">
        <f t="shared" si="1210"/>
        <v>25002445.601590075</v>
      </c>
      <c r="EY440" s="196">
        <f>'Detailed Budget'!$AC$219</f>
        <v>372777004.58170313</v>
      </c>
      <c r="EZ440" s="269">
        <f t="shared" si="1167"/>
        <v>350992.51409057644</v>
      </c>
      <c r="FA440" s="196">
        <f>'Detailed Budget'!$AC$222</f>
        <v>93194251.145425782</v>
      </c>
      <c r="FB440" s="269">
        <f t="shared" si="1168"/>
        <v>87748.12852264411</v>
      </c>
      <c r="FC440" s="269">
        <f t="shared" si="1211"/>
        <v>438740.64261322055</v>
      </c>
      <c r="FD440" s="269"/>
      <c r="FE440" s="269">
        <f t="shared" si="1212"/>
        <v>231708141.22942445</v>
      </c>
      <c r="FF440" s="140">
        <f>'Detailed Budget'!$AC$165</f>
        <v>14927760000</v>
      </c>
      <c r="FG440" s="1087">
        <f t="shared" si="1087"/>
        <v>316065242.29167354</v>
      </c>
      <c r="FH440" s="269">
        <f t="shared" si="1169"/>
        <v>16961436.200431772</v>
      </c>
      <c r="FJ440" s="140">
        <f>'Detailed Budget'!$AC$235</f>
        <v>3623696172</v>
      </c>
      <c r="FK440" s="269">
        <f t="shared" si="1170"/>
        <v>4681778</v>
      </c>
      <c r="FL440" s="269">
        <f t="shared" si="1088"/>
        <v>4681778</v>
      </c>
      <c r="FO440" s="607"/>
      <c r="FP440" s="607"/>
      <c r="FQ440" s="607"/>
      <c r="FR440" s="269">
        <f>'Detailed Budget'!$AC$257</f>
        <v>13636439388</v>
      </c>
      <c r="FS440" s="269">
        <f t="shared" si="1171"/>
        <v>10493028</v>
      </c>
      <c r="FT440" s="269">
        <f t="shared" si="1089"/>
        <v>10493028</v>
      </c>
      <c r="FU440" s="269"/>
      <c r="FV440" s="269"/>
      <c r="FW440" s="269"/>
      <c r="FX440" s="140">
        <f>'Detailed Budget'!$AC$278</f>
        <v>1114560000</v>
      </c>
      <c r="FY440" s="269">
        <f t="shared" si="1172"/>
        <v>1440000</v>
      </c>
      <c r="FZ440" s="269">
        <f t="shared" si="1090"/>
        <v>1440000</v>
      </c>
      <c r="GB440" s="269">
        <f t="shared" si="1098"/>
        <v>1788676634.3242021</v>
      </c>
      <c r="GC440" s="887">
        <f t="shared" si="1213"/>
        <v>1117922.8964526262</v>
      </c>
      <c r="GD440" s="1078">
        <f t="shared" si="1099"/>
        <v>1.0036827833420062E-3</v>
      </c>
    </row>
    <row r="441" spans="1:186" hidden="1" outlineLevel="1">
      <c r="A441" s="211" t="s">
        <v>1015</v>
      </c>
      <c r="B441" s="212" t="s">
        <v>1016</v>
      </c>
      <c r="C441" s="213" t="s">
        <v>215</v>
      </c>
      <c r="D441" s="214" t="s">
        <v>215</v>
      </c>
      <c r="E441" s="213"/>
      <c r="F441" s="213"/>
      <c r="G441" s="213"/>
      <c r="H441" s="213" t="s">
        <v>215</v>
      </c>
      <c r="I441" s="214" t="s">
        <v>215</v>
      </c>
      <c r="J441" s="214"/>
      <c r="K441" s="213" t="s">
        <v>215</v>
      </c>
      <c r="L441" s="213"/>
      <c r="M441" s="214"/>
      <c r="N441" s="213"/>
      <c r="O441" s="214"/>
      <c r="P441" s="213"/>
      <c r="Q441" s="214"/>
      <c r="R441" s="214" t="s">
        <v>215</v>
      </c>
      <c r="S441" s="214"/>
      <c r="T441" s="214"/>
      <c r="U441" s="215">
        <f t="shared" si="1173"/>
        <v>6</v>
      </c>
      <c r="V441" s="845" t="s">
        <v>219</v>
      </c>
      <c r="W441" s="216">
        <v>134084</v>
      </c>
      <c r="X441" s="217">
        <v>3.03</v>
      </c>
      <c r="Y441" s="218">
        <f t="shared" si="1101"/>
        <v>1.0303</v>
      </c>
      <c r="Z441" s="196">
        <v>19</v>
      </c>
      <c r="AA441" s="218">
        <f t="shared" si="1102"/>
        <v>1.7632354008841205</v>
      </c>
      <c r="AB441" s="196">
        <f t="shared" si="1194"/>
        <v>236421.65549214641</v>
      </c>
      <c r="AC441">
        <v>20.2</v>
      </c>
      <c r="AD441" s="196">
        <f t="shared" si="1195"/>
        <v>47757.174409413572</v>
      </c>
      <c r="AE441" s="196">
        <f t="shared" si="1148"/>
        <v>45369.315688942894</v>
      </c>
      <c r="AF441" s="196">
        <f t="shared" si="1174"/>
        <v>45369.315688942894</v>
      </c>
      <c r="AG441" s="606">
        <f t="shared" si="1216"/>
        <v>2.0976779824288449E-3</v>
      </c>
      <c r="AH441" s="196">
        <f t="shared" si="1188"/>
        <v>11821.082774607321</v>
      </c>
      <c r="AI441" s="248">
        <f t="shared" si="1193"/>
        <v>9.1576137185897803E-4</v>
      </c>
      <c r="AJ441" s="196">
        <f t="shared" si="1196"/>
        <v>59578.257184020891</v>
      </c>
      <c r="AK441" s="196">
        <f t="shared" si="1067"/>
        <v>9456.8662196858568</v>
      </c>
      <c r="AL441" s="196">
        <f t="shared" si="1068"/>
        <v>9456.8662196858568</v>
      </c>
      <c r="AM441" s="196">
        <f t="shared" si="1197"/>
        <v>18913.732439371714</v>
      </c>
      <c r="AN441" s="627">
        <f t="shared" si="1198"/>
        <v>9.1576137185897803E-4</v>
      </c>
      <c r="AO441" s="196">
        <f t="shared" si="1199"/>
        <v>8984.0229087015632</v>
      </c>
      <c r="AP441" s="589">
        <f t="shared" si="1217"/>
        <v>9.1576137185897793E-4</v>
      </c>
      <c r="AQ441" s="196"/>
      <c r="AR441" s="589"/>
      <c r="AS441">
        <v>1</v>
      </c>
      <c r="AT441" s="589">
        <f t="shared" si="1218"/>
        <v>1.2919896640826874E-3</v>
      </c>
      <c r="AU441" s="196">
        <v>11</v>
      </c>
      <c r="AV441" s="245">
        <f t="shared" si="1200"/>
        <v>1.2498579706851495E-3</v>
      </c>
      <c r="AX441" s="245"/>
      <c r="AY441" s="245"/>
      <c r="AZ441" s="196">
        <v>34</v>
      </c>
      <c r="BA441" s="589">
        <f t="shared" si="1092"/>
        <v>1.2458319592539666E-3</v>
      </c>
      <c r="BI441" s="196">
        <v>0</v>
      </c>
      <c r="BJ441" s="196">
        <f t="shared" si="1175"/>
        <v>135121.17705499363</v>
      </c>
      <c r="BK441" s="246">
        <f t="shared" si="1093"/>
        <v>2.5766793226755041E-3</v>
      </c>
      <c r="BL441" s="196">
        <f t="shared" si="1189"/>
        <v>2702.4235410998726</v>
      </c>
      <c r="BM441" s="246">
        <f t="shared" si="1094"/>
        <v>2.5766790278612174E-3</v>
      </c>
      <c r="BN441" s="196">
        <v>0</v>
      </c>
      <c r="BO441" s="196">
        <f t="shared" si="1176"/>
        <v>17271.150944438279</v>
      </c>
      <c r="BP441" s="196">
        <f t="shared" si="1201"/>
        <v>0</v>
      </c>
      <c r="BQ441" s="248">
        <f t="shared" si="1095"/>
        <v>0</v>
      </c>
      <c r="BR441" s="248"/>
      <c r="BS441" s="248"/>
      <c r="BT441" s="276">
        <v>1</v>
      </c>
      <c r="BU441" s="196">
        <f t="shared" si="1190"/>
        <v>38511.385443751104</v>
      </c>
      <c r="BV441" s="264">
        <f t="shared" si="1096"/>
        <v>2.6712226409812477E-3</v>
      </c>
      <c r="BW441" s="196">
        <f t="shared" si="1191"/>
        <v>164743.14884271307</v>
      </c>
      <c r="BX441" s="247">
        <f t="shared" si="1097"/>
        <v>2.6712226650437237E-3</v>
      </c>
      <c r="BY441" s="196">
        <f t="shared" si="1100"/>
        <v>203254.53428646416</v>
      </c>
      <c r="BZ441" s="620">
        <v>0</v>
      </c>
      <c r="CA441" s="196">
        <f t="shared" si="1177"/>
        <v>72345.026580596808</v>
      </c>
      <c r="CB441" s="196">
        <f t="shared" si="1178"/>
        <v>144690.05316119362</v>
      </c>
      <c r="CC441" s="196">
        <f t="shared" si="1214"/>
        <v>217035.07974179043</v>
      </c>
      <c r="CD441" s="247">
        <f t="shared" si="1202"/>
        <v>9.1576137185897803E-4</v>
      </c>
      <c r="CE441" s="196">
        <f t="shared" si="1179"/>
        <v>15921.057564789306</v>
      </c>
      <c r="CF441" s="247">
        <f t="shared" si="1203"/>
        <v>6.8752077927157636E-4</v>
      </c>
      <c r="CG441" s="196">
        <f t="shared" si="1150"/>
        <v>35936.091634806253</v>
      </c>
      <c r="CH441" s="589">
        <f t="shared" si="1219"/>
        <v>9.1576137185897793E-4</v>
      </c>
      <c r="CI441" s="196">
        <f t="shared" si="1180"/>
        <v>57766.338267016537</v>
      </c>
      <c r="CJ441" s="248">
        <f t="shared" si="1220"/>
        <v>9.4967845447939847E-4</v>
      </c>
      <c r="CK441" s="196">
        <f t="shared" si="1181"/>
        <v>70139.107365542033</v>
      </c>
      <c r="CL441" s="589">
        <f t="shared" si="1221"/>
        <v>1.0082640953785415E-3</v>
      </c>
      <c r="CM441" s="196">
        <f t="shared" si="1182"/>
        <v>6794.740397966254</v>
      </c>
      <c r="CN441" s="589">
        <f t="shared" si="1222"/>
        <v>9.7919931120045824E-4</v>
      </c>
      <c r="CO441" s="196">
        <f t="shared" si="1183"/>
        <v>543.58937140321825</v>
      </c>
      <c r="CP441" s="589">
        <f t="shared" si="1223"/>
        <v>1.0251258262894817E-3</v>
      </c>
      <c r="CQ441" s="196">
        <f>'Detailed Budget'!$AC$12</f>
        <v>292876014141.44696</v>
      </c>
      <c r="CR441" s="269">
        <f t="shared" si="1066"/>
        <v>754647569.7458849</v>
      </c>
      <c r="CS441" s="269">
        <f>'Detailed Budget'!$AC$16</f>
        <v>10488008800.000002</v>
      </c>
      <c r="CT441" s="607">
        <f t="shared" si="1152"/>
        <v>27024232.318983898</v>
      </c>
      <c r="CU441" s="269">
        <f>'Detailed Budget'!$AC$24</f>
        <v>30624985696</v>
      </c>
      <c r="CV441" s="269">
        <f t="shared" si="1091"/>
        <v>78910767.40011628</v>
      </c>
      <c r="CW441" s="269"/>
      <c r="CX441" s="269">
        <f t="shared" si="1215"/>
        <v>860582569.46498513</v>
      </c>
      <c r="CY441" s="196">
        <f>'Detailed Budget'!$AC$97</f>
        <v>74629165494.837845</v>
      </c>
      <c r="CZ441" s="269">
        <f t="shared" si="1153"/>
        <v>0</v>
      </c>
      <c r="DA441" s="269">
        <f>'Detailed Budget'!$AC$100</f>
        <v>14925833098.967569</v>
      </c>
      <c r="DB441" s="269">
        <f t="shared" si="1154"/>
        <v>0</v>
      </c>
      <c r="DC441" s="269">
        <f t="shared" si="1204"/>
        <v>0</v>
      </c>
      <c r="DD441" s="207">
        <v>0</v>
      </c>
      <c r="DE441" s="606">
        <v>0</v>
      </c>
      <c r="DF441" s="269">
        <f>'Detailed Budget'!$AC$147</f>
        <v>5913600671000</v>
      </c>
      <c r="DG441" s="269">
        <f t="shared" si="1086"/>
        <v>0</v>
      </c>
      <c r="DH441" s="269">
        <f>'Detailed Budget'!$AC$153</f>
        <v>226428026880.00003</v>
      </c>
      <c r="DI441" s="269"/>
      <c r="DJ441" s="269">
        <f>'Detailed Budget'!$AC$156</f>
        <v>27713070000</v>
      </c>
      <c r="DK441" s="269"/>
      <c r="DL441" s="269"/>
      <c r="DM441" s="196">
        <f>'Detailed Budget'!$AC$178</f>
        <v>5622683761.6229038</v>
      </c>
      <c r="DN441" s="269">
        <f t="shared" si="1184"/>
        <v>15019440.167124709</v>
      </c>
      <c r="DO441" s="196">
        <f>'Detailed Budget'!$AC$179</f>
        <v>26827890683.128094</v>
      </c>
      <c r="DP441" s="269">
        <f t="shared" si="1185"/>
        <v>71663269.648087114</v>
      </c>
      <c r="DQ441" s="269">
        <f t="shared" si="1192"/>
        <v>86682709.815211818</v>
      </c>
      <c r="DR441" s="269">
        <f>'Detailed Budget'!$AC$181</f>
        <v>50888946855.375237</v>
      </c>
      <c r="DS441" s="269">
        <f t="shared" si="1186"/>
        <v>106748623.36751224</v>
      </c>
      <c r="DT441" s="269">
        <f t="shared" si="1187"/>
        <v>193431333.18272406</v>
      </c>
      <c r="DU441" s="272">
        <f>'Detailed Budget'!$AC$192</f>
        <v>77498869683.252869</v>
      </c>
      <c r="DV441" s="269">
        <f t="shared" si="1155"/>
        <v>0</v>
      </c>
      <c r="DW441" s="140">
        <f>'Detailed Budget'!$AC$194</f>
        <v>2684962805.4134097</v>
      </c>
      <c r="DX441" s="269">
        <f t="shared" si="1156"/>
        <v>0</v>
      </c>
      <c r="DY441" s="607">
        <f t="shared" si="1205"/>
        <v>0</v>
      </c>
      <c r="DZ441" s="196">
        <f>'Detailed Budget'!$AC$198</f>
        <v>18732540018.380611</v>
      </c>
      <c r="EA441" s="269">
        <f t="shared" si="1157"/>
        <v>12879010.511173027</v>
      </c>
      <c r="EB441" s="196">
        <f>'Detailed Budget'!$AC$200</f>
        <v>4683135004.5951529</v>
      </c>
      <c r="EC441" s="269">
        <f t="shared" si="1158"/>
        <v>3219752.6277932567</v>
      </c>
      <c r="ED441" s="269">
        <f t="shared" si="1206"/>
        <v>16098763.138966283</v>
      </c>
      <c r="EE441" s="196">
        <f>'Detailed Budget'!$AC$161</f>
        <v>251147290106.36197</v>
      </c>
      <c r="EF441" s="269">
        <f t="shared" si="1159"/>
        <v>229990986.92646676</v>
      </c>
      <c r="EG441" s="196">
        <f>'Detailed Budget'!$AC$163</f>
        <v>15696705631.647623</v>
      </c>
      <c r="EH441" s="269">
        <f t="shared" si="1160"/>
        <v>14374436.682904173</v>
      </c>
      <c r="EI441" s="269">
        <f t="shared" si="1207"/>
        <v>244365423.60937095</v>
      </c>
      <c r="EJ441" s="196">
        <f>'Detailed Budget'!$AC$204</f>
        <v>45012172507.531975</v>
      </c>
      <c r="EK441" s="269">
        <f t="shared" si="1161"/>
        <v>42747090.419713035</v>
      </c>
      <c r="EL441" s="201">
        <f>'Detailed Budget'!$AC$206</f>
        <v>11253043126.882994</v>
      </c>
      <c r="EM441" s="269">
        <f t="shared" si="1162"/>
        <v>10686772.604928259</v>
      </c>
      <c r="EN441" s="269">
        <f t="shared" si="1208"/>
        <v>53433863.02464129</v>
      </c>
      <c r="EO441" s="140">
        <f>'Detailed Budget'!$AC$209</f>
        <v>135789361677.54817</v>
      </c>
      <c r="EP441" s="269">
        <f t="shared" si="1163"/>
        <v>136911537.91384271</v>
      </c>
      <c r="EQ441" s="196">
        <f>'Detailed Budget'!$AC$211</f>
        <v>33947340419.387043</v>
      </c>
      <c r="ER441" s="269">
        <f t="shared" si="1164"/>
        <v>34227884.478460677</v>
      </c>
      <c r="ES441" s="269">
        <f t="shared" si="1209"/>
        <v>171139422.39230338</v>
      </c>
      <c r="ET441" s="196">
        <f>'Detailed Budget'!$AC$214</f>
        <v>22239745544.201103</v>
      </c>
      <c r="EU441" s="269">
        <f t="shared" si="1165"/>
        <v>21777143.51815518</v>
      </c>
      <c r="EV441" s="140">
        <f>'Detailed Budget'!$AC$217</f>
        <v>5559936386.0502758</v>
      </c>
      <c r="EW441" s="269">
        <f t="shared" si="1166"/>
        <v>5444285.879538795</v>
      </c>
      <c r="EX441" s="269">
        <f t="shared" si="1210"/>
        <v>27221429.397693977</v>
      </c>
      <c r="EY441" s="196">
        <f>'Detailed Budget'!$AC$219</f>
        <v>372777004.58170313</v>
      </c>
      <c r="EZ441" s="269">
        <f t="shared" si="1167"/>
        <v>382143.33484353632</v>
      </c>
      <c r="FA441" s="196">
        <f>'Detailed Budget'!$AC$222</f>
        <v>93194251.145425782</v>
      </c>
      <c r="FB441" s="269">
        <f t="shared" si="1168"/>
        <v>95535.833710884079</v>
      </c>
      <c r="FC441" s="269">
        <f t="shared" si="1211"/>
        <v>477679.16855442041</v>
      </c>
      <c r="FD441" s="269"/>
      <c r="FE441" s="269">
        <f t="shared" si="1212"/>
        <v>252272393.9831931</v>
      </c>
      <c r="FF441" s="140">
        <f>'Detailed Budget'!$AC$165</f>
        <v>14927760000</v>
      </c>
      <c r="FG441" s="1087">
        <f t="shared" si="1087"/>
        <v>344116244.27494657</v>
      </c>
      <c r="FH441" s="269">
        <f t="shared" si="1169"/>
        <v>18657579.820474949</v>
      </c>
      <c r="FJ441" s="140">
        <f>'Detailed Budget'!$AC$235</f>
        <v>3623696172</v>
      </c>
      <c r="FK441" s="269">
        <f t="shared" si="1170"/>
        <v>4681778</v>
      </c>
      <c r="FL441" s="269">
        <f t="shared" si="1088"/>
        <v>4681778</v>
      </c>
      <c r="FO441" s="607"/>
      <c r="FP441" s="607"/>
      <c r="FQ441" s="607"/>
      <c r="FR441" s="269">
        <f>'Detailed Budget'!$AC$257</f>
        <v>13636439388</v>
      </c>
      <c r="FS441" s="269">
        <f t="shared" si="1171"/>
        <v>16988712</v>
      </c>
      <c r="FT441" s="269">
        <f t="shared" si="1089"/>
        <v>16988712</v>
      </c>
      <c r="FU441" s="269"/>
      <c r="FV441" s="269"/>
      <c r="FW441" s="269"/>
      <c r="FX441" s="140">
        <f>'Detailed Budget'!$AC$278</f>
        <v>1114560000</v>
      </c>
      <c r="FY441" s="269">
        <f t="shared" si="1172"/>
        <v>1440000</v>
      </c>
      <c r="FZ441" s="269">
        <f t="shared" si="1090"/>
        <v>1440000</v>
      </c>
      <c r="GB441" s="269">
        <f t="shared" si="1098"/>
        <v>1952634797.4746611</v>
      </c>
      <c r="GC441" s="887">
        <f t="shared" si="1213"/>
        <v>1220396.7484216632</v>
      </c>
      <c r="GD441" s="1078">
        <f t="shared" si="1099"/>
        <v>1.0956848715812089E-3</v>
      </c>
    </row>
    <row r="442" spans="1:186" hidden="1" outlineLevel="1">
      <c r="A442" s="211" t="s">
        <v>1017</v>
      </c>
      <c r="B442" s="212" t="s">
        <v>1018</v>
      </c>
      <c r="C442" s="213" t="s">
        <v>215</v>
      </c>
      <c r="D442" s="214" t="s">
        <v>215</v>
      </c>
      <c r="E442" s="213"/>
      <c r="F442" s="213"/>
      <c r="G442" s="213"/>
      <c r="H442" s="213" t="s">
        <v>215</v>
      </c>
      <c r="I442" s="214" t="s">
        <v>215</v>
      </c>
      <c r="J442" s="214"/>
      <c r="K442" s="213" t="s">
        <v>215</v>
      </c>
      <c r="L442" s="213"/>
      <c r="M442" s="214"/>
      <c r="N442" s="213"/>
      <c r="O442" s="214"/>
      <c r="P442" s="213"/>
      <c r="Q442" s="214"/>
      <c r="R442" s="214" t="s">
        <v>215</v>
      </c>
      <c r="S442" s="214"/>
      <c r="T442" s="214"/>
      <c r="U442" s="215">
        <f t="shared" si="1173"/>
        <v>6</v>
      </c>
      <c r="V442" s="845" t="s">
        <v>219</v>
      </c>
      <c r="W442" s="216">
        <v>149152</v>
      </c>
      <c r="X442" s="217">
        <v>3.03</v>
      </c>
      <c r="Y442" s="218">
        <f t="shared" si="1101"/>
        <v>1.0303</v>
      </c>
      <c r="Z442" s="196">
        <v>19</v>
      </c>
      <c r="AA442" s="218">
        <f t="shared" si="1102"/>
        <v>1.7632354008841205</v>
      </c>
      <c r="AB442" s="196">
        <f t="shared" si="1194"/>
        <v>262990.08651266835</v>
      </c>
      <c r="AC442">
        <v>20.2</v>
      </c>
      <c r="AD442" s="196">
        <f t="shared" si="1195"/>
        <v>53123.997475559001</v>
      </c>
      <c r="AE442" s="196">
        <f t="shared" si="1148"/>
        <v>50467.797601781051</v>
      </c>
      <c r="AF442" s="196">
        <f t="shared" si="1174"/>
        <v>50467.797601781051</v>
      </c>
      <c r="AG442" s="606">
        <f t="shared" si="1216"/>
        <v>2.3334094033234921E-3</v>
      </c>
      <c r="AH442" s="196">
        <f t="shared" si="1188"/>
        <v>13149.504325633417</v>
      </c>
      <c r="AI442" s="248">
        <f t="shared" si="1193"/>
        <v>1.0186721766617217E-3</v>
      </c>
      <c r="AJ442" s="196">
        <f t="shared" si="1196"/>
        <v>66273.501801192411</v>
      </c>
      <c r="AK442" s="196">
        <f t="shared" si="1067"/>
        <v>10519.603460506734</v>
      </c>
      <c r="AL442" s="196">
        <f t="shared" si="1068"/>
        <v>10519.603460506734</v>
      </c>
      <c r="AM442" s="196">
        <f t="shared" si="1197"/>
        <v>21039.206921013469</v>
      </c>
      <c r="AN442" s="627">
        <f t="shared" si="1198"/>
        <v>1.0186721766617217E-3</v>
      </c>
      <c r="AO442" s="196">
        <f t="shared" si="1199"/>
        <v>9993.6232874813977</v>
      </c>
      <c r="AP442" s="589">
        <f t="shared" si="1217"/>
        <v>1.0186721766617217E-3</v>
      </c>
      <c r="AQ442" s="196"/>
      <c r="AR442" s="589"/>
      <c r="AS442">
        <v>1</v>
      </c>
      <c r="AT442" s="589">
        <f t="shared" si="1218"/>
        <v>1.2919896640826874E-3</v>
      </c>
      <c r="AU442" s="196">
        <v>11</v>
      </c>
      <c r="AV442" s="245">
        <f t="shared" si="1200"/>
        <v>1.2498579706851495E-3</v>
      </c>
      <c r="AX442" s="245"/>
      <c r="AY442" s="245"/>
      <c r="AZ442" s="196">
        <v>28</v>
      </c>
      <c r="BA442" s="589">
        <f t="shared" si="1092"/>
        <v>1.0259792605620901E-3</v>
      </c>
      <c r="BI442" s="196">
        <v>0</v>
      </c>
      <c r="BJ442" s="196">
        <f t="shared" si="1175"/>
        <v>150305.73222835246</v>
      </c>
      <c r="BK442" s="246">
        <f t="shared" si="1093"/>
        <v>2.8662396284097791E-3</v>
      </c>
      <c r="BL442" s="196">
        <f t="shared" si="1189"/>
        <v>3006.1146445670493</v>
      </c>
      <c r="BM442" s="246">
        <f t="shared" si="1094"/>
        <v>2.8662393004650543E-3</v>
      </c>
      <c r="BN442" s="196">
        <v>0</v>
      </c>
      <c r="BO442" s="196">
        <f t="shared" si="1176"/>
        <v>19212.036526840322</v>
      </c>
      <c r="BP442" s="196">
        <f t="shared" si="1201"/>
        <v>0</v>
      </c>
      <c r="BQ442" s="248">
        <f t="shared" si="1095"/>
        <v>0</v>
      </c>
      <c r="BR442" s="248"/>
      <c r="BS442" s="248"/>
      <c r="BT442" s="276">
        <v>1</v>
      </c>
      <c r="BU442" s="196">
        <f t="shared" si="1190"/>
        <v>42839.191564290777</v>
      </c>
      <c r="BV442" s="264">
        <f t="shared" si="1096"/>
        <v>2.971407471045278E-3</v>
      </c>
      <c r="BW442" s="196">
        <f t="shared" si="1191"/>
        <v>183256.54169168833</v>
      </c>
      <c r="BX442" s="247">
        <f t="shared" si="1097"/>
        <v>2.9714074978118301E-3</v>
      </c>
      <c r="BY442" s="196">
        <f t="shared" si="1100"/>
        <v>226095.73325597911</v>
      </c>
      <c r="BZ442" s="620">
        <v>0</v>
      </c>
      <c r="CA442" s="196">
        <f t="shared" si="1177"/>
        <v>80474.96647287652</v>
      </c>
      <c r="CB442" s="196">
        <f t="shared" si="1178"/>
        <v>160949.93294575304</v>
      </c>
      <c r="CC442" s="196">
        <f t="shared" si="1214"/>
        <v>241424.89941862956</v>
      </c>
      <c r="CD442" s="247">
        <f t="shared" si="1202"/>
        <v>1.0186721766617217E-3</v>
      </c>
      <c r="CE442" s="196">
        <f t="shared" si="1179"/>
        <v>17710.22327722513</v>
      </c>
      <c r="CF442" s="247">
        <f t="shared" si="1203"/>
        <v>7.6478251894270867E-4</v>
      </c>
      <c r="CG442" s="196">
        <f t="shared" si="1150"/>
        <v>39974.493149925591</v>
      </c>
      <c r="CH442" s="589">
        <f t="shared" si="1219"/>
        <v>1.0186721766617217E-3</v>
      </c>
      <c r="CI442" s="196">
        <f t="shared" si="1180"/>
        <v>64257.964300006344</v>
      </c>
      <c r="CJ442" s="248">
        <f t="shared" si="1220"/>
        <v>1.0564007699838255E-3</v>
      </c>
      <c r="CK442" s="196">
        <f t="shared" si="1181"/>
        <v>78021.151977755173</v>
      </c>
      <c r="CL442" s="589">
        <f t="shared" si="1221"/>
        <v>1.1215701079465127E-3</v>
      </c>
      <c r="CM442" s="196">
        <f t="shared" si="1182"/>
        <v>7558.3150848532468</v>
      </c>
      <c r="CN442" s="589">
        <f t="shared" si="1222"/>
        <v>1.0892391013407323E-3</v>
      </c>
      <c r="CO442" s="196">
        <f t="shared" si="1183"/>
        <v>604.67648581137792</v>
      </c>
      <c r="CP442" s="589">
        <f t="shared" si="1223"/>
        <v>1.1403267149154913E-3</v>
      </c>
      <c r="CQ442" s="196">
        <f>'Detailed Budget'!$AC$12</f>
        <v>292876014141.44696</v>
      </c>
      <c r="CR442" s="269">
        <f t="shared" si="1066"/>
        <v>839452837.94291818</v>
      </c>
      <c r="CS442" s="269">
        <f>'Detailed Budget'!$AC$16</f>
        <v>10488008800.000002</v>
      </c>
      <c r="CT442" s="607">
        <f t="shared" si="1152"/>
        <v>30061143.006183341</v>
      </c>
      <c r="CU442" s="269">
        <f>'Detailed Budget'!$AC$24</f>
        <v>30624985696</v>
      </c>
      <c r="CV442" s="269">
        <f t="shared" si="1091"/>
        <v>87778547.621357843</v>
      </c>
      <c r="CW442" s="269"/>
      <c r="CX442" s="269">
        <f t="shared" si="1215"/>
        <v>957292528.57045937</v>
      </c>
      <c r="CY442" s="196">
        <f>'Detailed Budget'!$AC$97</f>
        <v>74629165494.837845</v>
      </c>
      <c r="CZ442" s="269">
        <f t="shared" si="1153"/>
        <v>0</v>
      </c>
      <c r="DA442" s="269">
        <f>'Detailed Budget'!$AC$100</f>
        <v>14925833098.967569</v>
      </c>
      <c r="DB442" s="269">
        <f t="shared" si="1154"/>
        <v>0</v>
      </c>
      <c r="DC442" s="269">
        <f t="shared" si="1204"/>
        <v>0</v>
      </c>
      <c r="DD442" s="207">
        <v>0</v>
      </c>
      <c r="DE442" s="606">
        <v>0</v>
      </c>
      <c r="DF442" s="269">
        <f>'Detailed Budget'!$AC$147</f>
        <v>5913600671000</v>
      </c>
      <c r="DG442" s="269">
        <f t="shared" si="1086"/>
        <v>0</v>
      </c>
      <c r="DH442" s="269">
        <f>'Detailed Budget'!$AC$153</f>
        <v>226428026880.00003</v>
      </c>
      <c r="DI442" s="269"/>
      <c r="DJ442" s="269">
        <f>'Detailed Budget'!$AC$156</f>
        <v>27713070000</v>
      </c>
      <c r="DK442" s="269"/>
      <c r="DL442" s="269"/>
      <c r="DM442" s="196">
        <f>'Detailed Budget'!$AC$178</f>
        <v>5622683761.6229038</v>
      </c>
      <c r="DN442" s="269">
        <f t="shared" si="1184"/>
        <v>16707284.536611263</v>
      </c>
      <c r="DO442" s="196">
        <f>'Detailed Budget'!$AC$179</f>
        <v>26827890683.128094</v>
      </c>
      <c r="DP442" s="269">
        <f t="shared" si="1185"/>
        <v>79716595.526322961</v>
      </c>
      <c r="DQ442" s="269">
        <f t="shared" si="1192"/>
        <v>96423880.06293422</v>
      </c>
      <c r="DR442" s="269">
        <f>'Detailed Budget'!$AC$181</f>
        <v>50888946855.375237</v>
      </c>
      <c r="DS442" s="269">
        <f t="shared" si="1186"/>
        <v>118744747.11756203</v>
      </c>
      <c r="DT442" s="269">
        <f t="shared" si="1187"/>
        <v>215168627.18049625</v>
      </c>
      <c r="DU442" s="272">
        <f>'Detailed Budget'!$AC$192</f>
        <v>77498869683.252869</v>
      </c>
      <c r="DV442" s="269">
        <f t="shared" si="1155"/>
        <v>0</v>
      </c>
      <c r="DW442" s="140">
        <f>'Detailed Budget'!$AC$194</f>
        <v>2684962805.4134097</v>
      </c>
      <c r="DX442" s="269">
        <f t="shared" si="1156"/>
        <v>0</v>
      </c>
      <c r="DY442" s="607">
        <f t="shared" si="1205"/>
        <v>0</v>
      </c>
      <c r="DZ442" s="196">
        <f>'Detailed Budget'!$AC$198</f>
        <v>18732540018.380611</v>
      </c>
      <c r="EA442" s="269">
        <f t="shared" si="1157"/>
        <v>14326319.141452217</v>
      </c>
      <c r="EB442" s="196">
        <f>'Detailed Budget'!$AC$200</f>
        <v>4683135004.5951529</v>
      </c>
      <c r="EC442" s="269">
        <f t="shared" si="1158"/>
        <v>3581579.7853630544</v>
      </c>
      <c r="ED442" s="269">
        <f t="shared" si="1206"/>
        <v>17907898.926815271</v>
      </c>
      <c r="EE442" s="196">
        <f>'Detailed Budget'!$AC$161</f>
        <v>251147290106.36197</v>
      </c>
      <c r="EF442" s="269">
        <f t="shared" si="1159"/>
        <v>255836756.67534062</v>
      </c>
      <c r="EG442" s="196">
        <f>'Detailed Budget'!$AC$163</f>
        <v>15696705631.647623</v>
      </c>
      <c r="EH442" s="269">
        <f t="shared" si="1160"/>
        <v>15989797.292208789</v>
      </c>
      <c r="EI442" s="269">
        <f t="shared" si="1207"/>
        <v>271826553.96754938</v>
      </c>
      <c r="EJ442" s="196">
        <f>'Detailed Budget'!$AC$204</f>
        <v>45012172507.531975</v>
      </c>
      <c r="EK442" s="269">
        <f t="shared" si="1161"/>
        <v>47550893.69560156</v>
      </c>
      <c r="EL442" s="201">
        <f>'Detailed Budget'!$AC$206</f>
        <v>11253043126.882994</v>
      </c>
      <c r="EM442" s="269">
        <f t="shared" si="1162"/>
        <v>11887723.42390039</v>
      </c>
      <c r="EN442" s="269">
        <f t="shared" si="1208"/>
        <v>59438617.119501948</v>
      </c>
      <c r="EO442" s="140">
        <f>'Detailed Budget'!$AC$209</f>
        <v>135789361677.54817</v>
      </c>
      <c r="EP442" s="269">
        <f t="shared" si="1163"/>
        <v>152297289.03467578</v>
      </c>
      <c r="EQ442" s="196">
        <f>'Detailed Budget'!$AC$211</f>
        <v>33947340419.387043</v>
      </c>
      <c r="ER442" s="269">
        <f t="shared" si="1164"/>
        <v>38074322.258668944</v>
      </c>
      <c r="ES442" s="269">
        <f t="shared" si="1209"/>
        <v>190371611.29334474</v>
      </c>
      <c r="ET442" s="196">
        <f>'Detailed Budget'!$AC$214</f>
        <v>22239745544.201103</v>
      </c>
      <c r="EU442" s="269">
        <f t="shared" si="1165"/>
        <v>24224400.450612165</v>
      </c>
      <c r="EV442" s="140">
        <f>'Detailed Budget'!$AC$217</f>
        <v>5559936386.0502758</v>
      </c>
      <c r="EW442" s="269">
        <f t="shared" si="1166"/>
        <v>6056100.1126530413</v>
      </c>
      <c r="EX442" s="269">
        <f t="shared" si="1210"/>
        <v>30280500.563265204</v>
      </c>
      <c r="EY442" s="196">
        <f>'Detailed Budget'!$AC$219</f>
        <v>372777004.58170313</v>
      </c>
      <c r="EZ442" s="269">
        <f t="shared" si="1167"/>
        <v>425087.57703069056</v>
      </c>
      <c r="FA442" s="196">
        <f>'Detailed Budget'!$AC$222</f>
        <v>93194251.145425782</v>
      </c>
      <c r="FB442" s="269">
        <f t="shared" si="1168"/>
        <v>106271.89425767264</v>
      </c>
      <c r="FC442" s="269">
        <f t="shared" si="1211"/>
        <v>531359.47128836322</v>
      </c>
      <c r="FD442" s="269"/>
      <c r="FE442" s="269">
        <f t="shared" si="1212"/>
        <v>280622088.44740027</v>
      </c>
      <c r="FF442" s="140">
        <f>'Detailed Budget'!$AC$165</f>
        <v>14927760000</v>
      </c>
      <c r="FG442" s="1087">
        <f t="shared" si="1087"/>
        <v>382787104.09964526</v>
      </c>
      <c r="FH442" s="269">
        <f t="shared" si="1169"/>
        <v>18657579.820474949</v>
      </c>
      <c r="FJ442" s="140">
        <f>'Detailed Budget'!$AC$235</f>
        <v>3623696172</v>
      </c>
      <c r="FK442" s="269">
        <f t="shared" si="1170"/>
        <v>4681778</v>
      </c>
      <c r="FL442" s="269">
        <f t="shared" si="1088"/>
        <v>4681778</v>
      </c>
      <c r="FO442" s="607"/>
      <c r="FP442" s="607"/>
      <c r="FQ442" s="607"/>
      <c r="FR442" s="269">
        <f>'Detailed Budget'!$AC$257</f>
        <v>13636439388</v>
      </c>
      <c r="FS442" s="269">
        <f t="shared" si="1171"/>
        <v>13990704</v>
      </c>
      <c r="FT442" s="269">
        <f t="shared" si="1089"/>
        <v>13990704</v>
      </c>
      <c r="FU442" s="269"/>
      <c r="FV442" s="269"/>
      <c r="FW442" s="269"/>
      <c r="FX442" s="140">
        <f>'Detailed Budget'!$AC$278</f>
        <v>1114560000</v>
      </c>
      <c r="FY442" s="269">
        <f t="shared" si="1172"/>
        <v>1440000</v>
      </c>
      <c r="FZ442" s="269">
        <f t="shared" si="1090"/>
        <v>1440000</v>
      </c>
      <c r="GB442" s="269">
        <f t="shared" si="1098"/>
        <v>2164374863.0128403</v>
      </c>
      <c r="GC442" s="887">
        <f t="shared" si="1213"/>
        <v>1352734.2893830251</v>
      </c>
      <c r="GD442" s="1078">
        <f t="shared" si="1099"/>
        <v>1.2144988898594054E-3</v>
      </c>
    </row>
    <row r="443" spans="1:186" hidden="1" outlineLevel="1">
      <c r="A443" s="211" t="s">
        <v>1019</v>
      </c>
      <c r="B443" s="212" t="s">
        <v>1020</v>
      </c>
      <c r="C443" s="213" t="s">
        <v>215</v>
      </c>
      <c r="D443" s="214" t="s">
        <v>215</v>
      </c>
      <c r="E443" s="213"/>
      <c r="F443" s="213"/>
      <c r="G443" s="213"/>
      <c r="H443" s="213" t="s">
        <v>215</v>
      </c>
      <c r="I443" s="214" t="s">
        <v>215</v>
      </c>
      <c r="J443" s="214"/>
      <c r="K443" s="213" t="s">
        <v>215</v>
      </c>
      <c r="L443" s="213"/>
      <c r="M443" s="214"/>
      <c r="N443" s="213"/>
      <c r="O443" s="214"/>
      <c r="P443" s="213"/>
      <c r="Q443" s="214"/>
      <c r="R443" s="214" t="s">
        <v>215</v>
      </c>
      <c r="S443" s="214"/>
      <c r="T443" s="214"/>
      <c r="U443" s="215">
        <f t="shared" si="1173"/>
        <v>6</v>
      </c>
      <c r="V443" s="845" t="s">
        <v>219</v>
      </c>
      <c r="W443" s="216">
        <v>207470</v>
      </c>
      <c r="X443" s="217">
        <v>3.03</v>
      </c>
      <c r="Y443" s="218">
        <f t="shared" si="1101"/>
        <v>1.0303</v>
      </c>
      <c r="Z443" s="196">
        <v>19</v>
      </c>
      <c r="AA443" s="218">
        <f t="shared" si="1102"/>
        <v>1.7632354008841205</v>
      </c>
      <c r="AB443" s="196">
        <f t="shared" si="1194"/>
        <v>365818.44862142846</v>
      </c>
      <c r="AC443">
        <v>20.2</v>
      </c>
      <c r="AD443" s="196">
        <f t="shared" si="1195"/>
        <v>73895.32662152854</v>
      </c>
      <c r="AE443" s="196">
        <f t="shared" si="1148"/>
        <v>70200.560290452107</v>
      </c>
      <c r="AF443" s="196">
        <f t="shared" si="1174"/>
        <v>70200.560290452107</v>
      </c>
      <c r="AG443" s="606">
        <f t="shared" si="1216"/>
        <v>3.2457657215962561E-3</v>
      </c>
      <c r="AH443" s="196">
        <f t="shared" si="1188"/>
        <v>18290.922431071423</v>
      </c>
      <c r="AI443" s="248">
        <f t="shared" si="1193"/>
        <v>1.4169700472806759E-3</v>
      </c>
      <c r="AJ443" s="196">
        <f t="shared" si="1196"/>
        <v>92186.24905259996</v>
      </c>
      <c r="AK443" s="196">
        <f t="shared" si="1067"/>
        <v>14632.737944857139</v>
      </c>
      <c r="AL443" s="196">
        <f t="shared" si="1068"/>
        <v>14632.737944857139</v>
      </c>
      <c r="AM443" s="196">
        <f t="shared" si="1197"/>
        <v>29265.475889714278</v>
      </c>
      <c r="AN443" s="627">
        <f t="shared" si="1198"/>
        <v>1.4169700472806759E-3</v>
      </c>
      <c r="AO443" s="196">
        <f t="shared" si="1199"/>
        <v>13901.10104761428</v>
      </c>
      <c r="AP443" s="589">
        <f t="shared" si="1217"/>
        <v>1.4169700472806757E-3</v>
      </c>
      <c r="AQ443" s="196"/>
      <c r="AR443" s="589"/>
      <c r="AS443">
        <v>1</v>
      </c>
      <c r="AT443" s="589">
        <f t="shared" si="1218"/>
        <v>1.2919896640826874E-3</v>
      </c>
      <c r="AU443" s="196">
        <v>11</v>
      </c>
      <c r="AV443" s="245">
        <f t="shared" si="1200"/>
        <v>1.2498579706851495E-3</v>
      </c>
      <c r="AX443" s="245"/>
      <c r="AY443" s="245"/>
      <c r="AZ443" s="196">
        <v>61</v>
      </c>
      <c r="BA443" s="589">
        <f t="shared" si="1092"/>
        <v>2.2351691033674105E-3</v>
      </c>
      <c r="BI443" s="196">
        <v>0</v>
      </c>
      <c r="BJ443" s="196">
        <f t="shared" si="1175"/>
        <v>209074.83818799802</v>
      </c>
      <c r="BK443" s="246">
        <f t="shared" si="1093"/>
        <v>3.9869310214155811E-3</v>
      </c>
      <c r="BL443" s="196">
        <f t="shared" si="1189"/>
        <v>4181.4967637599602</v>
      </c>
      <c r="BM443" s="246">
        <f t="shared" si="1094"/>
        <v>3.9869305652454187E-3</v>
      </c>
      <c r="BN443" s="196">
        <v>0</v>
      </c>
      <c r="BO443" s="196">
        <f t="shared" si="1176"/>
        <v>26723.887163588563</v>
      </c>
      <c r="BP443" s="196">
        <f t="shared" si="1201"/>
        <v>0</v>
      </c>
      <c r="BQ443" s="248">
        <f t="shared" si="1095"/>
        <v>0</v>
      </c>
      <c r="BR443" s="248"/>
      <c r="BS443" s="248"/>
      <c r="BT443" s="276">
        <v>1</v>
      </c>
      <c r="BU443" s="196">
        <f t="shared" si="1190"/>
        <v>59589.191387600622</v>
      </c>
      <c r="BV443" s="264">
        <f t="shared" si="1096"/>
        <v>4.133219185916138E-3</v>
      </c>
      <c r="BW443" s="196">
        <f t="shared" si="1191"/>
        <v>254909.31871362487</v>
      </c>
      <c r="BX443" s="247">
        <f t="shared" si="1097"/>
        <v>4.1332192231483345E-3</v>
      </c>
      <c r="BY443" s="196">
        <f t="shared" si="1100"/>
        <v>314498.51010122552</v>
      </c>
      <c r="BZ443" s="620">
        <v>0</v>
      </c>
      <c r="CA443" s="196">
        <f t="shared" si="1177"/>
        <v>111940.4452781571</v>
      </c>
      <c r="CB443" s="196">
        <f t="shared" si="1178"/>
        <v>223880.8905563142</v>
      </c>
      <c r="CC443" s="196">
        <f t="shared" si="1214"/>
        <v>335821.33583447128</v>
      </c>
      <c r="CD443" s="247">
        <f t="shared" si="1202"/>
        <v>1.4169700472806757E-3</v>
      </c>
      <c r="CE443" s="196">
        <f t="shared" si="1179"/>
        <v>24634.869283186938</v>
      </c>
      <c r="CF443" s="247">
        <f t="shared" si="1203"/>
        <v>1.0638102687529753E-3</v>
      </c>
      <c r="CG443" s="196">
        <f t="shared" si="1150"/>
        <v>55604.40419045712</v>
      </c>
      <c r="CH443" s="589">
        <f t="shared" si="1219"/>
        <v>1.4169700472806757E-3</v>
      </c>
      <c r="CI443" s="196">
        <f t="shared" si="1180"/>
        <v>89382.642226200885</v>
      </c>
      <c r="CJ443" s="248">
        <f t="shared" si="1220"/>
        <v>1.469450411315599E-3</v>
      </c>
      <c r="CK443" s="196">
        <f t="shared" si="1181"/>
        <v>108527.19642260823</v>
      </c>
      <c r="CL443" s="589">
        <f t="shared" si="1221"/>
        <v>1.5601007716669099E-3</v>
      </c>
      <c r="CM443" s="196">
        <f t="shared" si="1182"/>
        <v>10513.594391322295</v>
      </c>
      <c r="CN443" s="589">
        <f t="shared" si="1222"/>
        <v>1.515128435120962E-3</v>
      </c>
      <c r="CO443" s="196">
        <f t="shared" si="1183"/>
        <v>841.10324039427269</v>
      </c>
      <c r="CP443" s="589">
        <f t="shared" si="1223"/>
        <v>1.5861911576346072E-3</v>
      </c>
      <c r="CQ443" s="196">
        <f>'Detailed Budget'!$AC$12</f>
        <v>292876014141.44696</v>
      </c>
      <c r="CR443" s="269">
        <f t="shared" ref="CR443:CR506" si="1224">BK443*CQ443</f>
        <v>1167676466.2090833</v>
      </c>
      <c r="CS443" s="269">
        <f>'Detailed Budget'!$AC$16</f>
        <v>10488008800.000002</v>
      </c>
      <c r="CT443" s="607">
        <f t="shared" si="1152"/>
        <v>41814962.853282936</v>
      </c>
      <c r="CU443" s="269">
        <f>'Detailed Budget'!$AC$24</f>
        <v>30624985696</v>
      </c>
      <c r="CV443" s="269">
        <f t="shared" si="1091"/>
        <v>122099705.50179084</v>
      </c>
      <c r="CW443" s="269"/>
      <c r="CX443" s="269">
        <f t="shared" si="1215"/>
        <v>1331591134.564157</v>
      </c>
      <c r="CY443" s="196">
        <f>'Detailed Budget'!$AC$97</f>
        <v>74629165494.837845</v>
      </c>
      <c r="CZ443" s="269">
        <f t="shared" si="1153"/>
        <v>0</v>
      </c>
      <c r="DA443" s="269">
        <f>'Detailed Budget'!$AC$100</f>
        <v>14925833098.967569</v>
      </c>
      <c r="DB443" s="269">
        <f t="shared" si="1154"/>
        <v>0</v>
      </c>
      <c r="DC443" s="269">
        <f t="shared" si="1204"/>
        <v>0</v>
      </c>
      <c r="DD443" s="207">
        <v>0</v>
      </c>
      <c r="DE443" s="606">
        <v>0</v>
      </c>
      <c r="DF443" s="269">
        <f>'Detailed Budget'!$AC$147</f>
        <v>5913600671000</v>
      </c>
      <c r="DG443" s="269">
        <f t="shared" si="1086"/>
        <v>0</v>
      </c>
      <c r="DH443" s="269">
        <f>'Detailed Budget'!$AC$153</f>
        <v>226428026880.00003</v>
      </c>
      <c r="DI443" s="269"/>
      <c r="DJ443" s="269">
        <f>'Detailed Budget'!$AC$156</f>
        <v>27713070000</v>
      </c>
      <c r="DK443" s="269"/>
      <c r="DL443" s="269"/>
      <c r="DM443" s="196">
        <f>'Detailed Budget'!$AC$178</f>
        <v>5622683761.6229038</v>
      </c>
      <c r="DN443" s="269">
        <f t="shared" si="1184"/>
        <v>23239784.399878908</v>
      </c>
      <c r="DO443" s="196">
        <f>'Detailed Budget'!$AC$179</f>
        <v>26827890683.128094</v>
      </c>
      <c r="DP443" s="269">
        <f t="shared" si="1185"/>
        <v>110885553.48802714</v>
      </c>
      <c r="DQ443" s="269">
        <f t="shared" si="1192"/>
        <v>134125337.88790604</v>
      </c>
      <c r="DR443" s="269">
        <f>'Detailed Budget'!$AC$181</f>
        <v>50888946855.375237</v>
      </c>
      <c r="DS443" s="269">
        <f t="shared" si="1186"/>
        <v>165173599.31131053</v>
      </c>
      <c r="DT443" s="269">
        <f t="shared" si="1187"/>
        <v>299298937.1992166</v>
      </c>
      <c r="DU443" s="272">
        <f>'Detailed Budget'!$AC$192</f>
        <v>77498869683.252869</v>
      </c>
      <c r="DV443" s="269">
        <f t="shared" si="1155"/>
        <v>0</v>
      </c>
      <c r="DW443" s="140">
        <f>'Detailed Budget'!$AC$194</f>
        <v>2684962805.4134097</v>
      </c>
      <c r="DX443" s="269">
        <f t="shared" si="1156"/>
        <v>0</v>
      </c>
      <c r="DY443" s="607">
        <f t="shared" si="1205"/>
        <v>0</v>
      </c>
      <c r="DZ443" s="196">
        <f>'Detailed Budget'!$AC$198</f>
        <v>18732540018.380611</v>
      </c>
      <c r="EA443" s="269">
        <f t="shared" si="1157"/>
        <v>19927868.431379344</v>
      </c>
      <c r="EB443" s="196">
        <f>'Detailed Budget'!$AC$200</f>
        <v>4683135004.5951529</v>
      </c>
      <c r="EC443" s="269">
        <f t="shared" si="1158"/>
        <v>4981967.1078448361</v>
      </c>
      <c r="ED443" s="269">
        <f t="shared" si="1206"/>
        <v>24909835.539224181</v>
      </c>
      <c r="EE443" s="196">
        <f>'Detailed Budget'!$AC$161</f>
        <v>251147290106.36197</v>
      </c>
      <c r="EF443" s="269">
        <f t="shared" si="1159"/>
        <v>355868187.53642529</v>
      </c>
      <c r="EG443" s="196">
        <f>'Detailed Budget'!$AC$163</f>
        <v>15696705631.647623</v>
      </c>
      <c r="EH443" s="269">
        <f t="shared" si="1160"/>
        <v>22241761.721026581</v>
      </c>
      <c r="EI443" s="269">
        <f t="shared" si="1207"/>
        <v>378109949.25745189</v>
      </c>
      <c r="EJ443" s="196">
        <f>'Detailed Budget'!$AC$204</f>
        <v>45012172507.531975</v>
      </c>
      <c r="EK443" s="269">
        <f t="shared" si="1161"/>
        <v>66143155.405401558</v>
      </c>
      <c r="EL443" s="201">
        <f>'Detailed Budget'!$AC$206</f>
        <v>11253043126.882994</v>
      </c>
      <c r="EM443" s="269">
        <f t="shared" si="1162"/>
        <v>16535788.851350389</v>
      </c>
      <c r="EN443" s="269">
        <f t="shared" si="1208"/>
        <v>82678944.256751955</v>
      </c>
      <c r="EO443" s="140">
        <f>'Detailed Budget'!$AC$209</f>
        <v>135789361677.54817</v>
      </c>
      <c r="EP443" s="269">
        <f t="shared" si="1163"/>
        <v>211845087.93730003</v>
      </c>
      <c r="EQ443" s="196">
        <f>'Detailed Budget'!$AC$211</f>
        <v>33947340419.387043</v>
      </c>
      <c r="ER443" s="269">
        <f t="shared" si="1164"/>
        <v>52961271.984325007</v>
      </c>
      <c r="ES443" s="269">
        <f t="shared" si="1209"/>
        <v>264806359.92162502</v>
      </c>
      <c r="ET443" s="196">
        <f>'Detailed Budget'!$AC$214</f>
        <v>22239745544.201103</v>
      </c>
      <c r="EU443" s="269">
        <f t="shared" si="1165"/>
        <v>33696070.863873802</v>
      </c>
      <c r="EV443" s="140">
        <f>'Detailed Budget'!$AC$217</f>
        <v>5559936386.0502758</v>
      </c>
      <c r="EW443" s="269">
        <f t="shared" si="1166"/>
        <v>8424017.7159684505</v>
      </c>
      <c r="EX443" s="269">
        <f t="shared" si="1210"/>
        <v>42120088.579842255</v>
      </c>
      <c r="EY443" s="196">
        <f>'Detailed Budget'!$AC$219</f>
        <v>372777004.58170313</v>
      </c>
      <c r="EZ443" s="269">
        <f t="shared" si="1167"/>
        <v>591295.58843701298</v>
      </c>
      <c r="FA443" s="196">
        <f>'Detailed Budget'!$AC$222</f>
        <v>93194251.145425782</v>
      </c>
      <c r="FB443" s="269">
        <f t="shared" si="1168"/>
        <v>147823.89710925324</v>
      </c>
      <c r="FC443" s="269">
        <f t="shared" si="1211"/>
        <v>739119.48554626619</v>
      </c>
      <c r="FD443" s="269"/>
      <c r="FE443" s="269">
        <f t="shared" si="1212"/>
        <v>390344512.24376553</v>
      </c>
      <c r="FF443" s="140">
        <f>'Detailed Budget'!$AC$165</f>
        <v>14927760000</v>
      </c>
      <c r="FG443" s="1087">
        <f t="shared" si="1087"/>
        <v>532455753.10792601</v>
      </c>
      <c r="FH443" s="269">
        <f t="shared" si="1169"/>
        <v>18657579.820474949</v>
      </c>
      <c r="FJ443" s="140">
        <f>'Detailed Budget'!$AC$235</f>
        <v>3623696172</v>
      </c>
      <c r="FK443" s="269">
        <f t="shared" si="1170"/>
        <v>4681778</v>
      </c>
      <c r="FL443" s="269">
        <f t="shared" si="1088"/>
        <v>4681778</v>
      </c>
      <c r="FO443" s="607"/>
      <c r="FP443" s="607"/>
      <c r="FQ443" s="607"/>
      <c r="FR443" s="269">
        <f>'Detailed Budget'!$AC$257</f>
        <v>13636439388</v>
      </c>
      <c r="FS443" s="269">
        <f t="shared" si="1171"/>
        <v>30479748</v>
      </c>
      <c r="FT443" s="269">
        <f t="shared" si="1089"/>
        <v>30479748</v>
      </c>
      <c r="FU443" s="269"/>
      <c r="FV443" s="269"/>
      <c r="FW443" s="269"/>
      <c r="FX443" s="140">
        <f>'Detailed Budget'!$AC$278</f>
        <v>1114560000</v>
      </c>
      <c r="FY443" s="269">
        <f t="shared" si="1172"/>
        <v>1440000</v>
      </c>
      <c r="FZ443" s="269">
        <f t="shared" si="1090"/>
        <v>1440000</v>
      </c>
      <c r="GB443" s="269">
        <f t="shared" si="1098"/>
        <v>3011969227.7322159</v>
      </c>
      <c r="GC443" s="887">
        <f t="shared" si="1213"/>
        <v>1882480.7673326349</v>
      </c>
      <c r="GD443" s="1078">
        <f t="shared" si="1099"/>
        <v>1.690110777889664E-3</v>
      </c>
    </row>
    <row r="444" spans="1:186" hidden="1" outlineLevel="1">
      <c r="A444" s="211" t="s">
        <v>1021</v>
      </c>
      <c r="B444" s="212" t="s">
        <v>1022</v>
      </c>
      <c r="C444" s="213" t="s">
        <v>215</v>
      </c>
      <c r="D444" s="214" t="s">
        <v>215</v>
      </c>
      <c r="E444" s="213"/>
      <c r="F444" s="213"/>
      <c r="G444" s="213"/>
      <c r="H444" s="213" t="s">
        <v>215</v>
      </c>
      <c r="I444" s="214" t="s">
        <v>215</v>
      </c>
      <c r="J444" s="214"/>
      <c r="K444" s="213" t="s">
        <v>215</v>
      </c>
      <c r="L444" s="213"/>
      <c r="M444" s="214"/>
      <c r="N444" s="213"/>
      <c r="O444" s="214"/>
      <c r="P444" s="213"/>
      <c r="Q444" s="214"/>
      <c r="R444" s="214" t="s">
        <v>215</v>
      </c>
      <c r="S444" s="214"/>
      <c r="T444" s="214"/>
      <c r="U444" s="215">
        <f t="shared" si="1173"/>
        <v>6</v>
      </c>
      <c r="V444" s="845" t="s">
        <v>219</v>
      </c>
      <c r="W444" s="216">
        <v>156907</v>
      </c>
      <c r="X444" s="217">
        <v>3.03</v>
      </c>
      <c r="Y444" s="218">
        <f t="shared" si="1101"/>
        <v>1.0303</v>
      </c>
      <c r="Z444" s="196">
        <v>19</v>
      </c>
      <c r="AA444" s="218">
        <f t="shared" si="1102"/>
        <v>1.7632354008841205</v>
      </c>
      <c r="AB444" s="196">
        <f t="shared" si="1194"/>
        <v>276663.9770465247</v>
      </c>
      <c r="AC444">
        <v>20.2</v>
      </c>
      <c r="AD444" s="196">
        <f t="shared" si="1195"/>
        <v>55886.123363397986</v>
      </c>
      <c r="AE444" s="196">
        <f t="shared" si="1148"/>
        <v>53091.817195228083</v>
      </c>
      <c r="AF444" s="196">
        <f t="shared" si="1174"/>
        <v>53091.817195228083</v>
      </c>
      <c r="AG444" s="606">
        <f t="shared" si="1216"/>
        <v>2.4547325496626204E-3</v>
      </c>
      <c r="AH444" s="196">
        <f t="shared" si="1188"/>
        <v>13833.198852326235</v>
      </c>
      <c r="AI444" s="248">
        <f t="shared" si="1193"/>
        <v>1.0716369557462236E-3</v>
      </c>
      <c r="AJ444" s="196">
        <f t="shared" si="1196"/>
        <v>69719.322215724227</v>
      </c>
      <c r="AK444" s="196">
        <f t="shared" si="1067"/>
        <v>11066.559081860989</v>
      </c>
      <c r="AL444" s="196">
        <f t="shared" si="1068"/>
        <v>11066.559081860989</v>
      </c>
      <c r="AM444" s="196">
        <f t="shared" si="1197"/>
        <v>22133.118163721978</v>
      </c>
      <c r="AN444" s="627">
        <f t="shared" si="1198"/>
        <v>1.0716369557462239E-3</v>
      </c>
      <c r="AO444" s="196">
        <f t="shared" si="1199"/>
        <v>10513.231127767938</v>
      </c>
      <c r="AP444" s="589">
        <f t="shared" si="1217"/>
        <v>1.0716369557462236E-3</v>
      </c>
      <c r="AQ444" s="196"/>
      <c r="AR444" s="589"/>
      <c r="AS444">
        <v>1</v>
      </c>
      <c r="AT444" s="589">
        <f t="shared" si="1218"/>
        <v>1.2919896640826874E-3</v>
      </c>
      <c r="AU444" s="196">
        <v>10</v>
      </c>
      <c r="AV444" s="245">
        <f t="shared" si="1200"/>
        <v>1.1362345188046814E-3</v>
      </c>
      <c r="AX444" s="245"/>
      <c r="AY444" s="245"/>
      <c r="AZ444" s="196">
        <v>31</v>
      </c>
      <c r="BA444" s="589">
        <f t="shared" si="1092"/>
        <v>1.1359056099080284E-3</v>
      </c>
      <c r="BI444" s="196">
        <v>0</v>
      </c>
      <c r="BJ444" s="196">
        <f t="shared" si="1175"/>
        <v>158120.71931153518</v>
      </c>
      <c r="BK444" s="246">
        <f t="shared" si="1093"/>
        <v>3.0152667170060951E-3</v>
      </c>
      <c r="BL444" s="196">
        <f t="shared" si="1189"/>
        <v>3162.4143862307037</v>
      </c>
      <c r="BM444" s="246">
        <f t="shared" si="1094"/>
        <v>3.0152663720102325E-3</v>
      </c>
      <c r="BN444" s="196">
        <v>0</v>
      </c>
      <c r="BO444" s="196">
        <f t="shared" si="1176"/>
        <v>20210.945983405756</v>
      </c>
      <c r="BP444" s="196">
        <f t="shared" si="1201"/>
        <v>0</v>
      </c>
      <c r="BQ444" s="248">
        <f t="shared" si="1095"/>
        <v>0</v>
      </c>
      <c r="BR444" s="248"/>
      <c r="BS444" s="248"/>
      <c r="BT444" s="276">
        <v>1</v>
      </c>
      <c r="BU444" s="196">
        <f t="shared" si="1190"/>
        <v>45066.56988024414</v>
      </c>
      <c r="BV444" s="264">
        <f t="shared" si="1096"/>
        <v>3.12590265004359E-3</v>
      </c>
      <c r="BW444" s="196">
        <f t="shared" si="1191"/>
        <v>192784.7711543777</v>
      </c>
      <c r="BX444" s="247">
        <f t="shared" si="1097"/>
        <v>3.1259026782018405E-3</v>
      </c>
      <c r="BY444" s="196">
        <f t="shared" si="1100"/>
        <v>237851.34103462184</v>
      </c>
      <c r="BZ444" s="620">
        <v>0</v>
      </c>
      <c r="CA444" s="196">
        <f t="shared" si="1177"/>
        <v>84659.176976236558</v>
      </c>
      <c r="CB444" s="196">
        <f t="shared" si="1178"/>
        <v>169318.35395247312</v>
      </c>
      <c r="CC444" s="196">
        <f t="shared" si="1214"/>
        <v>253977.53092870966</v>
      </c>
      <c r="CD444" s="247">
        <f t="shared" si="1202"/>
        <v>1.0716369557462236E-3</v>
      </c>
      <c r="CE444" s="196">
        <f t="shared" si="1179"/>
        <v>18631.047547197246</v>
      </c>
      <c r="CF444" s="247">
        <f t="shared" si="1203"/>
        <v>8.0454657463355228E-4</v>
      </c>
      <c r="CG444" s="196">
        <f t="shared" si="1150"/>
        <v>42052.924511071753</v>
      </c>
      <c r="CH444" s="589">
        <f t="shared" si="1219"/>
        <v>1.0716369557462236E-3</v>
      </c>
      <c r="CI444" s="196">
        <f t="shared" si="1180"/>
        <v>67598.988980510461</v>
      </c>
      <c r="CJ444" s="248">
        <f t="shared" si="1220"/>
        <v>1.1113272072506711E-3</v>
      </c>
      <c r="CK444" s="196">
        <f t="shared" si="1181"/>
        <v>82077.778999769565</v>
      </c>
      <c r="CL444" s="589">
        <f t="shared" si="1221"/>
        <v>1.1798849558005489E-3</v>
      </c>
      <c r="CM444" s="196">
        <f t="shared" si="1182"/>
        <v>7951.3016588384226</v>
      </c>
      <c r="CN444" s="589">
        <f t="shared" si="1222"/>
        <v>1.1458729328072724E-3</v>
      </c>
      <c r="CO444" s="196">
        <f t="shared" si="1183"/>
        <v>636.11599817103274</v>
      </c>
      <c r="CP444" s="589">
        <f t="shared" si="1223"/>
        <v>1.1996167926494113E-3</v>
      </c>
      <c r="CQ444" s="196">
        <f>'Detailed Budget'!$AC$12</f>
        <v>292876014141.44696</v>
      </c>
      <c r="CR444" s="269">
        <f t="shared" si="1224"/>
        <v>883099297.65011144</v>
      </c>
      <c r="CS444" s="269">
        <f>'Detailed Budget'!$AC$16</f>
        <v>10488008800.000002</v>
      </c>
      <c r="CT444" s="607">
        <f t="shared" si="1152"/>
        <v>31624140.243987396</v>
      </c>
      <c r="CU444" s="269">
        <f>'Detailed Budget'!$AC$24</f>
        <v>30624985696</v>
      </c>
      <c r="CV444" s="269">
        <f t="shared" si="1091"/>
        <v>92342500.077936545</v>
      </c>
      <c r="CW444" s="269"/>
      <c r="CX444" s="269">
        <f t="shared" si="1215"/>
        <v>1007065937.9720354</v>
      </c>
      <c r="CY444" s="196">
        <f>'Detailed Budget'!$AC$97</f>
        <v>74629165494.837845</v>
      </c>
      <c r="CZ444" s="269">
        <f t="shared" si="1153"/>
        <v>0</v>
      </c>
      <c r="DA444" s="269">
        <f>'Detailed Budget'!$AC$100</f>
        <v>14925833098.967569</v>
      </c>
      <c r="DB444" s="269">
        <f t="shared" si="1154"/>
        <v>0</v>
      </c>
      <c r="DC444" s="269">
        <f t="shared" si="1204"/>
        <v>0</v>
      </c>
      <c r="DD444" s="207">
        <v>0</v>
      </c>
      <c r="DE444" s="606">
        <v>0</v>
      </c>
      <c r="DF444" s="269">
        <f>'Detailed Budget'!$AC$147</f>
        <v>5913600671000</v>
      </c>
      <c r="DG444" s="269">
        <f t="shared" si="1086"/>
        <v>0</v>
      </c>
      <c r="DH444" s="269">
        <f>'Detailed Budget'!$AC$153</f>
        <v>226428026880.00003</v>
      </c>
      <c r="DI444" s="269"/>
      <c r="DJ444" s="269">
        <f>'Detailed Budget'!$AC$156</f>
        <v>27713070000</v>
      </c>
      <c r="DK444" s="269"/>
      <c r="DL444" s="269"/>
      <c r="DM444" s="196">
        <f>'Detailed Budget'!$AC$178</f>
        <v>5622683761.6229038</v>
      </c>
      <c r="DN444" s="269">
        <f t="shared" si="1184"/>
        <v>17575962.070814095</v>
      </c>
      <c r="DO444" s="196">
        <f>'Detailed Budget'!$AC$179</f>
        <v>26827890683.128094</v>
      </c>
      <c r="DP444" s="269">
        <f t="shared" si="1185"/>
        <v>83861375.336896315</v>
      </c>
      <c r="DQ444" s="269">
        <f t="shared" si="1192"/>
        <v>101437337.4077104</v>
      </c>
      <c r="DR444" s="269">
        <f>'Detailed Budget'!$AC$181</f>
        <v>50888946855.375237</v>
      </c>
      <c r="DS444" s="269">
        <f t="shared" si="1186"/>
        <v>124918754.26394084</v>
      </c>
      <c r="DT444" s="269">
        <f t="shared" si="1187"/>
        <v>226356091.67165124</v>
      </c>
      <c r="DU444" s="272">
        <f>'Detailed Budget'!$AC$192</f>
        <v>77498869683.252869</v>
      </c>
      <c r="DV444" s="269">
        <f t="shared" si="1155"/>
        <v>0</v>
      </c>
      <c r="DW444" s="140">
        <f>'Detailed Budget'!$AC$194</f>
        <v>2684962805.4134097</v>
      </c>
      <c r="DX444" s="269">
        <f t="shared" si="1156"/>
        <v>0</v>
      </c>
      <c r="DY444" s="607">
        <f t="shared" si="1205"/>
        <v>0</v>
      </c>
      <c r="DZ444" s="196">
        <f>'Detailed Budget'!$AC$198</f>
        <v>18732540018.380611</v>
      </c>
      <c r="EA444" s="269">
        <f t="shared" si="1157"/>
        <v>15071200.905974062</v>
      </c>
      <c r="EB444" s="196">
        <f>'Detailed Budget'!$AC$200</f>
        <v>4683135004.5951529</v>
      </c>
      <c r="EC444" s="269">
        <f t="shared" si="1158"/>
        <v>3767800.2264935155</v>
      </c>
      <c r="ED444" s="269">
        <f t="shared" si="1206"/>
        <v>18839001.132467579</v>
      </c>
      <c r="EE444" s="196">
        <f>'Detailed Budget'!$AC$161</f>
        <v>251147290106.36197</v>
      </c>
      <c r="EF444" s="269">
        <f t="shared" si="1159"/>
        <v>269138717.41349542</v>
      </c>
      <c r="EG444" s="196">
        <f>'Detailed Budget'!$AC$163</f>
        <v>15696705631.647623</v>
      </c>
      <c r="EH444" s="269">
        <f t="shared" si="1160"/>
        <v>16821169.838343464</v>
      </c>
      <c r="EI444" s="269">
        <f t="shared" si="1207"/>
        <v>285959887.25183886</v>
      </c>
      <c r="EJ444" s="196">
        <f>'Detailed Budget'!$AC$204</f>
        <v>45012172507.531975</v>
      </c>
      <c r="EK444" s="269">
        <f t="shared" si="1161"/>
        <v>50023251.965080947</v>
      </c>
      <c r="EL444" s="201">
        <f>'Detailed Budget'!$AC$206</f>
        <v>11253043126.882994</v>
      </c>
      <c r="EM444" s="269">
        <f t="shared" si="1162"/>
        <v>12505812.991270237</v>
      </c>
      <c r="EN444" s="269">
        <f t="shared" si="1208"/>
        <v>62529064.956351183</v>
      </c>
      <c r="EO444" s="140">
        <f>'Detailed Budget'!$AC$209</f>
        <v>135789361677.54817</v>
      </c>
      <c r="EP444" s="269">
        <f t="shared" si="1163"/>
        <v>160215825.00109866</v>
      </c>
      <c r="EQ444" s="196">
        <f>'Detailed Budget'!$AC$211</f>
        <v>33947340419.387043</v>
      </c>
      <c r="ER444" s="269">
        <f t="shared" si="1164"/>
        <v>40053956.250274666</v>
      </c>
      <c r="ES444" s="269">
        <f t="shared" si="1209"/>
        <v>200269781.25137332</v>
      </c>
      <c r="ET444" s="196">
        <f>'Detailed Budget'!$AC$214</f>
        <v>22239745544.201103</v>
      </c>
      <c r="EU444" s="269">
        <f t="shared" si="1165"/>
        <v>25483922.451621186</v>
      </c>
      <c r="EV444" s="140">
        <f>'Detailed Budget'!$AC$217</f>
        <v>5559936386.0502758</v>
      </c>
      <c r="EW444" s="269">
        <f t="shared" si="1166"/>
        <v>6370980.6129052965</v>
      </c>
      <c r="EX444" s="269">
        <f t="shared" si="1210"/>
        <v>31854903.064526483</v>
      </c>
      <c r="EY444" s="196">
        <f>'Detailed Budget'!$AC$219</f>
        <v>372777004.58170313</v>
      </c>
      <c r="EZ444" s="269">
        <f t="shared" si="1167"/>
        <v>447189.55460975762</v>
      </c>
      <c r="FA444" s="196">
        <f>'Detailed Budget'!$AC$222</f>
        <v>93194251.145425782</v>
      </c>
      <c r="FB444" s="269">
        <f t="shared" si="1168"/>
        <v>111797.3886524394</v>
      </c>
      <c r="FC444" s="269">
        <f t="shared" si="1211"/>
        <v>558986.94326219708</v>
      </c>
      <c r="FD444" s="269"/>
      <c r="FE444" s="269">
        <f t="shared" si="1212"/>
        <v>295212736.21551323</v>
      </c>
      <c r="FF444" s="140">
        <f>'Detailed Budget'!$AC$165</f>
        <v>14927760000</v>
      </c>
      <c r="FG444" s="1087">
        <f t="shared" si="1087"/>
        <v>402689713.46655113</v>
      </c>
      <c r="FH444" s="269">
        <f t="shared" si="1169"/>
        <v>16961436.200431772</v>
      </c>
      <c r="FJ444" s="140">
        <f>'Detailed Budget'!$AC$235</f>
        <v>3623696172</v>
      </c>
      <c r="FK444" s="269">
        <f t="shared" si="1170"/>
        <v>4681778</v>
      </c>
      <c r="FL444" s="269">
        <f t="shared" si="1088"/>
        <v>4681778</v>
      </c>
      <c r="FO444" s="607"/>
      <c r="FP444" s="607"/>
      <c r="FQ444" s="607"/>
      <c r="FR444" s="269">
        <f>'Detailed Budget'!$AC$257</f>
        <v>13636439388</v>
      </c>
      <c r="FS444" s="269">
        <f t="shared" si="1171"/>
        <v>15489708.000000002</v>
      </c>
      <c r="FT444" s="269">
        <f t="shared" si="1089"/>
        <v>15489708.000000002</v>
      </c>
      <c r="FU444" s="269"/>
      <c r="FV444" s="269"/>
      <c r="FW444" s="269"/>
      <c r="FX444" s="140">
        <f>'Detailed Budget'!$AC$278</f>
        <v>1114560000</v>
      </c>
      <c r="FY444" s="269">
        <f t="shared" si="1172"/>
        <v>1440000</v>
      </c>
      <c r="FZ444" s="269">
        <f t="shared" si="1090"/>
        <v>1440000</v>
      </c>
      <c r="GB444" s="269">
        <f t="shared" si="1098"/>
        <v>2274696289.9104896</v>
      </c>
      <c r="GC444" s="887">
        <f t="shared" si="1213"/>
        <v>1421685.1811940561</v>
      </c>
      <c r="GD444" s="1078">
        <f t="shared" si="1099"/>
        <v>1.2764037164144464E-3</v>
      </c>
    </row>
    <row r="445" spans="1:186" hidden="1" outlineLevel="1">
      <c r="A445" s="211" t="s">
        <v>1023</v>
      </c>
      <c r="B445" s="212" t="s">
        <v>1024</v>
      </c>
      <c r="C445" s="213" t="s">
        <v>215</v>
      </c>
      <c r="D445" s="214" t="s">
        <v>215</v>
      </c>
      <c r="E445" s="213"/>
      <c r="F445" s="213"/>
      <c r="G445" s="213"/>
      <c r="H445" s="213" t="s">
        <v>215</v>
      </c>
      <c r="I445" s="214" t="s">
        <v>215</v>
      </c>
      <c r="J445" s="214"/>
      <c r="K445" s="213" t="s">
        <v>215</v>
      </c>
      <c r="L445" s="213"/>
      <c r="M445" s="214"/>
      <c r="N445" s="213"/>
      <c r="O445" s="214"/>
      <c r="P445" s="213"/>
      <c r="Q445" s="214"/>
      <c r="R445" s="214" t="s">
        <v>215</v>
      </c>
      <c r="S445" s="214"/>
      <c r="T445" s="214"/>
      <c r="U445" s="215">
        <f t="shared" si="1173"/>
        <v>6</v>
      </c>
      <c r="V445" s="845" t="s">
        <v>219</v>
      </c>
      <c r="W445" s="216">
        <v>104601</v>
      </c>
      <c r="X445" s="217">
        <v>3.03</v>
      </c>
      <c r="Y445" s="218">
        <f t="shared" si="1101"/>
        <v>1.0303</v>
      </c>
      <c r="Z445" s="196">
        <v>19</v>
      </c>
      <c r="AA445" s="218">
        <f t="shared" si="1102"/>
        <v>1.7632354008841205</v>
      </c>
      <c r="AB445" s="196">
        <f t="shared" si="1194"/>
        <v>184436.18616787987</v>
      </c>
      <c r="AC445">
        <v>20.2</v>
      </c>
      <c r="AD445" s="196">
        <f t="shared" si="1195"/>
        <v>37256.109605911734</v>
      </c>
      <c r="AE445" s="196">
        <f t="shared" si="1148"/>
        <v>35393.304125616145</v>
      </c>
      <c r="AF445" s="196">
        <f t="shared" si="1174"/>
        <v>35393.304125616145</v>
      </c>
      <c r="AG445" s="606">
        <f t="shared" si="1216"/>
        <v>1.6364310032519883E-3</v>
      </c>
      <c r="AH445" s="196">
        <f t="shared" si="1188"/>
        <v>9221.8093083939948</v>
      </c>
      <c r="AI445" s="248">
        <f t="shared" si="1193"/>
        <v>7.1439959471540941E-4</v>
      </c>
      <c r="AJ445" s="196">
        <f t="shared" si="1196"/>
        <v>46477.91891430573</v>
      </c>
      <c r="AK445" s="196">
        <f t="shared" si="1067"/>
        <v>7377.4474467151949</v>
      </c>
      <c r="AL445" s="196">
        <f t="shared" si="1068"/>
        <v>7377.4474467151949</v>
      </c>
      <c r="AM445" s="196">
        <f t="shared" si="1197"/>
        <v>14754.89489343039</v>
      </c>
      <c r="AN445" s="627">
        <f t="shared" si="1198"/>
        <v>7.143995947154093E-4</v>
      </c>
      <c r="AO445" s="196">
        <f t="shared" si="1199"/>
        <v>7008.5750743794351</v>
      </c>
      <c r="AP445" s="589">
        <f t="shared" si="1217"/>
        <v>7.143995947154093E-4</v>
      </c>
      <c r="AQ445" s="196"/>
      <c r="AR445" s="589"/>
      <c r="AS445">
        <v>1</v>
      </c>
      <c r="AT445" s="589">
        <f t="shared" si="1218"/>
        <v>1.2919896640826874E-3</v>
      </c>
      <c r="AU445" s="196">
        <v>10</v>
      </c>
      <c r="AV445" s="245">
        <f t="shared" si="1200"/>
        <v>1.1362345188046814E-3</v>
      </c>
      <c r="AX445" s="245"/>
      <c r="AY445" s="245"/>
      <c r="AZ445" s="196">
        <v>37</v>
      </c>
      <c r="BA445" s="589">
        <f t="shared" si="1092"/>
        <v>1.3557583085999048E-3</v>
      </c>
      <c r="BI445" s="196">
        <v>0</v>
      </c>
      <c r="BJ445" s="196">
        <f t="shared" si="1175"/>
        <v>105410.11784500304</v>
      </c>
      <c r="BK445" s="246">
        <f t="shared" si="1093"/>
        <v>2.0101073493569732E-3</v>
      </c>
      <c r="BL445" s="196">
        <f t="shared" si="1189"/>
        <v>2108.2023569000607</v>
      </c>
      <c r="BM445" s="246">
        <f t="shared" si="1094"/>
        <v>2.0101071193677931E-3</v>
      </c>
      <c r="BN445" s="196">
        <v>0</v>
      </c>
      <c r="BO445" s="196">
        <f t="shared" si="1176"/>
        <v>13473.491691321771</v>
      </c>
      <c r="BP445" s="196">
        <f t="shared" si="1201"/>
        <v>0</v>
      </c>
      <c r="BQ445" s="248">
        <f t="shared" si="1095"/>
        <v>0</v>
      </c>
      <c r="BR445" s="248"/>
      <c r="BS445" s="248"/>
      <c r="BT445" s="276">
        <v>1</v>
      </c>
      <c r="BU445" s="196">
        <f t="shared" si="1190"/>
        <v>30043.326786207224</v>
      </c>
      <c r="BV445" s="264">
        <f t="shared" si="1096"/>
        <v>2.0838620526631032E-3</v>
      </c>
      <c r="BW445" s="196">
        <f t="shared" si="1191"/>
        <v>128518.67569655312</v>
      </c>
      <c r="BX445" s="247">
        <f t="shared" si="1097"/>
        <v>2.0838620714346123E-3</v>
      </c>
      <c r="BY445" s="196">
        <f t="shared" si="1100"/>
        <v>158562.00248276035</v>
      </c>
      <c r="BZ445" s="620">
        <v>0</v>
      </c>
      <c r="CA445" s="196">
        <f t="shared" si="1177"/>
        <v>56437.472967371243</v>
      </c>
      <c r="CB445" s="196">
        <f t="shared" si="1178"/>
        <v>112874.94593474249</v>
      </c>
      <c r="CC445" s="196">
        <f t="shared" si="1214"/>
        <v>169312.41890211374</v>
      </c>
      <c r="CD445" s="247">
        <f t="shared" si="1202"/>
        <v>7.1439959471540941E-4</v>
      </c>
      <c r="CE445" s="196">
        <f t="shared" si="1179"/>
        <v>12420.262986892742</v>
      </c>
      <c r="CF445" s="247">
        <f t="shared" si="1203"/>
        <v>5.3634558211707712E-4</v>
      </c>
      <c r="CG445" s="196">
        <f t="shared" si="1150"/>
        <v>28034.300297517741</v>
      </c>
      <c r="CH445" s="589">
        <f t="shared" si="1219"/>
        <v>7.143995947154093E-4</v>
      </c>
      <c r="CI445" s="196">
        <f t="shared" si="1180"/>
        <v>45064.412972973631</v>
      </c>
      <c r="CJ445" s="248">
        <f t="shared" si="1220"/>
        <v>7.4085883488708237E-4</v>
      </c>
      <c r="CK445" s="196">
        <f t="shared" si="1181"/>
        <v>54716.601306218945</v>
      </c>
      <c r="CL445" s="589">
        <f t="shared" si="1221"/>
        <v>7.8656239850161689E-4</v>
      </c>
      <c r="CM445" s="196">
        <f t="shared" si="1182"/>
        <v>5300.6819633041086</v>
      </c>
      <c r="CN445" s="589">
        <f t="shared" si="1222"/>
        <v>7.6388851131290185E-4</v>
      </c>
      <c r="CO445" s="196">
        <f t="shared" si="1183"/>
        <v>424.06246709635769</v>
      </c>
      <c r="CP445" s="589">
        <f t="shared" si="1223"/>
        <v>7.9971649529926049E-4</v>
      </c>
      <c r="CQ445" s="196">
        <f>'Detailed Budget'!$AC$12</f>
        <v>292876014141.44696</v>
      </c>
      <c r="CR445" s="269">
        <f t="shared" si="1224"/>
        <v>588712228.47609937</v>
      </c>
      <c r="CS445" s="269">
        <f>'Detailed Budget'!$AC$16</f>
        <v>10488008800.000002</v>
      </c>
      <c r="CT445" s="607">
        <f t="shared" si="1152"/>
        <v>21082021.156872068</v>
      </c>
      <c r="CU445" s="269">
        <f>'Detailed Budget'!$AC$24</f>
        <v>30624985696</v>
      </c>
      <c r="CV445" s="269">
        <f t="shared" si="1091"/>
        <v>61559508.821481779</v>
      </c>
      <c r="CW445" s="269"/>
      <c r="CX445" s="269">
        <f t="shared" si="1215"/>
        <v>671353758.45445323</v>
      </c>
      <c r="CY445" s="196">
        <f>'Detailed Budget'!$AC$97</f>
        <v>74629165494.837845</v>
      </c>
      <c r="CZ445" s="269">
        <f t="shared" si="1153"/>
        <v>0</v>
      </c>
      <c r="DA445" s="269">
        <f>'Detailed Budget'!$AC$100</f>
        <v>14925833098.967569</v>
      </c>
      <c r="DB445" s="269">
        <f t="shared" si="1154"/>
        <v>0</v>
      </c>
      <c r="DC445" s="269">
        <f t="shared" si="1204"/>
        <v>0</v>
      </c>
      <c r="DD445" s="207">
        <v>0</v>
      </c>
      <c r="DE445" s="606">
        <v>0</v>
      </c>
      <c r="DF445" s="269">
        <f>'Detailed Budget'!$AC$147</f>
        <v>5913600671000</v>
      </c>
      <c r="DG445" s="269">
        <f t="shared" si="1086"/>
        <v>0</v>
      </c>
      <c r="DH445" s="269">
        <f>'Detailed Budget'!$AC$153</f>
        <v>226428026880.00003</v>
      </c>
      <c r="DI445" s="269"/>
      <c r="DJ445" s="269">
        <f>'Detailed Budget'!$AC$156</f>
        <v>27713070000</v>
      </c>
      <c r="DK445" s="269"/>
      <c r="DL445" s="269"/>
      <c r="DM445" s="196">
        <f>'Detailed Budget'!$AC$178</f>
        <v>5622683761.6229038</v>
      </c>
      <c r="DN445" s="269">
        <f t="shared" si="1184"/>
        <v>11716897.324971003</v>
      </c>
      <c r="DO445" s="196">
        <f>'Detailed Budget'!$AC$179</f>
        <v>26827890683.128094</v>
      </c>
      <c r="DP445" s="269">
        <f t="shared" si="1185"/>
        <v>55905623.851164646</v>
      </c>
      <c r="DQ445" s="269">
        <f t="shared" si="1192"/>
        <v>67622521.176135644</v>
      </c>
      <c r="DR445" s="269">
        <f>'Detailed Budget'!$AC$181</f>
        <v>50888946855.375237</v>
      </c>
      <c r="DS445" s="269">
        <f t="shared" si="1186"/>
        <v>83276250.356978819</v>
      </c>
      <c r="DT445" s="269">
        <f t="shared" si="1187"/>
        <v>150898771.53311446</v>
      </c>
      <c r="DU445" s="272">
        <f>'Detailed Budget'!$AC$192</f>
        <v>77498869683.252869</v>
      </c>
      <c r="DV445" s="269">
        <f t="shared" si="1155"/>
        <v>0</v>
      </c>
      <c r="DW445" s="140">
        <f>'Detailed Budget'!$AC$194</f>
        <v>2684962805.4134097</v>
      </c>
      <c r="DX445" s="269">
        <f t="shared" si="1156"/>
        <v>0</v>
      </c>
      <c r="DY445" s="607">
        <f t="shared" si="1205"/>
        <v>0</v>
      </c>
      <c r="DZ445" s="196">
        <f>'Detailed Budget'!$AC$198</f>
        <v>18732540018.380611</v>
      </c>
      <c r="EA445" s="269">
        <f t="shared" si="1157"/>
        <v>10047115.080689792</v>
      </c>
      <c r="EB445" s="196">
        <f>'Detailed Budget'!$AC$200</f>
        <v>4683135004.5951529</v>
      </c>
      <c r="EC445" s="269">
        <f t="shared" si="1158"/>
        <v>2511778.7701724479</v>
      </c>
      <c r="ED445" s="269">
        <f t="shared" si="1206"/>
        <v>12558893.850862239</v>
      </c>
      <c r="EE445" s="196">
        <f>'Detailed Budget'!$AC$161</f>
        <v>251147290106.36197</v>
      </c>
      <c r="EF445" s="269">
        <f t="shared" si="1159"/>
        <v>179419522.26585832</v>
      </c>
      <c r="EG445" s="196">
        <f>'Detailed Budget'!$AC$163</f>
        <v>15696705631.647623</v>
      </c>
      <c r="EH445" s="269">
        <f t="shared" si="1160"/>
        <v>11213720.141616145</v>
      </c>
      <c r="EI445" s="269">
        <f t="shared" si="1207"/>
        <v>190633242.40747446</v>
      </c>
      <c r="EJ445" s="196">
        <f>'Detailed Budget'!$AC$204</f>
        <v>45012172507.531975</v>
      </c>
      <c r="EK445" s="269">
        <f t="shared" si="1161"/>
        <v>33347665.679666501</v>
      </c>
      <c r="EL445" s="201">
        <f>'Detailed Budget'!$AC$206</f>
        <v>11253043126.882994</v>
      </c>
      <c r="EM445" s="269">
        <f t="shared" si="1162"/>
        <v>8336916.4199166251</v>
      </c>
      <c r="EN445" s="269">
        <f t="shared" si="1208"/>
        <v>41684582.099583127</v>
      </c>
      <c r="EO445" s="140">
        <f>'Detailed Budget'!$AC$209</f>
        <v>135789361677.54817</v>
      </c>
      <c r="EP445" s="269">
        <f t="shared" si="1163"/>
        <v>106806806.01209582</v>
      </c>
      <c r="EQ445" s="196">
        <f>'Detailed Budget'!$AC$211</f>
        <v>33947340419.387043</v>
      </c>
      <c r="ER445" s="269">
        <f t="shared" si="1164"/>
        <v>26701701.503023956</v>
      </c>
      <c r="ES445" s="269">
        <f t="shared" si="1209"/>
        <v>133508507.51511978</v>
      </c>
      <c r="ET445" s="196">
        <f>'Detailed Budget'!$AC$214</f>
        <v>22239745544.201103</v>
      </c>
      <c r="EU445" s="269">
        <f t="shared" si="1165"/>
        <v>16988686.115737524</v>
      </c>
      <c r="EV445" s="140">
        <f>'Detailed Budget'!$AC$217</f>
        <v>5559936386.0502758</v>
      </c>
      <c r="EW445" s="269">
        <f t="shared" si="1166"/>
        <v>4247171.528934381</v>
      </c>
      <c r="EX445" s="269">
        <f t="shared" si="1210"/>
        <v>21235857.644671906</v>
      </c>
      <c r="EY445" s="196">
        <f>'Detailed Budget'!$AC$219</f>
        <v>372777004.58170313</v>
      </c>
      <c r="EZ445" s="269">
        <f t="shared" si="1167"/>
        <v>298115.91963223601</v>
      </c>
      <c r="FA445" s="196">
        <f>'Detailed Budget'!$AC$222</f>
        <v>93194251.145425782</v>
      </c>
      <c r="FB445" s="269">
        <f t="shared" si="1168"/>
        <v>74528.979908059002</v>
      </c>
      <c r="FC445" s="269">
        <f t="shared" si="1211"/>
        <v>372644.89954029501</v>
      </c>
      <c r="FD445" s="269"/>
      <c r="FE445" s="269">
        <f t="shared" si="1212"/>
        <v>196801592.15891513</v>
      </c>
      <c r="FF445" s="140">
        <f>'Detailed Budget'!$AC$165</f>
        <v>14927760000</v>
      </c>
      <c r="FG445" s="1087">
        <f t="shared" si="1087"/>
        <v>268450398.76050597</v>
      </c>
      <c r="FH445" s="269">
        <f t="shared" si="1169"/>
        <v>16961436.200431772</v>
      </c>
      <c r="FJ445" s="140">
        <f>'Detailed Budget'!$AC$235</f>
        <v>3623696172</v>
      </c>
      <c r="FK445" s="269">
        <f t="shared" si="1170"/>
        <v>4681778</v>
      </c>
      <c r="FL445" s="269">
        <f t="shared" si="1088"/>
        <v>4681778</v>
      </c>
      <c r="FO445" s="607"/>
      <c r="FP445" s="607"/>
      <c r="FQ445" s="607"/>
      <c r="FR445" s="269">
        <f>'Detailed Budget'!$AC$257</f>
        <v>13636439388</v>
      </c>
      <c r="FS445" s="269">
        <f t="shared" si="1171"/>
        <v>18487716</v>
      </c>
      <c r="FT445" s="269">
        <f t="shared" si="1089"/>
        <v>18487716</v>
      </c>
      <c r="FU445" s="269"/>
      <c r="FV445" s="269"/>
      <c r="FW445" s="269"/>
      <c r="FX445" s="140">
        <f>'Detailed Budget'!$AC$278</f>
        <v>1114560000</v>
      </c>
      <c r="FY445" s="269">
        <f t="shared" si="1172"/>
        <v>1440000</v>
      </c>
      <c r="FZ445" s="269">
        <f t="shared" si="1090"/>
        <v>1440000</v>
      </c>
      <c r="GB445" s="269">
        <f t="shared" si="1098"/>
        <v>1532267587.3657572</v>
      </c>
      <c r="GC445" s="887">
        <f t="shared" si="1213"/>
        <v>957667.24210359831</v>
      </c>
      <c r="GD445" s="1078">
        <f t="shared" si="1099"/>
        <v>8.5980359300274383E-4</v>
      </c>
    </row>
    <row r="446" spans="1:186" hidden="1" outlineLevel="1">
      <c r="A446" s="211" t="s">
        <v>1025</v>
      </c>
      <c r="B446" s="212" t="s">
        <v>1026</v>
      </c>
      <c r="C446" s="213" t="s">
        <v>215</v>
      </c>
      <c r="D446" s="214" t="s">
        <v>215</v>
      </c>
      <c r="E446" s="213"/>
      <c r="F446" s="213"/>
      <c r="G446" s="213"/>
      <c r="H446" s="213" t="s">
        <v>215</v>
      </c>
      <c r="I446" s="214" t="s">
        <v>215</v>
      </c>
      <c r="J446" s="214"/>
      <c r="K446" s="213" t="s">
        <v>215</v>
      </c>
      <c r="L446" s="213"/>
      <c r="M446" s="214"/>
      <c r="N446" s="213"/>
      <c r="O446" s="214"/>
      <c r="P446" s="213"/>
      <c r="Q446" s="214" t="s">
        <v>215</v>
      </c>
      <c r="R446" s="214"/>
      <c r="S446" s="214"/>
      <c r="T446" s="214"/>
      <c r="U446" s="215">
        <f t="shared" si="1173"/>
        <v>6</v>
      </c>
      <c r="V446" s="845" t="s">
        <v>265</v>
      </c>
      <c r="W446" s="216">
        <v>233012</v>
      </c>
      <c r="X446" s="217">
        <v>3.03</v>
      </c>
      <c r="Y446" s="218">
        <f t="shared" si="1101"/>
        <v>1.0303</v>
      </c>
      <c r="Z446" s="196">
        <v>19</v>
      </c>
      <c r="AA446" s="218">
        <f t="shared" si="1102"/>
        <v>1.7632354008841205</v>
      </c>
      <c r="AB446" s="196">
        <f t="shared" si="1194"/>
        <v>410855.00723081065</v>
      </c>
      <c r="AC446">
        <v>20.2</v>
      </c>
      <c r="AD446" s="196">
        <f t="shared" si="1195"/>
        <v>82992.711460623745</v>
      </c>
      <c r="AE446" s="196">
        <f t="shared" si="1148"/>
        <v>78843.075887592553</v>
      </c>
      <c r="AF446" s="196">
        <f t="shared" si="1174"/>
        <v>78843.075887592553</v>
      </c>
      <c r="AG446" s="606">
        <f t="shared" si="1216"/>
        <v>3.6453577014536409E-3</v>
      </c>
      <c r="AH446" s="196">
        <f t="shared" si="1188"/>
        <v>20542.750361540533</v>
      </c>
      <c r="AI446" s="248">
        <f t="shared" si="1193"/>
        <v>1.5914157452015464E-3</v>
      </c>
      <c r="AJ446" s="196">
        <f t="shared" si="1196"/>
        <v>103535.46182216427</v>
      </c>
      <c r="AK446" s="196">
        <f t="shared" ref="AK446:AK506" si="1225">AB446*0.04</f>
        <v>16434.200289232427</v>
      </c>
      <c r="AL446" s="196">
        <f t="shared" ref="AL446:AL506" si="1226">AB446*0.04</f>
        <v>16434.200289232427</v>
      </c>
      <c r="AM446" s="196">
        <f t="shared" si="1197"/>
        <v>32868.400578464854</v>
      </c>
      <c r="AN446" s="627">
        <f t="shared" si="1198"/>
        <v>1.5914157452015466E-3</v>
      </c>
      <c r="AO446" s="196">
        <f t="shared" si="1199"/>
        <v>15612.490274770804</v>
      </c>
      <c r="AP446" s="589">
        <f t="shared" si="1217"/>
        <v>1.5914157452015464E-3</v>
      </c>
      <c r="AQ446" s="196"/>
      <c r="AR446" s="589"/>
      <c r="AS446">
        <v>1</v>
      </c>
      <c r="AT446" s="589">
        <f t="shared" si="1218"/>
        <v>1.2919896640826874E-3</v>
      </c>
      <c r="AU446" s="196">
        <v>11</v>
      </c>
      <c r="AV446" s="245">
        <f t="shared" si="1200"/>
        <v>1.2498579706851495E-3</v>
      </c>
      <c r="AX446" s="245"/>
      <c r="AY446" s="245"/>
      <c r="AZ446" s="196">
        <v>17</v>
      </c>
      <c r="BA446" s="589">
        <f t="shared" si="1092"/>
        <v>6.229159796269833E-4</v>
      </c>
      <c r="BI446" s="196">
        <v>0</v>
      </c>
      <c r="BJ446" s="196">
        <f t="shared" si="1175"/>
        <v>234814.41266622546</v>
      </c>
      <c r="BK446" s="246">
        <f t="shared" si="1093"/>
        <v>4.477769177047705E-3</v>
      </c>
      <c r="BL446" s="196">
        <f t="shared" si="1189"/>
        <v>4696.2882533245092</v>
      </c>
      <c r="BM446" s="246">
        <f t="shared" si="1094"/>
        <v>4.4777686647176247E-3</v>
      </c>
      <c r="BN446" s="196">
        <v>0</v>
      </c>
      <c r="BO446" s="196">
        <f t="shared" si="1176"/>
        <v>30013.912352446612</v>
      </c>
      <c r="BP446" s="196">
        <f t="shared" si="1201"/>
        <v>0</v>
      </c>
      <c r="BQ446" s="248">
        <f t="shared" si="1095"/>
        <v>0</v>
      </c>
      <c r="BR446" s="248"/>
      <c r="BS446" s="248"/>
      <c r="BT446" s="276">
        <v>1</v>
      </c>
      <c r="BU446" s="196">
        <f t="shared" si="1190"/>
        <v>66925.322521846989</v>
      </c>
      <c r="BV446" s="264">
        <f t="shared" si="1096"/>
        <v>4.6420671371701508E-3</v>
      </c>
      <c r="BW446" s="196">
        <f t="shared" si="1191"/>
        <v>286291.65745456773</v>
      </c>
      <c r="BX446" s="247">
        <f t="shared" si="1097"/>
        <v>4.6420671789860696E-3</v>
      </c>
      <c r="BY446" s="196">
        <f t="shared" si="1100"/>
        <v>353216.9799764147</v>
      </c>
      <c r="BZ446" s="620">
        <v>0</v>
      </c>
      <c r="CA446" s="196">
        <f t="shared" si="1177"/>
        <v>125721.63221262806</v>
      </c>
      <c r="CB446" s="196">
        <f t="shared" si="1178"/>
        <v>251443.26442525611</v>
      </c>
      <c r="CC446" s="196">
        <f t="shared" si="1214"/>
        <v>377164.8966378842</v>
      </c>
      <c r="CD446" s="247">
        <f t="shared" si="1202"/>
        <v>1.5914157452015466E-3</v>
      </c>
      <c r="CE446" s="196">
        <f t="shared" si="1179"/>
        <v>27667.711772371687</v>
      </c>
      <c r="CF446" s="247">
        <f t="shared" si="1203"/>
        <v>1.1947778394113282E-3</v>
      </c>
      <c r="CG446" s="196">
        <f t="shared" si="1150"/>
        <v>62449.961099083215</v>
      </c>
      <c r="CH446" s="589">
        <f t="shared" si="1219"/>
        <v>1.5914157452015464E-3</v>
      </c>
      <c r="CI446" s="196">
        <f t="shared" si="1180"/>
        <v>100386.69798241442</v>
      </c>
      <c r="CJ446" s="248">
        <f t="shared" si="1220"/>
        <v>1.6503570600157631E-3</v>
      </c>
      <c r="CK446" s="196">
        <f t="shared" si="1181"/>
        <v>121888.17223128544</v>
      </c>
      <c r="CL446" s="589">
        <f t="shared" si="1221"/>
        <v>1.7521675471521185E-3</v>
      </c>
      <c r="CM446" s="196">
        <f t="shared" si="1182"/>
        <v>11807.941660533044</v>
      </c>
      <c r="CN446" s="589">
        <f t="shared" si="1222"/>
        <v>1.7016585864192684E-3</v>
      </c>
      <c r="CO446" s="196">
        <f t="shared" si="1183"/>
        <v>944.65295344266769</v>
      </c>
      <c r="CP446" s="589">
        <f t="shared" si="1223"/>
        <v>1.7814699668518587E-3</v>
      </c>
      <c r="CQ446" s="196">
        <f>'Detailed Budget'!$AC$12</f>
        <v>292876014141.44696</v>
      </c>
      <c r="CR446" s="269">
        <f t="shared" si="1224"/>
        <v>1311431188.819159</v>
      </c>
      <c r="CS446" s="269">
        <f>'Detailed Budget'!$AC$16</f>
        <v>10488008800.000002</v>
      </c>
      <c r="CT446" s="607">
        <f t="shared" si="1152"/>
        <v>46962877.159922704</v>
      </c>
      <c r="CU446" s="269">
        <f>'Detailed Budget'!$AC$24</f>
        <v>30624985696</v>
      </c>
      <c r="CV446" s="269">
        <f t="shared" si="1091"/>
        <v>137131616.99707565</v>
      </c>
      <c r="CW446" s="269"/>
      <c r="CX446" s="269">
        <f t="shared" si="1215"/>
        <v>1495525682.9761572</v>
      </c>
      <c r="CY446" s="196">
        <f>'Detailed Budget'!$AC$97</f>
        <v>74629165494.837845</v>
      </c>
      <c r="CZ446" s="269">
        <f t="shared" si="1153"/>
        <v>0</v>
      </c>
      <c r="DA446" s="269">
        <f>'Detailed Budget'!$AC$100</f>
        <v>14925833098.967569</v>
      </c>
      <c r="DB446" s="269">
        <f t="shared" si="1154"/>
        <v>0</v>
      </c>
      <c r="DC446" s="269">
        <f t="shared" si="1204"/>
        <v>0</v>
      </c>
      <c r="DD446" s="207">
        <v>0</v>
      </c>
      <c r="DE446" s="606">
        <v>0</v>
      </c>
      <c r="DF446" s="269">
        <f>'Detailed Budget'!$AC$147</f>
        <v>5913600671000</v>
      </c>
      <c r="DG446" s="269">
        <f t="shared" si="1086"/>
        <v>0</v>
      </c>
      <c r="DH446" s="269">
        <f>'Detailed Budget'!$AC$153</f>
        <v>226428026880.00003</v>
      </c>
      <c r="DI446" s="269"/>
      <c r="DJ446" s="269">
        <f>'Detailed Budget'!$AC$156</f>
        <v>27713070000</v>
      </c>
      <c r="DK446" s="269"/>
      <c r="DL446" s="269"/>
      <c r="DM446" s="196">
        <f>'Detailed Budget'!$AC$178</f>
        <v>5622683761.6229038</v>
      </c>
      <c r="DN446" s="269">
        <f t="shared" si="1184"/>
        <v>26100875.512529928</v>
      </c>
      <c r="DO446" s="196">
        <f>'Detailed Budget'!$AC$179</f>
        <v>26827890683.128094</v>
      </c>
      <c r="DP446" s="269">
        <f t="shared" si="1185"/>
        <v>124536870.82157509</v>
      </c>
      <c r="DQ446" s="269">
        <f t="shared" si="1192"/>
        <v>150637746.33410501</v>
      </c>
      <c r="DR446" s="269">
        <f>'Detailed Budget'!$AC$181</f>
        <v>50888946855.375237</v>
      </c>
      <c r="DS446" s="269">
        <f t="shared" si="1186"/>
        <v>185508414.33810717</v>
      </c>
      <c r="DT446" s="269">
        <f t="shared" si="1187"/>
        <v>336146160.67221218</v>
      </c>
      <c r="DU446" s="272">
        <f>'Detailed Budget'!$AC$192</f>
        <v>77498869683.252869</v>
      </c>
      <c r="DV446" s="269">
        <f t="shared" si="1155"/>
        <v>0</v>
      </c>
      <c r="DW446" s="140">
        <f>'Detailed Budget'!$AC$194</f>
        <v>2684962805.4134097</v>
      </c>
      <c r="DX446" s="269">
        <f t="shared" si="1156"/>
        <v>0</v>
      </c>
      <c r="DY446" s="607">
        <f t="shared" si="1205"/>
        <v>0</v>
      </c>
      <c r="DZ446" s="196">
        <f>'Detailed Budget'!$AC$198</f>
        <v>18732540018.380611</v>
      </c>
      <c r="EA446" s="269">
        <f t="shared" si="1157"/>
        <v>22381223.68984703</v>
      </c>
      <c r="EB446" s="196">
        <f>'Detailed Budget'!$AC$200</f>
        <v>4683135004.5951529</v>
      </c>
      <c r="EC446" s="269">
        <f t="shared" si="1158"/>
        <v>5595305.9224617574</v>
      </c>
      <c r="ED446" s="269">
        <f t="shared" si="1206"/>
        <v>27976529.612308785</v>
      </c>
      <c r="EE446" s="196">
        <f>'Detailed Budget'!$AC$161</f>
        <v>251147290106.36197</v>
      </c>
      <c r="EF446" s="269">
        <f t="shared" si="1159"/>
        <v>399679751.83996499</v>
      </c>
      <c r="EG446" s="196">
        <f>'Detailed Budget'!$AC$163</f>
        <v>15696705631.647623</v>
      </c>
      <c r="EH446" s="269">
        <f t="shared" si="1160"/>
        <v>24979984.489997812</v>
      </c>
      <c r="EI446" s="269">
        <f t="shared" si="1207"/>
        <v>424659736.32996279</v>
      </c>
      <c r="EJ446" s="196">
        <f>'Detailed Budget'!$AC$204</f>
        <v>45012172507.531975</v>
      </c>
      <c r="EK446" s="269">
        <f t="shared" si="1161"/>
        <v>74286156.684452832</v>
      </c>
      <c r="EL446" s="201">
        <f>'Detailed Budget'!$AC$206</f>
        <v>11253043126.882994</v>
      </c>
      <c r="EM446" s="269">
        <f t="shared" si="1162"/>
        <v>18571539.171113208</v>
      </c>
      <c r="EN446" s="269">
        <f t="shared" si="1208"/>
        <v>92857695.85556604</v>
      </c>
      <c r="EO446" s="140">
        <f>'Detailed Budget'!$AC$209</f>
        <v>135789361677.54817</v>
      </c>
      <c r="EP446" s="269">
        <f t="shared" si="1163"/>
        <v>237925712.77990147</v>
      </c>
      <c r="EQ446" s="196">
        <f>'Detailed Budget'!$AC$211</f>
        <v>33947340419.387043</v>
      </c>
      <c r="ER446" s="269">
        <f t="shared" si="1164"/>
        <v>59481428.194975369</v>
      </c>
      <c r="ES446" s="269">
        <f t="shared" si="1209"/>
        <v>297407140.97487682</v>
      </c>
      <c r="ET446" s="196">
        <f>'Detailed Budget'!$AC$214</f>
        <v>22239745544.201103</v>
      </c>
      <c r="EU446" s="269">
        <f t="shared" si="1165"/>
        <v>37844453.965069473</v>
      </c>
      <c r="EV446" s="140">
        <f>'Detailed Budget'!$AC$217</f>
        <v>5559936386.0502758</v>
      </c>
      <c r="EW446" s="269">
        <f t="shared" si="1166"/>
        <v>9461113.4912673682</v>
      </c>
      <c r="EX446" s="269">
        <f t="shared" si="1210"/>
        <v>47305567.456336841</v>
      </c>
      <c r="EY446" s="196">
        <f>'Detailed Budget'!$AC$219</f>
        <v>372777004.58170313</v>
      </c>
      <c r="EZ446" s="269">
        <f t="shared" si="1167"/>
        <v>664091.03799530189</v>
      </c>
      <c r="FA446" s="196">
        <f>'Detailed Budget'!$AC$222</f>
        <v>93194251.145425782</v>
      </c>
      <c r="FB446" s="269">
        <f t="shared" si="1168"/>
        <v>166022.75949882547</v>
      </c>
      <c r="FC446" s="269">
        <f t="shared" si="1211"/>
        <v>830113.79749412742</v>
      </c>
      <c r="FD446" s="269"/>
      <c r="FE446" s="269">
        <f t="shared" si="1212"/>
        <v>438400518.08427382</v>
      </c>
      <c r="FF446" s="140">
        <f>'Detailed Budget'!$AC$165</f>
        <v>14927760000</v>
      </c>
      <c r="FG446" s="1087">
        <f t="shared" si="1087"/>
        <v>598007326.08658624</v>
      </c>
      <c r="FH446" s="269">
        <f t="shared" si="1169"/>
        <v>18657579.820474949</v>
      </c>
      <c r="FJ446" s="140">
        <f>'Detailed Budget'!$AC$235</f>
        <v>3623696172</v>
      </c>
      <c r="FK446" s="269">
        <f t="shared" si="1170"/>
        <v>4681778</v>
      </c>
      <c r="FL446" s="269">
        <f t="shared" si="1088"/>
        <v>4681778</v>
      </c>
      <c r="FO446" s="607"/>
      <c r="FP446" s="607"/>
      <c r="FQ446" s="607"/>
      <c r="FR446" s="269">
        <f>'Detailed Budget'!$AC$257</f>
        <v>13636439388</v>
      </c>
      <c r="FS446" s="269">
        <f t="shared" si="1171"/>
        <v>8494356</v>
      </c>
      <c r="FT446" s="269">
        <f t="shared" si="1089"/>
        <v>8494356</v>
      </c>
      <c r="FU446" s="269"/>
      <c r="FV446" s="269"/>
      <c r="FW446" s="269"/>
      <c r="FX446" s="140">
        <f>'Detailed Budget'!$AC$278</f>
        <v>1114560000</v>
      </c>
      <c r="FY446" s="269">
        <f t="shared" si="1172"/>
        <v>1440000</v>
      </c>
      <c r="FZ446" s="269">
        <f t="shared" si="1090"/>
        <v>1440000</v>
      </c>
      <c r="GB446" s="269">
        <f t="shared" si="1098"/>
        <v>3353989667.5819764</v>
      </c>
      <c r="GC446" s="887">
        <f t="shared" si="1213"/>
        <v>2096243.5422387354</v>
      </c>
      <c r="GD446" s="1078">
        <f t="shared" si="1099"/>
        <v>1.8820292166062088E-3</v>
      </c>
    </row>
    <row r="447" spans="1:186" hidden="1" outlineLevel="1">
      <c r="A447" s="211" t="s">
        <v>1027</v>
      </c>
      <c r="B447" s="212" t="s">
        <v>1028</v>
      </c>
      <c r="C447" s="213" t="s">
        <v>215</v>
      </c>
      <c r="D447" s="214" t="s">
        <v>215</v>
      </c>
      <c r="E447" s="213"/>
      <c r="F447" s="213"/>
      <c r="G447" s="213"/>
      <c r="H447" s="213" t="s">
        <v>215</v>
      </c>
      <c r="I447" s="214" t="s">
        <v>215</v>
      </c>
      <c r="J447" s="214"/>
      <c r="K447" s="213" t="s">
        <v>215</v>
      </c>
      <c r="L447" s="213"/>
      <c r="M447" s="214"/>
      <c r="N447" s="213"/>
      <c r="O447" s="214"/>
      <c r="P447" s="213"/>
      <c r="Q447" s="214" t="s">
        <v>215</v>
      </c>
      <c r="R447" s="214"/>
      <c r="S447" s="214"/>
      <c r="T447" s="214"/>
      <c r="U447" s="215">
        <f t="shared" si="1173"/>
        <v>6</v>
      </c>
      <c r="V447" s="845" t="s">
        <v>265</v>
      </c>
      <c r="W447" s="216">
        <v>197686</v>
      </c>
      <c r="X447" s="217">
        <v>3.03</v>
      </c>
      <c r="Y447" s="218">
        <f t="shared" si="1101"/>
        <v>1.0303</v>
      </c>
      <c r="Z447" s="196">
        <v>19</v>
      </c>
      <c r="AA447" s="218">
        <f t="shared" si="1102"/>
        <v>1.7632354008841205</v>
      </c>
      <c r="AB447" s="196">
        <f t="shared" si="1194"/>
        <v>348566.95345917821</v>
      </c>
      <c r="AC447">
        <v>20.2</v>
      </c>
      <c r="AD447" s="196">
        <f t="shared" si="1195"/>
        <v>70410.524598753997</v>
      </c>
      <c r="AE447" s="196">
        <f t="shared" si="1148"/>
        <v>66889.99836881629</v>
      </c>
      <c r="AF447" s="196">
        <f t="shared" si="1174"/>
        <v>66889.99836881629</v>
      </c>
      <c r="AG447" s="606">
        <f t="shared" si="1216"/>
        <v>3.0926998719789729E-3</v>
      </c>
      <c r="AH447" s="196">
        <f t="shared" si="1188"/>
        <v>17428.347672958913</v>
      </c>
      <c r="AI447" s="248">
        <f t="shared" si="1193"/>
        <v>1.3501476876981141E-3</v>
      </c>
      <c r="AJ447" s="196">
        <f t="shared" si="1196"/>
        <v>87838.872271712913</v>
      </c>
      <c r="AK447" s="196">
        <f t="shared" si="1225"/>
        <v>13942.67813836713</v>
      </c>
      <c r="AL447" s="196">
        <f t="shared" si="1226"/>
        <v>13942.67813836713</v>
      </c>
      <c r="AM447" s="196">
        <f t="shared" si="1197"/>
        <v>27885.356276734259</v>
      </c>
      <c r="AN447" s="627">
        <f t="shared" si="1198"/>
        <v>1.3501476876981141E-3</v>
      </c>
      <c r="AO447" s="196">
        <f t="shared" si="1199"/>
        <v>13245.544231448772</v>
      </c>
      <c r="AP447" s="589">
        <f t="shared" si="1217"/>
        <v>1.3501476876981138E-3</v>
      </c>
      <c r="AQ447" s="196"/>
      <c r="AR447" s="589"/>
      <c r="AS447">
        <v>1</v>
      </c>
      <c r="AT447" s="589">
        <f t="shared" si="1218"/>
        <v>1.2919896640826874E-3</v>
      </c>
      <c r="AU447" s="196">
        <v>11</v>
      </c>
      <c r="AV447" s="245">
        <f t="shared" si="1200"/>
        <v>1.2498579706851495E-3</v>
      </c>
      <c r="AX447" s="245"/>
      <c r="AY447" s="245"/>
      <c r="AZ447" s="196">
        <v>18</v>
      </c>
      <c r="BA447" s="589">
        <f t="shared" si="1092"/>
        <v>6.5955809607562931E-4</v>
      </c>
      <c r="BI447" s="196">
        <v>0</v>
      </c>
      <c r="BJ447" s="196">
        <f t="shared" si="1175"/>
        <v>199215.15622515339</v>
      </c>
      <c r="BK447" s="246">
        <f t="shared" si="1093"/>
        <v>3.7989128351065722E-3</v>
      </c>
      <c r="BL447" s="196">
        <f t="shared" si="1189"/>
        <v>3984.3031245030679</v>
      </c>
      <c r="BM447" s="246">
        <f t="shared" si="1094"/>
        <v>3.7989124004487677E-3</v>
      </c>
      <c r="BN447" s="196">
        <v>0</v>
      </c>
      <c r="BO447" s="196">
        <f t="shared" si="1176"/>
        <v>25463.625381120979</v>
      </c>
      <c r="BP447" s="196">
        <f t="shared" si="1201"/>
        <v>0</v>
      </c>
      <c r="BQ447" s="248">
        <f t="shared" si="1095"/>
        <v>0</v>
      </c>
      <c r="BR447" s="248"/>
      <c r="BS447" s="248"/>
      <c r="BT447" s="276">
        <v>1</v>
      </c>
      <c r="BU447" s="196">
        <f t="shared" si="1190"/>
        <v>56779.047036435222</v>
      </c>
      <c r="BV447" s="264">
        <f t="shared" si="1096"/>
        <v>3.9383022508652707E-3</v>
      </c>
      <c r="BW447" s="196">
        <f t="shared" si="1191"/>
        <v>242888.14565586182</v>
      </c>
      <c r="BX447" s="247">
        <f t="shared" si="1097"/>
        <v>3.9383022863416486E-3</v>
      </c>
      <c r="BY447" s="196">
        <f t="shared" si="1100"/>
        <v>299667.19269229705</v>
      </c>
      <c r="BZ447" s="620">
        <v>0</v>
      </c>
      <c r="CA447" s="196">
        <f t="shared" si="1177"/>
        <v>106661.48775850853</v>
      </c>
      <c r="CB447" s="196">
        <f t="shared" si="1178"/>
        <v>213322.97551701707</v>
      </c>
      <c r="CC447" s="196">
        <f t="shared" si="1214"/>
        <v>319984.4632755256</v>
      </c>
      <c r="CD447" s="247">
        <f t="shared" si="1202"/>
        <v>1.3501476876981138E-3</v>
      </c>
      <c r="CE447" s="196">
        <f t="shared" si="1179"/>
        <v>23473.12271227692</v>
      </c>
      <c r="CF447" s="247">
        <f t="shared" si="1203"/>
        <v>1.0136424388523674E-3</v>
      </c>
      <c r="CG447" s="196">
        <f t="shared" si="1150"/>
        <v>52982.176925795087</v>
      </c>
      <c r="CH447" s="589">
        <f t="shared" si="1219"/>
        <v>1.3501476876981138E-3</v>
      </c>
      <c r="CI447" s="196">
        <f t="shared" si="1180"/>
        <v>85167.479689250249</v>
      </c>
      <c r="CJ447" s="248">
        <f t="shared" si="1220"/>
        <v>1.4001531499076277E-3</v>
      </c>
      <c r="CK447" s="196">
        <f t="shared" si="1181"/>
        <v>103409.20302694237</v>
      </c>
      <c r="CL447" s="589">
        <f t="shared" si="1221"/>
        <v>1.4865285638778849E-3</v>
      </c>
      <c r="CM447" s="196">
        <f t="shared" si="1182"/>
        <v>10017.787732409213</v>
      </c>
      <c r="CN447" s="589">
        <f t="shared" si="1222"/>
        <v>1.4436770609019258E-3</v>
      </c>
      <c r="CO447" s="196">
        <f t="shared" si="1183"/>
        <v>801.43796780538014</v>
      </c>
      <c r="CP447" s="589">
        <f t="shared" si="1223"/>
        <v>1.5113885631086665E-3</v>
      </c>
      <c r="CQ447" s="196">
        <f>'Detailed Budget'!$AC$12</f>
        <v>292876014141.44696</v>
      </c>
      <c r="CR447" s="269">
        <f t="shared" si="1224"/>
        <v>1112610449.2167969</v>
      </c>
      <c r="CS447" s="269">
        <f>'Detailed Budget'!$AC$16</f>
        <v>10488008800.000002</v>
      </c>
      <c r="CT447" s="607">
        <f t="shared" si="1152"/>
        <v>39843026.68633581</v>
      </c>
      <c r="CU447" s="269">
        <f>'Detailed Budget'!$AC$24</f>
        <v>30624985696</v>
      </c>
      <c r="CV447" s="269">
        <f t="shared" si="1091"/>
        <v>116341651.23548958</v>
      </c>
      <c r="CW447" s="269"/>
      <c r="CX447" s="269">
        <f t="shared" si="1215"/>
        <v>1268795127.1386223</v>
      </c>
      <c r="CY447" s="196">
        <f>'Detailed Budget'!$AC$97</f>
        <v>74629165494.837845</v>
      </c>
      <c r="CZ447" s="269">
        <f t="shared" si="1153"/>
        <v>0</v>
      </c>
      <c r="DA447" s="269">
        <f>'Detailed Budget'!$AC$100</f>
        <v>14925833098.967569</v>
      </c>
      <c r="DB447" s="269">
        <f t="shared" si="1154"/>
        <v>0</v>
      </c>
      <c r="DC447" s="269">
        <f t="shared" si="1204"/>
        <v>0</v>
      </c>
      <c r="DD447" s="207">
        <v>0</v>
      </c>
      <c r="DE447" s="606">
        <v>0</v>
      </c>
      <c r="DF447" s="269">
        <f>'Detailed Budget'!$AC$147</f>
        <v>5913600671000</v>
      </c>
      <c r="DG447" s="269">
        <f t="shared" si="1086"/>
        <v>0</v>
      </c>
      <c r="DH447" s="269">
        <f>'Detailed Budget'!$AC$153</f>
        <v>226428026880.00003</v>
      </c>
      <c r="DI447" s="269"/>
      <c r="DJ447" s="269">
        <f>'Detailed Budget'!$AC$156</f>
        <v>27713070000</v>
      </c>
      <c r="DK447" s="269"/>
      <c r="DL447" s="269"/>
      <c r="DM447" s="196">
        <f>'Detailed Budget'!$AC$178</f>
        <v>5622683761.6229038</v>
      </c>
      <c r="DN447" s="269">
        <f t="shared" si="1184"/>
        <v>22143828.11430309</v>
      </c>
      <c r="DO447" s="196">
        <f>'Detailed Budget'!$AC$179</f>
        <v>26827890683.128094</v>
      </c>
      <c r="DP447" s="269">
        <f t="shared" si="1185"/>
        <v>105656343.21508719</v>
      </c>
      <c r="DQ447" s="269">
        <f t="shared" si="1192"/>
        <v>127800171.32939029</v>
      </c>
      <c r="DR447" s="269">
        <f>'Detailed Budget'!$AC$181</f>
        <v>50888946855.375237</v>
      </c>
      <c r="DS447" s="269">
        <f t="shared" si="1186"/>
        <v>157384239.42476374</v>
      </c>
      <c r="DT447" s="269">
        <f t="shared" si="1187"/>
        <v>285184410.75415403</v>
      </c>
      <c r="DU447" s="272">
        <f>'Detailed Budget'!$AC$192</f>
        <v>77498869683.252869</v>
      </c>
      <c r="DV447" s="269">
        <f t="shared" si="1155"/>
        <v>0</v>
      </c>
      <c r="DW447" s="140">
        <f>'Detailed Budget'!$AC$194</f>
        <v>2684962805.4134097</v>
      </c>
      <c r="DX447" s="269">
        <f t="shared" si="1156"/>
        <v>0</v>
      </c>
      <c r="DY447" s="607">
        <f t="shared" si="1205"/>
        <v>0</v>
      </c>
      <c r="DZ447" s="196">
        <f>'Detailed Budget'!$AC$198</f>
        <v>18732540018.380611</v>
      </c>
      <c r="EA447" s="269">
        <f t="shared" si="1157"/>
        <v>18988097.550130893</v>
      </c>
      <c r="EB447" s="196">
        <f>'Detailed Budget'!$AC$200</f>
        <v>4683135004.5951529</v>
      </c>
      <c r="EC447" s="269">
        <f t="shared" si="1158"/>
        <v>4747024.3875327231</v>
      </c>
      <c r="ED447" s="269">
        <f t="shared" si="1206"/>
        <v>23735121.937663615</v>
      </c>
      <c r="EE447" s="196">
        <f>'Detailed Budget'!$AC$161</f>
        <v>251147290106.36197</v>
      </c>
      <c r="EF447" s="269">
        <f t="shared" si="1159"/>
        <v>339085933.00875199</v>
      </c>
      <c r="EG447" s="196">
        <f>'Detailed Budget'!$AC$163</f>
        <v>15696705631.647623</v>
      </c>
      <c r="EH447" s="269">
        <f t="shared" si="1160"/>
        <v>21192870.813046999</v>
      </c>
      <c r="EI447" s="269">
        <f t="shared" si="1207"/>
        <v>360278803.82179898</v>
      </c>
      <c r="EJ447" s="196">
        <f>'Detailed Budget'!$AC$204</f>
        <v>45012172507.531975</v>
      </c>
      <c r="EK447" s="269">
        <f t="shared" si="1161"/>
        <v>63023935.120606415</v>
      </c>
      <c r="EL447" s="201">
        <f>'Detailed Budget'!$AC$206</f>
        <v>11253043126.882994</v>
      </c>
      <c r="EM447" s="269">
        <f t="shared" si="1162"/>
        <v>15755983.780151604</v>
      </c>
      <c r="EN447" s="269">
        <f t="shared" si="1208"/>
        <v>78779918.900758013</v>
      </c>
      <c r="EO447" s="140">
        <f>'Detailed Budget'!$AC$209</f>
        <v>135789361677.54817</v>
      </c>
      <c r="EP447" s="269">
        <f t="shared" si="1163"/>
        <v>201854764.80442038</v>
      </c>
      <c r="EQ447" s="196">
        <f>'Detailed Budget'!$AC$211</f>
        <v>33947340419.387043</v>
      </c>
      <c r="ER447" s="269">
        <f t="shared" si="1164"/>
        <v>50463691.201105095</v>
      </c>
      <c r="ES447" s="269">
        <f t="shared" si="1209"/>
        <v>252318456.00552547</v>
      </c>
      <c r="ET447" s="196">
        <f>'Detailed Budget'!$AC$214</f>
        <v>22239745544.201103</v>
      </c>
      <c r="EU447" s="269">
        <f t="shared" si="1165"/>
        <v>32107010.482458949</v>
      </c>
      <c r="EV447" s="140">
        <f>'Detailed Budget'!$AC$217</f>
        <v>5559936386.0502758</v>
      </c>
      <c r="EW447" s="269">
        <f t="shared" si="1166"/>
        <v>8026752.6206147373</v>
      </c>
      <c r="EX447" s="269">
        <f t="shared" si="1210"/>
        <v>40133763.103073686</v>
      </c>
      <c r="EY447" s="196">
        <f>'Detailed Budget'!$AC$219</f>
        <v>372777004.58170313</v>
      </c>
      <c r="EZ447" s="269">
        <f t="shared" si="1167"/>
        <v>563410.90131469304</v>
      </c>
      <c r="FA447" s="196">
        <f>'Detailed Budget'!$AC$222</f>
        <v>93194251.145425782</v>
      </c>
      <c r="FB447" s="269">
        <f t="shared" si="1168"/>
        <v>140852.72532867326</v>
      </c>
      <c r="FC447" s="269">
        <f t="shared" si="1211"/>
        <v>704263.6266433663</v>
      </c>
      <c r="FD447" s="269"/>
      <c r="FE447" s="269">
        <f t="shared" si="1212"/>
        <v>371936401.63600057</v>
      </c>
      <c r="FF447" s="140">
        <f>'Detailed Budget'!$AC$165</f>
        <v>14927760000</v>
      </c>
      <c r="FG447" s="1087">
        <f t="shared" si="1087"/>
        <v>507345871.73515916</v>
      </c>
      <c r="FH447" s="269">
        <f t="shared" si="1169"/>
        <v>18657579.820474949</v>
      </c>
      <c r="FJ447" s="140">
        <f>'Detailed Budget'!$AC$235</f>
        <v>3623696172</v>
      </c>
      <c r="FK447" s="269">
        <f t="shared" si="1170"/>
        <v>4681778</v>
      </c>
      <c r="FL447" s="269">
        <f t="shared" si="1088"/>
        <v>4681778</v>
      </c>
      <c r="FO447" s="607"/>
      <c r="FP447" s="607"/>
      <c r="FQ447" s="607"/>
      <c r="FR447" s="269">
        <f>'Detailed Budget'!$AC$257</f>
        <v>13636439388</v>
      </c>
      <c r="FS447" s="269">
        <f t="shared" si="1171"/>
        <v>8994024</v>
      </c>
      <c r="FT447" s="269">
        <f t="shared" si="1089"/>
        <v>8994024</v>
      </c>
      <c r="FU447" s="269"/>
      <c r="FV447" s="269"/>
      <c r="FW447" s="269"/>
      <c r="FX447" s="140">
        <f>'Detailed Budget'!$AC$278</f>
        <v>1114560000</v>
      </c>
      <c r="FY447" s="269">
        <f t="shared" si="1172"/>
        <v>1440000</v>
      </c>
      <c r="FZ447" s="269">
        <f t="shared" si="1090"/>
        <v>1440000</v>
      </c>
      <c r="GB447" s="269">
        <f t="shared" si="1098"/>
        <v>2851049118.8438735</v>
      </c>
      <c r="GC447" s="887">
        <f t="shared" si="1213"/>
        <v>1781905.699277421</v>
      </c>
      <c r="GD447" s="1078">
        <f t="shared" si="1099"/>
        <v>1.5998134375625383E-3</v>
      </c>
    </row>
    <row r="448" spans="1:186" hidden="1" outlineLevel="1">
      <c r="A448" s="211" t="s">
        <v>1029</v>
      </c>
      <c r="B448" s="212" t="s">
        <v>1030</v>
      </c>
      <c r="C448" s="213" t="s">
        <v>215</v>
      </c>
      <c r="D448" s="214" t="s">
        <v>215</v>
      </c>
      <c r="E448" s="213"/>
      <c r="F448" s="213"/>
      <c r="G448" s="213"/>
      <c r="H448" s="213" t="s">
        <v>215</v>
      </c>
      <c r="I448" s="214" t="s">
        <v>215</v>
      </c>
      <c r="J448" s="214"/>
      <c r="K448" s="213" t="s">
        <v>215</v>
      </c>
      <c r="L448" s="213"/>
      <c r="M448" s="214"/>
      <c r="N448" s="213"/>
      <c r="O448" s="214"/>
      <c r="P448" s="213"/>
      <c r="Q448" s="214"/>
      <c r="R448" s="214" t="s">
        <v>215</v>
      </c>
      <c r="S448" s="214"/>
      <c r="T448" s="214"/>
      <c r="U448" s="215">
        <f t="shared" si="1173"/>
        <v>6</v>
      </c>
      <c r="V448" s="845" t="s">
        <v>219</v>
      </c>
      <c r="W448" s="216">
        <v>225917</v>
      </c>
      <c r="X448" s="217">
        <v>3.03</v>
      </c>
      <c r="Y448" s="218">
        <f t="shared" si="1101"/>
        <v>1.0303</v>
      </c>
      <c r="Z448" s="196">
        <v>19</v>
      </c>
      <c r="AA448" s="218">
        <f t="shared" si="1102"/>
        <v>1.7632354008841205</v>
      </c>
      <c r="AB448" s="196">
        <f t="shared" si="1194"/>
        <v>398344.85206153785</v>
      </c>
      <c r="AC448">
        <v>20.2</v>
      </c>
      <c r="AD448" s="196">
        <f t="shared" si="1195"/>
        <v>80465.660116430648</v>
      </c>
      <c r="AE448" s="196">
        <f t="shared" si="1148"/>
        <v>76442.377110609115</v>
      </c>
      <c r="AF448" s="196">
        <f t="shared" si="1174"/>
        <v>76442.377110609115</v>
      </c>
      <c r="AG448" s="606">
        <f t="shared" si="1216"/>
        <v>3.5343599292710346E-3</v>
      </c>
      <c r="AH448" s="196">
        <f t="shared" si="1188"/>
        <v>19917.242603076895</v>
      </c>
      <c r="AI448" s="248">
        <f t="shared" si="1193"/>
        <v>1.5429586068901938E-3</v>
      </c>
      <c r="AJ448" s="196">
        <f t="shared" si="1196"/>
        <v>100382.90271950755</v>
      </c>
      <c r="AK448" s="196">
        <f t="shared" si="1225"/>
        <v>15933.794082461514</v>
      </c>
      <c r="AL448" s="196">
        <f t="shared" si="1226"/>
        <v>15933.794082461514</v>
      </c>
      <c r="AM448" s="196">
        <f t="shared" si="1197"/>
        <v>31867.588164923029</v>
      </c>
      <c r="AN448" s="627">
        <f t="shared" si="1198"/>
        <v>1.5429586068901938E-3</v>
      </c>
      <c r="AO448" s="196">
        <f t="shared" si="1199"/>
        <v>15137.104378338438</v>
      </c>
      <c r="AP448" s="589">
        <f t="shared" si="1217"/>
        <v>1.5429586068901936E-3</v>
      </c>
      <c r="AQ448" s="196"/>
      <c r="AR448" s="589"/>
      <c r="AS448">
        <v>1</v>
      </c>
      <c r="AT448" s="589">
        <f t="shared" si="1218"/>
        <v>1.2919896640826874E-3</v>
      </c>
      <c r="AU448" s="196">
        <v>11</v>
      </c>
      <c r="AV448" s="245">
        <f t="shared" si="1200"/>
        <v>1.2498579706851495E-3</v>
      </c>
      <c r="AX448" s="245"/>
      <c r="AY448" s="245"/>
      <c r="AZ448" s="196">
        <v>46</v>
      </c>
      <c r="BA448" s="589">
        <f t="shared" si="1092"/>
        <v>1.6855373566377193E-3</v>
      </c>
      <c r="BI448" s="196">
        <v>0</v>
      </c>
      <c r="BJ448" s="196">
        <f t="shared" si="1175"/>
        <v>227664.53086671783</v>
      </c>
      <c r="BK448" s="246">
        <f t="shared" si="1093"/>
        <v>4.3414252449276705E-3</v>
      </c>
      <c r="BL448" s="196">
        <f t="shared" si="1189"/>
        <v>4553.2906173343563</v>
      </c>
      <c r="BM448" s="246">
        <f t="shared" si="1094"/>
        <v>4.3414247481975672E-3</v>
      </c>
      <c r="BN448" s="196">
        <v>0</v>
      </c>
      <c r="BO448" s="196">
        <f t="shared" si="1176"/>
        <v>29100.01646665272</v>
      </c>
      <c r="BP448" s="196">
        <f t="shared" si="1201"/>
        <v>0</v>
      </c>
      <c r="BQ448" s="248">
        <f t="shared" si="1095"/>
        <v>0</v>
      </c>
      <c r="BR448" s="248"/>
      <c r="BS448" s="248"/>
      <c r="BT448" s="276">
        <v>1</v>
      </c>
      <c r="BU448" s="196">
        <f t="shared" si="1190"/>
        <v>64887.508317889682</v>
      </c>
      <c r="BV448" s="264">
        <f t="shared" si="1096"/>
        <v>4.5007204840440372E-3</v>
      </c>
      <c r="BW448" s="196">
        <f t="shared" si="1191"/>
        <v>277574.34113763919</v>
      </c>
      <c r="BX448" s="247">
        <f t="shared" si="1097"/>
        <v>4.5007205245866993E-3</v>
      </c>
      <c r="BY448" s="196">
        <f t="shared" si="1100"/>
        <v>342461.84945552889</v>
      </c>
      <c r="BZ448" s="620">
        <v>0</v>
      </c>
      <c r="CA448" s="196">
        <f t="shared" si="1177"/>
        <v>121893.5247308306</v>
      </c>
      <c r="CB448" s="196">
        <f t="shared" si="1178"/>
        <v>243787.0494616612</v>
      </c>
      <c r="CC448" s="196">
        <f t="shared" si="1214"/>
        <v>365680.57419249183</v>
      </c>
      <c r="CD448" s="247">
        <f t="shared" si="1202"/>
        <v>1.542958606890194E-3</v>
      </c>
      <c r="CE448" s="196">
        <f t="shared" si="1179"/>
        <v>26825.255525375927</v>
      </c>
      <c r="CF448" s="247">
        <f t="shared" si="1203"/>
        <v>1.158397958672897E-3</v>
      </c>
      <c r="CG448" s="196">
        <f t="shared" si="1150"/>
        <v>60548.41751335375</v>
      </c>
      <c r="CH448" s="589">
        <f t="shared" si="1219"/>
        <v>1.5429586068901936E-3</v>
      </c>
      <c r="CI448" s="196">
        <f t="shared" si="1180"/>
        <v>97330.015827910684</v>
      </c>
      <c r="CJ448" s="248">
        <f t="shared" si="1220"/>
        <v>1.6001052131546067E-3</v>
      </c>
      <c r="CK448" s="196">
        <f t="shared" si="1181"/>
        <v>118176.79006220847</v>
      </c>
      <c r="CL448" s="589">
        <f t="shared" si="1221"/>
        <v>1.6988156650728943E-3</v>
      </c>
      <c r="CM448" s="196">
        <f t="shared" si="1182"/>
        <v>11448.400752418949</v>
      </c>
      <c r="CN448" s="589">
        <f t="shared" si="1222"/>
        <v>1.6498446555030725E-3</v>
      </c>
      <c r="CO448" s="196">
        <f t="shared" si="1183"/>
        <v>915.88914426255826</v>
      </c>
      <c r="CP448" s="589">
        <f t="shared" si="1223"/>
        <v>1.7272258531804004E-3</v>
      </c>
      <c r="CQ448" s="196">
        <f>'Detailed Budget'!$AC$12</f>
        <v>292876014141.44696</v>
      </c>
      <c r="CR448" s="269">
        <f t="shared" si="1224"/>
        <v>1271499321.4274712</v>
      </c>
      <c r="CS448" s="269">
        <f>'Detailed Budget'!$AC$16</f>
        <v>10488008800.000002</v>
      </c>
      <c r="CT448" s="607">
        <f t="shared" si="1152"/>
        <v>45532900.96363388</v>
      </c>
      <c r="CU448" s="269">
        <f>'Detailed Budget'!$AC$24</f>
        <v>30624985696</v>
      </c>
      <c r="CV448" s="269">
        <f t="shared" si="1091"/>
        <v>132956086.02616321</v>
      </c>
      <c r="CW448" s="269"/>
      <c r="CX448" s="269">
        <f t="shared" si="1215"/>
        <v>1449988308.417268</v>
      </c>
      <c r="CY448" s="196">
        <f>'Detailed Budget'!$AC$97</f>
        <v>74629165494.837845</v>
      </c>
      <c r="CZ448" s="269">
        <f t="shared" si="1153"/>
        <v>0</v>
      </c>
      <c r="DA448" s="269">
        <f>'Detailed Budget'!$AC$100</f>
        <v>14925833098.967569</v>
      </c>
      <c r="DB448" s="269">
        <f t="shared" si="1154"/>
        <v>0</v>
      </c>
      <c r="DC448" s="269">
        <f t="shared" si="1204"/>
        <v>0</v>
      </c>
      <c r="DD448" s="207">
        <v>0</v>
      </c>
      <c r="DE448" s="606">
        <v>0</v>
      </c>
      <c r="DF448" s="269">
        <f>'Detailed Budget'!$AC$147</f>
        <v>5913600671000</v>
      </c>
      <c r="DG448" s="269">
        <f t="shared" si="1086"/>
        <v>0</v>
      </c>
      <c r="DH448" s="269">
        <f>'Detailed Budget'!$AC$153</f>
        <v>226428026880.00003</v>
      </c>
      <c r="DI448" s="269"/>
      <c r="DJ448" s="269">
        <f>'Detailed Budget'!$AC$156</f>
        <v>27713070000</v>
      </c>
      <c r="DK448" s="269"/>
      <c r="DL448" s="269"/>
      <c r="DM448" s="196">
        <f>'Detailed Budget'!$AC$178</f>
        <v>5622683761.6229038</v>
      </c>
      <c r="DN448" s="269">
        <f t="shared" si="1184"/>
        <v>25306127.981237985</v>
      </c>
      <c r="DO448" s="196">
        <f>'Detailed Budget'!$AC$179</f>
        <v>26827890683.128094</v>
      </c>
      <c r="DP448" s="269">
        <f t="shared" si="1185"/>
        <v>120744838.2289229</v>
      </c>
      <c r="DQ448" s="269">
        <f t="shared" si="1192"/>
        <v>146050966.21016088</v>
      </c>
      <c r="DR448" s="269">
        <f>'Detailed Budget'!$AC$181</f>
        <v>50888946855.375237</v>
      </c>
      <c r="DS448" s="269">
        <f t="shared" si="1186"/>
        <v>179859854.60844147</v>
      </c>
      <c r="DT448" s="269">
        <f t="shared" si="1187"/>
        <v>325910820.81860232</v>
      </c>
      <c r="DU448" s="272">
        <f>'Detailed Budget'!$AC$192</f>
        <v>77498869683.252869</v>
      </c>
      <c r="DV448" s="269">
        <f t="shared" si="1155"/>
        <v>0</v>
      </c>
      <c r="DW448" s="140">
        <f>'Detailed Budget'!$AC$194</f>
        <v>2684962805.4134097</v>
      </c>
      <c r="DX448" s="269">
        <f t="shared" si="1156"/>
        <v>0</v>
      </c>
      <c r="DY448" s="607">
        <f t="shared" si="1205"/>
        <v>0</v>
      </c>
      <c r="DZ448" s="196">
        <f>'Detailed Budget'!$AC$198</f>
        <v>18732540018.380611</v>
      </c>
      <c r="EA448" s="269">
        <f t="shared" si="1157"/>
        <v>21699736.118050452</v>
      </c>
      <c r="EB448" s="196">
        <f>'Detailed Budget'!$AC$200</f>
        <v>4683135004.5951529</v>
      </c>
      <c r="EC448" s="269">
        <f t="shared" si="1158"/>
        <v>5424934.0295126131</v>
      </c>
      <c r="ED448" s="269">
        <f t="shared" si="1206"/>
        <v>27124670.147563066</v>
      </c>
      <c r="EE448" s="196">
        <f>'Detailed Budget'!$AC$161</f>
        <v>251147290106.36197</v>
      </c>
      <c r="EF448" s="269">
        <f t="shared" si="1159"/>
        <v>387509872.86675954</v>
      </c>
      <c r="EG448" s="196">
        <f>'Detailed Budget'!$AC$163</f>
        <v>15696705631.647623</v>
      </c>
      <c r="EH448" s="269">
        <f t="shared" si="1160"/>
        <v>24219367.054172471</v>
      </c>
      <c r="EI448" s="269">
        <f t="shared" si="1207"/>
        <v>411729239.92093199</v>
      </c>
      <c r="EJ448" s="196">
        <f>'Detailed Budget'!$AC$204</f>
        <v>45012172507.531975</v>
      </c>
      <c r="EK448" s="269">
        <f t="shared" si="1161"/>
        <v>72024211.884716377</v>
      </c>
      <c r="EL448" s="201">
        <f>'Detailed Budget'!$AC$206</f>
        <v>11253043126.882994</v>
      </c>
      <c r="EM448" s="269">
        <f t="shared" si="1162"/>
        <v>18006052.971179094</v>
      </c>
      <c r="EN448" s="269">
        <f t="shared" si="1208"/>
        <v>90030264.855895475</v>
      </c>
      <c r="EO448" s="140">
        <f>'Detailed Budget'!$AC$209</f>
        <v>135789361677.54817</v>
      </c>
      <c r="EP448" s="269">
        <f t="shared" si="1163"/>
        <v>230681094.76806778</v>
      </c>
      <c r="EQ448" s="196">
        <f>'Detailed Budget'!$AC$211</f>
        <v>33947340419.387043</v>
      </c>
      <c r="ER448" s="269">
        <f t="shared" si="1164"/>
        <v>57670273.692016944</v>
      </c>
      <c r="ES448" s="269">
        <f t="shared" si="1209"/>
        <v>288351368.46008474</v>
      </c>
      <c r="ET448" s="196">
        <f>'Detailed Budget'!$AC$214</f>
        <v>22239745544.201103</v>
      </c>
      <c r="EU448" s="269">
        <f t="shared" si="1165"/>
        <v>36692125.32584846</v>
      </c>
      <c r="EV448" s="140">
        <f>'Detailed Budget'!$AC$217</f>
        <v>5559936386.0502758</v>
      </c>
      <c r="EW448" s="269">
        <f t="shared" si="1166"/>
        <v>9173031.331462115</v>
      </c>
      <c r="EX448" s="269">
        <f t="shared" si="1210"/>
        <v>45865156.657310575</v>
      </c>
      <c r="EY448" s="196">
        <f>'Detailed Budget'!$AC$219</f>
        <v>372777004.58170313</v>
      </c>
      <c r="EZ448" s="269">
        <f t="shared" si="1167"/>
        <v>643870.07978466619</v>
      </c>
      <c r="FA448" s="196">
        <f>'Detailed Budget'!$AC$222</f>
        <v>93194251.145425782</v>
      </c>
      <c r="FB448" s="269">
        <f t="shared" si="1168"/>
        <v>160967.51994616655</v>
      </c>
      <c r="FC448" s="269">
        <f t="shared" si="1211"/>
        <v>804837.59973083274</v>
      </c>
      <c r="FD448" s="269"/>
      <c r="FE448" s="269">
        <f t="shared" si="1212"/>
        <v>425051627.57302165</v>
      </c>
      <c r="FF448" s="140">
        <f>'Detailed Budget'!$AC$165</f>
        <v>14927760000</v>
      </c>
      <c r="FG448" s="1087">
        <f t="shared" si="1087"/>
        <v>579798555.81473637</v>
      </c>
      <c r="FH448" s="269">
        <f t="shared" si="1169"/>
        <v>18657579.820474949</v>
      </c>
      <c r="FJ448" s="140">
        <f>'Detailed Budget'!$AC$235</f>
        <v>3623696172</v>
      </c>
      <c r="FK448" s="269">
        <f t="shared" si="1170"/>
        <v>4681778</v>
      </c>
      <c r="FL448" s="269">
        <f t="shared" si="1088"/>
        <v>4681778</v>
      </c>
      <c r="FO448" s="607"/>
      <c r="FP448" s="607"/>
      <c r="FQ448" s="607"/>
      <c r="FR448" s="269">
        <f>'Detailed Budget'!$AC$257</f>
        <v>13636439388</v>
      </c>
      <c r="FS448" s="269">
        <f t="shared" si="1171"/>
        <v>22984728</v>
      </c>
      <c r="FT448" s="269">
        <f t="shared" si="1089"/>
        <v>22984728</v>
      </c>
      <c r="FU448" s="269"/>
      <c r="FV448" s="269"/>
      <c r="FW448" s="269"/>
      <c r="FX448" s="140">
        <f>'Detailed Budget'!$AC$278</f>
        <v>1114560000</v>
      </c>
      <c r="FY448" s="269">
        <f t="shared" si="1172"/>
        <v>1440000</v>
      </c>
      <c r="FZ448" s="269">
        <f t="shared" si="1090"/>
        <v>1440000</v>
      </c>
      <c r="GB448" s="269">
        <f t="shared" si="1098"/>
        <v>3267367308.5125985</v>
      </c>
      <c r="GC448" s="887">
        <f t="shared" si="1213"/>
        <v>2042104.5678203742</v>
      </c>
      <c r="GD448" s="1078">
        <f t="shared" si="1099"/>
        <v>1.8334226832719977E-3</v>
      </c>
    </row>
    <row r="449" spans="1:186" hidden="1" outlineLevel="1">
      <c r="A449" s="211" t="s">
        <v>1031</v>
      </c>
      <c r="B449" s="212" t="s">
        <v>1032</v>
      </c>
      <c r="C449" s="213" t="s">
        <v>215</v>
      </c>
      <c r="D449" s="214" t="s">
        <v>215</v>
      </c>
      <c r="E449" s="213"/>
      <c r="F449" s="213"/>
      <c r="G449" s="213"/>
      <c r="H449" s="213" t="s">
        <v>215</v>
      </c>
      <c r="I449" s="214" t="s">
        <v>215</v>
      </c>
      <c r="J449" s="214"/>
      <c r="K449" s="213" t="s">
        <v>215</v>
      </c>
      <c r="L449" s="213"/>
      <c r="M449" s="214"/>
      <c r="N449" s="213"/>
      <c r="O449" s="214"/>
      <c r="P449" s="213"/>
      <c r="Q449" s="214"/>
      <c r="R449" s="214" t="s">
        <v>215</v>
      </c>
      <c r="S449" s="214"/>
      <c r="T449" s="214"/>
      <c r="U449" s="215">
        <f t="shared" si="1173"/>
        <v>6</v>
      </c>
      <c r="V449" s="845" t="s">
        <v>219</v>
      </c>
      <c r="W449" s="216">
        <v>114770</v>
      </c>
      <c r="X449" s="217">
        <v>3.03</v>
      </c>
      <c r="Y449" s="218">
        <f t="shared" si="1101"/>
        <v>1.0303</v>
      </c>
      <c r="Z449" s="196">
        <v>19</v>
      </c>
      <c r="AA449" s="218">
        <f t="shared" si="1102"/>
        <v>1.7632354008841205</v>
      </c>
      <c r="AB449" s="196">
        <f t="shared" si="1194"/>
        <v>202366.5269594705</v>
      </c>
      <c r="AC449">
        <v>20.2</v>
      </c>
      <c r="AD449" s="196">
        <f t="shared" si="1195"/>
        <v>40878.038445813043</v>
      </c>
      <c r="AE449" s="196">
        <f t="shared" si="1148"/>
        <v>38834.136523522386</v>
      </c>
      <c r="AF449" s="196">
        <f t="shared" si="1174"/>
        <v>38834.136523522386</v>
      </c>
      <c r="AG449" s="606">
        <f t="shared" si="1216"/>
        <v>1.7955199877939094E-3</v>
      </c>
      <c r="AH449" s="196">
        <f t="shared" si="1188"/>
        <v>10118.326347973525</v>
      </c>
      <c r="AI449" s="248">
        <f t="shared" si="1193"/>
        <v>7.8385141141564169E-4</v>
      </c>
      <c r="AJ449" s="196">
        <f t="shared" si="1196"/>
        <v>50996.364793786568</v>
      </c>
      <c r="AK449" s="196">
        <f t="shared" si="1225"/>
        <v>8094.6610783788201</v>
      </c>
      <c r="AL449" s="196">
        <f t="shared" si="1226"/>
        <v>8094.6610783788201</v>
      </c>
      <c r="AM449" s="196">
        <f t="shared" si="1197"/>
        <v>16189.32215675764</v>
      </c>
      <c r="AN449" s="627">
        <f t="shared" si="1198"/>
        <v>7.8385141141564169E-4</v>
      </c>
      <c r="AO449" s="196">
        <f t="shared" si="1199"/>
        <v>7689.9280244598785</v>
      </c>
      <c r="AP449" s="589">
        <f t="shared" si="1217"/>
        <v>7.8385141141564159E-4</v>
      </c>
      <c r="AQ449" s="196"/>
      <c r="AR449" s="589"/>
      <c r="AS449">
        <v>1</v>
      </c>
      <c r="AT449" s="589">
        <f t="shared" si="1218"/>
        <v>1.2919896640826874E-3</v>
      </c>
      <c r="AU449" s="196">
        <v>10</v>
      </c>
      <c r="AV449" s="245">
        <f t="shared" si="1200"/>
        <v>1.1362345188046814E-3</v>
      </c>
      <c r="AX449" s="245"/>
      <c r="AY449" s="245"/>
      <c r="AZ449" s="196">
        <v>37</v>
      </c>
      <c r="BA449" s="589">
        <f t="shared" si="1092"/>
        <v>1.3557583085999048E-3</v>
      </c>
      <c r="BI449" s="196">
        <v>0</v>
      </c>
      <c r="BJ449" s="196">
        <f t="shared" si="1175"/>
        <v>115657.77788999148</v>
      </c>
      <c r="BK449" s="246">
        <f t="shared" si="1093"/>
        <v>2.2055240436104798E-3</v>
      </c>
      <c r="BL449" s="196">
        <f t="shared" si="1189"/>
        <v>2313.1555577998297</v>
      </c>
      <c r="BM449" s="246">
        <f t="shared" si="1094"/>
        <v>2.2055237912624319E-3</v>
      </c>
      <c r="BN449" s="196">
        <v>0</v>
      </c>
      <c r="BO449" s="196">
        <f t="shared" si="1176"/>
        <v>14783.344723406084</v>
      </c>
      <c r="BP449" s="196">
        <f t="shared" si="1201"/>
        <v>0</v>
      </c>
      <c r="BQ449" s="248">
        <f t="shared" si="1095"/>
        <v>0</v>
      </c>
      <c r="BR449" s="248"/>
      <c r="BS449" s="248"/>
      <c r="BT449" s="276">
        <v>1</v>
      </c>
      <c r="BU449" s="196">
        <f t="shared" si="1190"/>
        <v>32964.050202703642</v>
      </c>
      <c r="BV449" s="264">
        <f t="shared" si="1096"/>
        <v>2.2864489611394189E-3</v>
      </c>
      <c r="BW449" s="196">
        <f t="shared" si="1191"/>
        <v>141012.8814226767</v>
      </c>
      <c r="BX449" s="247">
        <f t="shared" si="1097"/>
        <v>2.2864489817358388E-3</v>
      </c>
      <c r="BY449" s="196">
        <f t="shared" si="1100"/>
        <v>173976.93162538036</v>
      </c>
      <c r="BZ449" s="620">
        <v>0</v>
      </c>
      <c r="CA449" s="196">
        <f t="shared" si="1177"/>
        <v>61924.157249597978</v>
      </c>
      <c r="CB449" s="196">
        <f t="shared" si="1178"/>
        <v>123848.31449919596</v>
      </c>
      <c r="CC449" s="196">
        <f t="shared" si="1214"/>
        <v>185772.47174879393</v>
      </c>
      <c r="CD449" s="247">
        <f t="shared" si="1202"/>
        <v>7.8385141141564169E-4</v>
      </c>
      <c r="CE449" s="196">
        <f t="shared" si="1179"/>
        <v>13627.724237872293</v>
      </c>
      <c r="CF449" s="247">
        <f t="shared" si="1203"/>
        <v>5.8848751407325863E-4</v>
      </c>
      <c r="CG449" s="196">
        <f t="shared" si="1150"/>
        <v>30759.712097839514</v>
      </c>
      <c r="CH449" s="589">
        <f t="shared" si="1219"/>
        <v>7.8385141141564159E-4</v>
      </c>
      <c r="CI449" s="196">
        <f t="shared" si="1180"/>
        <v>49445.441983424484</v>
      </c>
      <c r="CJ449" s="248">
        <f t="shared" si="1220"/>
        <v>8.1288294069837251E-4</v>
      </c>
      <c r="CK449" s="196">
        <f t="shared" si="1181"/>
        <v>60035.987532764979</v>
      </c>
      <c r="CL449" s="589">
        <f t="shared" si="1221"/>
        <v>8.6302966965928231E-4</v>
      </c>
      <c r="CM449" s="196">
        <f t="shared" si="1182"/>
        <v>5815.9985939753215</v>
      </c>
      <c r="CN449" s="589">
        <f t="shared" si="1222"/>
        <v>8.3815149418630568E-4</v>
      </c>
      <c r="CO449" s="196">
        <f t="shared" si="1183"/>
        <v>465.28856653998508</v>
      </c>
      <c r="CP449" s="589">
        <f t="shared" si="1223"/>
        <v>8.7746256886163756E-4</v>
      </c>
      <c r="CQ449" s="196">
        <f>'Detailed Budget'!$AC$12</f>
        <v>292876014141.44696</v>
      </c>
      <c r="CR449" s="269">
        <f t="shared" si="1224"/>
        <v>645945090.98576415</v>
      </c>
      <c r="CS449" s="269">
        <f>'Detailed Budget'!$AC$16</f>
        <v>10488008800.000002</v>
      </c>
      <c r="CT449" s="607">
        <f t="shared" si="1152"/>
        <v>23131552.931369752</v>
      </c>
      <c r="CU449" s="269">
        <f>'Detailed Budget'!$AC$24</f>
        <v>30624985696</v>
      </c>
      <c r="CV449" s="269">
        <f t="shared" si="1091"/>
        <v>67544142.287755027</v>
      </c>
      <c r="CW449" s="269"/>
      <c r="CX449" s="269">
        <f t="shared" si="1215"/>
        <v>736620786.20488894</v>
      </c>
      <c r="CY449" s="196">
        <f>'Detailed Budget'!$AC$97</f>
        <v>74629165494.837845</v>
      </c>
      <c r="CZ449" s="269">
        <f t="shared" si="1153"/>
        <v>0</v>
      </c>
      <c r="DA449" s="269">
        <f>'Detailed Budget'!$AC$100</f>
        <v>14925833098.967569</v>
      </c>
      <c r="DB449" s="269">
        <f t="shared" si="1154"/>
        <v>0</v>
      </c>
      <c r="DC449" s="269">
        <f t="shared" si="1204"/>
        <v>0</v>
      </c>
      <c r="DD449" s="207">
        <v>0</v>
      </c>
      <c r="DE449" s="606">
        <v>0</v>
      </c>
      <c r="DF449" s="269">
        <f>'Detailed Budget'!$AC$147</f>
        <v>5913600671000</v>
      </c>
      <c r="DG449" s="269">
        <f t="shared" si="1086"/>
        <v>0</v>
      </c>
      <c r="DH449" s="269">
        <f>'Detailed Budget'!$AC$153</f>
        <v>226428026880.00003</v>
      </c>
      <c r="DI449" s="269"/>
      <c r="DJ449" s="269">
        <f>'Detailed Budget'!$AC$156</f>
        <v>27713070000</v>
      </c>
      <c r="DK449" s="269"/>
      <c r="DL449" s="269"/>
      <c r="DM449" s="196">
        <f>'Detailed Budget'!$AC$178</f>
        <v>5622683761.6229038</v>
      </c>
      <c r="DN449" s="269">
        <f t="shared" si="1184"/>
        <v>12855979.445578169</v>
      </c>
      <c r="DO449" s="196">
        <f>'Detailed Budget'!$AC$179</f>
        <v>26827890683.128094</v>
      </c>
      <c r="DP449" s="269">
        <f t="shared" si="1185"/>
        <v>61340603.334558628</v>
      </c>
      <c r="DQ449" s="269">
        <f t="shared" si="1192"/>
        <v>74196582.780136794</v>
      </c>
      <c r="DR449" s="269">
        <f>'Detailed Budget'!$AC$181</f>
        <v>50888946855.375237</v>
      </c>
      <c r="DS449" s="269">
        <f t="shared" si="1186"/>
        <v>91372121.236608252</v>
      </c>
      <c r="DT449" s="269">
        <f t="shared" si="1187"/>
        <v>165568704.01674503</v>
      </c>
      <c r="DU449" s="272">
        <f>'Detailed Budget'!$AC$192</f>
        <v>77498869683.252869</v>
      </c>
      <c r="DV449" s="269">
        <f t="shared" si="1155"/>
        <v>0</v>
      </c>
      <c r="DW449" s="140">
        <f>'Detailed Budget'!$AC$194</f>
        <v>2684962805.4134097</v>
      </c>
      <c r="DX449" s="269">
        <f t="shared" si="1156"/>
        <v>0</v>
      </c>
      <c r="DY449" s="607">
        <f t="shared" si="1205"/>
        <v>0</v>
      </c>
      <c r="DZ449" s="196">
        <f>'Detailed Budget'!$AC$198</f>
        <v>18732540018.380611</v>
      </c>
      <c r="EA449" s="269">
        <f t="shared" si="1157"/>
        <v>11023865.90769464</v>
      </c>
      <c r="EB449" s="196">
        <f>'Detailed Budget'!$AC$200</f>
        <v>4683135004.5951529</v>
      </c>
      <c r="EC449" s="269">
        <f t="shared" si="1158"/>
        <v>2755966.4769236599</v>
      </c>
      <c r="ED449" s="269">
        <f t="shared" si="1206"/>
        <v>13779832.384618299</v>
      </c>
      <c r="EE449" s="196">
        <f>'Detailed Budget'!$AC$161</f>
        <v>251147290106.36197</v>
      </c>
      <c r="EF449" s="269">
        <f t="shared" si="1159"/>
        <v>196862157.82308543</v>
      </c>
      <c r="EG449" s="196">
        <f>'Detailed Budget'!$AC$163</f>
        <v>15696705631.647623</v>
      </c>
      <c r="EH449" s="269">
        <f t="shared" si="1160"/>
        <v>12303884.863942839</v>
      </c>
      <c r="EI449" s="269">
        <f t="shared" si="1207"/>
        <v>209166042.68702826</v>
      </c>
      <c r="EJ449" s="196">
        <f>'Detailed Budget'!$AC$204</f>
        <v>45012172507.531975</v>
      </c>
      <c r="EK449" s="269">
        <f t="shared" si="1161"/>
        <v>36589627.155145027</v>
      </c>
      <c r="EL449" s="201">
        <f>'Detailed Budget'!$AC$206</f>
        <v>11253043126.882994</v>
      </c>
      <c r="EM449" s="269">
        <f t="shared" si="1162"/>
        <v>9147406.7887862567</v>
      </c>
      <c r="EN449" s="269">
        <f t="shared" si="1208"/>
        <v>45737033.943931282</v>
      </c>
      <c r="EO449" s="140">
        <f>'Detailed Budget'!$AC$209</f>
        <v>135789361677.54817</v>
      </c>
      <c r="EP449" s="269">
        <f t="shared" si="1163"/>
        <v>117190247.95181921</v>
      </c>
      <c r="EQ449" s="196">
        <f>'Detailed Budget'!$AC$211</f>
        <v>33947340419.387043</v>
      </c>
      <c r="ER449" s="269">
        <f t="shared" si="1164"/>
        <v>29297561.987954803</v>
      </c>
      <c r="ES449" s="269">
        <f t="shared" si="1209"/>
        <v>146487809.93977401</v>
      </c>
      <c r="ET449" s="196">
        <f>'Detailed Budget'!$AC$214</f>
        <v>22239745544.201103</v>
      </c>
      <c r="EU449" s="269">
        <f t="shared" si="1165"/>
        <v>18640275.958195388</v>
      </c>
      <c r="EV449" s="140">
        <f>'Detailed Budget'!$AC$217</f>
        <v>5559936386.0502758</v>
      </c>
      <c r="EW449" s="269">
        <f t="shared" si="1166"/>
        <v>4660068.9895488471</v>
      </c>
      <c r="EX449" s="269">
        <f t="shared" si="1210"/>
        <v>23300344.947744235</v>
      </c>
      <c r="EY449" s="196">
        <f>'Detailed Budget'!$AC$219</f>
        <v>372777004.58170313</v>
      </c>
      <c r="EZ449" s="269">
        <f t="shared" si="1167"/>
        <v>327097.86805280764</v>
      </c>
      <c r="FA449" s="196">
        <f>'Detailed Budget'!$AC$222</f>
        <v>93194251.145425782</v>
      </c>
      <c r="FB449" s="269">
        <f t="shared" si="1168"/>
        <v>81774.467013201909</v>
      </c>
      <c r="FC449" s="269">
        <f t="shared" si="1211"/>
        <v>408872.33506600955</v>
      </c>
      <c r="FD449" s="269"/>
      <c r="FE449" s="269">
        <f t="shared" si="1212"/>
        <v>215934061.16651553</v>
      </c>
      <c r="FF449" s="140">
        <f>'Detailed Budget'!$AC$165</f>
        <v>14927760000</v>
      </c>
      <c r="FG449" s="1087">
        <f t="shared" si="1087"/>
        <v>294548352.93872213</v>
      </c>
      <c r="FH449" s="269">
        <f t="shared" si="1169"/>
        <v>16961436.200431772</v>
      </c>
      <c r="FJ449" s="140">
        <f>'Detailed Budget'!$AC$235</f>
        <v>3623696172</v>
      </c>
      <c r="FK449" s="269">
        <f t="shared" si="1170"/>
        <v>4681778</v>
      </c>
      <c r="FL449" s="269">
        <f t="shared" si="1088"/>
        <v>4681778</v>
      </c>
      <c r="FO449" s="607"/>
      <c r="FP449" s="607"/>
      <c r="FQ449" s="607"/>
      <c r="FR449" s="269">
        <f>'Detailed Budget'!$AC$257</f>
        <v>13636439388</v>
      </c>
      <c r="FS449" s="269">
        <f t="shared" si="1171"/>
        <v>18487716</v>
      </c>
      <c r="FT449" s="269">
        <f t="shared" si="1089"/>
        <v>18487716</v>
      </c>
      <c r="FU449" s="269"/>
      <c r="FV449" s="269"/>
      <c r="FW449" s="269"/>
      <c r="FX449" s="140">
        <f>'Detailed Budget'!$AC$278</f>
        <v>1114560000</v>
      </c>
      <c r="FY449" s="269">
        <f t="shared" si="1172"/>
        <v>1440000</v>
      </c>
      <c r="FZ449" s="269">
        <f t="shared" si="1090"/>
        <v>1440000</v>
      </c>
      <c r="GB449" s="269">
        <f t="shared" si="1098"/>
        <v>1677188709.5989499</v>
      </c>
      <c r="GC449" s="887">
        <f t="shared" si="1213"/>
        <v>1048242.9434993437</v>
      </c>
      <c r="GD449" s="1078">
        <f t="shared" si="1099"/>
        <v>9.4112339812392693E-4</v>
      </c>
    </row>
    <row r="450" spans="1:186" hidden="1" outlineLevel="1">
      <c r="A450" s="211" t="s">
        <v>1033</v>
      </c>
      <c r="B450" s="212" t="s">
        <v>1034</v>
      </c>
      <c r="C450" s="213" t="s">
        <v>215</v>
      </c>
      <c r="D450" s="214" t="s">
        <v>215</v>
      </c>
      <c r="E450" s="213"/>
      <c r="F450" s="213"/>
      <c r="G450" s="213"/>
      <c r="H450" s="213" t="s">
        <v>215</v>
      </c>
      <c r="I450" s="214" t="s">
        <v>215</v>
      </c>
      <c r="J450" s="214"/>
      <c r="K450" s="213" t="s">
        <v>215</v>
      </c>
      <c r="L450" s="213"/>
      <c r="M450" s="214"/>
      <c r="N450" s="213"/>
      <c r="O450" s="214"/>
      <c r="P450" s="213"/>
      <c r="Q450" s="214"/>
      <c r="R450" s="214" t="s">
        <v>215</v>
      </c>
      <c r="S450" s="214" t="s">
        <v>215</v>
      </c>
      <c r="T450" s="214"/>
      <c r="U450" s="215">
        <f t="shared" si="1173"/>
        <v>7</v>
      </c>
      <c r="V450" s="845" t="s">
        <v>399</v>
      </c>
      <c r="W450" s="216">
        <v>68414</v>
      </c>
      <c r="X450" s="217">
        <v>3.03</v>
      </c>
      <c r="Y450" s="218">
        <f t="shared" si="1101"/>
        <v>1.0303</v>
      </c>
      <c r="Z450" s="196">
        <v>19</v>
      </c>
      <c r="AA450" s="218">
        <f t="shared" si="1102"/>
        <v>1.7632354008841205</v>
      </c>
      <c r="AB450" s="196">
        <f t="shared" si="1194"/>
        <v>120629.98671608622</v>
      </c>
      <c r="AC450">
        <v>20.2</v>
      </c>
      <c r="AD450" s="196">
        <f t="shared" si="1195"/>
        <v>24367.257316649415</v>
      </c>
      <c r="AE450" s="196">
        <f t="shared" si="1148"/>
        <v>23148.894450816944</v>
      </c>
      <c r="AF450" s="196">
        <f t="shared" si="1174"/>
        <v>23148.894450816944</v>
      </c>
      <c r="AG450" s="606">
        <f t="shared" si="1216"/>
        <v>1.0703032538549491E-3</v>
      </c>
      <c r="AH450" s="196">
        <f t="shared" si="1188"/>
        <v>6031.4993358043112</v>
      </c>
      <c r="AI450" s="248">
        <f t="shared" si="1193"/>
        <v>4.6725111493064141E-4</v>
      </c>
      <c r="AJ450" s="196">
        <f t="shared" si="1196"/>
        <v>30398.756652453725</v>
      </c>
      <c r="AK450" s="196">
        <f t="shared" si="1225"/>
        <v>4825.1994686434491</v>
      </c>
      <c r="AL450" s="196">
        <f t="shared" si="1226"/>
        <v>4825.1994686434491</v>
      </c>
      <c r="AM450" s="196">
        <f t="shared" si="1197"/>
        <v>9650.3989372868982</v>
      </c>
      <c r="AN450" s="627">
        <f t="shared" si="1198"/>
        <v>4.6725111493064141E-4</v>
      </c>
      <c r="AO450" s="196">
        <f t="shared" si="1199"/>
        <v>4583.9394952112762</v>
      </c>
      <c r="AP450" s="589">
        <f t="shared" si="1217"/>
        <v>4.6725111493064135E-4</v>
      </c>
      <c r="AQ450" s="196"/>
      <c r="AR450" s="589"/>
      <c r="AS450">
        <v>1</v>
      </c>
      <c r="AT450" s="589">
        <f t="shared" si="1218"/>
        <v>1.2919896640826874E-3</v>
      </c>
      <c r="AU450" s="196">
        <v>10</v>
      </c>
      <c r="AV450" s="245">
        <f t="shared" si="1200"/>
        <v>1.1362345188046814E-3</v>
      </c>
      <c r="AX450" s="245"/>
      <c r="AY450" s="245"/>
      <c r="AZ450" s="196">
        <v>20</v>
      </c>
      <c r="BA450" s="589">
        <f t="shared" si="1092"/>
        <v>7.3284232897292143E-4</v>
      </c>
      <c r="BI450" s="196">
        <v>0</v>
      </c>
      <c r="BJ450" s="196">
        <f t="shared" si="1175"/>
        <v>68943.201329318443</v>
      </c>
      <c r="BK450" s="246">
        <f t="shared" si="1093"/>
        <v>1.3147052532854176E-3</v>
      </c>
      <c r="BL450" s="196">
        <f t="shared" si="1189"/>
        <v>1378.8640265863689</v>
      </c>
      <c r="BM450" s="246">
        <f t="shared" si="1094"/>
        <v>1.314705102861619E-3</v>
      </c>
      <c r="BN450" s="196">
        <v>0</v>
      </c>
      <c r="BO450" s="196">
        <f t="shared" si="1176"/>
        <v>8812.3006526714616</v>
      </c>
      <c r="BP450" s="196">
        <f t="shared" si="1201"/>
        <v>0</v>
      </c>
      <c r="BQ450" s="248">
        <f t="shared" si="1095"/>
        <v>0</v>
      </c>
      <c r="BR450" s="248"/>
      <c r="BS450" s="248"/>
      <c r="BT450" s="276">
        <v>1</v>
      </c>
      <c r="BU450" s="196">
        <f t="shared" si="1190"/>
        <v>19649.756300146091</v>
      </c>
      <c r="BV450" s="264">
        <f t="shared" si="1096"/>
        <v>1.3629443166976755E-3</v>
      </c>
      <c r="BW450" s="196">
        <f t="shared" si="1191"/>
        <v>84057.290839513837</v>
      </c>
      <c r="BX450" s="247">
        <f t="shared" si="1097"/>
        <v>1.36294432897513E-3</v>
      </c>
      <c r="BY450" s="196">
        <f t="shared" si="1100"/>
        <v>103707.04713965993</v>
      </c>
      <c r="BZ450" s="620">
        <v>0</v>
      </c>
      <c r="CA450" s="196">
        <f t="shared" si="1177"/>
        <v>36912.775935122387</v>
      </c>
      <c r="CB450" s="196">
        <f t="shared" si="1178"/>
        <v>73825.551870244773</v>
      </c>
      <c r="CC450" s="196">
        <f t="shared" si="1214"/>
        <v>110738.32780536715</v>
      </c>
      <c r="CD450" s="247">
        <f t="shared" si="1202"/>
        <v>4.6725111493064141E-4</v>
      </c>
      <c r="CE450" s="196">
        <f t="shared" si="1179"/>
        <v>8123.4392786424605</v>
      </c>
      <c r="CF450" s="247">
        <f t="shared" si="1203"/>
        <v>3.5079537150656026E-4</v>
      </c>
      <c r="CG450" s="196">
        <f t="shared" si="1150"/>
        <v>18335.757980845105</v>
      </c>
      <c r="CH450" s="589">
        <f t="shared" si="1219"/>
        <v>4.6725111493064135E-4</v>
      </c>
      <c r="CI450" s="196">
        <f t="shared" si="1180"/>
        <v>29474.256929981722</v>
      </c>
      <c r="CJ450" s="248">
        <f t="shared" si="1220"/>
        <v>4.8455670911334365E-4</v>
      </c>
      <c r="CK450" s="196">
        <f t="shared" si="1181"/>
        <v>35787.244498271175</v>
      </c>
      <c r="CL450" s="589">
        <f t="shared" si="1221"/>
        <v>5.1444900078478808E-4</v>
      </c>
      <c r="CM450" s="196">
        <f t="shared" si="1182"/>
        <v>3466.8966437939152</v>
      </c>
      <c r="CN450" s="589">
        <f t="shared" si="1222"/>
        <v>4.9961920644124699E-4</v>
      </c>
      <c r="CO450" s="196">
        <f t="shared" si="1183"/>
        <v>277.35690503848161</v>
      </c>
      <c r="CP450" s="589">
        <f t="shared" si="1223"/>
        <v>5.2305240207458443E-4</v>
      </c>
      <c r="CQ450" s="196">
        <f>'Detailed Budget'!$AC$12</f>
        <v>292876014141.44696</v>
      </c>
      <c r="CR450" s="269">
        <f t="shared" si="1224"/>
        <v>385045634.35305458</v>
      </c>
      <c r="CS450" s="269">
        <f>'Detailed Budget'!$AC$16</f>
        <v>10488008800.000002</v>
      </c>
      <c r="CT450" s="607">
        <f t="shared" si="1152"/>
        <v>13788638.688217567</v>
      </c>
      <c r="CU450" s="269">
        <f>'Detailed Budget'!$AC$24</f>
        <v>30624985696</v>
      </c>
      <c r="CV450" s="269">
        <f t="shared" si="1091"/>
        <v>40262829.576321974</v>
      </c>
      <c r="CW450" s="269"/>
      <c r="CX450" s="269">
        <f t="shared" si="1215"/>
        <v>439097102.61759412</v>
      </c>
      <c r="CY450" s="196">
        <f>'Detailed Budget'!$AC$97</f>
        <v>74629165494.837845</v>
      </c>
      <c r="CZ450" s="269">
        <f t="shared" si="1153"/>
        <v>0</v>
      </c>
      <c r="DA450" s="269">
        <f>'Detailed Budget'!$AC$100</f>
        <v>14925833098.967569</v>
      </c>
      <c r="DB450" s="269">
        <f t="shared" si="1154"/>
        <v>0</v>
      </c>
      <c r="DC450" s="269">
        <f t="shared" si="1204"/>
        <v>0</v>
      </c>
      <c r="DD450" s="207">
        <v>1</v>
      </c>
      <c r="DE450" s="606">
        <v>0</v>
      </c>
      <c r="DF450" s="269">
        <f>'Detailed Budget'!$AC$147</f>
        <v>5913600671000</v>
      </c>
      <c r="DG450" s="269">
        <f t="shared" si="1086"/>
        <v>0</v>
      </c>
      <c r="DH450" s="269">
        <f>'Detailed Budget'!$AC$153</f>
        <v>226428026880.00003</v>
      </c>
      <c r="DI450" s="269"/>
      <c r="DJ450" s="269">
        <f>'Detailed Budget'!$AC$156</f>
        <v>27713070000</v>
      </c>
      <c r="DK450" s="269"/>
      <c r="DL450" s="269"/>
      <c r="DM450" s="196">
        <f>'Detailed Budget'!$AC$178</f>
        <v>5622683761.6229038</v>
      </c>
      <c r="DN450" s="269">
        <f t="shared" si="1184"/>
        <v>7663404.8774922444</v>
      </c>
      <c r="DO450" s="196">
        <f>'Detailed Budget'!$AC$179</f>
        <v>26827890683.128094</v>
      </c>
      <c r="DP450" s="269">
        <f t="shared" si="1185"/>
        <v>36564921.464934163</v>
      </c>
      <c r="DQ450" s="269">
        <f t="shared" si="1192"/>
        <v>44228326.342426404</v>
      </c>
      <c r="DR450" s="269">
        <f>'Detailed Budget'!$AC$181</f>
        <v>50888946855.375237</v>
      </c>
      <c r="DS450" s="269">
        <f t="shared" si="1186"/>
        <v>54466605.404559694</v>
      </c>
      <c r="DT450" s="269">
        <f t="shared" si="1187"/>
        <v>98694931.746986091</v>
      </c>
      <c r="DU450" s="272">
        <f>'Detailed Budget'!$AC$192</f>
        <v>77498869683.252869</v>
      </c>
      <c r="DV450" s="269">
        <f t="shared" si="1155"/>
        <v>0</v>
      </c>
      <c r="DW450" s="140">
        <f>'Detailed Budget'!$AC$194</f>
        <v>2684962805.4134097</v>
      </c>
      <c r="DX450" s="269">
        <f t="shared" si="1156"/>
        <v>0</v>
      </c>
      <c r="DY450" s="607">
        <f t="shared" si="1205"/>
        <v>0</v>
      </c>
      <c r="DZ450" s="196">
        <f>'Detailed Budget'!$AC$198</f>
        <v>18732540018.380611</v>
      </c>
      <c r="EA450" s="269">
        <f t="shared" si="1157"/>
        <v>6571288.3350093337</v>
      </c>
      <c r="EB450" s="196">
        <f>'Detailed Budget'!$AC$200</f>
        <v>4683135004.5951529</v>
      </c>
      <c r="EC450" s="269">
        <f t="shared" si="1158"/>
        <v>1642822.0837523334</v>
      </c>
      <c r="ED450" s="269">
        <f t="shared" si="1206"/>
        <v>8214110.4187616669</v>
      </c>
      <c r="EE450" s="196">
        <f>'Detailed Budget'!$AC$161</f>
        <v>251147290106.36197</v>
      </c>
      <c r="EF450" s="269">
        <f t="shared" si="1159"/>
        <v>117348851.31400687</v>
      </c>
      <c r="EG450" s="196">
        <f>'Detailed Budget'!$AC$163</f>
        <v>15696705631.647623</v>
      </c>
      <c r="EH450" s="269">
        <f t="shared" si="1160"/>
        <v>7334303.2071254291</v>
      </c>
      <c r="EI450" s="269">
        <f t="shared" si="1207"/>
        <v>124683154.52113229</v>
      </c>
      <c r="EJ450" s="196">
        <f>'Detailed Budget'!$AC$204</f>
        <v>45012172507.531975</v>
      </c>
      <c r="EK450" s="269">
        <f t="shared" si="1161"/>
        <v>21810950.180291817</v>
      </c>
      <c r="EL450" s="201">
        <f>'Detailed Budget'!$AC$206</f>
        <v>11253043126.882994</v>
      </c>
      <c r="EM450" s="269">
        <f t="shared" si="1162"/>
        <v>5452737.5450729541</v>
      </c>
      <c r="EN450" s="269">
        <f t="shared" si="1208"/>
        <v>27263687.725364771</v>
      </c>
      <c r="EO450" s="140">
        <f>'Detailed Budget'!$AC$209</f>
        <v>135789361677.54817</v>
      </c>
      <c r="EP450" s="269">
        <f t="shared" si="1163"/>
        <v>69856701.43221885</v>
      </c>
      <c r="EQ450" s="196">
        <f>'Detailed Budget'!$AC$211</f>
        <v>33947340419.387043</v>
      </c>
      <c r="ER450" s="269">
        <f t="shared" si="1164"/>
        <v>17464175.358054712</v>
      </c>
      <c r="ES450" s="269">
        <f t="shared" si="1209"/>
        <v>87320876.790273562</v>
      </c>
      <c r="ET450" s="196">
        <f>'Detailed Budget'!$AC$214</f>
        <v>22239745544.201103</v>
      </c>
      <c r="EU450" s="269">
        <f t="shared" si="1165"/>
        <v>11111404.020249015</v>
      </c>
      <c r="EV450" s="140">
        <f>'Detailed Budget'!$AC$217</f>
        <v>5559936386.0502758</v>
      </c>
      <c r="EW450" s="269">
        <f t="shared" si="1166"/>
        <v>2777851.0050622537</v>
      </c>
      <c r="EX450" s="269">
        <f t="shared" si="1210"/>
        <v>13889255.025311269</v>
      </c>
      <c r="EY450" s="196">
        <f>'Detailed Budget'!$AC$219</f>
        <v>372777004.58170313</v>
      </c>
      <c r="EZ450" s="269">
        <f t="shared" si="1167"/>
        <v>194981.90768462818</v>
      </c>
      <c r="FA450" s="196">
        <f>'Detailed Budget'!$AC$222</f>
        <v>93194251.145425782</v>
      </c>
      <c r="FB450" s="269">
        <f t="shared" si="1168"/>
        <v>48745.476921157046</v>
      </c>
      <c r="FC450" s="269">
        <f t="shared" si="1211"/>
        <v>243727.38460578522</v>
      </c>
      <c r="FD450" s="269"/>
      <c r="FE450" s="269">
        <f t="shared" si="1212"/>
        <v>128717546.92555539</v>
      </c>
      <c r="FF450" s="140">
        <f>'Detailed Budget'!$AC$165</f>
        <v>14927760000</v>
      </c>
      <c r="FG450" s="1087">
        <f t="shared" si="1087"/>
        <v>175579254.31689233</v>
      </c>
      <c r="FH450" s="269">
        <f t="shared" si="1169"/>
        <v>16961436.200431772</v>
      </c>
      <c r="FJ450" s="140">
        <f>'Detailed Budget'!$AC$235</f>
        <v>3623696172</v>
      </c>
      <c r="FK450" s="269">
        <f t="shared" si="1170"/>
        <v>4681778</v>
      </c>
      <c r="FL450" s="269">
        <f t="shared" si="1088"/>
        <v>4681778</v>
      </c>
      <c r="FO450" s="607"/>
      <c r="FP450" s="607"/>
      <c r="FQ450" s="607"/>
      <c r="FR450" s="269">
        <f>'Detailed Budget'!$AC$257</f>
        <v>13636439388</v>
      </c>
      <c r="FS450" s="269">
        <f t="shared" si="1171"/>
        <v>9993360</v>
      </c>
      <c r="FT450" s="269">
        <f t="shared" si="1089"/>
        <v>9993360</v>
      </c>
      <c r="FU450" s="269"/>
      <c r="FV450" s="269"/>
      <c r="FW450" s="269"/>
      <c r="FX450" s="140">
        <f>'Detailed Budget'!$AC$278</f>
        <v>1114560000</v>
      </c>
      <c r="FY450" s="269">
        <f t="shared" si="1172"/>
        <v>1440000</v>
      </c>
      <c r="FZ450" s="269">
        <f t="shared" si="1090"/>
        <v>1440000</v>
      </c>
      <c r="GB450" s="269">
        <f t="shared" si="1098"/>
        <v>1008062674.7473536</v>
      </c>
      <c r="GC450" s="887">
        <f t="shared" si="1213"/>
        <v>630039.171717096</v>
      </c>
      <c r="GD450" s="1078">
        <f t="shared" si="1099"/>
        <v>5.6565570979009311E-4</v>
      </c>
    </row>
    <row r="451" spans="1:186" hidden="1" outlineLevel="1">
      <c r="A451" s="211" t="s">
        <v>1035</v>
      </c>
      <c r="B451" s="212" t="s">
        <v>1036</v>
      </c>
      <c r="C451" s="213" t="s">
        <v>215</v>
      </c>
      <c r="D451" s="214" t="s">
        <v>215</v>
      </c>
      <c r="E451" s="213"/>
      <c r="F451" s="213"/>
      <c r="G451" s="213"/>
      <c r="H451" s="213" t="s">
        <v>215</v>
      </c>
      <c r="I451" s="214" t="s">
        <v>215</v>
      </c>
      <c r="J451" s="214"/>
      <c r="K451" s="213" t="s">
        <v>215</v>
      </c>
      <c r="L451" s="213"/>
      <c r="M451" s="214"/>
      <c r="N451" s="213"/>
      <c r="O451" s="214"/>
      <c r="P451" s="213"/>
      <c r="Q451" s="214"/>
      <c r="R451" s="214" t="s">
        <v>215</v>
      </c>
      <c r="S451" s="214"/>
      <c r="T451" s="214"/>
      <c r="U451" s="215">
        <f t="shared" si="1173"/>
        <v>6</v>
      </c>
      <c r="V451" s="845" t="s">
        <v>219</v>
      </c>
      <c r="W451" s="216">
        <v>179246</v>
      </c>
      <c r="X451" s="217">
        <v>3.03</v>
      </c>
      <c r="Y451" s="218">
        <f t="shared" si="1101"/>
        <v>1.0303</v>
      </c>
      <c r="Z451" s="196">
        <v>19</v>
      </c>
      <c r="AA451" s="218">
        <f t="shared" si="1102"/>
        <v>1.7632354008841205</v>
      </c>
      <c r="AB451" s="196">
        <f t="shared" si="1194"/>
        <v>316052.89266687504</v>
      </c>
      <c r="AC451">
        <v>20.2</v>
      </c>
      <c r="AD451" s="196">
        <f t="shared" si="1195"/>
        <v>63842.684318708758</v>
      </c>
      <c r="AE451" s="196">
        <f t="shared" si="1148"/>
        <v>60650.550102773319</v>
      </c>
      <c r="AF451" s="196">
        <f t="shared" si="1174"/>
        <v>60650.550102773319</v>
      </c>
      <c r="AG451" s="606">
        <f t="shared" si="1216"/>
        <v>2.80421517584828E-3</v>
      </c>
      <c r="AH451" s="196">
        <f t="shared" si="1188"/>
        <v>15802.644633343753</v>
      </c>
      <c r="AI451" s="248">
        <f t="shared" si="1193"/>
        <v>1.2242069363998266E-3</v>
      </c>
      <c r="AJ451" s="196">
        <f t="shared" si="1196"/>
        <v>79645.328952052514</v>
      </c>
      <c r="AK451" s="196">
        <f t="shared" si="1225"/>
        <v>12642.115706675002</v>
      </c>
      <c r="AL451" s="196">
        <f t="shared" si="1226"/>
        <v>12642.115706675002</v>
      </c>
      <c r="AM451" s="196">
        <f t="shared" si="1197"/>
        <v>25284.231413350004</v>
      </c>
      <c r="AN451" s="627">
        <f t="shared" si="1198"/>
        <v>1.2242069363998266E-3</v>
      </c>
      <c r="AO451" s="196">
        <f t="shared" si="1199"/>
        <v>12010.00992134125</v>
      </c>
      <c r="AP451" s="589">
        <f t="shared" si="1217"/>
        <v>1.2242069363998264E-3</v>
      </c>
      <c r="AQ451" s="196"/>
      <c r="AR451" s="589"/>
      <c r="AS451">
        <v>1</v>
      </c>
      <c r="AT451" s="589">
        <f t="shared" si="1218"/>
        <v>1.2919896640826874E-3</v>
      </c>
      <c r="AU451" s="196">
        <v>11</v>
      </c>
      <c r="AV451" s="245">
        <f t="shared" si="1200"/>
        <v>1.2498579706851495E-3</v>
      </c>
      <c r="AX451" s="245"/>
      <c r="AY451" s="245"/>
      <c r="AZ451" s="196">
        <v>57</v>
      </c>
      <c r="BA451" s="589">
        <f t="shared" si="1092"/>
        <v>2.088600637572826E-3</v>
      </c>
      <c r="BI451" s="196">
        <v>0</v>
      </c>
      <c r="BJ451" s="196">
        <f t="shared" si="1175"/>
        <v>180632.51769338164</v>
      </c>
      <c r="BK451" s="246">
        <f t="shared" si="1093"/>
        <v>3.444553129920746E-3</v>
      </c>
      <c r="BL451" s="196">
        <f t="shared" si="1189"/>
        <v>3612.6503538676329</v>
      </c>
      <c r="BM451" s="246">
        <f t="shared" si="1094"/>
        <v>3.4445527358074914E-3</v>
      </c>
      <c r="BN451" s="196">
        <v>0</v>
      </c>
      <c r="BO451" s="196">
        <f t="shared" si="1176"/>
        <v>23088.397737140775</v>
      </c>
      <c r="BP451" s="196">
        <f t="shared" si="1201"/>
        <v>0</v>
      </c>
      <c r="BQ451" s="248">
        <f t="shared" si="1095"/>
        <v>0</v>
      </c>
      <c r="BR451" s="248"/>
      <c r="BS451" s="248"/>
      <c r="BT451" s="276">
        <v>1</v>
      </c>
      <c r="BU451" s="196">
        <f t="shared" si="1190"/>
        <v>51482.740634606751</v>
      </c>
      <c r="BV451" s="264">
        <f t="shared" si="1096"/>
        <v>3.5709404067996542E-3</v>
      </c>
      <c r="BW451" s="196">
        <f t="shared" si="1191"/>
        <v>220231.72382581775</v>
      </c>
      <c r="BX451" s="247">
        <f t="shared" si="1097"/>
        <v>3.5709404389668215E-3</v>
      </c>
      <c r="BY451" s="196">
        <f t="shared" si="1100"/>
        <v>271714.4644604245</v>
      </c>
      <c r="BZ451" s="620">
        <v>0</v>
      </c>
      <c r="CA451" s="196">
        <f t="shared" si="1177"/>
        <v>96712.185156063759</v>
      </c>
      <c r="CB451" s="196">
        <f t="shared" si="1178"/>
        <v>193424.37031212752</v>
      </c>
      <c r="CC451" s="196">
        <f t="shared" si="1214"/>
        <v>290136.55546819128</v>
      </c>
      <c r="CD451" s="247">
        <f t="shared" si="1202"/>
        <v>1.2242069363998266E-3</v>
      </c>
      <c r="CE451" s="196">
        <f t="shared" si="1179"/>
        <v>21283.567646089195</v>
      </c>
      <c r="CF451" s="247">
        <f t="shared" si="1203"/>
        <v>9.1909064169709261E-4</v>
      </c>
      <c r="CG451" s="196">
        <f t="shared" si="1150"/>
        <v>48040.039685365002</v>
      </c>
      <c r="CH451" s="589">
        <f t="shared" si="1219"/>
        <v>1.2242069363998264E-3</v>
      </c>
      <c r="CI451" s="196">
        <f t="shared" si="1180"/>
        <v>77223.121841604108</v>
      </c>
      <c r="CJ451" s="248">
        <f t="shared" si="1220"/>
        <v>1.2695479270577717E-3</v>
      </c>
      <c r="CK451" s="196">
        <f t="shared" si="1181"/>
        <v>93763.271075176352</v>
      </c>
      <c r="CL451" s="589">
        <f t="shared" si="1221"/>
        <v>1.3478663079876945E-3</v>
      </c>
      <c r="CM451" s="196">
        <f t="shared" si="1182"/>
        <v>9083.3360980717989</v>
      </c>
      <c r="CN451" s="589">
        <f t="shared" si="1222"/>
        <v>1.3090119606771677E-3</v>
      </c>
      <c r="CO451" s="196">
        <f t="shared" si="1183"/>
        <v>726.68044260718091</v>
      </c>
      <c r="CP451" s="589">
        <f t="shared" si="1223"/>
        <v>1.3704073853635361E-3</v>
      </c>
      <c r="CQ451" s="196">
        <f>'Detailed Budget'!$AC$12</f>
        <v>292876014141.44696</v>
      </c>
      <c r="CR451" s="269">
        <f t="shared" si="1224"/>
        <v>1008826991.1896338</v>
      </c>
      <c r="CS451" s="269">
        <f>'Detailed Budget'!$AC$16</f>
        <v>10488008800.000002</v>
      </c>
      <c r="CT451" s="607">
        <f t="shared" si="1152"/>
        <v>36126499.405213051</v>
      </c>
      <c r="CU451" s="269">
        <f>'Detailed Budget'!$AC$24</f>
        <v>30624985696</v>
      </c>
      <c r="CV451" s="269">
        <f t="shared" si="1091"/>
        <v>105489390.33293487</v>
      </c>
      <c r="CW451" s="269"/>
      <c r="CX451" s="269">
        <f t="shared" si="1215"/>
        <v>1150442880.9277818</v>
      </c>
      <c r="CY451" s="196">
        <f>'Detailed Budget'!$AC$97</f>
        <v>74629165494.837845</v>
      </c>
      <c r="CZ451" s="269">
        <f t="shared" si="1153"/>
        <v>0</v>
      </c>
      <c r="DA451" s="269">
        <f>'Detailed Budget'!$AC$100</f>
        <v>14925833098.967569</v>
      </c>
      <c r="DB451" s="269">
        <f t="shared" si="1154"/>
        <v>0</v>
      </c>
      <c r="DC451" s="269">
        <f t="shared" si="1204"/>
        <v>0</v>
      </c>
      <c r="DD451" s="207">
        <v>0</v>
      </c>
      <c r="DE451" s="606">
        <v>0</v>
      </c>
      <c r="DF451" s="269">
        <f>'Detailed Budget'!$AC$147</f>
        <v>5913600671000</v>
      </c>
      <c r="DG451" s="269">
        <f t="shared" si="1086"/>
        <v>0</v>
      </c>
      <c r="DH451" s="269">
        <f>'Detailed Budget'!$AC$153</f>
        <v>226428026880.00003</v>
      </c>
      <c r="DI451" s="269"/>
      <c r="DJ451" s="269">
        <f>'Detailed Budget'!$AC$156</f>
        <v>27713070000</v>
      </c>
      <c r="DK451" s="269"/>
      <c r="DL451" s="269"/>
      <c r="DM451" s="196">
        <f>'Detailed Budget'!$AC$178</f>
        <v>5622683761.6229038</v>
      </c>
      <c r="DN451" s="269">
        <f t="shared" si="1184"/>
        <v>20078268.639035501</v>
      </c>
      <c r="DO451" s="196">
        <f>'Detailed Budget'!$AC$179</f>
        <v>26827890683.128094</v>
      </c>
      <c r="DP451" s="269">
        <f t="shared" si="1185"/>
        <v>95800799.732563332</v>
      </c>
      <c r="DQ451" s="269">
        <f t="shared" si="1192"/>
        <v>115879068.37159884</v>
      </c>
      <c r="DR451" s="269">
        <f>'Detailed Budget'!$AC$181</f>
        <v>50888946855.375237</v>
      </c>
      <c r="DS451" s="269">
        <f t="shared" si="1186"/>
        <v>142703557.05477986</v>
      </c>
      <c r="DT451" s="269">
        <f t="shared" si="1187"/>
        <v>258582625.4263787</v>
      </c>
      <c r="DU451" s="272">
        <f>'Detailed Budget'!$AC$192</f>
        <v>77498869683.252869</v>
      </c>
      <c r="DV451" s="269">
        <f t="shared" si="1155"/>
        <v>0</v>
      </c>
      <c r="DW451" s="140">
        <f>'Detailed Budget'!$AC$194</f>
        <v>2684962805.4134097</v>
      </c>
      <c r="DX451" s="269">
        <f t="shared" si="1156"/>
        <v>0</v>
      </c>
      <c r="DY451" s="607">
        <f t="shared" si="1205"/>
        <v>0</v>
      </c>
      <c r="DZ451" s="196">
        <f>'Detailed Budget'!$AC$198</f>
        <v>18732540018.380611</v>
      </c>
      <c r="EA451" s="269">
        <f t="shared" si="1157"/>
        <v>17216902.226109903</v>
      </c>
      <c r="EB451" s="196">
        <f>'Detailed Budget'!$AC$200</f>
        <v>4683135004.5951529</v>
      </c>
      <c r="EC451" s="269">
        <f t="shared" si="1158"/>
        <v>4304225.5565274758</v>
      </c>
      <c r="ED451" s="269">
        <f t="shared" si="1206"/>
        <v>21521127.78263738</v>
      </c>
      <c r="EE451" s="196">
        <f>'Detailed Budget'!$AC$161</f>
        <v>251147290106.36197</v>
      </c>
      <c r="EF451" s="269">
        <f t="shared" si="1159"/>
        <v>307456254.60622782</v>
      </c>
      <c r="EG451" s="196">
        <f>'Detailed Budget'!$AC$163</f>
        <v>15696705631.647623</v>
      </c>
      <c r="EH451" s="269">
        <f t="shared" si="1160"/>
        <v>19216015.912889238</v>
      </c>
      <c r="EI451" s="269">
        <f t="shared" si="1207"/>
        <v>326672270.51911706</v>
      </c>
      <c r="EJ451" s="196">
        <f>'Detailed Budget'!$AC$204</f>
        <v>45012172507.531975</v>
      </c>
      <c r="EK451" s="269">
        <f t="shared" si="1161"/>
        <v>57145110.299304038</v>
      </c>
      <c r="EL451" s="201">
        <f>'Detailed Budget'!$AC$206</f>
        <v>11253043126.882994</v>
      </c>
      <c r="EM451" s="269">
        <f t="shared" si="1162"/>
        <v>14286277.57482601</v>
      </c>
      <c r="EN451" s="269">
        <f t="shared" si="1208"/>
        <v>71431387.87413004</v>
      </c>
      <c r="EO451" s="140">
        <f>'Detailed Budget'!$AC$209</f>
        <v>135789361677.54817</v>
      </c>
      <c r="EP451" s="269">
        <f t="shared" si="1163"/>
        <v>183025905.58832258</v>
      </c>
      <c r="EQ451" s="196">
        <f>'Detailed Budget'!$AC$211</f>
        <v>33947340419.387043</v>
      </c>
      <c r="ER451" s="269">
        <f t="shared" si="1164"/>
        <v>45756476.397080645</v>
      </c>
      <c r="ES451" s="269">
        <f t="shared" si="1209"/>
        <v>228782381.98540324</v>
      </c>
      <c r="ET451" s="196">
        <f>'Detailed Budget'!$AC$214</f>
        <v>22239745544.201103</v>
      </c>
      <c r="EU451" s="269">
        <f t="shared" si="1165"/>
        <v>29112092.919775989</v>
      </c>
      <c r="EV451" s="140">
        <f>'Detailed Budget'!$AC$217</f>
        <v>5559936386.0502758</v>
      </c>
      <c r="EW451" s="269">
        <f t="shared" si="1166"/>
        <v>7278023.2299439972</v>
      </c>
      <c r="EX451" s="269">
        <f t="shared" si="1210"/>
        <v>36390116.149719983</v>
      </c>
      <c r="EY451" s="196">
        <f>'Detailed Budget'!$AC$219</f>
        <v>372777004.58170313</v>
      </c>
      <c r="EZ451" s="269">
        <f t="shared" si="1167"/>
        <v>510856.36017246271</v>
      </c>
      <c r="FA451" s="196">
        <f>'Detailed Budget'!$AC$222</f>
        <v>93194251.145425782</v>
      </c>
      <c r="FB451" s="269">
        <f t="shared" si="1168"/>
        <v>127714.09004311568</v>
      </c>
      <c r="FC451" s="269">
        <f t="shared" si="1211"/>
        <v>638570.45021557843</v>
      </c>
      <c r="FD451" s="269"/>
      <c r="FE451" s="269">
        <f t="shared" si="1212"/>
        <v>337242456.45946884</v>
      </c>
      <c r="FF451" s="140">
        <f>'Detailed Budget'!$AC$165</f>
        <v>14927760000</v>
      </c>
      <c r="FG451" s="1087">
        <f t="shared" si="1087"/>
        <v>460021033.98844802</v>
      </c>
      <c r="FH451" s="269">
        <f t="shared" si="1169"/>
        <v>18657579.820474949</v>
      </c>
      <c r="FJ451" s="140">
        <f>'Detailed Budget'!$AC$235</f>
        <v>3623696172</v>
      </c>
      <c r="FK451" s="269">
        <f t="shared" si="1170"/>
        <v>4681778</v>
      </c>
      <c r="FL451" s="269">
        <f t="shared" si="1088"/>
        <v>4681778</v>
      </c>
      <c r="FO451" s="607"/>
      <c r="FP451" s="607"/>
      <c r="FQ451" s="607"/>
      <c r="FR451" s="269">
        <f>'Detailed Budget'!$AC$257</f>
        <v>13636439388</v>
      </c>
      <c r="FS451" s="269">
        <f t="shared" si="1171"/>
        <v>28481075.999999996</v>
      </c>
      <c r="FT451" s="269">
        <f t="shared" si="1089"/>
        <v>28481075.999999996</v>
      </c>
      <c r="FU451" s="269"/>
      <c r="FV451" s="269"/>
      <c r="FW451" s="269"/>
      <c r="FX451" s="140">
        <f>'Detailed Budget'!$AC$278</f>
        <v>1114560000</v>
      </c>
      <c r="FY451" s="269">
        <f t="shared" si="1172"/>
        <v>1440000</v>
      </c>
      <c r="FZ451" s="269">
        <f t="shared" si="1090"/>
        <v>1440000</v>
      </c>
      <c r="GB451" s="269">
        <f t="shared" si="1098"/>
        <v>2607742828.9243069</v>
      </c>
      <c r="GC451" s="887">
        <f t="shared" si="1213"/>
        <v>1629839.2680776918</v>
      </c>
      <c r="GD451" s="1078">
        <f t="shared" si="1099"/>
        <v>1.4632866167918559E-3</v>
      </c>
    </row>
    <row r="452" spans="1:186" hidden="1" outlineLevel="1">
      <c r="A452" s="211" t="s">
        <v>1037</v>
      </c>
      <c r="B452" s="212" t="s">
        <v>1038</v>
      </c>
      <c r="C452" s="213" t="s">
        <v>215</v>
      </c>
      <c r="D452" s="214" t="s">
        <v>215</v>
      </c>
      <c r="E452" s="213"/>
      <c r="F452" s="213"/>
      <c r="G452" s="213"/>
      <c r="H452" s="213" t="s">
        <v>215</v>
      </c>
      <c r="I452" s="214" t="s">
        <v>215</v>
      </c>
      <c r="J452" s="214"/>
      <c r="K452" s="213" t="s">
        <v>215</v>
      </c>
      <c r="L452" s="213"/>
      <c r="M452" s="214"/>
      <c r="N452" s="213"/>
      <c r="O452" s="214"/>
      <c r="P452" s="213"/>
      <c r="Q452" s="214"/>
      <c r="R452" s="214" t="s">
        <v>215</v>
      </c>
      <c r="S452" s="214"/>
      <c r="T452" s="214"/>
      <c r="U452" s="215">
        <f t="shared" si="1173"/>
        <v>6</v>
      </c>
      <c r="V452" s="845" t="s">
        <v>219</v>
      </c>
      <c r="W452" s="216">
        <v>162403</v>
      </c>
      <c r="X452" s="217">
        <v>3.03</v>
      </c>
      <c r="Y452" s="218">
        <f t="shared" si="1101"/>
        <v>1.0303</v>
      </c>
      <c r="Z452" s="196">
        <v>19</v>
      </c>
      <c r="AA452" s="218">
        <f t="shared" si="1102"/>
        <v>1.7632354008841205</v>
      </c>
      <c r="AB452" s="196">
        <f t="shared" si="1194"/>
        <v>286354.71880978381</v>
      </c>
      <c r="AC452">
        <v>20.2</v>
      </c>
      <c r="AD452" s="196">
        <f t="shared" si="1195"/>
        <v>57843.653199576329</v>
      </c>
      <c r="AE452" s="196">
        <f t="shared" si="1148"/>
        <v>54951.470539597511</v>
      </c>
      <c r="AF452" s="196">
        <f t="shared" si="1174"/>
        <v>54951.470539597511</v>
      </c>
      <c r="AG452" s="606">
        <f t="shared" si="1216"/>
        <v>2.5407147562751089E-3</v>
      </c>
      <c r="AH452" s="196">
        <f t="shared" si="1188"/>
        <v>14317.73594048919</v>
      </c>
      <c r="AI452" s="248">
        <f t="shared" si="1193"/>
        <v>1.1091733098208107E-3</v>
      </c>
      <c r="AJ452" s="196">
        <f t="shared" si="1196"/>
        <v>72161.389140065527</v>
      </c>
      <c r="AK452" s="196">
        <f t="shared" si="1225"/>
        <v>11454.188752391352</v>
      </c>
      <c r="AL452" s="196">
        <f t="shared" si="1226"/>
        <v>11454.188752391352</v>
      </c>
      <c r="AM452" s="196">
        <f t="shared" si="1197"/>
        <v>22908.377504782704</v>
      </c>
      <c r="AN452" s="627">
        <f t="shared" si="1198"/>
        <v>1.1091733098208107E-3</v>
      </c>
      <c r="AO452" s="196">
        <f t="shared" si="1199"/>
        <v>10881.479314771785</v>
      </c>
      <c r="AP452" s="589">
        <f t="shared" si="1217"/>
        <v>1.1091733098208107E-3</v>
      </c>
      <c r="AQ452" s="196"/>
      <c r="AR452" s="589"/>
      <c r="AS452">
        <v>1</v>
      </c>
      <c r="AT452" s="589">
        <f t="shared" si="1218"/>
        <v>1.2919896640826874E-3</v>
      </c>
      <c r="AU452" s="196">
        <v>11</v>
      </c>
      <c r="AV452" s="245">
        <f t="shared" si="1200"/>
        <v>1.2498579706851495E-3</v>
      </c>
      <c r="AX452" s="245"/>
      <c r="AY452" s="245"/>
      <c r="AZ452" s="196">
        <v>25</v>
      </c>
      <c r="BA452" s="589">
        <f t="shared" si="1092"/>
        <v>9.1605291121615189E-4</v>
      </c>
      <c r="BI452" s="196">
        <v>0</v>
      </c>
      <c r="BJ452" s="196">
        <f t="shared" si="1175"/>
        <v>163659.23240104807</v>
      </c>
      <c r="BK452" s="246">
        <f t="shared" si="1093"/>
        <v>3.1208828200267732E-3</v>
      </c>
      <c r="BL452" s="196">
        <f t="shared" si="1189"/>
        <v>3273.1846480209615</v>
      </c>
      <c r="BM452" s="246">
        <f t="shared" si="1094"/>
        <v>3.1208824629466998E-3</v>
      </c>
      <c r="BN452" s="196">
        <v>0</v>
      </c>
      <c r="BO452" s="196">
        <f t="shared" si="1176"/>
        <v>20918.877172739551</v>
      </c>
      <c r="BP452" s="196">
        <f t="shared" si="1201"/>
        <v>0</v>
      </c>
      <c r="BQ452" s="248">
        <f t="shared" si="1095"/>
        <v>0</v>
      </c>
      <c r="BR452" s="248"/>
      <c r="BS452" s="248"/>
      <c r="BT452" s="276">
        <v>1</v>
      </c>
      <c r="BU452" s="196">
        <f t="shared" si="1190"/>
        <v>46645.121940138357</v>
      </c>
      <c r="BV452" s="264">
        <f t="shared" si="1096"/>
        <v>3.2353940109429735E-3</v>
      </c>
      <c r="BW452" s="196">
        <f t="shared" si="1191"/>
        <v>199537.46607725852</v>
      </c>
      <c r="BX452" s="247">
        <f t="shared" si="1097"/>
        <v>3.2353940400875266E-3</v>
      </c>
      <c r="BY452" s="196">
        <f t="shared" si="1100"/>
        <v>246182.58801739686</v>
      </c>
      <c r="BZ452" s="620">
        <v>0</v>
      </c>
      <c r="CA452" s="196">
        <f t="shared" si="1177"/>
        <v>87624.543955793837</v>
      </c>
      <c r="CB452" s="196">
        <f t="shared" si="1178"/>
        <v>175249.08791158767</v>
      </c>
      <c r="CC452" s="196">
        <f t="shared" si="1214"/>
        <v>262873.63186738151</v>
      </c>
      <c r="CD452" s="247">
        <f t="shared" si="1202"/>
        <v>1.1091733098208107E-3</v>
      </c>
      <c r="CE452" s="196">
        <f t="shared" si="1179"/>
        <v>19283.639447618491</v>
      </c>
      <c r="CF452" s="247">
        <f t="shared" si="1203"/>
        <v>8.3272752241909411E-4</v>
      </c>
      <c r="CG452" s="196">
        <f t="shared" si="1150"/>
        <v>43525.917259087139</v>
      </c>
      <c r="CH452" s="589">
        <f t="shared" si="1219"/>
        <v>1.1091733098208107E-3</v>
      </c>
      <c r="CI452" s="196">
        <f t="shared" si="1180"/>
        <v>69966.786742477008</v>
      </c>
      <c r="CJ452" s="248">
        <f t="shared" si="1220"/>
        <v>1.1502537964471358E-3</v>
      </c>
      <c r="CK452" s="196">
        <f t="shared" si="1181"/>
        <v>84952.727047866429</v>
      </c>
      <c r="CL452" s="589">
        <f t="shared" si="1221"/>
        <v>1.2212129253435255E-3</v>
      </c>
      <c r="CM452" s="196">
        <f t="shared" si="1182"/>
        <v>8229.8128400921341</v>
      </c>
      <c r="CN452" s="589">
        <f t="shared" si="1222"/>
        <v>1.1860095592083177E-3</v>
      </c>
      <c r="CO452" s="196">
        <f t="shared" si="1183"/>
        <v>658.39730828433551</v>
      </c>
      <c r="CP452" s="589">
        <f t="shared" si="1223"/>
        <v>1.2416359115695434E-3</v>
      </c>
      <c r="CQ452" s="196">
        <f>'Detailed Budget'!$AC$12</f>
        <v>292876014141.44696</v>
      </c>
      <c r="CR452" s="269">
        <f t="shared" si="1224"/>
        <v>914031720.93196011</v>
      </c>
      <c r="CS452" s="269">
        <f>'Detailed Budget'!$AC$16</f>
        <v>10488008800.000002</v>
      </c>
      <c r="CT452" s="607">
        <f t="shared" si="1152"/>
        <v>32731842.735150669</v>
      </c>
      <c r="CU452" s="269">
        <f>'Detailed Budget'!$AC$24</f>
        <v>30624985696</v>
      </c>
      <c r="CV452" s="269">
        <f t="shared" si="1091"/>
        <v>95576991.722212076</v>
      </c>
      <c r="CW452" s="269"/>
      <c r="CX452" s="269">
        <f t="shared" si="1215"/>
        <v>1042340555.3893229</v>
      </c>
      <c r="CY452" s="196">
        <f>'Detailed Budget'!$AC$97</f>
        <v>74629165494.837845</v>
      </c>
      <c r="CZ452" s="269">
        <f t="shared" si="1153"/>
        <v>0</v>
      </c>
      <c r="DA452" s="269">
        <f>'Detailed Budget'!$AC$100</f>
        <v>14925833098.967569</v>
      </c>
      <c r="DB452" s="269">
        <f t="shared" si="1154"/>
        <v>0</v>
      </c>
      <c r="DC452" s="269">
        <f t="shared" si="1204"/>
        <v>0</v>
      </c>
      <c r="DD452" s="207">
        <v>0</v>
      </c>
      <c r="DE452" s="606">
        <v>0</v>
      </c>
      <c r="DF452" s="269">
        <f>'Detailed Budget'!$AC$147</f>
        <v>5913600671000</v>
      </c>
      <c r="DG452" s="269">
        <f t="shared" si="1086"/>
        <v>0</v>
      </c>
      <c r="DH452" s="269">
        <f>'Detailed Budget'!$AC$153</f>
        <v>226428026880.00003</v>
      </c>
      <c r="DI452" s="269"/>
      <c r="DJ452" s="269">
        <f>'Detailed Budget'!$AC$156</f>
        <v>27713070000</v>
      </c>
      <c r="DK452" s="269"/>
      <c r="DL452" s="269"/>
      <c r="DM452" s="196">
        <f>'Detailed Budget'!$AC$178</f>
        <v>5622683761.6229038</v>
      </c>
      <c r="DN452" s="269">
        <f t="shared" si="1184"/>
        <v>18191597.367781054</v>
      </c>
      <c r="DO452" s="196">
        <f>'Detailed Budget'!$AC$179</f>
        <v>26827890683.128094</v>
      </c>
      <c r="DP452" s="269">
        <f t="shared" si="1185"/>
        <v>86798797.624312311</v>
      </c>
      <c r="DQ452" s="269">
        <f t="shared" si="1192"/>
        <v>104990394.99209337</v>
      </c>
      <c r="DR452" s="269">
        <f>'Detailed Budget'!$AC$181</f>
        <v>50888946855.375237</v>
      </c>
      <c r="DS452" s="269">
        <f t="shared" si="1186"/>
        <v>129294298.20675166</v>
      </c>
      <c r="DT452" s="269">
        <f t="shared" si="1187"/>
        <v>234284693.19884503</v>
      </c>
      <c r="DU452" s="272">
        <f>'Detailed Budget'!$AC$192</f>
        <v>77498869683.252869</v>
      </c>
      <c r="DV452" s="269">
        <f t="shared" si="1155"/>
        <v>0</v>
      </c>
      <c r="DW452" s="140">
        <f>'Detailed Budget'!$AC$194</f>
        <v>2684962805.4134097</v>
      </c>
      <c r="DX452" s="269">
        <f t="shared" si="1156"/>
        <v>0</v>
      </c>
      <c r="DY452" s="607">
        <f t="shared" si="1205"/>
        <v>0</v>
      </c>
      <c r="DZ452" s="196">
        <f>'Detailed Budget'!$AC$198</f>
        <v>18732540018.380611</v>
      </c>
      <c r="EA452" s="269">
        <f t="shared" si="1157"/>
        <v>15599101.638122618</v>
      </c>
      <c r="EB452" s="196">
        <f>'Detailed Budget'!$AC$200</f>
        <v>4683135004.5951529</v>
      </c>
      <c r="EC452" s="269">
        <f t="shared" si="1158"/>
        <v>3899775.4095306545</v>
      </c>
      <c r="ED452" s="269">
        <f t="shared" si="1206"/>
        <v>19498877.047653273</v>
      </c>
      <c r="EE452" s="196">
        <f>'Detailed Budget'!$AC$161</f>
        <v>251147290106.36197</v>
      </c>
      <c r="EF452" s="269">
        <f t="shared" si="1159"/>
        <v>278565871.01980084</v>
      </c>
      <c r="EG452" s="196">
        <f>'Detailed Budget'!$AC$163</f>
        <v>15696705631.647623</v>
      </c>
      <c r="EH452" s="269">
        <f t="shared" si="1160"/>
        <v>17410366.938737553</v>
      </c>
      <c r="EI452" s="269">
        <f t="shared" si="1207"/>
        <v>295976237.95853841</v>
      </c>
      <c r="EJ452" s="196">
        <f>'Detailed Budget'!$AC$204</f>
        <v>45012172507.531975</v>
      </c>
      <c r="EK452" s="269">
        <f t="shared" si="1161"/>
        <v>51775422.313122049</v>
      </c>
      <c r="EL452" s="201">
        <f>'Detailed Budget'!$AC$206</f>
        <v>11253043126.882994</v>
      </c>
      <c r="EM452" s="269">
        <f t="shared" si="1162"/>
        <v>12943855.578280512</v>
      </c>
      <c r="EN452" s="269">
        <f t="shared" si="1208"/>
        <v>64719277.891402557</v>
      </c>
      <c r="EO452" s="140">
        <f>'Detailed Budget'!$AC$209</f>
        <v>135789361677.54817</v>
      </c>
      <c r="EP452" s="269">
        <f t="shared" si="1163"/>
        <v>165827723.6047686</v>
      </c>
      <c r="EQ452" s="196">
        <f>'Detailed Budget'!$AC$211</f>
        <v>33947340419.387043</v>
      </c>
      <c r="ER452" s="269">
        <f t="shared" si="1164"/>
        <v>41456930.901192151</v>
      </c>
      <c r="ES452" s="269">
        <f t="shared" si="1209"/>
        <v>207284654.50596076</v>
      </c>
      <c r="ET452" s="196">
        <f>'Detailed Budget'!$AC$214</f>
        <v>22239745544.201103</v>
      </c>
      <c r="EU452" s="269">
        <f t="shared" si="1165"/>
        <v>26376550.809783097</v>
      </c>
      <c r="EV452" s="140">
        <f>'Detailed Budget'!$AC$217</f>
        <v>5559936386.0502758</v>
      </c>
      <c r="EW452" s="269">
        <f t="shared" si="1166"/>
        <v>6594137.7024457743</v>
      </c>
      <c r="EX452" s="269">
        <f t="shared" si="1210"/>
        <v>32970688.512228873</v>
      </c>
      <c r="EY452" s="196">
        <f>'Detailed Budget'!$AC$219</f>
        <v>372777004.58170313</v>
      </c>
      <c r="EZ452" s="269">
        <f t="shared" si="1167"/>
        <v>462853.31589596684</v>
      </c>
      <c r="FA452" s="196">
        <f>'Detailed Budget'!$AC$222</f>
        <v>93194251.145425782</v>
      </c>
      <c r="FB452" s="269">
        <f t="shared" si="1168"/>
        <v>115713.32897399171</v>
      </c>
      <c r="FC452" s="269">
        <f t="shared" si="1211"/>
        <v>578566.64486995852</v>
      </c>
      <c r="FD452" s="269"/>
      <c r="FE452" s="269">
        <f t="shared" si="1212"/>
        <v>305553187.55446213</v>
      </c>
      <c r="FF452" s="140">
        <f>'Detailed Budget'!$AC$165</f>
        <v>14927760000</v>
      </c>
      <c r="FG452" s="1087">
        <f t="shared" si="1087"/>
        <v>416794773.56719774</v>
      </c>
      <c r="FH452" s="269">
        <f t="shared" si="1169"/>
        <v>18657579.820474949</v>
      </c>
      <c r="FJ452" s="140">
        <f>'Detailed Budget'!$AC$235</f>
        <v>3623696172</v>
      </c>
      <c r="FK452" s="269">
        <f t="shared" si="1170"/>
        <v>4681778</v>
      </c>
      <c r="FL452" s="269">
        <f t="shared" si="1088"/>
        <v>4681778</v>
      </c>
      <c r="FO452" s="607"/>
      <c r="FP452" s="607"/>
      <c r="FQ452" s="607"/>
      <c r="FR452" s="269">
        <f>'Detailed Budget'!$AC$257</f>
        <v>13636439388</v>
      </c>
      <c r="FS452" s="269">
        <f t="shared" si="1171"/>
        <v>12491700</v>
      </c>
      <c r="FT452" s="269">
        <f t="shared" si="1089"/>
        <v>12491700</v>
      </c>
      <c r="FU452" s="269"/>
      <c r="FV452" s="269"/>
      <c r="FW452" s="269"/>
      <c r="FX452" s="140">
        <f>'Detailed Budget'!$AC$278</f>
        <v>1114560000</v>
      </c>
      <c r="FY452" s="269">
        <f t="shared" si="1172"/>
        <v>1440000</v>
      </c>
      <c r="FZ452" s="269">
        <f t="shared" si="1090"/>
        <v>1440000</v>
      </c>
      <c r="GB452" s="269">
        <f t="shared" si="1098"/>
        <v>2351719382.5364943</v>
      </c>
      <c r="GC452" s="887">
        <f t="shared" si="1213"/>
        <v>1469824.614085309</v>
      </c>
      <c r="GD452" s="1078">
        <f t="shared" si="1099"/>
        <v>1.3196237990749913E-3</v>
      </c>
    </row>
    <row r="453" spans="1:186" hidden="1" outlineLevel="1">
      <c r="A453" s="211" t="s">
        <v>1039</v>
      </c>
      <c r="B453" s="212" t="s">
        <v>1040</v>
      </c>
      <c r="C453" s="213" t="s">
        <v>215</v>
      </c>
      <c r="D453" s="214" t="s">
        <v>215</v>
      </c>
      <c r="E453" s="213"/>
      <c r="F453" s="213"/>
      <c r="G453" s="213"/>
      <c r="H453" s="213" t="s">
        <v>215</v>
      </c>
      <c r="I453" s="214" t="s">
        <v>215</v>
      </c>
      <c r="J453" s="214"/>
      <c r="K453" s="213" t="s">
        <v>215</v>
      </c>
      <c r="L453" s="213"/>
      <c r="M453" s="214"/>
      <c r="N453" s="213"/>
      <c r="O453" s="214"/>
      <c r="P453" s="213"/>
      <c r="Q453" s="214"/>
      <c r="R453" s="214" t="s">
        <v>215</v>
      </c>
      <c r="S453" s="214"/>
      <c r="T453" s="214"/>
      <c r="U453" s="215">
        <f t="shared" si="1173"/>
        <v>6</v>
      </c>
      <c r="V453" s="845" t="s">
        <v>219</v>
      </c>
      <c r="W453" s="216">
        <v>115302</v>
      </c>
      <c r="X453" s="217">
        <v>3.03</v>
      </c>
      <c r="Y453" s="218">
        <f t="shared" si="1101"/>
        <v>1.0303</v>
      </c>
      <c r="Z453" s="196">
        <v>19</v>
      </c>
      <c r="AA453" s="218">
        <f t="shared" si="1102"/>
        <v>1.7632354008841205</v>
      </c>
      <c r="AB453" s="196">
        <f t="shared" si="1194"/>
        <v>203304.56819274084</v>
      </c>
      <c r="AC453">
        <v>20.2</v>
      </c>
      <c r="AD453" s="196">
        <f t="shared" si="1195"/>
        <v>41067.522774933648</v>
      </c>
      <c r="AE453" s="196">
        <f t="shared" si="1148"/>
        <v>39014.146636186961</v>
      </c>
      <c r="AF453" s="196">
        <f t="shared" si="1174"/>
        <v>39014.146636186961</v>
      </c>
      <c r="AG453" s="606">
        <f t="shared" si="1216"/>
        <v>1.8038428651443172E-3</v>
      </c>
      <c r="AH453" s="196">
        <f t="shared" si="1188"/>
        <v>10165.228409637042</v>
      </c>
      <c r="AI453" s="248">
        <f t="shared" si="1193"/>
        <v>7.8748484306914973E-4</v>
      </c>
      <c r="AJ453" s="196">
        <f t="shared" si="1196"/>
        <v>51232.75118457069</v>
      </c>
      <c r="AK453" s="196">
        <f t="shared" si="1225"/>
        <v>8132.1827277096336</v>
      </c>
      <c r="AL453" s="196">
        <f t="shared" si="1226"/>
        <v>8132.1827277096336</v>
      </c>
      <c r="AM453" s="196">
        <f t="shared" si="1197"/>
        <v>16264.365455419267</v>
      </c>
      <c r="AN453" s="627">
        <f t="shared" si="1198"/>
        <v>7.8748484306914973E-4</v>
      </c>
      <c r="AO453" s="196">
        <f t="shared" si="1199"/>
        <v>7725.5735913241515</v>
      </c>
      <c r="AP453" s="589">
        <f t="shared" si="1217"/>
        <v>7.8748484306914962E-4</v>
      </c>
      <c r="AQ453" s="196"/>
      <c r="AR453" s="589"/>
      <c r="AS453">
        <v>1</v>
      </c>
      <c r="AT453" s="589">
        <f t="shared" si="1218"/>
        <v>1.2919896640826874E-3</v>
      </c>
      <c r="AU453" s="196">
        <v>10</v>
      </c>
      <c r="AV453" s="245">
        <f t="shared" si="1200"/>
        <v>1.1362345188046814E-3</v>
      </c>
      <c r="AX453" s="245"/>
      <c r="AY453" s="245"/>
      <c r="AZ453" s="196">
        <v>22</v>
      </c>
      <c r="BA453" s="589">
        <f t="shared" si="1092"/>
        <v>8.0612656187021366E-4</v>
      </c>
      <c r="BI453" s="196">
        <v>0</v>
      </c>
      <c r="BJ453" s="196">
        <f t="shared" si="1175"/>
        <v>116193.89305804476</v>
      </c>
      <c r="BK453" s="246">
        <f t="shared" si="1093"/>
        <v>2.2157474364065135E-3</v>
      </c>
      <c r="BL453" s="196">
        <f t="shared" si="1189"/>
        <v>2323.8778611608955</v>
      </c>
      <c r="BM453" s="246">
        <f t="shared" si="1094"/>
        <v>2.215747182888742E-3</v>
      </c>
      <c r="BN453" s="196">
        <v>0</v>
      </c>
      <c r="BO453" s="196">
        <f t="shared" si="1176"/>
        <v>14851.870813785554</v>
      </c>
      <c r="BP453" s="196">
        <f t="shared" si="1201"/>
        <v>0</v>
      </c>
      <c r="BQ453" s="248">
        <f t="shared" si="1095"/>
        <v>0</v>
      </c>
      <c r="BR453" s="248"/>
      <c r="BS453" s="248"/>
      <c r="BT453" s="276">
        <v>1</v>
      </c>
      <c r="BU453" s="196">
        <f t="shared" si="1190"/>
        <v>33116.850365706494</v>
      </c>
      <c r="BV453" s="264">
        <f t="shared" si="1096"/>
        <v>2.2970474698727648E-3</v>
      </c>
      <c r="BW453" s="196">
        <f t="shared" si="1191"/>
        <v>141666.52656441112</v>
      </c>
      <c r="BX453" s="247">
        <f t="shared" si="1097"/>
        <v>2.2970474905646566E-3</v>
      </c>
      <c r="BY453" s="196">
        <f t="shared" si="1100"/>
        <v>174783.37693011761</v>
      </c>
      <c r="BZ453" s="620">
        <v>0</v>
      </c>
      <c r="CA453" s="196">
        <f t="shared" si="1177"/>
        <v>62211.197866978691</v>
      </c>
      <c r="CB453" s="196">
        <f t="shared" si="1178"/>
        <v>124422.39573395738</v>
      </c>
      <c r="CC453" s="196">
        <f t="shared" si="1214"/>
        <v>186633.59360093606</v>
      </c>
      <c r="CD453" s="247">
        <f t="shared" si="1202"/>
        <v>7.8748484306914951E-4</v>
      </c>
      <c r="CE453" s="196">
        <f t="shared" si="1179"/>
        <v>13690.893613968381</v>
      </c>
      <c r="CF453" s="247">
        <f t="shared" si="1203"/>
        <v>5.9121536418641515E-4</v>
      </c>
      <c r="CG453" s="196">
        <f t="shared" si="1150"/>
        <v>30902.294365296606</v>
      </c>
      <c r="CH453" s="589">
        <f t="shared" si="1219"/>
        <v>7.8748484306914962E-4</v>
      </c>
      <c r="CI453" s="196">
        <f t="shared" si="1180"/>
        <v>49674.639292261119</v>
      </c>
      <c r="CJ453" s="248">
        <f t="shared" si="1220"/>
        <v>8.1665094387386712E-4</v>
      </c>
      <c r="CK453" s="196">
        <f t="shared" si="1181"/>
        <v>60314.275808162987</v>
      </c>
      <c r="CL453" s="589">
        <f t="shared" si="1221"/>
        <v>8.6703012085958479E-4</v>
      </c>
      <c r="CM453" s="196">
        <f t="shared" si="1182"/>
        <v>5842.9578276774628</v>
      </c>
      <c r="CN453" s="589">
        <f t="shared" si="1222"/>
        <v>8.4203662614506754E-4</v>
      </c>
      <c r="CO453" s="196">
        <f t="shared" si="1183"/>
        <v>467.44534546652739</v>
      </c>
      <c r="CP453" s="589">
        <f t="shared" si="1223"/>
        <v>8.8152992171198488E-4</v>
      </c>
      <c r="CQ453" s="196">
        <f>'Detailed Budget'!$AC$12</f>
        <v>292876014141.44696</v>
      </c>
      <c r="CR453" s="269">
        <f t="shared" si="1224"/>
        <v>648939277.51886892</v>
      </c>
      <c r="CS453" s="269">
        <f>'Detailed Budget'!$AC$16</f>
        <v>10488008800.000002</v>
      </c>
      <c r="CT453" s="607">
        <f t="shared" si="1152"/>
        <v>23238775.952712338</v>
      </c>
      <c r="CU453" s="269">
        <f>'Detailed Budget'!$AC$24</f>
        <v>30624985696</v>
      </c>
      <c r="CV453" s="269">
        <f t="shared" si="1091"/>
        <v>67857233.545898139</v>
      </c>
      <c r="CW453" s="269"/>
      <c r="CX453" s="269">
        <f t="shared" si="1215"/>
        <v>740035287.01747942</v>
      </c>
      <c r="CY453" s="196">
        <f>'Detailed Budget'!$AC$97</f>
        <v>74629165494.837845</v>
      </c>
      <c r="CZ453" s="269">
        <f t="shared" si="1153"/>
        <v>0</v>
      </c>
      <c r="DA453" s="269">
        <f>'Detailed Budget'!$AC$100</f>
        <v>14925833098.967569</v>
      </c>
      <c r="DB453" s="269">
        <f t="shared" si="1154"/>
        <v>0</v>
      </c>
      <c r="DC453" s="269">
        <f t="shared" si="1204"/>
        <v>0</v>
      </c>
      <c r="DD453" s="207">
        <v>0</v>
      </c>
      <c r="DE453" s="606">
        <v>0</v>
      </c>
      <c r="DF453" s="269">
        <f>'Detailed Budget'!$AC$147</f>
        <v>5913600671000</v>
      </c>
      <c r="DG453" s="269">
        <f t="shared" si="1086"/>
        <v>0</v>
      </c>
      <c r="DH453" s="269">
        <f>'Detailed Budget'!$AC$153</f>
        <v>226428026880.00003</v>
      </c>
      <c r="DI453" s="269"/>
      <c r="DJ453" s="269">
        <f>'Detailed Budget'!$AC$156</f>
        <v>27713070000</v>
      </c>
      <c r="DK453" s="269"/>
      <c r="DL453" s="269"/>
      <c r="DM453" s="196">
        <f>'Detailed Budget'!$AC$178</f>
        <v>5622683761.6229038</v>
      </c>
      <c r="DN453" s="269">
        <f t="shared" si="1184"/>
        <v>12915571.50853057</v>
      </c>
      <c r="DO453" s="196">
        <f>'Detailed Budget'!$AC$179</f>
        <v>26827890683.128094</v>
      </c>
      <c r="DP453" s="269">
        <f t="shared" si="1185"/>
        <v>61624938.970822319</v>
      </c>
      <c r="DQ453" s="269">
        <f t="shared" si="1192"/>
        <v>74540510.479352891</v>
      </c>
      <c r="DR453" s="269">
        <f>'Detailed Budget'!$AC$181</f>
        <v>50888946855.375237</v>
      </c>
      <c r="DS453" s="269">
        <f t="shared" si="1186"/>
        <v>91795663.699776962</v>
      </c>
      <c r="DT453" s="269">
        <f t="shared" si="1187"/>
        <v>166336174.17912984</v>
      </c>
      <c r="DU453" s="272">
        <f>'Detailed Budget'!$AC$192</f>
        <v>77498869683.252869</v>
      </c>
      <c r="DV453" s="269">
        <f t="shared" si="1155"/>
        <v>0</v>
      </c>
      <c r="DW453" s="140">
        <f>'Detailed Budget'!$AC$194</f>
        <v>2684962805.4134097</v>
      </c>
      <c r="DX453" s="269">
        <f t="shared" si="1156"/>
        <v>0</v>
      </c>
      <c r="DY453" s="607">
        <f t="shared" si="1205"/>
        <v>0</v>
      </c>
      <c r="DZ453" s="196">
        <f>'Detailed Budget'!$AC$198</f>
        <v>18732540018.380611</v>
      </c>
      <c r="EA453" s="269">
        <f t="shared" si="1157"/>
        <v>11074965.469103489</v>
      </c>
      <c r="EB453" s="196">
        <f>'Detailed Budget'!$AC$200</f>
        <v>4683135004.5951529</v>
      </c>
      <c r="EC453" s="269">
        <f t="shared" si="1158"/>
        <v>2768741.3672758723</v>
      </c>
      <c r="ED453" s="269">
        <f t="shared" si="1206"/>
        <v>13843706.83637936</v>
      </c>
      <c r="EE453" s="196">
        <f>'Detailed Budget'!$AC$161</f>
        <v>251147290106.36197</v>
      </c>
      <c r="EF453" s="269">
        <f t="shared" si="1159"/>
        <v>197774684.33665064</v>
      </c>
      <c r="EG453" s="196">
        <f>'Detailed Budget'!$AC$163</f>
        <v>15696705631.647623</v>
      </c>
      <c r="EH453" s="269">
        <f t="shared" si="1160"/>
        <v>12360917.771040665</v>
      </c>
      <c r="EI453" s="269">
        <f t="shared" si="1207"/>
        <v>210135602.10769132</v>
      </c>
      <c r="EJ453" s="196">
        <f>'Detailed Budget'!$AC$204</f>
        <v>45012172507.531975</v>
      </c>
      <c r="EK453" s="269">
        <f t="shared" si="1161"/>
        <v>36759233.164089322</v>
      </c>
      <c r="EL453" s="201">
        <f>'Detailed Budget'!$AC$206</f>
        <v>11253043126.882994</v>
      </c>
      <c r="EM453" s="269">
        <f t="shared" si="1162"/>
        <v>9189808.2910223305</v>
      </c>
      <c r="EN453" s="269">
        <f t="shared" si="1208"/>
        <v>45949041.455111653</v>
      </c>
      <c r="EO453" s="140">
        <f>'Detailed Budget'!$AC$209</f>
        <v>135789361677.54817</v>
      </c>
      <c r="EP453" s="269">
        <f t="shared" si="1163"/>
        <v>117733466.66673046</v>
      </c>
      <c r="EQ453" s="196">
        <f>'Detailed Budget'!$AC$211</f>
        <v>33947340419.387043</v>
      </c>
      <c r="ER453" s="269">
        <f t="shared" si="1164"/>
        <v>29433366.666682616</v>
      </c>
      <c r="ES453" s="269">
        <f t="shared" si="1209"/>
        <v>147166833.33341306</v>
      </c>
      <c r="ET453" s="196">
        <f>'Detailed Budget'!$AC$214</f>
        <v>22239745544.201103</v>
      </c>
      <c r="EU453" s="269">
        <f t="shared" si="1165"/>
        <v>18726680.304363895</v>
      </c>
      <c r="EV453" s="140">
        <f>'Detailed Budget'!$AC$217</f>
        <v>5559936386.0502758</v>
      </c>
      <c r="EW453" s="269">
        <f t="shared" si="1166"/>
        <v>4681670.0760909738</v>
      </c>
      <c r="EX453" s="269">
        <f t="shared" si="1210"/>
        <v>23408350.380454868</v>
      </c>
      <c r="EY453" s="196">
        <f>'Detailed Budget'!$AC$219</f>
        <v>372777004.58170313</v>
      </c>
      <c r="EZ453" s="269">
        <f t="shared" si="1167"/>
        <v>328614.083664937</v>
      </c>
      <c r="FA453" s="196">
        <f>'Detailed Budget'!$AC$222</f>
        <v>93194251.145425782</v>
      </c>
      <c r="FB453" s="269">
        <f t="shared" si="1168"/>
        <v>82153.520916234251</v>
      </c>
      <c r="FC453" s="269">
        <f t="shared" si="1211"/>
        <v>410767.60458117124</v>
      </c>
      <c r="FD453" s="269"/>
      <c r="FE453" s="269">
        <f t="shared" si="1212"/>
        <v>216934992.77356076</v>
      </c>
      <c r="FF453" s="140">
        <f>'Detailed Budget'!$AC$165</f>
        <v>14927760000</v>
      </c>
      <c r="FG453" s="1087">
        <f t="shared" si="1087"/>
        <v>295913689.90625191</v>
      </c>
      <c r="FH453" s="269">
        <f t="shared" si="1169"/>
        <v>16961436.200431772</v>
      </c>
      <c r="FJ453" s="140">
        <f>'Detailed Budget'!$AC$235</f>
        <v>3623696172</v>
      </c>
      <c r="FK453" s="269">
        <f t="shared" si="1170"/>
        <v>4681778</v>
      </c>
      <c r="FL453" s="269">
        <f t="shared" si="1088"/>
        <v>4681778</v>
      </c>
      <c r="FO453" s="607"/>
      <c r="FP453" s="607"/>
      <c r="FQ453" s="607"/>
      <c r="FR453" s="269">
        <f>'Detailed Budget'!$AC$257</f>
        <v>13636439388</v>
      </c>
      <c r="FS453" s="269">
        <f t="shared" si="1171"/>
        <v>10992696</v>
      </c>
      <c r="FT453" s="269">
        <f t="shared" si="1089"/>
        <v>10992696</v>
      </c>
      <c r="FU453" s="269"/>
      <c r="FV453" s="269"/>
      <c r="FW453" s="269"/>
      <c r="FX453" s="140">
        <f>'Detailed Budget'!$AC$278</f>
        <v>1114560000</v>
      </c>
      <c r="FY453" s="269">
        <f t="shared" si="1172"/>
        <v>1440000</v>
      </c>
      <c r="FZ453" s="269">
        <f t="shared" si="1090"/>
        <v>1440000</v>
      </c>
      <c r="GB453" s="269">
        <f t="shared" si="1098"/>
        <v>1677275363.0209246</v>
      </c>
      <c r="GC453" s="887">
        <f t="shared" si="1213"/>
        <v>1048297.1018880778</v>
      </c>
      <c r="GD453" s="1078">
        <f t="shared" si="1099"/>
        <v>9.4117202208763553E-4</v>
      </c>
    </row>
    <row r="454" spans="1:186" hidden="1" outlineLevel="1">
      <c r="A454" s="211"/>
      <c r="B454" s="212"/>
      <c r="C454" s="213"/>
      <c r="D454" s="214"/>
      <c r="E454" s="213"/>
      <c r="F454" s="213"/>
      <c r="G454" s="213"/>
      <c r="H454" s="213"/>
      <c r="I454" s="214"/>
      <c r="J454" s="214"/>
      <c r="K454" s="213"/>
      <c r="L454" s="213"/>
      <c r="M454" s="214"/>
      <c r="N454" s="213"/>
      <c r="O454" s="214"/>
      <c r="P454" s="213"/>
      <c r="Q454" s="214"/>
      <c r="R454" s="214"/>
      <c r="S454" s="214"/>
      <c r="T454" s="214"/>
      <c r="U454" s="215"/>
      <c r="V454" s="845"/>
      <c r="W454" s="216"/>
      <c r="X454" s="217"/>
      <c r="Y454" s="218"/>
      <c r="Z454" s="196"/>
      <c r="AA454" s="218"/>
      <c r="AF454" s="196">
        <f t="shared" si="1174"/>
        <v>0</v>
      </c>
      <c r="AG454" s="606">
        <f t="shared" si="1216"/>
        <v>0</v>
      </c>
      <c r="AJ454" s="196"/>
      <c r="AK454" s="196"/>
      <c r="AL454" s="196"/>
      <c r="AM454" s="196"/>
      <c r="AO454" s="196"/>
      <c r="AP454" s="589"/>
      <c r="AQ454" s="196"/>
      <c r="AR454" s="589"/>
      <c r="AS454"/>
      <c r="AT454" s="589"/>
      <c r="AV454" s="245"/>
      <c r="AX454" s="245"/>
      <c r="AY454" s="245"/>
      <c r="BA454" s="589">
        <f t="shared" si="1092"/>
        <v>0</v>
      </c>
      <c r="BK454" s="246">
        <f t="shared" si="1093"/>
        <v>0</v>
      </c>
      <c r="BL454" s="246"/>
      <c r="BM454" s="246">
        <f t="shared" si="1094"/>
        <v>0</v>
      </c>
      <c r="BN454" s="196"/>
      <c r="BQ454" s="248">
        <f t="shared" si="1095"/>
        <v>0</v>
      </c>
      <c r="BR454" s="248"/>
      <c r="BS454" s="248"/>
      <c r="BT454" s="276"/>
      <c r="BV454" s="264">
        <f t="shared" si="1096"/>
        <v>0</v>
      </c>
      <c r="BX454" s="247">
        <f t="shared" si="1097"/>
        <v>0</v>
      </c>
      <c r="BY454" s="196"/>
      <c r="BZ454" s="620"/>
      <c r="CA454" s="196">
        <f t="shared" si="1177"/>
        <v>0</v>
      </c>
      <c r="CB454" s="196">
        <f t="shared" si="1178"/>
        <v>0</v>
      </c>
      <c r="CC454" s="196">
        <f t="shared" si="1214"/>
        <v>0</v>
      </c>
      <c r="CD454" s="247">
        <f t="shared" si="1202"/>
        <v>0</v>
      </c>
      <c r="CF454" s="247">
        <f t="shared" si="1203"/>
        <v>0</v>
      </c>
      <c r="CG454" s="196">
        <f t="shared" si="1150"/>
        <v>0</v>
      </c>
      <c r="CH454" s="589">
        <f t="shared" si="1219"/>
        <v>0</v>
      </c>
      <c r="CI454" s="196"/>
      <c r="CJ454" s="248">
        <f t="shared" si="1220"/>
        <v>0</v>
      </c>
      <c r="CK454" s="196"/>
      <c r="CL454" s="589">
        <f t="shared" si="1221"/>
        <v>0</v>
      </c>
      <c r="CM454" s="196"/>
      <c r="CN454" s="589">
        <f t="shared" si="1222"/>
        <v>0</v>
      </c>
      <c r="CO454" s="196"/>
      <c r="CP454" s="589">
        <f t="shared" si="1223"/>
        <v>0</v>
      </c>
      <c r="CQ454" s="196"/>
      <c r="CR454" s="269">
        <f t="shared" si="1224"/>
        <v>0</v>
      </c>
      <c r="CS454" s="269">
        <f>'Detailed Budget'!$AC$16</f>
        <v>10488008800.000002</v>
      </c>
      <c r="CT454" s="607">
        <f t="shared" si="1152"/>
        <v>0</v>
      </c>
      <c r="CU454" s="269">
        <f>'Detailed Budget'!$AC$24</f>
        <v>30624985696</v>
      </c>
      <c r="CV454" s="269">
        <f t="shared" si="1091"/>
        <v>0</v>
      </c>
      <c r="CW454" s="269"/>
      <c r="CX454" s="269">
        <f t="shared" si="1215"/>
        <v>0</v>
      </c>
      <c r="CY454" s="196">
        <f>'Detailed Budget'!$AC$97</f>
        <v>74629165494.837845</v>
      </c>
      <c r="DC454" s="269"/>
      <c r="DD454" s="207"/>
      <c r="DE454" s="606">
        <v>0</v>
      </c>
      <c r="DF454" s="269">
        <f>'Detailed Budget'!$AC$147</f>
        <v>5913600671000</v>
      </c>
      <c r="DG454" s="269">
        <f t="shared" si="1086"/>
        <v>0</v>
      </c>
      <c r="DH454" s="269">
        <f>'Detailed Budget'!$AC$153</f>
        <v>226428026880.00003</v>
      </c>
      <c r="DI454" s="269"/>
      <c r="DJ454" s="269">
        <f>'Detailed Budget'!$AC$156</f>
        <v>27713070000</v>
      </c>
      <c r="DK454" s="269"/>
      <c r="DL454" s="269"/>
      <c r="DM454" s="196"/>
      <c r="DN454" s="269"/>
      <c r="DO454" s="196"/>
      <c r="DP454" s="269"/>
      <c r="DQ454" s="269"/>
      <c r="DR454" s="269"/>
      <c r="DS454" s="269"/>
      <c r="DT454" s="269"/>
      <c r="DU454" s="272">
        <f>'Detailed Budget'!$AC$192</f>
        <v>77498869683.252869</v>
      </c>
      <c r="DV454" s="269">
        <f t="shared" si="1155"/>
        <v>0</v>
      </c>
      <c r="DW454" s="140">
        <f>'Detailed Budget'!$AC$194</f>
        <v>2684962805.4134097</v>
      </c>
      <c r="DX454" s="269">
        <f t="shared" si="1156"/>
        <v>0</v>
      </c>
      <c r="DY454" s="607">
        <f t="shared" si="1205"/>
        <v>0</v>
      </c>
      <c r="DZ454" s="196"/>
      <c r="EA454" s="269"/>
      <c r="EB454" s="196">
        <f>'Detailed Budget'!$AC$200</f>
        <v>4683135004.5951529</v>
      </c>
      <c r="EC454" s="269">
        <f t="shared" si="1158"/>
        <v>0</v>
      </c>
      <c r="ED454" s="269">
        <f t="shared" si="1206"/>
        <v>0</v>
      </c>
      <c r="EE454" s="196">
        <f>'Detailed Budget'!$AC$161</f>
        <v>251147290106.36197</v>
      </c>
      <c r="EF454" s="269">
        <f t="shared" si="1159"/>
        <v>0</v>
      </c>
      <c r="EG454" s="196">
        <f>'Detailed Budget'!$AC$163</f>
        <v>15696705631.647623</v>
      </c>
      <c r="EH454" s="269">
        <f t="shared" si="1160"/>
        <v>0</v>
      </c>
      <c r="EI454" s="269">
        <f t="shared" si="1207"/>
        <v>0</v>
      </c>
      <c r="EJ454" s="196">
        <f>'Detailed Budget'!$AC$204</f>
        <v>45012172507.531975</v>
      </c>
      <c r="EK454" s="269">
        <f t="shared" si="1161"/>
        <v>0</v>
      </c>
      <c r="EL454" s="201">
        <f>'Detailed Budget'!$AC$206</f>
        <v>11253043126.882994</v>
      </c>
      <c r="EM454" s="269">
        <f t="shared" si="1162"/>
        <v>0</v>
      </c>
      <c r="EN454" s="269">
        <f t="shared" si="1208"/>
        <v>0</v>
      </c>
      <c r="EO454" s="140">
        <f>'Detailed Budget'!$AC$209</f>
        <v>135789361677.54817</v>
      </c>
      <c r="EP454" s="269">
        <f t="shared" si="1163"/>
        <v>0</v>
      </c>
      <c r="EQ454" s="196">
        <f>'Detailed Budget'!$AC$211</f>
        <v>33947340419.387043</v>
      </c>
      <c r="ER454" s="269">
        <f t="shared" si="1164"/>
        <v>0</v>
      </c>
      <c r="ES454" s="269">
        <f t="shared" si="1209"/>
        <v>0</v>
      </c>
      <c r="ET454" s="196">
        <f>'Detailed Budget'!$AC$214</f>
        <v>22239745544.201103</v>
      </c>
      <c r="EU454" s="269">
        <f t="shared" si="1165"/>
        <v>0</v>
      </c>
      <c r="EV454" s="140">
        <f>'Detailed Budget'!$AC$217</f>
        <v>5559936386.0502758</v>
      </c>
      <c r="EW454" s="269">
        <f t="shared" si="1166"/>
        <v>0</v>
      </c>
      <c r="EX454" s="269">
        <f t="shared" si="1210"/>
        <v>0</v>
      </c>
      <c r="EY454" s="196">
        <f>'Detailed Budget'!$AC$219</f>
        <v>372777004.58170313</v>
      </c>
      <c r="EZ454" s="269">
        <f t="shared" si="1167"/>
        <v>0</v>
      </c>
      <c r="FA454" s="196">
        <f>'Detailed Budget'!$AC$222</f>
        <v>93194251.145425782</v>
      </c>
      <c r="FB454" s="269">
        <f t="shared" si="1168"/>
        <v>0</v>
      </c>
      <c r="FC454" s="269">
        <f t="shared" si="1211"/>
        <v>0</v>
      </c>
      <c r="FD454" s="269"/>
      <c r="FE454" s="269"/>
      <c r="FF454" s="140"/>
      <c r="FG454" s="1087">
        <f t="shared" si="1087"/>
        <v>0</v>
      </c>
      <c r="FJ454" s="140"/>
      <c r="FL454" s="269">
        <f t="shared" si="1088"/>
        <v>0</v>
      </c>
      <c r="FO454" s="607"/>
      <c r="FP454" s="607"/>
      <c r="FQ454" s="607"/>
      <c r="FT454" s="269">
        <f t="shared" si="1089"/>
        <v>0</v>
      </c>
      <c r="FU454" s="269"/>
      <c r="FV454" s="269"/>
      <c r="FW454" s="269"/>
      <c r="FX454" s="140">
        <f>'Detailed Budget'!$AC$278</f>
        <v>1114560000</v>
      </c>
      <c r="FY454" s="269"/>
      <c r="FZ454" s="269"/>
      <c r="GB454" s="269">
        <f t="shared" si="1098"/>
        <v>0</v>
      </c>
      <c r="GD454" s="1078">
        <f t="shared" si="1099"/>
        <v>0</v>
      </c>
    </row>
    <row r="455" spans="1:186" s="210" customFormat="1" collapsed="1">
      <c r="A455" s="203">
        <v>3.7</v>
      </c>
      <c r="B455" s="204" t="s">
        <v>1041</v>
      </c>
      <c r="C455" s="205">
        <f t="shared" ref="C455:T455" si="1227">COUNTA(C456:C469)</f>
        <v>14</v>
      </c>
      <c r="D455" s="205">
        <f t="shared" si="1227"/>
        <v>14</v>
      </c>
      <c r="E455" s="205">
        <f t="shared" si="1227"/>
        <v>0</v>
      </c>
      <c r="F455" s="205">
        <f t="shared" si="1227"/>
        <v>0</v>
      </c>
      <c r="G455" s="205">
        <f t="shared" si="1227"/>
        <v>0</v>
      </c>
      <c r="H455" s="205">
        <f t="shared" si="1227"/>
        <v>14</v>
      </c>
      <c r="I455" s="205">
        <f t="shared" si="1227"/>
        <v>14</v>
      </c>
      <c r="J455" s="205">
        <f t="shared" si="1227"/>
        <v>0</v>
      </c>
      <c r="K455" s="205">
        <f t="shared" si="1227"/>
        <v>14</v>
      </c>
      <c r="L455" s="205">
        <f t="shared" si="1227"/>
        <v>0</v>
      </c>
      <c r="M455" s="205">
        <f t="shared" si="1227"/>
        <v>0</v>
      </c>
      <c r="N455" s="205">
        <f t="shared" si="1227"/>
        <v>0</v>
      </c>
      <c r="O455" s="205">
        <f t="shared" si="1227"/>
        <v>0</v>
      </c>
      <c r="P455" s="205">
        <f t="shared" si="1227"/>
        <v>0</v>
      </c>
      <c r="Q455" s="205">
        <f t="shared" si="1227"/>
        <v>0</v>
      </c>
      <c r="R455" s="205">
        <f t="shared" si="1227"/>
        <v>14</v>
      </c>
      <c r="S455" s="205">
        <f t="shared" si="1227"/>
        <v>0</v>
      </c>
      <c r="T455" s="205">
        <f t="shared" si="1227"/>
        <v>0</v>
      </c>
      <c r="U455" s="206">
        <f>SUM(C455:T455)</f>
        <v>84</v>
      </c>
      <c r="V455" s="844"/>
      <c r="W455" s="207">
        <f>SUM(W456:W469)</f>
        <v>3278873</v>
      </c>
      <c r="X455" s="208">
        <v>3.2</v>
      </c>
      <c r="Y455" s="209">
        <f t="shared" si="1101"/>
        <v>1.032</v>
      </c>
      <c r="Z455" s="207">
        <v>19</v>
      </c>
      <c r="AA455" s="209">
        <f t="shared" si="1102"/>
        <v>1.8193415940533015</v>
      </c>
      <c r="AB455" s="207">
        <f t="shared" si="1194"/>
        <v>5965390.0305183306</v>
      </c>
      <c r="AC455" s="210">
        <v>20.2</v>
      </c>
      <c r="AD455" s="207">
        <f t="shared" si="1195"/>
        <v>1205008.7861647028</v>
      </c>
      <c r="AE455" s="207">
        <f t="shared" si="1148"/>
        <v>1144758.3468564677</v>
      </c>
      <c r="AF455" s="207">
        <f>SUM(AF456:AF469)</f>
        <v>1144758.3468564679</v>
      </c>
      <c r="AG455" s="588">
        <f t="shared" si="1216"/>
        <v>5.2928600375334561E-2</v>
      </c>
      <c r="AH455" s="207">
        <f>SUM(AH456:AH469)</f>
        <v>298269.50152591662</v>
      </c>
      <c r="AI455" s="633">
        <f t="shared" si="1193"/>
        <v>2.3106486360775894E-2</v>
      </c>
      <c r="AJ455" s="207">
        <f>SUM(AJ456:AJ469)</f>
        <v>1503278.2876906192</v>
      </c>
      <c r="AK455" s="207">
        <f t="shared" si="1225"/>
        <v>238615.60122073322</v>
      </c>
      <c r="AL455" s="207">
        <f t="shared" si="1226"/>
        <v>238615.60122073322</v>
      </c>
      <c r="AM455" s="207">
        <f t="shared" si="1197"/>
        <v>477231.20244146645</v>
      </c>
      <c r="AN455" s="632">
        <f t="shared" si="1198"/>
        <v>2.3106486360775887E-2</v>
      </c>
      <c r="AO455" s="207">
        <f t="shared" si="1199"/>
        <v>226684.82115969656</v>
      </c>
      <c r="AP455" s="588">
        <f t="shared" si="1217"/>
        <v>2.3106486360775887E-2</v>
      </c>
      <c r="AQ455" s="207">
        <v>1</v>
      </c>
      <c r="AR455" s="588">
        <f>AQ455/37</f>
        <v>2.7027027027027029E-2</v>
      </c>
      <c r="AS455" s="207">
        <f>SUM(AS456:AS469)</f>
        <v>14</v>
      </c>
      <c r="AT455" s="588">
        <f t="shared" si="1218"/>
        <v>1.8087855297157621E-2</v>
      </c>
      <c r="AU455" s="207">
        <f>SUM(AU456:AU469)</f>
        <v>147</v>
      </c>
      <c r="AV455" s="892">
        <f t="shared" si="1200"/>
        <v>1.6702647426428813E-2</v>
      </c>
      <c r="AW455" s="207">
        <v>39762</v>
      </c>
      <c r="AX455" s="208">
        <f>AW455*0.002</f>
        <v>79.524000000000001</v>
      </c>
      <c r="AY455" s="207">
        <f>AX455*100</f>
        <v>7952.4</v>
      </c>
      <c r="AZ455" s="207">
        <f>SUM(AZ456:AZ469)</f>
        <v>680</v>
      </c>
      <c r="BA455" s="588">
        <f t="shared" si="1092"/>
        <v>2.4916639185079331E-2</v>
      </c>
      <c r="BB455" s="207">
        <v>25</v>
      </c>
      <c r="BC455" s="207">
        <v>3</v>
      </c>
      <c r="BD455" s="207">
        <f>BB455+BC455</f>
        <v>28</v>
      </c>
      <c r="BE455" s="633">
        <f>BD455/1306</f>
        <v>2.1439509954058193E-2</v>
      </c>
      <c r="BF455" s="207">
        <f>AZ455+BD455</f>
        <v>708</v>
      </c>
      <c r="BG455" s="588">
        <f>BF455/28597</f>
        <v>2.4757841731650174E-2</v>
      </c>
      <c r="BH455" s="1084">
        <v>51.8</v>
      </c>
      <c r="BI455" s="207"/>
      <c r="BJ455" s="207"/>
      <c r="BK455" s="892">
        <f t="shared" si="1093"/>
        <v>0</v>
      </c>
      <c r="BL455" s="892"/>
      <c r="BM455" s="892">
        <f t="shared" si="1094"/>
        <v>0</v>
      </c>
      <c r="BN455" s="207"/>
      <c r="BO455" s="207">
        <v>502562</v>
      </c>
      <c r="BP455" s="207">
        <f>SUM(BP456:BP469)</f>
        <v>502562.09617806767</v>
      </c>
      <c r="BQ455" s="633">
        <f t="shared" si="1095"/>
        <v>4.701234379242622E-2</v>
      </c>
      <c r="BR455" s="207">
        <f>AY455*0.5*24</f>
        <v>95428.799999999988</v>
      </c>
      <c r="BS455" s="633">
        <f>BR455/2211211</f>
        <v>4.3156804122266031E-2</v>
      </c>
      <c r="BT455" s="634"/>
      <c r="BU455" s="207">
        <f>SUM(BU456:BU469)</f>
        <v>867606.32603858598</v>
      </c>
      <c r="BV455" s="264">
        <f t="shared" si="1096"/>
        <v>6.0178818156459764E-2</v>
      </c>
      <c r="BW455" s="207">
        <f>SUM(BW456:BW469)</f>
        <v>3711427.0613872851</v>
      </c>
      <c r="BX455" s="247">
        <f t="shared" si="1097"/>
        <v>6.017881869855287E-2</v>
      </c>
      <c r="BY455" s="207">
        <f>SUM(BY456:BY469)</f>
        <v>4579033.3874258716</v>
      </c>
      <c r="CA455" s="207">
        <f>SUM(CA456:CA469)</f>
        <v>1825409.3493386093</v>
      </c>
      <c r="CB455" s="207">
        <f>SUM(CB456:CB469)</f>
        <v>3650818.6986772185</v>
      </c>
      <c r="CC455" s="207">
        <f>SUM(CC456:CC469)</f>
        <v>5476228.0480158273</v>
      </c>
      <c r="CD455" s="633">
        <f t="shared" si="1202"/>
        <v>2.3106486360775887E-2</v>
      </c>
      <c r="CE455" s="207">
        <f>SUM(CE456:CE469)</f>
        <v>617580.96788607165</v>
      </c>
      <c r="CF455" s="633">
        <f t="shared" si="1203"/>
        <v>2.6669066836575148E-2</v>
      </c>
      <c r="CG455" s="207">
        <f t="shared" si="1150"/>
        <v>906739.28463878622</v>
      </c>
      <c r="CH455" s="588">
        <f t="shared" si="1219"/>
        <v>2.3106486360775887E-2</v>
      </c>
      <c r="CI455" s="207">
        <f t="shared" ref="CI455:CO455" si="1228">SUM(CI456:CI469)</f>
        <v>1189392.7889358455</v>
      </c>
      <c r="CJ455" s="633">
        <f t="shared" si="1220"/>
        <v>1.9553614431027232E-2</v>
      </c>
      <c r="CK455" s="207">
        <f t="shared" si="1228"/>
        <v>961646.82935059245</v>
      </c>
      <c r="CL455" s="588">
        <f t="shared" si="1221"/>
        <v>1.382387097422857E-2</v>
      </c>
      <c r="CM455" s="207">
        <f t="shared" si="1228"/>
        <v>93159.983468259335</v>
      </c>
      <c r="CN455" s="588">
        <f t="shared" si="1222"/>
        <v>1.3425412348479054E-2</v>
      </c>
      <c r="CO455" s="207">
        <f t="shared" si="1228"/>
        <v>7452.9986774252557</v>
      </c>
      <c r="CP455" s="588">
        <f t="shared" si="1223"/>
        <v>1.4055207532493608E-2</v>
      </c>
      <c r="CQ455" s="207">
        <f>'Detailed Budget'!$AC$12</f>
        <v>292876014141.44696</v>
      </c>
      <c r="CR455" s="605">
        <f t="shared" si="1224"/>
        <v>0</v>
      </c>
      <c r="CS455" s="605">
        <f>'Detailed Budget'!$AC$16</f>
        <v>10488008800.000002</v>
      </c>
      <c r="CT455" s="605">
        <f t="shared" si="1152"/>
        <v>0</v>
      </c>
      <c r="CU455" s="605">
        <f>'Detailed Budget'!$AC$24</f>
        <v>30624985696</v>
      </c>
      <c r="CV455" s="605">
        <f t="shared" si="1091"/>
        <v>0</v>
      </c>
      <c r="CW455" s="605"/>
      <c r="CX455" s="605">
        <f t="shared" si="1215"/>
        <v>0</v>
      </c>
      <c r="CY455" s="207">
        <f>'Detailed Budget'!$AC$97</f>
        <v>74629165494.837845</v>
      </c>
      <c r="CZ455" s="605">
        <f>BQ455*CY455</f>
        <v>3508491985.1851888</v>
      </c>
      <c r="DA455" s="605">
        <f>'Detailed Budget'!$AC$100</f>
        <v>14925833098.967569</v>
      </c>
      <c r="DB455" s="605">
        <f t="shared" ref="DB455:DB469" si="1229">BQ455*DA455</f>
        <v>701698397.03703785</v>
      </c>
      <c r="DC455" s="605">
        <f t="shared" si="1204"/>
        <v>4210190382.2222266</v>
      </c>
      <c r="DD455" s="207">
        <f>SUM(DD456:DD469)</f>
        <v>0</v>
      </c>
      <c r="DE455" s="606">
        <v>0</v>
      </c>
      <c r="DF455" s="605">
        <f>'Detailed Budget'!$AC$147</f>
        <v>5913600671000</v>
      </c>
      <c r="DG455" s="605">
        <f t="shared" ref="DG455:DG518" si="1230">DE455*DF455</f>
        <v>0</v>
      </c>
      <c r="DH455" s="605">
        <f>'Detailed Budget'!$AC$153</f>
        <v>226428026880.00003</v>
      </c>
      <c r="DI455" s="605">
        <f>BS455*DH455</f>
        <v>9771910003.8513489</v>
      </c>
      <c r="DJ455" s="605">
        <f>'Detailed Budget'!$AC$156</f>
        <v>27713070000</v>
      </c>
      <c r="DK455" s="605">
        <f>AT455*DJ455</f>
        <v>501269999.99999994</v>
      </c>
      <c r="DL455" s="605">
        <f>DI455+DK455</f>
        <v>10273180003.851349</v>
      </c>
      <c r="DM455" s="207">
        <f>'Detailed Budget'!$AC$178</f>
        <v>5622683761.6229038</v>
      </c>
      <c r="DN455" s="605">
        <f>SUM(DN456:DN469)</f>
        <v>338366463.64198393</v>
      </c>
      <c r="DO455" s="605">
        <f>'Detailed Budget'!$AC$179</f>
        <v>26827890683.128094</v>
      </c>
      <c r="DP455" s="605">
        <f>SUM(DP456:DP469)</f>
        <v>1614470769.4845612</v>
      </c>
      <c r="DQ455" s="605">
        <f>SUM(DQ456:DQ469)</f>
        <v>1952837233.126545</v>
      </c>
      <c r="DR455" s="605">
        <f>'Detailed Budget'!$AC$181</f>
        <v>50888946855.375237</v>
      </c>
      <c r="DS455" s="605">
        <f>SUM(DS456:DS469)</f>
        <v>2693480731.6297946</v>
      </c>
      <c r="DT455" s="605">
        <f>SUM(DT456:DT469)</f>
        <v>4646317964.7563391</v>
      </c>
      <c r="DU455" s="634">
        <f>'Detailed Budget'!$AC$192</f>
        <v>77498869683.252869</v>
      </c>
      <c r="DV455" s="605">
        <f t="shared" si="1155"/>
        <v>0</v>
      </c>
      <c r="DW455" s="930">
        <f>'Detailed Budget'!$AC$194</f>
        <v>2684962805.4134097</v>
      </c>
      <c r="DX455" s="605">
        <f t="shared" si="1156"/>
        <v>0</v>
      </c>
      <c r="DY455" s="605">
        <f t="shared" si="1205"/>
        <v>0</v>
      </c>
      <c r="DZ455" s="207">
        <f>'Detailed Budget'!$AC$198</f>
        <v>18732540018.380611</v>
      </c>
      <c r="EA455" s="605">
        <f t="shared" ref="EA455:EA469" si="1231">CF455*DZ455</f>
        <v>499579361.7690112</v>
      </c>
      <c r="EB455" s="207">
        <f>'Detailed Budget'!$AC$200</f>
        <v>4683135004.5951529</v>
      </c>
      <c r="EC455" s="605">
        <f t="shared" si="1158"/>
        <v>124894840.4422528</v>
      </c>
      <c r="ED455" s="605">
        <f t="shared" si="1206"/>
        <v>624474202.21126401</v>
      </c>
      <c r="EE455" s="207">
        <f>'Detailed Budget'!$AC$161</f>
        <v>251147290106.36197</v>
      </c>
      <c r="EF455" s="605">
        <f t="shared" si="1159"/>
        <v>5803131433.3884773</v>
      </c>
      <c r="EG455" s="207">
        <f>'Detailed Budget'!$AC$163</f>
        <v>15696705631.647623</v>
      </c>
      <c r="EH455" s="605">
        <f t="shared" si="1160"/>
        <v>362695714.58677983</v>
      </c>
      <c r="EI455" s="605">
        <f t="shared" si="1207"/>
        <v>6165827147.9752569</v>
      </c>
      <c r="EJ455" s="207">
        <f>'Detailed Budget'!$AC$204</f>
        <v>45012172507.531975</v>
      </c>
      <c r="EK455" s="605">
        <f t="shared" si="1161"/>
        <v>880150665.91516447</v>
      </c>
      <c r="EL455" s="207">
        <f>'Detailed Budget'!$AC$206</f>
        <v>11253043126.882994</v>
      </c>
      <c r="EM455" s="605">
        <f t="shared" si="1162"/>
        <v>220037666.47879112</v>
      </c>
      <c r="EN455" s="605">
        <f t="shared" si="1208"/>
        <v>1100188332.3939557</v>
      </c>
      <c r="EO455" s="930">
        <f>'Detailed Budget'!$AC$209</f>
        <v>135789361677.54817</v>
      </c>
      <c r="EP455" s="605">
        <f t="shared" si="1163"/>
        <v>1877134615.5032835</v>
      </c>
      <c r="EQ455" s="207">
        <f>'Detailed Budget'!$AC$211</f>
        <v>33947340419.387043</v>
      </c>
      <c r="ER455" s="605">
        <f t="shared" si="1164"/>
        <v>469283653.87582088</v>
      </c>
      <c r="ES455" s="605">
        <f t="shared" si="1209"/>
        <v>2346418269.3791046</v>
      </c>
      <c r="ET455" s="207">
        <f>'Detailed Budget'!$AC$214</f>
        <v>22239745544.201103</v>
      </c>
      <c r="EU455" s="605">
        <f t="shared" si="1165"/>
        <v>298577754.45614952</v>
      </c>
      <c r="EV455" s="930">
        <f>'Detailed Budget'!$AC$217</f>
        <v>5559936386.0502758</v>
      </c>
      <c r="EW455" s="605">
        <f t="shared" si="1166"/>
        <v>74644438.61403738</v>
      </c>
      <c r="EX455" s="605">
        <f t="shared" si="1210"/>
        <v>373222193.07018691</v>
      </c>
      <c r="EY455" s="207">
        <f>'Detailed Budget'!$AC$219</f>
        <v>372777004.58170313</v>
      </c>
      <c r="EZ455" s="605">
        <f t="shared" si="1167"/>
        <v>5239458.1627371581</v>
      </c>
      <c r="FA455" s="207">
        <f>'Detailed Budget'!$AC$222</f>
        <v>93194251.145425782</v>
      </c>
      <c r="FB455" s="605">
        <f t="shared" si="1168"/>
        <v>1309864.5406842895</v>
      </c>
      <c r="FC455" s="605">
        <f t="shared" si="1211"/>
        <v>6549322.7034214474</v>
      </c>
      <c r="FD455" s="605"/>
      <c r="FE455" s="605">
        <f t="shared" si="1212"/>
        <v>3826378117.546669</v>
      </c>
      <c r="FF455" s="930">
        <f>'Detailed Budget'!$AC$165</f>
        <v>14927760000</v>
      </c>
      <c r="FG455" s="1087">
        <f t="shared" ref="FG455:FG518" si="1232">FE455/0.423*0.577</f>
        <v>5219433035.045929</v>
      </c>
      <c r="FH455" s="605">
        <f t="shared" ref="FH455:FH469" si="1233">AV455*FF455</f>
        <v>249333112.14634699</v>
      </c>
      <c r="FI455" s="605"/>
      <c r="FJ455" s="930">
        <f>'Detailed Budget'!$AC$235</f>
        <v>3623696172</v>
      </c>
      <c r="FK455" s="605">
        <f t="shared" ref="FK455:FK469" si="1234">AT455*FJ455</f>
        <v>65544891.999999993</v>
      </c>
      <c r="FL455" s="605">
        <f t="shared" ref="FL455:FL518" si="1235">FI455+FK455</f>
        <v>65544891.999999993</v>
      </c>
      <c r="FM455" s="605"/>
      <c r="FN455" s="605">
        <f>'Detailed Budget'!$AC$251</f>
        <v>1047595800</v>
      </c>
      <c r="FO455" s="605">
        <f>AR455*FN455</f>
        <v>28313400</v>
      </c>
      <c r="FP455" s="605">
        <f>'Detailed Budget'!$AB$254</f>
        <v>2773297530</v>
      </c>
      <c r="FQ455" s="605">
        <f>BE455*FP455</f>
        <v>59458140</v>
      </c>
      <c r="FR455" s="605">
        <f>'Detailed Budget'!$AC$257</f>
        <v>13636439388</v>
      </c>
      <c r="FS455" s="605">
        <f t="shared" ref="FS455:FS469" si="1236">BA455*FR455</f>
        <v>339774240</v>
      </c>
      <c r="FT455" s="605">
        <f t="shared" ref="FT455:FT518" si="1237">FM455+FO455+FQ455+FS455</f>
        <v>427545780</v>
      </c>
      <c r="FU455" s="605"/>
      <c r="FV455" s="605">
        <f>'Detailed Budget'!$AC$265</f>
        <v>6277805540</v>
      </c>
      <c r="FW455" s="605">
        <f>AR455*FV455</f>
        <v>169670420</v>
      </c>
      <c r="FX455" s="930">
        <f>'Detailed Budget'!$AC$278</f>
        <v>1114560000</v>
      </c>
      <c r="FY455" s="605">
        <f t="shared" ref="FY455:FY469" si="1238">AT455*FX455</f>
        <v>20160000</v>
      </c>
      <c r="FZ455" s="605">
        <f t="shared" ref="FZ455:FZ518" si="1239">FU455+FW455+FY455</f>
        <v>189830420</v>
      </c>
      <c r="GB455" s="269">
        <f t="shared" si="1098"/>
        <v>35898055057.755386</v>
      </c>
      <c r="GC455" s="889">
        <f t="shared" si="1213"/>
        <v>22436284.411097117</v>
      </c>
      <c r="GD455" s="1078">
        <f t="shared" si="1099"/>
        <v>2.0143529090458245E-2</v>
      </c>
    </row>
    <row r="456" spans="1:186" hidden="1" outlineLevel="1">
      <c r="A456" s="211" t="s">
        <v>1042</v>
      </c>
      <c r="B456" s="212" t="s">
        <v>1043</v>
      </c>
      <c r="C456" s="213" t="s">
        <v>215</v>
      </c>
      <c r="D456" s="214" t="s">
        <v>215</v>
      </c>
      <c r="E456" s="213"/>
      <c r="F456" s="213"/>
      <c r="G456" s="213"/>
      <c r="H456" s="213" t="s">
        <v>215</v>
      </c>
      <c r="I456" s="214" t="s">
        <v>215</v>
      </c>
      <c r="J456" s="214"/>
      <c r="K456" s="213" t="s">
        <v>215</v>
      </c>
      <c r="L456" s="213"/>
      <c r="M456" s="214"/>
      <c r="N456" s="213"/>
      <c r="O456" s="214"/>
      <c r="P456" s="213"/>
      <c r="Q456" s="214"/>
      <c r="R456" s="214" t="s">
        <v>215</v>
      </c>
      <c r="S456" s="214"/>
      <c r="T456" s="214"/>
      <c r="U456" s="215">
        <f t="shared" ref="U456:U469" si="1240">COUNTA(C456:T456)</f>
        <v>6</v>
      </c>
      <c r="V456" s="845" t="s">
        <v>219</v>
      </c>
      <c r="W456" s="216">
        <v>143637</v>
      </c>
      <c r="X456" s="217">
        <v>3.2</v>
      </c>
      <c r="Y456" s="218">
        <f t="shared" si="1101"/>
        <v>1.032</v>
      </c>
      <c r="Z456" s="196">
        <v>19</v>
      </c>
      <c r="AA456" s="218">
        <f t="shared" si="1102"/>
        <v>1.8193415940533015</v>
      </c>
      <c r="AB456" s="196">
        <f t="shared" si="1194"/>
        <v>261324.76854503408</v>
      </c>
      <c r="AC456">
        <v>20.2</v>
      </c>
      <c r="AD456" s="196">
        <f t="shared" si="1195"/>
        <v>52787.603246096885</v>
      </c>
      <c r="AE456" s="196">
        <f t="shared" si="1148"/>
        <v>50148.223083792036</v>
      </c>
      <c r="AF456" s="196">
        <f t="shared" ref="AF456:AF469" si="1241">AE456*BT456</f>
        <v>50148.223083792036</v>
      </c>
      <c r="AG456" s="606">
        <f t="shared" si="1216"/>
        <v>2.3186336805701016E-3</v>
      </c>
      <c r="AH456" s="196">
        <f>AB456*0.05</f>
        <v>13066.238427251705</v>
      </c>
      <c r="AI456" s="248">
        <f t="shared" si="1193"/>
        <v>1.0122216936742493E-3</v>
      </c>
      <c r="AJ456" s="196">
        <f t="shared" si="1196"/>
        <v>65853.841673348594</v>
      </c>
      <c r="AK456" s="196">
        <f t="shared" si="1225"/>
        <v>10452.990741801363</v>
      </c>
      <c r="AL456" s="196">
        <f t="shared" si="1226"/>
        <v>10452.990741801363</v>
      </c>
      <c r="AM456" s="196">
        <f t="shared" si="1197"/>
        <v>20905.981483602725</v>
      </c>
      <c r="AN456" s="627">
        <f t="shared" si="1198"/>
        <v>1.0122216936742491E-3</v>
      </c>
      <c r="AO456" s="196">
        <f t="shared" si="1199"/>
        <v>9930.3412047112943</v>
      </c>
      <c r="AP456" s="589">
        <f t="shared" si="1217"/>
        <v>1.0122216936742491E-3</v>
      </c>
      <c r="AQ456" s="196"/>
      <c r="AR456" s="589"/>
      <c r="AS456">
        <v>1</v>
      </c>
      <c r="AT456" s="589">
        <f t="shared" si="1218"/>
        <v>1.2919896640826874E-3</v>
      </c>
      <c r="AU456" s="196">
        <v>10</v>
      </c>
      <c r="AV456" s="245"/>
      <c r="AX456" s="245"/>
      <c r="AY456" s="245"/>
      <c r="AZ456" s="196">
        <v>43</v>
      </c>
      <c r="BA456" s="589">
        <f t="shared" si="1092"/>
        <v>1.5756110072917811E-3</v>
      </c>
      <c r="BI456" s="196">
        <v>0</v>
      </c>
      <c r="BK456" s="246">
        <f t="shared" si="1093"/>
        <v>0</v>
      </c>
      <c r="BL456" s="246"/>
      <c r="BM456" s="246">
        <f t="shared" si="1094"/>
        <v>0</v>
      </c>
      <c r="BN456" s="196">
        <v>1</v>
      </c>
      <c r="BO456" s="196">
        <f t="shared" ref="BO456:BO469" si="1242">AJ456/1503278*502562</f>
        <v>22015.647391261908</v>
      </c>
      <c r="BP456" s="196">
        <f t="shared" si="1201"/>
        <v>22015.647391261908</v>
      </c>
      <c r="BQ456" s="248">
        <f t="shared" si="1095"/>
        <v>2.0594612921307795E-3</v>
      </c>
      <c r="BR456" s="248"/>
      <c r="BS456" s="248"/>
      <c r="BT456" s="276">
        <v>1</v>
      </c>
      <c r="BU456" s="196">
        <f>AD456*BT456*0.18*4*1</f>
        <v>38007.074337189755</v>
      </c>
      <c r="BV456" s="264">
        <f t="shared" si="1096"/>
        <v>2.6362426673858402E-3</v>
      </c>
      <c r="BW456" s="196">
        <f>AD456*BT456*0.77*4*1</f>
        <v>162585.81799797842</v>
      </c>
      <c r="BX456" s="247">
        <f t="shared" si="1097"/>
        <v>2.6362426911332153E-3</v>
      </c>
      <c r="BY456" s="196">
        <f t="shared" si="1100"/>
        <v>200592.89233516817</v>
      </c>
      <c r="BZ456" s="620">
        <v>0</v>
      </c>
      <c r="CA456" s="196">
        <f t="shared" ref="CA456:CA469" si="1243">AK456*0.85*0.75*12</f>
        <v>79965.379174780421</v>
      </c>
      <c r="CB456" s="196">
        <f t="shared" ref="CB456:CB469" si="1244">AL456*0.85*0.75*2*12</f>
        <v>159930.75834956084</v>
      </c>
      <c r="CC456" s="196">
        <f t="shared" si="1214"/>
        <v>239896.13752434126</v>
      </c>
      <c r="CD456" s="247">
        <f t="shared" si="1202"/>
        <v>1.0122216936742491E-3</v>
      </c>
      <c r="CE456" s="196">
        <f t="shared" ref="CE456:CE469" si="1245">AH456/298270*617582</f>
        <v>27054.258424846492</v>
      </c>
      <c r="CF456" s="247">
        <f t="shared" si="1203"/>
        <v>1.1682870160586107E-3</v>
      </c>
      <c r="CG456" s="196">
        <f t="shared" si="1150"/>
        <v>39721.364818845177</v>
      </c>
      <c r="CH456" s="589">
        <f t="shared" si="1219"/>
        <v>1.0122216936742491E-3</v>
      </c>
      <c r="CI456" s="196">
        <f t="shared" ref="CI456:CI469" si="1246">AD456/1205009*1189393</f>
        <v>52103.51606310402</v>
      </c>
      <c r="CJ456" s="248">
        <f t="shared" si="1220"/>
        <v>8.5658167182122E-4</v>
      </c>
      <c r="CK456" s="196">
        <f t="shared" ref="CK456:CK469" si="1247">AD456/1205009*961647</f>
        <v>42126.689758167224</v>
      </c>
      <c r="CL456" s="589">
        <f t="shared" si="1221"/>
        <v>6.0557983036405158E-4</v>
      </c>
      <c r="CM456" s="196">
        <f t="shared" ref="CM456:CM469" si="1248">AD456/1205009*93160</f>
        <v>4081.0426464917568</v>
      </c>
      <c r="CN456" s="589">
        <f t="shared" si="1222"/>
        <v>5.8812462498501338E-4</v>
      </c>
      <c r="CO456" s="196">
        <f t="shared" ref="CO456:CO469" si="1249">AD456/1205009*7453</f>
        <v>326.49217308182767</v>
      </c>
      <c r="CP456" s="589">
        <f t="shared" si="1223"/>
        <v>6.1571394937979748E-4</v>
      </c>
      <c r="CQ456" s="196">
        <f>'Detailed Budget'!$AC$12</f>
        <v>292876014141.44696</v>
      </c>
      <c r="CR456" s="269">
        <f t="shared" si="1224"/>
        <v>0</v>
      </c>
      <c r="CS456" s="269">
        <f>'Detailed Budget'!$AC$16</f>
        <v>10488008800.000002</v>
      </c>
      <c r="CT456" s="607">
        <f t="shared" si="1152"/>
        <v>0</v>
      </c>
      <c r="CU456" s="269">
        <f>'Detailed Budget'!$AC$24</f>
        <v>30624985696</v>
      </c>
      <c r="CV456" s="269">
        <f t="shared" ref="CV456:CV519" si="1250">BK456*CU456</f>
        <v>0</v>
      </c>
      <c r="CW456" s="269"/>
      <c r="CX456" s="269">
        <f t="shared" si="1215"/>
        <v>0</v>
      </c>
      <c r="CY456" s="196"/>
      <c r="DA456" s="269">
        <f>'Detailed Budget'!$AC$100</f>
        <v>14925833098.967569</v>
      </c>
      <c r="DB456" s="269">
        <f t="shared" si="1229"/>
        <v>30739175.520128109</v>
      </c>
      <c r="DC456" s="269">
        <f t="shared" si="1204"/>
        <v>30739175.520128109</v>
      </c>
      <c r="DD456" s="207">
        <v>0</v>
      </c>
      <c r="DE456" s="606">
        <v>0</v>
      </c>
      <c r="DF456" s="269">
        <f>'Detailed Budget'!$AC$147</f>
        <v>5913600671000</v>
      </c>
      <c r="DG456" s="269">
        <f t="shared" si="1230"/>
        <v>0</v>
      </c>
      <c r="DH456" s="269">
        <f>'Detailed Budget'!$AC$153</f>
        <v>226428026880.00003</v>
      </c>
      <c r="DI456" s="269"/>
      <c r="DJ456" s="269">
        <f>'Detailed Budget'!$AC$156</f>
        <v>27713070000</v>
      </c>
      <c r="DK456" s="269"/>
      <c r="DL456" s="269"/>
      <c r="DM456" s="196">
        <f>'Detailed Budget'!$AC$178</f>
        <v>5622683761.6229038</v>
      </c>
      <c r="DN456" s="269">
        <f t="shared" ref="DN456:DN469" si="1251">BT456*BV456*DM456</f>
        <v>14822758.837607814</v>
      </c>
      <c r="DO456" s="196">
        <f>'Detailed Budget'!$AC$179</f>
        <v>26827890683.128094</v>
      </c>
      <c r="DP456" s="269">
        <f t="shared" ref="DP456:DP469" si="1252">BT456*BX456*DO456</f>
        <v>70724830.731917322</v>
      </c>
      <c r="DQ456" s="269">
        <f t="shared" si="1192"/>
        <v>85547589.569525138</v>
      </c>
      <c r="DR456" s="269">
        <f>'Detailed Budget'!$AC$181</f>
        <v>50888946855.375237</v>
      </c>
      <c r="DS456" s="269">
        <f t="shared" ref="DS456:DS469" si="1253">BT456*AG456*DR456</f>
        <v>117992826.14761499</v>
      </c>
      <c r="DT456" s="269">
        <f t="shared" ref="DT456:DT469" si="1254">DQ456+DS456</f>
        <v>203540415.71714014</v>
      </c>
      <c r="DU456" s="272">
        <f>'Detailed Budget'!$AC$192</f>
        <v>77498869683.252869</v>
      </c>
      <c r="DV456" s="269">
        <f t="shared" si="1155"/>
        <v>0</v>
      </c>
      <c r="DW456" s="140">
        <f>'Detailed Budget'!$AC$194</f>
        <v>2684962805.4134097</v>
      </c>
      <c r="DX456" s="269">
        <f t="shared" si="1156"/>
        <v>0</v>
      </c>
      <c r="DY456" s="607">
        <f t="shared" si="1205"/>
        <v>0</v>
      </c>
      <c r="DZ456" s="196">
        <f>'Detailed Budget'!$AC$198</f>
        <v>18732540018.380611</v>
      </c>
      <c r="EA456" s="269">
        <f t="shared" si="1231"/>
        <v>21884983.281272396</v>
      </c>
      <c r="EB456" s="196">
        <f>'Detailed Budget'!$AC$200</f>
        <v>4683135004.5951529</v>
      </c>
      <c r="EC456" s="269">
        <f t="shared" si="1158"/>
        <v>5471245.8203180991</v>
      </c>
      <c r="ED456" s="269">
        <f t="shared" si="1206"/>
        <v>27356229.101590496</v>
      </c>
      <c r="EE456" s="196">
        <f>'Detailed Budget'!$AC$161</f>
        <v>251147290106.36197</v>
      </c>
      <c r="EF456" s="269">
        <f t="shared" si="1159"/>
        <v>254216735.3531597</v>
      </c>
      <c r="EG456" s="196">
        <f>'Detailed Budget'!$AC$163</f>
        <v>15696705631.647623</v>
      </c>
      <c r="EH456" s="269">
        <f t="shared" si="1160"/>
        <v>15888545.959572481</v>
      </c>
      <c r="EI456" s="269">
        <f t="shared" si="1207"/>
        <v>270105281.31273216</v>
      </c>
      <c r="EJ456" s="196">
        <f>'Detailed Budget'!$AC$204</f>
        <v>45012172507.531975</v>
      </c>
      <c r="EK456" s="269">
        <f t="shared" si="1161"/>
        <v>38556601.978806898</v>
      </c>
      <c r="EL456" s="201">
        <f>'Detailed Budget'!$AC$206</f>
        <v>11253043126.882994</v>
      </c>
      <c r="EM456" s="269">
        <f t="shared" si="1162"/>
        <v>9639150.4947017245</v>
      </c>
      <c r="EN456" s="269">
        <f t="shared" si="1208"/>
        <v>48195752.473508626</v>
      </c>
      <c r="EO456" s="140">
        <f>'Detailed Budget'!$AC$209</f>
        <v>135789361677.54817</v>
      </c>
      <c r="EP456" s="269">
        <f t="shared" si="1163"/>
        <v>82231298.609932467</v>
      </c>
      <c r="EQ456" s="196">
        <f>'Detailed Budget'!$AC$211</f>
        <v>33947340419.387043</v>
      </c>
      <c r="ER456" s="269">
        <f t="shared" si="1164"/>
        <v>20557824.652483117</v>
      </c>
      <c r="ES456" s="269">
        <f t="shared" si="1209"/>
        <v>102789123.26241559</v>
      </c>
      <c r="ET456" s="196">
        <f>'Detailed Budget'!$AC$214</f>
        <v>22239745544.201103</v>
      </c>
      <c r="EU456" s="269">
        <f t="shared" si="1165"/>
        <v>13079742.007945396</v>
      </c>
      <c r="EV456" s="140">
        <f>'Detailed Budget'!$AC$217</f>
        <v>5559936386.0502758</v>
      </c>
      <c r="EW456" s="269">
        <f t="shared" si="1166"/>
        <v>3269935.501986349</v>
      </c>
      <c r="EX456" s="269">
        <f t="shared" si="1210"/>
        <v>16349677.509931745</v>
      </c>
      <c r="EY456" s="196">
        <f>'Detailed Budget'!$AC$219</f>
        <v>372777004.58170313</v>
      </c>
      <c r="EZ456" s="269">
        <f t="shared" si="1167"/>
        <v>229524.00172897129</v>
      </c>
      <c r="FA456" s="196">
        <f>'Detailed Budget'!$AC$222</f>
        <v>93194251.145425782</v>
      </c>
      <c r="FB456" s="269">
        <f t="shared" si="1168"/>
        <v>57381.000432242821</v>
      </c>
      <c r="FC456" s="269">
        <f t="shared" si="1211"/>
        <v>286905.00216121413</v>
      </c>
      <c r="FD456" s="269"/>
      <c r="FE456" s="269">
        <f t="shared" si="1212"/>
        <v>167621458.24801716</v>
      </c>
      <c r="FF456" s="140"/>
      <c r="FG456" s="1087">
        <f t="shared" si="1232"/>
        <v>228646764.56053406</v>
      </c>
      <c r="FH456" s="269">
        <f t="shared" si="1233"/>
        <v>0</v>
      </c>
      <c r="FJ456" s="140">
        <f>'Detailed Budget'!$AC$235</f>
        <v>3623696172</v>
      </c>
      <c r="FK456" s="269">
        <f t="shared" si="1234"/>
        <v>4681778</v>
      </c>
      <c r="FL456" s="269">
        <f t="shared" si="1235"/>
        <v>4681778</v>
      </c>
      <c r="FO456" s="607"/>
      <c r="FP456" s="607"/>
      <c r="FQ456" s="607"/>
      <c r="FR456" s="269">
        <f>'Detailed Budget'!$AC$257</f>
        <v>13636439388</v>
      </c>
      <c r="FS456" s="269">
        <f t="shared" si="1236"/>
        <v>21485724</v>
      </c>
      <c r="FT456" s="269">
        <f t="shared" si="1237"/>
        <v>21485724</v>
      </c>
      <c r="FU456" s="269"/>
      <c r="FV456" s="269"/>
      <c r="FW456" s="269"/>
      <c r="FX456" s="140">
        <f>'Detailed Budget'!$AC$278</f>
        <v>1114560000</v>
      </c>
      <c r="FY456" s="269">
        <f t="shared" si="1238"/>
        <v>1440000</v>
      </c>
      <c r="FZ456" s="269">
        <f t="shared" si="1239"/>
        <v>1440000</v>
      </c>
      <c r="GB456" s="269">
        <f t="shared" si="1098"/>
        <v>955616826.46014214</v>
      </c>
      <c r="GC456" s="887">
        <f t="shared" si="1213"/>
        <v>597260.51653758879</v>
      </c>
      <c r="GD456" s="1078">
        <f t="shared" si="1099"/>
        <v>5.3622669284342239E-4</v>
      </c>
    </row>
    <row r="457" spans="1:186" hidden="1" outlineLevel="1">
      <c r="A457" s="211" t="s">
        <v>1044</v>
      </c>
      <c r="B457" s="212" t="s">
        <v>1045</v>
      </c>
      <c r="C457" s="213" t="s">
        <v>215</v>
      </c>
      <c r="D457" s="214" t="s">
        <v>215</v>
      </c>
      <c r="E457" s="213"/>
      <c r="F457" s="213"/>
      <c r="G457" s="213"/>
      <c r="H457" s="213" t="s">
        <v>215</v>
      </c>
      <c r="I457" s="214" t="s">
        <v>215</v>
      </c>
      <c r="J457" s="214"/>
      <c r="K457" s="213" t="s">
        <v>215</v>
      </c>
      <c r="L457" s="213"/>
      <c r="M457" s="214"/>
      <c r="N457" s="213"/>
      <c r="O457" s="214"/>
      <c r="P457" s="213"/>
      <c r="Q457" s="214"/>
      <c r="R457" s="214" t="s">
        <v>215</v>
      </c>
      <c r="S457" s="214"/>
      <c r="T457" s="214"/>
      <c r="U457" s="215">
        <f t="shared" si="1240"/>
        <v>6</v>
      </c>
      <c r="V457" s="845" t="s">
        <v>219</v>
      </c>
      <c r="W457" s="216">
        <v>187141</v>
      </c>
      <c r="X457" s="217">
        <v>3.2</v>
      </c>
      <c r="Y457" s="218">
        <f t="shared" si="1101"/>
        <v>1.032</v>
      </c>
      <c r="Z457" s="196">
        <v>19</v>
      </c>
      <c r="AA457" s="218">
        <f t="shared" si="1102"/>
        <v>1.8193415940533015</v>
      </c>
      <c r="AB457" s="196">
        <f t="shared" si="1194"/>
        <v>340473.4052527289</v>
      </c>
      <c r="AC457">
        <v>20.2</v>
      </c>
      <c r="AD457" s="196">
        <f t="shared" si="1195"/>
        <v>68775.627861051238</v>
      </c>
      <c r="AE457" s="196">
        <f t="shared" si="1148"/>
        <v>65336.846467998672</v>
      </c>
      <c r="AF457" s="196">
        <f t="shared" si="1241"/>
        <v>65336.846467998672</v>
      </c>
      <c r="AG457" s="606">
        <f t="shared" si="1216"/>
        <v>3.0208889465497702E-3</v>
      </c>
      <c r="AH457" s="196">
        <f t="shared" ref="AH457:AH469" si="1255">AB457*0.05</f>
        <v>17023.670262636446</v>
      </c>
      <c r="AI457" s="248">
        <f t="shared" si="1193"/>
        <v>1.3187979418665988E-3</v>
      </c>
      <c r="AJ457" s="196">
        <f t="shared" si="1196"/>
        <v>85799.29812368768</v>
      </c>
      <c r="AK457" s="196">
        <f t="shared" si="1225"/>
        <v>13618.936210109156</v>
      </c>
      <c r="AL457" s="196">
        <f t="shared" si="1226"/>
        <v>13618.936210109156</v>
      </c>
      <c r="AM457" s="196">
        <f t="shared" si="1197"/>
        <v>27237.872420218311</v>
      </c>
      <c r="AN457" s="627">
        <f t="shared" si="1198"/>
        <v>1.3187979418665988E-3</v>
      </c>
      <c r="AO457" s="196">
        <f t="shared" si="1199"/>
        <v>12937.989399603697</v>
      </c>
      <c r="AP457" s="589">
        <f t="shared" si="1217"/>
        <v>1.3187979418665988E-3</v>
      </c>
      <c r="AQ457" s="196"/>
      <c r="AR457" s="589"/>
      <c r="AS457">
        <v>1</v>
      </c>
      <c r="AT457" s="589">
        <f t="shared" si="1218"/>
        <v>1.2919896640826874E-3</v>
      </c>
      <c r="AU457" s="196">
        <v>10</v>
      </c>
      <c r="AV457" s="245"/>
      <c r="AX457" s="245"/>
      <c r="AY457" s="245"/>
      <c r="AZ457" s="196">
        <v>30</v>
      </c>
      <c r="BA457" s="589">
        <f t="shared" ref="BA457:BA520" si="1256">AZ457/27291</f>
        <v>1.0992634934593821E-3</v>
      </c>
      <c r="BI457" s="196">
        <v>0</v>
      </c>
      <c r="BK457" s="246">
        <f t="shared" ref="BK457:BK520" si="1257">BJ457/52440044</f>
        <v>0</v>
      </c>
      <c r="BL457" s="246"/>
      <c r="BM457" s="246">
        <f t="shared" ref="BM457:BM520" si="1258">BL457/1048801</f>
        <v>0</v>
      </c>
      <c r="BN457" s="196">
        <v>1</v>
      </c>
      <c r="BO457" s="196">
        <f t="shared" si="1242"/>
        <v>28683.627954135383</v>
      </c>
      <c r="BP457" s="196">
        <f t="shared" si="1201"/>
        <v>28683.627954135383</v>
      </c>
      <c r="BQ457" s="248">
        <f t="shared" ref="BQ457:BQ520" si="1259">BP457/10690003</f>
        <v>2.6832198226824991E-3</v>
      </c>
      <c r="BR457" s="248"/>
      <c r="BS457" s="248"/>
      <c r="BT457" s="276">
        <v>1</v>
      </c>
      <c r="BU457" s="196">
        <f t="shared" ref="BU457:BU469" si="1260">AD457*BT457*0.18*4*1</f>
        <v>49518.452059956893</v>
      </c>
      <c r="BV457" s="264">
        <f t="shared" ref="BV457:BV520" si="1261">BU457/14417138</f>
        <v>3.4346936305913764E-3</v>
      </c>
      <c r="BW457" s="196">
        <f t="shared" ref="BW457:BW469" si="1262">AD457*BT457*0.77*4*1</f>
        <v>211828.93381203781</v>
      </c>
      <c r="BX457" s="247">
        <f t="shared" ref="BX457:BX520" si="1263">BW457/61673312</f>
        <v>3.4346936615312277E-3</v>
      </c>
      <c r="BY457" s="196">
        <f t="shared" si="1100"/>
        <v>261347.38587199472</v>
      </c>
      <c r="BZ457" s="620">
        <v>0</v>
      </c>
      <c r="CA457" s="196">
        <f t="shared" si="1243"/>
        <v>104184.86200733503</v>
      </c>
      <c r="CB457" s="196">
        <f t="shared" si="1244"/>
        <v>208369.72401467006</v>
      </c>
      <c r="CC457" s="196">
        <f t="shared" si="1214"/>
        <v>312554.58602200507</v>
      </c>
      <c r="CD457" s="247">
        <f t="shared" si="1202"/>
        <v>1.3187979418665986E-3</v>
      </c>
      <c r="CE457" s="196">
        <f t="shared" si="1245"/>
        <v>35248.306326950551</v>
      </c>
      <c r="CF457" s="247">
        <f t="shared" si="1203"/>
        <v>1.5221314875152254E-3</v>
      </c>
      <c r="CG457" s="196">
        <f t="shared" si="1150"/>
        <v>51751.957598414789</v>
      </c>
      <c r="CH457" s="589">
        <f t="shared" si="1219"/>
        <v>1.3187979418665988E-3</v>
      </c>
      <c r="CI457" s="196">
        <f t="shared" si="1246"/>
        <v>67884.34804100162</v>
      </c>
      <c r="CJ457" s="248">
        <f t="shared" si="1220"/>
        <v>1.1160185094808088E-3</v>
      </c>
      <c r="CK457" s="196">
        <f t="shared" si="1247"/>
        <v>54885.794384686211</v>
      </c>
      <c r="CL457" s="589">
        <f t="shared" si="1221"/>
        <v>7.8899458380611532E-4</v>
      </c>
      <c r="CM457" s="196">
        <f t="shared" si="1248"/>
        <v>5317.0868363103791</v>
      </c>
      <c r="CN457" s="589">
        <f t="shared" si="1222"/>
        <v>7.6625263994876253E-4</v>
      </c>
      <c r="CO457" s="196">
        <f t="shared" si="1249"/>
        <v>425.37836186154203</v>
      </c>
      <c r="CP457" s="589">
        <f t="shared" si="1223"/>
        <v>8.0219807014129138E-4</v>
      </c>
      <c r="CQ457" s="196">
        <f>'Detailed Budget'!$AC$12</f>
        <v>292876014141.44696</v>
      </c>
      <c r="CR457" s="269">
        <f t="shared" si="1224"/>
        <v>0</v>
      </c>
      <c r="CS457" s="269">
        <f>'Detailed Budget'!$AC$16</f>
        <v>10488008800.000002</v>
      </c>
      <c r="CT457" s="607">
        <f t="shared" si="1152"/>
        <v>0</v>
      </c>
      <c r="CU457" s="269">
        <f>'Detailed Budget'!$AC$24</f>
        <v>30624985696</v>
      </c>
      <c r="CV457" s="269">
        <f t="shared" si="1250"/>
        <v>0</v>
      </c>
      <c r="CW457" s="269"/>
      <c r="CX457" s="269">
        <f t="shared" si="1215"/>
        <v>0</v>
      </c>
      <c r="CY457" s="196"/>
      <c r="DA457" s="269">
        <f>'Detailed Budget'!$AC$100</f>
        <v>14925833098.967569</v>
      </c>
      <c r="DB457" s="269">
        <f t="shared" si="1229"/>
        <v>40049291.241200335</v>
      </c>
      <c r="DC457" s="269">
        <f t="shared" si="1204"/>
        <v>40049291.241200335</v>
      </c>
      <c r="DD457" s="207">
        <v>0</v>
      </c>
      <c r="DE457" s="606">
        <v>0</v>
      </c>
      <c r="DF457" s="269">
        <f>'Detailed Budget'!$AC$147</f>
        <v>5913600671000</v>
      </c>
      <c r="DG457" s="269">
        <f t="shared" si="1230"/>
        <v>0</v>
      </c>
      <c r="DH457" s="269">
        <f>'Detailed Budget'!$AC$153</f>
        <v>226428026880.00003</v>
      </c>
      <c r="DI457" s="269"/>
      <c r="DJ457" s="269">
        <f>'Detailed Budget'!$AC$156</f>
        <v>27713070000</v>
      </c>
      <c r="DK457" s="269"/>
      <c r="DL457" s="269"/>
      <c r="DM457" s="196">
        <f>'Detailed Budget'!$AC$178</f>
        <v>5622683761.6229038</v>
      </c>
      <c r="DN457" s="269">
        <f t="shared" si="1251"/>
        <v>19312196.102875747</v>
      </c>
      <c r="DO457" s="196">
        <f>'Detailed Budget'!$AC$179</f>
        <v>26827890683.128094</v>
      </c>
      <c r="DP457" s="269">
        <f t="shared" si="1252"/>
        <v>92145586.081592739</v>
      </c>
      <c r="DQ457" s="269">
        <f t="shared" si="1192"/>
        <v>111457782.18446848</v>
      </c>
      <c r="DR457" s="269">
        <f>'Detailed Budget'!$AC$181</f>
        <v>50888946855.375237</v>
      </c>
      <c r="DS457" s="269">
        <f t="shared" si="1253"/>
        <v>153729857.05696175</v>
      </c>
      <c r="DT457" s="269">
        <f t="shared" si="1254"/>
        <v>265187639.24143022</v>
      </c>
      <c r="DU457" s="272">
        <f>'Detailed Budget'!$AC$192</f>
        <v>77498869683.252869</v>
      </c>
      <c r="DV457" s="269">
        <f t="shared" si="1155"/>
        <v>0</v>
      </c>
      <c r="DW457" s="140">
        <f>'Detailed Budget'!$AC$194</f>
        <v>2684962805.4134097</v>
      </c>
      <c r="DX457" s="269">
        <f t="shared" si="1156"/>
        <v>0</v>
      </c>
      <c r="DY457" s="607">
        <f t="shared" si="1205"/>
        <v>0</v>
      </c>
      <c r="DZ457" s="196">
        <f>'Detailed Budget'!$AC$198</f>
        <v>18732540018.380611</v>
      </c>
      <c r="EA457" s="269">
        <f t="shared" si="1231"/>
        <v>28513389.003116168</v>
      </c>
      <c r="EB457" s="196">
        <f>'Detailed Budget'!$AC$200</f>
        <v>4683135004.5951529</v>
      </c>
      <c r="EC457" s="269">
        <f t="shared" si="1158"/>
        <v>7128347.250779042</v>
      </c>
      <c r="ED457" s="269">
        <f t="shared" si="1206"/>
        <v>35641736.253895208</v>
      </c>
      <c r="EE457" s="196">
        <f>'Detailed Budget'!$AC$161</f>
        <v>251147290106.36197</v>
      </c>
      <c r="EF457" s="269">
        <f t="shared" si="1159"/>
        <v>331212529.29764378</v>
      </c>
      <c r="EG457" s="196">
        <f>'Detailed Budget'!$AC$163</f>
        <v>15696705631.647623</v>
      </c>
      <c r="EH457" s="269">
        <f t="shared" si="1160"/>
        <v>20700783.081102736</v>
      </c>
      <c r="EI457" s="269">
        <f t="shared" si="1207"/>
        <v>351913312.37874651</v>
      </c>
      <c r="EJ457" s="196">
        <f>'Detailed Budget'!$AC$204</f>
        <v>45012172507.531975</v>
      </c>
      <c r="EK457" s="269">
        <f t="shared" si="1161"/>
        <v>50234417.670348875</v>
      </c>
      <c r="EL457" s="201">
        <f>'Detailed Budget'!$AC$206</f>
        <v>11253043126.882994</v>
      </c>
      <c r="EM457" s="269">
        <f t="shared" si="1162"/>
        <v>12558604.417587219</v>
      </c>
      <c r="EN457" s="269">
        <f t="shared" si="1208"/>
        <v>62793022.087936096</v>
      </c>
      <c r="EO457" s="140">
        <f>'Detailed Budget'!$AC$209</f>
        <v>135789361677.54817</v>
      </c>
      <c r="EP457" s="269">
        <f t="shared" si="1163"/>
        <v>107137070.90207519</v>
      </c>
      <c r="EQ457" s="196">
        <f>'Detailed Budget'!$AC$211</f>
        <v>33947340419.387043</v>
      </c>
      <c r="ER457" s="269">
        <f t="shared" si="1164"/>
        <v>26784267.725518797</v>
      </c>
      <c r="ES457" s="269">
        <f t="shared" si="1209"/>
        <v>133921338.62759398</v>
      </c>
      <c r="ET457" s="196">
        <f>'Detailed Budget'!$AC$214</f>
        <v>22239745544.201103</v>
      </c>
      <c r="EU457" s="269">
        <f t="shared" si="1165"/>
        <v>17041263.735032823</v>
      </c>
      <c r="EV457" s="140">
        <f>'Detailed Budget'!$AC$217</f>
        <v>5559936386.0502758</v>
      </c>
      <c r="EW457" s="269">
        <f t="shared" si="1166"/>
        <v>4260315.9337582057</v>
      </c>
      <c r="EX457" s="269">
        <f t="shared" si="1210"/>
        <v>21301579.66879103</v>
      </c>
      <c r="EY457" s="196">
        <f>'Detailed Budget'!$AC$219</f>
        <v>372777004.58170313</v>
      </c>
      <c r="EZ457" s="269">
        <f t="shared" si="1167"/>
        <v>299040.99366849358</v>
      </c>
      <c r="FA457" s="196">
        <f>'Detailed Budget'!$AC$222</f>
        <v>93194251.145425782</v>
      </c>
      <c r="FB457" s="269">
        <f t="shared" si="1168"/>
        <v>74760.248417123395</v>
      </c>
      <c r="FC457" s="269">
        <f t="shared" si="1211"/>
        <v>373801.24208561698</v>
      </c>
      <c r="FD457" s="269"/>
      <c r="FE457" s="269">
        <f t="shared" si="1212"/>
        <v>218389741.6264067</v>
      </c>
      <c r="FF457" s="140"/>
      <c r="FG457" s="1087">
        <f t="shared" si="1232"/>
        <v>297898063.63696611</v>
      </c>
      <c r="FH457" s="269">
        <f t="shared" si="1233"/>
        <v>0</v>
      </c>
      <c r="FJ457" s="140">
        <f>'Detailed Budget'!$AC$235</f>
        <v>3623696172</v>
      </c>
      <c r="FK457" s="269">
        <f t="shared" si="1234"/>
        <v>4681778</v>
      </c>
      <c r="FL457" s="269">
        <f t="shared" si="1235"/>
        <v>4681778</v>
      </c>
      <c r="FO457" s="607"/>
      <c r="FP457" s="607"/>
      <c r="FQ457" s="607"/>
      <c r="FR457" s="269">
        <f>'Detailed Budget'!$AC$257</f>
        <v>13636439388</v>
      </c>
      <c r="FS457" s="269">
        <f t="shared" si="1236"/>
        <v>14990039.999999998</v>
      </c>
      <c r="FT457" s="269">
        <f t="shared" si="1237"/>
        <v>14990039.999999998</v>
      </c>
      <c r="FU457" s="269"/>
      <c r="FV457" s="269"/>
      <c r="FW457" s="269"/>
      <c r="FX457" s="140">
        <f>'Detailed Budget'!$AC$278</f>
        <v>1114560000</v>
      </c>
      <c r="FY457" s="269">
        <f t="shared" si="1238"/>
        <v>1440000</v>
      </c>
      <c r="FZ457" s="269">
        <f t="shared" si="1239"/>
        <v>1440000</v>
      </c>
      <c r="GB457" s="269">
        <f t="shared" ref="GB457:GB520" si="1264">SUM(CX457,DC457,DG457,DL457,DT457,DY457,ED457,EI457,FE457,FG457,FH457,FL457,FT457,FZ457,GA457)</f>
        <v>1230191602.3786449</v>
      </c>
      <c r="GC457" s="887">
        <f t="shared" si="1213"/>
        <v>768869.75148665311</v>
      </c>
      <c r="GD457" s="1078">
        <f t="shared" ref="GD457:GD520" si="1265">GB457/1782113496426</f>
        <v>6.902992457246828E-4</v>
      </c>
    </row>
    <row r="458" spans="1:186" hidden="1" outlineLevel="1">
      <c r="A458" s="211" t="s">
        <v>1046</v>
      </c>
      <c r="B458" s="212" t="s">
        <v>1047</v>
      </c>
      <c r="C458" s="213" t="s">
        <v>215</v>
      </c>
      <c r="D458" s="214" t="s">
        <v>215</v>
      </c>
      <c r="E458" s="213"/>
      <c r="F458" s="213"/>
      <c r="G458" s="213"/>
      <c r="H458" s="213" t="s">
        <v>215</v>
      </c>
      <c r="I458" s="214" t="s">
        <v>215</v>
      </c>
      <c r="J458" s="214"/>
      <c r="K458" s="213" t="s">
        <v>215</v>
      </c>
      <c r="L458" s="213"/>
      <c r="M458" s="214"/>
      <c r="N458" s="213"/>
      <c r="O458" s="214"/>
      <c r="P458" s="213"/>
      <c r="Q458" s="214"/>
      <c r="R458" s="214" t="s">
        <v>215</v>
      </c>
      <c r="S458" s="214"/>
      <c r="T458" s="214"/>
      <c r="U458" s="215">
        <f t="shared" si="1240"/>
        <v>6</v>
      </c>
      <c r="V458" s="845" t="s">
        <v>219</v>
      </c>
      <c r="W458" s="216">
        <v>184083</v>
      </c>
      <c r="X458" s="217">
        <v>3.2</v>
      </c>
      <c r="Y458" s="218">
        <f t="shared" si="1101"/>
        <v>1.032</v>
      </c>
      <c r="Z458" s="196">
        <v>19</v>
      </c>
      <c r="AA458" s="218">
        <f t="shared" si="1102"/>
        <v>1.8193415940533015</v>
      </c>
      <c r="AB458" s="196">
        <f t="shared" si="1194"/>
        <v>334909.85865811392</v>
      </c>
      <c r="AC458">
        <v>20.2</v>
      </c>
      <c r="AD458" s="196">
        <f t="shared" si="1195"/>
        <v>67651.79144893901</v>
      </c>
      <c r="AE458" s="196">
        <f t="shared" si="1148"/>
        <v>64269.201876492058</v>
      </c>
      <c r="AF458" s="196">
        <f t="shared" si="1241"/>
        <v>64269.201876492058</v>
      </c>
      <c r="AG458" s="606">
        <f t="shared" si="1216"/>
        <v>2.9715257476860837E-3</v>
      </c>
      <c r="AH458" s="196">
        <f t="shared" si="1255"/>
        <v>16745.492932905698</v>
      </c>
      <c r="AI458" s="248">
        <f t="shared" si="1193"/>
        <v>1.297247965612181E-3</v>
      </c>
      <c r="AJ458" s="196">
        <f t="shared" si="1196"/>
        <v>84397.284381844715</v>
      </c>
      <c r="AK458" s="196">
        <f t="shared" si="1225"/>
        <v>13396.394346324558</v>
      </c>
      <c r="AL458" s="196">
        <f t="shared" si="1226"/>
        <v>13396.394346324558</v>
      </c>
      <c r="AM458" s="196">
        <f t="shared" si="1197"/>
        <v>26792.788692649116</v>
      </c>
      <c r="AN458" s="627">
        <f t="shared" si="1198"/>
        <v>1.297247965612181E-3</v>
      </c>
      <c r="AO458" s="196">
        <f t="shared" si="1199"/>
        <v>12726.574629008328</v>
      </c>
      <c r="AP458" s="589">
        <f t="shared" si="1217"/>
        <v>1.2972479656121808E-3</v>
      </c>
      <c r="AQ458" s="196"/>
      <c r="AR458" s="589"/>
      <c r="AS458">
        <v>1</v>
      </c>
      <c r="AT458" s="589">
        <f t="shared" si="1218"/>
        <v>1.2919896640826874E-3</v>
      </c>
      <c r="AU458" s="196">
        <v>10</v>
      </c>
      <c r="AV458" s="245"/>
      <c r="AX458" s="245"/>
      <c r="AY458" s="245"/>
      <c r="AZ458" s="196">
        <v>42</v>
      </c>
      <c r="BA458" s="589">
        <f t="shared" si="1256"/>
        <v>1.5389688908431351E-3</v>
      </c>
      <c r="BI458" s="196">
        <v>0</v>
      </c>
      <c r="BK458" s="246">
        <f t="shared" si="1257"/>
        <v>0</v>
      </c>
      <c r="BL458" s="246"/>
      <c r="BM458" s="246">
        <f t="shared" si="1258"/>
        <v>0</v>
      </c>
      <c r="BN458" s="196">
        <v>1</v>
      </c>
      <c r="BO458" s="196">
        <f t="shared" si="1242"/>
        <v>28214.919684521854</v>
      </c>
      <c r="BP458" s="196">
        <f t="shared" si="1201"/>
        <v>28214.919684521854</v>
      </c>
      <c r="BQ458" s="248">
        <f t="shared" si="1259"/>
        <v>2.6393743467164467E-3</v>
      </c>
      <c r="BR458" s="248"/>
      <c r="BS458" s="248"/>
      <c r="BT458" s="276">
        <v>1</v>
      </c>
      <c r="BU458" s="196">
        <f t="shared" si="1260"/>
        <v>48709.289843236082</v>
      </c>
      <c r="BV458" s="264">
        <f t="shared" si="1261"/>
        <v>3.3785686065595046E-3</v>
      </c>
      <c r="BW458" s="196">
        <f t="shared" si="1262"/>
        <v>208367.51766273216</v>
      </c>
      <c r="BX458" s="247">
        <f t="shared" si="1263"/>
        <v>3.3785686369937804E-3</v>
      </c>
      <c r="BY458" s="196">
        <f t="shared" si="1100"/>
        <v>257076.80750596826</v>
      </c>
      <c r="BZ458" s="620">
        <v>0</v>
      </c>
      <c r="CA458" s="196">
        <f t="shared" si="1243"/>
        <v>102482.41674938286</v>
      </c>
      <c r="CB458" s="196">
        <f t="shared" si="1244"/>
        <v>204964.83349876571</v>
      </c>
      <c r="CC458" s="196">
        <f t="shared" si="1214"/>
        <v>307447.25024814857</v>
      </c>
      <c r="CD458" s="247">
        <f t="shared" si="1202"/>
        <v>1.2972479656121808E-3</v>
      </c>
      <c r="CE458" s="196">
        <f t="shared" si="1245"/>
        <v>34672.327141481765</v>
      </c>
      <c r="CF458" s="247">
        <f t="shared" si="1203"/>
        <v>1.4972589150227115E-3</v>
      </c>
      <c r="CG458" s="196">
        <f t="shared" si="1150"/>
        <v>50906.298516033312</v>
      </c>
      <c r="CH458" s="589">
        <f t="shared" si="1219"/>
        <v>1.2972479656121808E-3</v>
      </c>
      <c r="CI458" s="196">
        <f t="shared" si="1246"/>
        <v>66775.075693897656</v>
      </c>
      <c r="CJ458" s="248">
        <f t="shared" si="1220"/>
        <v>1.097782074910125E-3</v>
      </c>
      <c r="CK458" s="196">
        <f t="shared" si="1247"/>
        <v>53988.926465692661</v>
      </c>
      <c r="CL458" s="589">
        <f t="shared" si="1221"/>
        <v>7.7610192299272258E-4</v>
      </c>
      <c r="CM458" s="196">
        <f t="shared" si="1248"/>
        <v>5230.202339885559</v>
      </c>
      <c r="CN458" s="589">
        <f t="shared" si="1222"/>
        <v>7.5373159660196336E-4</v>
      </c>
      <c r="CO458" s="196">
        <f t="shared" si="1249"/>
        <v>418.4274156200845</v>
      </c>
      <c r="CP458" s="589">
        <f t="shared" si="1223"/>
        <v>7.8908965617272182E-4</v>
      </c>
      <c r="CQ458" s="196">
        <f>'Detailed Budget'!$AC$12</f>
        <v>292876014141.44696</v>
      </c>
      <c r="CR458" s="269">
        <f t="shared" si="1224"/>
        <v>0</v>
      </c>
      <c r="CS458" s="269">
        <f>'Detailed Budget'!$AC$16</f>
        <v>10488008800.000002</v>
      </c>
      <c r="CT458" s="607">
        <f t="shared" si="1152"/>
        <v>0</v>
      </c>
      <c r="CU458" s="269">
        <f>'Detailed Budget'!$AC$24</f>
        <v>30624985696</v>
      </c>
      <c r="CV458" s="269">
        <f t="shared" si="1250"/>
        <v>0</v>
      </c>
      <c r="CW458" s="269"/>
      <c r="CX458" s="269">
        <f t="shared" si="1215"/>
        <v>0</v>
      </c>
      <c r="CY458" s="196"/>
      <c r="DA458" s="269">
        <f>'Detailed Budget'!$AC$100</f>
        <v>14925833098.967569</v>
      </c>
      <c r="DB458" s="269">
        <f t="shared" si="1229"/>
        <v>39394860.984786242</v>
      </c>
      <c r="DC458" s="269">
        <f t="shared" si="1204"/>
        <v>39394860.984786242</v>
      </c>
      <c r="DD458" s="207">
        <v>0</v>
      </c>
      <c r="DE458" s="606">
        <v>0</v>
      </c>
      <c r="DF458" s="269">
        <f>'Detailed Budget'!$AC$147</f>
        <v>5913600671000</v>
      </c>
      <c r="DG458" s="269">
        <f t="shared" si="1230"/>
        <v>0</v>
      </c>
      <c r="DH458" s="269">
        <f>'Detailed Budget'!$AC$153</f>
        <v>226428026880.00003</v>
      </c>
      <c r="DI458" s="269"/>
      <c r="DJ458" s="269">
        <f>'Detailed Budget'!$AC$156</f>
        <v>27713070000</v>
      </c>
      <c r="DK458" s="269"/>
      <c r="DL458" s="269"/>
      <c r="DM458" s="196">
        <f>'Detailed Budget'!$AC$178</f>
        <v>5622683761.6229038</v>
      </c>
      <c r="DN458" s="269">
        <f t="shared" si="1251"/>
        <v>18996622.841631047</v>
      </c>
      <c r="DO458" s="196">
        <f>'Detailed Budget'!$AC$179</f>
        <v>26827890683.128094</v>
      </c>
      <c r="DP458" s="269">
        <f t="shared" si="1252"/>
        <v>90639870.058714226</v>
      </c>
      <c r="DQ458" s="269">
        <f t="shared" si="1192"/>
        <v>109636492.90034527</v>
      </c>
      <c r="DR458" s="269">
        <f>'Detailed Budget'!$AC$181</f>
        <v>50888946855.375237</v>
      </c>
      <c r="DS458" s="269">
        <f t="shared" si="1253"/>
        <v>151217815.85337627</v>
      </c>
      <c r="DT458" s="269">
        <f t="shared" si="1254"/>
        <v>260854308.75372154</v>
      </c>
      <c r="DU458" s="272">
        <f>'Detailed Budget'!$AC$192</f>
        <v>77498869683.252869</v>
      </c>
      <c r="DV458" s="269">
        <f t="shared" si="1155"/>
        <v>0</v>
      </c>
      <c r="DW458" s="140">
        <f>'Detailed Budget'!$AC$194</f>
        <v>2684962805.4134097</v>
      </c>
      <c r="DX458" s="269">
        <f t="shared" si="1156"/>
        <v>0</v>
      </c>
      <c r="DY458" s="607">
        <f t="shared" si="1205"/>
        <v>0</v>
      </c>
      <c r="DZ458" s="196">
        <f>'Detailed Budget'!$AC$198</f>
        <v>18732540018.380611</v>
      </c>
      <c r="EA458" s="269">
        <f t="shared" si="1231"/>
        <v>28047462.543540079</v>
      </c>
      <c r="EB458" s="196">
        <f>'Detailed Budget'!$AC$200</f>
        <v>4683135004.5951529</v>
      </c>
      <c r="EC458" s="269">
        <f t="shared" si="1158"/>
        <v>7011865.6358850198</v>
      </c>
      <c r="ED458" s="269">
        <f t="shared" si="1206"/>
        <v>35059328.179425098</v>
      </c>
      <c r="EE458" s="196">
        <f>'Detailed Budget'!$AC$161</f>
        <v>251147290106.36197</v>
      </c>
      <c r="EF458" s="269">
        <f t="shared" si="1159"/>
        <v>325800311.15949023</v>
      </c>
      <c r="EG458" s="196">
        <f>'Detailed Budget'!$AC$163</f>
        <v>15696705631.647623</v>
      </c>
      <c r="EH458" s="269">
        <f t="shared" si="1160"/>
        <v>20362519.447468139</v>
      </c>
      <c r="EI458" s="269">
        <f t="shared" si="1207"/>
        <v>346162830.60695839</v>
      </c>
      <c r="EJ458" s="196">
        <f>'Detailed Budget'!$AC$204</f>
        <v>45012172507.531975</v>
      </c>
      <c r="EK458" s="269">
        <f t="shared" si="1161"/>
        <v>49413556.131530941</v>
      </c>
      <c r="EL458" s="201">
        <f>'Detailed Budget'!$AC$206</f>
        <v>11253043126.882994</v>
      </c>
      <c r="EM458" s="269">
        <f t="shared" si="1162"/>
        <v>12353389.032882735</v>
      </c>
      <c r="EN458" s="269">
        <f t="shared" si="1208"/>
        <v>61766945.164413676</v>
      </c>
      <c r="EO458" s="140">
        <f>'Detailed Budget'!$AC$209</f>
        <v>135789361677.54817</v>
      </c>
      <c r="EP458" s="269">
        <f t="shared" si="1163"/>
        <v>105386384.71989945</v>
      </c>
      <c r="EQ458" s="196">
        <f>'Detailed Budget'!$AC$211</f>
        <v>33947340419.387043</v>
      </c>
      <c r="ER458" s="269">
        <f t="shared" si="1164"/>
        <v>26346596.179974861</v>
      </c>
      <c r="ES458" s="269">
        <f t="shared" si="1209"/>
        <v>131732980.8998743</v>
      </c>
      <c r="ET458" s="196">
        <f>'Detailed Budget'!$AC$214</f>
        <v>22239745544.201103</v>
      </c>
      <c r="EU458" s="269">
        <f t="shared" si="1165"/>
        <v>16762798.917052098</v>
      </c>
      <c r="EV458" s="140">
        <f>'Detailed Budget'!$AC$217</f>
        <v>5559936386.0502758</v>
      </c>
      <c r="EW458" s="269">
        <f t="shared" si="1166"/>
        <v>4190699.7292630244</v>
      </c>
      <c r="EX458" s="269">
        <f t="shared" si="1210"/>
        <v>20953498.64631512</v>
      </c>
      <c r="EY458" s="196">
        <f>'Detailed Budget'!$AC$219</f>
        <v>372777004.58170313</v>
      </c>
      <c r="EZ458" s="269">
        <f t="shared" si="1167"/>
        <v>294154.47837447328</v>
      </c>
      <c r="FA458" s="196">
        <f>'Detailed Budget'!$AC$222</f>
        <v>93194251.145425782</v>
      </c>
      <c r="FB458" s="269">
        <f t="shared" si="1168"/>
        <v>73538.619593618321</v>
      </c>
      <c r="FC458" s="269">
        <f t="shared" si="1211"/>
        <v>367693.09796809161</v>
      </c>
      <c r="FD458" s="269"/>
      <c r="FE458" s="269">
        <f t="shared" si="1212"/>
        <v>214821117.80857119</v>
      </c>
      <c r="FF458" s="140"/>
      <c r="FG458" s="1087">
        <f t="shared" si="1232"/>
        <v>293030224.52847654</v>
      </c>
      <c r="FH458" s="269">
        <f t="shared" si="1233"/>
        <v>0</v>
      </c>
      <c r="FJ458" s="140">
        <f>'Detailed Budget'!$AC$235</f>
        <v>3623696172</v>
      </c>
      <c r="FK458" s="269">
        <f t="shared" si="1234"/>
        <v>4681778</v>
      </c>
      <c r="FL458" s="269">
        <f t="shared" si="1235"/>
        <v>4681778</v>
      </c>
      <c r="FO458" s="607"/>
      <c r="FP458" s="607"/>
      <c r="FQ458" s="607"/>
      <c r="FR458" s="269">
        <f>'Detailed Budget'!$AC$257</f>
        <v>13636439388</v>
      </c>
      <c r="FS458" s="269">
        <f t="shared" si="1236"/>
        <v>20986056</v>
      </c>
      <c r="FT458" s="269">
        <f t="shared" si="1237"/>
        <v>20986056</v>
      </c>
      <c r="FU458" s="269"/>
      <c r="FV458" s="269"/>
      <c r="FW458" s="269"/>
      <c r="FX458" s="140">
        <f>'Detailed Budget'!$AC$278</f>
        <v>1114560000</v>
      </c>
      <c r="FY458" s="269">
        <f t="shared" si="1238"/>
        <v>1440000</v>
      </c>
      <c r="FZ458" s="269">
        <f t="shared" si="1239"/>
        <v>1440000</v>
      </c>
      <c r="GB458" s="269">
        <f t="shared" si="1264"/>
        <v>1216430504.861939</v>
      </c>
      <c r="GC458" s="887">
        <f t="shared" si="1213"/>
        <v>760269.06553871185</v>
      </c>
      <c r="GD458" s="1078">
        <f t="shared" si="1265"/>
        <v>6.8257746058344255E-4</v>
      </c>
    </row>
    <row r="459" spans="1:186" hidden="1" outlineLevel="1">
      <c r="A459" s="211" t="s">
        <v>1048</v>
      </c>
      <c r="B459" s="212" t="s">
        <v>1049</v>
      </c>
      <c r="C459" s="213" t="s">
        <v>215</v>
      </c>
      <c r="D459" s="214" t="s">
        <v>215</v>
      </c>
      <c r="E459" s="213"/>
      <c r="F459" s="213"/>
      <c r="G459" s="213"/>
      <c r="H459" s="213" t="s">
        <v>215</v>
      </c>
      <c r="I459" s="214" t="s">
        <v>215</v>
      </c>
      <c r="J459" s="214"/>
      <c r="K459" s="213" t="s">
        <v>215</v>
      </c>
      <c r="L459" s="213"/>
      <c r="M459" s="214"/>
      <c r="N459" s="213"/>
      <c r="O459" s="214"/>
      <c r="P459" s="213"/>
      <c r="Q459" s="214"/>
      <c r="R459" s="214" t="s">
        <v>215</v>
      </c>
      <c r="S459" s="214"/>
      <c r="T459" s="214"/>
      <c r="U459" s="215">
        <f t="shared" si="1240"/>
        <v>6</v>
      </c>
      <c r="V459" s="845" t="s">
        <v>219</v>
      </c>
      <c r="W459" s="216">
        <v>216348</v>
      </c>
      <c r="X459" s="217">
        <v>3.2</v>
      </c>
      <c r="Y459" s="218">
        <f t="shared" si="1101"/>
        <v>1.032</v>
      </c>
      <c r="Z459" s="196">
        <v>19</v>
      </c>
      <c r="AA459" s="218">
        <f t="shared" si="1102"/>
        <v>1.8193415940533015</v>
      </c>
      <c r="AB459" s="196">
        <f t="shared" si="1194"/>
        <v>393610.91519024369</v>
      </c>
      <c r="AC459">
        <v>20.2</v>
      </c>
      <c r="AD459" s="196">
        <f t="shared" si="1195"/>
        <v>79509.404868429221</v>
      </c>
      <c r="AE459" s="196">
        <f t="shared" si="1148"/>
        <v>75533.934625007751</v>
      </c>
      <c r="AF459" s="196">
        <f t="shared" si="1241"/>
        <v>75533.934625007751</v>
      </c>
      <c r="AG459" s="606">
        <f t="shared" si="1216"/>
        <v>3.4923575368740662E-3</v>
      </c>
      <c r="AH459" s="196">
        <f t="shared" si="1255"/>
        <v>19680.545759512184</v>
      </c>
      <c r="AI459" s="248">
        <f t="shared" si="1193"/>
        <v>1.5246220610499834E-3</v>
      </c>
      <c r="AJ459" s="196">
        <f t="shared" si="1196"/>
        <v>99189.950627941405</v>
      </c>
      <c r="AK459" s="196">
        <f t="shared" si="1225"/>
        <v>15744.436607609749</v>
      </c>
      <c r="AL459" s="196">
        <f t="shared" si="1226"/>
        <v>15744.436607609749</v>
      </c>
      <c r="AM459" s="196">
        <f t="shared" si="1197"/>
        <v>31488.873215219497</v>
      </c>
      <c r="AN459" s="627">
        <f t="shared" si="1198"/>
        <v>1.5246220610499834E-3</v>
      </c>
      <c r="AO459" s="196">
        <f t="shared" si="1199"/>
        <v>14957.214777229259</v>
      </c>
      <c r="AP459" s="589">
        <f t="shared" si="1217"/>
        <v>1.5246220610499832E-3</v>
      </c>
      <c r="AQ459" s="196"/>
      <c r="AR459" s="589"/>
      <c r="AS459">
        <v>1</v>
      </c>
      <c r="AT459" s="589">
        <f t="shared" si="1218"/>
        <v>1.2919896640826874E-3</v>
      </c>
      <c r="AU459" s="196">
        <v>10</v>
      </c>
      <c r="AV459" s="245"/>
      <c r="AX459" s="245"/>
      <c r="AY459" s="245"/>
      <c r="AZ459" s="196">
        <v>40</v>
      </c>
      <c r="BA459" s="589">
        <f t="shared" si="1256"/>
        <v>1.4656846579458429E-3</v>
      </c>
      <c r="BI459" s="196">
        <v>0</v>
      </c>
      <c r="BK459" s="246">
        <f t="shared" si="1257"/>
        <v>0</v>
      </c>
      <c r="BL459" s="246"/>
      <c r="BM459" s="246">
        <f t="shared" si="1258"/>
        <v>0</v>
      </c>
      <c r="BN459" s="196">
        <v>1</v>
      </c>
      <c r="BO459" s="196">
        <f t="shared" si="1242"/>
        <v>33160.267074672476</v>
      </c>
      <c r="BP459" s="196">
        <f t="shared" si="1201"/>
        <v>33160.267074672476</v>
      </c>
      <c r="BQ459" s="248">
        <f t="shared" si="1259"/>
        <v>3.1019885658285107E-3</v>
      </c>
      <c r="BR459" s="248"/>
      <c r="BS459" s="248"/>
      <c r="BT459" s="276">
        <v>1</v>
      </c>
      <c r="BU459" s="196">
        <f t="shared" si="1260"/>
        <v>57246.77150526904</v>
      </c>
      <c r="BV459" s="264">
        <f t="shared" si="1261"/>
        <v>3.9707445059670677E-3</v>
      </c>
      <c r="BW459" s="196">
        <f t="shared" si="1262"/>
        <v>244888.96699476201</v>
      </c>
      <c r="BX459" s="247">
        <f t="shared" si="1263"/>
        <v>3.9707445417356867E-3</v>
      </c>
      <c r="BY459" s="196">
        <f t="shared" si="1100"/>
        <v>302135.73850003106</v>
      </c>
      <c r="BZ459" s="620">
        <v>0</v>
      </c>
      <c r="CA459" s="196">
        <f t="shared" si="1243"/>
        <v>120444.94004821457</v>
      </c>
      <c r="CB459" s="196">
        <f t="shared" si="1244"/>
        <v>240889.88009642914</v>
      </c>
      <c r="CC459" s="196">
        <f t="shared" si="1214"/>
        <v>361334.82014464372</v>
      </c>
      <c r="CD459" s="247">
        <f t="shared" si="1202"/>
        <v>1.5246220610499834E-3</v>
      </c>
      <c r="CE459" s="196">
        <f t="shared" si="1245"/>
        <v>40749.491438130062</v>
      </c>
      <c r="CF459" s="247">
        <f t="shared" si="1203"/>
        <v>1.7596897690027517E-3</v>
      </c>
      <c r="CG459" s="196">
        <f t="shared" si="1150"/>
        <v>59828.859108917037</v>
      </c>
      <c r="CH459" s="589">
        <f t="shared" si="1219"/>
        <v>1.5246220610499832E-3</v>
      </c>
      <c r="CI459" s="196">
        <f t="shared" si="1246"/>
        <v>78479.023463455989</v>
      </c>
      <c r="CJ459" s="248">
        <f t="shared" si="1220"/>
        <v>1.2901949465331168E-3</v>
      </c>
      <c r="CK459" s="196">
        <f t="shared" si="1247"/>
        <v>63451.792196996335</v>
      </c>
      <c r="CL459" s="589">
        <f t="shared" si="1221"/>
        <v>9.1213256430865185E-4</v>
      </c>
      <c r="CM459" s="196">
        <f t="shared" si="1248"/>
        <v>6146.9218549760762</v>
      </c>
      <c r="CN459" s="589">
        <f t="shared" si="1222"/>
        <v>8.8584129692389623E-4</v>
      </c>
      <c r="CO459" s="196">
        <f t="shared" si="1249"/>
        <v>491.76694488124406</v>
      </c>
      <c r="CP459" s="589">
        <f t="shared" si="1223"/>
        <v>9.273967119921776E-4</v>
      </c>
      <c r="CQ459" s="196">
        <f>'Detailed Budget'!$AC$12</f>
        <v>292876014141.44696</v>
      </c>
      <c r="CR459" s="269">
        <f t="shared" si="1224"/>
        <v>0</v>
      </c>
      <c r="CS459" s="269">
        <f>'Detailed Budget'!$AC$16</f>
        <v>10488008800.000002</v>
      </c>
      <c r="CT459" s="607">
        <f t="shared" si="1152"/>
        <v>0</v>
      </c>
      <c r="CU459" s="269">
        <f>'Detailed Budget'!$AC$24</f>
        <v>30624985696</v>
      </c>
      <c r="CV459" s="269">
        <f t="shared" si="1250"/>
        <v>0</v>
      </c>
      <c r="CW459" s="269"/>
      <c r="CX459" s="269">
        <f t="shared" si="1215"/>
        <v>0</v>
      </c>
      <c r="CY459" s="196"/>
      <c r="DA459" s="269">
        <f>'Detailed Budget'!$AC$100</f>
        <v>14925833098.967569</v>
      </c>
      <c r="DB459" s="269">
        <f t="shared" si="1229"/>
        <v>46299763.608462125</v>
      </c>
      <c r="DC459" s="269">
        <f t="shared" si="1204"/>
        <v>46299763.608462125</v>
      </c>
      <c r="DD459" s="207">
        <v>0</v>
      </c>
      <c r="DE459" s="606">
        <v>0</v>
      </c>
      <c r="DF459" s="269">
        <f>'Detailed Budget'!$AC$147</f>
        <v>5913600671000</v>
      </c>
      <c r="DG459" s="269">
        <f t="shared" si="1230"/>
        <v>0</v>
      </c>
      <c r="DH459" s="269">
        <f>'Detailed Budget'!$AC$153</f>
        <v>226428026880.00003</v>
      </c>
      <c r="DI459" s="269"/>
      <c r="DJ459" s="269">
        <f>'Detailed Budget'!$AC$156</f>
        <v>27713070000</v>
      </c>
      <c r="DK459" s="269"/>
      <c r="DL459" s="269"/>
      <c r="DM459" s="196">
        <f>'Detailed Budget'!$AC$178</f>
        <v>5622683761.6229038</v>
      </c>
      <c r="DN459" s="269">
        <f t="shared" si="1251"/>
        <v>22326240.65525439</v>
      </c>
      <c r="DO459" s="196">
        <f>'Detailed Budget'!$AC$179</f>
        <v>26827890683.128094</v>
      </c>
      <c r="DP459" s="269">
        <f t="shared" si="1252"/>
        <v>106526700.49631256</v>
      </c>
      <c r="DQ459" s="269">
        <f t="shared" si="1192"/>
        <v>128852941.15156695</v>
      </c>
      <c r="DR459" s="269">
        <f>'Detailed Budget'!$AC$181</f>
        <v>50888946855.375237</v>
      </c>
      <c r="DS459" s="269">
        <f t="shared" si="1253"/>
        <v>177722397.09395352</v>
      </c>
      <c r="DT459" s="269">
        <f t="shared" si="1254"/>
        <v>306575338.24552047</v>
      </c>
      <c r="DU459" s="272">
        <f>'Detailed Budget'!$AC$192</f>
        <v>77498869683.252869</v>
      </c>
      <c r="DV459" s="269">
        <f t="shared" si="1155"/>
        <v>0</v>
      </c>
      <c r="DW459" s="140">
        <f>'Detailed Budget'!$AC$194</f>
        <v>2684962805.4134097</v>
      </c>
      <c r="DX459" s="269">
        <f t="shared" si="1156"/>
        <v>0</v>
      </c>
      <c r="DY459" s="607">
        <f t="shared" si="1205"/>
        <v>0</v>
      </c>
      <c r="DZ459" s="196">
        <f>'Detailed Budget'!$AC$198</f>
        <v>18732540018.380611</v>
      </c>
      <c r="EA459" s="269">
        <f t="shared" si="1231"/>
        <v>32963459.017778981</v>
      </c>
      <c r="EB459" s="196">
        <f>'Detailed Budget'!$AC$200</f>
        <v>4683135004.5951529</v>
      </c>
      <c r="EC459" s="269">
        <f t="shared" si="1158"/>
        <v>8240864.7544447454</v>
      </c>
      <c r="ED459" s="269">
        <f t="shared" si="1206"/>
        <v>41204323.772223726</v>
      </c>
      <c r="EE459" s="196">
        <f>'Detailed Budget'!$AC$161</f>
        <v>251147290106.36197</v>
      </c>
      <c r="EF459" s="269">
        <f t="shared" si="1159"/>
        <v>382904699.06907964</v>
      </c>
      <c r="EG459" s="196">
        <f>'Detailed Budget'!$AC$163</f>
        <v>15696705631.647623</v>
      </c>
      <c r="EH459" s="269">
        <f t="shared" si="1160"/>
        <v>23931543.691817477</v>
      </c>
      <c r="EI459" s="269">
        <f t="shared" si="1207"/>
        <v>406836242.7608971</v>
      </c>
      <c r="EJ459" s="196">
        <f>'Detailed Budget'!$AC$204</f>
        <v>45012172507.531975</v>
      </c>
      <c r="EK459" s="269">
        <f t="shared" si="1161"/>
        <v>58074477.501694649</v>
      </c>
      <c r="EL459" s="201">
        <f>'Detailed Budget'!$AC$206</f>
        <v>11253043126.882994</v>
      </c>
      <c r="EM459" s="269">
        <f t="shared" si="1162"/>
        <v>14518619.375423662</v>
      </c>
      <c r="EN459" s="269">
        <f t="shared" si="1208"/>
        <v>72593096.877118319</v>
      </c>
      <c r="EO459" s="140">
        <f>'Detailed Budget'!$AC$209</f>
        <v>135789361677.54817</v>
      </c>
      <c r="EP459" s="269">
        <f t="shared" si="1163"/>
        <v>123857898.672777</v>
      </c>
      <c r="EQ459" s="196">
        <f>'Detailed Budget'!$AC$211</f>
        <v>33947340419.387043</v>
      </c>
      <c r="ER459" s="269">
        <f t="shared" si="1164"/>
        <v>30964474.668194249</v>
      </c>
      <c r="ES459" s="269">
        <f t="shared" si="1209"/>
        <v>154822373.34097123</v>
      </c>
      <c r="ET459" s="196">
        <f>'Detailed Budget'!$AC$214</f>
        <v>22239745544.201103</v>
      </c>
      <c r="EU459" s="269">
        <f t="shared" si="1165"/>
        <v>19700885.036132548</v>
      </c>
      <c r="EV459" s="140">
        <f>'Detailed Budget'!$AC$217</f>
        <v>5559936386.0502758</v>
      </c>
      <c r="EW459" s="269">
        <f t="shared" si="1166"/>
        <v>4925221.259033137</v>
      </c>
      <c r="EX459" s="269">
        <f t="shared" si="1210"/>
        <v>24626106.295165684</v>
      </c>
      <c r="EY459" s="196">
        <f>'Detailed Budget'!$AC$219</f>
        <v>372777004.58170313</v>
      </c>
      <c r="EZ459" s="269">
        <f t="shared" si="1167"/>
        <v>345712.16835536441</v>
      </c>
      <c r="FA459" s="196">
        <f>'Detailed Budget'!$AC$222</f>
        <v>93194251.145425782</v>
      </c>
      <c r="FB459" s="269">
        <f t="shared" si="1168"/>
        <v>86428.042088841103</v>
      </c>
      <c r="FC459" s="269">
        <f t="shared" si="1211"/>
        <v>432140.2104442055</v>
      </c>
      <c r="FD459" s="269"/>
      <c r="FE459" s="269">
        <f t="shared" si="1212"/>
        <v>252473716.72369945</v>
      </c>
      <c r="FF459" s="140"/>
      <c r="FG459" s="1087">
        <f t="shared" si="1232"/>
        <v>344390861.81932527</v>
      </c>
      <c r="FH459" s="269">
        <f t="shared" si="1233"/>
        <v>0</v>
      </c>
      <c r="FJ459" s="140">
        <f>'Detailed Budget'!$AC$235</f>
        <v>3623696172</v>
      </c>
      <c r="FK459" s="269">
        <f t="shared" si="1234"/>
        <v>4681778</v>
      </c>
      <c r="FL459" s="269">
        <f t="shared" si="1235"/>
        <v>4681778</v>
      </c>
      <c r="FO459" s="607"/>
      <c r="FP459" s="607"/>
      <c r="FQ459" s="607"/>
      <c r="FR459" s="269">
        <f>'Detailed Budget'!$AC$257</f>
        <v>13636439388</v>
      </c>
      <c r="FS459" s="269">
        <f t="shared" si="1236"/>
        <v>19986720</v>
      </c>
      <c r="FT459" s="269">
        <f t="shared" si="1237"/>
        <v>19986720</v>
      </c>
      <c r="FU459" s="269"/>
      <c r="FV459" s="269"/>
      <c r="FW459" s="269"/>
      <c r="FX459" s="140">
        <f>'Detailed Budget'!$AC$278</f>
        <v>1114560000</v>
      </c>
      <c r="FY459" s="269">
        <f t="shared" si="1238"/>
        <v>1440000</v>
      </c>
      <c r="FZ459" s="269">
        <f t="shared" si="1239"/>
        <v>1440000</v>
      </c>
      <c r="GB459" s="269">
        <f t="shared" si="1264"/>
        <v>1423888744.9301281</v>
      </c>
      <c r="GC459" s="887">
        <f t="shared" si="1213"/>
        <v>889930.46558133001</v>
      </c>
      <c r="GD459" s="1078">
        <f t="shared" si="1265"/>
        <v>7.989888117595844E-4</v>
      </c>
    </row>
    <row r="460" spans="1:186" hidden="1" outlineLevel="1">
      <c r="A460" s="211" t="s">
        <v>1050</v>
      </c>
      <c r="B460" s="212" t="s">
        <v>1051</v>
      </c>
      <c r="C460" s="213" t="s">
        <v>215</v>
      </c>
      <c r="D460" s="214" t="s">
        <v>215</v>
      </c>
      <c r="E460" s="213"/>
      <c r="F460" s="213"/>
      <c r="G460" s="213"/>
      <c r="H460" s="213" t="s">
        <v>215</v>
      </c>
      <c r="I460" s="214" t="s">
        <v>215</v>
      </c>
      <c r="J460" s="214"/>
      <c r="K460" s="213" t="s">
        <v>215</v>
      </c>
      <c r="L460" s="213"/>
      <c r="M460" s="214"/>
      <c r="N460" s="213"/>
      <c r="O460" s="214"/>
      <c r="P460" s="213"/>
      <c r="Q460" s="214"/>
      <c r="R460" s="214" t="s">
        <v>215</v>
      </c>
      <c r="S460" s="214"/>
      <c r="T460" s="214"/>
      <c r="U460" s="215">
        <f t="shared" si="1240"/>
        <v>6</v>
      </c>
      <c r="V460" s="845" t="s">
        <v>219</v>
      </c>
      <c r="W460" s="216">
        <v>258644</v>
      </c>
      <c r="X460" s="217">
        <v>3.2</v>
      </c>
      <c r="Y460" s="218">
        <f t="shared" si="1101"/>
        <v>1.032</v>
      </c>
      <c r="Z460" s="196">
        <v>19</v>
      </c>
      <c r="AA460" s="218">
        <f t="shared" si="1102"/>
        <v>1.8193415940533015</v>
      </c>
      <c r="AB460" s="196">
        <f t="shared" si="1194"/>
        <v>470561.78725232213</v>
      </c>
      <c r="AC460">
        <v>20.2</v>
      </c>
      <c r="AD460" s="196">
        <f t="shared" si="1195"/>
        <v>95053.481024969078</v>
      </c>
      <c r="AE460" s="196">
        <f t="shared" si="1148"/>
        <v>90300.806973720624</v>
      </c>
      <c r="AF460" s="196">
        <f t="shared" si="1241"/>
        <v>90300.806973720624</v>
      </c>
      <c r="AG460" s="606">
        <f t="shared" si="1216"/>
        <v>4.1751128864942416E-3</v>
      </c>
      <c r="AH460" s="196">
        <f t="shared" si="1255"/>
        <v>23528.089362616109</v>
      </c>
      <c r="AI460" s="248">
        <f t="shared" si="1193"/>
        <v>1.8226854343844729E-3</v>
      </c>
      <c r="AJ460" s="196">
        <f t="shared" si="1196"/>
        <v>118581.57038758519</v>
      </c>
      <c r="AK460" s="196">
        <f t="shared" si="1225"/>
        <v>18822.471490092885</v>
      </c>
      <c r="AL460" s="196">
        <f t="shared" si="1226"/>
        <v>18822.471490092885</v>
      </c>
      <c r="AM460" s="196">
        <f t="shared" si="1197"/>
        <v>37644.94298018577</v>
      </c>
      <c r="AN460" s="627">
        <f t="shared" si="1198"/>
        <v>1.8226854343844727E-3</v>
      </c>
      <c r="AO460" s="196">
        <f t="shared" si="1199"/>
        <v>17881.347915588241</v>
      </c>
      <c r="AP460" s="589">
        <f t="shared" si="1217"/>
        <v>1.8226854343844727E-3</v>
      </c>
      <c r="AQ460" s="196"/>
      <c r="AR460" s="589"/>
      <c r="AS460">
        <v>1</v>
      </c>
      <c r="AT460" s="589">
        <f t="shared" si="1218"/>
        <v>1.2919896640826874E-3</v>
      </c>
      <c r="AU460" s="196">
        <v>11</v>
      </c>
      <c r="AV460" s="245"/>
      <c r="AX460" s="245"/>
      <c r="AY460" s="245"/>
      <c r="AZ460" s="196">
        <v>68</v>
      </c>
      <c r="BA460" s="589">
        <f t="shared" si="1256"/>
        <v>2.4916639185079332E-3</v>
      </c>
      <c r="BI460" s="196">
        <v>0</v>
      </c>
      <c r="BK460" s="246">
        <f t="shared" si="1257"/>
        <v>0</v>
      </c>
      <c r="BL460" s="246"/>
      <c r="BM460" s="246">
        <f t="shared" si="1258"/>
        <v>0</v>
      </c>
      <c r="BN460" s="196">
        <v>1</v>
      </c>
      <c r="BO460" s="196">
        <f t="shared" si="1242"/>
        <v>39643.094076495225</v>
      </c>
      <c r="BP460" s="196">
        <f t="shared" si="1201"/>
        <v>39643.094076495225</v>
      </c>
      <c r="BQ460" s="248">
        <f t="shared" si="1259"/>
        <v>3.7084268429574082E-3</v>
      </c>
      <c r="BR460" s="248"/>
      <c r="BS460" s="248"/>
      <c r="BT460" s="276">
        <v>1</v>
      </c>
      <c r="BU460" s="196">
        <f t="shared" si="1260"/>
        <v>68438.506337977728</v>
      </c>
      <c r="BV460" s="264">
        <f t="shared" si="1261"/>
        <v>4.7470244328643952E-3</v>
      </c>
      <c r="BW460" s="196">
        <f t="shared" si="1262"/>
        <v>292764.72155690478</v>
      </c>
      <c r="BX460" s="247">
        <f t="shared" si="1263"/>
        <v>4.7470244756257747E-3</v>
      </c>
      <c r="BY460" s="196">
        <f t="shared" si="1100"/>
        <v>361203.2278948825</v>
      </c>
      <c r="BZ460" s="620">
        <v>0</v>
      </c>
      <c r="CA460" s="196">
        <f t="shared" si="1243"/>
        <v>143991.90689921056</v>
      </c>
      <c r="CB460" s="196">
        <f t="shared" si="1244"/>
        <v>287983.81379842112</v>
      </c>
      <c r="CC460" s="196">
        <f t="shared" si="1214"/>
        <v>431975.72069763171</v>
      </c>
      <c r="CD460" s="247">
        <f t="shared" si="1202"/>
        <v>1.8226854343844727E-3</v>
      </c>
      <c r="CE460" s="196">
        <f t="shared" si="1245"/>
        <v>48716.010610330173</v>
      </c>
      <c r="CF460" s="247">
        <f t="shared" si="1203"/>
        <v>2.1037088423001265E-3</v>
      </c>
      <c r="CG460" s="196">
        <f t="shared" si="1150"/>
        <v>71525.391662352966</v>
      </c>
      <c r="CH460" s="589">
        <f t="shared" si="1219"/>
        <v>1.8226854343844727E-3</v>
      </c>
      <c r="CI460" s="196">
        <f t="shared" si="1246"/>
        <v>93821.660217252371</v>
      </c>
      <c r="CJ460" s="248">
        <f t="shared" si="1220"/>
        <v>1.5424278558207681E-3</v>
      </c>
      <c r="CK460" s="196">
        <f t="shared" si="1247"/>
        <v>75856.607599792565</v>
      </c>
      <c r="CL460" s="589">
        <f t="shared" si="1221"/>
        <v>1.0904543372855168E-3</v>
      </c>
      <c r="CM460" s="196">
        <f t="shared" si="1248"/>
        <v>7348.6441116092246</v>
      </c>
      <c r="CN460" s="589">
        <f t="shared" si="1222"/>
        <v>1.0590231312588251E-3</v>
      </c>
      <c r="CO460" s="196">
        <f t="shared" si="1249"/>
        <v>587.9073053222794</v>
      </c>
      <c r="CP460" s="589">
        <f t="shared" si="1223"/>
        <v>1.1087026234423466E-3</v>
      </c>
      <c r="CQ460" s="196">
        <f>'Detailed Budget'!$AC$12</f>
        <v>292876014141.44696</v>
      </c>
      <c r="CR460" s="269">
        <f t="shared" si="1224"/>
        <v>0</v>
      </c>
      <c r="CS460" s="269">
        <f>'Detailed Budget'!$AC$16</f>
        <v>10488008800.000002</v>
      </c>
      <c r="CT460" s="607">
        <f t="shared" si="1152"/>
        <v>0</v>
      </c>
      <c r="CU460" s="269">
        <f>'Detailed Budget'!$AC$24</f>
        <v>30624985696</v>
      </c>
      <c r="CV460" s="269">
        <f t="shared" si="1250"/>
        <v>0</v>
      </c>
      <c r="CW460" s="269"/>
      <c r="CX460" s="269">
        <f t="shared" si="1215"/>
        <v>0</v>
      </c>
      <c r="CY460" s="196"/>
      <c r="DA460" s="269">
        <f>'Detailed Budget'!$AC$100</f>
        <v>14925833098.967569</v>
      </c>
      <c r="DB460" s="269">
        <f t="shared" si="1229"/>
        <v>55351360.117713489</v>
      </c>
      <c r="DC460" s="269">
        <f t="shared" si="1204"/>
        <v>55351360.117713489</v>
      </c>
      <c r="DD460" s="207">
        <v>0</v>
      </c>
      <c r="DE460" s="606">
        <v>0</v>
      </c>
      <c r="DF460" s="269">
        <f>'Detailed Budget'!$AC$147</f>
        <v>5913600671000</v>
      </c>
      <c r="DG460" s="269">
        <f t="shared" si="1230"/>
        <v>0</v>
      </c>
      <c r="DH460" s="269">
        <f>'Detailed Budget'!$AC$153</f>
        <v>226428026880.00003</v>
      </c>
      <c r="DI460" s="269"/>
      <c r="DJ460" s="269">
        <f>'Detailed Budget'!$AC$156</f>
        <v>27713070000</v>
      </c>
      <c r="DK460" s="269"/>
      <c r="DL460" s="269"/>
      <c r="DM460" s="196">
        <f>'Detailed Budget'!$AC$178</f>
        <v>5622683761.6229038</v>
      </c>
      <c r="DN460" s="269">
        <f t="shared" si="1251"/>
        <v>26691017.194693811</v>
      </c>
      <c r="DO460" s="196">
        <f>'Detailed Budget'!$AC$179</f>
        <v>26827890683.128094</v>
      </c>
      <c r="DP460" s="269">
        <f t="shared" si="1252"/>
        <v>127352653.70222175</v>
      </c>
      <c r="DQ460" s="269">
        <f t="shared" si="1192"/>
        <v>154043670.89691556</v>
      </c>
      <c r="DR460" s="269">
        <f>'Detailed Budget'!$AC$181</f>
        <v>50888946855.375237</v>
      </c>
      <c r="DS460" s="269">
        <f t="shared" si="1253"/>
        <v>212467097.79599777</v>
      </c>
      <c r="DT460" s="269">
        <f t="shared" si="1254"/>
        <v>366510768.69291329</v>
      </c>
      <c r="DU460" s="272">
        <f>'Detailed Budget'!$AC$192</f>
        <v>77498869683.252869</v>
      </c>
      <c r="DV460" s="269">
        <f t="shared" si="1155"/>
        <v>0</v>
      </c>
      <c r="DW460" s="140">
        <f>'Detailed Budget'!$AC$194</f>
        <v>2684962805.4134097</v>
      </c>
      <c r="DX460" s="269">
        <f t="shared" si="1156"/>
        <v>0</v>
      </c>
      <c r="DY460" s="607">
        <f t="shared" si="1205"/>
        <v>0</v>
      </c>
      <c r="DZ460" s="196">
        <f>'Detailed Budget'!$AC$198</f>
        <v>18732540018.380611</v>
      </c>
      <c r="EA460" s="269">
        <f t="shared" si="1231"/>
        <v>39407810.075408265</v>
      </c>
      <c r="EB460" s="196">
        <f>'Detailed Budget'!$AC$200</f>
        <v>4683135004.5951529</v>
      </c>
      <c r="EC460" s="269">
        <f t="shared" si="1158"/>
        <v>9851952.5188520662</v>
      </c>
      <c r="ED460" s="269">
        <f t="shared" si="1206"/>
        <v>49259762.594260335</v>
      </c>
      <c r="EE460" s="196">
        <f>'Detailed Budget'!$AC$161</f>
        <v>251147290106.36197</v>
      </c>
      <c r="EF460" s="269">
        <f t="shared" si="1159"/>
        <v>457762507.56199753</v>
      </c>
      <c r="EG460" s="196">
        <f>'Detailed Budget'!$AC$163</f>
        <v>15696705631.647623</v>
      </c>
      <c r="EH460" s="269">
        <f t="shared" si="1160"/>
        <v>28610156.722624846</v>
      </c>
      <c r="EI460" s="269">
        <f t="shared" si="1207"/>
        <v>486372664.28462237</v>
      </c>
      <c r="EJ460" s="196">
        <f>'Detailed Budget'!$AC$204</f>
        <v>45012172507.531975</v>
      </c>
      <c r="EK460" s="269">
        <f t="shared" si="1161"/>
        <v>69428028.726627067</v>
      </c>
      <c r="EL460" s="201">
        <f>'Detailed Budget'!$AC$206</f>
        <v>11253043126.882994</v>
      </c>
      <c r="EM460" s="269">
        <f t="shared" si="1162"/>
        <v>17357007.181656767</v>
      </c>
      <c r="EN460" s="269">
        <f t="shared" si="1208"/>
        <v>86785035.90828383</v>
      </c>
      <c r="EO460" s="140">
        <f>'Detailed Budget'!$AC$209</f>
        <v>135789361677.54817</v>
      </c>
      <c r="EP460" s="269">
        <f t="shared" si="1163"/>
        <v>148072098.39851415</v>
      </c>
      <c r="EQ460" s="196">
        <f>'Detailed Budget'!$AC$211</f>
        <v>33947340419.387043</v>
      </c>
      <c r="ER460" s="269">
        <f t="shared" si="1164"/>
        <v>37018024.599628538</v>
      </c>
      <c r="ES460" s="269">
        <f t="shared" si="1209"/>
        <v>185090122.99814269</v>
      </c>
      <c r="ET460" s="196">
        <f>'Detailed Budget'!$AC$214</f>
        <v>22239745544.201103</v>
      </c>
      <c r="EU460" s="269">
        <f t="shared" si="1165"/>
        <v>23552404.964619353</v>
      </c>
      <c r="EV460" s="140">
        <f>'Detailed Budget'!$AC$217</f>
        <v>5559936386.0502758</v>
      </c>
      <c r="EW460" s="269">
        <f t="shared" si="1166"/>
        <v>5888101.2411548384</v>
      </c>
      <c r="EX460" s="269">
        <f t="shared" si="1210"/>
        <v>29440506.205774192</v>
      </c>
      <c r="EY460" s="196">
        <f>'Detailed Budget'!$AC$219</f>
        <v>372777004.58170313</v>
      </c>
      <c r="EZ460" s="269">
        <f t="shared" si="1167"/>
        <v>413298.8429387139</v>
      </c>
      <c r="FA460" s="196">
        <f>'Detailed Budget'!$AC$222</f>
        <v>93194251.145425782</v>
      </c>
      <c r="FB460" s="269">
        <f t="shared" si="1168"/>
        <v>103324.71073467848</v>
      </c>
      <c r="FC460" s="269">
        <f t="shared" si="1211"/>
        <v>516623.55367339239</v>
      </c>
      <c r="FD460" s="269"/>
      <c r="FE460" s="269">
        <f t="shared" si="1212"/>
        <v>301832288.66587412</v>
      </c>
      <c r="FF460" s="140"/>
      <c r="FG460" s="1087">
        <f t="shared" si="1232"/>
        <v>411719221.18252808</v>
      </c>
      <c r="FH460" s="269">
        <f t="shared" si="1233"/>
        <v>0</v>
      </c>
      <c r="FJ460" s="140">
        <f>'Detailed Budget'!$AC$235</f>
        <v>3623696172</v>
      </c>
      <c r="FK460" s="269">
        <f t="shared" si="1234"/>
        <v>4681778</v>
      </c>
      <c r="FL460" s="269">
        <f t="shared" si="1235"/>
        <v>4681778</v>
      </c>
      <c r="FO460" s="607"/>
      <c r="FP460" s="607"/>
      <c r="FQ460" s="607"/>
      <c r="FR460" s="269">
        <f>'Detailed Budget'!$AC$257</f>
        <v>13636439388</v>
      </c>
      <c r="FS460" s="269">
        <f t="shared" si="1236"/>
        <v>33977424</v>
      </c>
      <c r="FT460" s="269">
        <f t="shared" si="1237"/>
        <v>33977424</v>
      </c>
      <c r="FU460" s="269"/>
      <c r="FV460" s="269"/>
      <c r="FW460" s="269"/>
      <c r="FX460" s="140">
        <f>'Detailed Budget'!$AC$278</f>
        <v>1114560000</v>
      </c>
      <c r="FY460" s="269">
        <f t="shared" si="1238"/>
        <v>1440000</v>
      </c>
      <c r="FZ460" s="269">
        <f t="shared" si="1239"/>
        <v>1440000</v>
      </c>
      <c r="GB460" s="269">
        <f t="shared" si="1264"/>
        <v>1711145267.5379117</v>
      </c>
      <c r="GC460" s="887">
        <f t="shared" si="1213"/>
        <v>1069465.7922111948</v>
      </c>
      <c r="GD460" s="1078">
        <f t="shared" si="1265"/>
        <v>9.6017749204502744E-4</v>
      </c>
    </row>
    <row r="461" spans="1:186" hidden="1" outlineLevel="1">
      <c r="A461" s="211" t="s">
        <v>1052</v>
      </c>
      <c r="B461" s="212" t="s">
        <v>1053</v>
      </c>
      <c r="C461" s="213" t="s">
        <v>215</v>
      </c>
      <c r="D461" s="214" t="s">
        <v>215</v>
      </c>
      <c r="E461" s="213"/>
      <c r="F461" s="213"/>
      <c r="G461" s="213"/>
      <c r="H461" s="213" t="s">
        <v>215</v>
      </c>
      <c r="I461" s="214" t="s">
        <v>215</v>
      </c>
      <c r="J461" s="214"/>
      <c r="K461" s="213" t="s">
        <v>215</v>
      </c>
      <c r="L461" s="213"/>
      <c r="M461" s="214"/>
      <c r="N461" s="213"/>
      <c r="O461" s="214"/>
      <c r="P461" s="213"/>
      <c r="Q461" s="214"/>
      <c r="R461" s="214" t="s">
        <v>215</v>
      </c>
      <c r="S461" s="214"/>
      <c r="T461" s="214"/>
      <c r="U461" s="215">
        <f t="shared" si="1240"/>
        <v>6</v>
      </c>
      <c r="V461" s="845" t="s">
        <v>219</v>
      </c>
      <c r="W461" s="216">
        <v>206721</v>
      </c>
      <c r="X461" s="217">
        <v>3.2</v>
      </c>
      <c r="Y461" s="218">
        <f t="shared" si="1101"/>
        <v>1.032</v>
      </c>
      <c r="Z461" s="196">
        <v>19</v>
      </c>
      <c r="AA461" s="218">
        <f t="shared" si="1102"/>
        <v>1.8193415940533015</v>
      </c>
      <c r="AB461" s="196">
        <f t="shared" si="1194"/>
        <v>376096.11366429256</v>
      </c>
      <c r="AC461">
        <v>20.2</v>
      </c>
      <c r="AD461" s="196">
        <f t="shared" si="1195"/>
        <v>75971.414960187103</v>
      </c>
      <c r="AE461" s="196">
        <f t="shared" si="1148"/>
        <v>72172.844212177748</v>
      </c>
      <c r="AF461" s="196">
        <f t="shared" si="1241"/>
        <v>72172.844212177748</v>
      </c>
      <c r="AG461" s="606">
        <f t="shared" si="1216"/>
        <v>3.3369554716481966E-3</v>
      </c>
      <c r="AH461" s="196">
        <f t="shared" si="1255"/>
        <v>18804.805683214629</v>
      </c>
      <c r="AI461" s="248">
        <f t="shared" si="1193"/>
        <v>1.4567798042150314E-3</v>
      </c>
      <c r="AJ461" s="196">
        <f t="shared" si="1196"/>
        <v>94776.220643401728</v>
      </c>
      <c r="AK461" s="196">
        <f t="shared" si="1225"/>
        <v>15043.844546571703</v>
      </c>
      <c r="AL461" s="196">
        <f t="shared" si="1226"/>
        <v>15043.844546571703</v>
      </c>
      <c r="AM461" s="196">
        <f t="shared" si="1197"/>
        <v>30087.689093143406</v>
      </c>
      <c r="AN461" s="627">
        <f t="shared" si="1198"/>
        <v>1.4567798042150314E-3</v>
      </c>
      <c r="AO461" s="196">
        <f t="shared" si="1199"/>
        <v>14291.652319243116</v>
      </c>
      <c r="AP461" s="589">
        <f t="shared" si="1217"/>
        <v>1.4567798042150312E-3</v>
      </c>
      <c r="AQ461" s="196"/>
      <c r="AR461" s="589"/>
      <c r="AS461">
        <v>1</v>
      </c>
      <c r="AT461" s="589">
        <f t="shared" si="1218"/>
        <v>1.2919896640826874E-3</v>
      </c>
      <c r="AU461" s="196">
        <v>11</v>
      </c>
      <c r="AV461" s="245"/>
      <c r="AX461" s="245"/>
      <c r="AY461" s="245"/>
      <c r="AZ461" s="196">
        <v>41</v>
      </c>
      <c r="BA461" s="589">
        <f t="shared" si="1256"/>
        <v>1.5023267743944891E-3</v>
      </c>
      <c r="BI461" s="196">
        <v>0</v>
      </c>
      <c r="BK461" s="246">
        <f t="shared" si="1257"/>
        <v>0</v>
      </c>
      <c r="BL461" s="246"/>
      <c r="BM461" s="246">
        <f t="shared" si="1258"/>
        <v>0</v>
      </c>
      <c r="BN461" s="196">
        <v>1</v>
      </c>
      <c r="BO461" s="196">
        <f t="shared" si="1242"/>
        <v>31684.709680437856</v>
      </c>
      <c r="BP461" s="196">
        <f t="shared" si="1201"/>
        <v>31684.709680437856</v>
      </c>
      <c r="BQ461" s="248">
        <f t="shared" si="1259"/>
        <v>2.9639570428967939E-3</v>
      </c>
      <c r="BR461" s="248"/>
      <c r="BS461" s="248"/>
      <c r="BT461" s="276">
        <v>1</v>
      </c>
      <c r="BU461" s="196">
        <f t="shared" si="1260"/>
        <v>54699.418771334713</v>
      </c>
      <c r="BV461" s="264">
        <f t="shared" si="1261"/>
        <v>3.7940552952558763E-3</v>
      </c>
      <c r="BW461" s="196">
        <f t="shared" si="1262"/>
        <v>233991.95807737627</v>
      </c>
      <c r="BX461" s="247">
        <f t="shared" si="1263"/>
        <v>3.7940553294328718E-3</v>
      </c>
      <c r="BY461" s="196">
        <f t="shared" si="1100"/>
        <v>288691.37684871099</v>
      </c>
      <c r="BZ461" s="620">
        <v>0</v>
      </c>
      <c r="CA461" s="196">
        <f t="shared" si="1243"/>
        <v>115085.41078127352</v>
      </c>
      <c r="CB461" s="196">
        <f t="shared" si="1244"/>
        <v>230170.82156254703</v>
      </c>
      <c r="CC461" s="196">
        <f t="shared" si="1214"/>
        <v>345256.23234382056</v>
      </c>
      <c r="CD461" s="247">
        <f t="shared" si="1202"/>
        <v>1.4567798042150314E-3</v>
      </c>
      <c r="CE461" s="196">
        <f t="shared" si="1245"/>
        <v>38936.230608009711</v>
      </c>
      <c r="CF461" s="247">
        <f t="shared" si="1203"/>
        <v>1.6813875272154949E-3</v>
      </c>
      <c r="CG461" s="196">
        <f t="shared" si="1150"/>
        <v>57166.609276972464</v>
      </c>
      <c r="CH461" s="589">
        <f t="shared" si="1219"/>
        <v>1.4567798042150312E-3</v>
      </c>
      <c r="CI461" s="196">
        <f t="shared" si="1246"/>
        <v>74986.883213106135</v>
      </c>
      <c r="CJ461" s="248">
        <f t="shared" si="1220"/>
        <v>1.2327841696815891E-3</v>
      </c>
      <c r="CK461" s="196">
        <f t="shared" si="1247"/>
        <v>60628.329981119678</v>
      </c>
      <c r="CL461" s="589">
        <f t="shared" si="1221"/>
        <v>8.7154471419402459E-4</v>
      </c>
      <c r="CM461" s="196">
        <f t="shared" si="1248"/>
        <v>5873.3976407570653</v>
      </c>
      <c r="CN461" s="589">
        <f t="shared" si="1222"/>
        <v>8.4642334914769156E-4</v>
      </c>
      <c r="CO461" s="196">
        <f t="shared" si="1249"/>
        <v>469.88442052986699</v>
      </c>
      <c r="CP461" s="589">
        <f t="shared" si="1223"/>
        <v>8.8612964159472227E-4</v>
      </c>
      <c r="CQ461" s="196">
        <f>'Detailed Budget'!$AC$12</f>
        <v>292876014141.44696</v>
      </c>
      <c r="CR461" s="269">
        <f t="shared" si="1224"/>
        <v>0</v>
      </c>
      <c r="CS461" s="269">
        <f>'Detailed Budget'!$AC$16</f>
        <v>10488008800.000002</v>
      </c>
      <c r="CT461" s="607">
        <f t="shared" si="1152"/>
        <v>0</v>
      </c>
      <c r="CU461" s="269">
        <f>'Detailed Budget'!$AC$24</f>
        <v>30624985696</v>
      </c>
      <c r="CV461" s="269">
        <f t="shared" si="1250"/>
        <v>0</v>
      </c>
      <c r="CW461" s="269"/>
      <c r="CX461" s="269">
        <f t="shared" si="1215"/>
        <v>0</v>
      </c>
      <c r="CY461" s="196"/>
      <c r="DA461" s="269">
        <f>'Detailed Budget'!$AC$100</f>
        <v>14925833098.967569</v>
      </c>
      <c r="DB461" s="269">
        <f t="shared" si="1229"/>
        <v>44239528.134787008</v>
      </c>
      <c r="DC461" s="269">
        <f t="shared" si="1204"/>
        <v>44239528.134787008</v>
      </c>
      <c r="DD461" s="207">
        <v>0</v>
      </c>
      <c r="DE461" s="606">
        <v>0</v>
      </c>
      <c r="DF461" s="269">
        <f>'Detailed Budget'!$AC$147</f>
        <v>5913600671000</v>
      </c>
      <c r="DG461" s="269">
        <f t="shared" si="1230"/>
        <v>0</v>
      </c>
      <c r="DH461" s="269">
        <f>'Detailed Budget'!$AC$153</f>
        <v>226428026880.00003</v>
      </c>
      <c r="DI461" s="269"/>
      <c r="DJ461" s="269">
        <f>'Detailed Budget'!$AC$156</f>
        <v>27713070000</v>
      </c>
      <c r="DK461" s="269"/>
      <c r="DL461" s="269"/>
      <c r="DM461" s="196">
        <f>'Detailed Budget'!$AC$178</f>
        <v>5622683761.6229038</v>
      </c>
      <c r="DN461" s="269">
        <f t="shared" si="1251"/>
        <v>21332773.099334609</v>
      </c>
      <c r="DO461" s="196">
        <f>'Detailed Budget'!$AC$179</f>
        <v>26827890683.128094</v>
      </c>
      <c r="DP461" s="269">
        <f t="shared" si="1252"/>
        <v>101786501.62376463</v>
      </c>
      <c r="DQ461" s="269">
        <f t="shared" si="1192"/>
        <v>123119274.72309925</v>
      </c>
      <c r="DR461" s="269">
        <f>'Detailed Budget'!$AC$181</f>
        <v>50888946855.375237</v>
      </c>
      <c r="DS461" s="269">
        <f t="shared" si="1253"/>
        <v>169814149.65545869</v>
      </c>
      <c r="DT461" s="269">
        <f t="shared" si="1254"/>
        <v>292933424.37855792</v>
      </c>
      <c r="DU461" s="272">
        <f>'Detailed Budget'!$AC$192</f>
        <v>77498869683.252869</v>
      </c>
      <c r="DV461" s="269">
        <f t="shared" si="1155"/>
        <v>0</v>
      </c>
      <c r="DW461" s="140">
        <f>'Detailed Budget'!$AC$194</f>
        <v>2684962805.4134097</v>
      </c>
      <c r="DX461" s="269">
        <f t="shared" si="1156"/>
        <v>0</v>
      </c>
      <c r="DY461" s="607">
        <f t="shared" si="1205"/>
        <v>0</v>
      </c>
      <c r="DZ461" s="196">
        <f>'Detailed Budget'!$AC$198</f>
        <v>18732540018.380611</v>
      </c>
      <c r="EA461" s="269">
        <f t="shared" si="1231"/>
        <v>31496659.139970277</v>
      </c>
      <c r="EB461" s="196">
        <f>'Detailed Budget'!$AC$200</f>
        <v>4683135004.5951529</v>
      </c>
      <c r="EC461" s="269">
        <f t="shared" si="1158"/>
        <v>7874164.7849925691</v>
      </c>
      <c r="ED461" s="269">
        <f t="shared" si="1206"/>
        <v>39370823.924962848</v>
      </c>
      <c r="EE461" s="196">
        <f>'Detailed Budget'!$AC$161</f>
        <v>251147290106.36197</v>
      </c>
      <c r="EF461" s="269">
        <f t="shared" si="1159"/>
        <v>365866300.11028165</v>
      </c>
      <c r="EG461" s="196">
        <f>'Detailed Budget'!$AC$163</f>
        <v>15696705631.647623</v>
      </c>
      <c r="EH461" s="269">
        <f t="shared" si="1160"/>
        <v>22866643.756892603</v>
      </c>
      <c r="EI461" s="269">
        <f t="shared" si="1207"/>
        <v>388732943.86717427</v>
      </c>
      <c r="EJ461" s="196">
        <f>'Detailed Budget'!$AC$204</f>
        <v>45012172507.531975</v>
      </c>
      <c r="EK461" s="269">
        <f t="shared" si="1161"/>
        <v>55490293.710262261</v>
      </c>
      <c r="EL461" s="201">
        <f>'Detailed Budget'!$AC$206</f>
        <v>11253043126.882994</v>
      </c>
      <c r="EM461" s="269">
        <f t="shared" si="1162"/>
        <v>13872573.427565565</v>
      </c>
      <c r="EN461" s="269">
        <f t="shared" si="1208"/>
        <v>69362867.137827829</v>
      </c>
      <c r="EO461" s="140">
        <f>'Detailed Budget'!$AC$209</f>
        <v>135789361677.54817</v>
      </c>
      <c r="EP461" s="269">
        <f t="shared" si="1163"/>
        <v>118346500.41384776</v>
      </c>
      <c r="EQ461" s="196">
        <f>'Detailed Budget'!$AC$211</f>
        <v>33947340419.387043</v>
      </c>
      <c r="ER461" s="269">
        <f t="shared" si="1164"/>
        <v>29586625.10346194</v>
      </c>
      <c r="ES461" s="269">
        <f t="shared" si="1209"/>
        <v>147933125.5173097</v>
      </c>
      <c r="ET461" s="196">
        <f>'Detailed Budget'!$AC$214</f>
        <v>22239745544.201103</v>
      </c>
      <c r="EU461" s="269">
        <f t="shared" si="1165"/>
        <v>18824239.907715149</v>
      </c>
      <c r="EV461" s="140">
        <f>'Detailed Budget'!$AC$217</f>
        <v>5559936386.0502758</v>
      </c>
      <c r="EW461" s="269">
        <f t="shared" si="1166"/>
        <v>4706059.9769287873</v>
      </c>
      <c r="EX461" s="269">
        <f t="shared" si="1210"/>
        <v>23530299.884643935</v>
      </c>
      <c r="EY461" s="196">
        <f>'Detailed Budget'!$AC$219</f>
        <v>372777004.58170313</v>
      </c>
      <c r="EZ461" s="269">
        <f t="shared" si="1167"/>
        <v>330328.75346473872</v>
      </c>
      <c r="FA461" s="196">
        <f>'Detailed Budget'!$AC$222</f>
        <v>93194251.145425782</v>
      </c>
      <c r="FB461" s="269">
        <f t="shared" si="1168"/>
        <v>82582.18836618468</v>
      </c>
      <c r="FC461" s="269">
        <f t="shared" si="1211"/>
        <v>412910.94183092343</v>
      </c>
      <c r="FD461" s="269"/>
      <c r="FE461" s="269">
        <f t="shared" si="1212"/>
        <v>241239203.48161241</v>
      </c>
      <c r="FF461" s="140"/>
      <c r="FG461" s="1087">
        <f t="shared" si="1232"/>
        <v>329066242.10139561</v>
      </c>
      <c r="FH461" s="269">
        <f t="shared" si="1233"/>
        <v>0</v>
      </c>
      <c r="FJ461" s="140">
        <f>'Detailed Budget'!$AC$235</f>
        <v>3623696172</v>
      </c>
      <c r="FK461" s="269">
        <f t="shared" si="1234"/>
        <v>4681778</v>
      </c>
      <c r="FL461" s="269">
        <f t="shared" si="1235"/>
        <v>4681778</v>
      </c>
      <c r="FO461" s="607"/>
      <c r="FP461" s="607"/>
      <c r="FQ461" s="607"/>
      <c r="FR461" s="269">
        <f>'Detailed Budget'!$AC$257</f>
        <v>13636439388</v>
      </c>
      <c r="FS461" s="269">
        <f t="shared" si="1236"/>
        <v>20486388</v>
      </c>
      <c r="FT461" s="269">
        <f t="shared" si="1237"/>
        <v>20486388</v>
      </c>
      <c r="FU461" s="269"/>
      <c r="FV461" s="269"/>
      <c r="FW461" s="269"/>
      <c r="FX461" s="140">
        <f>'Detailed Budget'!$AC$278</f>
        <v>1114560000</v>
      </c>
      <c r="FY461" s="269">
        <f t="shared" si="1238"/>
        <v>1440000</v>
      </c>
      <c r="FZ461" s="269">
        <f t="shared" si="1239"/>
        <v>1440000</v>
      </c>
      <c r="GB461" s="269">
        <f t="shared" si="1264"/>
        <v>1362190331.8884902</v>
      </c>
      <c r="GC461" s="887">
        <f t="shared" si="1213"/>
        <v>851368.95743030636</v>
      </c>
      <c r="GD461" s="1078">
        <f t="shared" si="1265"/>
        <v>7.6436788937424077E-4</v>
      </c>
    </row>
    <row r="462" spans="1:186" hidden="1" outlineLevel="1">
      <c r="A462" s="211" t="s">
        <v>1054</v>
      </c>
      <c r="B462" s="212" t="s">
        <v>1055</v>
      </c>
      <c r="C462" s="213" t="s">
        <v>215</v>
      </c>
      <c r="D462" s="214" t="s">
        <v>215</v>
      </c>
      <c r="E462" s="213"/>
      <c r="F462" s="213"/>
      <c r="G462" s="213"/>
      <c r="H462" s="213" t="s">
        <v>215</v>
      </c>
      <c r="I462" s="214" t="s">
        <v>215</v>
      </c>
      <c r="J462" s="214"/>
      <c r="K462" s="213" t="s">
        <v>215</v>
      </c>
      <c r="L462" s="213"/>
      <c r="M462" s="214"/>
      <c r="N462" s="213"/>
      <c r="O462" s="214"/>
      <c r="P462" s="213"/>
      <c r="Q462" s="214"/>
      <c r="R462" s="214" t="s">
        <v>215</v>
      </c>
      <c r="S462" s="214"/>
      <c r="T462" s="214"/>
      <c r="U462" s="215">
        <f t="shared" si="1240"/>
        <v>6</v>
      </c>
      <c r="V462" s="845" t="s">
        <v>219</v>
      </c>
      <c r="W462" s="216">
        <v>383712</v>
      </c>
      <c r="X462" s="217">
        <v>3.2</v>
      </c>
      <c r="Y462" s="218">
        <f t="shared" si="1101"/>
        <v>1.032</v>
      </c>
      <c r="Z462" s="196">
        <v>19</v>
      </c>
      <c r="AA462" s="218">
        <f t="shared" si="1102"/>
        <v>1.8193415940533015</v>
      </c>
      <c r="AB462" s="196">
        <f t="shared" si="1194"/>
        <v>698103.20173738047</v>
      </c>
      <c r="AC462">
        <v>20.2</v>
      </c>
      <c r="AD462" s="196">
        <f t="shared" si="1195"/>
        <v>141016.84675095085</v>
      </c>
      <c r="AE462" s="196">
        <f t="shared" si="1148"/>
        <v>133966.00441340331</v>
      </c>
      <c r="AF462" s="196">
        <f t="shared" si="1241"/>
        <v>133966.00441340331</v>
      </c>
      <c r="AG462" s="606">
        <f t="shared" si="1216"/>
        <v>6.1939999222965867E-3</v>
      </c>
      <c r="AH462" s="196">
        <f t="shared" si="1255"/>
        <v>34905.160086869022</v>
      </c>
      <c r="AI462" s="248">
        <f t="shared" si="1193"/>
        <v>2.7040498654464624E-3</v>
      </c>
      <c r="AJ462" s="196">
        <f t="shared" si="1196"/>
        <v>175922.00683781988</v>
      </c>
      <c r="AK462" s="196">
        <f t="shared" si="1225"/>
        <v>27924.128069495218</v>
      </c>
      <c r="AL462" s="196">
        <f t="shared" si="1226"/>
        <v>27924.128069495218</v>
      </c>
      <c r="AM462" s="196">
        <f t="shared" si="1197"/>
        <v>55848.256138990437</v>
      </c>
      <c r="AN462" s="627">
        <f t="shared" si="1198"/>
        <v>2.7040498654464624E-3</v>
      </c>
      <c r="AO462" s="196">
        <f t="shared" si="1199"/>
        <v>26527.921666020458</v>
      </c>
      <c r="AP462" s="589">
        <f t="shared" si="1217"/>
        <v>2.7040498654464624E-3</v>
      </c>
      <c r="AQ462" s="196"/>
      <c r="AR462" s="589"/>
      <c r="AS462">
        <v>1</v>
      </c>
      <c r="AT462" s="589">
        <f t="shared" si="1218"/>
        <v>1.2919896640826874E-3</v>
      </c>
      <c r="AU462" s="196">
        <v>11</v>
      </c>
      <c r="AV462" s="245"/>
      <c r="AX462" s="245"/>
      <c r="AY462" s="245"/>
      <c r="AZ462" s="196">
        <v>50</v>
      </c>
      <c r="BA462" s="589">
        <f t="shared" si="1256"/>
        <v>1.8321058224323038E-3</v>
      </c>
      <c r="BI462" s="196">
        <v>0</v>
      </c>
      <c r="BK462" s="246">
        <f t="shared" si="1257"/>
        <v>0</v>
      </c>
      <c r="BL462" s="246"/>
      <c r="BM462" s="246">
        <f t="shared" si="1258"/>
        <v>0</v>
      </c>
      <c r="BN462" s="196">
        <v>1</v>
      </c>
      <c r="BO462" s="196">
        <f t="shared" si="1242"/>
        <v>58812.618557863832</v>
      </c>
      <c r="BP462" s="196">
        <f t="shared" si="1201"/>
        <v>58812.618557863832</v>
      </c>
      <c r="BQ462" s="248">
        <f t="shared" si="1259"/>
        <v>5.5016465905448142E-3</v>
      </c>
      <c r="BR462" s="248"/>
      <c r="BS462" s="248"/>
      <c r="BT462" s="276">
        <v>1</v>
      </c>
      <c r="BU462" s="196">
        <f t="shared" si="1260"/>
        <v>101532.1296606846</v>
      </c>
      <c r="BV462" s="264">
        <f t="shared" si="1261"/>
        <v>7.0424608310390453E-3</v>
      </c>
      <c r="BW462" s="196">
        <f t="shared" si="1262"/>
        <v>434331.88799292862</v>
      </c>
      <c r="BX462" s="247">
        <f t="shared" si="1263"/>
        <v>7.042460894477803E-3</v>
      </c>
      <c r="BY462" s="196">
        <f t="shared" si="1100"/>
        <v>535864.01765361323</v>
      </c>
      <c r="BZ462" s="620">
        <v>0</v>
      </c>
      <c r="CA462" s="196">
        <f t="shared" si="1243"/>
        <v>213619.57973163843</v>
      </c>
      <c r="CB462" s="196">
        <f t="shared" si="1244"/>
        <v>427239.15946327685</v>
      </c>
      <c r="CC462" s="196">
        <f t="shared" si="1214"/>
        <v>640858.73919491528</v>
      </c>
      <c r="CD462" s="247">
        <f t="shared" si="1202"/>
        <v>2.7040498654464624E-3</v>
      </c>
      <c r="CE462" s="196">
        <f t="shared" si="1245"/>
        <v>72272.768219293735</v>
      </c>
      <c r="CF462" s="247">
        <f t="shared" si="1203"/>
        <v>3.1209628960914074E-3</v>
      </c>
      <c r="CG462" s="196">
        <f t="shared" si="1150"/>
        <v>106111.68666408183</v>
      </c>
      <c r="CH462" s="589">
        <f t="shared" si="1219"/>
        <v>2.7040498654464624E-3</v>
      </c>
      <c r="CI462" s="196">
        <f t="shared" si="1246"/>
        <v>139189.37568736306</v>
      </c>
      <c r="CJ462" s="248">
        <f t="shared" si="1220"/>
        <v>2.2882729829909001E-3</v>
      </c>
      <c r="CK462" s="196">
        <f t="shared" si="1247"/>
        <v>112537.27368634725</v>
      </c>
      <c r="CL462" s="589">
        <f t="shared" si="1221"/>
        <v>1.6177464571708608E-3</v>
      </c>
      <c r="CM462" s="196">
        <f t="shared" si="1248"/>
        <v>10902.100684159686</v>
      </c>
      <c r="CN462" s="589">
        <f t="shared" si="1222"/>
        <v>1.5711166071572745E-3</v>
      </c>
      <c r="CO462" s="196">
        <f t="shared" si="1249"/>
        <v>872.19145984373279</v>
      </c>
      <c r="CP462" s="589">
        <f t="shared" si="1223"/>
        <v>1.6448187510489693E-3</v>
      </c>
      <c r="CQ462" s="196">
        <f>'Detailed Budget'!$AC$12</f>
        <v>292876014141.44696</v>
      </c>
      <c r="CR462" s="269">
        <f t="shared" si="1224"/>
        <v>0</v>
      </c>
      <c r="CS462" s="269">
        <f>'Detailed Budget'!$AC$16</f>
        <v>10488008800.000002</v>
      </c>
      <c r="CT462" s="607">
        <f t="shared" si="1152"/>
        <v>0</v>
      </c>
      <c r="CU462" s="269">
        <f>'Detailed Budget'!$AC$24</f>
        <v>30624985696</v>
      </c>
      <c r="CV462" s="269">
        <f t="shared" si="1250"/>
        <v>0</v>
      </c>
      <c r="CW462" s="269"/>
      <c r="CX462" s="269">
        <f t="shared" si="1215"/>
        <v>0</v>
      </c>
      <c r="CY462" s="196"/>
      <c r="DA462" s="269">
        <f>'Detailed Budget'!$AC$100</f>
        <v>14925833098.967569</v>
      </c>
      <c r="DB462" s="269">
        <f t="shared" si="1229"/>
        <v>82116658.779975861</v>
      </c>
      <c r="DC462" s="269">
        <f t="shared" si="1204"/>
        <v>82116658.779975861</v>
      </c>
      <c r="DD462" s="207">
        <v>0</v>
      </c>
      <c r="DE462" s="606">
        <v>0</v>
      </c>
      <c r="DF462" s="269">
        <f>'Detailed Budget'!$AC$147</f>
        <v>5913600671000</v>
      </c>
      <c r="DG462" s="269">
        <f t="shared" si="1230"/>
        <v>0</v>
      </c>
      <c r="DH462" s="269">
        <f>'Detailed Budget'!$AC$153</f>
        <v>226428026880.00003</v>
      </c>
      <c r="DI462" s="269"/>
      <c r="DJ462" s="269">
        <f>'Detailed Budget'!$AC$156</f>
        <v>27713070000</v>
      </c>
      <c r="DK462" s="269"/>
      <c r="DL462" s="269"/>
      <c r="DM462" s="196">
        <f>'Detailed Budget'!$AC$178</f>
        <v>5622683761.6229038</v>
      </c>
      <c r="DN462" s="269">
        <f t="shared" si="1251"/>
        <v>39597530.156548582</v>
      </c>
      <c r="DO462" s="196">
        <f>'Detailed Budget'!$AC$179</f>
        <v>26827890683.128094</v>
      </c>
      <c r="DP462" s="269">
        <f t="shared" si="1252"/>
        <v>188934371.01725498</v>
      </c>
      <c r="DQ462" s="269">
        <f t="shared" si="1192"/>
        <v>228531901.17380357</v>
      </c>
      <c r="DR462" s="269">
        <f>'Detailed Budget'!$AC$181</f>
        <v>50888946855.375237</v>
      </c>
      <c r="DS462" s="269">
        <f t="shared" si="1253"/>
        <v>315206132.86794937</v>
      </c>
      <c r="DT462" s="269">
        <f t="shared" si="1254"/>
        <v>543738034.04175293</v>
      </c>
      <c r="DU462" s="272">
        <f>'Detailed Budget'!$AC$192</f>
        <v>77498869683.252869</v>
      </c>
      <c r="DV462" s="269">
        <f t="shared" si="1155"/>
        <v>0</v>
      </c>
      <c r="DW462" s="140">
        <f>'Detailed Budget'!$AC$194</f>
        <v>2684962805.4134097</v>
      </c>
      <c r="DX462" s="269">
        <f t="shared" si="1156"/>
        <v>0</v>
      </c>
      <c r="DY462" s="607">
        <f t="shared" si="1205"/>
        <v>0</v>
      </c>
      <c r="DZ462" s="196">
        <f>'Detailed Budget'!$AC$198</f>
        <v>18732540018.380611</v>
      </c>
      <c r="EA462" s="269">
        <f t="shared" si="1231"/>
        <v>58463562.346913338</v>
      </c>
      <c r="EB462" s="196">
        <f>'Detailed Budget'!$AC$200</f>
        <v>4683135004.5951529</v>
      </c>
      <c r="EC462" s="269">
        <f t="shared" si="1158"/>
        <v>14615890.586728334</v>
      </c>
      <c r="ED462" s="269">
        <f t="shared" si="1206"/>
        <v>73079452.933641672</v>
      </c>
      <c r="EE462" s="196">
        <f>'Detailed Budget'!$AC$161</f>
        <v>251147290106.36197</v>
      </c>
      <c r="EF462" s="269">
        <f t="shared" si="1159"/>
        <v>679114796.01935172</v>
      </c>
      <c r="EG462" s="196">
        <f>'Detailed Budget'!$AC$163</f>
        <v>15696705631.647623</v>
      </c>
      <c r="EH462" s="269">
        <f t="shared" si="1160"/>
        <v>42444674.751209483</v>
      </c>
      <c r="EI462" s="269">
        <f t="shared" si="1207"/>
        <v>721559470.77056122</v>
      </c>
      <c r="EJ462" s="196">
        <f>'Detailed Budget'!$AC$204</f>
        <v>45012172507.531975</v>
      </c>
      <c r="EK462" s="269">
        <f t="shared" si="1161"/>
        <v>103000138.25471118</v>
      </c>
      <c r="EL462" s="201">
        <f>'Detailed Budget'!$AC$206</f>
        <v>11253043126.882994</v>
      </c>
      <c r="EM462" s="269">
        <f t="shared" si="1162"/>
        <v>25750034.563677795</v>
      </c>
      <c r="EN462" s="269">
        <f t="shared" si="1208"/>
        <v>128750172.81838897</v>
      </c>
      <c r="EO462" s="140">
        <f>'Detailed Budget'!$AC$209</f>
        <v>135789361677.54817</v>
      </c>
      <c r="EP462" s="269">
        <f t="shared" si="1163"/>
        <v>219672758.77534622</v>
      </c>
      <c r="EQ462" s="196">
        <f>'Detailed Budget'!$AC$211</f>
        <v>33947340419.387043</v>
      </c>
      <c r="ER462" s="269">
        <f t="shared" si="1164"/>
        <v>54918189.693836555</v>
      </c>
      <c r="ES462" s="269">
        <f t="shared" si="1209"/>
        <v>274590948.46918279</v>
      </c>
      <c r="ET462" s="196">
        <f>'Detailed Budget'!$AC$214</f>
        <v>22239745544.201103</v>
      </c>
      <c r="EU462" s="269">
        <f t="shared" si="1165"/>
        <v>34941233.56344635</v>
      </c>
      <c r="EV462" s="140">
        <f>'Detailed Budget'!$AC$217</f>
        <v>5559936386.0502758</v>
      </c>
      <c r="EW462" s="269">
        <f t="shared" si="1166"/>
        <v>8735308.3908615876</v>
      </c>
      <c r="EX462" s="269">
        <f t="shared" si="1210"/>
        <v>43676541.954307936</v>
      </c>
      <c r="EY462" s="196">
        <f>'Detailed Budget'!$AC$219</f>
        <v>372777004.58170313</v>
      </c>
      <c r="EZ462" s="269">
        <f t="shared" si="1167"/>
        <v>613150.60709585284</v>
      </c>
      <c r="FA462" s="196">
        <f>'Detailed Budget'!$AC$222</f>
        <v>93194251.145425782</v>
      </c>
      <c r="FB462" s="269">
        <f t="shared" si="1168"/>
        <v>153287.65177396321</v>
      </c>
      <c r="FC462" s="269">
        <f t="shared" si="1211"/>
        <v>766438.25886981608</v>
      </c>
      <c r="FD462" s="269"/>
      <c r="FE462" s="269">
        <f t="shared" si="1212"/>
        <v>447784101.50074953</v>
      </c>
      <c r="FF462" s="140"/>
      <c r="FG462" s="1087">
        <f t="shared" si="1232"/>
        <v>610807155.00220442</v>
      </c>
      <c r="FH462" s="269">
        <f t="shared" si="1233"/>
        <v>0</v>
      </c>
      <c r="FJ462" s="140">
        <f>'Detailed Budget'!$AC$235</f>
        <v>3623696172</v>
      </c>
      <c r="FK462" s="269">
        <f t="shared" si="1234"/>
        <v>4681778</v>
      </c>
      <c r="FL462" s="269">
        <f t="shared" si="1235"/>
        <v>4681778</v>
      </c>
      <c r="FO462" s="607"/>
      <c r="FP462" s="607"/>
      <c r="FQ462" s="607"/>
      <c r="FR462" s="269">
        <f>'Detailed Budget'!$AC$257</f>
        <v>13636439388</v>
      </c>
      <c r="FS462" s="269">
        <f t="shared" si="1236"/>
        <v>24983400</v>
      </c>
      <c r="FT462" s="269">
        <f t="shared" si="1237"/>
        <v>24983400</v>
      </c>
      <c r="FU462" s="269"/>
      <c r="FV462" s="269"/>
      <c r="FW462" s="269"/>
      <c r="FX462" s="140">
        <f>'Detailed Budget'!$AC$278</f>
        <v>1114560000</v>
      </c>
      <c r="FY462" s="269">
        <f t="shared" si="1238"/>
        <v>1440000</v>
      </c>
      <c r="FZ462" s="269">
        <f t="shared" si="1239"/>
        <v>1440000</v>
      </c>
      <c r="GB462" s="269">
        <f t="shared" si="1264"/>
        <v>2510190051.0288858</v>
      </c>
      <c r="GC462" s="887">
        <f t="shared" si="1213"/>
        <v>1568868.7818930536</v>
      </c>
      <c r="GD462" s="1078">
        <f t="shared" si="1265"/>
        <v>1.4085466812652683E-3</v>
      </c>
    </row>
    <row r="463" spans="1:186" hidden="1" outlineLevel="1">
      <c r="A463" s="211" t="s">
        <v>1056</v>
      </c>
      <c r="B463" s="212" t="s">
        <v>1057</v>
      </c>
      <c r="C463" s="213" t="s">
        <v>215</v>
      </c>
      <c r="D463" s="214" t="s">
        <v>215</v>
      </c>
      <c r="E463" s="213"/>
      <c r="F463" s="213"/>
      <c r="G463" s="213"/>
      <c r="H463" s="213" t="s">
        <v>215</v>
      </c>
      <c r="I463" s="214" t="s">
        <v>215</v>
      </c>
      <c r="J463" s="214"/>
      <c r="K463" s="213" t="s">
        <v>215</v>
      </c>
      <c r="L463" s="213"/>
      <c r="M463" s="214"/>
      <c r="N463" s="213"/>
      <c r="O463" s="214"/>
      <c r="P463" s="213"/>
      <c r="Q463" s="214"/>
      <c r="R463" s="214" t="s">
        <v>215</v>
      </c>
      <c r="S463" s="214"/>
      <c r="T463" s="214"/>
      <c r="U463" s="215">
        <f t="shared" si="1240"/>
        <v>6</v>
      </c>
      <c r="V463" s="845" t="s">
        <v>219</v>
      </c>
      <c r="W463" s="216">
        <v>285363</v>
      </c>
      <c r="X463" s="217">
        <v>3.2</v>
      </c>
      <c r="Y463" s="218">
        <f t="shared" si="1101"/>
        <v>1.032</v>
      </c>
      <c r="Z463" s="196">
        <v>19</v>
      </c>
      <c r="AA463" s="218">
        <f t="shared" si="1102"/>
        <v>1.8193415940533015</v>
      </c>
      <c r="AB463" s="196">
        <f t="shared" si="1194"/>
        <v>519172.77530383231</v>
      </c>
      <c r="AC463">
        <v>20.2</v>
      </c>
      <c r="AD463" s="196">
        <f t="shared" si="1195"/>
        <v>104872.90061137412</v>
      </c>
      <c r="AE463" s="196">
        <f t="shared" si="1148"/>
        <v>99629.255580805402</v>
      </c>
      <c r="AF463" s="196">
        <f t="shared" si="1241"/>
        <v>99629.255580805402</v>
      </c>
      <c r="AG463" s="606">
        <f t="shared" si="1216"/>
        <v>4.6064193974291153E-3</v>
      </c>
      <c r="AH463" s="196">
        <f t="shared" si="1255"/>
        <v>25958.638765191616</v>
      </c>
      <c r="AI463" s="248">
        <f t="shared" si="1193"/>
        <v>2.010976413959946E-3</v>
      </c>
      <c r="AJ463" s="196">
        <f t="shared" si="1196"/>
        <v>130831.53937656574</v>
      </c>
      <c r="AK463" s="196">
        <f t="shared" si="1225"/>
        <v>20766.911012153294</v>
      </c>
      <c r="AL463" s="196">
        <f t="shared" si="1226"/>
        <v>20766.911012153294</v>
      </c>
      <c r="AM463" s="196">
        <f t="shared" si="1197"/>
        <v>41533.822024306588</v>
      </c>
      <c r="AN463" s="627">
        <f t="shared" si="1198"/>
        <v>2.0109764139599464E-3</v>
      </c>
      <c r="AO463" s="196">
        <f t="shared" si="1199"/>
        <v>19728.565461545626</v>
      </c>
      <c r="AP463" s="589">
        <f t="shared" si="1217"/>
        <v>2.010976413959946E-3</v>
      </c>
      <c r="AQ463" s="196"/>
      <c r="AR463" s="589"/>
      <c r="AS463">
        <v>1</v>
      </c>
      <c r="AT463" s="589">
        <f t="shared" si="1218"/>
        <v>1.2919896640826874E-3</v>
      </c>
      <c r="AU463" s="196">
        <v>11</v>
      </c>
      <c r="AV463" s="245"/>
      <c r="AX463" s="245"/>
      <c r="AY463" s="245"/>
      <c r="AZ463" s="196">
        <v>63</v>
      </c>
      <c r="BA463" s="589">
        <f t="shared" si="1256"/>
        <v>2.3084533362647025E-3</v>
      </c>
      <c r="BI463" s="196">
        <v>0</v>
      </c>
      <c r="BK463" s="246">
        <f t="shared" si="1257"/>
        <v>0</v>
      </c>
      <c r="BL463" s="246"/>
      <c r="BM463" s="246">
        <f t="shared" si="1258"/>
        <v>0</v>
      </c>
      <c r="BN463" s="196">
        <v>1</v>
      </c>
      <c r="BO463" s="196">
        <f t="shared" si="1242"/>
        <v>43738.39043221921</v>
      </c>
      <c r="BP463" s="196">
        <f t="shared" si="1201"/>
        <v>43738.39043221921</v>
      </c>
      <c r="BQ463" s="248">
        <f t="shared" si="1259"/>
        <v>4.0915227462723081E-3</v>
      </c>
      <c r="BR463" s="248"/>
      <c r="BS463" s="248"/>
      <c r="BT463" s="276">
        <v>1</v>
      </c>
      <c r="BU463" s="196">
        <f t="shared" si="1260"/>
        <v>75508.488440189365</v>
      </c>
      <c r="BV463" s="264">
        <f t="shared" si="1261"/>
        <v>5.2374117831284796E-3</v>
      </c>
      <c r="BW463" s="196">
        <f t="shared" si="1262"/>
        <v>323008.53388303227</v>
      </c>
      <c r="BX463" s="247">
        <f t="shared" si="1263"/>
        <v>5.2374118303072856E-3</v>
      </c>
      <c r="BY463" s="196">
        <f t="shared" si="1100"/>
        <v>398517.02232322167</v>
      </c>
      <c r="BZ463" s="620">
        <v>0</v>
      </c>
      <c r="CA463" s="196">
        <f t="shared" si="1243"/>
        <v>158866.86924297269</v>
      </c>
      <c r="CB463" s="196">
        <f t="shared" si="1244"/>
        <v>317733.73848594539</v>
      </c>
      <c r="CC463" s="196">
        <f t="shared" si="1214"/>
        <v>476600.60772891808</v>
      </c>
      <c r="CD463" s="247">
        <f t="shared" si="1202"/>
        <v>2.010976413959946E-3</v>
      </c>
      <c r="CE463" s="196">
        <f t="shared" si="1245"/>
        <v>53748.57694667438</v>
      </c>
      <c r="CF463" s="247">
        <f t="shared" si="1203"/>
        <v>2.3210307077113366E-3</v>
      </c>
      <c r="CG463" s="196">
        <f t="shared" si="1150"/>
        <v>78914.261846182504</v>
      </c>
      <c r="CH463" s="589">
        <f t="shared" si="1219"/>
        <v>2.010976413959946E-3</v>
      </c>
      <c r="CI463" s="196">
        <f t="shared" si="1246"/>
        <v>103513.82759536577</v>
      </c>
      <c r="CJ463" s="248">
        <f t="shared" si="1220"/>
        <v>1.7017670629149789E-3</v>
      </c>
      <c r="CK463" s="196">
        <f t="shared" si="1247"/>
        <v>83692.910388408796</v>
      </c>
      <c r="CL463" s="589">
        <f t="shared" si="1221"/>
        <v>1.2031028017305907E-3</v>
      </c>
      <c r="CM463" s="196">
        <f t="shared" si="1248"/>
        <v>8107.7895857670883</v>
      </c>
      <c r="CN463" s="589">
        <f t="shared" si="1222"/>
        <v>1.1684246215083744E-3</v>
      </c>
      <c r="CO463" s="196">
        <f t="shared" si="1249"/>
        <v>648.64057302192043</v>
      </c>
      <c r="CP463" s="589">
        <f t="shared" si="1223"/>
        <v>1.2232362116785169E-3</v>
      </c>
      <c r="CQ463" s="196">
        <f>'Detailed Budget'!$AC$12</f>
        <v>292876014141.44696</v>
      </c>
      <c r="CR463" s="269">
        <f t="shared" si="1224"/>
        <v>0</v>
      </c>
      <c r="CS463" s="269">
        <f>'Detailed Budget'!$AC$16</f>
        <v>10488008800.000002</v>
      </c>
      <c r="CT463" s="607">
        <f t="shared" si="1152"/>
        <v>0</v>
      </c>
      <c r="CU463" s="269">
        <f>'Detailed Budget'!$AC$24</f>
        <v>30624985696</v>
      </c>
      <c r="CV463" s="269">
        <f t="shared" si="1250"/>
        <v>0</v>
      </c>
      <c r="CW463" s="269"/>
      <c r="CX463" s="269">
        <f t="shared" si="1215"/>
        <v>0</v>
      </c>
      <c r="CY463" s="196"/>
      <c r="DA463" s="269">
        <f>'Detailed Budget'!$AC$100</f>
        <v>14925833098.967569</v>
      </c>
      <c r="DB463" s="269">
        <f t="shared" si="1229"/>
        <v>61069385.631489903</v>
      </c>
      <c r="DC463" s="269">
        <f t="shared" si="1204"/>
        <v>61069385.631489903</v>
      </c>
      <c r="DD463" s="207">
        <v>0</v>
      </c>
      <c r="DE463" s="606">
        <v>0</v>
      </c>
      <c r="DF463" s="269">
        <f>'Detailed Budget'!$AC$147</f>
        <v>5913600671000</v>
      </c>
      <c r="DG463" s="269">
        <f t="shared" si="1230"/>
        <v>0</v>
      </c>
      <c r="DH463" s="269">
        <f>'Detailed Budget'!$AC$153</f>
        <v>226428026880.00003</v>
      </c>
      <c r="DI463" s="269"/>
      <c r="DJ463" s="269">
        <f>'Detailed Budget'!$AC$156</f>
        <v>27713070000</v>
      </c>
      <c r="DK463" s="269"/>
      <c r="DL463" s="269"/>
      <c r="DM463" s="196">
        <f>'Detailed Budget'!$AC$178</f>
        <v>5622683761.6229038</v>
      </c>
      <c r="DN463" s="269">
        <f t="shared" si="1251"/>
        <v>29448310.185928959</v>
      </c>
      <c r="DO463" s="196">
        <f>'Detailed Budget'!$AC$179</f>
        <v>26827890683.128094</v>
      </c>
      <c r="DP463" s="269">
        <f t="shared" si="1252"/>
        <v>140508712.0460057</v>
      </c>
      <c r="DQ463" s="269">
        <f t="shared" si="1192"/>
        <v>169957022.23193467</v>
      </c>
      <c r="DR463" s="269">
        <f>'Detailed Budget'!$AC$181</f>
        <v>50888946855.375237</v>
      </c>
      <c r="DS463" s="269">
        <f t="shared" si="1253"/>
        <v>234415831.90933987</v>
      </c>
      <c r="DT463" s="269">
        <f t="shared" si="1254"/>
        <v>404372854.14127457</v>
      </c>
      <c r="DU463" s="272">
        <f>'Detailed Budget'!$AC$192</f>
        <v>77498869683.252869</v>
      </c>
      <c r="DV463" s="269">
        <f t="shared" si="1155"/>
        <v>0</v>
      </c>
      <c r="DW463" s="140">
        <f>'Detailed Budget'!$AC$194</f>
        <v>2684962805.4134097</v>
      </c>
      <c r="DX463" s="269">
        <f t="shared" si="1156"/>
        <v>0</v>
      </c>
      <c r="DY463" s="607">
        <f t="shared" si="1205"/>
        <v>0</v>
      </c>
      <c r="DZ463" s="196">
        <f>'Detailed Budget'!$AC$198</f>
        <v>18732540018.380611</v>
      </c>
      <c r="EA463" s="269">
        <f t="shared" si="1231"/>
        <v>43478800.616092883</v>
      </c>
      <c r="EB463" s="196">
        <f>'Detailed Budget'!$AC$200</f>
        <v>4683135004.5951529</v>
      </c>
      <c r="EC463" s="269">
        <f t="shared" si="1158"/>
        <v>10869700.154023221</v>
      </c>
      <c r="ED463" s="269">
        <f t="shared" si="1206"/>
        <v>54348500.770116106</v>
      </c>
      <c r="EE463" s="196">
        <f>'Detailed Budget'!$AC$161</f>
        <v>251147290106.36197</v>
      </c>
      <c r="EF463" s="269">
        <f t="shared" si="1159"/>
        <v>505051276.83385003</v>
      </c>
      <c r="EG463" s="196">
        <f>'Detailed Budget'!$AC$163</f>
        <v>15696705631.647623</v>
      </c>
      <c r="EH463" s="269">
        <f t="shared" si="1160"/>
        <v>31565704.802115627</v>
      </c>
      <c r="EI463" s="269">
        <f t="shared" si="1207"/>
        <v>536616981.63596565</v>
      </c>
      <c r="EJ463" s="196">
        <f>'Detailed Budget'!$AC$204</f>
        <v>45012172507.531975</v>
      </c>
      <c r="EK463" s="269">
        <f t="shared" si="1161"/>
        <v>76600232.603565052</v>
      </c>
      <c r="EL463" s="201">
        <f>'Detailed Budget'!$AC$206</f>
        <v>11253043126.882994</v>
      </c>
      <c r="EM463" s="269">
        <f t="shared" si="1162"/>
        <v>19150058.150891263</v>
      </c>
      <c r="EN463" s="269">
        <f t="shared" si="1208"/>
        <v>95750290.754456311</v>
      </c>
      <c r="EO463" s="140">
        <f>'Detailed Budget'!$AC$209</f>
        <v>135789361677.54817</v>
      </c>
      <c r="EP463" s="269">
        <f t="shared" si="1163"/>
        <v>163368561.47946671</v>
      </c>
      <c r="EQ463" s="196">
        <f>'Detailed Budget'!$AC$211</f>
        <v>33947340419.387043</v>
      </c>
      <c r="ER463" s="269">
        <f t="shared" si="1164"/>
        <v>40842140.369866677</v>
      </c>
      <c r="ES463" s="269">
        <f t="shared" si="1209"/>
        <v>204210701.84933338</v>
      </c>
      <c r="ET463" s="196">
        <f>'Detailed Budget'!$AC$214</f>
        <v>22239745544.201103</v>
      </c>
      <c r="EU463" s="269">
        <f t="shared" si="1165"/>
        <v>25985466.269925732</v>
      </c>
      <c r="EV463" s="140">
        <f>'Detailed Budget'!$AC$217</f>
        <v>5559936386.0502758</v>
      </c>
      <c r="EW463" s="269">
        <f t="shared" si="1166"/>
        <v>6496366.567481433</v>
      </c>
      <c r="EX463" s="269">
        <f t="shared" si="1210"/>
        <v>32481832.837407164</v>
      </c>
      <c r="EY463" s="196">
        <f>'Detailed Budget'!$AC$219</f>
        <v>372777004.58170313</v>
      </c>
      <c r="EZ463" s="269">
        <f t="shared" si="1167"/>
        <v>455994.33088538767</v>
      </c>
      <c r="FA463" s="196">
        <f>'Detailed Budget'!$AC$222</f>
        <v>93194251.145425782</v>
      </c>
      <c r="FB463" s="269">
        <f t="shared" si="1168"/>
        <v>113998.58272134692</v>
      </c>
      <c r="FC463" s="269">
        <f t="shared" si="1211"/>
        <v>569992.9136067346</v>
      </c>
      <c r="FD463" s="269"/>
      <c r="FE463" s="269">
        <f t="shared" si="1212"/>
        <v>333012818.35480362</v>
      </c>
      <c r="FF463" s="140"/>
      <c r="FG463" s="1087">
        <f t="shared" si="1232"/>
        <v>454251527.63763988</v>
      </c>
      <c r="FH463" s="269">
        <f t="shared" si="1233"/>
        <v>0</v>
      </c>
      <c r="FJ463" s="140">
        <f>'Detailed Budget'!$AC$235</f>
        <v>3623696172</v>
      </c>
      <c r="FK463" s="269">
        <f t="shared" si="1234"/>
        <v>4681778</v>
      </c>
      <c r="FL463" s="269">
        <f t="shared" si="1235"/>
        <v>4681778</v>
      </c>
      <c r="FO463" s="607"/>
      <c r="FP463" s="607"/>
      <c r="FQ463" s="607"/>
      <c r="FR463" s="269">
        <f>'Detailed Budget'!$AC$257</f>
        <v>13636439388</v>
      </c>
      <c r="FS463" s="269">
        <f t="shared" si="1236"/>
        <v>31479084</v>
      </c>
      <c r="FT463" s="269">
        <f t="shared" si="1237"/>
        <v>31479084</v>
      </c>
      <c r="FU463" s="269"/>
      <c r="FV463" s="269"/>
      <c r="FW463" s="269"/>
      <c r="FX463" s="140">
        <f>'Detailed Budget'!$AC$278</f>
        <v>1114560000</v>
      </c>
      <c r="FY463" s="269">
        <f t="shared" si="1238"/>
        <v>1440000</v>
      </c>
      <c r="FZ463" s="269">
        <f t="shared" si="1239"/>
        <v>1440000</v>
      </c>
      <c r="GB463" s="269">
        <f t="shared" si="1264"/>
        <v>1881272930.1712894</v>
      </c>
      <c r="GC463" s="887">
        <f t="shared" si="1213"/>
        <v>1175795.5813570558</v>
      </c>
      <c r="GD463" s="1078">
        <f t="shared" si="1265"/>
        <v>1.0556414807161003E-3</v>
      </c>
    </row>
    <row r="464" spans="1:186" hidden="1" outlineLevel="1">
      <c r="A464" s="211" t="s">
        <v>1058</v>
      </c>
      <c r="B464" s="212" t="s">
        <v>1059</v>
      </c>
      <c r="C464" s="213" t="s">
        <v>215</v>
      </c>
      <c r="D464" s="214" t="s">
        <v>215</v>
      </c>
      <c r="E464" s="213"/>
      <c r="F464" s="213"/>
      <c r="G464" s="213"/>
      <c r="H464" s="213" t="s">
        <v>215</v>
      </c>
      <c r="I464" s="214" t="s">
        <v>215</v>
      </c>
      <c r="J464" s="214"/>
      <c r="K464" s="213" t="s">
        <v>215</v>
      </c>
      <c r="L464" s="213"/>
      <c r="M464" s="214"/>
      <c r="N464" s="213"/>
      <c r="O464" s="214"/>
      <c r="P464" s="213"/>
      <c r="Q464" s="214"/>
      <c r="R464" s="214" t="s">
        <v>215</v>
      </c>
      <c r="S464" s="214"/>
      <c r="T464" s="214"/>
      <c r="U464" s="215">
        <f t="shared" si="1240"/>
        <v>6</v>
      </c>
      <c r="V464" s="845" t="s">
        <v>219</v>
      </c>
      <c r="W464" s="216">
        <v>207563</v>
      </c>
      <c r="X464" s="217">
        <v>3.2</v>
      </c>
      <c r="Y464" s="218">
        <f t="shared" si="1101"/>
        <v>1.032</v>
      </c>
      <c r="Z464" s="196">
        <v>19</v>
      </c>
      <c r="AA464" s="218">
        <f t="shared" si="1102"/>
        <v>1.8193415940533015</v>
      </c>
      <c r="AB464" s="196">
        <f t="shared" si="1194"/>
        <v>377627.99928648543</v>
      </c>
      <c r="AC464">
        <v>20.2</v>
      </c>
      <c r="AD464" s="196">
        <f t="shared" si="1195"/>
        <v>76280.855855870046</v>
      </c>
      <c r="AE464" s="196">
        <f t="shared" si="1148"/>
        <v>72466.813063076537</v>
      </c>
      <c r="AF464" s="196">
        <f t="shared" si="1241"/>
        <v>72466.813063076537</v>
      </c>
      <c r="AG464" s="606">
        <f t="shared" si="1216"/>
        <v>3.35054730076632E-3</v>
      </c>
      <c r="AH464" s="196">
        <f t="shared" si="1255"/>
        <v>18881.399964324271</v>
      </c>
      <c r="AI464" s="248">
        <f t="shared" si="1193"/>
        <v>1.4627134471209241E-3</v>
      </c>
      <c r="AJ464" s="196">
        <f t="shared" si="1196"/>
        <v>95162.255820194317</v>
      </c>
      <c r="AK464" s="196">
        <f t="shared" si="1225"/>
        <v>15105.119971459417</v>
      </c>
      <c r="AL464" s="196">
        <f t="shared" si="1226"/>
        <v>15105.119971459417</v>
      </c>
      <c r="AM464" s="196">
        <f t="shared" si="1197"/>
        <v>30210.239942918834</v>
      </c>
      <c r="AN464" s="627">
        <f t="shared" si="1198"/>
        <v>1.4627134471209241E-3</v>
      </c>
      <c r="AO464" s="196">
        <f t="shared" si="1199"/>
        <v>14349.863972886445</v>
      </c>
      <c r="AP464" s="589">
        <f t="shared" si="1217"/>
        <v>1.4627134471209241E-3</v>
      </c>
      <c r="AQ464" s="196"/>
      <c r="AR464" s="589"/>
      <c r="AS464">
        <v>1</v>
      </c>
      <c r="AT464" s="589">
        <f t="shared" si="1218"/>
        <v>1.2919896640826874E-3</v>
      </c>
      <c r="AU464" s="196">
        <v>10</v>
      </c>
      <c r="AV464" s="245"/>
      <c r="AX464" s="245"/>
      <c r="AY464" s="245"/>
      <c r="AZ464" s="196">
        <v>47</v>
      </c>
      <c r="BA464" s="589">
        <f t="shared" si="1256"/>
        <v>1.7221794730863656E-3</v>
      </c>
      <c r="BI464" s="196">
        <v>0</v>
      </c>
      <c r="BK464" s="246">
        <f t="shared" si="1257"/>
        <v>0</v>
      </c>
      <c r="BL464" s="246"/>
      <c r="BM464" s="246">
        <f t="shared" si="1258"/>
        <v>0</v>
      </c>
      <c r="BN464" s="196">
        <v>1</v>
      </c>
      <c r="BO464" s="196">
        <f t="shared" si="1242"/>
        <v>31813.765391037785</v>
      </c>
      <c r="BP464" s="196">
        <f t="shared" si="1201"/>
        <v>31813.765391037785</v>
      </c>
      <c r="BQ464" s="248">
        <f t="shared" si="1259"/>
        <v>2.9760296036434961E-3</v>
      </c>
      <c r="BR464" s="248"/>
      <c r="BS464" s="248"/>
      <c r="BT464" s="276">
        <v>1</v>
      </c>
      <c r="BU464" s="196">
        <f t="shared" si="1260"/>
        <v>54922.216216226429</v>
      </c>
      <c r="BV464" s="264">
        <f t="shared" si="1261"/>
        <v>3.8095089480468611E-3</v>
      </c>
      <c r="BW464" s="196">
        <f t="shared" si="1262"/>
        <v>234945.03603607975</v>
      </c>
      <c r="BX464" s="247">
        <f t="shared" si="1263"/>
        <v>3.8095089823630642E-3</v>
      </c>
      <c r="BY464" s="196">
        <f t="shared" si="1100"/>
        <v>289867.25225230621</v>
      </c>
      <c r="BZ464" s="620">
        <v>0</v>
      </c>
      <c r="CA464" s="196">
        <f t="shared" si="1243"/>
        <v>115554.16778166455</v>
      </c>
      <c r="CB464" s="196">
        <f t="shared" si="1244"/>
        <v>231108.33556332911</v>
      </c>
      <c r="CC464" s="196">
        <f t="shared" si="1214"/>
        <v>346662.50334499369</v>
      </c>
      <c r="CD464" s="247">
        <f t="shared" si="1202"/>
        <v>1.4627134471209245E-3</v>
      </c>
      <c r="CE464" s="196">
        <f t="shared" si="1245"/>
        <v>39094.822653191113</v>
      </c>
      <c r="CF464" s="247">
        <f t="shared" si="1203"/>
        <v>1.6882360249390713E-3</v>
      </c>
      <c r="CG464" s="196">
        <f t="shared" si="1150"/>
        <v>57399.455891545782</v>
      </c>
      <c r="CH464" s="589">
        <f t="shared" si="1219"/>
        <v>1.4627134471209241E-3</v>
      </c>
      <c r="CI464" s="196">
        <f t="shared" si="1246"/>
        <v>75292.313990170063</v>
      </c>
      <c r="CJ464" s="248">
        <f t="shared" si="1220"/>
        <v>1.2378054508812343E-3</v>
      </c>
      <c r="CK464" s="196">
        <f t="shared" si="1247"/>
        <v>60875.276608913176</v>
      </c>
      <c r="CL464" s="589">
        <f t="shared" si="1221"/>
        <v>8.7509462276331041E-4</v>
      </c>
      <c r="CM464" s="196">
        <f t="shared" si="1248"/>
        <v>5897.3207100800519</v>
      </c>
      <c r="CN464" s="589">
        <f t="shared" si="1222"/>
        <v>8.4987093531446853E-4</v>
      </c>
      <c r="CO464" s="196">
        <f t="shared" si="1249"/>
        <v>471.79831743480702</v>
      </c>
      <c r="CP464" s="589">
        <f t="shared" si="1223"/>
        <v>8.897389563630461E-4</v>
      </c>
      <c r="CQ464" s="196">
        <f>'Detailed Budget'!$AC$12</f>
        <v>292876014141.44696</v>
      </c>
      <c r="CR464" s="269">
        <f t="shared" si="1224"/>
        <v>0</v>
      </c>
      <c r="CS464" s="269">
        <f>'Detailed Budget'!$AC$16</f>
        <v>10488008800.000002</v>
      </c>
      <c r="CT464" s="607">
        <f t="shared" si="1152"/>
        <v>0</v>
      </c>
      <c r="CU464" s="269">
        <f>'Detailed Budget'!$AC$24</f>
        <v>30624985696</v>
      </c>
      <c r="CV464" s="269">
        <f t="shared" si="1250"/>
        <v>0</v>
      </c>
      <c r="CW464" s="269"/>
      <c r="CX464" s="269">
        <f t="shared" si="1215"/>
        <v>0</v>
      </c>
      <c r="CY464" s="196"/>
      <c r="DA464" s="269">
        <f>'Detailed Budget'!$AC$100</f>
        <v>14925833098.967569</v>
      </c>
      <c r="DB464" s="269">
        <f t="shared" si="1229"/>
        <v>44419721.161569431</v>
      </c>
      <c r="DC464" s="269">
        <f t="shared" si="1204"/>
        <v>44419721.161569431</v>
      </c>
      <c r="DD464" s="207">
        <v>0</v>
      </c>
      <c r="DE464" s="606">
        <v>0</v>
      </c>
      <c r="DF464" s="269">
        <f>'Detailed Budget'!$AC$147</f>
        <v>5913600671000</v>
      </c>
      <c r="DG464" s="269">
        <f t="shared" si="1230"/>
        <v>0</v>
      </c>
      <c r="DH464" s="269">
        <f>'Detailed Budget'!$AC$153</f>
        <v>226428026880.00003</v>
      </c>
      <c r="DI464" s="269"/>
      <c r="DJ464" s="269">
        <f>'Detailed Budget'!$AC$156</f>
        <v>27713070000</v>
      </c>
      <c r="DK464" s="269"/>
      <c r="DL464" s="269"/>
      <c r="DM464" s="196">
        <f>'Detailed Budget'!$AC$178</f>
        <v>5622683761.6229038</v>
      </c>
      <c r="DN464" s="269">
        <f t="shared" si="1251"/>
        <v>21419664.101940237</v>
      </c>
      <c r="DO464" s="196">
        <f>'Detailed Budget'!$AC$179</f>
        <v>26827890683.128094</v>
      </c>
      <c r="DP464" s="269">
        <f t="shared" si="1252"/>
        <v>102201090.53523083</v>
      </c>
      <c r="DQ464" s="269">
        <f t="shared" si="1192"/>
        <v>123620754.63717106</v>
      </c>
      <c r="DR464" s="269">
        <f>'Detailed Budget'!$AC$181</f>
        <v>50888946855.375237</v>
      </c>
      <c r="DS464" s="269">
        <f t="shared" si="1253"/>
        <v>170505823.5251182</v>
      </c>
      <c r="DT464" s="269">
        <f t="shared" si="1254"/>
        <v>294126578.16228926</v>
      </c>
      <c r="DU464" s="272">
        <f>'Detailed Budget'!$AC$192</f>
        <v>77498869683.252869</v>
      </c>
      <c r="DV464" s="269">
        <f t="shared" si="1155"/>
        <v>0</v>
      </c>
      <c r="DW464" s="140">
        <f>'Detailed Budget'!$AC$194</f>
        <v>2684962805.4134097</v>
      </c>
      <c r="DX464" s="269">
        <f t="shared" si="1156"/>
        <v>0</v>
      </c>
      <c r="DY464" s="607">
        <f t="shared" si="1205"/>
        <v>0</v>
      </c>
      <c r="DZ464" s="196">
        <f>'Detailed Budget'!$AC$198</f>
        <v>18732540018.380611</v>
      </c>
      <c r="EA464" s="269">
        <f t="shared" si="1231"/>
        <v>31624948.897642959</v>
      </c>
      <c r="EB464" s="196">
        <f>'Detailed Budget'!$AC$200</f>
        <v>4683135004.5951529</v>
      </c>
      <c r="EC464" s="269">
        <f t="shared" si="1158"/>
        <v>7906237.2244107397</v>
      </c>
      <c r="ED464" s="269">
        <f t="shared" si="1206"/>
        <v>39531186.122053698</v>
      </c>
      <c r="EE464" s="196">
        <f>'Detailed Budget'!$AC$161</f>
        <v>251147290106.36197</v>
      </c>
      <c r="EF464" s="269">
        <f t="shared" si="1159"/>
        <v>367356518.4465555</v>
      </c>
      <c r="EG464" s="196">
        <f>'Detailed Budget'!$AC$163</f>
        <v>15696705631.647623</v>
      </c>
      <c r="EH464" s="269">
        <f t="shared" si="1160"/>
        <v>22959782.402909718</v>
      </c>
      <c r="EI464" s="269">
        <f t="shared" si="1207"/>
        <v>390316300.84946519</v>
      </c>
      <c r="EJ464" s="196">
        <f>'Detailed Budget'!$AC$204</f>
        <v>45012172507.531975</v>
      </c>
      <c r="EK464" s="269">
        <f t="shared" si="1161"/>
        <v>55716312.485829517</v>
      </c>
      <c r="EL464" s="201">
        <f>'Detailed Budget'!$AC$206</f>
        <v>11253043126.882994</v>
      </c>
      <c r="EM464" s="269">
        <f t="shared" si="1162"/>
        <v>13929078.121457379</v>
      </c>
      <c r="EN464" s="269">
        <f t="shared" si="1208"/>
        <v>69645390.6072869</v>
      </c>
      <c r="EO464" s="140">
        <f>'Detailed Budget'!$AC$209</f>
        <v>135789361677.54817</v>
      </c>
      <c r="EP464" s="269">
        <f t="shared" si="1163"/>
        <v>118828540.23248474</v>
      </c>
      <c r="EQ464" s="196">
        <f>'Detailed Budget'!$AC$211</f>
        <v>33947340419.387043</v>
      </c>
      <c r="ER464" s="269">
        <f t="shared" si="1164"/>
        <v>29707135.058121186</v>
      </c>
      <c r="ES464" s="269">
        <f t="shared" si="1209"/>
        <v>148535675.29060593</v>
      </c>
      <c r="ET464" s="196">
        <f>'Detailed Budget'!$AC$214</f>
        <v>22239745544.201103</v>
      </c>
      <c r="EU464" s="269">
        <f t="shared" si="1165"/>
        <v>18900913.346805975</v>
      </c>
      <c r="EV464" s="140">
        <f>'Detailed Budget'!$AC$217</f>
        <v>5559936386.0502758</v>
      </c>
      <c r="EW464" s="269">
        <f t="shared" si="1166"/>
        <v>4725228.3367014937</v>
      </c>
      <c r="EX464" s="269">
        <f t="shared" si="1210"/>
        <v>23626141.683507469</v>
      </c>
      <c r="EY464" s="196">
        <f>'Detailed Budget'!$AC$219</f>
        <v>372777004.58170313</v>
      </c>
      <c r="EZ464" s="269">
        <f t="shared" si="1167"/>
        <v>331674.22301266697</v>
      </c>
      <c r="FA464" s="196">
        <f>'Detailed Budget'!$AC$222</f>
        <v>93194251.145425782</v>
      </c>
      <c r="FB464" s="269">
        <f t="shared" si="1168"/>
        <v>82918.555753166744</v>
      </c>
      <c r="FC464" s="269">
        <f t="shared" si="1211"/>
        <v>414592.7787658337</v>
      </c>
      <c r="FD464" s="269"/>
      <c r="FE464" s="269">
        <f t="shared" si="1212"/>
        <v>242221800.36016613</v>
      </c>
      <c r="FF464" s="140"/>
      <c r="FG464" s="1087">
        <f t="shared" si="1232"/>
        <v>330406569.2856167</v>
      </c>
      <c r="FH464" s="269">
        <f t="shared" si="1233"/>
        <v>0</v>
      </c>
      <c r="FJ464" s="140">
        <f>'Detailed Budget'!$AC$235</f>
        <v>3623696172</v>
      </c>
      <c r="FK464" s="269">
        <f t="shared" si="1234"/>
        <v>4681778</v>
      </c>
      <c r="FL464" s="269">
        <f t="shared" si="1235"/>
        <v>4681778</v>
      </c>
      <c r="FO464" s="607"/>
      <c r="FP464" s="607"/>
      <c r="FQ464" s="607"/>
      <c r="FR464" s="269">
        <f>'Detailed Budget'!$AC$257</f>
        <v>13636439388</v>
      </c>
      <c r="FS464" s="269">
        <f t="shared" si="1236"/>
        <v>23484396</v>
      </c>
      <c r="FT464" s="269">
        <f t="shared" si="1237"/>
        <v>23484396</v>
      </c>
      <c r="FU464" s="269"/>
      <c r="FV464" s="269"/>
      <c r="FW464" s="269"/>
      <c r="FX464" s="140">
        <f>'Detailed Budget'!$AC$278</f>
        <v>1114560000</v>
      </c>
      <c r="FY464" s="269">
        <f t="shared" si="1238"/>
        <v>1440000</v>
      </c>
      <c r="FZ464" s="269">
        <f t="shared" si="1239"/>
        <v>1440000</v>
      </c>
      <c r="GB464" s="269">
        <f t="shared" si="1264"/>
        <v>1370628329.9411602</v>
      </c>
      <c r="GC464" s="887">
        <f t="shared" si="1213"/>
        <v>856642.70621322514</v>
      </c>
      <c r="GD464" s="1078">
        <f t="shared" si="1265"/>
        <v>7.6910271578658335E-4</v>
      </c>
    </row>
    <row r="465" spans="1:186" hidden="1" outlineLevel="1">
      <c r="A465" s="211" t="s">
        <v>1060</v>
      </c>
      <c r="B465" s="212" t="s">
        <v>1061</v>
      </c>
      <c r="C465" s="213" t="s">
        <v>215</v>
      </c>
      <c r="D465" s="214" t="s">
        <v>215</v>
      </c>
      <c r="E465" s="213"/>
      <c r="F465" s="213"/>
      <c r="G465" s="213"/>
      <c r="H465" s="213" t="s">
        <v>215</v>
      </c>
      <c r="I465" s="214" t="s">
        <v>215</v>
      </c>
      <c r="J465" s="214"/>
      <c r="K465" s="213" t="s">
        <v>215</v>
      </c>
      <c r="L465" s="213"/>
      <c r="M465" s="214"/>
      <c r="N465" s="213"/>
      <c r="O465" s="214"/>
      <c r="P465" s="213"/>
      <c r="Q465" s="214"/>
      <c r="R465" s="214" t="s">
        <v>215</v>
      </c>
      <c r="S465" s="214"/>
      <c r="T465" s="214"/>
      <c r="U465" s="215">
        <f t="shared" si="1240"/>
        <v>6</v>
      </c>
      <c r="V465" s="845" t="s">
        <v>219</v>
      </c>
      <c r="W465" s="216">
        <v>293141</v>
      </c>
      <c r="X465" s="217">
        <v>3.2</v>
      </c>
      <c r="Y465" s="218">
        <f t="shared" si="1101"/>
        <v>1.032</v>
      </c>
      <c r="Z465" s="196">
        <v>19</v>
      </c>
      <c r="AA465" s="218">
        <f t="shared" si="1102"/>
        <v>1.8193415940533015</v>
      </c>
      <c r="AB465" s="196">
        <f t="shared" si="1194"/>
        <v>533323.61422237882</v>
      </c>
      <c r="AC465">
        <v>20.2</v>
      </c>
      <c r="AD465" s="196">
        <f t="shared" si="1195"/>
        <v>107731.37007292052</v>
      </c>
      <c r="AE465" s="196">
        <f t="shared" si="1148"/>
        <v>102344.80156927448</v>
      </c>
      <c r="AF465" s="196">
        <f t="shared" si="1241"/>
        <v>102344.80156927448</v>
      </c>
      <c r="AG465" s="606">
        <f t="shared" si="1216"/>
        <v>4.73197432246566E-3</v>
      </c>
      <c r="AH465" s="196">
        <f t="shared" si="1255"/>
        <v>26666.180711118941</v>
      </c>
      <c r="AI465" s="248">
        <f t="shared" si="1193"/>
        <v>2.0657886164801762E-3</v>
      </c>
      <c r="AJ465" s="196">
        <f t="shared" si="1196"/>
        <v>134397.55078403946</v>
      </c>
      <c r="AK465" s="196">
        <f t="shared" si="1225"/>
        <v>21332.944568895153</v>
      </c>
      <c r="AL465" s="196">
        <f t="shared" si="1226"/>
        <v>21332.944568895153</v>
      </c>
      <c r="AM465" s="196">
        <f t="shared" si="1197"/>
        <v>42665.889137790306</v>
      </c>
      <c r="AN465" s="627">
        <f t="shared" si="1198"/>
        <v>2.0657886164801762E-3</v>
      </c>
      <c r="AO465" s="196">
        <f t="shared" si="1199"/>
        <v>20266.297340450394</v>
      </c>
      <c r="AP465" s="589">
        <f t="shared" si="1217"/>
        <v>2.0657886164801758E-3</v>
      </c>
      <c r="AQ465" s="196"/>
      <c r="AR465" s="589"/>
      <c r="AS465">
        <v>1</v>
      </c>
      <c r="AT465" s="589">
        <f t="shared" si="1218"/>
        <v>1.2919896640826874E-3</v>
      </c>
      <c r="AU465" s="196">
        <v>10</v>
      </c>
      <c r="AV465" s="245"/>
      <c r="AX465" s="245"/>
      <c r="AY465" s="245"/>
      <c r="AZ465" s="196">
        <v>47</v>
      </c>
      <c r="BA465" s="589">
        <f t="shared" si="1256"/>
        <v>1.7221794730863656E-3</v>
      </c>
      <c r="BI465" s="196">
        <v>0</v>
      </c>
      <c r="BK465" s="246">
        <f t="shared" si="1257"/>
        <v>0</v>
      </c>
      <c r="BL465" s="246"/>
      <c r="BM465" s="246">
        <f t="shared" si="1258"/>
        <v>0</v>
      </c>
      <c r="BN465" s="196">
        <v>1</v>
      </c>
      <c r="BO465" s="196">
        <f t="shared" si="1242"/>
        <v>44930.54639070647</v>
      </c>
      <c r="BP465" s="196">
        <f t="shared" si="1201"/>
        <v>44930.54639070647</v>
      </c>
      <c r="BQ465" s="248">
        <f t="shared" si="1259"/>
        <v>4.2030433846189253E-3</v>
      </c>
      <c r="BR465" s="248"/>
      <c r="BS465" s="248"/>
      <c r="BT465" s="276">
        <v>1</v>
      </c>
      <c r="BU465" s="196">
        <f t="shared" si="1260"/>
        <v>77566.586452502772</v>
      </c>
      <c r="BV465" s="264">
        <f t="shared" si="1261"/>
        <v>5.3801653596228854E-3</v>
      </c>
      <c r="BW465" s="196">
        <f t="shared" si="1262"/>
        <v>331812.61982459517</v>
      </c>
      <c r="BX465" s="247">
        <f t="shared" si="1263"/>
        <v>5.3801654080876211E-3</v>
      </c>
      <c r="BY465" s="196">
        <f t="shared" si="1100"/>
        <v>409379.20627709792</v>
      </c>
      <c r="BZ465" s="620">
        <v>0</v>
      </c>
      <c r="CA465" s="196">
        <f t="shared" si="1243"/>
        <v>163197.0259520479</v>
      </c>
      <c r="CB465" s="196">
        <f t="shared" si="1244"/>
        <v>326394.0519040958</v>
      </c>
      <c r="CC465" s="196">
        <f t="shared" si="1214"/>
        <v>489591.0778561437</v>
      </c>
      <c r="CD465" s="247">
        <f t="shared" si="1202"/>
        <v>2.0657886164801758E-3</v>
      </c>
      <c r="CE465" s="196">
        <f t="shared" si="1245"/>
        <v>55213.575672827494</v>
      </c>
      <c r="CF465" s="247">
        <f t="shared" si="1203"/>
        <v>2.3842939087730672E-3</v>
      </c>
      <c r="CG465" s="196">
        <f t="shared" si="1150"/>
        <v>81065.189361801575</v>
      </c>
      <c r="CH465" s="589">
        <f t="shared" si="1219"/>
        <v>2.0657886164801758E-3</v>
      </c>
      <c r="CI465" s="196">
        <f t="shared" si="1246"/>
        <v>106335.2534671037</v>
      </c>
      <c r="CJ465" s="248">
        <f t="shared" si="1220"/>
        <v>1.7481512970846246E-3</v>
      </c>
      <c r="CK465" s="196">
        <f t="shared" si="1247"/>
        <v>85974.087194795895</v>
      </c>
      <c r="CL465" s="589">
        <f t="shared" si="1221"/>
        <v>1.2358951875404557E-3</v>
      </c>
      <c r="CM465" s="196">
        <f t="shared" si="1248"/>
        <v>8328.7796489431003</v>
      </c>
      <c r="CN465" s="589">
        <f t="shared" si="1222"/>
        <v>1.2002718010869888E-3</v>
      </c>
      <c r="CO465" s="196">
        <f t="shared" si="1249"/>
        <v>666.32025250722336</v>
      </c>
      <c r="CP465" s="589">
        <f t="shared" si="1223"/>
        <v>1.2565773640158399E-3</v>
      </c>
      <c r="CQ465" s="196">
        <f>'Detailed Budget'!$AC$12</f>
        <v>292876014141.44696</v>
      </c>
      <c r="CR465" s="269">
        <f t="shared" si="1224"/>
        <v>0</v>
      </c>
      <c r="CS465" s="269">
        <f>'Detailed Budget'!$AC$16</f>
        <v>10488008800.000002</v>
      </c>
      <c r="CT465" s="607">
        <f t="shared" si="1152"/>
        <v>0</v>
      </c>
      <c r="CU465" s="269">
        <f>'Detailed Budget'!$AC$24</f>
        <v>30624985696</v>
      </c>
      <c r="CV465" s="269">
        <f t="shared" si="1250"/>
        <v>0</v>
      </c>
      <c r="CW465" s="269"/>
      <c r="CX465" s="269">
        <f t="shared" si="1215"/>
        <v>0</v>
      </c>
      <c r="CY465" s="196"/>
      <c r="DA465" s="269">
        <f>'Detailed Budget'!$AC$100</f>
        <v>14925833098.967569</v>
      </c>
      <c r="DB465" s="269">
        <f t="shared" si="1229"/>
        <v>62733924.066541836</v>
      </c>
      <c r="DC465" s="269">
        <f t="shared" si="1204"/>
        <v>62733924.066541836</v>
      </c>
      <c r="DD465" s="207">
        <v>0</v>
      </c>
      <c r="DE465" s="606">
        <v>0</v>
      </c>
      <c r="DF465" s="269">
        <f>'Detailed Budget'!$AC$147</f>
        <v>5913600671000</v>
      </c>
      <c r="DG465" s="269">
        <f t="shared" si="1230"/>
        <v>0</v>
      </c>
      <c r="DH465" s="269">
        <f>'Detailed Budget'!$AC$153</f>
        <v>226428026880.00003</v>
      </c>
      <c r="DI465" s="269"/>
      <c r="DJ465" s="269">
        <f>'Detailed Budget'!$AC$156</f>
        <v>27713070000</v>
      </c>
      <c r="DK465" s="269"/>
      <c r="DL465" s="269"/>
      <c r="DM465" s="196">
        <f>'Detailed Budget'!$AC$178</f>
        <v>5622683761.6229038</v>
      </c>
      <c r="DN465" s="269">
        <f t="shared" si="1251"/>
        <v>30250968.402397648</v>
      </c>
      <c r="DO465" s="196">
        <f>'Detailed Budget'!$AC$179</f>
        <v>26827890683.128094</v>
      </c>
      <c r="DP465" s="269">
        <f t="shared" si="1252"/>
        <v>144338489.42532194</v>
      </c>
      <c r="DQ465" s="269">
        <f t="shared" si="1192"/>
        <v>174589457.82771957</v>
      </c>
      <c r="DR465" s="269">
        <f>'Detailed Budget'!$AC$181</f>
        <v>50888946855.375237</v>
      </c>
      <c r="DS465" s="269">
        <f t="shared" si="1253"/>
        <v>240805189.81695521</v>
      </c>
      <c r="DT465" s="269">
        <f t="shared" si="1254"/>
        <v>415394647.64467478</v>
      </c>
      <c r="DU465" s="272">
        <f>'Detailed Budget'!$AC$192</f>
        <v>77498869683.252869</v>
      </c>
      <c r="DV465" s="269">
        <f t="shared" si="1155"/>
        <v>0</v>
      </c>
      <c r="DW465" s="140">
        <f>'Detailed Budget'!$AC$194</f>
        <v>2684962805.4134097</v>
      </c>
      <c r="DX465" s="269">
        <f t="shared" si="1156"/>
        <v>0</v>
      </c>
      <c r="DY465" s="607">
        <f t="shared" si="1205"/>
        <v>0</v>
      </c>
      <c r="DZ465" s="196">
        <f>'Detailed Budget'!$AC$198</f>
        <v>18732540018.380611</v>
      </c>
      <c r="EA465" s="269">
        <f t="shared" si="1231"/>
        <v>44663881.061672613</v>
      </c>
      <c r="EB465" s="196">
        <f>'Detailed Budget'!$AC$200</f>
        <v>4683135004.5951529</v>
      </c>
      <c r="EC465" s="269">
        <f t="shared" si="1158"/>
        <v>11165970.265418153</v>
      </c>
      <c r="ED465" s="269">
        <f t="shared" si="1206"/>
        <v>55829851.32709077</v>
      </c>
      <c r="EE465" s="196">
        <f>'Detailed Budget'!$AC$161</f>
        <v>251147290106.36197</v>
      </c>
      <c r="EF465" s="269">
        <f t="shared" si="1159"/>
        <v>518817212.96156681</v>
      </c>
      <c r="EG465" s="196">
        <f>'Detailed Budget'!$AC$163</f>
        <v>15696705631.647623</v>
      </c>
      <c r="EH465" s="269">
        <f t="shared" si="1160"/>
        <v>32426075.810097925</v>
      </c>
      <c r="EI465" s="269">
        <f t="shared" si="1207"/>
        <v>551243288.77166474</v>
      </c>
      <c r="EJ465" s="196">
        <f>'Detailed Budget'!$AC$204</f>
        <v>45012172507.531975</v>
      </c>
      <c r="EK465" s="269">
        <f t="shared" si="1161"/>
        <v>78688087.753638893</v>
      </c>
      <c r="EL465" s="201">
        <f>'Detailed Budget'!$AC$206</f>
        <v>11253043126.882994</v>
      </c>
      <c r="EM465" s="269">
        <f t="shared" si="1162"/>
        <v>19672021.938409723</v>
      </c>
      <c r="EN465" s="269">
        <f t="shared" si="1208"/>
        <v>98360109.692048609</v>
      </c>
      <c r="EO465" s="140">
        <f>'Detailed Budget'!$AC$209</f>
        <v>135789361677.54817</v>
      </c>
      <c r="EP465" s="269">
        <f t="shared" si="1163"/>
        <v>167821418.61647215</v>
      </c>
      <c r="EQ465" s="196">
        <f>'Detailed Budget'!$AC$211</f>
        <v>33947340419.387043</v>
      </c>
      <c r="ER465" s="269">
        <f t="shared" si="1164"/>
        <v>41955354.654118039</v>
      </c>
      <c r="ES465" s="269">
        <f t="shared" si="1209"/>
        <v>209776773.27059019</v>
      </c>
      <c r="ET465" s="196">
        <f>'Detailed Budget'!$AC$214</f>
        <v>22239745544.201103</v>
      </c>
      <c r="EU465" s="269">
        <f t="shared" si="1165"/>
        <v>26693739.440054592</v>
      </c>
      <c r="EV465" s="140">
        <f>'Detailed Budget'!$AC$217</f>
        <v>5559936386.0502758</v>
      </c>
      <c r="EW465" s="269">
        <f t="shared" si="1166"/>
        <v>6673434.8600136479</v>
      </c>
      <c r="EX465" s="269">
        <f t="shared" si="1210"/>
        <v>33367174.300068241</v>
      </c>
      <c r="EY465" s="196">
        <f>'Detailed Budget'!$AC$219</f>
        <v>372777004.58170313</v>
      </c>
      <c r="EZ465" s="269">
        <f t="shared" si="1167"/>
        <v>468423.14578299719</v>
      </c>
      <c r="FA465" s="196">
        <f>'Detailed Budget'!$AC$222</f>
        <v>93194251.145425782</v>
      </c>
      <c r="FB465" s="269">
        <f t="shared" si="1168"/>
        <v>117105.7864457493</v>
      </c>
      <c r="FC465" s="269">
        <f t="shared" si="1211"/>
        <v>585528.93222874647</v>
      </c>
      <c r="FD465" s="269"/>
      <c r="FE465" s="269">
        <f t="shared" si="1212"/>
        <v>342089586.1949358</v>
      </c>
      <c r="FF465" s="140"/>
      <c r="FG465" s="1087">
        <f t="shared" si="1232"/>
        <v>466632839.79782021</v>
      </c>
      <c r="FH465" s="269">
        <f t="shared" si="1233"/>
        <v>0</v>
      </c>
      <c r="FJ465" s="140">
        <f>'Detailed Budget'!$AC$235</f>
        <v>3623696172</v>
      </c>
      <c r="FK465" s="269">
        <f t="shared" si="1234"/>
        <v>4681778</v>
      </c>
      <c r="FL465" s="269">
        <f t="shared" si="1235"/>
        <v>4681778</v>
      </c>
      <c r="FO465" s="607"/>
      <c r="FP465" s="607"/>
      <c r="FQ465" s="607"/>
      <c r="FR465" s="269">
        <f>'Detailed Budget'!$AC$257</f>
        <v>13636439388</v>
      </c>
      <c r="FS465" s="269">
        <f t="shared" si="1236"/>
        <v>23484396</v>
      </c>
      <c r="FT465" s="269">
        <f t="shared" si="1237"/>
        <v>23484396</v>
      </c>
      <c r="FU465" s="269"/>
      <c r="FV465" s="269"/>
      <c r="FW465" s="269"/>
      <c r="FX465" s="140">
        <f>'Detailed Budget'!$AC$278</f>
        <v>1114560000</v>
      </c>
      <c r="FY465" s="269">
        <f t="shared" si="1238"/>
        <v>1440000</v>
      </c>
      <c r="FZ465" s="269">
        <f t="shared" si="1239"/>
        <v>1440000</v>
      </c>
      <c r="GB465" s="269">
        <f t="shared" si="1264"/>
        <v>1923530311.8027282</v>
      </c>
      <c r="GC465" s="887">
        <f t="shared" si="1213"/>
        <v>1202206.4448767051</v>
      </c>
      <c r="GD465" s="1078">
        <f t="shared" si="1265"/>
        <v>1.0793534281965415E-3</v>
      </c>
    </row>
    <row r="466" spans="1:186" hidden="1" outlineLevel="1">
      <c r="A466" s="211" t="s">
        <v>1062</v>
      </c>
      <c r="B466" s="212" t="s">
        <v>1063</v>
      </c>
      <c r="C466" s="213" t="s">
        <v>215</v>
      </c>
      <c r="D466" s="214" t="s">
        <v>215</v>
      </c>
      <c r="E466" s="213"/>
      <c r="F466" s="213"/>
      <c r="G466" s="213"/>
      <c r="H466" s="213" t="s">
        <v>215</v>
      </c>
      <c r="I466" s="214" t="s">
        <v>215</v>
      </c>
      <c r="J466" s="214"/>
      <c r="K466" s="213" t="s">
        <v>215</v>
      </c>
      <c r="L466" s="213"/>
      <c r="M466" s="214"/>
      <c r="N466" s="213"/>
      <c r="O466" s="214"/>
      <c r="P466" s="213"/>
      <c r="Q466" s="214"/>
      <c r="R466" s="214" t="s">
        <v>215</v>
      </c>
      <c r="S466" s="214"/>
      <c r="T466" s="214"/>
      <c r="U466" s="215">
        <f t="shared" si="1240"/>
        <v>6</v>
      </c>
      <c r="V466" s="845" t="s">
        <v>219</v>
      </c>
      <c r="W466" s="216">
        <v>135964</v>
      </c>
      <c r="X466" s="217">
        <v>3.2</v>
      </c>
      <c r="Y466" s="218">
        <f t="shared" si="1101"/>
        <v>1.032</v>
      </c>
      <c r="Z466" s="196">
        <v>19</v>
      </c>
      <c r="AA466" s="218">
        <f t="shared" si="1102"/>
        <v>1.8193415940533015</v>
      </c>
      <c r="AB466" s="196">
        <f t="shared" si="1194"/>
        <v>247364.96049386309</v>
      </c>
      <c r="AC466">
        <v>20.2</v>
      </c>
      <c r="AD466" s="196">
        <f t="shared" si="1195"/>
        <v>49967.722019760346</v>
      </c>
      <c r="AE466" s="196">
        <f t="shared" si="1148"/>
        <v>47469.335918772325</v>
      </c>
      <c r="AF466" s="196">
        <f t="shared" si="1241"/>
        <v>47469.335918772325</v>
      </c>
      <c r="AG466" s="606">
        <f t="shared" si="1216"/>
        <v>2.194773698594605E-3</v>
      </c>
      <c r="AH466" s="196">
        <f t="shared" si="1255"/>
        <v>12368.248024693155</v>
      </c>
      <c r="AI466" s="248">
        <f t="shared" si="1193"/>
        <v>9.5814943474679666E-4</v>
      </c>
      <c r="AJ466" s="196">
        <f t="shared" si="1196"/>
        <v>62335.970044453497</v>
      </c>
      <c r="AK466" s="196">
        <f t="shared" si="1225"/>
        <v>9894.598419754524</v>
      </c>
      <c r="AL466" s="196">
        <f t="shared" si="1226"/>
        <v>9894.598419754524</v>
      </c>
      <c r="AM466" s="196">
        <f t="shared" si="1197"/>
        <v>19789.196839509048</v>
      </c>
      <c r="AN466" s="627">
        <f t="shared" si="1198"/>
        <v>9.5814943474679655E-4</v>
      </c>
      <c r="AO466" s="196">
        <f t="shared" si="1199"/>
        <v>9399.8684987667966</v>
      </c>
      <c r="AP466" s="589">
        <f t="shared" si="1217"/>
        <v>9.5814943474679644E-4</v>
      </c>
      <c r="AQ466" s="196"/>
      <c r="AR466" s="589"/>
      <c r="AS466">
        <v>1</v>
      </c>
      <c r="AT466" s="589">
        <f t="shared" si="1218"/>
        <v>1.2919896640826874E-3</v>
      </c>
      <c r="AU466" s="196">
        <v>10</v>
      </c>
      <c r="AV466" s="245"/>
      <c r="AX466" s="245"/>
      <c r="AY466" s="245"/>
      <c r="AZ466" s="196">
        <v>41</v>
      </c>
      <c r="BA466" s="589">
        <f t="shared" si="1256"/>
        <v>1.5023267743944891E-3</v>
      </c>
      <c r="BI466" s="196">
        <v>0</v>
      </c>
      <c r="BK466" s="246">
        <f t="shared" si="1257"/>
        <v>0</v>
      </c>
      <c r="BL466" s="246"/>
      <c r="BM466" s="246">
        <f t="shared" si="1258"/>
        <v>0</v>
      </c>
      <c r="BN466" s="196">
        <v>1</v>
      </c>
      <c r="BO466" s="196">
        <f t="shared" si="1242"/>
        <v>20839.585078395772</v>
      </c>
      <c r="BP466" s="196">
        <f t="shared" si="1201"/>
        <v>20839.585078395772</v>
      </c>
      <c r="BQ466" s="248">
        <f t="shared" si="1259"/>
        <v>1.9494461393879657E-3</v>
      </c>
      <c r="BR466" s="248"/>
      <c r="BS466" s="248"/>
      <c r="BT466" s="276">
        <v>1</v>
      </c>
      <c r="BU466" s="196">
        <f t="shared" si="1260"/>
        <v>35976.75985422745</v>
      </c>
      <c r="BV466" s="264">
        <f t="shared" si="1261"/>
        <v>2.4954162091135874E-3</v>
      </c>
      <c r="BW466" s="196">
        <f t="shared" si="1262"/>
        <v>153900.58382086188</v>
      </c>
      <c r="BX466" s="247">
        <f t="shared" si="1263"/>
        <v>2.4954162315923927E-3</v>
      </c>
      <c r="BY466" s="196">
        <f t="shared" si="1100"/>
        <v>189877.34367508933</v>
      </c>
      <c r="BZ466" s="620">
        <v>0</v>
      </c>
      <c r="CA466" s="196">
        <f t="shared" si="1243"/>
        <v>75693.677911122097</v>
      </c>
      <c r="CB466" s="196">
        <f t="shared" si="1244"/>
        <v>151387.35582224419</v>
      </c>
      <c r="CC466" s="196">
        <f t="shared" si="1214"/>
        <v>227081.03373336629</v>
      </c>
      <c r="CD466" s="247">
        <f t="shared" si="1202"/>
        <v>9.5814943474679644E-4</v>
      </c>
      <c r="CE466" s="196">
        <f t="shared" si="1245"/>
        <v>25609.036616441641</v>
      </c>
      <c r="CF466" s="247">
        <f t="shared" si="1203"/>
        <v>1.1058778438103895E-3</v>
      </c>
      <c r="CG466" s="196">
        <f t="shared" si="1150"/>
        <v>37599.473995067186</v>
      </c>
      <c r="CH466" s="589">
        <f t="shared" si="1219"/>
        <v>9.5814943474679644E-4</v>
      </c>
      <c r="CI466" s="196">
        <f t="shared" si="1246"/>
        <v>49320.178352401366</v>
      </c>
      <c r="CJ466" s="248">
        <f t="shared" si="1220"/>
        <v>8.1082360692231353E-4</v>
      </c>
      <c r="CK466" s="196">
        <f t="shared" si="1247"/>
        <v>39876.307958809004</v>
      </c>
      <c r="CL466" s="589">
        <f t="shared" si="1221"/>
        <v>5.7323012911448938E-4</v>
      </c>
      <c r="CM466" s="196">
        <f t="shared" si="1248"/>
        <v>3863.0358639320316</v>
      </c>
      <c r="CN466" s="589">
        <f t="shared" si="1222"/>
        <v>5.567073700471491E-4</v>
      </c>
      <c r="CO466" s="196">
        <f t="shared" si="1249"/>
        <v>309.05116245046622</v>
      </c>
      <c r="CP466" s="589">
        <f t="shared" si="1223"/>
        <v>5.8282288973923691E-4</v>
      </c>
      <c r="CQ466" s="196">
        <f>'Detailed Budget'!$AC$12</f>
        <v>292876014141.44696</v>
      </c>
      <c r="CR466" s="269">
        <f t="shared" si="1224"/>
        <v>0</v>
      </c>
      <c r="CS466" s="269">
        <f>'Detailed Budget'!$AC$16</f>
        <v>10488008800.000002</v>
      </c>
      <c r="CT466" s="607">
        <f t="shared" si="1152"/>
        <v>0</v>
      </c>
      <c r="CU466" s="269">
        <f>'Detailed Budget'!$AC$24</f>
        <v>30624985696</v>
      </c>
      <c r="CV466" s="269">
        <f t="shared" si="1250"/>
        <v>0</v>
      </c>
      <c r="CW466" s="269"/>
      <c r="CX466" s="269">
        <f t="shared" si="1215"/>
        <v>0</v>
      </c>
      <c r="CY466" s="196"/>
      <c r="DA466" s="269">
        <f>'Detailed Budget'!$AC$100</f>
        <v>14925833098.967569</v>
      </c>
      <c r="DB466" s="269">
        <f t="shared" si="1229"/>
        <v>29097107.711931445</v>
      </c>
      <c r="DC466" s="269">
        <f t="shared" si="1204"/>
        <v>29097107.711931445</v>
      </c>
      <c r="DD466" s="207">
        <v>0</v>
      </c>
      <c r="DE466" s="606">
        <v>0</v>
      </c>
      <c r="DF466" s="269">
        <f>'Detailed Budget'!$AC$147</f>
        <v>5913600671000</v>
      </c>
      <c r="DG466" s="269">
        <f t="shared" si="1230"/>
        <v>0</v>
      </c>
      <c r="DH466" s="269">
        <f>'Detailed Budget'!$AC$153</f>
        <v>226428026880.00003</v>
      </c>
      <c r="DI466" s="269"/>
      <c r="DJ466" s="269">
        <f>'Detailed Budget'!$AC$156</f>
        <v>27713070000</v>
      </c>
      <c r="DK466" s="269"/>
      <c r="DL466" s="269"/>
      <c r="DM466" s="196">
        <f>'Detailed Budget'!$AC$178</f>
        <v>5622683761.6229038</v>
      </c>
      <c r="DN466" s="269">
        <f t="shared" si="1251"/>
        <v>14030936.197473552</v>
      </c>
      <c r="DO466" s="196">
        <f>'Detailed Budget'!$AC$179</f>
        <v>26827890683.128094</v>
      </c>
      <c r="DP466" s="269">
        <f t="shared" si="1252"/>
        <v>66946753.870064169</v>
      </c>
      <c r="DQ466" s="269">
        <f t="shared" si="1192"/>
        <v>80977690.067537725</v>
      </c>
      <c r="DR466" s="269">
        <f>'Detailed Budget'!$AC$181</f>
        <v>50888946855.375237</v>
      </c>
      <c r="DS466" s="269">
        <f t="shared" si="1253"/>
        <v>111689722.10735621</v>
      </c>
      <c r="DT466" s="269">
        <f t="shared" si="1254"/>
        <v>192667412.17489392</v>
      </c>
      <c r="DU466" s="272">
        <f>'Detailed Budget'!$AC$192</f>
        <v>77498869683.252869</v>
      </c>
      <c r="DV466" s="269">
        <f t="shared" si="1155"/>
        <v>0</v>
      </c>
      <c r="DW466" s="140">
        <f>'Detailed Budget'!$AC$194</f>
        <v>2684962805.4134097</v>
      </c>
      <c r="DX466" s="269">
        <f t="shared" si="1156"/>
        <v>0</v>
      </c>
      <c r="DY466" s="607">
        <f t="shared" si="1205"/>
        <v>0</v>
      </c>
      <c r="DZ466" s="196">
        <f>'Detailed Budget'!$AC$198</f>
        <v>18732540018.380611</v>
      </c>
      <c r="EA466" s="269">
        <f t="shared" si="1231"/>
        <v>20715900.964618586</v>
      </c>
      <c r="EB466" s="196">
        <f>'Detailed Budget'!$AC$200</f>
        <v>4683135004.5951529</v>
      </c>
      <c r="EC466" s="269">
        <f t="shared" si="1158"/>
        <v>5178975.2411546465</v>
      </c>
      <c r="ED466" s="269">
        <f t="shared" si="1206"/>
        <v>25894876.205773234</v>
      </c>
      <c r="EE466" s="196">
        <f>'Detailed Budget'!$AC$161</f>
        <v>251147290106.36197</v>
      </c>
      <c r="EF466" s="269">
        <f t="shared" si="1159"/>
        <v>240636634.05360043</v>
      </c>
      <c r="EG466" s="196">
        <f>'Detailed Budget'!$AC$163</f>
        <v>15696705631.647623</v>
      </c>
      <c r="EH466" s="269">
        <f t="shared" si="1160"/>
        <v>15039789.628350027</v>
      </c>
      <c r="EI466" s="269">
        <f t="shared" si="1207"/>
        <v>255676423.68195045</v>
      </c>
      <c r="EJ466" s="196">
        <f>'Detailed Budget'!$AC$204</f>
        <v>45012172507.531975</v>
      </c>
      <c r="EK466" s="269">
        <f t="shared" si="1161"/>
        <v>36496932.067966476</v>
      </c>
      <c r="EL466" s="201">
        <f>'Detailed Budget'!$AC$206</f>
        <v>11253043126.882994</v>
      </c>
      <c r="EM466" s="269">
        <f t="shared" si="1162"/>
        <v>9124233.016991619</v>
      </c>
      <c r="EN466" s="269">
        <f t="shared" si="1208"/>
        <v>45621165.084958091</v>
      </c>
      <c r="EO466" s="140">
        <f>'Detailed Budget'!$AC$209</f>
        <v>135789361677.54817</v>
      </c>
      <c r="EP466" s="269">
        <f t="shared" si="1163"/>
        <v>77838553.326795042</v>
      </c>
      <c r="EQ466" s="196">
        <f>'Detailed Budget'!$AC$211</f>
        <v>33947340419.387043</v>
      </c>
      <c r="ER466" s="269">
        <f t="shared" si="1164"/>
        <v>19459638.33169876</v>
      </c>
      <c r="ES466" s="269">
        <f t="shared" si="1209"/>
        <v>97298191.658493802</v>
      </c>
      <c r="ET466" s="196">
        <f>'Detailed Budget'!$AC$214</f>
        <v>22239745544.201103</v>
      </c>
      <c r="EU466" s="269">
        <f t="shared" si="1165"/>
        <v>12381030.252429999</v>
      </c>
      <c r="EV466" s="140">
        <f>'Detailed Budget'!$AC$217</f>
        <v>5559936386.0502758</v>
      </c>
      <c r="EW466" s="269">
        <f t="shared" si="1166"/>
        <v>3095257.5631074999</v>
      </c>
      <c r="EX466" s="269">
        <f t="shared" si="1210"/>
        <v>15476287.815537499</v>
      </c>
      <c r="EY466" s="196">
        <f>'Detailed Budget'!$AC$219</f>
        <v>372777004.58170313</v>
      </c>
      <c r="EZ466" s="269">
        <f t="shared" si="1167"/>
        <v>217262.97103864499</v>
      </c>
      <c r="FA466" s="196">
        <f>'Detailed Budget'!$AC$222</f>
        <v>93194251.145425782</v>
      </c>
      <c r="FB466" s="269">
        <f t="shared" si="1168"/>
        <v>54315.742759661247</v>
      </c>
      <c r="FC466" s="269">
        <f t="shared" si="1211"/>
        <v>271578.71379830624</v>
      </c>
      <c r="FD466" s="269"/>
      <c r="FE466" s="269">
        <f t="shared" si="1212"/>
        <v>158667223.27278772</v>
      </c>
      <c r="FF466" s="140"/>
      <c r="FG466" s="1087">
        <f t="shared" si="1232"/>
        <v>216432595.33900356</v>
      </c>
      <c r="FH466" s="269">
        <f t="shared" si="1233"/>
        <v>0</v>
      </c>
      <c r="FJ466" s="140">
        <f>'Detailed Budget'!$AC$235</f>
        <v>3623696172</v>
      </c>
      <c r="FK466" s="269">
        <f t="shared" si="1234"/>
        <v>4681778</v>
      </c>
      <c r="FL466" s="269">
        <f t="shared" si="1235"/>
        <v>4681778</v>
      </c>
      <c r="FO466" s="607"/>
      <c r="FP466" s="607"/>
      <c r="FQ466" s="607"/>
      <c r="FR466" s="269">
        <f>'Detailed Budget'!$AC$257</f>
        <v>13636439388</v>
      </c>
      <c r="FS466" s="269">
        <f t="shared" si="1236"/>
        <v>20486388</v>
      </c>
      <c r="FT466" s="269">
        <f t="shared" si="1237"/>
        <v>20486388</v>
      </c>
      <c r="FU466" s="269"/>
      <c r="FV466" s="269"/>
      <c r="FW466" s="269"/>
      <c r="FX466" s="140">
        <f>'Detailed Budget'!$AC$278</f>
        <v>1114560000</v>
      </c>
      <c r="FY466" s="269">
        <f t="shared" si="1238"/>
        <v>1440000</v>
      </c>
      <c r="FZ466" s="269">
        <f t="shared" si="1239"/>
        <v>1440000</v>
      </c>
      <c r="GB466" s="269">
        <f t="shared" si="1264"/>
        <v>905043804.38634026</v>
      </c>
      <c r="GC466" s="887">
        <f t="shared" si="1213"/>
        <v>565652.37774146267</v>
      </c>
      <c r="GD466" s="1078">
        <f t="shared" si="1265"/>
        <v>5.0784857765871316E-4</v>
      </c>
    </row>
    <row r="467" spans="1:186" hidden="1" outlineLevel="1">
      <c r="A467" s="211" t="s">
        <v>1064</v>
      </c>
      <c r="B467" s="212" t="s">
        <v>1065</v>
      </c>
      <c r="C467" s="213" t="s">
        <v>215</v>
      </c>
      <c r="D467" s="214" t="s">
        <v>215</v>
      </c>
      <c r="E467" s="213"/>
      <c r="F467" s="213"/>
      <c r="G467" s="213"/>
      <c r="H467" s="213" t="s">
        <v>215</v>
      </c>
      <c r="I467" s="214" t="s">
        <v>215</v>
      </c>
      <c r="J467" s="214"/>
      <c r="K467" s="213" t="s">
        <v>215</v>
      </c>
      <c r="L467" s="213"/>
      <c r="M467" s="214"/>
      <c r="N467" s="213"/>
      <c r="O467" s="214"/>
      <c r="P467" s="213"/>
      <c r="Q467" s="214"/>
      <c r="R467" s="214" t="s">
        <v>215</v>
      </c>
      <c r="S467" s="214"/>
      <c r="T467" s="214"/>
      <c r="U467" s="215">
        <f t="shared" si="1240"/>
        <v>6</v>
      </c>
      <c r="V467" s="845" t="s">
        <v>219</v>
      </c>
      <c r="W467" s="216">
        <v>215650</v>
      </c>
      <c r="X467" s="217">
        <v>3.2</v>
      </c>
      <c r="Y467" s="218">
        <f t="shared" si="1101"/>
        <v>1.032</v>
      </c>
      <c r="Z467" s="196">
        <v>19</v>
      </c>
      <c r="AA467" s="218">
        <f t="shared" si="1102"/>
        <v>1.8193415940533015</v>
      </c>
      <c r="AB467" s="196">
        <f t="shared" si="1194"/>
        <v>392341.0147575945</v>
      </c>
      <c r="AC467">
        <v>20.2</v>
      </c>
      <c r="AD467" s="196">
        <f t="shared" si="1195"/>
        <v>79252.884981034091</v>
      </c>
      <c r="AE467" s="196">
        <f t="shared" si="1148"/>
        <v>75290.240731982383</v>
      </c>
      <c r="AF467" s="196">
        <f t="shared" si="1241"/>
        <v>75290.240731982383</v>
      </c>
      <c r="AG467" s="606">
        <f t="shared" si="1216"/>
        <v>3.4810902010968098E-3</v>
      </c>
      <c r="AH467" s="196">
        <f t="shared" si="1255"/>
        <v>19617.050737879727</v>
      </c>
      <c r="AI467" s="248">
        <f t="shared" si="1193"/>
        <v>1.5197031979284714E-3</v>
      </c>
      <c r="AJ467" s="196">
        <f t="shared" si="1196"/>
        <v>98869.935718913825</v>
      </c>
      <c r="AK467" s="196">
        <f t="shared" si="1225"/>
        <v>15693.640590303781</v>
      </c>
      <c r="AL467" s="196">
        <f t="shared" si="1226"/>
        <v>15693.640590303781</v>
      </c>
      <c r="AM467" s="196">
        <f t="shared" si="1197"/>
        <v>31387.281180607562</v>
      </c>
      <c r="AN467" s="627">
        <f t="shared" si="1198"/>
        <v>1.5197031979284714E-3</v>
      </c>
      <c r="AO467" s="196">
        <f t="shared" si="1199"/>
        <v>14908.958560788591</v>
      </c>
      <c r="AP467" s="589">
        <f t="shared" si="1217"/>
        <v>1.5197031979284714E-3</v>
      </c>
      <c r="AQ467" s="196"/>
      <c r="AR467" s="589"/>
      <c r="AS467">
        <v>1</v>
      </c>
      <c r="AT467" s="589">
        <f t="shared" si="1218"/>
        <v>1.2919896640826874E-3</v>
      </c>
      <c r="AU467" s="196">
        <v>11</v>
      </c>
      <c r="AV467" s="245"/>
      <c r="AX467" s="245"/>
      <c r="AY467" s="245"/>
      <c r="AZ467" s="196">
        <v>53</v>
      </c>
      <c r="BA467" s="589">
        <f t="shared" si="1256"/>
        <v>1.9420321717782418E-3</v>
      </c>
      <c r="BI467" s="196">
        <v>0</v>
      </c>
      <c r="BK467" s="246">
        <f t="shared" si="1257"/>
        <v>0</v>
      </c>
      <c r="BL467" s="246"/>
      <c r="BM467" s="246">
        <f t="shared" si="1258"/>
        <v>0</v>
      </c>
      <c r="BN467" s="196">
        <v>1</v>
      </c>
      <c r="BO467" s="196">
        <f t="shared" si="1242"/>
        <v>33053.282649495814</v>
      </c>
      <c r="BP467" s="196">
        <f t="shared" si="1201"/>
        <v>33053.282649495814</v>
      </c>
      <c r="BQ467" s="248">
        <f t="shared" si="1259"/>
        <v>3.091980671052741E-3</v>
      </c>
      <c r="BR467" s="248"/>
      <c r="BS467" s="248"/>
      <c r="BT467" s="276">
        <v>1</v>
      </c>
      <c r="BU467" s="196">
        <f t="shared" si="1260"/>
        <v>57062.077186344541</v>
      </c>
      <c r="BV467" s="264">
        <f t="shared" si="1261"/>
        <v>3.9579337581664639E-3</v>
      </c>
      <c r="BW467" s="196">
        <f t="shared" si="1262"/>
        <v>244098.88574158499</v>
      </c>
      <c r="BX467" s="247">
        <f t="shared" si="1263"/>
        <v>3.957933793819683E-3</v>
      </c>
      <c r="BY467" s="196">
        <f t="shared" si="1100"/>
        <v>301160.96292792953</v>
      </c>
      <c r="BZ467" s="620">
        <v>0</v>
      </c>
      <c r="CA467" s="196">
        <f t="shared" si="1243"/>
        <v>120056.35051582393</v>
      </c>
      <c r="CB467" s="196">
        <f t="shared" si="1244"/>
        <v>240112.70103164786</v>
      </c>
      <c r="CC467" s="196">
        <f t="shared" si="1214"/>
        <v>360169.05154747178</v>
      </c>
      <c r="CD467" s="247">
        <f t="shared" si="1202"/>
        <v>1.5197031979284716E-3</v>
      </c>
      <c r="CE467" s="196">
        <f t="shared" si="1245"/>
        <v>40618.022023003447</v>
      </c>
      <c r="CF467" s="247">
        <f t="shared" si="1203"/>
        <v>1.7540125107948468E-3</v>
      </c>
      <c r="CG467" s="196">
        <f t="shared" si="1150"/>
        <v>59635.834243154364</v>
      </c>
      <c r="CH467" s="589">
        <f t="shared" si="1219"/>
        <v>1.5197031979284714E-3</v>
      </c>
      <c r="CI467" s="196">
        <f t="shared" si="1246"/>
        <v>78225.827878669021</v>
      </c>
      <c r="CJ467" s="248">
        <f t="shared" si="1220"/>
        <v>1.2860324117619144E-3</v>
      </c>
      <c r="CK467" s="196">
        <f t="shared" si="1247"/>
        <v>63247.078721699581</v>
      </c>
      <c r="CL467" s="589">
        <f t="shared" si="1221"/>
        <v>9.0918976599349566E-4</v>
      </c>
      <c r="CM467" s="196">
        <f t="shared" si="1248"/>
        <v>6127.0901419268539</v>
      </c>
      <c r="CN467" s="589">
        <f t="shared" si="1222"/>
        <v>8.8298332169300497E-4</v>
      </c>
      <c r="CO467" s="196">
        <f t="shared" si="1249"/>
        <v>490.18036526170937</v>
      </c>
      <c r="CP467" s="589">
        <f t="shared" si="1223"/>
        <v>9.2440466720798502E-4</v>
      </c>
      <c r="CQ467" s="196">
        <f>'Detailed Budget'!$AC$12</f>
        <v>292876014141.44696</v>
      </c>
      <c r="CR467" s="269">
        <f t="shared" si="1224"/>
        <v>0</v>
      </c>
      <c r="CS467" s="269">
        <f>'Detailed Budget'!$AC$16</f>
        <v>10488008800.000002</v>
      </c>
      <c r="CT467" s="607">
        <f t="shared" si="1152"/>
        <v>0</v>
      </c>
      <c r="CU467" s="269">
        <f>'Detailed Budget'!$AC$24</f>
        <v>30624985696</v>
      </c>
      <c r="CV467" s="269">
        <f t="shared" si="1250"/>
        <v>0</v>
      </c>
      <c r="CW467" s="269"/>
      <c r="CX467" s="269">
        <f t="shared" si="1215"/>
        <v>0</v>
      </c>
      <c r="CY467" s="196"/>
      <c r="DA467" s="269">
        <f>'Detailed Budget'!$AC$100</f>
        <v>14925833098.967569</v>
      </c>
      <c r="DB467" s="269">
        <f t="shared" si="1229"/>
        <v>46150387.441366956</v>
      </c>
      <c r="DC467" s="269">
        <f t="shared" si="1204"/>
        <v>46150387.441366956</v>
      </c>
      <c r="DD467" s="207">
        <v>0</v>
      </c>
      <c r="DE467" s="606">
        <v>0</v>
      </c>
      <c r="DF467" s="269">
        <f>'Detailed Budget'!$AC$147</f>
        <v>5913600671000</v>
      </c>
      <c r="DG467" s="269">
        <f t="shared" si="1230"/>
        <v>0</v>
      </c>
      <c r="DH467" s="269">
        <f>'Detailed Budget'!$AC$153</f>
        <v>226428026880.00003</v>
      </c>
      <c r="DI467" s="269"/>
      <c r="DJ467" s="269">
        <f>'Detailed Budget'!$AC$156</f>
        <v>27713070000</v>
      </c>
      <c r="DK467" s="269"/>
      <c r="DL467" s="269"/>
      <c r="DM467" s="196">
        <f>'Detailed Budget'!$AC$178</f>
        <v>5622683761.6229038</v>
      </c>
      <c r="DN467" s="269">
        <f t="shared" si="1251"/>
        <v>22254209.871621691</v>
      </c>
      <c r="DO467" s="196">
        <f>'Detailed Budget'!$AC$179</f>
        <v>26827890683.128094</v>
      </c>
      <c r="DP467" s="269">
        <f t="shared" si="1252"/>
        <v>106183015.1516529</v>
      </c>
      <c r="DQ467" s="269">
        <f t="shared" si="1192"/>
        <v>128437225.0232746</v>
      </c>
      <c r="DR467" s="269">
        <f>'Detailed Budget'!$AC$181</f>
        <v>50888946855.375237</v>
      </c>
      <c r="DS467" s="269">
        <f t="shared" si="1253"/>
        <v>177149014.24238306</v>
      </c>
      <c r="DT467" s="269">
        <f t="shared" si="1254"/>
        <v>305586239.26565766</v>
      </c>
      <c r="DU467" s="272">
        <f>'Detailed Budget'!$AC$192</f>
        <v>77498869683.252869</v>
      </c>
      <c r="DV467" s="269">
        <f t="shared" si="1155"/>
        <v>0</v>
      </c>
      <c r="DW467" s="140">
        <f>'Detailed Budget'!$AC$194</f>
        <v>2684962805.4134097</v>
      </c>
      <c r="DX467" s="269">
        <f t="shared" si="1156"/>
        <v>0</v>
      </c>
      <c r="DY467" s="607">
        <f t="shared" si="1205"/>
        <v>0</v>
      </c>
      <c r="DZ467" s="196">
        <f>'Detailed Budget'!$AC$198</f>
        <v>18732540018.380611</v>
      </c>
      <c r="EA467" s="269">
        <f t="shared" si="1231"/>
        <v>32857109.551204722</v>
      </c>
      <c r="EB467" s="196">
        <f>'Detailed Budget'!$AC$200</f>
        <v>4683135004.5951529</v>
      </c>
      <c r="EC467" s="269">
        <f t="shared" si="1158"/>
        <v>8214277.3878011806</v>
      </c>
      <c r="ED467" s="269">
        <f t="shared" si="1206"/>
        <v>41071386.939005904</v>
      </c>
      <c r="EE467" s="196">
        <f>'Detailed Budget'!$AC$161</f>
        <v>251147290106.36197</v>
      </c>
      <c r="EF467" s="269">
        <f t="shared" si="1159"/>
        <v>381669339.92570782</v>
      </c>
      <c r="EG467" s="196">
        <f>'Detailed Budget'!$AC$163</f>
        <v>15696705631.647623</v>
      </c>
      <c r="EH467" s="269">
        <f t="shared" si="1160"/>
        <v>23854333.745356739</v>
      </c>
      <c r="EI467" s="269">
        <f t="shared" si="1207"/>
        <v>405523673.67106456</v>
      </c>
      <c r="EJ467" s="196">
        <f>'Detailed Budget'!$AC$204</f>
        <v>45012172507.531975</v>
      </c>
      <c r="EK467" s="269">
        <f t="shared" si="1161"/>
        <v>57887112.768504679</v>
      </c>
      <c r="EL467" s="201">
        <f>'Detailed Budget'!$AC$206</f>
        <v>11253043126.882994</v>
      </c>
      <c r="EM467" s="269">
        <f t="shared" si="1162"/>
        <v>14471778.19212617</v>
      </c>
      <c r="EN467" s="269">
        <f t="shared" si="1208"/>
        <v>72358890.960630849</v>
      </c>
      <c r="EO467" s="140">
        <f>'Detailed Budget'!$AC$209</f>
        <v>135789361677.54817</v>
      </c>
      <c r="EP467" s="269">
        <f t="shared" si="1163"/>
        <v>123458297.96801616</v>
      </c>
      <c r="EQ467" s="196">
        <f>'Detailed Budget'!$AC$211</f>
        <v>33947340419.387043</v>
      </c>
      <c r="ER467" s="269">
        <f t="shared" si="1164"/>
        <v>30864574.492004041</v>
      </c>
      <c r="ES467" s="269">
        <f t="shared" si="1209"/>
        <v>154322872.46002021</v>
      </c>
      <c r="ET467" s="196">
        <f>'Detailed Budget'!$AC$214</f>
        <v>22239745544.201103</v>
      </c>
      <c r="EU467" s="269">
        <f t="shared" si="1165"/>
        <v>19637324.394225895</v>
      </c>
      <c r="EV467" s="140">
        <f>'Detailed Budget'!$AC$217</f>
        <v>5559936386.0502758</v>
      </c>
      <c r="EW467" s="269">
        <f t="shared" si="1166"/>
        <v>4909331.0985564739</v>
      </c>
      <c r="EX467" s="269">
        <f t="shared" si="1210"/>
        <v>24546655.492782369</v>
      </c>
      <c r="EY467" s="196">
        <f>'Detailed Budget'!$AC$219</f>
        <v>372777004.58170313</v>
      </c>
      <c r="EZ467" s="269">
        <f t="shared" si="1167"/>
        <v>344596.80286313879</v>
      </c>
      <c r="FA467" s="196">
        <f>'Detailed Budget'!$AC$222</f>
        <v>93194251.145425782</v>
      </c>
      <c r="FB467" s="269">
        <f t="shared" si="1168"/>
        <v>86149.200715784697</v>
      </c>
      <c r="FC467" s="269">
        <f t="shared" si="1211"/>
        <v>430746.00357892347</v>
      </c>
      <c r="FD467" s="269"/>
      <c r="FE467" s="269">
        <f t="shared" si="1212"/>
        <v>251659164.91701236</v>
      </c>
      <c r="FF467" s="140"/>
      <c r="FG467" s="1087">
        <f t="shared" si="1232"/>
        <v>343279759.23668116</v>
      </c>
      <c r="FH467" s="269">
        <f t="shared" si="1233"/>
        <v>0</v>
      </c>
      <c r="FJ467" s="140">
        <f>'Detailed Budget'!$AC$235</f>
        <v>3623696172</v>
      </c>
      <c r="FK467" s="269">
        <f t="shared" si="1234"/>
        <v>4681778</v>
      </c>
      <c r="FL467" s="269">
        <f t="shared" si="1235"/>
        <v>4681778</v>
      </c>
      <c r="FO467" s="607"/>
      <c r="FP467" s="607"/>
      <c r="FQ467" s="607"/>
      <c r="FR467" s="269">
        <f>'Detailed Budget'!$AC$257</f>
        <v>13636439388</v>
      </c>
      <c r="FS467" s="269">
        <f t="shared" si="1236"/>
        <v>26482404</v>
      </c>
      <c r="FT467" s="269">
        <f t="shared" si="1237"/>
        <v>26482404</v>
      </c>
      <c r="FU467" s="269"/>
      <c r="FV467" s="269"/>
      <c r="FW467" s="269"/>
      <c r="FX467" s="140">
        <f>'Detailed Budget'!$AC$278</f>
        <v>1114560000</v>
      </c>
      <c r="FY467" s="269">
        <f t="shared" si="1238"/>
        <v>1440000</v>
      </c>
      <c r="FZ467" s="269">
        <f t="shared" si="1239"/>
        <v>1440000</v>
      </c>
      <c r="GB467" s="269">
        <f t="shared" si="1264"/>
        <v>1425874793.4707885</v>
      </c>
      <c r="GC467" s="887">
        <f t="shared" si="1213"/>
        <v>891171.74591924285</v>
      </c>
      <c r="GD467" s="1078">
        <f t="shared" si="1265"/>
        <v>8.0010324613463593E-4</v>
      </c>
    </row>
    <row r="468" spans="1:186" hidden="1" outlineLevel="1">
      <c r="A468" s="211" t="s">
        <v>1066</v>
      </c>
      <c r="B468" s="212" t="s">
        <v>1067</v>
      </c>
      <c r="C468" s="213" t="s">
        <v>215</v>
      </c>
      <c r="D468" s="214" t="s">
        <v>215</v>
      </c>
      <c r="E468" s="213"/>
      <c r="F468" s="213"/>
      <c r="G468" s="213"/>
      <c r="H468" s="213" t="s">
        <v>215</v>
      </c>
      <c r="I468" s="214" t="s">
        <v>215</v>
      </c>
      <c r="J468" s="214"/>
      <c r="K468" s="213" t="s">
        <v>215</v>
      </c>
      <c r="L468" s="213"/>
      <c r="M468" s="214"/>
      <c r="N468" s="213"/>
      <c r="O468" s="214"/>
      <c r="P468" s="213"/>
      <c r="Q468" s="214"/>
      <c r="R468" s="214" t="s">
        <v>215</v>
      </c>
      <c r="S468" s="214"/>
      <c r="T468" s="214"/>
      <c r="U468" s="215">
        <f t="shared" si="1240"/>
        <v>6</v>
      </c>
      <c r="V468" s="845" t="s">
        <v>219</v>
      </c>
      <c r="W468" s="216">
        <v>266929</v>
      </c>
      <c r="X468" s="217">
        <v>3.2</v>
      </c>
      <c r="Y468" s="218">
        <f t="shared" si="1101"/>
        <v>1.032</v>
      </c>
      <c r="Z468" s="196">
        <v>19</v>
      </c>
      <c r="AA468" s="218">
        <f t="shared" si="1102"/>
        <v>1.8193415940533015</v>
      </c>
      <c r="AB468" s="196">
        <f t="shared" si="1194"/>
        <v>485635.03235905373</v>
      </c>
      <c r="AC468">
        <v>20.2</v>
      </c>
      <c r="AD468" s="196">
        <f t="shared" si="1195"/>
        <v>98098.276536528865</v>
      </c>
      <c r="AE468" s="196">
        <f t="shared" si="1148"/>
        <v>93193.362709702415</v>
      </c>
      <c r="AF468" s="196">
        <f t="shared" si="1241"/>
        <v>93193.362709702415</v>
      </c>
      <c r="AG468" s="606">
        <f t="shared" si="1216"/>
        <v>4.3088519651684224E-3</v>
      </c>
      <c r="AH468" s="196">
        <f t="shared" si="1255"/>
        <v>24281.751617952687</v>
      </c>
      <c r="AI468" s="248">
        <f t="shared" si="1193"/>
        <v>1.8810705073955434E-3</v>
      </c>
      <c r="AJ468" s="196">
        <f t="shared" si="1196"/>
        <v>122380.02815448155</v>
      </c>
      <c r="AK468" s="196">
        <f t="shared" si="1225"/>
        <v>19425.401294362149</v>
      </c>
      <c r="AL468" s="196">
        <f t="shared" si="1226"/>
        <v>19425.401294362149</v>
      </c>
      <c r="AM468" s="196">
        <f t="shared" si="1197"/>
        <v>38850.802588724298</v>
      </c>
      <c r="AN468" s="627">
        <f t="shared" si="1198"/>
        <v>1.8810705073955434E-3</v>
      </c>
      <c r="AO468" s="196">
        <f t="shared" si="1199"/>
        <v>18454.131229644041</v>
      </c>
      <c r="AP468" s="589">
        <f t="shared" si="1217"/>
        <v>1.8810705073955432E-3</v>
      </c>
      <c r="AQ468" s="196"/>
      <c r="AR468" s="589"/>
      <c r="AS468">
        <v>1</v>
      </c>
      <c r="AT468" s="589">
        <f t="shared" si="1218"/>
        <v>1.2919896640826874E-3</v>
      </c>
      <c r="AU468" s="196">
        <v>11</v>
      </c>
      <c r="AV468" s="245"/>
      <c r="AX468" s="245"/>
      <c r="AY468" s="245"/>
      <c r="AZ468" s="196">
        <v>59</v>
      </c>
      <c r="BA468" s="589">
        <f t="shared" si="1256"/>
        <v>2.1618848704701185E-3</v>
      </c>
      <c r="BI468" s="196">
        <v>0</v>
      </c>
      <c r="BK468" s="246">
        <f t="shared" si="1257"/>
        <v>0</v>
      </c>
      <c r="BL468" s="246"/>
      <c r="BM468" s="246">
        <f t="shared" si="1258"/>
        <v>0</v>
      </c>
      <c r="BN468" s="196">
        <v>1</v>
      </c>
      <c r="BO468" s="196">
        <f t="shared" si="1242"/>
        <v>40912.959352410231</v>
      </c>
      <c r="BP468" s="196">
        <f t="shared" si="1201"/>
        <v>40912.959352410231</v>
      </c>
      <c r="BQ468" s="248">
        <f t="shared" si="1259"/>
        <v>3.8272168260766841E-3</v>
      </c>
      <c r="BR468" s="248"/>
      <c r="BS468" s="248"/>
      <c r="BT468" s="276">
        <v>1</v>
      </c>
      <c r="BU468" s="196">
        <f t="shared" si="1260"/>
        <v>70630.759106300786</v>
      </c>
      <c r="BV468" s="264">
        <f t="shared" si="1261"/>
        <v>4.8990832373457744E-3</v>
      </c>
      <c r="BW468" s="196">
        <f t="shared" si="1262"/>
        <v>302142.69173250889</v>
      </c>
      <c r="BX468" s="247">
        <f t="shared" si="1263"/>
        <v>4.8990832814769037E-3</v>
      </c>
      <c r="BY468" s="196">
        <f>BU468+BW468</f>
        <v>372773.45083880966</v>
      </c>
      <c r="BZ468" s="620">
        <v>0</v>
      </c>
      <c r="CA468" s="196">
        <f t="shared" si="1243"/>
        <v>148604.31990187045</v>
      </c>
      <c r="CB468" s="196">
        <f t="shared" si="1244"/>
        <v>297208.63980374089</v>
      </c>
      <c r="CC468" s="196">
        <f t="shared" si="1214"/>
        <v>445812.95970561134</v>
      </c>
      <c r="CD468" s="247">
        <f t="shared" si="1202"/>
        <v>1.8810705073955434E-3</v>
      </c>
      <c r="CE468" s="196">
        <f t="shared" si="1245"/>
        <v>50276.503596467817</v>
      </c>
      <c r="CF468" s="247">
        <f t="shared" si="1203"/>
        <v>2.1710957824899492E-3</v>
      </c>
      <c r="CG468" s="196">
        <f t="shared" si="1150"/>
        <v>73816.524918576164</v>
      </c>
      <c r="CH468" s="589">
        <f t="shared" si="1219"/>
        <v>1.8810705073955432E-3</v>
      </c>
      <c r="CI468" s="196">
        <f t="shared" si="1246"/>
        <v>96826.997495132135</v>
      </c>
      <c r="CJ468" s="248">
        <f t="shared" si="1220"/>
        <v>1.5918355930405568E-3</v>
      </c>
      <c r="CK468" s="196">
        <f t="shared" si="1247"/>
        <v>78286.480297261995</v>
      </c>
      <c r="CL468" s="589">
        <f t="shared" si="1221"/>
        <v>1.1253842571151301E-3</v>
      </c>
      <c r="CM468" s="196">
        <f t="shared" si="1248"/>
        <v>7584.0391583324517</v>
      </c>
      <c r="CN468" s="589">
        <f t="shared" si="1222"/>
        <v>1.0929462326742041E-3</v>
      </c>
      <c r="CO468" s="196">
        <f t="shared" si="1249"/>
        <v>606.73941441661395</v>
      </c>
      <c r="CP468" s="589">
        <f t="shared" si="1223"/>
        <v>1.1442170805154657E-3</v>
      </c>
      <c r="CQ468" s="196">
        <f>'Detailed Budget'!$AC$12</f>
        <v>292876014141.44696</v>
      </c>
      <c r="CR468" s="269">
        <f t="shared" si="1224"/>
        <v>0</v>
      </c>
      <c r="CS468" s="269">
        <f>'Detailed Budget'!$AC$16</f>
        <v>10488008800.000002</v>
      </c>
      <c r="CT468" s="607">
        <f t="shared" si="1152"/>
        <v>0</v>
      </c>
      <c r="CU468" s="269">
        <f>'Detailed Budget'!$AC$24</f>
        <v>30624985696</v>
      </c>
      <c r="CV468" s="269">
        <f t="shared" si="1250"/>
        <v>0</v>
      </c>
      <c r="CW468" s="269"/>
      <c r="CX468" s="269">
        <f t="shared" si="1215"/>
        <v>0</v>
      </c>
      <c r="CY468" s="196"/>
      <c r="DA468" s="269">
        <f>'Detailed Budget'!$AC$100</f>
        <v>14925833098.967569</v>
      </c>
      <c r="DB468" s="269">
        <f t="shared" si="1229"/>
        <v>57124399.579580978</v>
      </c>
      <c r="DC468" s="269">
        <f t="shared" si="1204"/>
        <v>57124399.579580978</v>
      </c>
      <c r="DD468" s="207">
        <v>0</v>
      </c>
      <c r="DE468" s="606">
        <v>0</v>
      </c>
      <c r="DF468" s="269">
        <f>'Detailed Budget'!$AC$147</f>
        <v>5913600671000</v>
      </c>
      <c r="DG468" s="269">
        <f t="shared" si="1230"/>
        <v>0</v>
      </c>
      <c r="DH468" s="269">
        <f>'Detailed Budget'!$AC$153</f>
        <v>226428026880.00003</v>
      </c>
      <c r="DI468" s="269"/>
      <c r="DJ468" s="269">
        <f>'Detailed Budget'!$AC$156</f>
        <v>27713070000</v>
      </c>
      <c r="DK468" s="269"/>
      <c r="DL468" s="269"/>
      <c r="DM468" s="196">
        <f>'Detailed Budget'!$AC$178</f>
        <v>5622683761.6229038</v>
      </c>
      <c r="DN468" s="269">
        <f t="shared" si="1251"/>
        <v>27545995.76546305</v>
      </c>
      <c r="DO468" s="196">
        <f>'Detailed Budget'!$AC$179</f>
        <v>26827890683.128094</v>
      </c>
      <c r="DP468" s="269">
        <f t="shared" si="1252"/>
        <v>131432070.72300284</v>
      </c>
      <c r="DQ468" s="269">
        <f t="shared" si="1192"/>
        <v>158978066.48846588</v>
      </c>
      <c r="DR468" s="269">
        <f>'Detailed Budget'!$AC$181</f>
        <v>50888946855.375237</v>
      </c>
      <c r="DS468" s="269">
        <f t="shared" si="1253"/>
        <v>219272938.66313499</v>
      </c>
      <c r="DT468" s="269">
        <f t="shared" si="1254"/>
        <v>378251005.15160084</v>
      </c>
      <c r="DU468" s="272">
        <f>'Detailed Budget'!$AC$192</f>
        <v>77498869683.252869</v>
      </c>
      <c r="DV468" s="269">
        <f t="shared" si="1155"/>
        <v>0</v>
      </c>
      <c r="DW468" s="140">
        <f>'Detailed Budget'!$AC$194</f>
        <v>2684962805.4134097</v>
      </c>
      <c r="DX468" s="269">
        <f t="shared" si="1156"/>
        <v>0</v>
      </c>
      <c r="DY468" s="607">
        <f t="shared" si="1205"/>
        <v>0</v>
      </c>
      <c r="DZ468" s="196">
        <f>'Detailed Budget'!$AC$198</f>
        <v>18732540018.380611</v>
      </c>
      <c r="EA468" s="269">
        <f t="shared" si="1231"/>
        <v>40670138.629230343</v>
      </c>
      <c r="EB468" s="196">
        <f>'Detailed Budget'!$AC$200</f>
        <v>4683135004.5951529</v>
      </c>
      <c r="EC468" s="269">
        <f t="shared" si="1158"/>
        <v>10167534.657307586</v>
      </c>
      <c r="ED468" s="269">
        <f t="shared" si="1206"/>
        <v>50837673.28653793</v>
      </c>
      <c r="EE468" s="196">
        <f>'Detailed Budget'!$AC$161</f>
        <v>251147290106.36197</v>
      </c>
      <c r="EF468" s="269">
        <f t="shared" si="1159"/>
        <v>472425760.43138999</v>
      </c>
      <c r="EG468" s="196">
        <f>'Detailed Budget'!$AC$163</f>
        <v>15696705631.647623</v>
      </c>
      <c r="EH468" s="269">
        <f t="shared" si="1160"/>
        <v>29526610.026961874</v>
      </c>
      <c r="EI468" s="269">
        <f t="shared" si="1207"/>
        <v>501952370.45835185</v>
      </c>
      <c r="EJ468" s="196">
        <f>'Detailed Budget'!$AC$204</f>
        <v>45012172507.531975</v>
      </c>
      <c r="EK468" s="269">
        <f t="shared" si="1161"/>
        <v>71651978.317570999</v>
      </c>
      <c r="EL468" s="201">
        <f>'Detailed Budget'!$AC$206</f>
        <v>11253043126.882994</v>
      </c>
      <c r="EM468" s="269">
        <f t="shared" si="1162"/>
        <v>17912994.57939275</v>
      </c>
      <c r="EN468" s="269">
        <f t="shared" si="1208"/>
        <v>89564972.896963745</v>
      </c>
      <c r="EO468" s="140">
        <f>'Detailed Budget'!$AC$209</f>
        <v>135789361677.54817</v>
      </c>
      <c r="EP468" s="269">
        <f t="shared" si="1163"/>
        <v>152815209.91562527</v>
      </c>
      <c r="EQ468" s="196">
        <f>'Detailed Budget'!$AC$211</f>
        <v>33947340419.387043</v>
      </c>
      <c r="ER468" s="269">
        <f t="shared" si="1164"/>
        <v>38203802.478906319</v>
      </c>
      <c r="ES468" s="269">
        <f t="shared" si="1209"/>
        <v>191019012.39453161</v>
      </c>
      <c r="ET468" s="196">
        <f>'Detailed Budget'!$AC$214</f>
        <v>22239745544.201103</v>
      </c>
      <c r="EU468" s="269">
        <f t="shared" si="1165"/>
        <v>24306846.108167514</v>
      </c>
      <c r="EV468" s="140">
        <f>'Detailed Budget'!$AC$217</f>
        <v>5559936386.0502758</v>
      </c>
      <c r="EW468" s="269">
        <f t="shared" si="1166"/>
        <v>6076711.5270418786</v>
      </c>
      <c r="EX468" s="269">
        <f t="shared" si="1210"/>
        <v>30383557.635209393</v>
      </c>
      <c r="EY468" s="196">
        <f>'Detailed Budget'!$AC$219</f>
        <v>372777004.58170313</v>
      </c>
      <c r="EZ468" s="269">
        <f t="shared" si="1167"/>
        <v>426537.81586577673</v>
      </c>
      <c r="FA468" s="196">
        <f>'Detailed Budget'!$AC$222</f>
        <v>93194251.145425782</v>
      </c>
      <c r="FB468" s="269">
        <f t="shared" si="1168"/>
        <v>106634.45396644418</v>
      </c>
      <c r="FC468" s="269">
        <f t="shared" si="1211"/>
        <v>533172.26983222086</v>
      </c>
      <c r="FD468" s="269"/>
      <c r="FE468" s="269">
        <f t="shared" si="1212"/>
        <v>311500715.1965369</v>
      </c>
      <c r="FF468" s="140"/>
      <c r="FG468" s="1087">
        <f t="shared" si="1232"/>
        <v>424907594.96076071</v>
      </c>
      <c r="FH468" s="269">
        <f t="shared" si="1233"/>
        <v>0</v>
      </c>
      <c r="FJ468" s="140">
        <f>'Detailed Budget'!$AC$235</f>
        <v>3623696172</v>
      </c>
      <c r="FK468" s="269">
        <f t="shared" si="1234"/>
        <v>4681778</v>
      </c>
      <c r="FL468" s="269">
        <f t="shared" si="1235"/>
        <v>4681778</v>
      </c>
      <c r="FO468" s="607"/>
      <c r="FP468" s="607"/>
      <c r="FQ468" s="607"/>
      <c r="FR468" s="269">
        <f>'Detailed Budget'!$AC$257</f>
        <v>13636439388</v>
      </c>
      <c r="FS468" s="269">
        <f t="shared" si="1236"/>
        <v>29480412.000000004</v>
      </c>
      <c r="FT468" s="269">
        <f t="shared" si="1237"/>
        <v>29480412.000000004</v>
      </c>
      <c r="FU468" s="269"/>
      <c r="FV468" s="269"/>
      <c r="FW468" s="269"/>
      <c r="FX468" s="140">
        <f>'Detailed Budget'!$AC$278</f>
        <v>1114560000</v>
      </c>
      <c r="FY468" s="269">
        <f t="shared" si="1238"/>
        <v>1440000</v>
      </c>
      <c r="FZ468" s="269">
        <f t="shared" si="1239"/>
        <v>1440000</v>
      </c>
      <c r="GB468" s="269">
        <f t="shared" si="1264"/>
        <v>1760175948.633369</v>
      </c>
      <c r="GC468" s="887">
        <f t="shared" si="1213"/>
        <v>1100109.9678958557</v>
      </c>
      <c r="GD468" s="1078">
        <f t="shared" si="1265"/>
        <v>9.8769015113985372E-4</v>
      </c>
    </row>
    <row r="469" spans="1:186" hidden="1" outlineLevel="1">
      <c r="A469" s="211" t="s">
        <v>1068</v>
      </c>
      <c r="B469" s="212" t="s">
        <v>1069</v>
      </c>
      <c r="C469" s="213" t="s">
        <v>215</v>
      </c>
      <c r="D469" s="214" t="s">
        <v>215</v>
      </c>
      <c r="E469" s="213"/>
      <c r="F469" s="213"/>
      <c r="G469" s="213"/>
      <c r="H469" s="213" t="s">
        <v>215</v>
      </c>
      <c r="I469" s="214" t="s">
        <v>215</v>
      </c>
      <c r="J469" s="214"/>
      <c r="K469" s="213" t="s">
        <v>215</v>
      </c>
      <c r="L469" s="213"/>
      <c r="M469" s="214"/>
      <c r="N469" s="213"/>
      <c r="O469" s="214"/>
      <c r="P469" s="213"/>
      <c r="Q469" s="214"/>
      <c r="R469" s="214" t="s">
        <v>215</v>
      </c>
      <c r="S469" s="214"/>
      <c r="T469" s="214"/>
      <c r="U469" s="215">
        <f t="shared" si="1240"/>
        <v>6</v>
      </c>
      <c r="V469" s="845" t="s">
        <v>219</v>
      </c>
      <c r="W469" s="216">
        <v>293977</v>
      </c>
      <c r="X469" s="217">
        <v>3.2</v>
      </c>
      <c r="Y469" s="218">
        <f>1+X469/100</f>
        <v>1.032</v>
      </c>
      <c r="Z469" s="196">
        <v>19</v>
      </c>
      <c r="AA469" s="218">
        <f>POWER(Y469,Z469)</f>
        <v>1.8193415940533015</v>
      </c>
      <c r="AB469" s="196">
        <f>W469*AA469</f>
        <v>534844.58379500743</v>
      </c>
      <c r="AC469">
        <v>20.2</v>
      </c>
      <c r="AD469" s="196">
        <f>AB469*AC469/100</f>
        <v>108038.6059265915</v>
      </c>
      <c r="AE469" s="196">
        <f t="shared" si="1148"/>
        <v>102636.67563026192</v>
      </c>
      <c r="AF469" s="196">
        <f t="shared" si="1241"/>
        <v>102636.67563026192</v>
      </c>
      <c r="AG469" s="606">
        <f t="shared" si="1216"/>
        <v>4.7454692976945821E-3</v>
      </c>
      <c r="AH469" s="196">
        <f t="shared" si="1255"/>
        <v>26742.229189750375</v>
      </c>
      <c r="AI469" s="248">
        <f t="shared" si="1193"/>
        <v>2.0716799768950534E-3</v>
      </c>
      <c r="AJ469" s="196">
        <f t="shared" si="1196"/>
        <v>134780.83511634188</v>
      </c>
      <c r="AK469" s="196">
        <f t="shared" si="1225"/>
        <v>21393.783351800299</v>
      </c>
      <c r="AL469" s="196">
        <f t="shared" si="1226"/>
        <v>21393.783351800299</v>
      </c>
      <c r="AM469" s="196">
        <f t="shared" si="1197"/>
        <v>42787.566703600598</v>
      </c>
      <c r="AN469" s="627">
        <f t="shared" si="1198"/>
        <v>2.0716799768950534E-3</v>
      </c>
      <c r="AO469" s="196">
        <f t="shared" si="1199"/>
        <v>20324.09418421028</v>
      </c>
      <c r="AP469" s="589">
        <f t="shared" si="1217"/>
        <v>2.071679976895053E-3</v>
      </c>
      <c r="AQ469" s="196"/>
      <c r="AR469" s="589"/>
      <c r="AS469">
        <v>1</v>
      </c>
      <c r="AT469" s="589">
        <f t="shared" si="1218"/>
        <v>1.2919896640826874E-3</v>
      </c>
      <c r="AU469" s="196">
        <v>11</v>
      </c>
      <c r="AV469" s="245"/>
      <c r="AX469" s="245"/>
      <c r="AY469" s="245"/>
      <c r="AZ469" s="196">
        <v>56</v>
      </c>
      <c r="BA469" s="589">
        <f t="shared" si="1256"/>
        <v>2.0519585211241803E-3</v>
      </c>
      <c r="BI469" s="196">
        <v>0</v>
      </c>
      <c r="BK469" s="246">
        <f t="shared" si="1257"/>
        <v>0</v>
      </c>
      <c r="BL469" s="246"/>
      <c r="BM469" s="246">
        <f t="shared" si="1258"/>
        <v>0</v>
      </c>
      <c r="BN469" s="196">
        <v>1</v>
      </c>
      <c r="BO469" s="196">
        <f t="shared" si="1242"/>
        <v>45058.682464413774</v>
      </c>
      <c r="BP469" s="196">
        <f t="shared" si="1201"/>
        <v>45058.682464413774</v>
      </c>
      <c r="BQ469" s="248">
        <f t="shared" si="1259"/>
        <v>4.2150299176168405E-3</v>
      </c>
      <c r="BR469" s="248"/>
      <c r="BS469" s="248"/>
      <c r="BT469" s="276">
        <v>1</v>
      </c>
      <c r="BU469" s="196">
        <f t="shared" si="1260"/>
        <v>77787.796267145881</v>
      </c>
      <c r="BV469" s="264">
        <f t="shared" si="1261"/>
        <v>5.3955088913726071E-3</v>
      </c>
      <c r="BW469" s="196">
        <f t="shared" si="1262"/>
        <v>332758.90625390183</v>
      </c>
      <c r="BX469" s="247">
        <f t="shared" si="1263"/>
        <v>5.3955089399755577E-3</v>
      </c>
      <c r="BY469" s="196">
        <f>BU469+BW469</f>
        <v>410546.70252104773</v>
      </c>
      <c r="BZ469" s="620">
        <v>0</v>
      </c>
      <c r="CA469" s="196">
        <f t="shared" si="1243"/>
        <v>163662.44264127227</v>
      </c>
      <c r="CB469" s="196">
        <f t="shared" si="1244"/>
        <v>327324.88528254454</v>
      </c>
      <c r="CC469" s="196">
        <f t="shared" si="1214"/>
        <v>490987.3279238168</v>
      </c>
      <c r="CD469" s="247">
        <f t="shared" si="1202"/>
        <v>2.071679976895053E-3</v>
      </c>
      <c r="CE469" s="196">
        <f t="shared" si="1245"/>
        <v>55371.037608423292</v>
      </c>
      <c r="CF469" s="247">
        <f t="shared" si="1203"/>
        <v>2.3910936048501582E-3</v>
      </c>
      <c r="CG469" s="196">
        <f t="shared" si="1150"/>
        <v>81296.376736841121</v>
      </c>
      <c r="CH469" s="589">
        <f t="shared" si="1219"/>
        <v>2.071679976895053E-3</v>
      </c>
      <c r="CI469" s="196">
        <f t="shared" si="1246"/>
        <v>106638.50777782277</v>
      </c>
      <c r="CJ469" s="248">
        <f t="shared" si="1220"/>
        <v>1.7531367971830849E-3</v>
      </c>
      <c r="CK469" s="196">
        <f t="shared" si="1247"/>
        <v>86219.274107902034</v>
      </c>
      <c r="CL469" s="589">
        <f t="shared" si="1221"/>
        <v>1.2394197998491529E-3</v>
      </c>
      <c r="CM469" s="196">
        <f t="shared" si="1248"/>
        <v>8352.532245088014</v>
      </c>
      <c r="CN469" s="589">
        <f t="shared" si="1222"/>
        <v>1.2036948201314373E-3</v>
      </c>
      <c r="CO469" s="196">
        <f t="shared" si="1249"/>
        <v>668.22051119193827</v>
      </c>
      <c r="CP469" s="589">
        <f t="shared" si="1223"/>
        <v>1.2601609592014919E-3</v>
      </c>
      <c r="CQ469" s="196">
        <f>'Detailed Budget'!$AC$12</f>
        <v>292876014141.44696</v>
      </c>
      <c r="CR469" s="269">
        <f t="shared" si="1224"/>
        <v>0</v>
      </c>
      <c r="CS469" s="269">
        <f>'Detailed Budget'!$AC$16</f>
        <v>10488008800.000002</v>
      </c>
      <c r="CT469" s="607">
        <f t="shared" si="1152"/>
        <v>0</v>
      </c>
      <c r="CU469" s="269">
        <f>'Detailed Budget'!$AC$24</f>
        <v>30624985696</v>
      </c>
      <c r="CV469" s="269">
        <f t="shared" si="1250"/>
        <v>0</v>
      </c>
      <c r="CW469" s="269"/>
      <c r="CX469" s="269">
        <f t="shared" si="1215"/>
        <v>0</v>
      </c>
      <c r="CY469" s="196"/>
      <c r="DA469" s="269">
        <f>'Detailed Budget'!$AC$100</f>
        <v>14925833098.967569</v>
      </c>
      <c r="DB469" s="269">
        <f t="shared" si="1229"/>
        <v>62912833.057503983</v>
      </c>
      <c r="DC469" s="269">
        <f t="shared" si="1204"/>
        <v>62912833.057503983</v>
      </c>
      <c r="DD469" s="207">
        <v>0</v>
      </c>
      <c r="DE469" s="606">
        <v>0</v>
      </c>
      <c r="DF469" s="269">
        <f>'Detailed Budget'!$AC$147</f>
        <v>5913600671000</v>
      </c>
      <c r="DG469" s="269">
        <f t="shared" si="1230"/>
        <v>0</v>
      </c>
      <c r="DH469" s="269">
        <f>'Detailed Budget'!$AC$153</f>
        <v>226428026880.00003</v>
      </c>
      <c r="DI469" s="269"/>
      <c r="DJ469" s="269">
        <f>'Detailed Budget'!$AC$156</f>
        <v>27713070000</v>
      </c>
      <c r="DK469" s="269"/>
      <c r="DL469" s="269"/>
      <c r="DM469" s="196">
        <f>'Detailed Budget'!$AC$178</f>
        <v>5622683761.6229038</v>
      </c>
      <c r="DN469" s="269">
        <f t="shared" si="1251"/>
        <v>30337240.229212753</v>
      </c>
      <c r="DO469" s="196">
        <f>'Detailed Budget'!$AC$179</f>
        <v>26827890683.128094</v>
      </c>
      <c r="DP469" s="269">
        <f t="shared" si="1252"/>
        <v>144750124.02150461</v>
      </c>
      <c r="DQ469" s="269">
        <f t="shared" si="1192"/>
        <v>175087364.25071737</v>
      </c>
      <c r="DR469" s="269">
        <f>'Detailed Budget'!$AC$181</f>
        <v>50888946855.375237</v>
      </c>
      <c r="DS469" s="269">
        <f t="shared" si="1253"/>
        <v>241491934.89419442</v>
      </c>
      <c r="DT469" s="269">
        <f t="shared" si="1254"/>
        <v>416579299.14491177</v>
      </c>
      <c r="DU469" s="272">
        <f>'Detailed Budget'!$AC$192</f>
        <v>77498869683.252869</v>
      </c>
      <c r="DV469" s="269">
        <f t="shared" si="1155"/>
        <v>0</v>
      </c>
      <c r="DW469" s="140">
        <f>'Detailed Budget'!$AC$194</f>
        <v>2684962805.4134097</v>
      </c>
      <c r="DX469" s="269">
        <f t="shared" si="1156"/>
        <v>0</v>
      </c>
      <c r="DY469" s="607">
        <f t="shared" si="1205"/>
        <v>0</v>
      </c>
      <c r="DZ469" s="196">
        <f>'Detailed Budget'!$AC$198</f>
        <v>18732540018.380611</v>
      </c>
      <c r="EA469" s="269">
        <f t="shared" si="1231"/>
        <v>44791256.640549548</v>
      </c>
      <c r="EB469" s="196">
        <f>'Detailed Budget'!$AC$200</f>
        <v>4683135004.5951529</v>
      </c>
      <c r="EC469" s="269">
        <f t="shared" si="1158"/>
        <v>11197814.160137387</v>
      </c>
      <c r="ED469" s="269">
        <f t="shared" si="1206"/>
        <v>55989070.800686933</v>
      </c>
      <c r="EE469" s="196">
        <f>'Detailed Budget'!$AC$161</f>
        <v>251147290106.36197</v>
      </c>
      <c r="EF469" s="269">
        <f t="shared" si="1159"/>
        <v>520296812.16480315</v>
      </c>
      <c r="EG469" s="196">
        <f>'Detailed Budget'!$AC$163</f>
        <v>15696705631.647623</v>
      </c>
      <c r="EH469" s="269">
        <f t="shared" si="1160"/>
        <v>32518550.760300197</v>
      </c>
      <c r="EI469" s="269">
        <f t="shared" si="1207"/>
        <v>552815362.92510331</v>
      </c>
      <c r="EJ469" s="196">
        <f>'Detailed Budget'!$AC$204</f>
        <v>45012172507.531975</v>
      </c>
      <c r="EK469" s="269">
        <f t="shared" si="1161"/>
        <v>78912495.944107115</v>
      </c>
      <c r="EL469" s="201">
        <f>'Detailed Budget'!$AC$206</f>
        <v>11253043126.882994</v>
      </c>
      <c r="EM469" s="269">
        <f t="shared" si="1162"/>
        <v>19728123.986026779</v>
      </c>
      <c r="EN469" s="269">
        <f t="shared" si="1208"/>
        <v>98640619.930133894</v>
      </c>
      <c r="EO469" s="140">
        <f>'Detailed Budget'!$AC$209</f>
        <v>135789361677.54817</v>
      </c>
      <c r="EP469" s="269">
        <f t="shared" si="1163"/>
        <v>168300023.472031</v>
      </c>
      <c r="EQ469" s="196">
        <f>'Detailed Budget'!$AC$211</f>
        <v>33947340419.387043</v>
      </c>
      <c r="ER469" s="269">
        <f t="shared" si="1164"/>
        <v>42075005.868007749</v>
      </c>
      <c r="ES469" s="269">
        <f t="shared" si="1209"/>
        <v>210375029.34003875</v>
      </c>
      <c r="ET469" s="196">
        <f>'Detailed Budget'!$AC$214</f>
        <v>22239745544.201103</v>
      </c>
      <c r="EU469" s="269">
        <f t="shared" si="1165"/>
        <v>26769866.512596082</v>
      </c>
      <c r="EV469" s="140">
        <f>'Detailed Budget'!$AC$217</f>
        <v>5559936386.0502758</v>
      </c>
      <c r="EW469" s="269">
        <f t="shared" si="1166"/>
        <v>6692466.6281490205</v>
      </c>
      <c r="EX469" s="269">
        <f t="shared" si="1210"/>
        <v>33462333.140745103</v>
      </c>
      <c r="EY469" s="196">
        <f>'Detailed Budget'!$AC$219</f>
        <v>372777004.58170313</v>
      </c>
      <c r="EZ469" s="269">
        <f t="shared" si="1167"/>
        <v>469759.02766193793</v>
      </c>
      <c r="FA469" s="196">
        <f>'Detailed Budget'!$AC$222</f>
        <v>93194251.145425782</v>
      </c>
      <c r="FB469" s="269">
        <f t="shared" si="1168"/>
        <v>117439.75691548448</v>
      </c>
      <c r="FC469" s="269">
        <f t="shared" si="1211"/>
        <v>587198.78457742243</v>
      </c>
      <c r="FD469" s="269"/>
      <c r="FE469" s="269">
        <f t="shared" si="1212"/>
        <v>343065181.19549519</v>
      </c>
      <c r="FF469" s="140"/>
      <c r="FG469" s="1087">
        <f t="shared" si="1232"/>
        <v>467963615.9569757</v>
      </c>
      <c r="FH469" s="269">
        <f t="shared" si="1233"/>
        <v>0</v>
      </c>
      <c r="FJ469" s="140">
        <f>'Detailed Budget'!$AC$235</f>
        <v>3623696172</v>
      </c>
      <c r="FK469" s="269">
        <f t="shared" si="1234"/>
        <v>4681778</v>
      </c>
      <c r="FL469" s="269">
        <f t="shared" si="1235"/>
        <v>4681778</v>
      </c>
      <c r="FO469" s="607"/>
      <c r="FP469" s="607"/>
      <c r="FQ469" s="607"/>
      <c r="FR469" s="269">
        <f>'Detailed Budget'!$AC$257</f>
        <v>13636439388</v>
      </c>
      <c r="FS469" s="269">
        <f t="shared" si="1236"/>
        <v>27981408</v>
      </c>
      <c r="FT469" s="269">
        <f t="shared" si="1237"/>
        <v>27981408</v>
      </c>
      <c r="FU469" s="269"/>
      <c r="FV469" s="269"/>
      <c r="FW469" s="269"/>
      <c r="FX469" s="140">
        <f>'Detailed Budget'!$AC$278</f>
        <v>1114560000</v>
      </c>
      <c r="FY469" s="269">
        <f t="shared" si="1238"/>
        <v>1440000</v>
      </c>
      <c r="FZ469" s="269">
        <f t="shared" si="1239"/>
        <v>1440000</v>
      </c>
      <c r="GB469" s="269">
        <f t="shared" si="1264"/>
        <v>1933428549.0806768</v>
      </c>
      <c r="GC469" s="887">
        <f t="shared" si="1213"/>
        <v>1208392.8431754231</v>
      </c>
      <c r="GD469" s="1078">
        <f t="shared" si="1265"/>
        <v>1.0849076408198112E-3</v>
      </c>
    </row>
    <row r="470" spans="1:186" collapsed="1">
      <c r="A470" s="220"/>
      <c r="B470" s="221"/>
      <c r="C470" s="222"/>
      <c r="D470" s="222"/>
      <c r="E470" s="222"/>
      <c r="F470" s="222"/>
      <c r="G470" s="222"/>
      <c r="H470" s="222"/>
      <c r="I470" s="222"/>
      <c r="J470" s="222"/>
      <c r="K470" s="222"/>
      <c r="L470" s="222"/>
      <c r="M470" s="222"/>
      <c r="N470" s="222"/>
      <c r="O470" s="222"/>
      <c r="P470" s="222"/>
      <c r="Q470" s="222"/>
      <c r="R470" s="222"/>
      <c r="S470" s="222"/>
      <c r="T470" s="222"/>
      <c r="U470" s="223"/>
      <c r="V470" s="845"/>
      <c r="X470" s="217"/>
      <c r="Y470" s="218"/>
      <c r="Z470" s="196"/>
      <c r="AA470" s="218"/>
      <c r="AG470" s="606"/>
      <c r="AJ470" s="196"/>
      <c r="AK470" s="196"/>
      <c r="AL470" s="196"/>
      <c r="AM470" s="196"/>
      <c r="AO470" s="196"/>
      <c r="AP470" s="589"/>
      <c r="AQ470" s="196"/>
      <c r="AR470" s="589"/>
      <c r="AS470"/>
      <c r="AT470" s="589"/>
      <c r="AV470" s="245"/>
      <c r="AX470" s="245"/>
      <c r="AY470" s="245"/>
      <c r="BA470" s="589">
        <f t="shared" si="1256"/>
        <v>0</v>
      </c>
      <c r="BK470" s="246">
        <f t="shared" si="1257"/>
        <v>0</v>
      </c>
      <c r="BL470" s="246"/>
      <c r="BM470" s="246">
        <f t="shared" si="1258"/>
        <v>0</v>
      </c>
      <c r="BN470" s="196"/>
      <c r="BQ470" s="248"/>
      <c r="BR470" s="248"/>
      <c r="BS470" s="248"/>
      <c r="BT470" s="276"/>
      <c r="BV470" s="264">
        <f t="shared" si="1261"/>
        <v>0</v>
      </c>
      <c r="BX470" s="247">
        <f t="shared" si="1263"/>
        <v>0</v>
      </c>
      <c r="CA470" s="196"/>
      <c r="CB470" s="196"/>
      <c r="CC470" s="196"/>
      <c r="CD470" s="247"/>
      <c r="CF470" s="247"/>
      <c r="CG470" s="196"/>
      <c r="CH470" s="589"/>
      <c r="CI470" s="196"/>
      <c r="CJ470" s="248"/>
      <c r="CK470" s="196"/>
      <c r="CL470" s="589"/>
      <c r="CM470" s="196"/>
      <c r="CN470" s="589"/>
      <c r="CO470" s="196"/>
      <c r="CP470" s="589"/>
      <c r="CQ470" s="196"/>
      <c r="CR470" s="269">
        <f t="shared" si="1224"/>
        <v>0</v>
      </c>
      <c r="CS470" s="269"/>
      <c r="CT470" s="607"/>
      <c r="CU470" s="269">
        <f>'Detailed Budget'!$AC$24</f>
        <v>30624985696</v>
      </c>
      <c r="CV470" s="269">
        <f t="shared" si="1250"/>
        <v>0</v>
      </c>
      <c r="CW470" s="269"/>
      <c r="CX470" s="269"/>
      <c r="CY470" s="196"/>
      <c r="DC470" s="269"/>
      <c r="DD470" s="207"/>
      <c r="DE470" s="606">
        <v>0</v>
      </c>
      <c r="DF470" s="269">
        <f>'Detailed Budget'!$AC$147</f>
        <v>5913600671000</v>
      </c>
      <c r="DG470" s="269"/>
      <c r="DH470" s="269"/>
      <c r="DI470" s="605"/>
      <c r="DJ470" s="269"/>
      <c r="DK470" s="269"/>
      <c r="DL470" s="269"/>
      <c r="DM470" s="196"/>
      <c r="DN470" s="269"/>
      <c r="DO470" s="196"/>
      <c r="DP470" s="269"/>
      <c r="DQ470" s="269"/>
      <c r="DR470" s="269"/>
      <c r="DS470" s="269"/>
      <c r="DT470" s="269"/>
      <c r="DU470" s="272"/>
      <c r="DV470" s="269"/>
      <c r="DW470" s="140"/>
      <c r="DX470" s="269"/>
      <c r="DY470" s="607"/>
      <c r="DZ470" s="196"/>
      <c r="EA470" s="269"/>
      <c r="EB470" s="196"/>
      <c r="ED470" s="269"/>
      <c r="EE470" s="196"/>
      <c r="EG470" s="196"/>
      <c r="EI470" s="269"/>
      <c r="EJ470" s="196"/>
      <c r="EL470" s="201"/>
      <c r="EN470" s="269"/>
      <c r="EO470" s="140"/>
      <c r="EQ470" s="196"/>
      <c r="ES470" s="269"/>
      <c r="ET470" s="196"/>
      <c r="EV470" s="140"/>
      <c r="EX470" s="269"/>
      <c r="EY470" s="196"/>
      <c r="FA470" s="196"/>
      <c r="FC470" s="269"/>
      <c r="FD470" s="269"/>
      <c r="FE470" s="269"/>
      <c r="FF470" s="140"/>
      <c r="FG470" s="1087">
        <f t="shared" si="1232"/>
        <v>0</v>
      </c>
      <c r="FJ470" s="140"/>
      <c r="FO470" s="607"/>
      <c r="FP470" s="607"/>
      <c r="FQ470" s="607"/>
      <c r="FT470" s="269">
        <f t="shared" si="1237"/>
        <v>0</v>
      </c>
      <c r="FU470" s="269"/>
      <c r="FV470" s="269"/>
      <c r="FW470" s="269"/>
      <c r="FX470" s="140">
        <f>'Detailed Budget'!$AC$278</f>
        <v>1114560000</v>
      </c>
      <c r="FY470" s="269"/>
      <c r="FZ470" s="269"/>
      <c r="GB470" s="269">
        <f t="shared" si="1264"/>
        <v>0</v>
      </c>
      <c r="GD470" s="1078">
        <f t="shared" si="1265"/>
        <v>0</v>
      </c>
    </row>
    <row r="471" spans="1:186" s="4" customFormat="1">
      <c r="A471" s="198">
        <v>4</v>
      </c>
      <c r="B471" s="199" t="s">
        <v>2269</v>
      </c>
      <c r="C471" s="197">
        <f t="shared" ref="C471:T471" si="1266">C548+C529+C514+C491+C472</f>
        <v>95</v>
      </c>
      <c r="D471" s="197">
        <f t="shared" si="1266"/>
        <v>0</v>
      </c>
      <c r="E471" s="197">
        <f t="shared" si="1266"/>
        <v>0</v>
      </c>
      <c r="F471" s="197">
        <f t="shared" si="1266"/>
        <v>0</v>
      </c>
      <c r="G471" s="197">
        <f t="shared" si="1266"/>
        <v>74</v>
      </c>
      <c r="H471" s="197">
        <f t="shared" si="1266"/>
        <v>95</v>
      </c>
      <c r="I471" s="197">
        <f t="shared" si="1266"/>
        <v>95</v>
      </c>
      <c r="J471" s="197">
        <f t="shared" si="1266"/>
        <v>0</v>
      </c>
      <c r="K471" s="197">
        <f t="shared" si="1266"/>
        <v>15</v>
      </c>
      <c r="L471" s="197">
        <f t="shared" si="1266"/>
        <v>0</v>
      </c>
      <c r="M471" s="197">
        <f t="shared" si="1266"/>
        <v>72</v>
      </c>
      <c r="N471" s="197">
        <f t="shared" si="1266"/>
        <v>8</v>
      </c>
      <c r="O471" s="197">
        <f t="shared" si="1266"/>
        <v>0</v>
      </c>
      <c r="P471" s="197">
        <f t="shared" si="1266"/>
        <v>0</v>
      </c>
      <c r="Q471" s="197">
        <f t="shared" si="1266"/>
        <v>13</v>
      </c>
      <c r="R471" s="197">
        <f t="shared" si="1266"/>
        <v>82</v>
      </c>
      <c r="S471" s="197">
        <f t="shared" si="1266"/>
        <v>0</v>
      </c>
      <c r="T471" s="197">
        <f t="shared" si="1266"/>
        <v>0</v>
      </c>
      <c r="U471" s="200">
        <f>SUM(C471:T471)</f>
        <v>549</v>
      </c>
      <c r="V471" s="843"/>
      <c r="W471" s="201">
        <f>W472+W491+W514+W529+W548</f>
        <v>16395555</v>
      </c>
      <c r="X471" s="202">
        <f>AVERAGE(X472,X491,X514,X529,X548)</f>
        <v>2.9159999999999999</v>
      </c>
      <c r="Y471" s="239"/>
      <c r="Z471" s="201"/>
      <c r="AA471" s="239"/>
      <c r="AB471" s="201">
        <f>AB472+AB491+AB514+AB529+AB548</f>
        <v>28397271.903196994</v>
      </c>
      <c r="AC471" s="224">
        <v>12</v>
      </c>
      <c r="AD471" s="201">
        <f>AD472+AD491+AD514+AD529+AD548</f>
        <v>3410917.1973759178</v>
      </c>
      <c r="AE471" s="201">
        <f t="shared" si="1148"/>
        <v>3240371.3375071217</v>
      </c>
      <c r="AF471" s="201">
        <f>AF472+AF491+AF514+AF529+AF548</f>
        <v>0</v>
      </c>
      <c r="AG471" s="606">
        <f t="shared" si="1216"/>
        <v>0.14982054514961043</v>
      </c>
      <c r="AH471" s="201">
        <f>AH472+AH491+AH514+AH529+AH548</f>
        <v>1419863.5951598499</v>
      </c>
      <c r="AI471" s="247">
        <f t="shared" si="1193"/>
        <v>0.10999468141355581</v>
      </c>
      <c r="AJ471" s="201">
        <f>AJ472+AJ491+AJ514+AJ529+AJ548</f>
        <v>4830780.7925357679</v>
      </c>
      <c r="AK471" s="201">
        <f t="shared" si="1225"/>
        <v>1135890.8761278798</v>
      </c>
      <c r="AL471" s="201">
        <f t="shared" si="1226"/>
        <v>1135890.8761278798</v>
      </c>
      <c r="AM471" s="201">
        <f t="shared" si="1197"/>
        <v>2271781.7522557597</v>
      </c>
      <c r="AN471" s="264">
        <f t="shared" si="1198"/>
        <v>0.10999468141355581</v>
      </c>
      <c r="AO471" s="201">
        <f t="shared" si="1199"/>
        <v>1079096.3323214857</v>
      </c>
      <c r="AP471" s="606">
        <f t="shared" si="1217"/>
        <v>0.1099946814135558</v>
      </c>
      <c r="AQ471" s="201">
        <f>AQ472+AQ491+AQ514+AQ529+AQ548</f>
        <v>5</v>
      </c>
      <c r="AR471" s="606">
        <f>AQ471/37</f>
        <v>0.13513513513513514</v>
      </c>
      <c r="AS471" s="201">
        <f>AS472+AS491+AS514+AS529+AS548</f>
        <v>95</v>
      </c>
      <c r="AT471" s="606">
        <f t="shared" si="1218"/>
        <v>0.1227390180878553</v>
      </c>
      <c r="AU471" s="201">
        <f>AU472+AU491+AU514+AU529+AU548</f>
        <v>1245</v>
      </c>
      <c r="AV471" s="246">
        <f t="shared" si="1200"/>
        <v>0.14146119759118281</v>
      </c>
      <c r="AW471" s="201">
        <f>AW472+AW491+AW514+AW529+AW548</f>
        <v>33664</v>
      </c>
      <c r="AX471" s="201">
        <f t="shared" ref="AX471:AY471" si="1267">AX472+AX491+AX514+AX529+AX548</f>
        <v>67.328000000000003</v>
      </c>
      <c r="AY471" s="201">
        <f t="shared" si="1267"/>
        <v>6732.8</v>
      </c>
      <c r="AZ471" s="201">
        <f>AZ472+AZ491+AZ514+AZ529+AZ548</f>
        <v>3066</v>
      </c>
      <c r="BA471" s="606">
        <f t="shared" si="1256"/>
        <v>0.11234472903154887</v>
      </c>
      <c r="BB471" s="201">
        <f>BB472+BB491+BB514+BB529+BB548</f>
        <v>153</v>
      </c>
      <c r="BC471" s="201">
        <f>BC472+BC491+BC514+BC529+BC548</f>
        <v>15</v>
      </c>
      <c r="BD471" s="201">
        <f>BD472+BD491+BD514+BD529+BD548</f>
        <v>168</v>
      </c>
      <c r="BE471" s="247">
        <f>BD471/1306</f>
        <v>0.12863705972434916</v>
      </c>
      <c r="BF471" s="201">
        <f>BF472+BF491+BF514+BF529+BF548</f>
        <v>3234</v>
      </c>
      <c r="BG471" s="606">
        <f>BF471/28597</f>
        <v>0.11308878553694443</v>
      </c>
      <c r="BH471" s="1083">
        <v>26.1</v>
      </c>
      <c r="BI471" s="201"/>
      <c r="BJ471" s="201">
        <f>BJ472+BJ491+BJ514+BJ529+BJ548</f>
        <v>4487576</v>
      </c>
      <c r="BK471" s="246">
        <f t="shared" si="1257"/>
        <v>8.5575366794123975E-2</v>
      </c>
      <c r="BL471" s="201">
        <f>BL472+BL491+BL514+BL529+BL548</f>
        <v>89751.52</v>
      </c>
      <c r="BM471" s="246">
        <f t="shared" si="1258"/>
        <v>8.5575357002901406E-2</v>
      </c>
      <c r="BN471" s="201"/>
      <c r="BO471" s="201">
        <f>BO472+BO491+BO514+BO529+BO548</f>
        <v>1500400.9652267878</v>
      </c>
      <c r="BP471" s="201">
        <f>BP472+BP491+BP514+BP529+BP548</f>
        <v>1127515.9663070121</v>
      </c>
      <c r="BQ471" s="247">
        <f t="shared" si="1259"/>
        <v>0.10547386809030944</v>
      </c>
      <c r="BR471" s="201">
        <f>BR472+BR491+BR514+BR529+BR548</f>
        <v>80793.600000000006</v>
      </c>
      <c r="BS471" s="247">
        <f>BR471/2211211</f>
        <v>3.6538168451586035E-2</v>
      </c>
      <c r="BT471" s="272"/>
      <c r="BU471" s="201"/>
      <c r="BV471" s="264">
        <f t="shared" si="1261"/>
        <v>0</v>
      </c>
      <c r="BW471" s="201"/>
      <c r="BX471" s="247">
        <f t="shared" si="1263"/>
        <v>0</v>
      </c>
      <c r="CA471" s="201">
        <f>CA472+CA491+CA514+CA529+CA548</f>
        <v>8689565.2023782805</v>
      </c>
      <c r="CB471" s="201">
        <f>CB472+CB491+CB514+CB529+CB548</f>
        <v>17379130.404756561</v>
      </c>
      <c r="CC471" s="201">
        <f>CC472+CC491+CC514+CC529+CC548</f>
        <v>26068695.607134845</v>
      </c>
      <c r="CD471" s="247">
        <f t="shared" si="1202"/>
        <v>0.10999468141355583</v>
      </c>
      <c r="CE471" s="201">
        <f>CE472+CE491+CE514+CE529+CE548</f>
        <v>2475717.3678240161</v>
      </c>
      <c r="CF471" s="247">
        <f t="shared" si="1203"/>
        <v>0.10690917528913969</v>
      </c>
      <c r="CG471" s="201">
        <f t="shared" ref="CG471:CG489" si="1268">AO471*4</f>
        <v>4316385.3292859429</v>
      </c>
      <c r="CH471" s="606">
        <f t="shared" si="1219"/>
        <v>0.1099946814135558</v>
      </c>
      <c r="CI471" s="201">
        <f>CI472+CI491+CI514+CI529+CI548</f>
        <v>5904534.9062581584</v>
      </c>
      <c r="CJ471" s="247">
        <f t="shared" si="1220"/>
        <v>9.7070538871192921E-2</v>
      </c>
      <c r="CK471" s="201">
        <f>CK472+CK491+CK514+CK529+CK548</f>
        <v>7907948.4812922506</v>
      </c>
      <c r="CL471" s="606">
        <f t="shared" si="1221"/>
        <v>0.11367838601418198</v>
      </c>
      <c r="CM471" s="201">
        <f>CM472+CM491+CM514+CM529+CM548</f>
        <v>766081.04662622022</v>
      </c>
      <c r="CN471" s="606">
        <f t="shared" si="1222"/>
        <v>0.11040098506260057</v>
      </c>
      <c r="CO471" s="201">
        <f>CO472+CO491+CO514+CO529+CO548</f>
        <v>61286.00372984694</v>
      </c>
      <c r="CP471" s="606">
        <f t="shared" si="1223"/>
        <v>0.11557596325211675</v>
      </c>
      <c r="CQ471" s="201">
        <f>'Detailed Budget'!$AC$12</f>
        <v>292876014141.44696</v>
      </c>
      <c r="CR471" s="607">
        <f t="shared" si="1224"/>
        <v>25062972335.355366</v>
      </c>
      <c r="CS471" s="607">
        <f>'Detailed Budget'!$AC$16</f>
        <v>10488008800.000002</v>
      </c>
      <c r="CT471" s="607">
        <f t="shared" ref="CT471:CT489" si="1269">BM471*CS471</f>
        <v>897515097.30957174</v>
      </c>
      <c r="CU471" s="607">
        <f>'Detailed Budget'!$AC$24</f>
        <v>30624985696</v>
      </c>
      <c r="CV471" s="607">
        <f t="shared" si="1250"/>
        <v>2620744384</v>
      </c>
      <c r="CW471" s="607"/>
      <c r="CX471" s="607">
        <f t="shared" si="1215"/>
        <v>28581231816.664936</v>
      </c>
      <c r="CY471" s="201">
        <f>'Detailed Budget'!$AC$97</f>
        <v>74629165494.837845</v>
      </c>
      <c r="CZ471" s="607">
        <f t="shared" ref="CZ471:CZ489" si="1270">BQ471*CY471</f>
        <v>7871426757.0923996</v>
      </c>
      <c r="DA471" s="607">
        <f>'Detailed Budget'!$AC$100</f>
        <v>14925833098.967569</v>
      </c>
      <c r="DB471" s="607">
        <f t="shared" ref="DB471:DB489" si="1271">BQ471*DA471</f>
        <v>1574285351.4184799</v>
      </c>
      <c r="DC471" s="607">
        <f t="shared" si="1204"/>
        <v>9445712108.5108795</v>
      </c>
      <c r="DD471" s="201">
        <f>DD472+DD491+DD514+DD529+DD548</f>
        <v>0</v>
      </c>
      <c r="DE471" s="606">
        <v>0</v>
      </c>
      <c r="DF471" s="607">
        <f>'Detailed Budget'!$AC$147</f>
        <v>5913600671000</v>
      </c>
      <c r="DG471" s="607">
        <f t="shared" si="1230"/>
        <v>0</v>
      </c>
      <c r="DH471" s="607">
        <f>'Detailed Budget'!$AC$153</f>
        <v>226428026880.00003</v>
      </c>
      <c r="DI471" s="605">
        <f>BS471*DH471</f>
        <v>8273265388.301692</v>
      </c>
      <c r="DJ471" s="607">
        <f>'Detailed Budget'!$AC$156</f>
        <v>27713070000</v>
      </c>
      <c r="DK471" s="607">
        <f>AT471*DJ471</f>
        <v>3401475000</v>
      </c>
      <c r="DL471" s="607">
        <f>DI471+DK471</f>
        <v>11674740388.301693</v>
      </c>
      <c r="DM471" s="201">
        <f>'Detailed Budget'!$AC$178</f>
        <v>5622683761.6229038</v>
      </c>
      <c r="DN471" s="607">
        <f>DN472+DN491+DN514+DN529+DN548</f>
        <v>0</v>
      </c>
      <c r="DO471" s="607">
        <f>'Detailed Budget'!$AC$179</f>
        <v>26827890683.128094</v>
      </c>
      <c r="DP471" s="607">
        <f>DP472+DP491+DP514+DP529+DP548</f>
        <v>0</v>
      </c>
      <c r="DQ471" s="607">
        <f>DQ472+DQ491+DQ514+DQ529+DQ548</f>
        <v>0</v>
      </c>
      <c r="DR471" s="607">
        <f>'Detailed Budget'!$AC$181</f>
        <v>50888946855.375237</v>
      </c>
      <c r="DS471" s="607">
        <f>DS472+DS491+DS514+DS529+DS548</f>
        <v>0</v>
      </c>
      <c r="DT471" s="607">
        <f>DT472+DT491+DT514+DT529+DT548</f>
        <v>0</v>
      </c>
      <c r="DU471" s="272">
        <f>'Detailed Budget'!$AC$192</f>
        <v>77498869683.252869</v>
      </c>
      <c r="DV471" s="607">
        <f t="shared" ref="DV471:DV489" si="1272">BZ471*CD471*DU471</f>
        <v>0</v>
      </c>
      <c r="DW471" s="929">
        <f>'Detailed Budget'!$AC$194</f>
        <v>2684962805.4134097</v>
      </c>
      <c r="DX471" s="607">
        <f t="shared" ref="DX471:DX489" si="1273">BZ471*AN471*DW471</f>
        <v>0</v>
      </c>
      <c r="DY471" s="607">
        <f t="shared" si="1205"/>
        <v>0</v>
      </c>
      <c r="DZ471" s="201">
        <f>'Detailed Budget'!$AC$198</f>
        <v>18732540018.380611</v>
      </c>
      <c r="EA471" s="607">
        <f t="shared" ref="EA471:EA489" si="1274">CF471*DZ471</f>
        <v>2002680404.4358768</v>
      </c>
      <c r="EB471" s="201">
        <f>'Detailed Budget'!$AC$200</f>
        <v>4683135004.5951529</v>
      </c>
      <c r="EC471" s="607">
        <f t="shared" ref="EC471:EC489" si="1275">CF471*EB471</f>
        <v>500670101.10896921</v>
      </c>
      <c r="ED471" s="607">
        <f t="shared" si="1206"/>
        <v>2503350505.5448461</v>
      </c>
      <c r="EE471" s="201">
        <f>'Detailed Budget'!$AC$161</f>
        <v>251147290106.36197</v>
      </c>
      <c r="EF471" s="607">
        <f t="shared" ref="EF471:EF489" si="1276">CH471*EE471</f>
        <v>27624866163.127159</v>
      </c>
      <c r="EG471" s="201">
        <f>'Detailed Budget'!$AC$163</f>
        <v>15696705631.647623</v>
      </c>
      <c r="EH471" s="607">
        <f t="shared" ref="EH471:EH489" si="1277">AP471*EG471</f>
        <v>1726554135.1954474</v>
      </c>
      <c r="EI471" s="607">
        <f t="shared" si="1207"/>
        <v>29351420298.322605</v>
      </c>
      <c r="EJ471" s="201">
        <f>'Detailed Budget'!$AC$204</f>
        <v>45012172507.531975</v>
      </c>
      <c r="EK471" s="607">
        <f t="shared" ref="EK471:EK489" si="1278">CJ471*EJ471</f>
        <v>4369355841.0692244</v>
      </c>
      <c r="EL471" s="201">
        <f>'Detailed Budget'!$AC$206</f>
        <v>11253043126.882994</v>
      </c>
      <c r="EM471" s="607">
        <f t="shared" ref="EM471:EM489" si="1279">CJ471*EL471</f>
        <v>1092338960.2673061</v>
      </c>
      <c r="EN471" s="607">
        <f t="shared" si="1208"/>
        <v>5461694801.3365307</v>
      </c>
      <c r="EO471" s="929">
        <f>'Detailed Budget'!$AC$209</f>
        <v>135789361677.54817</v>
      </c>
      <c r="EP471" s="607">
        <f t="shared" ref="EP471:EP489" si="1280">CL471*EO471</f>
        <v>15436315473.399691</v>
      </c>
      <c r="EQ471" s="201">
        <f>'Detailed Budget'!$AC$211</f>
        <v>33947340419.387043</v>
      </c>
      <c r="ER471" s="607">
        <f t="shared" ref="ER471:ER489" si="1281">CL471*EQ471</f>
        <v>3859078868.3499227</v>
      </c>
      <c r="ES471" s="607">
        <f t="shared" si="1209"/>
        <v>19295394341.749615</v>
      </c>
      <c r="ET471" s="201">
        <f>'Detailed Budget'!$AC$214</f>
        <v>22239745544.201103</v>
      </c>
      <c r="EU471" s="607">
        <f t="shared" ref="EU471:EU489" si="1282">CN471*ET471</f>
        <v>2455289815.6213837</v>
      </c>
      <c r="EV471" s="929">
        <f>'Detailed Budget'!$AC$217</f>
        <v>5559936386.0502758</v>
      </c>
      <c r="EW471" s="607">
        <f t="shared" ref="EW471:EW489" si="1283">CN471*EV471</f>
        <v>613822453.90534592</v>
      </c>
      <c r="EX471" s="607">
        <f t="shared" si="1210"/>
        <v>3069112269.5267296</v>
      </c>
      <c r="EY471" s="201">
        <f>'Detailed Budget'!$AC$219</f>
        <v>372777004.58170313</v>
      </c>
      <c r="EZ471" s="607">
        <f t="shared" ref="EZ471:EZ489" si="1284">CP471*EY471</f>
        <v>43084061.382769078</v>
      </c>
      <c r="FA471" s="201">
        <f>'Detailed Budget'!$AC$222</f>
        <v>93194251.145425782</v>
      </c>
      <c r="FB471" s="607">
        <f t="shared" ref="FB471:FB489" si="1285">CP471*FA471</f>
        <v>10771015.34569227</v>
      </c>
      <c r="FC471" s="607">
        <f t="shared" si="1211"/>
        <v>53855076.728461348</v>
      </c>
      <c r="FD471" s="607"/>
      <c r="FE471" s="607">
        <f t="shared" si="1212"/>
        <v>27880056489.341335</v>
      </c>
      <c r="FF471" s="929">
        <f>'Detailed Budget'!$AC$165</f>
        <v>14927760000</v>
      </c>
      <c r="FG471" s="1087">
        <f t="shared" si="1232"/>
        <v>38030242539.834396</v>
      </c>
      <c r="FH471" s="607">
        <f t="shared" ref="FH471:FH489" si="1286">AV471*FF471</f>
        <v>2111698806.9537551</v>
      </c>
      <c r="FI471" s="607"/>
      <c r="FJ471" s="929">
        <f>'Detailed Budget'!$AC$235</f>
        <v>3623696172</v>
      </c>
      <c r="FK471" s="607">
        <f t="shared" ref="FK471:FK489" si="1287">AT471*FJ471</f>
        <v>444768910</v>
      </c>
      <c r="FL471" s="607">
        <f t="shared" si="1235"/>
        <v>444768910</v>
      </c>
      <c r="FM471" s="607"/>
      <c r="FN471" s="605">
        <f>'Detailed Budget'!$AC$251</f>
        <v>1047595800</v>
      </c>
      <c r="FO471" s="607">
        <f>AR471*FN471</f>
        <v>141567000</v>
      </c>
      <c r="FP471" s="607">
        <f>'Detailed Budget'!$AB$254</f>
        <v>2773297530</v>
      </c>
      <c r="FQ471" s="607">
        <f>BE471*FP471</f>
        <v>356748840</v>
      </c>
      <c r="FR471" s="607">
        <f>'Detailed Budget'!$AC$257</f>
        <v>13636439388</v>
      </c>
      <c r="FS471" s="607">
        <f t="shared" ref="FS471:FS489" si="1288">BA471*FR471</f>
        <v>1531982088</v>
      </c>
      <c r="FT471" s="607">
        <f t="shared" si="1237"/>
        <v>2030297928</v>
      </c>
      <c r="FU471" s="607"/>
      <c r="FV471" s="605">
        <f>'Detailed Budget'!$AC$265</f>
        <v>6277805540</v>
      </c>
      <c r="FW471" s="607">
        <f>AR471*FV471</f>
        <v>848352100</v>
      </c>
      <c r="FX471" s="929">
        <f>'Detailed Budget'!$AC$278</f>
        <v>1114560000</v>
      </c>
      <c r="FY471" s="607">
        <f t="shared" ref="FY471:FY489" si="1289">AT471*FX471</f>
        <v>136800000</v>
      </c>
      <c r="FZ471" s="607">
        <f t="shared" si="1239"/>
        <v>985152100</v>
      </c>
      <c r="GB471" s="269">
        <f t="shared" si="1264"/>
        <v>153038671891.47446</v>
      </c>
      <c r="GC471" s="888">
        <f t="shared" si="1213"/>
        <v>95649169.932171538</v>
      </c>
      <c r="GD471" s="1078">
        <f t="shared" si="1265"/>
        <v>8.5874817848802035E-2</v>
      </c>
    </row>
    <row r="472" spans="1:186" s="210" customFormat="1" collapsed="1">
      <c r="A472" s="203">
        <v>4.0999999999999996</v>
      </c>
      <c r="B472" s="204" t="s">
        <v>1070</v>
      </c>
      <c r="C472" s="205">
        <f t="shared" ref="C472:T472" si="1290">COUNTA(C473:C489)</f>
        <v>17</v>
      </c>
      <c r="D472" s="205">
        <f t="shared" si="1290"/>
        <v>0</v>
      </c>
      <c r="E472" s="205">
        <f t="shared" si="1290"/>
        <v>0</v>
      </c>
      <c r="F472" s="205">
        <f t="shared" si="1290"/>
        <v>0</v>
      </c>
      <c r="G472" s="205">
        <f t="shared" si="1290"/>
        <v>17</v>
      </c>
      <c r="H472" s="205">
        <f t="shared" si="1290"/>
        <v>17</v>
      </c>
      <c r="I472" s="205">
        <f t="shared" si="1290"/>
        <v>17</v>
      </c>
      <c r="J472" s="205">
        <f t="shared" si="1290"/>
        <v>0</v>
      </c>
      <c r="K472" s="205">
        <f t="shared" si="1290"/>
        <v>0</v>
      </c>
      <c r="L472" s="205">
        <f t="shared" si="1290"/>
        <v>0</v>
      </c>
      <c r="M472" s="205">
        <f t="shared" si="1290"/>
        <v>17</v>
      </c>
      <c r="N472" s="205">
        <f t="shared" si="1290"/>
        <v>0</v>
      </c>
      <c r="O472" s="205">
        <f t="shared" si="1290"/>
        <v>0</v>
      </c>
      <c r="P472" s="205">
        <f t="shared" si="1290"/>
        <v>0</v>
      </c>
      <c r="Q472" s="205">
        <f t="shared" si="1290"/>
        <v>2</v>
      </c>
      <c r="R472" s="205">
        <f t="shared" si="1290"/>
        <v>15</v>
      </c>
      <c r="S472" s="205">
        <f t="shared" si="1290"/>
        <v>0</v>
      </c>
      <c r="T472" s="205">
        <f t="shared" si="1290"/>
        <v>0</v>
      </c>
      <c r="U472" s="206">
        <f>SUM(C472:T472)</f>
        <v>102</v>
      </c>
      <c r="V472" s="844"/>
      <c r="W472" s="207">
        <f>SUM(W473:W489)</f>
        <v>2845380</v>
      </c>
      <c r="X472" s="208">
        <v>2.77</v>
      </c>
      <c r="Y472" s="209">
        <f>1+X472/100</f>
        <v>1.0277000000000001</v>
      </c>
      <c r="Z472" s="207">
        <v>19</v>
      </c>
      <c r="AA472" s="209">
        <f>POWER(Y472,Z472)</f>
        <v>1.6805861263966091</v>
      </c>
      <c r="AB472" s="207">
        <f t="shared" ref="AB472:AB504" si="1291">W472*AA472</f>
        <v>4781906.1523263836</v>
      </c>
      <c r="AC472" s="210">
        <v>11.4</v>
      </c>
      <c r="AD472" s="207">
        <f t="shared" ref="AD472:AD504" si="1292">AB472*AC472/100</f>
        <v>545137.30136520776</v>
      </c>
      <c r="AE472" s="207">
        <f t="shared" si="1148"/>
        <v>517880.43629694736</v>
      </c>
      <c r="AF472" s="207">
        <f>SUM(AF473:AF489)</f>
        <v>0</v>
      </c>
      <c r="AG472" s="588">
        <f t="shared" si="1216"/>
        <v>2.394451783665557E-2</v>
      </c>
      <c r="AH472" s="207">
        <f>SUM(AH473:AH489)</f>
        <v>239095.30761631916</v>
      </c>
      <c r="AI472" s="633">
        <f t="shared" si="1193"/>
        <v>1.8522351216260571E-2</v>
      </c>
      <c r="AJ472" s="207">
        <f>SUM(AJ473:AJ489)</f>
        <v>784232.60898152692</v>
      </c>
      <c r="AK472" s="207">
        <f t="shared" si="1225"/>
        <v>191276.24609305535</v>
      </c>
      <c r="AL472" s="207">
        <f t="shared" si="1226"/>
        <v>191276.24609305535</v>
      </c>
      <c r="AM472" s="207">
        <f t="shared" si="1197"/>
        <v>382552.4921861107</v>
      </c>
      <c r="AN472" s="632">
        <f t="shared" si="1198"/>
        <v>1.8522351216260571E-2</v>
      </c>
      <c r="AO472" s="207">
        <f t="shared" si="1199"/>
        <v>181712.43378840256</v>
      </c>
      <c r="AP472" s="588">
        <f t="shared" si="1217"/>
        <v>1.8522351216260571E-2</v>
      </c>
      <c r="AQ472" s="207">
        <v>1</v>
      </c>
      <c r="AR472" s="588">
        <f>AQ472/37</f>
        <v>2.7027027027027029E-2</v>
      </c>
      <c r="AS472" s="207">
        <f>SUM(AS473:AS489)</f>
        <v>17</v>
      </c>
      <c r="AT472" s="588">
        <f t="shared" si="1218"/>
        <v>2.1963824289405683E-2</v>
      </c>
      <c r="AU472" s="207">
        <f>SUM(AU473:AU489)</f>
        <v>184</v>
      </c>
      <c r="AV472" s="892">
        <f t="shared" si="1200"/>
        <v>2.0906715146006137E-2</v>
      </c>
      <c r="AW472" s="207">
        <v>5420</v>
      </c>
      <c r="AX472" s="208">
        <f>AW472*0.002</f>
        <v>10.84</v>
      </c>
      <c r="AY472" s="207">
        <f>AX472*100</f>
        <v>1084</v>
      </c>
      <c r="AZ472" s="207">
        <f>SUM(AZ473:AZ489)</f>
        <v>738</v>
      </c>
      <c r="BA472" s="588">
        <f t="shared" si="1256"/>
        <v>2.7041881939100801E-2</v>
      </c>
      <c r="BB472" s="207">
        <v>17</v>
      </c>
      <c r="BC472" s="207">
        <v>3</v>
      </c>
      <c r="BD472" s="207">
        <f>BB472+BC472</f>
        <v>20</v>
      </c>
      <c r="BE472" s="633">
        <f>BD472/1306</f>
        <v>1.5313935681470138E-2</v>
      </c>
      <c r="BF472" s="207">
        <f>AZ472+BD472</f>
        <v>758</v>
      </c>
      <c r="BG472" s="588">
        <f>BF472/28597</f>
        <v>2.6506276882190441E-2</v>
      </c>
      <c r="BH472" s="1084">
        <v>20.7</v>
      </c>
      <c r="BI472" s="207"/>
      <c r="BJ472" s="207"/>
      <c r="BK472" s="892">
        <f t="shared" si="1257"/>
        <v>0</v>
      </c>
      <c r="BL472" s="892"/>
      <c r="BM472" s="892">
        <f t="shared" si="1258"/>
        <v>0</v>
      </c>
      <c r="BN472" s="207"/>
      <c r="BO472" s="207">
        <v>252788</v>
      </c>
      <c r="BP472" s="207">
        <f>SUM(BP473:BP489)</f>
        <v>252787.87395993571</v>
      </c>
      <c r="BQ472" s="633">
        <f t="shared" si="1259"/>
        <v>2.3647128439527633E-2</v>
      </c>
      <c r="BR472" s="207">
        <f>AY472*0.5*24</f>
        <v>13008</v>
      </c>
      <c r="BS472" s="633">
        <f>BR472/2211211</f>
        <v>5.8827493170032167E-3</v>
      </c>
      <c r="BT472" s="634"/>
      <c r="BU472" s="207"/>
      <c r="BV472" s="264">
        <f t="shared" si="1261"/>
        <v>0</v>
      </c>
      <c r="BW472" s="207"/>
      <c r="BX472" s="247">
        <f t="shared" si="1263"/>
        <v>0</v>
      </c>
      <c r="BY472" s="207">
        <f>SUM(BY473:BY489)</f>
        <v>0</v>
      </c>
      <c r="CA472" s="207">
        <f>SUM(CA473:CA489)</f>
        <v>1463263.2826118735</v>
      </c>
      <c r="CB472" s="207">
        <f>SUM(CB473:CB489)</f>
        <v>2926526.5652237469</v>
      </c>
      <c r="CC472" s="207">
        <f>SUM(CC473:CC489)</f>
        <v>4389789.8478356209</v>
      </c>
      <c r="CD472" s="633">
        <f t="shared" si="1202"/>
        <v>1.8522351216260575E-2</v>
      </c>
      <c r="CE472" s="207">
        <f>SUM(CE473:CE489)</f>
        <v>430420.55377241725</v>
      </c>
      <c r="CF472" s="633">
        <f t="shared" si="1203"/>
        <v>1.8586898096428803E-2</v>
      </c>
      <c r="CG472" s="207">
        <f t="shared" si="1268"/>
        <v>726849.73515361024</v>
      </c>
      <c r="CH472" s="588">
        <f t="shared" si="1219"/>
        <v>1.8522351216260571E-2</v>
      </c>
      <c r="CI472" s="207">
        <f t="shared" ref="CI472:CO472" si="1293">SUM(CI473:CI489)</f>
        <v>490621.27122741548</v>
      </c>
      <c r="CJ472" s="633">
        <f t="shared" si="1220"/>
        <v>8.0658124536172673E-3</v>
      </c>
      <c r="CK472" s="207">
        <f t="shared" si="1293"/>
        <v>1569579.8677020664</v>
      </c>
      <c r="CL472" s="588">
        <f t="shared" si="1221"/>
        <v>2.2563033447022041E-2</v>
      </c>
      <c r="CM472" s="207">
        <f t="shared" si="1293"/>
        <v>152053.08405865668</v>
      </c>
      <c r="CN472" s="588">
        <f t="shared" si="1222"/>
        <v>2.1912577443092104E-2</v>
      </c>
      <c r="CO472" s="207">
        <f t="shared" si="1293"/>
        <v>12164.006724559857</v>
      </c>
      <c r="CP472" s="588">
        <f t="shared" si="1223"/>
        <v>2.2939443080566842E-2</v>
      </c>
      <c r="CQ472" s="207">
        <f>'Detailed Budget'!$AC$12</f>
        <v>292876014141.44696</v>
      </c>
      <c r="CR472" s="605">
        <f t="shared" si="1224"/>
        <v>0</v>
      </c>
      <c r="CS472" s="605">
        <f>'Detailed Budget'!$AC$16</f>
        <v>10488008800.000002</v>
      </c>
      <c r="CT472" s="605">
        <f t="shared" si="1269"/>
        <v>0</v>
      </c>
      <c r="CU472" s="605">
        <f>'Detailed Budget'!$AC$24</f>
        <v>30624985696</v>
      </c>
      <c r="CV472" s="605">
        <f t="shared" si="1250"/>
        <v>0</v>
      </c>
      <c r="CW472" s="605"/>
      <c r="CX472" s="605">
        <f t="shared" si="1215"/>
        <v>0</v>
      </c>
      <c r="CY472" s="207">
        <f>'Detailed Budget'!$AC$97</f>
        <v>74629165494.837845</v>
      </c>
      <c r="CZ472" s="605">
        <f t="shared" si="1270"/>
        <v>1764765461.7911942</v>
      </c>
      <c r="DA472" s="605">
        <f>'Detailed Budget'!$AC$100</f>
        <v>14925833098.967569</v>
      </c>
      <c r="DB472" s="605">
        <f t="shared" si="1271"/>
        <v>352953092.35823888</v>
      </c>
      <c r="DC472" s="605">
        <f t="shared" si="1204"/>
        <v>2117718554.1494331</v>
      </c>
      <c r="DD472" s="207">
        <f>SUM(DD473:DD489)</f>
        <v>0</v>
      </c>
      <c r="DE472" s="606">
        <v>0</v>
      </c>
      <c r="DF472" s="605">
        <f>'Detailed Budget'!$AC$147</f>
        <v>5913600671000</v>
      </c>
      <c r="DG472" s="605">
        <f t="shared" si="1230"/>
        <v>0</v>
      </c>
      <c r="DH472" s="605">
        <f>'Detailed Budget'!$AC$153</f>
        <v>226428026880.00003</v>
      </c>
      <c r="DI472" s="605">
        <f>BS472*DH472</f>
        <v>1332019320.4787061</v>
      </c>
      <c r="DJ472" s="605">
        <f>'Detailed Budget'!$AC$156</f>
        <v>27713070000</v>
      </c>
      <c r="DK472" s="605">
        <f>AT472*DJ472</f>
        <v>608685000</v>
      </c>
      <c r="DL472" s="605">
        <f>DI472+DK472</f>
        <v>1940704320.4787061</v>
      </c>
      <c r="DM472" s="207">
        <f>'Detailed Budget'!$AC$178</f>
        <v>5622683761.6229038</v>
      </c>
      <c r="DN472" s="605">
        <f>SUM(DN473:DN489)</f>
        <v>0</v>
      </c>
      <c r="DO472" s="605">
        <f>'Detailed Budget'!$AC$179</f>
        <v>26827890683.128094</v>
      </c>
      <c r="DP472" s="605">
        <f>SUM(DP473:DP489)</f>
        <v>0</v>
      </c>
      <c r="DQ472" s="605">
        <f>SUM(DQ473:DQ489)</f>
        <v>0</v>
      </c>
      <c r="DR472" s="605">
        <f>'Detailed Budget'!$AC$181</f>
        <v>50888946855.375237</v>
      </c>
      <c r="DS472" s="605">
        <f>SUM(DS473:DS489)</f>
        <v>0</v>
      </c>
      <c r="DT472" s="605">
        <f>SUM(DT473:DT489)</f>
        <v>0</v>
      </c>
      <c r="DU472" s="634">
        <f>'Detailed Budget'!$AC$192</f>
        <v>77498869683.252869</v>
      </c>
      <c r="DV472" s="605">
        <f t="shared" si="1272"/>
        <v>0</v>
      </c>
      <c r="DW472" s="930">
        <f>'Detailed Budget'!$AC$194</f>
        <v>2684962805.4134097</v>
      </c>
      <c r="DX472" s="605">
        <f t="shared" si="1273"/>
        <v>0</v>
      </c>
      <c r="DY472" s="605">
        <f t="shared" si="1205"/>
        <v>0</v>
      </c>
      <c r="DZ472" s="207">
        <f>'Detailed Budget'!$AC$198</f>
        <v>18732540018.380611</v>
      </c>
      <c r="EA472" s="605">
        <f t="shared" si="1274"/>
        <v>348179812.40891498</v>
      </c>
      <c r="EB472" s="207">
        <f>'Detailed Budget'!$AC$200</f>
        <v>4683135004.5951529</v>
      </c>
      <c r="EC472" s="605">
        <f t="shared" si="1275"/>
        <v>87044953.102228746</v>
      </c>
      <c r="ED472" s="605">
        <f t="shared" si="1206"/>
        <v>435224765.51114374</v>
      </c>
      <c r="EE472" s="207">
        <f>'Detailed Budget'!$AC$161</f>
        <v>251147290106.36197</v>
      </c>
      <c r="EF472" s="605">
        <f t="shared" si="1276"/>
        <v>4651838314.3621206</v>
      </c>
      <c r="EG472" s="207">
        <f>'Detailed Budget'!$AC$163</f>
        <v>15696705631.647623</v>
      </c>
      <c r="EH472" s="605">
        <f t="shared" si="1277"/>
        <v>290739894.64763254</v>
      </c>
      <c r="EI472" s="605">
        <f t="shared" si="1207"/>
        <v>4942578209.0097532</v>
      </c>
      <c r="EJ472" s="207">
        <f>'Detailed Budget'!$AC$204</f>
        <v>45012172507.531975</v>
      </c>
      <c r="EK472" s="605">
        <f t="shared" si="1278"/>
        <v>363059741.57562017</v>
      </c>
      <c r="EL472" s="207">
        <f>'Detailed Budget'!$AC$206</f>
        <v>11253043126.882994</v>
      </c>
      <c r="EM472" s="605">
        <f t="shared" si="1279"/>
        <v>90764935.393905044</v>
      </c>
      <c r="EN472" s="605">
        <f t="shared" si="1208"/>
        <v>453824676.96952522</v>
      </c>
      <c r="EO472" s="930">
        <f>'Detailed Budget'!$AC$209</f>
        <v>135789361677.54817</v>
      </c>
      <c r="EP472" s="605">
        <f t="shared" si="1280"/>
        <v>3063819909.2802925</v>
      </c>
      <c r="EQ472" s="207">
        <f>'Detailed Budget'!$AC$211</f>
        <v>33947340419.387043</v>
      </c>
      <c r="ER472" s="605">
        <f t="shared" si="1281"/>
        <v>765954977.32007313</v>
      </c>
      <c r="ES472" s="605">
        <f t="shared" si="1209"/>
        <v>3829774886.6003656</v>
      </c>
      <c r="ET472" s="207">
        <f>'Detailed Budget'!$AC$214</f>
        <v>22239745544.201103</v>
      </c>
      <c r="EU472" s="605">
        <f t="shared" si="1282"/>
        <v>487330146.55196923</v>
      </c>
      <c r="EV472" s="930">
        <f>'Detailed Budget'!$AC$217</f>
        <v>5559936386.0502758</v>
      </c>
      <c r="EW472" s="605">
        <f t="shared" si="1283"/>
        <v>121832536.63799231</v>
      </c>
      <c r="EX472" s="605">
        <f t="shared" si="1210"/>
        <v>609162683.18996155</v>
      </c>
      <c r="EY472" s="207">
        <f>'Detailed Budget'!$AC$219</f>
        <v>372777004.58170313</v>
      </c>
      <c r="EZ472" s="605">
        <f t="shared" si="1284"/>
        <v>8551296.8783461843</v>
      </c>
      <c r="FA472" s="207">
        <f>'Detailed Budget'!$AC$222</f>
        <v>93194251.145425782</v>
      </c>
      <c r="FB472" s="605">
        <f t="shared" si="1285"/>
        <v>2137824.2195865461</v>
      </c>
      <c r="FC472" s="605">
        <f t="shared" si="1211"/>
        <v>10689121.09793273</v>
      </c>
      <c r="FD472" s="605"/>
      <c r="FE472" s="605">
        <f t="shared" si="1212"/>
        <v>4903451367.8577852</v>
      </c>
      <c r="FF472" s="930">
        <f>'Detailed Budget'!$AC$165</f>
        <v>14927760000</v>
      </c>
      <c r="FG472" s="1087">
        <f t="shared" si="1232"/>
        <v>6688632244.0991535</v>
      </c>
      <c r="FH472" s="605">
        <f t="shared" si="1286"/>
        <v>312090426.08794457</v>
      </c>
      <c r="FI472" s="605"/>
      <c r="FJ472" s="930">
        <f>'Detailed Budget'!$AC$235</f>
        <v>3623696172</v>
      </c>
      <c r="FK472" s="605">
        <f t="shared" si="1287"/>
        <v>79590226</v>
      </c>
      <c r="FL472" s="605">
        <f t="shared" si="1235"/>
        <v>79590226</v>
      </c>
      <c r="FM472" s="605"/>
      <c r="FN472" s="605">
        <f>'Detailed Budget'!$AC$251</f>
        <v>1047595800</v>
      </c>
      <c r="FO472" s="605">
        <f>AR472*FN472</f>
        <v>28313400</v>
      </c>
      <c r="FP472" s="605">
        <f>'Detailed Budget'!$AB$254</f>
        <v>2773297530</v>
      </c>
      <c r="FQ472" s="605">
        <f>BE472*FP472</f>
        <v>42470100</v>
      </c>
      <c r="FR472" s="605">
        <f>'Detailed Budget'!$AC$257</f>
        <v>13636439388</v>
      </c>
      <c r="FS472" s="605">
        <f t="shared" si="1288"/>
        <v>368754984</v>
      </c>
      <c r="FT472" s="605">
        <f t="shared" si="1237"/>
        <v>439538484</v>
      </c>
      <c r="FU472" s="605"/>
      <c r="FV472" s="605">
        <f>'Detailed Budget'!$AC$265</f>
        <v>6277805540</v>
      </c>
      <c r="FW472" s="605">
        <f>AR472*FV472</f>
        <v>169670420</v>
      </c>
      <c r="FX472" s="930">
        <f>'Detailed Budget'!$AC$278</f>
        <v>1114560000</v>
      </c>
      <c r="FY472" s="605">
        <f t="shared" si="1289"/>
        <v>24480000</v>
      </c>
      <c r="FZ472" s="605">
        <f t="shared" si="1239"/>
        <v>194150420</v>
      </c>
      <c r="GB472" s="269">
        <f t="shared" si="1264"/>
        <v>22053679017.193916</v>
      </c>
      <c r="GC472" s="889">
        <f t="shared" si="1213"/>
        <v>13783549.385746198</v>
      </c>
      <c r="GD472" s="1078">
        <f t="shared" si="1265"/>
        <v>1.2375013747116676E-2</v>
      </c>
    </row>
    <row r="473" spans="1:186" hidden="1" outlineLevel="1">
      <c r="A473" s="211" t="s">
        <v>1071</v>
      </c>
      <c r="B473" s="212" t="s">
        <v>1072</v>
      </c>
      <c r="C473" s="213" t="s">
        <v>215</v>
      </c>
      <c r="D473" s="214"/>
      <c r="E473" s="213"/>
      <c r="F473" s="213"/>
      <c r="G473" s="213" t="s">
        <v>215</v>
      </c>
      <c r="H473" s="213" t="s">
        <v>215</v>
      </c>
      <c r="I473" s="214" t="s">
        <v>215</v>
      </c>
      <c r="J473" s="214"/>
      <c r="K473" s="213"/>
      <c r="L473" s="213"/>
      <c r="M473" s="213" t="s">
        <v>215</v>
      </c>
      <c r="N473" s="213"/>
      <c r="O473" s="214"/>
      <c r="P473" s="213"/>
      <c r="Q473" s="214" t="s">
        <v>215</v>
      </c>
      <c r="R473" s="214"/>
      <c r="S473" s="214"/>
      <c r="T473" s="214"/>
      <c r="U473" s="215">
        <f t="shared" ref="U473:U489" si="1294">COUNTA(C473:T473)</f>
        <v>6</v>
      </c>
      <c r="V473" s="845" t="s">
        <v>1073</v>
      </c>
      <c r="W473" s="216">
        <v>106844</v>
      </c>
      <c r="X473" s="217">
        <v>2.77</v>
      </c>
      <c r="Y473" s="218">
        <f>1+X473/100</f>
        <v>1.0277000000000001</v>
      </c>
      <c r="Z473" s="196">
        <v>19</v>
      </c>
      <c r="AA473" s="218">
        <f>POWER(Y473,Z473)</f>
        <v>1.6805861263966091</v>
      </c>
      <c r="AB473" s="196">
        <f t="shared" si="1291"/>
        <v>179560.5440887193</v>
      </c>
      <c r="AC473">
        <v>11.4</v>
      </c>
      <c r="AD473" s="196">
        <f t="shared" si="1292"/>
        <v>20469.902026113999</v>
      </c>
      <c r="AE473" s="196">
        <f t="shared" si="1148"/>
        <v>19446.4069248083</v>
      </c>
      <c r="AF473" s="196">
        <f t="shared" ref="AF473:AF489" si="1295">AE473*BT473</f>
        <v>0</v>
      </c>
      <c r="AG473" s="606">
        <f t="shared" si="1216"/>
        <v>8.9911648487710878E-4</v>
      </c>
      <c r="AH473" s="196">
        <f>AB473*0.05</f>
        <v>8978.0272044359644</v>
      </c>
      <c r="AI473" s="248">
        <f t="shared" si="1193"/>
        <v>6.9551416448774661E-4</v>
      </c>
      <c r="AJ473" s="196">
        <f t="shared" si="1196"/>
        <v>29447.929230549962</v>
      </c>
      <c r="AK473" s="196">
        <f t="shared" si="1225"/>
        <v>7182.4217635487721</v>
      </c>
      <c r="AL473" s="196">
        <f t="shared" si="1226"/>
        <v>7182.4217635487721</v>
      </c>
      <c r="AM473" s="196">
        <f t="shared" si="1197"/>
        <v>14364.843527097544</v>
      </c>
      <c r="AN473" s="627">
        <f t="shared" si="1198"/>
        <v>6.9551416448774661E-4</v>
      </c>
      <c r="AO473" s="196">
        <f t="shared" si="1199"/>
        <v>6823.3006753713335</v>
      </c>
      <c r="AP473" s="589">
        <f t="shared" si="1217"/>
        <v>6.9551416448774661E-4</v>
      </c>
      <c r="AQ473" s="196"/>
      <c r="AR473" s="589"/>
      <c r="AS473">
        <v>1</v>
      </c>
      <c r="AT473" s="589">
        <f t="shared" si="1218"/>
        <v>1.2919896640826874E-3</v>
      </c>
      <c r="AU473" s="196">
        <v>12</v>
      </c>
      <c r="AV473" s="245">
        <f t="shared" si="1200"/>
        <v>1.3634814225656176E-3</v>
      </c>
      <c r="AX473" s="245"/>
      <c r="AY473" s="245"/>
      <c r="AZ473" s="196">
        <v>24</v>
      </c>
      <c r="BA473" s="589">
        <f t="shared" si="1256"/>
        <v>8.7941079476750578E-4</v>
      </c>
      <c r="BI473" s="196">
        <v>0</v>
      </c>
      <c r="BK473" s="246">
        <f t="shared" si="1257"/>
        <v>0</v>
      </c>
      <c r="BL473" s="246"/>
      <c r="BM473" s="246">
        <f t="shared" si="1258"/>
        <v>0</v>
      </c>
      <c r="BN473" s="196">
        <v>1</v>
      </c>
      <c r="BO473" s="196">
        <f t="shared" ref="BO473:BO489" si="1296">AJ473/784233*252788</f>
        <v>9492.1829792067711</v>
      </c>
      <c r="BP473" s="196">
        <f t="shared" si="1201"/>
        <v>9492.1829792067711</v>
      </c>
      <c r="BQ473" s="248">
        <f t="shared" si="1259"/>
        <v>8.8794951500076953E-4</v>
      </c>
      <c r="BR473" s="248"/>
      <c r="BS473" s="248"/>
      <c r="BT473" s="276">
        <v>0</v>
      </c>
      <c r="BU473" s="196">
        <f t="shared" ref="BU473:BU489" si="1297">AD473*BT473*0.18*4</f>
        <v>0</v>
      </c>
      <c r="BV473" s="264">
        <f t="shared" si="1261"/>
        <v>0</v>
      </c>
      <c r="BW473" s="196">
        <f t="shared" ref="BW473:BW489" si="1298">AD473*BT473*0.77*4</f>
        <v>0</v>
      </c>
      <c r="BX473" s="247">
        <f t="shared" si="1263"/>
        <v>0</v>
      </c>
      <c r="BY473" s="196">
        <f t="shared" ref="BY473:BY489" si="1299">BU473+BW473</f>
        <v>0</v>
      </c>
      <c r="BZ473" s="620">
        <v>1</v>
      </c>
      <c r="CA473" s="196">
        <f t="shared" ref="CA473:CA489" si="1300">AK473*0.85*0.75*12</f>
        <v>54945.526491148106</v>
      </c>
      <c r="CB473" s="196">
        <f t="shared" ref="CB473:CB489" si="1301">AL473*0.85*0.75*2*12</f>
        <v>109891.05298229621</v>
      </c>
      <c r="CC473" s="196">
        <f t="shared" si="1214"/>
        <v>164836.57947344432</v>
      </c>
      <c r="CD473" s="247">
        <f t="shared" si="1202"/>
        <v>6.9551416448774661E-4</v>
      </c>
      <c r="CE473" s="196">
        <f t="shared" ref="CE473:CE489" si="1302">AH473/239095*430420</f>
        <v>16162.288920024792</v>
      </c>
      <c r="CF473" s="247">
        <f t="shared" si="1203"/>
        <v>6.9793789940705234E-4</v>
      </c>
      <c r="CG473" s="196">
        <f t="shared" si="1268"/>
        <v>27293.202701485334</v>
      </c>
      <c r="CH473" s="589">
        <f t="shared" si="1219"/>
        <v>6.9551416448774661E-4</v>
      </c>
      <c r="CI473" s="196">
        <f t="shared" ref="CI473:CI489" si="1303">AD473/545137*490621</f>
        <v>18422.825458470212</v>
      </c>
      <c r="CJ473" s="248">
        <f t="shared" si="1220"/>
        <v>3.0287120377393644E-4</v>
      </c>
      <c r="CK473" s="196">
        <f t="shared" ref="CK473:CK489" si="1304">AD473/545137*1569579</f>
        <v>58937.713551356785</v>
      </c>
      <c r="CL473" s="589">
        <f t="shared" si="1221"/>
        <v>8.4724175527121947E-4</v>
      </c>
      <c r="CM473" s="196">
        <f t="shared" ref="CM473:CM489" si="1305">AD473/545137*152053</f>
        <v>5709.5922910694226</v>
      </c>
      <c r="CN473" s="589">
        <f t="shared" si="1222"/>
        <v>8.2281713666706481E-4</v>
      </c>
      <c r="CO473" s="196">
        <f t="shared" ref="CO473:CO489" si="1306">AD473/545137*12164</f>
        <v>456.75837128217438</v>
      </c>
      <c r="CP473" s="589">
        <f t="shared" si="1223"/>
        <v>8.6137593449735488E-4</v>
      </c>
      <c r="CQ473" s="196">
        <f>'Detailed Budget'!$AC$12</f>
        <v>292876014141.44696</v>
      </c>
      <c r="CR473" s="269">
        <f t="shared" si="1224"/>
        <v>0</v>
      </c>
      <c r="CS473" s="269">
        <f>'Detailed Budget'!$AC$16</f>
        <v>10488008800.000002</v>
      </c>
      <c r="CT473" s="607">
        <f t="shared" si="1269"/>
        <v>0</v>
      </c>
      <c r="CU473" s="269">
        <f>'Detailed Budget'!$AC$24</f>
        <v>30624985696</v>
      </c>
      <c r="CV473" s="269">
        <f t="shared" si="1250"/>
        <v>0</v>
      </c>
      <c r="CW473" s="269"/>
      <c r="CX473" s="269">
        <f t="shared" si="1215"/>
        <v>0</v>
      </c>
      <c r="CY473" s="196">
        <f>'Detailed Budget'!$AC$97</f>
        <v>74629165494.837845</v>
      </c>
      <c r="CZ473" s="269">
        <f t="shared" si="1270"/>
        <v>66266931.30605343</v>
      </c>
      <c r="DA473" s="269">
        <f>'Detailed Budget'!$AC$100</f>
        <v>14925833098.967569</v>
      </c>
      <c r="DB473" s="269">
        <f t="shared" si="1271"/>
        <v>13253386.261210686</v>
      </c>
      <c r="DC473" s="269">
        <f t="shared" si="1204"/>
        <v>79520317.56726411</v>
      </c>
      <c r="DD473" s="207">
        <v>0</v>
      </c>
      <c r="DE473" s="606">
        <v>0</v>
      </c>
      <c r="DF473" s="269">
        <f>'Detailed Budget'!$AC$147</f>
        <v>5913600671000</v>
      </c>
      <c r="DG473" s="269">
        <f t="shared" si="1230"/>
        <v>0</v>
      </c>
      <c r="DH473" s="269">
        <f>'Detailed Budget'!$AC$153</f>
        <v>226428026880.00003</v>
      </c>
      <c r="DI473" s="269"/>
      <c r="DJ473" s="269">
        <f>'Detailed Budget'!$AC$156</f>
        <v>27713070000</v>
      </c>
      <c r="DK473" s="269"/>
      <c r="DL473" s="269"/>
      <c r="DM473" s="196">
        <f>'Detailed Budget'!$AC$178</f>
        <v>5622683761.6229038</v>
      </c>
      <c r="DN473" s="269">
        <f t="shared" ref="DN473:DN489" si="1307">BT473*BV473*DM473</f>
        <v>0</v>
      </c>
      <c r="DO473" s="196">
        <f>'Detailed Budget'!$AC$179</f>
        <v>26827890683.128094</v>
      </c>
      <c r="DP473" s="269">
        <f t="shared" ref="DP473:DP489" si="1308">BT473*BX473*DO473</f>
        <v>0</v>
      </c>
      <c r="DQ473" s="269">
        <f t="shared" si="1192"/>
        <v>0</v>
      </c>
      <c r="DR473" s="269">
        <f>'Detailed Budget'!$AC$181</f>
        <v>50888946855.375237</v>
      </c>
      <c r="DS473" s="269">
        <f t="shared" ref="DS473:DS489" si="1309">BT473*AG473*DR473</f>
        <v>0</v>
      </c>
      <c r="DT473" s="269">
        <f t="shared" ref="DT473:DT489" si="1310">DQ473+DS473</f>
        <v>0</v>
      </c>
      <c r="DU473" s="272">
        <f>'Detailed Budget'!$AC$192</f>
        <v>77498869683.252869</v>
      </c>
      <c r="DV473" s="269">
        <f t="shared" si="1272"/>
        <v>53901561.596492372</v>
      </c>
      <c r="DW473" s="140">
        <f>'Detailed Budget'!$AC$194</f>
        <v>2684962805.4134097</v>
      </c>
      <c r="DX473" s="269">
        <f t="shared" si="1273"/>
        <v>1867429.6622877838</v>
      </c>
      <c r="DY473" s="607">
        <f t="shared" si="1205"/>
        <v>55768991.258780159</v>
      </c>
      <c r="DZ473" s="196">
        <f>'Detailed Budget'!$AC$198</f>
        <v>18732540018.380611</v>
      </c>
      <c r="EA473" s="269">
        <f t="shared" si="1274"/>
        <v>13074149.63098711</v>
      </c>
      <c r="EB473" s="196">
        <f>'Detailed Budget'!$AC$200</f>
        <v>4683135004.5951529</v>
      </c>
      <c r="EC473" s="269">
        <f t="shared" si="1275"/>
        <v>3268537.4077467774</v>
      </c>
      <c r="ED473" s="269">
        <f t="shared" si="1206"/>
        <v>16342687.038733887</v>
      </c>
      <c r="EE473" s="196">
        <f>'Detailed Budget'!$AC$161</f>
        <v>251147290106.36197</v>
      </c>
      <c r="EF473" s="269">
        <f t="shared" si="1276"/>
        <v>174676497.64168805</v>
      </c>
      <c r="EG473" s="196">
        <f>'Detailed Budget'!$AC$163</f>
        <v>15696705631.647623</v>
      </c>
      <c r="EH473" s="269">
        <f t="shared" si="1277"/>
        <v>10917281.102605503</v>
      </c>
      <c r="EI473" s="269">
        <f t="shared" si="1207"/>
        <v>185593778.74429354</v>
      </c>
      <c r="EJ473" s="196">
        <f>'Detailed Budget'!$AC$204</f>
        <v>45012172507.531975</v>
      </c>
      <c r="EK473" s="269">
        <f t="shared" si="1278"/>
        <v>13632890.871836297</v>
      </c>
      <c r="EL473" s="201">
        <f>'Detailed Budget'!$AC$206</f>
        <v>11253043126.882994</v>
      </c>
      <c r="EM473" s="269">
        <f t="shared" si="1279"/>
        <v>3408222.7179590743</v>
      </c>
      <c r="EN473" s="269">
        <f t="shared" si="1208"/>
        <v>17041113.589795373</v>
      </c>
      <c r="EO473" s="140">
        <f>'Detailed Budget'!$AC$209</f>
        <v>135789361677.54817</v>
      </c>
      <c r="EP473" s="269">
        <f t="shared" si="1280"/>
        <v>115046417.13484438</v>
      </c>
      <c r="EQ473" s="196">
        <f>'Detailed Budget'!$AC$211</f>
        <v>33947340419.387043</v>
      </c>
      <c r="ER473" s="269">
        <f t="shared" si="1281"/>
        <v>28761604.283711094</v>
      </c>
      <c r="ES473" s="269">
        <f t="shared" si="1209"/>
        <v>143808021.41855547</v>
      </c>
      <c r="ET473" s="196">
        <f>'Detailed Budget'!$AC$214</f>
        <v>22239745544.201103</v>
      </c>
      <c r="EU473" s="269">
        <f t="shared" si="1282"/>
        <v>18299243.748883665</v>
      </c>
      <c r="EV473" s="140">
        <f>'Detailed Budget'!$AC$217</f>
        <v>5559936386.0502758</v>
      </c>
      <c r="EW473" s="269">
        <f t="shared" si="1283"/>
        <v>4574810.9372209162</v>
      </c>
      <c r="EX473" s="269">
        <f t="shared" si="1210"/>
        <v>22874054.686104581</v>
      </c>
      <c r="EY473" s="196">
        <f>'Detailed Budget'!$AC$219</f>
        <v>372777004.58170313</v>
      </c>
      <c r="EZ473" s="269">
        <f t="shared" si="1284"/>
        <v>321101.14068068925</v>
      </c>
      <c r="FA473" s="196">
        <f>'Detailed Budget'!$AC$222</f>
        <v>93194251.145425782</v>
      </c>
      <c r="FB473" s="269">
        <f t="shared" si="1285"/>
        <v>80275.285170172312</v>
      </c>
      <c r="FC473" s="269">
        <f t="shared" si="1211"/>
        <v>401376.42585086159</v>
      </c>
      <c r="FD473" s="269"/>
      <c r="FE473" s="269">
        <f t="shared" si="1212"/>
        <v>184124566.12030631</v>
      </c>
      <c r="FF473" s="140">
        <f>'Detailed Budget'!$AC$165</f>
        <v>14927760000</v>
      </c>
      <c r="FG473" s="1087">
        <f t="shared" si="1232"/>
        <v>251158096.10264006</v>
      </c>
      <c r="FH473" s="269">
        <f t="shared" si="1286"/>
        <v>20353723.440518126</v>
      </c>
      <c r="FJ473" s="140">
        <f>'Detailed Budget'!$AC$235</f>
        <v>3623696172</v>
      </c>
      <c r="FK473" s="269">
        <f t="shared" si="1287"/>
        <v>4681778</v>
      </c>
      <c r="FL473" s="269">
        <f t="shared" si="1235"/>
        <v>4681778</v>
      </c>
      <c r="FO473" s="607"/>
      <c r="FP473" s="607"/>
      <c r="FQ473" s="607"/>
      <c r="FR473" s="269">
        <f>'Detailed Budget'!$AC$257</f>
        <v>13636439388</v>
      </c>
      <c r="FS473" s="269">
        <f t="shared" si="1288"/>
        <v>11992032</v>
      </c>
      <c r="FT473" s="269">
        <f t="shared" si="1237"/>
        <v>11992032</v>
      </c>
      <c r="FU473" s="269"/>
      <c r="FV473" s="269"/>
      <c r="FW473" s="269"/>
      <c r="FX473" s="140">
        <f>'Detailed Budget'!$AC$278</f>
        <v>1114560000</v>
      </c>
      <c r="FY473" s="269">
        <f t="shared" si="1289"/>
        <v>1440000</v>
      </c>
      <c r="FZ473" s="269">
        <f t="shared" si="1239"/>
        <v>1440000</v>
      </c>
      <c r="GB473" s="269">
        <f t="shared" si="1264"/>
        <v>810975970.27253628</v>
      </c>
      <c r="GC473" s="887">
        <f t="shared" si="1213"/>
        <v>506859.98142033519</v>
      </c>
      <c r="GD473" s="1078">
        <f t="shared" si="1265"/>
        <v>4.5506415382574428E-4</v>
      </c>
    </row>
    <row r="474" spans="1:186" hidden="1" outlineLevel="1">
      <c r="A474" s="211" t="s">
        <v>1074</v>
      </c>
      <c r="B474" s="212" t="s">
        <v>1075</v>
      </c>
      <c r="C474" s="213" t="s">
        <v>215</v>
      </c>
      <c r="D474" s="214"/>
      <c r="E474" s="213"/>
      <c r="F474" s="213"/>
      <c r="G474" s="213" t="s">
        <v>215</v>
      </c>
      <c r="H474" s="213" t="s">
        <v>215</v>
      </c>
      <c r="I474" s="214" t="s">
        <v>215</v>
      </c>
      <c r="J474" s="214"/>
      <c r="K474" s="213"/>
      <c r="L474" s="213"/>
      <c r="M474" s="213" t="s">
        <v>215</v>
      </c>
      <c r="N474" s="213"/>
      <c r="O474" s="214"/>
      <c r="P474" s="213"/>
      <c r="Q474" s="214" t="s">
        <v>215</v>
      </c>
      <c r="R474" s="214"/>
      <c r="S474" s="214"/>
      <c r="T474" s="214"/>
      <c r="U474" s="215">
        <f t="shared" si="1294"/>
        <v>6</v>
      </c>
      <c r="V474" s="845" t="s">
        <v>1073</v>
      </c>
      <c r="W474" s="216">
        <v>427421</v>
      </c>
      <c r="X474" s="217">
        <v>2.77</v>
      </c>
      <c r="Y474" s="218">
        <f>1+X474/100</f>
        <v>1.0277000000000001</v>
      </c>
      <c r="Z474" s="196">
        <v>19</v>
      </c>
      <c r="AA474" s="218">
        <f>POWER(Y474,Z474)</f>
        <v>1.6805861263966091</v>
      </c>
      <c r="AB474" s="196">
        <f t="shared" si="1291"/>
        <v>718317.80273056508</v>
      </c>
      <c r="AC474">
        <v>11.4</v>
      </c>
      <c r="AD474" s="196">
        <f t="shared" si="1292"/>
        <v>81888.229511284415</v>
      </c>
      <c r="AE474" s="196">
        <f t="shared" si="1148"/>
        <v>77793.818035720193</v>
      </c>
      <c r="AF474" s="196">
        <f t="shared" si="1295"/>
        <v>0</v>
      </c>
      <c r="AG474" s="606">
        <f t="shared" si="1216"/>
        <v>3.5968446247113426E-3</v>
      </c>
      <c r="AH474" s="196">
        <f t="shared" ref="AH474:AH489" si="1311">AB474*0.05</f>
        <v>35915.890136528258</v>
      </c>
      <c r="AI474" s="248">
        <f t="shared" si="1193"/>
        <v>2.7823495909879564E-3</v>
      </c>
      <c r="AJ474" s="196">
        <f t="shared" si="1196"/>
        <v>117804.11964781268</v>
      </c>
      <c r="AK474" s="196">
        <f t="shared" si="1225"/>
        <v>28732.712109222604</v>
      </c>
      <c r="AL474" s="196">
        <f t="shared" si="1226"/>
        <v>28732.712109222604</v>
      </c>
      <c r="AM474" s="196">
        <f t="shared" si="1197"/>
        <v>57465.424218445209</v>
      </c>
      <c r="AN474" s="627">
        <f t="shared" si="1198"/>
        <v>2.782349590987956E-3</v>
      </c>
      <c r="AO474" s="196">
        <f t="shared" si="1199"/>
        <v>27296.076503761473</v>
      </c>
      <c r="AP474" s="589">
        <f t="shared" si="1217"/>
        <v>2.782349590987956E-3</v>
      </c>
      <c r="AQ474" s="196"/>
      <c r="AR474" s="589"/>
      <c r="AS474">
        <v>1</v>
      </c>
      <c r="AT474" s="589">
        <f t="shared" si="1218"/>
        <v>1.2919896640826874E-3</v>
      </c>
      <c r="AU474" s="196">
        <v>12</v>
      </c>
      <c r="AV474" s="245">
        <f t="shared" si="1200"/>
        <v>1.3634814225656176E-3</v>
      </c>
      <c r="AX474" s="245"/>
      <c r="AY474" s="245"/>
      <c r="AZ474" s="196">
        <v>43</v>
      </c>
      <c r="BA474" s="589">
        <f t="shared" si="1256"/>
        <v>1.5756110072917811E-3</v>
      </c>
      <c r="BI474" s="196">
        <v>0</v>
      </c>
      <c r="BK474" s="246">
        <f t="shared" si="1257"/>
        <v>0</v>
      </c>
      <c r="BL474" s="246"/>
      <c r="BM474" s="246">
        <f t="shared" si="1258"/>
        <v>0</v>
      </c>
      <c r="BN474" s="196">
        <v>1</v>
      </c>
      <c r="BO474" s="196">
        <f t="shared" si="1296"/>
        <v>37972.729785065494</v>
      </c>
      <c r="BP474" s="196">
        <f t="shared" si="1201"/>
        <v>37972.729785065494</v>
      </c>
      <c r="BQ474" s="248">
        <f t="shared" si="1259"/>
        <v>3.5521720419597162E-3</v>
      </c>
      <c r="BR474" s="248"/>
      <c r="BS474" s="248"/>
      <c r="BT474" s="276">
        <v>0</v>
      </c>
      <c r="BU474" s="196">
        <f t="shared" si="1297"/>
        <v>0</v>
      </c>
      <c r="BV474" s="264">
        <f t="shared" si="1261"/>
        <v>0</v>
      </c>
      <c r="BW474" s="196">
        <f t="shared" si="1298"/>
        <v>0</v>
      </c>
      <c r="BX474" s="247">
        <f t="shared" si="1263"/>
        <v>0</v>
      </c>
      <c r="BY474" s="196">
        <f t="shared" si="1299"/>
        <v>0</v>
      </c>
      <c r="BZ474" s="620">
        <v>1</v>
      </c>
      <c r="CA474" s="196">
        <f t="shared" si="1300"/>
        <v>219805.24763555292</v>
      </c>
      <c r="CB474" s="196">
        <f t="shared" si="1301"/>
        <v>439610.49527110584</v>
      </c>
      <c r="CC474" s="196">
        <f t="shared" si="1214"/>
        <v>659415.74290665879</v>
      </c>
      <c r="CD474" s="247">
        <f t="shared" si="1202"/>
        <v>2.782349590987956E-3</v>
      </c>
      <c r="CE474" s="196">
        <f t="shared" si="1302"/>
        <v>64655.96282885252</v>
      </c>
      <c r="CF474" s="247">
        <f t="shared" si="1203"/>
        <v>2.7920455514812421E-3</v>
      </c>
      <c r="CG474" s="196">
        <f t="shared" si="1268"/>
        <v>109184.30601504589</v>
      </c>
      <c r="CH474" s="589">
        <f t="shared" si="1219"/>
        <v>2.782349590987956E-3</v>
      </c>
      <c r="CI474" s="196">
        <f t="shared" si="1303"/>
        <v>73699.06106365165</v>
      </c>
      <c r="CJ474" s="248">
        <f t="shared" si="1220"/>
        <v>1.2116123768134823E-3</v>
      </c>
      <c r="CK474" s="196">
        <f t="shared" si="1304"/>
        <v>235775.67728496192</v>
      </c>
      <c r="CL474" s="589">
        <f t="shared" si="1221"/>
        <v>3.3893238579590802E-3</v>
      </c>
      <c r="CM474" s="196">
        <f t="shared" si="1305"/>
        <v>22840.773900651267</v>
      </c>
      <c r="CN474" s="589">
        <f t="shared" si="1222"/>
        <v>3.2916150965086812E-3</v>
      </c>
      <c r="CO474" s="196">
        <f t="shared" si="1306"/>
        <v>1827.2258602429547</v>
      </c>
      <c r="CP474" s="589">
        <f t="shared" si="1223"/>
        <v>3.4458665278236859E-3</v>
      </c>
      <c r="CQ474" s="196">
        <f>'Detailed Budget'!$AC$12</f>
        <v>292876014141.44696</v>
      </c>
      <c r="CR474" s="269">
        <f t="shared" si="1224"/>
        <v>0</v>
      </c>
      <c r="CS474" s="269">
        <f>'Detailed Budget'!$AC$16</f>
        <v>10488008800.000002</v>
      </c>
      <c r="CT474" s="607">
        <f t="shared" si="1269"/>
        <v>0</v>
      </c>
      <c r="CU474" s="269">
        <f>'Detailed Budget'!$AC$24</f>
        <v>30624985696</v>
      </c>
      <c r="CV474" s="269">
        <f t="shared" si="1250"/>
        <v>0</v>
      </c>
      <c r="CW474" s="269"/>
      <c r="CX474" s="269">
        <f t="shared" si="1215"/>
        <v>0</v>
      </c>
      <c r="CY474" s="196">
        <f>'Detailed Budget'!$AC$97</f>
        <v>74629165494.837845</v>
      </c>
      <c r="CZ474" s="269">
        <f t="shared" si="1270"/>
        <v>265095635.18554774</v>
      </c>
      <c r="DA474" s="269">
        <f>'Detailed Budget'!$AC$100</f>
        <v>14925833098.967569</v>
      </c>
      <c r="DB474" s="269">
        <f t="shared" si="1271"/>
        <v>53019127.037109546</v>
      </c>
      <c r="DC474" s="269">
        <f t="shared" si="1204"/>
        <v>318114762.22265726</v>
      </c>
      <c r="DD474" s="207">
        <v>0</v>
      </c>
      <c r="DE474" s="606">
        <v>0</v>
      </c>
      <c r="DF474" s="269">
        <f>'Detailed Budget'!$AC$147</f>
        <v>5913600671000</v>
      </c>
      <c r="DG474" s="269">
        <f t="shared" si="1230"/>
        <v>0</v>
      </c>
      <c r="DH474" s="269">
        <f>'Detailed Budget'!$AC$153</f>
        <v>226428026880.00003</v>
      </c>
      <c r="DI474" s="269"/>
      <c r="DJ474" s="269">
        <f>'Detailed Budget'!$AC$156</f>
        <v>27713070000</v>
      </c>
      <c r="DK474" s="269"/>
      <c r="DL474" s="269"/>
      <c r="DM474" s="196">
        <f>'Detailed Budget'!$AC$178</f>
        <v>5622683761.6229038</v>
      </c>
      <c r="DN474" s="269">
        <f t="shared" si="1307"/>
        <v>0</v>
      </c>
      <c r="DO474" s="196">
        <f>'Detailed Budget'!$AC$179</f>
        <v>26827890683.128094</v>
      </c>
      <c r="DP474" s="269">
        <f t="shared" si="1308"/>
        <v>0</v>
      </c>
      <c r="DQ474" s="269">
        <f t="shared" si="1192"/>
        <v>0</v>
      </c>
      <c r="DR474" s="269">
        <f>'Detailed Budget'!$AC$181</f>
        <v>50888946855.375237</v>
      </c>
      <c r="DS474" s="269">
        <f t="shared" si="1309"/>
        <v>0</v>
      </c>
      <c r="DT474" s="269">
        <f t="shared" si="1310"/>
        <v>0</v>
      </c>
      <c r="DU474" s="272">
        <f>'Detailed Budget'!$AC$192</f>
        <v>77498869683.252869</v>
      </c>
      <c r="DV474" s="269">
        <f t="shared" si="1272"/>
        <v>215628948.36522752</v>
      </c>
      <c r="DW474" s="140">
        <f>'Detailed Budget'!$AC$194</f>
        <v>2684962805.4134097</v>
      </c>
      <c r="DX474" s="269">
        <f t="shared" si="1273"/>
        <v>7470505.1634598756</v>
      </c>
      <c r="DY474" s="607">
        <f t="shared" si="1205"/>
        <v>223099453.52868739</v>
      </c>
      <c r="DZ474" s="196">
        <f>'Detailed Budget'!$AC$198</f>
        <v>18732540018.380611</v>
      </c>
      <c r="EA474" s="269">
        <f t="shared" si="1274"/>
        <v>52302105.02626393</v>
      </c>
      <c r="EB474" s="196">
        <f>'Detailed Budget'!$AC$200</f>
        <v>4683135004.5951529</v>
      </c>
      <c r="EC474" s="269">
        <f t="shared" si="1275"/>
        <v>13075526.256565982</v>
      </c>
      <c r="ED474" s="269">
        <f t="shared" si="1206"/>
        <v>65377631.282829911</v>
      </c>
      <c r="EE474" s="196">
        <f>'Detailed Budget'!$AC$161</f>
        <v>251147290106.36197</v>
      </c>
      <c r="EF474" s="269">
        <f t="shared" si="1276"/>
        <v>698779559.90516973</v>
      </c>
      <c r="EG474" s="196">
        <f>'Detailed Budget'!$AC$163</f>
        <v>15696705631.647623</v>
      </c>
      <c r="EH474" s="269">
        <f t="shared" si="1277"/>
        <v>43673722.494073108</v>
      </c>
      <c r="EI474" s="269">
        <f t="shared" si="1207"/>
        <v>742453282.39924288</v>
      </c>
      <c r="EJ474" s="196">
        <f>'Detailed Budget'!$AC$204</f>
        <v>45012172507.531975</v>
      </c>
      <c r="EK474" s="269">
        <f t="shared" si="1278"/>
        <v>54537305.317389295</v>
      </c>
      <c r="EL474" s="201">
        <f>'Detailed Budget'!$AC$206</f>
        <v>11253043126.882994</v>
      </c>
      <c r="EM474" s="269">
        <f t="shared" si="1279"/>
        <v>13634326.329347324</v>
      </c>
      <c r="EN474" s="269">
        <f t="shared" si="1208"/>
        <v>68171631.646736622</v>
      </c>
      <c r="EO474" s="140">
        <f>'Detailed Budget'!$AC$209</f>
        <v>135789361677.54817</v>
      </c>
      <c r="EP474" s="269">
        <f t="shared" si="1280"/>
        <v>460234123.19074845</v>
      </c>
      <c r="EQ474" s="196">
        <f>'Detailed Budget'!$AC$211</f>
        <v>33947340419.387043</v>
      </c>
      <c r="ER474" s="269">
        <f t="shared" si="1281"/>
        <v>115058530.79768711</v>
      </c>
      <c r="ES474" s="269">
        <f t="shared" si="1209"/>
        <v>575292653.98843551</v>
      </c>
      <c r="ET474" s="196">
        <f>'Detailed Budget'!$AC$214</f>
        <v>22239745544.201103</v>
      </c>
      <c r="EU474" s="269">
        <f t="shared" si="1282"/>
        <v>73204682.175804019</v>
      </c>
      <c r="EV474" s="140">
        <f>'Detailed Budget'!$AC$217</f>
        <v>5559936386.0502758</v>
      </c>
      <c r="EW474" s="269">
        <f t="shared" si="1283"/>
        <v>18301170.543951005</v>
      </c>
      <c r="EX474" s="269">
        <f t="shared" si="1210"/>
        <v>91505852.719755024</v>
      </c>
      <c r="EY474" s="196">
        <f>'Detailed Budget'!$AC$219</f>
        <v>372777004.58170313</v>
      </c>
      <c r="EZ474" s="269">
        <f t="shared" si="1284"/>
        <v>1284539.8024304677</v>
      </c>
      <c r="FA474" s="196">
        <f>'Detailed Budget'!$AC$222</f>
        <v>93194251.145425782</v>
      </c>
      <c r="FB474" s="269">
        <f t="shared" si="1285"/>
        <v>321134.95060761692</v>
      </c>
      <c r="FC474" s="269">
        <f t="shared" si="1211"/>
        <v>1605674.7530380846</v>
      </c>
      <c r="FD474" s="269"/>
      <c r="FE474" s="269">
        <f t="shared" si="1212"/>
        <v>736575813.10796523</v>
      </c>
      <c r="FF474" s="140">
        <f>'Detailed Budget'!$AC$165</f>
        <v>14927760000</v>
      </c>
      <c r="FG474" s="1087">
        <f t="shared" si="1232"/>
        <v>1004738165.8706759</v>
      </c>
      <c r="FH474" s="269">
        <f t="shared" si="1286"/>
        <v>20353723.440518126</v>
      </c>
      <c r="FJ474" s="140">
        <f>'Detailed Budget'!$AC$235</f>
        <v>3623696172</v>
      </c>
      <c r="FK474" s="269">
        <f t="shared" si="1287"/>
        <v>4681778</v>
      </c>
      <c r="FL474" s="269">
        <f t="shared" si="1235"/>
        <v>4681778</v>
      </c>
      <c r="FO474" s="607"/>
      <c r="FP474" s="607"/>
      <c r="FQ474" s="607"/>
      <c r="FR474" s="269">
        <f>'Detailed Budget'!$AC$257</f>
        <v>13636439388</v>
      </c>
      <c r="FS474" s="269">
        <f t="shared" si="1288"/>
        <v>21485724</v>
      </c>
      <c r="FT474" s="269">
        <f t="shared" si="1237"/>
        <v>21485724</v>
      </c>
      <c r="FU474" s="269"/>
      <c r="FV474" s="269"/>
      <c r="FW474" s="269"/>
      <c r="FX474" s="140">
        <f>'Detailed Budget'!$AC$278</f>
        <v>1114560000</v>
      </c>
      <c r="FY474" s="269">
        <f t="shared" si="1289"/>
        <v>1440000</v>
      </c>
      <c r="FZ474" s="269">
        <f t="shared" si="1239"/>
        <v>1440000</v>
      </c>
      <c r="GB474" s="269">
        <f t="shared" si="1264"/>
        <v>3138320333.8525763</v>
      </c>
      <c r="GC474" s="887">
        <f t="shared" si="1213"/>
        <v>1961450.2086578601</v>
      </c>
      <c r="GD474" s="1078">
        <f t="shared" si="1265"/>
        <v>1.7610103622167877E-3</v>
      </c>
    </row>
    <row r="475" spans="1:186" hidden="1" outlineLevel="1">
      <c r="A475" s="211" t="s">
        <v>1076</v>
      </c>
      <c r="B475" s="212" t="s">
        <v>1077</v>
      </c>
      <c r="C475" s="213" t="s">
        <v>215</v>
      </c>
      <c r="D475" s="214"/>
      <c r="E475" s="213"/>
      <c r="F475" s="213"/>
      <c r="G475" s="213" t="s">
        <v>215</v>
      </c>
      <c r="H475" s="213" t="s">
        <v>215</v>
      </c>
      <c r="I475" s="214" t="s">
        <v>215</v>
      </c>
      <c r="J475" s="214"/>
      <c r="K475" s="213"/>
      <c r="L475" s="213"/>
      <c r="M475" s="213" t="s">
        <v>215</v>
      </c>
      <c r="N475" s="213"/>
      <c r="O475" s="214"/>
      <c r="P475" s="213"/>
      <c r="Q475" s="214"/>
      <c r="R475" s="214" t="s">
        <v>215</v>
      </c>
      <c r="S475" s="214"/>
      <c r="T475" s="214"/>
      <c r="U475" s="215">
        <f t="shared" si="1294"/>
        <v>6</v>
      </c>
      <c r="V475" s="845" t="s">
        <v>216</v>
      </c>
      <c r="W475" s="216">
        <v>169339</v>
      </c>
      <c r="X475" s="217">
        <v>2.77</v>
      </c>
      <c r="Y475" s="218">
        <f>1+X475/100</f>
        <v>1.0277000000000001</v>
      </c>
      <c r="Z475" s="196">
        <v>19</v>
      </c>
      <c r="AA475" s="218">
        <f>POWER(Y475,Z475)</f>
        <v>1.6805861263966091</v>
      </c>
      <c r="AB475" s="196">
        <f t="shared" si="1291"/>
        <v>284588.77405787539</v>
      </c>
      <c r="AC475">
        <v>11.4</v>
      </c>
      <c r="AD475" s="196">
        <f t="shared" si="1292"/>
        <v>32443.120242597797</v>
      </c>
      <c r="AE475" s="196">
        <f t="shared" si="1148"/>
        <v>30820.964230467907</v>
      </c>
      <c r="AF475" s="196">
        <f t="shared" si="1295"/>
        <v>0</v>
      </c>
      <c r="AG475" s="606">
        <f t="shared" si="1216"/>
        <v>1.4250260794485862E-3</v>
      </c>
      <c r="AH475" s="196">
        <f t="shared" si="1311"/>
        <v>14229.438702893771</v>
      </c>
      <c r="AI475" s="248">
        <f t="shared" si="1193"/>
        <v>1.1023330566076761E-3</v>
      </c>
      <c r="AJ475" s="196">
        <f t="shared" si="1196"/>
        <v>46672.558945491568</v>
      </c>
      <c r="AK475" s="196">
        <f t="shared" si="1225"/>
        <v>11383.550962315016</v>
      </c>
      <c r="AL475" s="196">
        <f t="shared" si="1226"/>
        <v>11383.550962315016</v>
      </c>
      <c r="AM475" s="196">
        <f t="shared" si="1197"/>
        <v>22767.101924630031</v>
      </c>
      <c r="AN475" s="627">
        <f t="shared" si="1198"/>
        <v>1.1023330566076758E-3</v>
      </c>
      <c r="AO475" s="196">
        <f t="shared" si="1199"/>
        <v>10814.373414199265</v>
      </c>
      <c r="AP475" s="589">
        <f t="shared" si="1217"/>
        <v>1.1023330566076758E-3</v>
      </c>
      <c r="AQ475" s="196"/>
      <c r="AR475" s="589"/>
      <c r="AS475">
        <v>1</v>
      </c>
      <c r="AT475" s="589">
        <f t="shared" si="1218"/>
        <v>1.2919896640826874E-3</v>
      </c>
      <c r="AU475" s="196">
        <v>11</v>
      </c>
      <c r="AV475" s="245">
        <f t="shared" si="1200"/>
        <v>1.2498579706851495E-3</v>
      </c>
      <c r="AX475" s="245"/>
      <c r="AY475" s="245"/>
      <c r="AZ475" s="196">
        <v>41</v>
      </c>
      <c r="BA475" s="589">
        <f t="shared" si="1256"/>
        <v>1.5023267743944891E-3</v>
      </c>
      <c r="BI475" s="196">
        <v>0</v>
      </c>
      <c r="BK475" s="246">
        <f t="shared" si="1257"/>
        <v>0</v>
      </c>
      <c r="BL475" s="246"/>
      <c r="BM475" s="246">
        <f t="shared" si="1258"/>
        <v>0</v>
      </c>
      <c r="BN475" s="196">
        <v>1</v>
      </c>
      <c r="BO475" s="196">
        <f t="shared" si="1296"/>
        <v>15044.333547189321</v>
      </c>
      <c r="BP475" s="196">
        <f t="shared" si="1201"/>
        <v>15044.333547189321</v>
      </c>
      <c r="BQ475" s="248">
        <f t="shared" si="1259"/>
        <v>1.4073273456695306E-3</v>
      </c>
      <c r="BR475" s="248"/>
      <c r="BS475" s="248"/>
      <c r="BT475" s="276">
        <v>0</v>
      </c>
      <c r="BU475" s="196">
        <f t="shared" si="1297"/>
        <v>0</v>
      </c>
      <c r="BV475" s="264">
        <f t="shared" si="1261"/>
        <v>0</v>
      </c>
      <c r="BW475" s="196">
        <f t="shared" si="1298"/>
        <v>0</v>
      </c>
      <c r="BX475" s="247">
        <f t="shared" si="1263"/>
        <v>0</v>
      </c>
      <c r="BY475" s="196">
        <f t="shared" si="1299"/>
        <v>0</v>
      </c>
      <c r="BZ475" s="620">
        <v>1</v>
      </c>
      <c r="CA475" s="196">
        <f t="shared" si="1300"/>
        <v>87084.164861709869</v>
      </c>
      <c r="CB475" s="196">
        <f t="shared" si="1301"/>
        <v>174168.32972341974</v>
      </c>
      <c r="CC475" s="196">
        <f t="shared" si="1214"/>
        <v>261252.49458512961</v>
      </c>
      <c r="CD475" s="247">
        <f t="shared" si="1202"/>
        <v>1.1023330566076758E-3</v>
      </c>
      <c r="CE475" s="196">
        <f t="shared" si="1302"/>
        <v>25615.905838681432</v>
      </c>
      <c r="CF475" s="247">
        <f t="shared" si="1203"/>
        <v>1.1061744781896117E-3</v>
      </c>
      <c r="CG475" s="196">
        <f t="shared" si="1268"/>
        <v>43257.493656797058</v>
      </c>
      <c r="CH475" s="589">
        <f t="shared" si="1219"/>
        <v>1.1023330566076758E-3</v>
      </c>
      <c r="CI475" s="196">
        <f t="shared" si="1303"/>
        <v>29198.671336826475</v>
      </c>
      <c r="CJ475" s="248">
        <f t="shared" si="1220"/>
        <v>4.8002608266140012E-4</v>
      </c>
      <c r="CK475" s="196">
        <f t="shared" si="1304"/>
        <v>93411.45478523089</v>
      </c>
      <c r="CL475" s="589">
        <f t="shared" si="1221"/>
        <v>1.342808876454205E-3</v>
      </c>
      <c r="CM475" s="196">
        <f t="shared" si="1305"/>
        <v>9049.2367281027018</v>
      </c>
      <c r="CN475" s="589">
        <f t="shared" si="1222"/>
        <v>1.3040978539371805E-3</v>
      </c>
      <c r="CO475" s="196">
        <f t="shared" si="1306"/>
        <v>723.92465496005514</v>
      </c>
      <c r="CP475" s="589">
        <f t="shared" si="1223"/>
        <v>1.3652103943304966E-3</v>
      </c>
      <c r="CQ475" s="196">
        <f>'Detailed Budget'!$AC$12</f>
        <v>292876014141.44696</v>
      </c>
      <c r="CR475" s="269">
        <f t="shared" si="1224"/>
        <v>0</v>
      </c>
      <c r="CS475" s="269">
        <f>'Detailed Budget'!$AC$16</f>
        <v>10488008800.000002</v>
      </c>
      <c r="CT475" s="607">
        <f t="shared" si="1269"/>
        <v>0</v>
      </c>
      <c r="CU475" s="269">
        <f>'Detailed Budget'!$AC$24</f>
        <v>30624985696</v>
      </c>
      <c r="CV475" s="269">
        <f t="shared" si="1250"/>
        <v>0</v>
      </c>
      <c r="CW475" s="269"/>
      <c r="CX475" s="269">
        <f t="shared" si="1215"/>
        <v>0</v>
      </c>
      <c r="CY475" s="196">
        <f>'Detailed Budget'!$AC$97</f>
        <v>74629165494.837845</v>
      </c>
      <c r="CZ475" s="269">
        <f t="shared" si="1270"/>
        <v>105027665.38538226</v>
      </c>
      <c r="DA475" s="269">
        <f>'Detailed Budget'!$AC$100</f>
        <v>14925833098.967569</v>
      </c>
      <c r="DB475" s="269">
        <f t="shared" si="1271"/>
        <v>21005533.077076454</v>
      </c>
      <c r="DC475" s="269">
        <f t="shared" si="1204"/>
        <v>126033198.46245871</v>
      </c>
      <c r="DD475" s="207">
        <v>0</v>
      </c>
      <c r="DE475" s="606">
        <v>0</v>
      </c>
      <c r="DF475" s="269">
        <f>'Detailed Budget'!$AC$147</f>
        <v>5913600671000</v>
      </c>
      <c r="DG475" s="269">
        <f t="shared" si="1230"/>
        <v>0</v>
      </c>
      <c r="DH475" s="269">
        <f>'Detailed Budget'!$AC$153</f>
        <v>226428026880.00003</v>
      </c>
      <c r="DI475" s="269"/>
      <c r="DJ475" s="269">
        <f>'Detailed Budget'!$AC$156</f>
        <v>27713070000</v>
      </c>
      <c r="DK475" s="269"/>
      <c r="DL475" s="269"/>
      <c r="DM475" s="196">
        <f>'Detailed Budget'!$AC$178</f>
        <v>5622683761.6229038</v>
      </c>
      <c r="DN475" s="269">
        <f t="shared" si="1307"/>
        <v>0</v>
      </c>
      <c r="DO475" s="196">
        <f>'Detailed Budget'!$AC$179</f>
        <v>26827890683.128094</v>
      </c>
      <c r="DP475" s="269">
        <f t="shared" si="1308"/>
        <v>0</v>
      </c>
      <c r="DQ475" s="269">
        <f t="shared" si="1192"/>
        <v>0</v>
      </c>
      <c r="DR475" s="269">
        <f>'Detailed Budget'!$AC$181</f>
        <v>50888946855.375237</v>
      </c>
      <c r="DS475" s="269">
        <f t="shared" si="1309"/>
        <v>0</v>
      </c>
      <c r="DT475" s="269">
        <f t="shared" si="1310"/>
        <v>0</v>
      </c>
      <c r="DU475" s="272">
        <f>'Detailed Budget'!$AC$192</f>
        <v>77498869683.252869</v>
      </c>
      <c r="DV475" s="269">
        <f t="shared" si="1272"/>
        <v>85429565.90158008</v>
      </c>
      <c r="DW475" s="140">
        <f>'Detailed Budget'!$AC$194</f>
        <v>2684962805.4134097</v>
      </c>
      <c r="DX475" s="269">
        <f t="shared" si="1273"/>
        <v>2959723.2561692842</v>
      </c>
      <c r="DY475" s="607">
        <f t="shared" si="1205"/>
        <v>88389289.15774937</v>
      </c>
      <c r="DZ475" s="196">
        <f>'Detailed Budget'!$AC$198</f>
        <v>18732540018.380611</v>
      </c>
      <c r="EA475" s="269">
        <f t="shared" si="1274"/>
        <v>20721457.679998193</v>
      </c>
      <c r="EB475" s="196">
        <f>'Detailed Budget'!$AC$200</f>
        <v>4683135004.5951529</v>
      </c>
      <c r="EC475" s="269">
        <f t="shared" si="1275"/>
        <v>5180364.4199995482</v>
      </c>
      <c r="ED475" s="269">
        <f t="shared" si="1206"/>
        <v>25901822.09999774</v>
      </c>
      <c r="EE475" s="196">
        <f>'Detailed Budget'!$AC$161</f>
        <v>251147290106.36197</v>
      </c>
      <c r="EF475" s="269">
        <f t="shared" si="1276"/>
        <v>276847959.96168071</v>
      </c>
      <c r="EG475" s="196">
        <f>'Detailed Budget'!$AC$163</f>
        <v>15696705631.647623</v>
      </c>
      <c r="EH475" s="269">
        <f t="shared" si="1277"/>
        <v>17302997.497605044</v>
      </c>
      <c r="EI475" s="269">
        <f t="shared" si="1207"/>
        <v>294150957.45928574</v>
      </c>
      <c r="EJ475" s="196">
        <f>'Detailed Budget'!$AC$204</f>
        <v>45012172507.531975</v>
      </c>
      <c r="EK475" s="269">
        <f t="shared" si="1278"/>
        <v>21607016.840869747</v>
      </c>
      <c r="EL475" s="201">
        <f>'Detailed Budget'!$AC$206</f>
        <v>11253043126.882994</v>
      </c>
      <c r="EM475" s="269">
        <f t="shared" si="1279"/>
        <v>5401754.2102174368</v>
      </c>
      <c r="EN475" s="269">
        <f t="shared" si="1208"/>
        <v>27008771.051087186</v>
      </c>
      <c r="EO475" s="140">
        <f>'Detailed Budget'!$AC$209</f>
        <v>135789361677.54817</v>
      </c>
      <c r="EP475" s="269">
        <f t="shared" si="1280"/>
        <v>182339160.18866214</v>
      </c>
      <c r="EQ475" s="196">
        <f>'Detailed Budget'!$AC$211</f>
        <v>33947340419.387043</v>
      </c>
      <c r="ER475" s="269">
        <f t="shared" si="1281"/>
        <v>45584790.047165535</v>
      </c>
      <c r="ES475" s="269">
        <f t="shared" si="1209"/>
        <v>227923950.23582768</v>
      </c>
      <c r="ET475" s="196">
        <f>'Detailed Budget'!$AC$214</f>
        <v>22239745544.201103</v>
      </c>
      <c r="EU475" s="269">
        <f t="shared" si="1282"/>
        <v>29002804.43630163</v>
      </c>
      <c r="EV475" s="140">
        <f>'Detailed Budget'!$AC$217</f>
        <v>5559936386.0502758</v>
      </c>
      <c r="EW475" s="269">
        <f t="shared" si="1283"/>
        <v>7250701.1090754075</v>
      </c>
      <c r="EX475" s="269">
        <f t="shared" si="1210"/>
        <v>36253505.545377038</v>
      </c>
      <c r="EY475" s="196">
        <f>'Detailed Budget'!$AC$219</f>
        <v>372777004.58170313</v>
      </c>
      <c r="EZ475" s="269">
        <f t="shared" si="1284"/>
        <v>508919.04142232827</v>
      </c>
      <c r="FA475" s="196">
        <f>'Detailed Budget'!$AC$222</f>
        <v>93194251.145425782</v>
      </c>
      <c r="FB475" s="269">
        <f t="shared" si="1285"/>
        <v>127229.76035558207</v>
      </c>
      <c r="FC475" s="269">
        <f t="shared" si="1211"/>
        <v>636148.80177791032</v>
      </c>
      <c r="FD475" s="269"/>
      <c r="FE475" s="269">
        <f t="shared" si="1212"/>
        <v>291822375.6340698</v>
      </c>
      <c r="FF475" s="140">
        <f>'Detailed Budget'!$AC$165</f>
        <v>14927760000</v>
      </c>
      <c r="FG475" s="1087">
        <f t="shared" si="1232"/>
        <v>398065037.21243089</v>
      </c>
      <c r="FH475" s="269">
        <f t="shared" si="1286"/>
        <v>18657579.820474949</v>
      </c>
      <c r="FJ475" s="140">
        <f>'Detailed Budget'!$AC$235</f>
        <v>3623696172</v>
      </c>
      <c r="FK475" s="269">
        <f t="shared" si="1287"/>
        <v>4681778</v>
      </c>
      <c r="FL475" s="269">
        <f t="shared" si="1235"/>
        <v>4681778</v>
      </c>
      <c r="FO475" s="607"/>
      <c r="FP475" s="607"/>
      <c r="FQ475" s="607"/>
      <c r="FR475" s="269">
        <f>'Detailed Budget'!$AC$257</f>
        <v>13636439388</v>
      </c>
      <c r="FS475" s="269">
        <f t="shared" si="1288"/>
        <v>20486388</v>
      </c>
      <c r="FT475" s="269">
        <f t="shared" si="1237"/>
        <v>20486388</v>
      </c>
      <c r="FU475" s="269"/>
      <c r="FV475" s="269"/>
      <c r="FW475" s="269"/>
      <c r="FX475" s="140">
        <f>'Detailed Budget'!$AC$278</f>
        <v>1114560000</v>
      </c>
      <c r="FY475" s="269">
        <f t="shared" si="1289"/>
        <v>1440000</v>
      </c>
      <c r="FZ475" s="269">
        <f t="shared" si="1239"/>
        <v>1440000</v>
      </c>
      <c r="GB475" s="269">
        <f t="shared" si="1264"/>
        <v>1269628425.846467</v>
      </c>
      <c r="GC475" s="887">
        <f t="shared" si="1213"/>
        <v>793517.76615404186</v>
      </c>
      <c r="GD475" s="1078">
        <f t="shared" si="1265"/>
        <v>7.1242848920267227E-4</v>
      </c>
    </row>
    <row r="476" spans="1:186" hidden="1" outlineLevel="1">
      <c r="A476" s="211" t="s">
        <v>1078</v>
      </c>
      <c r="B476" s="212" t="s">
        <v>1079</v>
      </c>
      <c r="C476" s="213" t="s">
        <v>215</v>
      </c>
      <c r="D476" s="214"/>
      <c r="E476" s="213"/>
      <c r="F476" s="213"/>
      <c r="G476" s="213" t="s">
        <v>215</v>
      </c>
      <c r="H476" s="213" t="s">
        <v>215</v>
      </c>
      <c r="I476" s="214" t="s">
        <v>215</v>
      </c>
      <c r="J476" s="214"/>
      <c r="K476" s="213"/>
      <c r="L476" s="213"/>
      <c r="M476" s="213" t="s">
        <v>215</v>
      </c>
      <c r="N476" s="213"/>
      <c r="O476" s="214"/>
      <c r="P476" s="213"/>
      <c r="Q476" s="214"/>
      <c r="R476" s="214" t="s">
        <v>215</v>
      </c>
      <c r="S476" s="214"/>
      <c r="T476" s="214"/>
      <c r="U476" s="215">
        <f t="shared" si="1294"/>
        <v>6</v>
      </c>
      <c r="V476" s="845" t="s">
        <v>216</v>
      </c>
      <c r="W476" s="216">
        <v>192621</v>
      </c>
      <c r="X476" s="217">
        <v>2.77</v>
      </c>
      <c r="Y476" s="218">
        <f t="shared" ref="Y476:Y542" si="1312">1+X476/100</f>
        <v>1.0277000000000001</v>
      </c>
      <c r="Z476" s="196">
        <v>19</v>
      </c>
      <c r="AA476" s="218">
        <f t="shared" ref="AA476:AA542" si="1313">POWER(Y476,Z476)</f>
        <v>1.6805861263966091</v>
      </c>
      <c r="AB476" s="196">
        <f t="shared" si="1291"/>
        <v>323716.18025264126</v>
      </c>
      <c r="AC476">
        <v>11.4</v>
      </c>
      <c r="AD476" s="196">
        <f t="shared" si="1292"/>
        <v>36903.644548801101</v>
      </c>
      <c r="AE476" s="196">
        <f t="shared" ref="AE476:AE542" si="1314">AD476*0.95</f>
        <v>35058.462321361047</v>
      </c>
      <c r="AF476" s="196">
        <f t="shared" si="1295"/>
        <v>0</v>
      </c>
      <c r="AG476" s="606">
        <f t="shared" si="1216"/>
        <v>1.6209493882062968E-3</v>
      </c>
      <c r="AH476" s="196">
        <f t="shared" si="1311"/>
        <v>16185.809012632064</v>
      </c>
      <c r="AI476" s="248">
        <f t="shared" si="1193"/>
        <v>1.2538901003125516E-3</v>
      </c>
      <c r="AJ476" s="196">
        <f t="shared" si="1196"/>
        <v>53089.453561433169</v>
      </c>
      <c r="AK476" s="196">
        <f t="shared" si="1225"/>
        <v>12948.647210105652</v>
      </c>
      <c r="AL476" s="196">
        <f t="shared" si="1226"/>
        <v>12948.647210105652</v>
      </c>
      <c r="AM476" s="196">
        <f t="shared" si="1197"/>
        <v>25897.294420211303</v>
      </c>
      <c r="AN476" s="627">
        <f t="shared" si="1198"/>
        <v>1.2538901003125516E-3</v>
      </c>
      <c r="AO476" s="196">
        <f t="shared" si="1199"/>
        <v>12301.214849600368</v>
      </c>
      <c r="AP476" s="589">
        <f t="shared" si="1217"/>
        <v>1.2538901003125516E-3</v>
      </c>
      <c r="AQ476" s="196"/>
      <c r="AR476" s="589"/>
      <c r="AS476">
        <v>1</v>
      </c>
      <c r="AT476" s="589">
        <f t="shared" si="1218"/>
        <v>1.2919896640826874E-3</v>
      </c>
      <c r="AU476" s="196">
        <v>13</v>
      </c>
      <c r="AV476" s="245">
        <f t="shared" si="1200"/>
        <v>1.4771048744460858E-3</v>
      </c>
      <c r="AX476" s="245"/>
      <c r="AY476" s="245"/>
      <c r="AZ476" s="196">
        <v>52</v>
      </c>
      <c r="BA476" s="589">
        <f t="shared" si="1256"/>
        <v>1.9053900553295958E-3</v>
      </c>
      <c r="BI476" s="196">
        <v>0</v>
      </c>
      <c r="BK476" s="246">
        <f t="shared" si="1257"/>
        <v>0</v>
      </c>
      <c r="BL476" s="246"/>
      <c r="BM476" s="246">
        <f t="shared" si="1258"/>
        <v>0</v>
      </c>
      <c r="BN476" s="196">
        <v>1</v>
      </c>
      <c r="BO476" s="196">
        <f t="shared" si="1296"/>
        <v>17112.741732224436</v>
      </c>
      <c r="BP476" s="196">
        <f t="shared" si="1201"/>
        <v>17112.741732224436</v>
      </c>
      <c r="BQ476" s="248">
        <f t="shared" si="1259"/>
        <v>1.6008172993239045E-3</v>
      </c>
      <c r="BR476" s="248"/>
      <c r="BS476" s="248"/>
      <c r="BT476" s="276">
        <v>0</v>
      </c>
      <c r="BU476" s="196">
        <f t="shared" si="1297"/>
        <v>0</v>
      </c>
      <c r="BV476" s="264">
        <f t="shared" si="1261"/>
        <v>0</v>
      </c>
      <c r="BW476" s="196">
        <f t="shared" si="1298"/>
        <v>0</v>
      </c>
      <c r="BX476" s="247">
        <f t="shared" si="1263"/>
        <v>0</v>
      </c>
      <c r="BY476" s="196">
        <f t="shared" si="1299"/>
        <v>0</v>
      </c>
      <c r="BZ476" s="620">
        <v>1</v>
      </c>
      <c r="CA476" s="196">
        <f t="shared" si="1300"/>
        <v>99057.151157308239</v>
      </c>
      <c r="CB476" s="196">
        <f t="shared" si="1301"/>
        <v>198114.30231461648</v>
      </c>
      <c r="CC476" s="196">
        <f t="shared" si="1214"/>
        <v>297171.4534719247</v>
      </c>
      <c r="CD476" s="247">
        <f t="shared" si="1202"/>
        <v>1.2538901003125516E-3</v>
      </c>
      <c r="CE476" s="196">
        <f t="shared" si="1302"/>
        <v>29137.773333683654</v>
      </c>
      <c r="CF476" s="247">
        <f t="shared" si="1203"/>
        <v>1.2582596694403604E-3</v>
      </c>
      <c r="CG476" s="196">
        <f t="shared" si="1268"/>
        <v>49204.859398401473</v>
      </c>
      <c r="CH476" s="589">
        <f t="shared" si="1219"/>
        <v>1.2538901003125516E-3</v>
      </c>
      <c r="CI476" s="196">
        <f t="shared" si="1303"/>
        <v>33213.124392909202</v>
      </c>
      <c r="CJ476" s="248">
        <f t="shared" si="1220"/>
        <v>5.4602368071337095E-4</v>
      </c>
      <c r="CK476" s="196">
        <f t="shared" si="1304"/>
        <v>106254.36451252195</v>
      </c>
      <c r="CL476" s="589">
        <f t="shared" si="1221"/>
        <v>1.5274283454578411E-3</v>
      </c>
      <c r="CM476" s="196">
        <f t="shared" si="1305"/>
        <v>10293.393889203729</v>
      </c>
      <c r="CN476" s="589">
        <f t="shared" si="1222"/>
        <v>1.4833950402638116E-3</v>
      </c>
      <c r="CO476" s="196">
        <f t="shared" si="1306"/>
        <v>823.45526407419891</v>
      </c>
      <c r="CP476" s="589">
        <f t="shared" si="1223"/>
        <v>1.5529097925837201E-3</v>
      </c>
      <c r="CQ476" s="196">
        <f>'Detailed Budget'!$AC$12</f>
        <v>292876014141.44696</v>
      </c>
      <c r="CR476" s="269">
        <f t="shared" si="1224"/>
        <v>0</v>
      </c>
      <c r="CS476" s="269">
        <f>'Detailed Budget'!$AC$16</f>
        <v>10488008800.000002</v>
      </c>
      <c r="CT476" s="607">
        <f t="shared" si="1269"/>
        <v>0</v>
      </c>
      <c r="CU476" s="269">
        <f>'Detailed Budget'!$AC$24</f>
        <v>30624985696</v>
      </c>
      <c r="CV476" s="269">
        <f t="shared" si="1250"/>
        <v>0</v>
      </c>
      <c r="CW476" s="269"/>
      <c r="CX476" s="269">
        <f t="shared" si="1215"/>
        <v>0</v>
      </c>
      <c r="CY476" s="196">
        <f>'Detailed Budget'!$AC$97</f>
        <v>74629165494.837845</v>
      </c>
      <c r="CZ476" s="269">
        <f t="shared" si="1270"/>
        <v>119467659.15824303</v>
      </c>
      <c r="DA476" s="269">
        <f>'Detailed Budget'!$AC$100</f>
        <v>14925833098.967569</v>
      </c>
      <c r="DB476" s="269">
        <f t="shared" si="1271"/>
        <v>23893531.831648607</v>
      </c>
      <c r="DC476" s="269">
        <f t="shared" si="1204"/>
        <v>143361190.98989165</v>
      </c>
      <c r="DD476" s="207">
        <v>0</v>
      </c>
      <c r="DE476" s="606">
        <v>0</v>
      </c>
      <c r="DF476" s="269">
        <f>'Detailed Budget'!$AC$147</f>
        <v>5913600671000</v>
      </c>
      <c r="DG476" s="269">
        <f t="shared" si="1230"/>
        <v>0</v>
      </c>
      <c r="DH476" s="269">
        <f>'Detailed Budget'!$AC$153</f>
        <v>226428026880.00003</v>
      </c>
      <c r="DI476" s="269"/>
      <c r="DJ476" s="269">
        <f>'Detailed Budget'!$AC$156</f>
        <v>27713070000</v>
      </c>
      <c r="DK476" s="269"/>
      <c r="DL476" s="269"/>
      <c r="DM476" s="196">
        <f>'Detailed Budget'!$AC$178</f>
        <v>5622683761.6229038</v>
      </c>
      <c r="DN476" s="269">
        <f t="shared" si="1307"/>
        <v>0</v>
      </c>
      <c r="DO476" s="196">
        <f>'Detailed Budget'!$AC$179</f>
        <v>26827890683.128094</v>
      </c>
      <c r="DP476" s="269">
        <f t="shared" si="1308"/>
        <v>0</v>
      </c>
      <c r="DQ476" s="269">
        <f t="shared" si="1192"/>
        <v>0</v>
      </c>
      <c r="DR476" s="269">
        <f>'Detailed Budget'!$AC$181</f>
        <v>50888946855.375237</v>
      </c>
      <c r="DS476" s="269">
        <f t="shared" si="1309"/>
        <v>0</v>
      </c>
      <c r="DT476" s="269">
        <f t="shared" si="1310"/>
        <v>0</v>
      </c>
      <c r="DU476" s="272">
        <f>'Detailed Budget'!$AC$192</f>
        <v>77498869683.252869</v>
      </c>
      <c r="DV476" s="269">
        <f t="shared" si="1272"/>
        <v>97175065.481243297</v>
      </c>
      <c r="DW476" s="140">
        <f>'Detailed Budget'!$AC$194</f>
        <v>2684962805.4134097</v>
      </c>
      <c r="DX476" s="269">
        <f t="shared" si="1273"/>
        <v>3366648.2814152902</v>
      </c>
      <c r="DY476" s="607">
        <f t="shared" si="1205"/>
        <v>100541713.76265858</v>
      </c>
      <c r="DZ476" s="196">
        <f>'Detailed Budget'!$AC$198</f>
        <v>18732540018.380611</v>
      </c>
      <c r="EA476" s="269">
        <f t="shared" si="1274"/>
        <v>23570399.611305911</v>
      </c>
      <c r="EB476" s="196">
        <f>'Detailed Budget'!$AC$200</f>
        <v>4683135004.5951529</v>
      </c>
      <c r="EC476" s="269">
        <f t="shared" si="1275"/>
        <v>5892599.9028264778</v>
      </c>
      <c r="ED476" s="269">
        <f t="shared" si="1206"/>
        <v>29462999.514132388</v>
      </c>
      <c r="EE476" s="196">
        <f>'Detailed Budget'!$AC$161</f>
        <v>251147290106.36197</v>
      </c>
      <c r="EF476" s="269">
        <f t="shared" si="1276"/>
        <v>314911100.78469169</v>
      </c>
      <c r="EG476" s="196">
        <f>'Detailed Budget'!$AC$163</f>
        <v>15696705631.647623</v>
      </c>
      <c r="EH476" s="269">
        <f t="shared" si="1277"/>
        <v>19681943.799043231</v>
      </c>
      <c r="EI476" s="269">
        <f t="shared" si="1207"/>
        <v>334593044.58373493</v>
      </c>
      <c r="EJ476" s="196">
        <f>'Detailed Budget'!$AC$204</f>
        <v>45012172507.531975</v>
      </c>
      <c r="EK476" s="269">
        <f t="shared" si="1278"/>
        <v>24577712.109467812</v>
      </c>
      <c r="EL476" s="201">
        <f>'Detailed Budget'!$AC$206</f>
        <v>11253043126.882994</v>
      </c>
      <c r="EM476" s="269">
        <f t="shared" si="1279"/>
        <v>6144428.027366953</v>
      </c>
      <c r="EN476" s="269">
        <f t="shared" si="1208"/>
        <v>30722140.136834763</v>
      </c>
      <c r="EO476" s="140">
        <f>'Detailed Budget'!$AC$209</f>
        <v>135789361677.54817</v>
      </c>
      <c r="EP476" s="269">
        <f t="shared" si="1280"/>
        <v>207408520.03791377</v>
      </c>
      <c r="EQ476" s="196">
        <f>'Detailed Budget'!$AC$211</f>
        <v>33947340419.387043</v>
      </c>
      <c r="ER476" s="269">
        <f t="shared" si="1281"/>
        <v>51852130.009478442</v>
      </c>
      <c r="ES476" s="269">
        <f t="shared" si="1209"/>
        <v>259260650.04739222</v>
      </c>
      <c r="ET476" s="196">
        <f>'Detailed Budget'!$AC$214</f>
        <v>22239745544.201103</v>
      </c>
      <c r="EU476" s="269">
        <f t="shared" si="1282"/>
        <v>32990328.23699712</v>
      </c>
      <c r="EV476" s="140">
        <f>'Detailed Budget'!$AC$217</f>
        <v>5559936386.0502758</v>
      </c>
      <c r="EW476" s="269">
        <f t="shared" si="1283"/>
        <v>8247582.05924928</v>
      </c>
      <c r="EX476" s="269">
        <f t="shared" si="1210"/>
        <v>41237910.296246402</v>
      </c>
      <c r="EY476" s="196">
        <f>'Detailed Budget'!$AC$219</f>
        <v>372777004.58170313</v>
      </c>
      <c r="EZ476" s="269">
        <f t="shared" si="1284"/>
        <v>578889.06086495309</v>
      </c>
      <c r="FA476" s="196">
        <f>'Detailed Budget'!$AC$222</f>
        <v>93194251.145425782</v>
      </c>
      <c r="FB476" s="269">
        <f t="shared" si="1285"/>
        <v>144722.26521623827</v>
      </c>
      <c r="FC476" s="269">
        <f t="shared" si="1211"/>
        <v>723611.32608119142</v>
      </c>
      <c r="FD476" s="269"/>
      <c r="FE476" s="269">
        <f t="shared" si="1212"/>
        <v>331944311.80655462</v>
      </c>
      <c r="FF476" s="140">
        <f>'Detailed Budget'!$AC$165</f>
        <v>14927760000</v>
      </c>
      <c r="FG476" s="1087">
        <f t="shared" si="1232"/>
        <v>452794013.97726238</v>
      </c>
      <c r="FH476" s="269">
        <f t="shared" si="1286"/>
        <v>22049867.060561303</v>
      </c>
      <c r="FJ476" s="140">
        <f>'Detailed Budget'!$AC$235</f>
        <v>3623696172</v>
      </c>
      <c r="FK476" s="269">
        <f t="shared" si="1287"/>
        <v>4681778</v>
      </c>
      <c r="FL476" s="269">
        <f t="shared" si="1235"/>
        <v>4681778</v>
      </c>
      <c r="FO476" s="607"/>
      <c r="FP476" s="607"/>
      <c r="FQ476" s="607"/>
      <c r="FR476" s="269">
        <f>'Detailed Budget'!$AC$257</f>
        <v>13636439388</v>
      </c>
      <c r="FS476" s="269">
        <f t="shared" si="1288"/>
        <v>25982736</v>
      </c>
      <c r="FT476" s="269">
        <f t="shared" si="1237"/>
        <v>25982736</v>
      </c>
      <c r="FU476" s="269"/>
      <c r="FV476" s="269"/>
      <c r="FW476" s="269"/>
      <c r="FX476" s="140">
        <f>'Detailed Budget'!$AC$278</f>
        <v>1114560000</v>
      </c>
      <c r="FY476" s="269">
        <f t="shared" si="1289"/>
        <v>1440000</v>
      </c>
      <c r="FZ476" s="269">
        <f t="shared" si="1239"/>
        <v>1440000</v>
      </c>
      <c r="GB476" s="269">
        <f t="shared" si="1264"/>
        <v>1446851655.6947958</v>
      </c>
      <c r="GC476" s="887">
        <f t="shared" si="1213"/>
        <v>904282.28480924736</v>
      </c>
      <c r="GD476" s="1078">
        <f t="shared" si="1265"/>
        <v>8.1187402407110077E-4</v>
      </c>
    </row>
    <row r="477" spans="1:186" hidden="1" outlineLevel="1">
      <c r="A477" s="211" t="s">
        <v>1080</v>
      </c>
      <c r="B477" s="212" t="s">
        <v>1081</v>
      </c>
      <c r="C477" s="213" t="s">
        <v>215</v>
      </c>
      <c r="D477" s="214"/>
      <c r="E477" s="213"/>
      <c r="F477" s="213"/>
      <c r="G477" s="213" t="s">
        <v>215</v>
      </c>
      <c r="H477" s="213" t="s">
        <v>215</v>
      </c>
      <c r="I477" s="214" t="s">
        <v>215</v>
      </c>
      <c r="J477" s="214"/>
      <c r="K477" s="213"/>
      <c r="L477" s="213"/>
      <c r="M477" s="213" t="s">
        <v>215</v>
      </c>
      <c r="N477" s="213"/>
      <c r="O477" s="214"/>
      <c r="P477" s="213"/>
      <c r="Q477" s="214"/>
      <c r="R477" s="214" t="s">
        <v>215</v>
      </c>
      <c r="S477" s="214"/>
      <c r="T477" s="214"/>
      <c r="U477" s="215">
        <f t="shared" si="1294"/>
        <v>6</v>
      </c>
      <c r="V477" s="845" t="s">
        <v>216</v>
      </c>
      <c r="W477" s="216">
        <v>137897</v>
      </c>
      <c r="X477" s="217">
        <v>2.77</v>
      </c>
      <c r="Y477" s="218">
        <f t="shared" si="1312"/>
        <v>1.0277000000000001</v>
      </c>
      <c r="Z477" s="196">
        <v>19</v>
      </c>
      <c r="AA477" s="218">
        <f t="shared" si="1313"/>
        <v>1.6805861263966091</v>
      </c>
      <c r="AB477" s="196">
        <f t="shared" si="1291"/>
        <v>231747.78507171321</v>
      </c>
      <c r="AC477">
        <v>11.4</v>
      </c>
      <c r="AD477" s="196">
        <f t="shared" si="1292"/>
        <v>26419.247498175308</v>
      </c>
      <c r="AE477" s="196">
        <f t="shared" si="1314"/>
        <v>25098.285123266542</v>
      </c>
      <c r="AF477" s="196">
        <f t="shared" si="1295"/>
        <v>0</v>
      </c>
      <c r="AG477" s="606">
        <f t="shared" si="1216"/>
        <v>1.1604345205636132E-3</v>
      </c>
      <c r="AH477" s="196">
        <f t="shared" si="1311"/>
        <v>11587.389253585661</v>
      </c>
      <c r="AI477" s="248">
        <f t="shared" si="1193"/>
        <v>8.976574888656996E-4</v>
      </c>
      <c r="AJ477" s="196">
        <f t="shared" si="1196"/>
        <v>38006.636751760969</v>
      </c>
      <c r="AK477" s="196">
        <f t="shared" si="1225"/>
        <v>9269.911402868529</v>
      </c>
      <c r="AL477" s="196">
        <f t="shared" si="1226"/>
        <v>9269.911402868529</v>
      </c>
      <c r="AM477" s="196">
        <f t="shared" si="1197"/>
        <v>18539.822805737058</v>
      </c>
      <c r="AN477" s="627">
        <f t="shared" si="1198"/>
        <v>8.976574888656996E-4</v>
      </c>
      <c r="AO477" s="196">
        <f t="shared" si="1199"/>
        <v>8806.4158327251025</v>
      </c>
      <c r="AP477" s="589">
        <f t="shared" si="1217"/>
        <v>8.976574888656996E-4</v>
      </c>
      <c r="AQ477" s="196"/>
      <c r="AR477" s="589"/>
      <c r="AS477">
        <v>1</v>
      </c>
      <c r="AT477" s="589">
        <f t="shared" si="1218"/>
        <v>1.2919896640826874E-3</v>
      </c>
      <c r="AU477" s="196">
        <v>10</v>
      </c>
      <c r="AV477" s="245">
        <f t="shared" si="1200"/>
        <v>1.1362345188046814E-3</v>
      </c>
      <c r="AX477" s="245"/>
      <c r="AY477" s="245"/>
      <c r="AZ477" s="196">
        <v>38</v>
      </c>
      <c r="BA477" s="589">
        <f t="shared" si="1256"/>
        <v>1.3924004250485508E-3</v>
      </c>
      <c r="BI477" s="196">
        <v>0</v>
      </c>
      <c r="BK477" s="246">
        <f t="shared" si="1257"/>
        <v>0</v>
      </c>
      <c r="BL477" s="246"/>
      <c r="BM477" s="246">
        <f t="shared" si="1258"/>
        <v>0</v>
      </c>
      <c r="BN477" s="196">
        <v>1</v>
      </c>
      <c r="BO477" s="196">
        <f t="shared" si="1296"/>
        <v>12250.978588256488</v>
      </c>
      <c r="BP477" s="196">
        <f t="shared" si="1201"/>
        <v>12250.978588256488</v>
      </c>
      <c r="BQ477" s="248">
        <f t="shared" si="1259"/>
        <v>1.1460219972114589E-3</v>
      </c>
      <c r="BR477" s="248"/>
      <c r="BS477" s="248"/>
      <c r="BT477" s="276">
        <v>0</v>
      </c>
      <c r="BU477" s="196">
        <f t="shared" si="1297"/>
        <v>0</v>
      </c>
      <c r="BV477" s="264">
        <f t="shared" si="1261"/>
        <v>0</v>
      </c>
      <c r="BW477" s="196">
        <f t="shared" si="1298"/>
        <v>0</v>
      </c>
      <c r="BX477" s="247">
        <f t="shared" si="1263"/>
        <v>0</v>
      </c>
      <c r="BY477" s="196">
        <f t="shared" si="1299"/>
        <v>0</v>
      </c>
      <c r="BZ477" s="620">
        <v>1</v>
      </c>
      <c r="CA477" s="196">
        <f t="shared" si="1300"/>
        <v>70914.822231944243</v>
      </c>
      <c r="CB477" s="196">
        <f t="shared" si="1301"/>
        <v>141829.64446388849</v>
      </c>
      <c r="CC477" s="196">
        <f t="shared" si="1214"/>
        <v>212744.46669583273</v>
      </c>
      <c r="CD477" s="247">
        <f t="shared" si="1202"/>
        <v>8.976574888656995E-4</v>
      </c>
      <c r="CE477" s="196">
        <f t="shared" si="1302"/>
        <v>20859.675369741486</v>
      </c>
      <c r="CF477" s="247">
        <f t="shared" si="1203"/>
        <v>9.0078565492245077E-4</v>
      </c>
      <c r="CG477" s="196">
        <f t="shared" si="1268"/>
        <v>35225.66333090041</v>
      </c>
      <c r="CH477" s="589">
        <f t="shared" si="1219"/>
        <v>8.976574888656996E-4</v>
      </c>
      <c r="CI477" s="196">
        <f t="shared" si="1303"/>
        <v>23777.211282305674</v>
      </c>
      <c r="CJ477" s="248">
        <f t="shared" si="1220"/>
        <v>3.9089729312656325E-4</v>
      </c>
      <c r="CK477" s="196">
        <f t="shared" si="1304"/>
        <v>76067.293302304737</v>
      </c>
      <c r="CL477" s="589">
        <f t="shared" si="1221"/>
        <v>1.0934829875953293E-3</v>
      </c>
      <c r="CM477" s="196">
        <f t="shared" si="1305"/>
        <v>7369.0207045936158</v>
      </c>
      <c r="CN477" s="589">
        <f t="shared" si="1222"/>
        <v>1.0619596298807443E-3</v>
      </c>
      <c r="CO477" s="196">
        <f t="shared" si="1306"/>
        <v>589.51002512726973</v>
      </c>
      <c r="CP477" s="589">
        <f t="shared" si="1223"/>
        <v>1.1117251061302624E-3</v>
      </c>
      <c r="CQ477" s="196">
        <f>'Detailed Budget'!$AC$12</f>
        <v>292876014141.44696</v>
      </c>
      <c r="CR477" s="269">
        <f t="shared" si="1224"/>
        <v>0</v>
      </c>
      <c r="CS477" s="269">
        <f>'Detailed Budget'!$AC$16</f>
        <v>10488008800.000002</v>
      </c>
      <c r="CT477" s="607">
        <f t="shared" si="1269"/>
        <v>0</v>
      </c>
      <c r="CU477" s="269">
        <f>'Detailed Budget'!$AC$24</f>
        <v>30624985696</v>
      </c>
      <c r="CV477" s="269">
        <f t="shared" si="1250"/>
        <v>0</v>
      </c>
      <c r="CW477" s="269"/>
      <c r="CX477" s="269">
        <f t="shared" si="1215"/>
        <v>0</v>
      </c>
      <c r="CY477" s="196">
        <f>'Detailed Budget'!$AC$97</f>
        <v>74629165494.837845</v>
      </c>
      <c r="CZ477" s="269">
        <f t="shared" si="1270"/>
        <v>85526665.290618569</v>
      </c>
      <c r="DA477" s="269">
        <f>'Detailed Budget'!$AC$100</f>
        <v>14925833098.967569</v>
      </c>
      <c r="DB477" s="269">
        <f t="shared" si="1271"/>
        <v>17105333.058123711</v>
      </c>
      <c r="DC477" s="269">
        <f t="shared" si="1204"/>
        <v>102631998.34874228</v>
      </c>
      <c r="DD477" s="207">
        <v>0</v>
      </c>
      <c r="DE477" s="606">
        <v>0</v>
      </c>
      <c r="DF477" s="269">
        <f>'Detailed Budget'!$AC$147</f>
        <v>5913600671000</v>
      </c>
      <c r="DG477" s="269">
        <f t="shared" si="1230"/>
        <v>0</v>
      </c>
      <c r="DH477" s="269">
        <f>'Detailed Budget'!$AC$153</f>
        <v>226428026880.00003</v>
      </c>
      <c r="DI477" s="269"/>
      <c r="DJ477" s="269">
        <f>'Detailed Budget'!$AC$156</f>
        <v>27713070000</v>
      </c>
      <c r="DK477" s="269"/>
      <c r="DL477" s="269"/>
      <c r="DM477" s="196">
        <f>'Detailed Budget'!$AC$178</f>
        <v>5622683761.6229038</v>
      </c>
      <c r="DN477" s="269">
        <f t="shared" si="1307"/>
        <v>0</v>
      </c>
      <c r="DO477" s="196">
        <f>'Detailed Budget'!$AC$179</f>
        <v>26827890683.128094</v>
      </c>
      <c r="DP477" s="269">
        <f t="shared" si="1308"/>
        <v>0</v>
      </c>
      <c r="DQ477" s="269">
        <f t="shared" si="1192"/>
        <v>0</v>
      </c>
      <c r="DR477" s="269">
        <f>'Detailed Budget'!$AC$181</f>
        <v>50888946855.375237</v>
      </c>
      <c r="DS477" s="269">
        <f t="shared" si="1309"/>
        <v>0</v>
      </c>
      <c r="DT477" s="269">
        <f t="shared" si="1310"/>
        <v>0</v>
      </c>
      <c r="DU477" s="272">
        <f>'Detailed Budget'!$AC$192</f>
        <v>77498869683.252869</v>
      </c>
      <c r="DV477" s="269">
        <f t="shared" si="1272"/>
        <v>69567440.749798864</v>
      </c>
      <c r="DW477" s="140">
        <f>'Detailed Budget'!$AC$194</f>
        <v>2684962805.4134097</v>
      </c>
      <c r="DX477" s="269">
        <f t="shared" si="1273"/>
        <v>2410176.9696052056</v>
      </c>
      <c r="DY477" s="607">
        <f t="shared" si="1205"/>
        <v>71977617.719404072</v>
      </c>
      <c r="DZ477" s="196">
        <f>'Detailed Budget'!$AC$198</f>
        <v>18732540018.380611</v>
      </c>
      <c r="EA477" s="269">
        <f t="shared" si="1274"/>
        <v>16874003.328817997</v>
      </c>
      <c r="EB477" s="196">
        <f>'Detailed Budget'!$AC$200</f>
        <v>4683135004.5951529</v>
      </c>
      <c r="EC477" s="269">
        <f t="shared" si="1275"/>
        <v>4218500.8322044993</v>
      </c>
      <c r="ED477" s="269">
        <f t="shared" si="1206"/>
        <v>21092504.161022495</v>
      </c>
      <c r="EE477" s="196">
        <f>'Detailed Budget'!$AC$161</f>
        <v>251147290106.36197</v>
      </c>
      <c r="EF477" s="269">
        <f t="shared" si="1276"/>
        <v>225444245.77230224</v>
      </c>
      <c r="EG477" s="196">
        <f>'Detailed Budget'!$AC$163</f>
        <v>15696705631.647623</v>
      </c>
      <c r="EH477" s="269">
        <f t="shared" si="1277"/>
        <v>14090265.36076889</v>
      </c>
      <c r="EI477" s="269">
        <f t="shared" si="1207"/>
        <v>239534511.13307112</v>
      </c>
      <c r="EJ477" s="196">
        <f>'Detailed Budget'!$AC$204</f>
        <v>45012172507.531975</v>
      </c>
      <c r="EK477" s="269">
        <f t="shared" si="1278"/>
        <v>17595136.39094016</v>
      </c>
      <c r="EL477" s="201">
        <f>'Detailed Budget'!$AC$206</f>
        <v>11253043126.882994</v>
      </c>
      <c r="EM477" s="269">
        <f t="shared" si="1279"/>
        <v>4398784.0977350399</v>
      </c>
      <c r="EN477" s="269">
        <f t="shared" si="1208"/>
        <v>21993920.488675199</v>
      </c>
      <c r="EO477" s="140">
        <f>'Detailed Budget'!$AC$209</f>
        <v>135789361677.54817</v>
      </c>
      <c r="EP477" s="269">
        <f t="shared" si="1280"/>
        <v>148483356.8908281</v>
      </c>
      <c r="EQ477" s="196">
        <f>'Detailed Budget'!$AC$211</f>
        <v>33947340419.387043</v>
      </c>
      <c r="ER477" s="269">
        <f t="shared" si="1281"/>
        <v>37120839.222707026</v>
      </c>
      <c r="ES477" s="269">
        <f t="shared" si="1209"/>
        <v>185604196.11353514</v>
      </c>
      <c r="ET477" s="196">
        <f>'Detailed Budget'!$AC$214</f>
        <v>22239745544.201103</v>
      </c>
      <c r="EU477" s="269">
        <f t="shared" si="1282"/>
        <v>23617711.946761735</v>
      </c>
      <c r="EV477" s="140">
        <f>'Detailed Budget'!$AC$217</f>
        <v>5559936386.0502758</v>
      </c>
      <c r="EW477" s="269">
        <f t="shared" si="1283"/>
        <v>5904427.9866904337</v>
      </c>
      <c r="EX477" s="269">
        <f t="shared" si="1210"/>
        <v>29522139.933452167</v>
      </c>
      <c r="EY477" s="196">
        <f>'Detailed Budget'!$AC$219</f>
        <v>372777004.58170313</v>
      </c>
      <c r="EZ477" s="269">
        <f t="shared" si="1284"/>
        <v>414425.55498151522</v>
      </c>
      <c r="FA477" s="196">
        <f>'Detailed Budget'!$AC$222</f>
        <v>93194251.145425782</v>
      </c>
      <c r="FB477" s="269">
        <f t="shared" si="1285"/>
        <v>103606.3887453788</v>
      </c>
      <c r="FC477" s="269">
        <f t="shared" si="1211"/>
        <v>518031.94372689404</v>
      </c>
      <c r="FD477" s="269"/>
      <c r="FE477" s="269">
        <f t="shared" si="1212"/>
        <v>237638288.4793894</v>
      </c>
      <c r="FF477" s="140">
        <f>'Detailed Budget'!$AC$165</f>
        <v>14927760000</v>
      </c>
      <c r="FG477" s="1087">
        <f t="shared" si="1232"/>
        <v>324154355.67992353</v>
      </c>
      <c r="FH477" s="269">
        <f t="shared" si="1286"/>
        <v>16961436.200431772</v>
      </c>
      <c r="FJ477" s="140">
        <f>'Detailed Budget'!$AC$235</f>
        <v>3623696172</v>
      </c>
      <c r="FK477" s="269">
        <f t="shared" si="1287"/>
        <v>4681778</v>
      </c>
      <c r="FL477" s="269">
        <f t="shared" si="1235"/>
        <v>4681778</v>
      </c>
      <c r="FO477" s="607"/>
      <c r="FP477" s="607"/>
      <c r="FQ477" s="607"/>
      <c r="FR477" s="269">
        <f>'Detailed Budget'!$AC$257</f>
        <v>13636439388</v>
      </c>
      <c r="FS477" s="269">
        <f t="shared" si="1288"/>
        <v>18987384</v>
      </c>
      <c r="FT477" s="269">
        <f t="shared" si="1237"/>
        <v>18987384</v>
      </c>
      <c r="FU477" s="269"/>
      <c r="FV477" s="269"/>
      <c r="FW477" s="269"/>
      <c r="FX477" s="140">
        <f>'Detailed Budget'!$AC$278</f>
        <v>1114560000</v>
      </c>
      <c r="FY477" s="269">
        <f t="shared" si="1289"/>
        <v>1440000</v>
      </c>
      <c r="FZ477" s="269">
        <f t="shared" si="1239"/>
        <v>1440000</v>
      </c>
      <c r="GB477" s="269">
        <f t="shared" si="1264"/>
        <v>1039099873.7219847</v>
      </c>
      <c r="GC477" s="887">
        <f t="shared" si="1213"/>
        <v>649437.42107624048</v>
      </c>
      <c r="GD477" s="1078">
        <f t="shared" si="1265"/>
        <v>5.8307165946831264E-4</v>
      </c>
    </row>
    <row r="478" spans="1:186" hidden="1" outlineLevel="1">
      <c r="A478" s="211" t="s">
        <v>1082</v>
      </c>
      <c r="B478" s="212" t="s">
        <v>1083</v>
      </c>
      <c r="C478" s="213" t="s">
        <v>215</v>
      </c>
      <c r="D478" s="214"/>
      <c r="E478" s="213"/>
      <c r="F478" s="213"/>
      <c r="G478" s="213" t="s">
        <v>215</v>
      </c>
      <c r="H478" s="213" t="s">
        <v>215</v>
      </c>
      <c r="I478" s="214" t="s">
        <v>215</v>
      </c>
      <c r="J478" s="214"/>
      <c r="K478" s="213"/>
      <c r="L478" s="213"/>
      <c r="M478" s="213" t="s">
        <v>215</v>
      </c>
      <c r="N478" s="213"/>
      <c r="O478" s="214"/>
      <c r="P478" s="213"/>
      <c r="Q478" s="214"/>
      <c r="R478" s="214" t="s">
        <v>215</v>
      </c>
      <c r="S478" s="214"/>
      <c r="T478" s="214"/>
      <c r="U478" s="215">
        <f t="shared" si="1294"/>
        <v>6</v>
      </c>
      <c r="V478" s="845" t="s">
        <v>216</v>
      </c>
      <c r="W478" s="216">
        <v>154083</v>
      </c>
      <c r="X478" s="217">
        <v>2.77</v>
      </c>
      <c r="Y478" s="218">
        <f t="shared" si="1312"/>
        <v>1.0277000000000001</v>
      </c>
      <c r="Z478" s="196">
        <v>19</v>
      </c>
      <c r="AA478" s="218">
        <f t="shared" si="1313"/>
        <v>1.6805861263966091</v>
      </c>
      <c r="AB478" s="196">
        <f t="shared" si="1291"/>
        <v>258949.75211356871</v>
      </c>
      <c r="AC478">
        <v>11.4</v>
      </c>
      <c r="AD478" s="196">
        <f t="shared" si="1292"/>
        <v>29520.271740946835</v>
      </c>
      <c r="AE478" s="196">
        <f t="shared" si="1314"/>
        <v>28044.258153899493</v>
      </c>
      <c r="AF478" s="196">
        <f t="shared" si="1295"/>
        <v>0</v>
      </c>
      <c r="AG478" s="606">
        <f t="shared" si="1216"/>
        <v>1.2966433804361458E-3</v>
      </c>
      <c r="AH478" s="196">
        <f t="shared" si="1311"/>
        <v>12947.487605678436</v>
      </c>
      <c r="AI478" s="248">
        <f t="shared" si="1193"/>
        <v>1.0030222474520373E-3</v>
      </c>
      <c r="AJ478" s="196">
        <f t="shared" si="1196"/>
        <v>42467.759346625273</v>
      </c>
      <c r="AK478" s="196">
        <f t="shared" si="1225"/>
        <v>10357.990084542749</v>
      </c>
      <c r="AL478" s="196">
        <f t="shared" si="1226"/>
        <v>10357.990084542749</v>
      </c>
      <c r="AM478" s="196">
        <f t="shared" si="1197"/>
        <v>20715.980169085498</v>
      </c>
      <c r="AN478" s="627">
        <f t="shared" si="1198"/>
        <v>1.0030222474520373E-3</v>
      </c>
      <c r="AO478" s="196">
        <f t="shared" si="1199"/>
        <v>9840.0905803156111</v>
      </c>
      <c r="AP478" s="589">
        <f t="shared" si="1217"/>
        <v>1.0030222474520373E-3</v>
      </c>
      <c r="AQ478" s="196"/>
      <c r="AR478" s="589"/>
      <c r="AS478">
        <v>1</v>
      </c>
      <c r="AT478" s="589">
        <f t="shared" si="1218"/>
        <v>1.2919896640826874E-3</v>
      </c>
      <c r="AU478" s="196">
        <v>10</v>
      </c>
      <c r="AV478" s="245">
        <f t="shared" si="1200"/>
        <v>1.1362345188046814E-3</v>
      </c>
      <c r="AX478" s="245"/>
      <c r="AY478" s="245"/>
      <c r="AZ478" s="196">
        <v>57</v>
      </c>
      <c r="BA478" s="589">
        <f t="shared" si="1256"/>
        <v>2.088600637572826E-3</v>
      </c>
      <c r="BI478" s="196">
        <v>0</v>
      </c>
      <c r="BK478" s="246">
        <f t="shared" si="1257"/>
        <v>0</v>
      </c>
      <c r="BL478" s="246"/>
      <c r="BM478" s="246">
        <f t="shared" si="1258"/>
        <v>0</v>
      </c>
      <c r="BN478" s="196">
        <v>1</v>
      </c>
      <c r="BO478" s="196">
        <f t="shared" si="1296"/>
        <v>13688.967372853105</v>
      </c>
      <c r="BP478" s="196">
        <f t="shared" si="1201"/>
        <v>13688.967372853105</v>
      </c>
      <c r="BQ478" s="248">
        <f t="shared" si="1259"/>
        <v>1.2805391516590879E-3</v>
      </c>
      <c r="BR478" s="248"/>
      <c r="BS478" s="248"/>
      <c r="BT478" s="276">
        <v>0</v>
      </c>
      <c r="BU478" s="196">
        <f t="shared" si="1297"/>
        <v>0</v>
      </c>
      <c r="BV478" s="264">
        <f t="shared" si="1261"/>
        <v>0</v>
      </c>
      <c r="BW478" s="196">
        <f t="shared" si="1298"/>
        <v>0</v>
      </c>
      <c r="BX478" s="247">
        <f t="shared" si="1263"/>
        <v>0</v>
      </c>
      <c r="BY478" s="196">
        <f t="shared" si="1299"/>
        <v>0</v>
      </c>
      <c r="BZ478" s="620">
        <v>1</v>
      </c>
      <c r="CA478" s="196">
        <f t="shared" si="1300"/>
        <v>79238.62414675203</v>
      </c>
      <c r="CB478" s="196">
        <f t="shared" si="1301"/>
        <v>158477.24829350406</v>
      </c>
      <c r="CC478" s="196">
        <f t="shared" si="1214"/>
        <v>237715.87244025609</v>
      </c>
      <c r="CD478" s="247">
        <f t="shared" si="1202"/>
        <v>1.0030222474520373E-3</v>
      </c>
      <c r="CE478" s="196">
        <f t="shared" si="1302"/>
        <v>23308.131141329231</v>
      </c>
      <c r="CF478" s="247">
        <f t="shared" si="1203"/>
        <v>1.0065175897040252E-3</v>
      </c>
      <c r="CG478" s="196">
        <f t="shared" si="1268"/>
        <v>39360.362321262444</v>
      </c>
      <c r="CH478" s="589">
        <f t="shared" si="1219"/>
        <v>1.0030222474520373E-3</v>
      </c>
      <c r="CI478" s="196">
        <f t="shared" si="1303"/>
        <v>26568.120017197652</v>
      </c>
      <c r="CJ478" s="248">
        <f t="shared" si="1220"/>
        <v>4.3677982564392431E-4</v>
      </c>
      <c r="CK478" s="196">
        <f t="shared" si="1304"/>
        <v>84995.879198960247</v>
      </c>
      <c r="CL478" s="589">
        <f t="shared" si="1221"/>
        <v>1.2218332463915179E-3</v>
      </c>
      <c r="CM478" s="196">
        <f t="shared" si="1305"/>
        <v>8233.9776588750883</v>
      </c>
      <c r="CN478" s="589">
        <f t="shared" si="1222"/>
        <v>1.1866097569266534E-3</v>
      </c>
      <c r="CO478" s="196">
        <f t="shared" si="1306"/>
        <v>658.70521622432034</v>
      </c>
      <c r="CP478" s="589">
        <f t="shared" si="1223"/>
        <v>1.2422165785178011E-3</v>
      </c>
      <c r="CQ478" s="196">
        <f>'Detailed Budget'!$AC$12</f>
        <v>292876014141.44696</v>
      </c>
      <c r="CR478" s="269">
        <f t="shared" si="1224"/>
        <v>0</v>
      </c>
      <c r="CS478" s="269">
        <f>'Detailed Budget'!$AC$16</f>
        <v>10488008800.000002</v>
      </c>
      <c r="CT478" s="607">
        <f t="shared" si="1269"/>
        <v>0</v>
      </c>
      <c r="CU478" s="269">
        <f>'Detailed Budget'!$AC$24</f>
        <v>30624985696</v>
      </c>
      <c r="CV478" s="269">
        <f t="shared" si="1250"/>
        <v>0</v>
      </c>
      <c r="CW478" s="269"/>
      <c r="CX478" s="269">
        <f t="shared" si="1215"/>
        <v>0</v>
      </c>
      <c r="CY478" s="196">
        <f>'Detailed Budget'!$AC$97</f>
        <v>74629165494.837845</v>
      </c>
      <c r="CZ478" s="269">
        <f t="shared" si="1270"/>
        <v>95565568.271785334</v>
      </c>
      <c r="DA478" s="269">
        <f>'Detailed Budget'!$AC$100</f>
        <v>14925833098.967569</v>
      </c>
      <c r="DB478" s="269">
        <f t="shared" si="1271"/>
        <v>19113113.654357065</v>
      </c>
      <c r="DC478" s="269">
        <f t="shared" si="1204"/>
        <v>114678681.92614239</v>
      </c>
      <c r="DD478" s="207">
        <v>0</v>
      </c>
      <c r="DE478" s="606">
        <v>0</v>
      </c>
      <c r="DF478" s="269">
        <f>'Detailed Budget'!$AC$147</f>
        <v>5913600671000</v>
      </c>
      <c r="DG478" s="269">
        <f t="shared" si="1230"/>
        <v>0</v>
      </c>
      <c r="DH478" s="269">
        <f>'Detailed Budget'!$AC$153</f>
        <v>226428026880.00003</v>
      </c>
      <c r="DI478" s="269"/>
      <c r="DJ478" s="269">
        <f>'Detailed Budget'!$AC$156</f>
        <v>27713070000</v>
      </c>
      <c r="DK478" s="269"/>
      <c r="DL478" s="269"/>
      <c r="DM478" s="196">
        <f>'Detailed Budget'!$AC$178</f>
        <v>5622683761.6229038</v>
      </c>
      <c r="DN478" s="269">
        <f t="shared" si="1307"/>
        <v>0</v>
      </c>
      <c r="DO478" s="196">
        <f>'Detailed Budget'!$AC$179</f>
        <v>26827890683.128094</v>
      </c>
      <c r="DP478" s="269">
        <f t="shared" si="1308"/>
        <v>0</v>
      </c>
      <c r="DQ478" s="269">
        <f t="shared" si="1192"/>
        <v>0</v>
      </c>
      <c r="DR478" s="269">
        <f>'Detailed Budget'!$AC$181</f>
        <v>50888946855.375237</v>
      </c>
      <c r="DS478" s="269">
        <f t="shared" si="1309"/>
        <v>0</v>
      </c>
      <c r="DT478" s="269">
        <f t="shared" si="1310"/>
        <v>0</v>
      </c>
      <c r="DU478" s="272">
        <f>'Detailed Budget'!$AC$192</f>
        <v>77498869683.252869</v>
      </c>
      <c r="DV478" s="269">
        <f t="shared" si="1272"/>
        <v>77733090.444688842</v>
      </c>
      <c r="DW478" s="140">
        <f>'Detailed Budget'!$AC$194</f>
        <v>2684962805.4134097</v>
      </c>
      <c r="DX478" s="269">
        <f t="shared" si="1273"/>
        <v>2693077.4274108852</v>
      </c>
      <c r="DY478" s="607">
        <f t="shared" si="1205"/>
        <v>80426167.872099727</v>
      </c>
      <c r="DZ478" s="196">
        <f>'Detailed Budget'!$AC$198</f>
        <v>18732540018.380611</v>
      </c>
      <c r="EA478" s="269">
        <f t="shared" si="1274"/>
        <v>18854631.028334647</v>
      </c>
      <c r="EB478" s="196">
        <f>'Detailed Budget'!$AC$200</f>
        <v>4683135004.5951529</v>
      </c>
      <c r="EC478" s="269">
        <f t="shared" si="1275"/>
        <v>4713657.7570836619</v>
      </c>
      <c r="ED478" s="269">
        <f t="shared" si="1206"/>
        <v>23568288.785418309</v>
      </c>
      <c r="EE478" s="196">
        <f>'Detailed Budget'!$AC$161</f>
        <v>251147290106.36197</v>
      </c>
      <c r="EF478" s="269">
        <f t="shared" si="1276"/>
        <v>251906319.36397198</v>
      </c>
      <c r="EG478" s="196">
        <f>'Detailed Budget'!$AC$163</f>
        <v>15696705631.647623</v>
      </c>
      <c r="EH478" s="269">
        <f t="shared" si="1277"/>
        <v>15744144.960248249</v>
      </c>
      <c r="EI478" s="269">
        <f t="shared" si="1207"/>
        <v>267650464.32422024</v>
      </c>
      <c r="EJ478" s="196">
        <f>'Detailed Budget'!$AC$204</f>
        <v>45012172507.531975</v>
      </c>
      <c r="EK478" s="269">
        <f t="shared" si="1278"/>
        <v>19660408.85969406</v>
      </c>
      <c r="EL478" s="201">
        <f>'Detailed Budget'!$AC$206</f>
        <v>11253043126.882994</v>
      </c>
      <c r="EM478" s="269">
        <f t="shared" si="1279"/>
        <v>4915102.214923515</v>
      </c>
      <c r="EN478" s="269">
        <f t="shared" si="1208"/>
        <v>24575511.074617576</v>
      </c>
      <c r="EO478" s="140">
        <f>'Detailed Budget'!$AC$209</f>
        <v>135789361677.54817</v>
      </c>
      <c r="EP478" s="269">
        <f t="shared" si="1280"/>
        <v>165911956.60391065</v>
      </c>
      <c r="EQ478" s="196">
        <f>'Detailed Budget'!$AC$211</f>
        <v>33947340419.387043</v>
      </c>
      <c r="ER478" s="269">
        <f t="shared" si="1281"/>
        <v>41477989.150977664</v>
      </c>
      <c r="ES478" s="269">
        <f t="shared" si="1209"/>
        <v>207389945.75488833</v>
      </c>
      <c r="ET478" s="196">
        <f>'Detailed Budget'!$AC$214</f>
        <v>22239745544.201103</v>
      </c>
      <c r="EU478" s="269">
        <f t="shared" si="1282"/>
        <v>26389899.054315094</v>
      </c>
      <c r="EV478" s="140">
        <f>'Detailed Budget'!$AC$217</f>
        <v>5559936386.0502758</v>
      </c>
      <c r="EW478" s="269">
        <f t="shared" si="1283"/>
        <v>6597474.7635787735</v>
      </c>
      <c r="EX478" s="269">
        <f t="shared" si="1210"/>
        <v>32987373.817893866</v>
      </c>
      <c r="EY478" s="196">
        <f>'Detailed Budget'!$AC$219</f>
        <v>372777004.58170313</v>
      </c>
      <c r="EZ478" s="269">
        <f t="shared" si="1284"/>
        <v>463069.77518159791</v>
      </c>
      <c r="FA478" s="196">
        <f>'Detailed Budget'!$AC$222</f>
        <v>93194251.145425782</v>
      </c>
      <c r="FB478" s="269">
        <f t="shared" si="1285"/>
        <v>115767.44379539948</v>
      </c>
      <c r="FC478" s="269">
        <f t="shared" si="1211"/>
        <v>578837.21897699742</v>
      </c>
      <c r="FD478" s="269"/>
      <c r="FE478" s="269">
        <f t="shared" si="1212"/>
        <v>265531667.86637676</v>
      </c>
      <c r="FF478" s="140">
        <f>'Detailed Budget'!$AC$165</f>
        <v>14927760000</v>
      </c>
      <c r="FG478" s="1087">
        <f t="shared" si="1232"/>
        <v>362202771.53404111</v>
      </c>
      <c r="FH478" s="269">
        <f t="shared" si="1286"/>
        <v>16961436.200431772</v>
      </c>
      <c r="FJ478" s="140">
        <f>'Detailed Budget'!$AC$235</f>
        <v>3623696172</v>
      </c>
      <c r="FK478" s="269">
        <f t="shared" si="1287"/>
        <v>4681778</v>
      </c>
      <c r="FL478" s="269">
        <f t="shared" si="1235"/>
        <v>4681778</v>
      </c>
      <c r="FO478" s="607"/>
      <c r="FP478" s="607"/>
      <c r="FQ478" s="607"/>
      <c r="FR478" s="269">
        <f>'Detailed Budget'!$AC$257</f>
        <v>13636439388</v>
      </c>
      <c r="FS478" s="269">
        <f t="shared" si="1288"/>
        <v>28481075.999999996</v>
      </c>
      <c r="FT478" s="269">
        <f t="shared" si="1237"/>
        <v>28481075.999999996</v>
      </c>
      <c r="FU478" s="269"/>
      <c r="FV478" s="269"/>
      <c r="FW478" s="269"/>
      <c r="FX478" s="140">
        <f>'Detailed Budget'!$AC$278</f>
        <v>1114560000</v>
      </c>
      <c r="FY478" s="269">
        <f t="shared" si="1289"/>
        <v>1440000</v>
      </c>
      <c r="FZ478" s="269">
        <f t="shared" si="1239"/>
        <v>1440000</v>
      </c>
      <c r="GB478" s="269">
        <f t="shared" si="1264"/>
        <v>1165622332.5087304</v>
      </c>
      <c r="GC478" s="887">
        <f t="shared" si="1213"/>
        <v>728513.95781795646</v>
      </c>
      <c r="GD478" s="1078">
        <f t="shared" si="1265"/>
        <v>6.5406739517228686E-4</v>
      </c>
    </row>
    <row r="479" spans="1:186" hidden="1" outlineLevel="1">
      <c r="A479" s="211" t="s">
        <v>1084</v>
      </c>
      <c r="B479" s="212" t="s">
        <v>1085</v>
      </c>
      <c r="C479" s="213" t="s">
        <v>215</v>
      </c>
      <c r="D479" s="214"/>
      <c r="E479" s="213"/>
      <c r="F479" s="213"/>
      <c r="G479" s="213" t="s">
        <v>215</v>
      </c>
      <c r="H479" s="213" t="s">
        <v>215</v>
      </c>
      <c r="I479" s="214" t="s">
        <v>215</v>
      </c>
      <c r="J479" s="214"/>
      <c r="K479" s="213"/>
      <c r="L479" s="213"/>
      <c r="M479" s="213" t="s">
        <v>215</v>
      </c>
      <c r="N479" s="213"/>
      <c r="O479" s="214"/>
      <c r="P479" s="213"/>
      <c r="Q479" s="214"/>
      <c r="R479" s="214" t="s">
        <v>215</v>
      </c>
      <c r="S479" s="214"/>
      <c r="T479" s="214"/>
      <c r="U479" s="215">
        <f t="shared" si="1294"/>
        <v>6</v>
      </c>
      <c r="V479" s="845" t="s">
        <v>216</v>
      </c>
      <c r="W479" s="216">
        <v>136650</v>
      </c>
      <c r="X479" s="217">
        <v>2.77</v>
      </c>
      <c r="Y479" s="218">
        <f t="shared" si="1312"/>
        <v>1.0277000000000001</v>
      </c>
      <c r="Z479" s="196">
        <v>19</v>
      </c>
      <c r="AA479" s="218">
        <f t="shared" si="1313"/>
        <v>1.6805861263966091</v>
      </c>
      <c r="AB479" s="196">
        <f t="shared" si="1291"/>
        <v>229652.09417209664</v>
      </c>
      <c r="AC479">
        <v>11.4</v>
      </c>
      <c r="AD479" s="196">
        <f t="shared" si="1292"/>
        <v>26180.338735619021</v>
      </c>
      <c r="AE479" s="196">
        <f t="shared" si="1314"/>
        <v>24871.321798838067</v>
      </c>
      <c r="AF479" s="196">
        <f t="shared" si="1295"/>
        <v>0</v>
      </c>
      <c r="AG479" s="606">
        <f t="shared" si="1216"/>
        <v>1.1499407328297044E-3</v>
      </c>
      <c r="AH479" s="196">
        <f t="shared" si="1311"/>
        <v>11482.604708604833</v>
      </c>
      <c r="AI479" s="248">
        <f t="shared" si="1193"/>
        <v>8.8953998893012795E-4</v>
      </c>
      <c r="AJ479" s="196">
        <f t="shared" si="1196"/>
        <v>37662.943444223856</v>
      </c>
      <c r="AK479" s="196">
        <f t="shared" si="1225"/>
        <v>9186.0837668838649</v>
      </c>
      <c r="AL479" s="196">
        <f t="shared" si="1226"/>
        <v>9186.0837668838649</v>
      </c>
      <c r="AM479" s="196">
        <f t="shared" si="1197"/>
        <v>18372.16753376773</v>
      </c>
      <c r="AN479" s="627">
        <f t="shared" si="1198"/>
        <v>8.8953998893012774E-4</v>
      </c>
      <c r="AO479" s="196">
        <f t="shared" si="1199"/>
        <v>8726.779578539672</v>
      </c>
      <c r="AP479" s="589">
        <f t="shared" si="1217"/>
        <v>8.8953998893012785E-4</v>
      </c>
      <c r="AQ479" s="196"/>
      <c r="AR479" s="589"/>
      <c r="AS479">
        <v>1</v>
      </c>
      <c r="AT479" s="589">
        <f t="shared" si="1218"/>
        <v>1.2919896640826874E-3</v>
      </c>
      <c r="AU479" s="196">
        <v>10</v>
      </c>
      <c r="AV479" s="245">
        <f t="shared" si="1200"/>
        <v>1.1362345188046814E-3</v>
      </c>
      <c r="AX479" s="245"/>
      <c r="AY479" s="245"/>
      <c r="AZ479" s="196">
        <v>46</v>
      </c>
      <c r="BA479" s="589">
        <f t="shared" si="1256"/>
        <v>1.6855373566377193E-3</v>
      </c>
      <c r="BI479" s="196">
        <v>0</v>
      </c>
      <c r="BK479" s="246">
        <f t="shared" si="1257"/>
        <v>0</v>
      </c>
      <c r="BL479" s="246"/>
      <c r="BM479" s="246">
        <f t="shared" si="1258"/>
        <v>0</v>
      </c>
      <c r="BN479" s="196">
        <v>1</v>
      </c>
      <c r="BO479" s="196">
        <f t="shared" si="1296"/>
        <v>12140.193217294427</v>
      </c>
      <c r="BP479" s="196">
        <f t="shared" si="1201"/>
        <v>12140.193217294427</v>
      </c>
      <c r="BQ479" s="248">
        <f t="shared" si="1259"/>
        <v>1.1356585416575119E-3</v>
      </c>
      <c r="BR479" s="248"/>
      <c r="BS479" s="248"/>
      <c r="BT479" s="276">
        <v>0</v>
      </c>
      <c r="BU479" s="196">
        <f t="shared" si="1297"/>
        <v>0</v>
      </c>
      <c r="BV479" s="264">
        <f t="shared" si="1261"/>
        <v>0</v>
      </c>
      <c r="BW479" s="196">
        <f t="shared" si="1298"/>
        <v>0</v>
      </c>
      <c r="BX479" s="247">
        <f t="shared" si="1263"/>
        <v>0</v>
      </c>
      <c r="BY479" s="196">
        <f t="shared" si="1299"/>
        <v>0</v>
      </c>
      <c r="BZ479" s="620">
        <v>1</v>
      </c>
      <c r="CA479" s="196">
        <f t="shared" si="1300"/>
        <v>70273.540816661567</v>
      </c>
      <c r="CB479" s="196">
        <f t="shared" si="1301"/>
        <v>140547.08163332313</v>
      </c>
      <c r="CC479" s="196">
        <f t="shared" si="1214"/>
        <v>210820.62244998472</v>
      </c>
      <c r="CD479" s="247">
        <f t="shared" si="1202"/>
        <v>8.8953998893012785E-4</v>
      </c>
      <c r="CE479" s="196">
        <f t="shared" si="1302"/>
        <v>20671.041714288011</v>
      </c>
      <c r="CF479" s="247">
        <f t="shared" si="1203"/>
        <v>8.9263986703955038E-4</v>
      </c>
      <c r="CG479" s="196">
        <f t="shared" si="1268"/>
        <v>34907.118314158688</v>
      </c>
      <c r="CH479" s="589">
        <f t="shared" si="1219"/>
        <v>8.8953998893012785E-4</v>
      </c>
      <c r="CI479" s="196">
        <f t="shared" si="1303"/>
        <v>23562.194403990445</v>
      </c>
      <c r="CJ479" s="248">
        <f t="shared" si="1220"/>
        <v>3.8736241619284585E-4</v>
      </c>
      <c r="CK479" s="196">
        <f t="shared" si="1304"/>
        <v>75379.418187197283</v>
      </c>
      <c r="CL479" s="589">
        <f t="shared" si="1221"/>
        <v>1.083594641325785E-3</v>
      </c>
      <c r="CM479" s="196">
        <f t="shared" si="1305"/>
        <v>7302.382787752581</v>
      </c>
      <c r="CN479" s="589">
        <f t="shared" si="1222"/>
        <v>1.0523563487472804E-3</v>
      </c>
      <c r="CO479" s="196">
        <f t="shared" si="1306"/>
        <v>584.1790969610754</v>
      </c>
      <c r="CP479" s="589">
        <f t="shared" si="1223"/>
        <v>1.101671796722919E-3</v>
      </c>
      <c r="CQ479" s="196">
        <f>'Detailed Budget'!$AC$12</f>
        <v>292876014141.44696</v>
      </c>
      <c r="CR479" s="269">
        <f t="shared" si="1224"/>
        <v>0</v>
      </c>
      <c r="CS479" s="269">
        <f>'Detailed Budget'!$AC$16</f>
        <v>10488008800.000002</v>
      </c>
      <c r="CT479" s="607">
        <f t="shared" si="1269"/>
        <v>0</v>
      </c>
      <c r="CU479" s="269">
        <f>'Detailed Budget'!$AC$24</f>
        <v>30624985696</v>
      </c>
      <c r="CV479" s="269">
        <f t="shared" si="1250"/>
        <v>0</v>
      </c>
      <c r="CW479" s="269"/>
      <c r="CX479" s="269">
        <f t="shared" si="1215"/>
        <v>0</v>
      </c>
      <c r="CY479" s="196">
        <f>'Detailed Budget'!$AC$97</f>
        <v>74629165494.837845</v>
      </c>
      <c r="CZ479" s="269">
        <f t="shared" si="1270"/>
        <v>84753249.250984654</v>
      </c>
      <c r="DA479" s="269">
        <f>'Detailed Budget'!$AC$100</f>
        <v>14925833098.967569</v>
      </c>
      <c r="DB479" s="269">
        <f t="shared" si="1271"/>
        <v>16950649.850196932</v>
      </c>
      <c r="DC479" s="269">
        <f t="shared" si="1204"/>
        <v>101703899.10118158</v>
      </c>
      <c r="DD479" s="207">
        <v>0</v>
      </c>
      <c r="DE479" s="606">
        <v>0</v>
      </c>
      <c r="DF479" s="269">
        <f>'Detailed Budget'!$AC$147</f>
        <v>5913600671000</v>
      </c>
      <c r="DG479" s="269">
        <f t="shared" si="1230"/>
        <v>0</v>
      </c>
      <c r="DH479" s="269">
        <f>'Detailed Budget'!$AC$153</f>
        <v>226428026880.00003</v>
      </c>
      <c r="DI479" s="269"/>
      <c r="DJ479" s="269">
        <f>'Detailed Budget'!$AC$156</f>
        <v>27713070000</v>
      </c>
      <c r="DK479" s="269"/>
      <c r="DL479" s="269"/>
      <c r="DM479" s="196">
        <f>'Detailed Budget'!$AC$178</f>
        <v>5622683761.6229038</v>
      </c>
      <c r="DN479" s="269">
        <f t="shared" si="1307"/>
        <v>0</v>
      </c>
      <c r="DO479" s="196">
        <f>'Detailed Budget'!$AC$179</f>
        <v>26827890683.128094</v>
      </c>
      <c r="DP479" s="269">
        <f t="shared" si="1308"/>
        <v>0</v>
      </c>
      <c r="DQ479" s="269">
        <f t="shared" si="1192"/>
        <v>0</v>
      </c>
      <c r="DR479" s="269">
        <f>'Detailed Budget'!$AC$181</f>
        <v>50888946855.375237</v>
      </c>
      <c r="DS479" s="269">
        <f t="shared" si="1309"/>
        <v>0</v>
      </c>
      <c r="DT479" s="269">
        <f t="shared" si="1310"/>
        <v>0</v>
      </c>
      <c r="DU479" s="272">
        <f>'Detailed Budget'!$AC$192</f>
        <v>77498869683.252869</v>
      </c>
      <c r="DV479" s="269">
        <f t="shared" si="1272"/>
        <v>68938343.680138171</v>
      </c>
      <c r="DW479" s="140">
        <f>'Detailed Budget'!$AC$194</f>
        <v>2684962805.4134097</v>
      </c>
      <c r="DX479" s="269">
        <f t="shared" si="1273"/>
        <v>2388381.784205249</v>
      </c>
      <c r="DY479" s="607">
        <f t="shared" si="1205"/>
        <v>71326725.464343414</v>
      </c>
      <c r="DZ479" s="196">
        <f>'Detailed Budget'!$AC$198</f>
        <v>18732540018.380611</v>
      </c>
      <c r="EA479" s="269">
        <f t="shared" si="1274"/>
        <v>16721412.031320326</v>
      </c>
      <c r="EB479" s="196">
        <f>'Detailed Budget'!$AC$200</f>
        <v>4683135004.5951529</v>
      </c>
      <c r="EC479" s="269">
        <f t="shared" si="1275"/>
        <v>4180353.0078300815</v>
      </c>
      <c r="ED479" s="269">
        <f t="shared" si="1206"/>
        <v>20901765.039150409</v>
      </c>
      <c r="EE479" s="196">
        <f>'Detailed Budget'!$AC$161</f>
        <v>251147290106.36197</v>
      </c>
      <c r="EF479" s="269">
        <f t="shared" si="1276"/>
        <v>223405557.66104484</v>
      </c>
      <c r="EG479" s="196">
        <f>'Detailed Budget'!$AC$163</f>
        <v>15696705631.647623</v>
      </c>
      <c r="EH479" s="269">
        <f t="shared" si="1277"/>
        <v>13962847.353815302</v>
      </c>
      <c r="EI479" s="269">
        <f t="shared" si="1207"/>
        <v>237368405.01486015</v>
      </c>
      <c r="EJ479" s="196">
        <f>'Detailed Budget'!$AC$204</f>
        <v>45012172507.531975</v>
      </c>
      <c r="EK479" s="269">
        <f t="shared" si="1278"/>
        <v>17436023.900606774</v>
      </c>
      <c r="EL479" s="201">
        <f>'Detailed Budget'!$AC$206</f>
        <v>11253043126.882994</v>
      </c>
      <c r="EM479" s="269">
        <f t="shared" si="1279"/>
        <v>4359005.9751516934</v>
      </c>
      <c r="EN479" s="269">
        <f t="shared" si="1208"/>
        <v>21795029.875758469</v>
      </c>
      <c r="EO479" s="140">
        <f>'Detailed Budget'!$AC$209</f>
        <v>135789361677.54817</v>
      </c>
      <c r="EP479" s="269">
        <f t="shared" si="1280"/>
        <v>147140624.6628401</v>
      </c>
      <c r="EQ479" s="196">
        <f>'Detailed Budget'!$AC$211</f>
        <v>33947340419.387043</v>
      </c>
      <c r="ER479" s="269">
        <f t="shared" si="1281"/>
        <v>36785156.165710025</v>
      </c>
      <c r="ES479" s="269">
        <f t="shared" si="1209"/>
        <v>183925780.82855013</v>
      </c>
      <c r="ET479" s="196">
        <f>'Detailed Budget'!$AC$214</f>
        <v>22239745544.201103</v>
      </c>
      <c r="EU479" s="269">
        <f t="shared" si="1282"/>
        <v>23404137.417964071</v>
      </c>
      <c r="EV479" s="140">
        <f>'Detailed Budget'!$AC$217</f>
        <v>5559936386.0502758</v>
      </c>
      <c r="EW479" s="269">
        <f t="shared" si="1283"/>
        <v>5851034.3544910178</v>
      </c>
      <c r="EX479" s="269">
        <f t="shared" si="1210"/>
        <v>29255171.772455089</v>
      </c>
      <c r="EY479" s="196">
        <f>'Detailed Budget'!$AC$219</f>
        <v>372777004.58170313</v>
      </c>
      <c r="EZ479" s="269">
        <f t="shared" si="1284"/>
        <v>410677.91241451271</v>
      </c>
      <c r="FA479" s="196">
        <f>'Detailed Budget'!$AC$222</f>
        <v>93194251.145425782</v>
      </c>
      <c r="FB479" s="269">
        <f t="shared" si="1285"/>
        <v>102669.47810362818</v>
      </c>
      <c r="FC479" s="269">
        <f t="shared" si="1211"/>
        <v>513347.39051814086</v>
      </c>
      <c r="FD479" s="269"/>
      <c r="FE479" s="269">
        <f t="shared" si="1212"/>
        <v>235489329.86728182</v>
      </c>
      <c r="FF479" s="140">
        <f>'Detailed Budget'!$AC$165</f>
        <v>14927760000</v>
      </c>
      <c r="FG479" s="1087">
        <f t="shared" si="1232"/>
        <v>321223033.88515741</v>
      </c>
      <c r="FH479" s="269">
        <f t="shared" si="1286"/>
        <v>16961436.200431772</v>
      </c>
      <c r="FJ479" s="140">
        <f>'Detailed Budget'!$AC$235</f>
        <v>3623696172</v>
      </c>
      <c r="FK479" s="269">
        <f t="shared" si="1287"/>
        <v>4681778</v>
      </c>
      <c r="FL479" s="269">
        <f t="shared" si="1235"/>
        <v>4681778</v>
      </c>
      <c r="FO479" s="607"/>
      <c r="FP479" s="607"/>
      <c r="FQ479" s="607"/>
      <c r="FR479" s="269">
        <f>'Detailed Budget'!$AC$257</f>
        <v>13636439388</v>
      </c>
      <c r="FS479" s="269">
        <f t="shared" si="1288"/>
        <v>22984728</v>
      </c>
      <c r="FT479" s="269">
        <f t="shared" si="1237"/>
        <v>22984728</v>
      </c>
      <c r="FU479" s="269"/>
      <c r="FV479" s="269"/>
      <c r="FW479" s="269"/>
      <c r="FX479" s="140">
        <f>'Detailed Budget'!$AC$278</f>
        <v>1114560000</v>
      </c>
      <c r="FY479" s="269">
        <f t="shared" si="1289"/>
        <v>1440000</v>
      </c>
      <c r="FZ479" s="269">
        <f t="shared" si="1239"/>
        <v>1440000</v>
      </c>
      <c r="GB479" s="269">
        <f t="shared" si="1264"/>
        <v>1034081100.5724065</v>
      </c>
      <c r="GC479" s="887">
        <f t="shared" si="1213"/>
        <v>646300.68785775406</v>
      </c>
      <c r="GD479" s="1078">
        <f t="shared" si="1265"/>
        <v>5.802554678174199E-4</v>
      </c>
    </row>
    <row r="480" spans="1:186" hidden="1" outlineLevel="1">
      <c r="A480" s="211" t="s">
        <v>1086</v>
      </c>
      <c r="B480" s="212" t="s">
        <v>1087</v>
      </c>
      <c r="C480" s="213" t="s">
        <v>215</v>
      </c>
      <c r="D480" s="214"/>
      <c r="E480" s="213"/>
      <c r="F480" s="213"/>
      <c r="G480" s="213" t="s">
        <v>215</v>
      </c>
      <c r="H480" s="213" t="s">
        <v>215</v>
      </c>
      <c r="I480" s="214" t="s">
        <v>215</v>
      </c>
      <c r="J480" s="214"/>
      <c r="K480" s="213"/>
      <c r="L480" s="213"/>
      <c r="M480" s="213" t="s">
        <v>215</v>
      </c>
      <c r="N480" s="213"/>
      <c r="O480" s="214"/>
      <c r="P480" s="213"/>
      <c r="Q480" s="214"/>
      <c r="R480" s="214" t="s">
        <v>215</v>
      </c>
      <c r="S480" s="214"/>
      <c r="T480" s="214"/>
      <c r="U480" s="215">
        <f t="shared" si="1294"/>
        <v>6</v>
      </c>
      <c r="V480" s="845" t="s">
        <v>216</v>
      </c>
      <c r="W480" s="216">
        <v>115794</v>
      </c>
      <c r="X480" s="217">
        <v>2.77</v>
      </c>
      <c r="Y480" s="218">
        <f t="shared" si="1312"/>
        <v>1.0277000000000001</v>
      </c>
      <c r="Z480" s="196">
        <v>19</v>
      </c>
      <c r="AA480" s="218">
        <f t="shared" si="1313"/>
        <v>1.6805861263966091</v>
      </c>
      <c r="AB480" s="196">
        <f t="shared" si="1291"/>
        <v>194601.78991996896</v>
      </c>
      <c r="AC480">
        <v>11.4</v>
      </c>
      <c r="AD480" s="196">
        <f t="shared" si="1292"/>
        <v>22184.60405087646</v>
      </c>
      <c r="AE480" s="196">
        <f t="shared" si="1314"/>
        <v>21075.373848332634</v>
      </c>
      <c r="AF480" s="196">
        <f t="shared" si="1295"/>
        <v>0</v>
      </c>
      <c r="AG480" s="606">
        <f t="shared" si="1216"/>
        <v>9.7443276412208376E-4</v>
      </c>
      <c r="AH480" s="196">
        <f t="shared" si="1311"/>
        <v>9730.0894959984489</v>
      </c>
      <c r="AI480" s="248">
        <f t="shared" si="1193"/>
        <v>7.5377529072941996E-4</v>
      </c>
      <c r="AJ480" s="196">
        <f t="shared" si="1196"/>
        <v>31914.693546874907</v>
      </c>
      <c r="AK480" s="196">
        <f t="shared" si="1225"/>
        <v>7784.071596798758</v>
      </c>
      <c r="AL480" s="196">
        <f t="shared" si="1226"/>
        <v>7784.071596798758</v>
      </c>
      <c r="AM480" s="196">
        <f t="shared" si="1197"/>
        <v>15568.143193597516</v>
      </c>
      <c r="AN480" s="627">
        <f t="shared" si="1198"/>
        <v>7.5377529072941985E-4</v>
      </c>
      <c r="AO480" s="196">
        <f t="shared" si="1199"/>
        <v>7394.8680169588206</v>
      </c>
      <c r="AP480" s="589">
        <f t="shared" si="1217"/>
        <v>7.5377529072941985E-4</v>
      </c>
      <c r="AQ480" s="196"/>
      <c r="AR480" s="589"/>
      <c r="AS480">
        <v>1</v>
      </c>
      <c r="AT480" s="589">
        <f t="shared" si="1218"/>
        <v>1.2919896640826874E-3</v>
      </c>
      <c r="AU480" s="196">
        <v>10</v>
      </c>
      <c r="AV480" s="245">
        <f t="shared" si="1200"/>
        <v>1.1362345188046814E-3</v>
      </c>
      <c r="AX480" s="245"/>
      <c r="AY480" s="245"/>
      <c r="AZ480" s="196">
        <v>42</v>
      </c>
      <c r="BA480" s="589">
        <f t="shared" si="1256"/>
        <v>1.5389688908431351E-3</v>
      </c>
      <c r="BI480" s="196">
        <v>0</v>
      </c>
      <c r="BK480" s="246">
        <f t="shared" si="1257"/>
        <v>0</v>
      </c>
      <c r="BL480" s="246"/>
      <c r="BM480" s="246">
        <f t="shared" si="1258"/>
        <v>0</v>
      </c>
      <c r="BN480" s="196">
        <v>1</v>
      </c>
      <c r="BO480" s="196">
        <f t="shared" si="1296"/>
        <v>10287.314551067622</v>
      </c>
      <c r="BP480" s="196">
        <f t="shared" si="1201"/>
        <v>10287.314551067622</v>
      </c>
      <c r="BQ480" s="248">
        <f t="shared" si="1259"/>
        <v>9.623303708210019E-4</v>
      </c>
      <c r="BR480" s="248"/>
      <c r="BS480" s="248"/>
      <c r="BT480" s="276">
        <v>0</v>
      </c>
      <c r="BU480" s="196">
        <f t="shared" si="1297"/>
        <v>0</v>
      </c>
      <c r="BV480" s="264">
        <f t="shared" si="1261"/>
        <v>0</v>
      </c>
      <c r="BW480" s="196">
        <f t="shared" si="1298"/>
        <v>0</v>
      </c>
      <c r="BX480" s="247">
        <f t="shared" si="1263"/>
        <v>0</v>
      </c>
      <c r="BY480" s="196">
        <f t="shared" si="1299"/>
        <v>0</v>
      </c>
      <c r="BZ480" s="620">
        <v>1</v>
      </c>
      <c r="CA480" s="196">
        <f t="shared" si="1300"/>
        <v>59548.147715510495</v>
      </c>
      <c r="CB480" s="196">
        <f t="shared" si="1301"/>
        <v>119096.29543102099</v>
      </c>
      <c r="CC480" s="196">
        <f t="shared" si="1214"/>
        <v>178644.44314653147</v>
      </c>
      <c r="CD480" s="247">
        <f t="shared" si="1202"/>
        <v>7.5377529072941974E-4</v>
      </c>
      <c r="CE480" s="196">
        <f t="shared" si="1302"/>
        <v>17516.155172076589</v>
      </c>
      <c r="CF480" s="247">
        <f t="shared" si="1203"/>
        <v>7.5640205462113204E-4</v>
      </c>
      <c r="CG480" s="196">
        <f t="shared" si="1268"/>
        <v>29579.472067835282</v>
      </c>
      <c r="CH480" s="589">
        <f t="shared" si="1219"/>
        <v>7.5377529072941985E-4</v>
      </c>
      <c r="CI480" s="196">
        <f t="shared" si="1303"/>
        <v>19966.05004621785</v>
      </c>
      <c r="CJ480" s="248">
        <f t="shared" si="1220"/>
        <v>3.2824181207928566E-4</v>
      </c>
      <c r="CK480" s="196">
        <f t="shared" si="1304"/>
        <v>63874.748258824155</v>
      </c>
      <c r="CL480" s="589">
        <f t="shared" si="1221"/>
        <v>9.1821264469577697E-4</v>
      </c>
      <c r="CM480" s="196">
        <f t="shared" si="1305"/>
        <v>6187.8676364802213</v>
      </c>
      <c r="CN480" s="589">
        <f t="shared" si="1222"/>
        <v>8.9174204937316186E-4</v>
      </c>
      <c r="CO480" s="196">
        <f t="shared" si="1306"/>
        <v>495.01964400666486</v>
      </c>
      <c r="CP480" s="589">
        <f t="shared" si="1223"/>
        <v>9.3353080153482377E-4</v>
      </c>
      <c r="CQ480" s="196">
        <f>'Detailed Budget'!$AC$12</f>
        <v>292876014141.44696</v>
      </c>
      <c r="CR480" s="269">
        <f t="shared" si="1224"/>
        <v>0</v>
      </c>
      <c r="CS480" s="269">
        <f>'Detailed Budget'!$AC$16</f>
        <v>10488008800.000002</v>
      </c>
      <c r="CT480" s="607">
        <f t="shared" si="1269"/>
        <v>0</v>
      </c>
      <c r="CU480" s="269">
        <f>'Detailed Budget'!$AC$24</f>
        <v>30624985696</v>
      </c>
      <c r="CV480" s="269">
        <f t="shared" si="1250"/>
        <v>0</v>
      </c>
      <c r="CW480" s="269"/>
      <c r="CX480" s="269">
        <f t="shared" si="1215"/>
        <v>0</v>
      </c>
      <c r="CY480" s="196">
        <f>'Detailed Budget'!$AC$97</f>
        <v>74629165494.837845</v>
      </c>
      <c r="CZ480" s="269">
        <f t="shared" si="1270"/>
        <v>71817912.504709229</v>
      </c>
      <c r="DA480" s="269">
        <f>'Detailed Budget'!$AC$100</f>
        <v>14925833098.967569</v>
      </c>
      <c r="DB480" s="269">
        <f t="shared" si="1271"/>
        <v>14363582.500941845</v>
      </c>
      <c r="DC480" s="269">
        <f t="shared" si="1204"/>
        <v>86181495.005651072</v>
      </c>
      <c r="DD480" s="207">
        <v>0</v>
      </c>
      <c r="DE480" s="606">
        <v>0</v>
      </c>
      <c r="DF480" s="269">
        <f>'Detailed Budget'!$AC$147</f>
        <v>5913600671000</v>
      </c>
      <c r="DG480" s="269">
        <f t="shared" si="1230"/>
        <v>0</v>
      </c>
      <c r="DH480" s="269">
        <f>'Detailed Budget'!$AC$153</f>
        <v>226428026880.00003</v>
      </c>
      <c r="DI480" s="269"/>
      <c r="DJ480" s="269">
        <f>'Detailed Budget'!$AC$156</f>
        <v>27713070000</v>
      </c>
      <c r="DK480" s="269"/>
      <c r="DL480" s="269"/>
      <c r="DM480" s="196">
        <f>'Detailed Budget'!$AC$178</f>
        <v>5622683761.6229038</v>
      </c>
      <c r="DN480" s="269">
        <f t="shared" si="1307"/>
        <v>0</v>
      </c>
      <c r="DO480" s="196">
        <f>'Detailed Budget'!$AC$179</f>
        <v>26827890683.128094</v>
      </c>
      <c r="DP480" s="269">
        <f t="shared" si="1308"/>
        <v>0</v>
      </c>
      <c r="DQ480" s="269">
        <f t="shared" si="1192"/>
        <v>0</v>
      </c>
      <c r="DR480" s="269">
        <f>'Detailed Budget'!$AC$181</f>
        <v>50888946855.375237</v>
      </c>
      <c r="DS480" s="269">
        <f t="shared" si="1309"/>
        <v>0</v>
      </c>
      <c r="DT480" s="269">
        <f t="shared" si="1310"/>
        <v>0</v>
      </c>
      <c r="DU480" s="272">
        <f>'Detailed Budget'!$AC$192</f>
        <v>77498869683.252869</v>
      </c>
      <c r="DV480" s="269">
        <f t="shared" si="1272"/>
        <v>58416733.026695348</v>
      </c>
      <c r="DW480" s="140">
        <f>'Detailed Budget'!$AC$194</f>
        <v>2684962805.4134097</v>
      </c>
      <c r="DX480" s="269">
        <f t="shared" si="1273"/>
        <v>2023858.6192481716</v>
      </c>
      <c r="DY480" s="607">
        <f t="shared" si="1205"/>
        <v>60440591.645943522</v>
      </c>
      <c r="DZ480" s="196">
        <f>'Detailed Budget'!$AC$198</f>
        <v>18732540018.380611</v>
      </c>
      <c r="EA480" s="269">
        <f t="shared" si="1274"/>
        <v>14169331.758175673</v>
      </c>
      <c r="EB480" s="196">
        <f>'Detailed Budget'!$AC$200</f>
        <v>4683135004.5951529</v>
      </c>
      <c r="EC480" s="269">
        <f t="shared" si="1275"/>
        <v>3542332.9395439182</v>
      </c>
      <c r="ED480" s="269">
        <f t="shared" si="1206"/>
        <v>17711664.697719593</v>
      </c>
      <c r="EE480" s="196">
        <f>'Detailed Budget'!$AC$161</f>
        <v>251147290106.36197</v>
      </c>
      <c r="EF480" s="269">
        <f t="shared" si="1276"/>
        <v>189308621.61582893</v>
      </c>
      <c r="EG480" s="196">
        <f>'Detailed Budget'!$AC$163</f>
        <v>15696705631.647623</v>
      </c>
      <c r="EH480" s="269">
        <f t="shared" si="1277"/>
        <v>11831788.850989308</v>
      </c>
      <c r="EI480" s="269">
        <f t="shared" si="1207"/>
        <v>201140410.46681824</v>
      </c>
      <c r="EJ480" s="196">
        <f>'Detailed Budget'!$AC$204</f>
        <v>45012172507.531975</v>
      </c>
      <c r="EK480" s="269">
        <f t="shared" si="1278"/>
        <v>14774877.069497699</v>
      </c>
      <c r="EL480" s="201">
        <f>'Detailed Budget'!$AC$206</f>
        <v>11253043126.882994</v>
      </c>
      <c r="EM480" s="269">
        <f t="shared" si="1279"/>
        <v>3693719.2673744247</v>
      </c>
      <c r="EN480" s="269">
        <f t="shared" si="1208"/>
        <v>18468596.336872123</v>
      </c>
      <c r="EO480" s="140">
        <f>'Detailed Budget'!$AC$209</f>
        <v>135789361677.54817</v>
      </c>
      <c r="EP480" s="269">
        <f t="shared" si="1280"/>
        <v>124683508.90749289</v>
      </c>
      <c r="EQ480" s="196">
        <f>'Detailed Budget'!$AC$211</f>
        <v>33947340419.387043</v>
      </c>
      <c r="ER480" s="269">
        <f t="shared" si="1281"/>
        <v>31170877.226873223</v>
      </c>
      <c r="ES480" s="269">
        <f t="shared" si="1209"/>
        <v>155854386.13436612</v>
      </c>
      <c r="ET480" s="196">
        <f>'Detailed Budget'!$AC$214</f>
        <v>22239745544.201103</v>
      </c>
      <c r="EU480" s="269">
        <f t="shared" si="1282"/>
        <v>19832116.269123536</v>
      </c>
      <c r="EV480" s="140">
        <f>'Detailed Budget'!$AC$217</f>
        <v>5559936386.0502758</v>
      </c>
      <c r="EW480" s="269">
        <f t="shared" si="1283"/>
        <v>4958029.0672808839</v>
      </c>
      <c r="EX480" s="269">
        <f t="shared" si="1210"/>
        <v>24790145.33640442</v>
      </c>
      <c r="EY480" s="196">
        <f>'Detailed Budget'!$AC$219</f>
        <v>372777004.58170313</v>
      </c>
      <c r="EZ480" s="269">
        <f t="shared" si="1284"/>
        <v>347998.81588090799</v>
      </c>
      <c r="FA480" s="196">
        <f>'Detailed Budget'!$AC$222</f>
        <v>93194251.145425782</v>
      </c>
      <c r="FB480" s="269">
        <f t="shared" si="1285"/>
        <v>86999.703970226998</v>
      </c>
      <c r="FC480" s="269">
        <f t="shared" si="1211"/>
        <v>434998.51985113497</v>
      </c>
      <c r="FD480" s="269"/>
      <c r="FE480" s="269">
        <f t="shared" si="1212"/>
        <v>199548126.32749382</v>
      </c>
      <c r="FF480" s="140">
        <f>'Detailed Budget'!$AC$165</f>
        <v>14927760000</v>
      </c>
      <c r="FG480" s="1087">
        <f t="shared" si="1232"/>
        <v>272196853.17012751</v>
      </c>
      <c r="FH480" s="269">
        <f t="shared" si="1286"/>
        <v>16961436.200431772</v>
      </c>
      <c r="FJ480" s="140">
        <f>'Detailed Budget'!$AC$235</f>
        <v>3623696172</v>
      </c>
      <c r="FK480" s="269">
        <f t="shared" si="1287"/>
        <v>4681778</v>
      </c>
      <c r="FL480" s="269">
        <f t="shared" si="1235"/>
        <v>4681778</v>
      </c>
      <c r="FO480" s="607"/>
      <c r="FP480" s="607"/>
      <c r="FQ480" s="607"/>
      <c r="FR480" s="269">
        <f>'Detailed Budget'!$AC$257</f>
        <v>13636439388</v>
      </c>
      <c r="FS480" s="269">
        <f t="shared" si="1288"/>
        <v>20986056</v>
      </c>
      <c r="FT480" s="269">
        <f t="shared" si="1237"/>
        <v>20986056</v>
      </c>
      <c r="FU480" s="269"/>
      <c r="FV480" s="269"/>
      <c r="FW480" s="269"/>
      <c r="FX480" s="140">
        <f>'Detailed Budget'!$AC$278</f>
        <v>1114560000</v>
      </c>
      <c r="FY480" s="269">
        <f t="shared" si="1289"/>
        <v>1440000</v>
      </c>
      <c r="FZ480" s="269">
        <f t="shared" si="1239"/>
        <v>1440000</v>
      </c>
      <c r="GB480" s="269">
        <f t="shared" si="1264"/>
        <v>881288411.51418555</v>
      </c>
      <c r="GC480" s="887">
        <f t="shared" si="1213"/>
        <v>550805.25719636597</v>
      </c>
      <c r="GD480" s="1078">
        <f t="shared" si="1265"/>
        <v>4.9451867868213523E-4</v>
      </c>
    </row>
    <row r="481" spans="1:186" hidden="1" outlineLevel="1">
      <c r="A481" s="211" t="s">
        <v>1088</v>
      </c>
      <c r="B481" s="212" t="s">
        <v>1089</v>
      </c>
      <c r="C481" s="213" t="s">
        <v>215</v>
      </c>
      <c r="D481" s="214"/>
      <c r="E481" s="213"/>
      <c r="F481" s="213"/>
      <c r="G481" s="213" t="s">
        <v>215</v>
      </c>
      <c r="H481" s="213" t="s">
        <v>215</v>
      </c>
      <c r="I481" s="214" t="s">
        <v>215</v>
      </c>
      <c r="J481" s="214"/>
      <c r="K481" s="213"/>
      <c r="L481" s="213"/>
      <c r="M481" s="213" t="s">
        <v>215</v>
      </c>
      <c r="N481" s="213"/>
      <c r="O481" s="214"/>
      <c r="P481" s="213"/>
      <c r="Q481" s="214"/>
      <c r="R481" s="214" t="s">
        <v>215</v>
      </c>
      <c r="S481" s="214"/>
      <c r="T481" s="214"/>
      <c r="U481" s="215">
        <f t="shared" si="1294"/>
        <v>6</v>
      </c>
      <c r="V481" s="845" t="s">
        <v>216</v>
      </c>
      <c r="W481" s="216">
        <v>181894</v>
      </c>
      <c r="X481" s="217">
        <v>2.77</v>
      </c>
      <c r="Y481" s="218">
        <f t="shared" si="1312"/>
        <v>1.0277000000000001</v>
      </c>
      <c r="Z481" s="196">
        <v>19</v>
      </c>
      <c r="AA481" s="218">
        <f t="shared" si="1313"/>
        <v>1.6805861263966091</v>
      </c>
      <c r="AB481" s="196">
        <f t="shared" si="1291"/>
        <v>305688.53287478484</v>
      </c>
      <c r="AC481">
        <v>11.4</v>
      </c>
      <c r="AD481" s="196">
        <f t="shared" si="1292"/>
        <v>34848.492747725475</v>
      </c>
      <c r="AE481" s="196">
        <f t="shared" si="1314"/>
        <v>33106.068110339198</v>
      </c>
      <c r="AF481" s="196">
        <f t="shared" si="1295"/>
        <v>0</v>
      </c>
      <c r="AG481" s="606">
        <f t="shared" si="1216"/>
        <v>1.5306792510598334E-3</v>
      </c>
      <c r="AH481" s="196">
        <f t="shared" si="1311"/>
        <v>15284.426643739243</v>
      </c>
      <c r="AI481" s="248">
        <f t="shared" si="1193"/>
        <v>1.1840613739221126E-3</v>
      </c>
      <c r="AJ481" s="196">
        <f t="shared" si="1196"/>
        <v>50132.919391464719</v>
      </c>
      <c r="AK481" s="196">
        <f t="shared" si="1225"/>
        <v>12227.541314991395</v>
      </c>
      <c r="AL481" s="196">
        <f t="shared" si="1226"/>
        <v>12227.541314991395</v>
      </c>
      <c r="AM481" s="196">
        <f t="shared" si="1197"/>
        <v>24455.08262998279</v>
      </c>
      <c r="AN481" s="627">
        <f t="shared" si="1198"/>
        <v>1.1840613739221126E-3</v>
      </c>
      <c r="AO481" s="196">
        <f t="shared" si="1199"/>
        <v>11616.164249241823</v>
      </c>
      <c r="AP481" s="589">
        <f t="shared" si="1217"/>
        <v>1.1840613739221126E-3</v>
      </c>
      <c r="AQ481" s="196"/>
      <c r="AR481" s="589"/>
      <c r="AS481">
        <v>1</v>
      </c>
      <c r="AT481" s="589">
        <f t="shared" si="1218"/>
        <v>1.2919896640826874E-3</v>
      </c>
      <c r="AU481" s="196">
        <v>11</v>
      </c>
      <c r="AV481" s="245">
        <f t="shared" si="1200"/>
        <v>1.2498579706851495E-3</v>
      </c>
      <c r="AX481" s="245"/>
      <c r="AY481" s="245"/>
      <c r="AZ481" s="196">
        <v>55</v>
      </c>
      <c r="BA481" s="589">
        <f t="shared" si="1256"/>
        <v>2.015316404675534E-3</v>
      </c>
      <c r="BI481" s="196">
        <v>0</v>
      </c>
      <c r="BK481" s="246">
        <f t="shared" si="1257"/>
        <v>0</v>
      </c>
      <c r="BL481" s="246"/>
      <c r="BM481" s="246">
        <f t="shared" si="1258"/>
        <v>0</v>
      </c>
      <c r="BN481" s="196">
        <v>1</v>
      </c>
      <c r="BO481" s="196">
        <f t="shared" si="1296"/>
        <v>16159.738785704738</v>
      </c>
      <c r="BP481" s="196">
        <f t="shared" si="1201"/>
        <v>16159.738785704738</v>
      </c>
      <c r="BQ481" s="248">
        <f t="shared" si="1259"/>
        <v>1.5116683115715438E-3</v>
      </c>
      <c r="BR481" s="248"/>
      <c r="BS481" s="248"/>
      <c r="BT481" s="276">
        <v>0</v>
      </c>
      <c r="BU481" s="196">
        <f t="shared" si="1297"/>
        <v>0</v>
      </c>
      <c r="BV481" s="264">
        <f t="shared" si="1261"/>
        <v>0</v>
      </c>
      <c r="BW481" s="196">
        <f t="shared" si="1298"/>
        <v>0</v>
      </c>
      <c r="BX481" s="247">
        <f t="shared" si="1263"/>
        <v>0</v>
      </c>
      <c r="BY481" s="196">
        <f t="shared" si="1299"/>
        <v>0</v>
      </c>
      <c r="BZ481" s="620">
        <v>1</v>
      </c>
      <c r="CA481" s="196">
        <f t="shared" si="1300"/>
        <v>93540.691059684177</v>
      </c>
      <c r="CB481" s="196">
        <f t="shared" si="1301"/>
        <v>187081.38211936835</v>
      </c>
      <c r="CC481" s="196">
        <f t="shared" si="1214"/>
        <v>280622.07317905256</v>
      </c>
      <c r="CD481" s="247">
        <f t="shared" si="1202"/>
        <v>1.1840613739221128E-3</v>
      </c>
      <c r="CE481" s="196">
        <f t="shared" si="1302"/>
        <v>27515.100340861354</v>
      </c>
      <c r="CF481" s="247">
        <f t="shared" si="1203"/>
        <v>1.1881876031854519E-3</v>
      </c>
      <c r="CG481" s="196">
        <f t="shared" si="1268"/>
        <v>46464.656996967293</v>
      </c>
      <c r="CH481" s="589">
        <f t="shared" si="1219"/>
        <v>1.1840613739221126E-3</v>
      </c>
      <c r="CI481" s="196">
        <f t="shared" si="1303"/>
        <v>31363.496442879165</v>
      </c>
      <c r="CJ481" s="248">
        <f t="shared" si="1220"/>
        <v>5.156158019098536E-4</v>
      </c>
      <c r="CK481" s="196">
        <f t="shared" si="1304"/>
        <v>100337.09397542673</v>
      </c>
      <c r="CL481" s="589">
        <f t="shared" si="1221"/>
        <v>1.4423663643564752E-3</v>
      </c>
      <c r="CM481" s="196">
        <f t="shared" si="1305"/>
        <v>9720.1581763298054</v>
      </c>
      <c r="CN481" s="589">
        <f t="shared" si="1222"/>
        <v>1.4007852594148395E-3</v>
      </c>
      <c r="CO481" s="196">
        <f t="shared" si="1306"/>
        <v>777.5973118378181</v>
      </c>
      <c r="CP481" s="589">
        <f t="shared" si="1223"/>
        <v>1.466428758090879E-3</v>
      </c>
      <c r="CQ481" s="196">
        <f>'Detailed Budget'!$AC$12</f>
        <v>292876014141.44696</v>
      </c>
      <c r="CR481" s="269">
        <f t="shared" si="1224"/>
        <v>0</v>
      </c>
      <c r="CS481" s="269">
        <f>'Detailed Budget'!$AC$16</f>
        <v>10488008800.000002</v>
      </c>
      <c r="CT481" s="607">
        <f t="shared" si="1269"/>
        <v>0</v>
      </c>
      <c r="CU481" s="269">
        <f>'Detailed Budget'!$AC$24</f>
        <v>30624985696</v>
      </c>
      <c r="CV481" s="269">
        <f t="shared" si="1250"/>
        <v>0</v>
      </c>
      <c r="CW481" s="269"/>
      <c r="CX481" s="269">
        <f t="shared" si="1215"/>
        <v>0</v>
      </c>
      <c r="CY481" s="196">
        <f>'Detailed Budget'!$AC$97</f>
        <v>74629165494.837845</v>
      </c>
      <c r="CZ481" s="269">
        <f t="shared" si="1270"/>
        <v>112814544.59757484</v>
      </c>
      <c r="DA481" s="269">
        <f>'Detailed Budget'!$AC$100</f>
        <v>14925833098.967569</v>
      </c>
      <c r="DB481" s="269">
        <f t="shared" si="1271"/>
        <v>22562908.919514969</v>
      </c>
      <c r="DC481" s="269">
        <f t="shared" si="1204"/>
        <v>135377453.51708981</v>
      </c>
      <c r="DD481" s="207">
        <v>0</v>
      </c>
      <c r="DE481" s="606">
        <v>0</v>
      </c>
      <c r="DF481" s="269">
        <f>'Detailed Budget'!$AC$147</f>
        <v>5913600671000</v>
      </c>
      <c r="DG481" s="269">
        <f t="shared" si="1230"/>
        <v>0</v>
      </c>
      <c r="DH481" s="269">
        <f>'Detailed Budget'!$AC$153</f>
        <v>226428026880.00003</v>
      </c>
      <c r="DI481" s="269"/>
      <c r="DJ481" s="269">
        <f>'Detailed Budget'!$AC$156</f>
        <v>27713070000</v>
      </c>
      <c r="DK481" s="269"/>
      <c r="DL481" s="269"/>
      <c r="DM481" s="196">
        <f>'Detailed Budget'!$AC$178</f>
        <v>5622683761.6229038</v>
      </c>
      <c r="DN481" s="269">
        <f t="shared" si="1307"/>
        <v>0</v>
      </c>
      <c r="DO481" s="196">
        <f>'Detailed Budget'!$AC$179</f>
        <v>26827890683.128094</v>
      </c>
      <c r="DP481" s="269">
        <f t="shared" si="1308"/>
        <v>0</v>
      </c>
      <c r="DQ481" s="269">
        <f t="shared" si="1192"/>
        <v>0</v>
      </c>
      <c r="DR481" s="269">
        <f>'Detailed Budget'!$AC$181</f>
        <v>50888946855.375237</v>
      </c>
      <c r="DS481" s="269">
        <f t="shared" si="1309"/>
        <v>0</v>
      </c>
      <c r="DT481" s="269">
        <f t="shared" si="1310"/>
        <v>0</v>
      </c>
      <c r="DU481" s="272">
        <f>'Detailed Budget'!$AC$192</f>
        <v>77498869683.252869</v>
      </c>
      <c r="DV481" s="269">
        <f t="shared" si="1272"/>
        <v>91763418.114563167</v>
      </c>
      <c r="DW481" s="140">
        <f>'Detailed Budget'!$AC$194</f>
        <v>2684962805.4134097</v>
      </c>
      <c r="DX481" s="269">
        <f t="shared" si="1273"/>
        <v>3179160.7483075717</v>
      </c>
      <c r="DY481" s="607">
        <f t="shared" si="1205"/>
        <v>94942578.862870738</v>
      </c>
      <c r="DZ481" s="196">
        <f>'Detailed Budget'!$AC$198</f>
        <v>18732540018.380611</v>
      </c>
      <c r="EA481" s="269">
        <f t="shared" si="1274"/>
        <v>22257771.826015219</v>
      </c>
      <c r="EB481" s="196">
        <f>'Detailed Budget'!$AC$200</f>
        <v>4683135004.5951529</v>
      </c>
      <c r="EC481" s="269">
        <f t="shared" si="1275"/>
        <v>5564442.9565038048</v>
      </c>
      <c r="ED481" s="269">
        <f t="shared" si="1206"/>
        <v>27822214.782519024</v>
      </c>
      <c r="EE481" s="196">
        <f>'Detailed Budget'!$AC$161</f>
        <v>251147290106.36197</v>
      </c>
      <c r="EF481" s="269">
        <f t="shared" si="1276"/>
        <v>297373805.38015437</v>
      </c>
      <c r="EG481" s="196">
        <f>'Detailed Budget'!$AC$163</f>
        <v>15696705631.647623</v>
      </c>
      <c r="EH481" s="269">
        <f t="shared" si="1277"/>
        <v>18585862.836259648</v>
      </c>
      <c r="EI481" s="269">
        <f t="shared" si="1207"/>
        <v>315959668.21641403</v>
      </c>
      <c r="EJ481" s="196">
        <f>'Detailed Budget'!$AC$204</f>
        <v>45012172507.531975</v>
      </c>
      <c r="EK481" s="269">
        <f t="shared" si="1278"/>
        <v>23208987.423175763</v>
      </c>
      <c r="EL481" s="201">
        <f>'Detailed Budget'!$AC$206</f>
        <v>11253043126.882994</v>
      </c>
      <c r="EM481" s="269">
        <f t="shared" si="1279"/>
        <v>5802246.8557939408</v>
      </c>
      <c r="EN481" s="269">
        <f t="shared" si="1208"/>
        <v>29011234.278969705</v>
      </c>
      <c r="EO481" s="140">
        <f>'Detailed Budget'!$AC$209</f>
        <v>135789361677.54817</v>
      </c>
      <c r="EP481" s="269">
        <f t="shared" si="1280"/>
        <v>195858007.92113164</v>
      </c>
      <c r="EQ481" s="196">
        <f>'Detailed Budget'!$AC$211</f>
        <v>33947340419.387043</v>
      </c>
      <c r="ER481" s="269">
        <f t="shared" si="1281"/>
        <v>48964501.98028291</v>
      </c>
      <c r="ES481" s="269">
        <f t="shared" si="1209"/>
        <v>244822509.90141454</v>
      </c>
      <c r="ET481" s="196">
        <f>'Detailed Budget'!$AC$214</f>
        <v>22239745544.201103</v>
      </c>
      <c r="EU481" s="269">
        <f t="shared" si="1282"/>
        <v>31153107.731453765</v>
      </c>
      <c r="EV481" s="140">
        <f>'Detailed Budget'!$AC$217</f>
        <v>5559936386.0502758</v>
      </c>
      <c r="EW481" s="269">
        <f t="shared" si="1283"/>
        <v>7788276.9328634413</v>
      </c>
      <c r="EX481" s="269">
        <f t="shared" si="1210"/>
        <v>38941384.664317206</v>
      </c>
      <c r="EY481" s="196">
        <f>'Detailed Budget'!$AC$219</f>
        <v>372777004.58170313</v>
      </c>
      <c r="EZ481" s="269">
        <f t="shared" si="1284"/>
        <v>546650.91987358488</v>
      </c>
      <c r="FA481" s="196">
        <f>'Detailed Budget'!$AC$222</f>
        <v>93194251.145425782</v>
      </c>
      <c r="FB481" s="269">
        <f t="shared" si="1285"/>
        <v>136662.72996839622</v>
      </c>
      <c r="FC481" s="269">
        <f t="shared" si="1211"/>
        <v>683313.64984198113</v>
      </c>
      <c r="FD481" s="269"/>
      <c r="FE481" s="269">
        <f t="shared" si="1212"/>
        <v>313458442.49454343</v>
      </c>
      <c r="FF481" s="140">
        <f>'Detailed Budget'!$AC$165</f>
        <v>14927760000</v>
      </c>
      <c r="FG481" s="1087">
        <f t="shared" si="1232"/>
        <v>427578064.58475548</v>
      </c>
      <c r="FH481" s="269">
        <f t="shared" si="1286"/>
        <v>18657579.820474949</v>
      </c>
      <c r="FJ481" s="140">
        <f>'Detailed Budget'!$AC$235</f>
        <v>3623696172</v>
      </c>
      <c r="FK481" s="269">
        <f t="shared" si="1287"/>
        <v>4681778</v>
      </c>
      <c r="FL481" s="269">
        <f t="shared" si="1235"/>
        <v>4681778</v>
      </c>
      <c r="FO481" s="607"/>
      <c r="FP481" s="607"/>
      <c r="FQ481" s="607"/>
      <c r="FR481" s="269">
        <f>'Detailed Budget'!$AC$257</f>
        <v>13636439388</v>
      </c>
      <c r="FS481" s="269">
        <f t="shared" si="1288"/>
        <v>27481740</v>
      </c>
      <c r="FT481" s="269">
        <f t="shared" si="1237"/>
        <v>27481740</v>
      </c>
      <c r="FU481" s="269"/>
      <c r="FV481" s="269"/>
      <c r="FW481" s="269"/>
      <c r="FX481" s="140">
        <f>'Detailed Budget'!$AC$278</f>
        <v>1114560000</v>
      </c>
      <c r="FY481" s="269">
        <f t="shared" si="1289"/>
        <v>1440000</v>
      </c>
      <c r="FZ481" s="269">
        <f t="shared" si="1239"/>
        <v>1440000</v>
      </c>
      <c r="GB481" s="269">
        <f t="shared" si="1264"/>
        <v>1367399520.2786674</v>
      </c>
      <c r="GC481" s="887">
        <f t="shared" si="1213"/>
        <v>854624.70017416717</v>
      </c>
      <c r="GD481" s="1078">
        <f t="shared" si="1265"/>
        <v>7.6729092901263874E-4</v>
      </c>
    </row>
    <row r="482" spans="1:186" hidden="1" outlineLevel="1">
      <c r="A482" s="211" t="s">
        <v>1090</v>
      </c>
      <c r="B482" s="212" t="s">
        <v>1091</v>
      </c>
      <c r="C482" s="213" t="s">
        <v>215</v>
      </c>
      <c r="D482" s="214"/>
      <c r="E482" s="213"/>
      <c r="F482" s="213"/>
      <c r="G482" s="213" t="s">
        <v>215</v>
      </c>
      <c r="H482" s="213" t="s">
        <v>215</v>
      </c>
      <c r="I482" s="214" t="s">
        <v>215</v>
      </c>
      <c r="J482" s="214"/>
      <c r="K482" s="213"/>
      <c r="L482" s="213"/>
      <c r="M482" s="213" t="s">
        <v>215</v>
      </c>
      <c r="N482" s="213"/>
      <c r="O482" s="214"/>
      <c r="P482" s="213"/>
      <c r="Q482" s="214"/>
      <c r="R482" s="214" t="s">
        <v>215</v>
      </c>
      <c r="S482" s="214"/>
      <c r="T482" s="214"/>
      <c r="U482" s="215">
        <f t="shared" si="1294"/>
        <v>6</v>
      </c>
      <c r="V482" s="845" t="s">
        <v>216</v>
      </c>
      <c r="W482" s="216">
        <v>245987</v>
      </c>
      <c r="X482" s="217">
        <v>2.77</v>
      </c>
      <c r="Y482" s="218">
        <f t="shared" si="1312"/>
        <v>1.0277000000000001</v>
      </c>
      <c r="Z482" s="196">
        <v>19</v>
      </c>
      <c r="AA482" s="218">
        <f t="shared" si="1313"/>
        <v>1.6805861263966091</v>
      </c>
      <c r="AB482" s="196">
        <f t="shared" si="1291"/>
        <v>413402.33947392268</v>
      </c>
      <c r="AC482">
        <v>11.4</v>
      </c>
      <c r="AD482" s="196">
        <f t="shared" si="1292"/>
        <v>47127.866700027182</v>
      </c>
      <c r="AE482" s="196">
        <f t="shared" si="1314"/>
        <v>44771.47336502582</v>
      </c>
      <c r="AF482" s="196">
        <f t="shared" si="1295"/>
        <v>0</v>
      </c>
      <c r="AG482" s="606">
        <f t="shared" si="1216"/>
        <v>2.070036377947899E-3</v>
      </c>
      <c r="AH482" s="196">
        <f t="shared" si="1311"/>
        <v>20670.116973696135</v>
      </c>
      <c r="AI482" s="248">
        <f t="shared" si="1193"/>
        <v>1.6012826436659741E-3</v>
      </c>
      <c r="AJ482" s="196">
        <f t="shared" si="1196"/>
        <v>67797.983673723313</v>
      </c>
      <c r="AK482" s="196">
        <f t="shared" si="1225"/>
        <v>16536.093578956908</v>
      </c>
      <c r="AL482" s="196">
        <f t="shared" si="1226"/>
        <v>16536.093578956908</v>
      </c>
      <c r="AM482" s="196">
        <f t="shared" si="1197"/>
        <v>33072.187157913817</v>
      </c>
      <c r="AN482" s="627">
        <f t="shared" si="1198"/>
        <v>1.6012826436659741E-3</v>
      </c>
      <c r="AO482" s="196">
        <f t="shared" si="1199"/>
        <v>15709.288900009062</v>
      </c>
      <c r="AP482" s="589">
        <f t="shared" si="1217"/>
        <v>1.6012826436659739E-3</v>
      </c>
      <c r="AQ482" s="196"/>
      <c r="AR482" s="589"/>
      <c r="AS482">
        <v>1</v>
      </c>
      <c r="AT482" s="589">
        <f t="shared" si="1218"/>
        <v>1.2919896640826874E-3</v>
      </c>
      <c r="AU482" s="196">
        <v>11</v>
      </c>
      <c r="AV482" s="245">
        <f t="shared" si="1200"/>
        <v>1.2498579706851495E-3</v>
      </c>
      <c r="AX482" s="245"/>
      <c r="AY482" s="245"/>
      <c r="AZ482" s="196">
        <v>51</v>
      </c>
      <c r="BA482" s="589">
        <f t="shared" si="1256"/>
        <v>1.8687479388809498E-3</v>
      </c>
      <c r="BI482" s="196">
        <v>0</v>
      </c>
      <c r="BK482" s="246">
        <f t="shared" si="1257"/>
        <v>0</v>
      </c>
      <c r="BL482" s="246"/>
      <c r="BM482" s="246">
        <f t="shared" si="1258"/>
        <v>0</v>
      </c>
      <c r="BN482" s="196">
        <v>1</v>
      </c>
      <c r="BO482" s="196">
        <f t="shared" si="1296"/>
        <v>21853.858096908916</v>
      </c>
      <c r="BP482" s="196">
        <f t="shared" si="1201"/>
        <v>21853.858096908916</v>
      </c>
      <c r="BQ482" s="248">
        <f t="shared" si="1259"/>
        <v>2.0443266570560285E-3</v>
      </c>
      <c r="BR482" s="248"/>
      <c r="BS482" s="248"/>
      <c r="BT482" s="276">
        <v>0</v>
      </c>
      <c r="BU482" s="196">
        <f t="shared" si="1297"/>
        <v>0</v>
      </c>
      <c r="BV482" s="264">
        <f t="shared" si="1261"/>
        <v>0</v>
      </c>
      <c r="BW482" s="196">
        <f t="shared" si="1298"/>
        <v>0</v>
      </c>
      <c r="BX482" s="247">
        <f t="shared" si="1263"/>
        <v>0</v>
      </c>
      <c r="BY482" s="196">
        <f t="shared" si="1299"/>
        <v>0</v>
      </c>
      <c r="BZ482" s="620">
        <v>1</v>
      </c>
      <c r="CA482" s="196">
        <f t="shared" si="1300"/>
        <v>126501.11587902035</v>
      </c>
      <c r="CB482" s="196">
        <f t="shared" si="1301"/>
        <v>253002.2317580407</v>
      </c>
      <c r="CC482" s="196">
        <f t="shared" si="1214"/>
        <v>379503.34763706103</v>
      </c>
      <c r="CD482" s="247">
        <f t="shared" si="1202"/>
        <v>1.6012826436659741E-3</v>
      </c>
      <c r="CE482" s="196">
        <f t="shared" si="1302"/>
        <v>37210.446675247455</v>
      </c>
      <c r="CF482" s="247">
        <f t="shared" si="1203"/>
        <v>1.6068628099045583E-3</v>
      </c>
      <c r="CG482" s="196">
        <f t="shared" si="1268"/>
        <v>62837.155600036247</v>
      </c>
      <c r="CH482" s="589">
        <f t="shared" si="1219"/>
        <v>1.6012826436659739E-3</v>
      </c>
      <c r="CI482" s="196">
        <f t="shared" si="1303"/>
        <v>42414.88119176287</v>
      </c>
      <c r="CJ482" s="248">
        <f t="shared" si="1220"/>
        <v>6.9730053912937838E-4</v>
      </c>
      <c r="CK482" s="196">
        <f t="shared" si="1304"/>
        <v>135692.33034477933</v>
      </c>
      <c r="CL482" s="589">
        <f t="shared" si="1221"/>
        <v>1.9506051594277778E-3</v>
      </c>
      <c r="CM482" s="196">
        <f t="shared" si="1305"/>
        <v>13145.197473917993</v>
      </c>
      <c r="CN482" s="589">
        <f t="shared" si="1222"/>
        <v>1.8943723465737082E-3</v>
      </c>
      <c r="CO482" s="196">
        <f t="shared" si="1306"/>
        <v>1051.5950495730992</v>
      </c>
      <c r="CP482" s="589">
        <f t="shared" si="1223"/>
        <v>1.9831462880386432E-3</v>
      </c>
      <c r="CQ482" s="196">
        <f>'Detailed Budget'!$AC$12</f>
        <v>292876014141.44696</v>
      </c>
      <c r="CR482" s="269">
        <f t="shared" si="1224"/>
        <v>0</v>
      </c>
      <c r="CS482" s="269">
        <f>'Detailed Budget'!$AC$16</f>
        <v>10488008800.000002</v>
      </c>
      <c r="CT482" s="607">
        <f t="shared" si="1269"/>
        <v>0</v>
      </c>
      <c r="CU482" s="269">
        <f>'Detailed Budget'!$AC$24</f>
        <v>30624985696</v>
      </c>
      <c r="CV482" s="269">
        <f t="shared" si="1250"/>
        <v>0</v>
      </c>
      <c r="CW482" s="269"/>
      <c r="CX482" s="269">
        <f t="shared" si="1215"/>
        <v>0</v>
      </c>
      <c r="CY482" s="196">
        <f>'Detailed Budget'!$AC$97</f>
        <v>74629165494.837845</v>
      </c>
      <c r="CZ482" s="269">
        <f t="shared" si="1270"/>
        <v>152566392.41494295</v>
      </c>
      <c r="DA482" s="269">
        <f>'Detailed Budget'!$AC$100</f>
        <v>14925833098.967569</v>
      </c>
      <c r="DB482" s="269">
        <f t="shared" si="1271"/>
        <v>30513278.482988592</v>
      </c>
      <c r="DC482" s="269">
        <f t="shared" si="1204"/>
        <v>183079670.89793155</v>
      </c>
      <c r="DD482" s="207">
        <v>0</v>
      </c>
      <c r="DE482" s="606">
        <v>0</v>
      </c>
      <c r="DF482" s="269">
        <f>'Detailed Budget'!$AC$147</f>
        <v>5913600671000</v>
      </c>
      <c r="DG482" s="269">
        <f t="shared" si="1230"/>
        <v>0</v>
      </c>
      <c r="DH482" s="269">
        <f>'Detailed Budget'!$AC$153</f>
        <v>226428026880.00003</v>
      </c>
      <c r="DI482" s="269"/>
      <c r="DJ482" s="269">
        <f>'Detailed Budget'!$AC$156</f>
        <v>27713070000</v>
      </c>
      <c r="DK482" s="269"/>
      <c r="DL482" s="269"/>
      <c r="DM482" s="196">
        <f>'Detailed Budget'!$AC$178</f>
        <v>5622683761.6229038</v>
      </c>
      <c r="DN482" s="269">
        <f t="shared" si="1307"/>
        <v>0</v>
      </c>
      <c r="DO482" s="196">
        <f>'Detailed Budget'!$AC$179</f>
        <v>26827890683.128094</v>
      </c>
      <c r="DP482" s="269">
        <f t="shared" si="1308"/>
        <v>0</v>
      </c>
      <c r="DQ482" s="269">
        <f t="shared" si="1192"/>
        <v>0</v>
      </c>
      <c r="DR482" s="269">
        <f>'Detailed Budget'!$AC$181</f>
        <v>50888946855.375237</v>
      </c>
      <c r="DS482" s="269">
        <f t="shared" si="1309"/>
        <v>0</v>
      </c>
      <c r="DT482" s="269">
        <f t="shared" si="1310"/>
        <v>0</v>
      </c>
      <c r="DU482" s="272">
        <f>'Detailed Budget'!$AC$192</f>
        <v>77498869683.252869</v>
      </c>
      <c r="DV482" s="269">
        <f t="shared" si="1272"/>
        <v>124097594.92752397</v>
      </c>
      <c r="DW482" s="140">
        <f>'Detailed Budget'!$AC$194</f>
        <v>2684962805.4134097</v>
      </c>
      <c r="DX482" s="269">
        <f t="shared" si="1273"/>
        <v>4299384.3391971951</v>
      </c>
      <c r="DY482" s="607">
        <f t="shared" si="1205"/>
        <v>128396979.26672116</v>
      </c>
      <c r="DZ482" s="196">
        <f>'Detailed Budget'!$AC$198</f>
        <v>18732540018.380611</v>
      </c>
      <c r="EA482" s="269">
        <f t="shared" si="1274"/>
        <v>30100621.890584655</v>
      </c>
      <c r="EB482" s="196">
        <f>'Detailed Budget'!$AC$200</f>
        <v>4683135004.5951529</v>
      </c>
      <c r="EC482" s="269">
        <f t="shared" si="1275"/>
        <v>7525155.4726461638</v>
      </c>
      <c r="ED482" s="269">
        <f t="shared" si="1206"/>
        <v>37625777.363230817</v>
      </c>
      <c r="EE482" s="196">
        <f>'Detailed Budget'!$AC$161</f>
        <v>251147290106.36197</v>
      </c>
      <c r="EF482" s="269">
        <f t="shared" si="1276"/>
        <v>402157796.65106058</v>
      </c>
      <c r="EG482" s="196">
        <f>'Detailed Budget'!$AC$163</f>
        <v>15696705631.647623</v>
      </c>
      <c r="EH482" s="269">
        <f t="shared" si="1277"/>
        <v>25134862.290691286</v>
      </c>
      <c r="EI482" s="269">
        <f t="shared" si="1207"/>
        <v>427292658.94175184</v>
      </c>
      <c r="EJ482" s="196">
        <f>'Detailed Budget'!$AC$204</f>
        <v>45012172507.531975</v>
      </c>
      <c r="EK482" s="269">
        <f t="shared" si="1278"/>
        <v>31387012.15688663</v>
      </c>
      <c r="EL482" s="201">
        <f>'Detailed Budget'!$AC$206</f>
        <v>11253043126.882994</v>
      </c>
      <c r="EM482" s="269">
        <f t="shared" si="1279"/>
        <v>7846753.0392216574</v>
      </c>
      <c r="EN482" s="269">
        <f t="shared" si="1208"/>
        <v>39233765.196108289</v>
      </c>
      <c r="EO482" s="140">
        <f>'Detailed Budget'!$AC$209</f>
        <v>135789361677.54817</v>
      </c>
      <c r="EP482" s="269">
        <f t="shared" si="1280"/>
        <v>264871429.48363003</v>
      </c>
      <c r="EQ482" s="196">
        <f>'Detailed Budget'!$AC$211</f>
        <v>33947340419.387043</v>
      </c>
      <c r="ER482" s="269">
        <f t="shared" si="1281"/>
        <v>66217857.370907508</v>
      </c>
      <c r="ES482" s="269">
        <f t="shared" si="1209"/>
        <v>331089286.85453755</v>
      </c>
      <c r="ET482" s="196">
        <f>'Detailed Budget'!$AC$214</f>
        <v>22239745544.201103</v>
      </c>
      <c r="EU482" s="269">
        <f t="shared" si="1282"/>
        <v>42130358.953770414</v>
      </c>
      <c r="EV482" s="140">
        <f>'Detailed Budget'!$AC$217</f>
        <v>5559936386.0502758</v>
      </c>
      <c r="EW482" s="269">
        <f t="shared" si="1283"/>
        <v>10532589.738442603</v>
      </c>
      <c r="EX482" s="269">
        <f t="shared" si="1210"/>
        <v>52662948.692213014</v>
      </c>
      <c r="EY482" s="196">
        <f>'Detailed Budget'!$AC$219</f>
        <v>372777004.58170313</v>
      </c>
      <c r="EZ482" s="269">
        <f t="shared" si="1284"/>
        <v>739271.33290236886</v>
      </c>
      <c r="FA482" s="196">
        <f>'Detailed Budget'!$AC$222</f>
        <v>93194251.145425782</v>
      </c>
      <c r="FB482" s="269">
        <f t="shared" si="1285"/>
        <v>184817.83322559221</v>
      </c>
      <c r="FC482" s="269">
        <f t="shared" si="1211"/>
        <v>924089.16612796113</v>
      </c>
      <c r="FD482" s="269"/>
      <c r="FE482" s="269">
        <f t="shared" si="1212"/>
        <v>423910089.90898681</v>
      </c>
      <c r="FF482" s="140">
        <f>'Detailed Budget'!$AC$165</f>
        <v>14927760000</v>
      </c>
      <c r="FG482" s="1087">
        <f t="shared" si="1232"/>
        <v>578241422.87821603</v>
      </c>
      <c r="FH482" s="269">
        <f t="shared" si="1286"/>
        <v>18657579.820474949</v>
      </c>
      <c r="FJ482" s="140">
        <f>'Detailed Budget'!$AC$235</f>
        <v>3623696172</v>
      </c>
      <c r="FK482" s="269">
        <f t="shared" si="1287"/>
        <v>4681778</v>
      </c>
      <c r="FL482" s="269">
        <f t="shared" si="1235"/>
        <v>4681778</v>
      </c>
      <c r="FO482" s="607"/>
      <c r="FP482" s="607"/>
      <c r="FQ482" s="607"/>
      <c r="FR482" s="269">
        <f>'Detailed Budget'!$AC$257</f>
        <v>13636439388</v>
      </c>
      <c r="FS482" s="269">
        <f t="shared" si="1288"/>
        <v>25483068</v>
      </c>
      <c r="FT482" s="269">
        <f t="shared" si="1237"/>
        <v>25483068</v>
      </c>
      <c r="FU482" s="269"/>
      <c r="FV482" s="269"/>
      <c r="FW482" s="269"/>
      <c r="FX482" s="140">
        <f>'Detailed Budget'!$AC$278</f>
        <v>1114560000</v>
      </c>
      <c r="FY482" s="269">
        <f t="shared" si="1289"/>
        <v>1440000</v>
      </c>
      <c r="FZ482" s="269">
        <f t="shared" si="1239"/>
        <v>1440000</v>
      </c>
      <c r="GB482" s="269">
        <f t="shared" si="1264"/>
        <v>1828809025.0773129</v>
      </c>
      <c r="GC482" s="887">
        <f t="shared" si="1213"/>
        <v>1143005.6406733205</v>
      </c>
      <c r="GD482" s="1078">
        <f t="shared" si="1265"/>
        <v>1.0262023315265611E-3</v>
      </c>
    </row>
    <row r="483" spans="1:186" hidden="1" outlineLevel="1">
      <c r="A483" s="211" t="s">
        <v>1092</v>
      </c>
      <c r="B483" s="212" t="s">
        <v>1093</v>
      </c>
      <c r="C483" s="213" t="s">
        <v>215</v>
      </c>
      <c r="D483" s="214"/>
      <c r="E483" s="213"/>
      <c r="F483" s="213"/>
      <c r="G483" s="213" t="s">
        <v>215</v>
      </c>
      <c r="H483" s="213" t="s">
        <v>215</v>
      </c>
      <c r="I483" s="214" t="s">
        <v>215</v>
      </c>
      <c r="J483" s="214"/>
      <c r="K483" s="213"/>
      <c r="L483" s="213"/>
      <c r="M483" s="213" t="s">
        <v>215</v>
      </c>
      <c r="N483" s="213"/>
      <c r="O483" s="214"/>
      <c r="P483" s="213"/>
      <c r="Q483" s="214"/>
      <c r="R483" s="214" t="s">
        <v>215</v>
      </c>
      <c r="S483" s="214"/>
      <c r="T483" s="214"/>
      <c r="U483" s="215">
        <f t="shared" si="1294"/>
        <v>6</v>
      </c>
      <c r="V483" s="845" t="s">
        <v>216</v>
      </c>
      <c r="W483" s="216">
        <v>220662</v>
      </c>
      <c r="X483" s="217">
        <v>2.77</v>
      </c>
      <c r="Y483" s="218">
        <f t="shared" si="1312"/>
        <v>1.0277000000000001</v>
      </c>
      <c r="Z483" s="196">
        <v>19</v>
      </c>
      <c r="AA483" s="218">
        <f t="shared" si="1313"/>
        <v>1.6805861263966091</v>
      </c>
      <c r="AB483" s="196">
        <f t="shared" si="1291"/>
        <v>370841.49582292855</v>
      </c>
      <c r="AC483">
        <v>11.4</v>
      </c>
      <c r="AD483" s="196">
        <f t="shared" si="1292"/>
        <v>42275.930523813862</v>
      </c>
      <c r="AE483" s="196">
        <f t="shared" si="1314"/>
        <v>40162.133997623168</v>
      </c>
      <c r="AF483" s="196">
        <f t="shared" si="1295"/>
        <v>0</v>
      </c>
      <c r="AG483" s="606">
        <f t="shared" si="1216"/>
        <v>1.8569207609781795E-3</v>
      </c>
      <c r="AH483" s="196">
        <f t="shared" si="1311"/>
        <v>18542.074791146428</v>
      </c>
      <c r="AI483" s="248">
        <f t="shared" si="1193"/>
        <v>1.4364264400826921E-3</v>
      </c>
      <c r="AJ483" s="196">
        <f t="shared" si="1196"/>
        <v>60818.00531496029</v>
      </c>
      <c r="AK483" s="196">
        <f t="shared" si="1225"/>
        <v>14833.659832917143</v>
      </c>
      <c r="AL483" s="196">
        <f t="shared" si="1226"/>
        <v>14833.659832917143</v>
      </c>
      <c r="AM483" s="196">
        <f t="shared" si="1197"/>
        <v>29667.319665834286</v>
      </c>
      <c r="AN483" s="627">
        <f t="shared" si="1198"/>
        <v>1.4364264400826921E-3</v>
      </c>
      <c r="AO483" s="196">
        <f t="shared" si="1199"/>
        <v>14091.976841271286</v>
      </c>
      <c r="AP483" s="589">
        <f t="shared" si="1217"/>
        <v>1.4364264400826921E-3</v>
      </c>
      <c r="AQ483" s="196"/>
      <c r="AR483" s="589"/>
      <c r="AS483">
        <v>1</v>
      </c>
      <c r="AT483" s="589">
        <f t="shared" si="1218"/>
        <v>1.2919896640826874E-3</v>
      </c>
      <c r="AU483" s="196">
        <v>10</v>
      </c>
      <c r="AV483" s="245">
        <f t="shared" si="1200"/>
        <v>1.1362345188046814E-3</v>
      </c>
      <c r="AX483" s="245"/>
      <c r="AY483" s="245"/>
      <c r="AZ483" s="196">
        <v>53</v>
      </c>
      <c r="BA483" s="589">
        <f t="shared" si="1256"/>
        <v>1.9420321717782418E-3</v>
      </c>
      <c r="BI483" s="196">
        <v>0</v>
      </c>
      <c r="BK483" s="246">
        <f t="shared" si="1257"/>
        <v>0</v>
      </c>
      <c r="BL483" s="246"/>
      <c r="BM483" s="246">
        <f t="shared" si="1258"/>
        <v>0</v>
      </c>
      <c r="BN483" s="196">
        <v>1</v>
      </c>
      <c r="BO483" s="196">
        <f t="shared" si="1296"/>
        <v>19603.946693850146</v>
      </c>
      <c r="BP483" s="196">
        <f t="shared" si="1201"/>
        <v>19603.946693850146</v>
      </c>
      <c r="BQ483" s="248">
        <f t="shared" si="1259"/>
        <v>1.8338579225702879E-3</v>
      </c>
      <c r="BR483" s="248"/>
      <c r="BS483" s="248"/>
      <c r="BT483" s="276">
        <v>0</v>
      </c>
      <c r="BU483" s="196">
        <f t="shared" si="1297"/>
        <v>0</v>
      </c>
      <c r="BV483" s="264">
        <f t="shared" si="1261"/>
        <v>0</v>
      </c>
      <c r="BW483" s="196">
        <f t="shared" si="1298"/>
        <v>0</v>
      </c>
      <c r="BX483" s="247">
        <f t="shared" si="1263"/>
        <v>0</v>
      </c>
      <c r="BY483" s="196">
        <f t="shared" si="1299"/>
        <v>0</v>
      </c>
      <c r="BZ483" s="620">
        <v>1</v>
      </c>
      <c r="CA483" s="196">
        <f t="shared" si="1300"/>
        <v>113477.49772181615</v>
      </c>
      <c r="CB483" s="196">
        <f t="shared" si="1301"/>
        <v>226954.9954436323</v>
      </c>
      <c r="CC483" s="196">
        <f t="shared" si="1214"/>
        <v>340432.49316544842</v>
      </c>
      <c r="CD483" s="247">
        <f t="shared" si="1202"/>
        <v>1.4364264400826921E-3</v>
      </c>
      <c r="CE483" s="196">
        <f t="shared" si="1302"/>
        <v>33379.534626843917</v>
      </c>
      <c r="CF483" s="247">
        <f t="shared" si="1203"/>
        <v>1.4414321137261711E-3</v>
      </c>
      <c r="CG483" s="196">
        <f t="shared" si="1268"/>
        <v>56367.907365085142</v>
      </c>
      <c r="CH483" s="589">
        <f t="shared" si="1219"/>
        <v>1.4364264400826921E-3</v>
      </c>
      <c r="CI483" s="196">
        <f t="shared" si="1303"/>
        <v>38048.159104085913</v>
      </c>
      <c r="CJ483" s="248">
        <f t="shared" si="1220"/>
        <v>6.2551163909217538E-4</v>
      </c>
      <c r="CK483" s="196">
        <f t="shared" si="1304"/>
        <v>121722.45280661051</v>
      </c>
      <c r="CL483" s="589">
        <f t="shared" si="1221"/>
        <v>1.7497852963353851E-3</v>
      </c>
      <c r="CM483" s="196">
        <f t="shared" si="1305"/>
        <v>11791.865281456716</v>
      </c>
      <c r="CN483" s="589">
        <f t="shared" si="1222"/>
        <v>1.6993417974919313E-3</v>
      </c>
      <c r="CO483" s="196">
        <f t="shared" si="1306"/>
        <v>943.33061027167821</v>
      </c>
      <c r="CP483" s="589">
        <f t="shared" si="1223"/>
        <v>1.7789762313097166E-3</v>
      </c>
      <c r="CQ483" s="196">
        <f>'Detailed Budget'!$AC$12</f>
        <v>292876014141.44696</v>
      </c>
      <c r="CR483" s="269">
        <f t="shared" si="1224"/>
        <v>0</v>
      </c>
      <c r="CS483" s="269">
        <f>'Detailed Budget'!$AC$16</f>
        <v>10488008800.000002</v>
      </c>
      <c r="CT483" s="607">
        <f t="shared" si="1269"/>
        <v>0</v>
      </c>
      <c r="CU483" s="269">
        <f>'Detailed Budget'!$AC$24</f>
        <v>30624985696</v>
      </c>
      <c r="CV483" s="269">
        <f t="shared" si="1250"/>
        <v>0</v>
      </c>
      <c r="CW483" s="269"/>
      <c r="CX483" s="269">
        <f t="shared" si="1215"/>
        <v>0</v>
      </c>
      <c r="CY483" s="196">
        <f>'Detailed Budget'!$AC$97</f>
        <v>74629165494.837845</v>
      </c>
      <c r="CZ483" s="269">
        <f t="shared" si="1270"/>
        <v>136859286.39751753</v>
      </c>
      <c r="DA483" s="269">
        <f>'Detailed Budget'!$AC$100</f>
        <v>14925833098.967569</v>
      </c>
      <c r="DB483" s="269">
        <f t="shared" si="1271"/>
        <v>27371857.279503509</v>
      </c>
      <c r="DC483" s="269">
        <f t="shared" si="1204"/>
        <v>164231143.67702103</v>
      </c>
      <c r="DD483" s="207">
        <v>0</v>
      </c>
      <c r="DE483" s="606">
        <v>0</v>
      </c>
      <c r="DF483" s="269">
        <f>'Detailed Budget'!$AC$147</f>
        <v>5913600671000</v>
      </c>
      <c r="DG483" s="269">
        <f t="shared" si="1230"/>
        <v>0</v>
      </c>
      <c r="DH483" s="269">
        <f>'Detailed Budget'!$AC$153</f>
        <v>226428026880.00003</v>
      </c>
      <c r="DI483" s="269"/>
      <c r="DJ483" s="269">
        <f>'Detailed Budget'!$AC$156</f>
        <v>27713070000</v>
      </c>
      <c r="DK483" s="269"/>
      <c r="DL483" s="269"/>
      <c r="DM483" s="196">
        <f>'Detailed Budget'!$AC$178</f>
        <v>5622683761.6229038</v>
      </c>
      <c r="DN483" s="269">
        <f t="shared" si="1307"/>
        <v>0</v>
      </c>
      <c r="DO483" s="196">
        <f>'Detailed Budget'!$AC$179</f>
        <v>26827890683.128094</v>
      </c>
      <c r="DP483" s="269">
        <f t="shared" si="1308"/>
        <v>0</v>
      </c>
      <c r="DQ483" s="269">
        <f t="shared" si="1192"/>
        <v>0</v>
      </c>
      <c r="DR483" s="269">
        <f>'Detailed Budget'!$AC$181</f>
        <v>50888946855.375237</v>
      </c>
      <c r="DS483" s="269">
        <f t="shared" si="1309"/>
        <v>0</v>
      </c>
      <c r="DT483" s="269">
        <f t="shared" si="1310"/>
        <v>0</v>
      </c>
      <c r="DU483" s="272">
        <f>'Detailed Budget'!$AC$192</f>
        <v>77498869683.252869</v>
      </c>
      <c r="DV483" s="269">
        <f t="shared" si="1272"/>
        <v>111321425.48954739</v>
      </c>
      <c r="DW483" s="140">
        <f>'Detailed Budget'!$AC$194</f>
        <v>2684962805.4134097</v>
      </c>
      <c r="DX483" s="269">
        <f t="shared" si="1273"/>
        <v>3856751.5643344219</v>
      </c>
      <c r="DY483" s="607">
        <f t="shared" si="1205"/>
        <v>115178177.05388181</v>
      </c>
      <c r="DZ483" s="196">
        <f>'Detailed Budget'!$AC$198</f>
        <v>18732540018.380611</v>
      </c>
      <c r="EA483" s="269">
        <f t="shared" si="1274"/>
        <v>27001684.754154455</v>
      </c>
      <c r="EB483" s="196">
        <f>'Detailed Budget'!$AC$200</f>
        <v>4683135004.5951529</v>
      </c>
      <c r="EC483" s="269">
        <f t="shared" si="1275"/>
        <v>6750421.1885386137</v>
      </c>
      <c r="ED483" s="269">
        <f t="shared" si="1206"/>
        <v>33752105.94269307</v>
      </c>
      <c r="EE483" s="196">
        <f>'Detailed Budget'!$AC$161</f>
        <v>251147290106.36197</v>
      </c>
      <c r="EF483" s="269">
        <f t="shared" si="1276"/>
        <v>360754607.86389661</v>
      </c>
      <c r="EG483" s="196">
        <f>'Detailed Budget'!$AC$163</f>
        <v>15696705631.647623</v>
      </c>
      <c r="EH483" s="269">
        <f t="shared" si="1277"/>
        <v>22547162.991493538</v>
      </c>
      <c r="EI483" s="269">
        <f t="shared" si="1207"/>
        <v>383301770.85539013</v>
      </c>
      <c r="EJ483" s="196">
        <f>'Detailed Budget'!$AC$204</f>
        <v>45012172507.531975</v>
      </c>
      <c r="EK483" s="269">
        <f t="shared" si="1278"/>
        <v>28155637.804286078</v>
      </c>
      <c r="EL483" s="201">
        <f>'Detailed Budget'!$AC$206</f>
        <v>11253043126.882994</v>
      </c>
      <c r="EM483" s="269">
        <f t="shared" si="1279"/>
        <v>7038909.4510715194</v>
      </c>
      <c r="EN483" s="269">
        <f t="shared" si="1208"/>
        <v>35194547.255357593</v>
      </c>
      <c r="EO483" s="140">
        <f>'Detailed Budget'!$AC$209</f>
        <v>135789361677.54817</v>
      </c>
      <c r="EP483" s="269">
        <f t="shared" si="1280"/>
        <v>237602228.46214139</v>
      </c>
      <c r="EQ483" s="196">
        <f>'Detailed Budget'!$AC$211</f>
        <v>33947340419.387043</v>
      </c>
      <c r="ER483" s="269">
        <f t="shared" si="1281"/>
        <v>59400557.115535349</v>
      </c>
      <c r="ES483" s="269">
        <f t="shared" si="1209"/>
        <v>297002785.57767677</v>
      </c>
      <c r="ET483" s="196">
        <f>'Detailed Budget'!$AC$214</f>
        <v>22239745544.201103</v>
      </c>
      <c r="EU483" s="269">
        <f t="shared" si="1282"/>
        <v>37792929.16884587</v>
      </c>
      <c r="EV483" s="140">
        <f>'Detailed Budget'!$AC$217</f>
        <v>5559936386.0502758</v>
      </c>
      <c r="EW483" s="269">
        <f t="shared" si="1283"/>
        <v>9448232.2922114674</v>
      </c>
      <c r="EX483" s="269">
        <f t="shared" si="1210"/>
        <v>47241161.461057335</v>
      </c>
      <c r="EY483" s="196">
        <f>'Detailed Budget'!$AC$219</f>
        <v>372777004.58170313</v>
      </c>
      <c r="EZ483" s="269">
        <f t="shared" si="1284"/>
        <v>663161.43072968326</v>
      </c>
      <c r="FA483" s="196">
        <f>'Detailed Budget'!$AC$222</f>
        <v>93194251.145425782</v>
      </c>
      <c r="FB483" s="269">
        <f t="shared" si="1285"/>
        <v>165790.35768242081</v>
      </c>
      <c r="FC483" s="269">
        <f t="shared" si="1211"/>
        <v>828951.78841210413</v>
      </c>
      <c r="FD483" s="269"/>
      <c r="FE483" s="269">
        <f t="shared" si="1212"/>
        <v>380267446.0825038</v>
      </c>
      <c r="FF483" s="140">
        <f>'Detailed Budget'!$AC$165</f>
        <v>14927760000</v>
      </c>
      <c r="FG483" s="1087">
        <f t="shared" si="1232"/>
        <v>518709967.82412452</v>
      </c>
      <c r="FH483" s="269">
        <f t="shared" si="1286"/>
        <v>16961436.200431772</v>
      </c>
      <c r="FJ483" s="140">
        <f>'Detailed Budget'!$AC$235</f>
        <v>3623696172</v>
      </c>
      <c r="FK483" s="269">
        <f t="shared" si="1287"/>
        <v>4681778</v>
      </c>
      <c r="FL483" s="269">
        <f t="shared" si="1235"/>
        <v>4681778</v>
      </c>
      <c r="FO483" s="607"/>
      <c r="FP483" s="607"/>
      <c r="FQ483" s="607"/>
      <c r="FR483" s="269">
        <f>'Detailed Budget'!$AC$257</f>
        <v>13636439388</v>
      </c>
      <c r="FS483" s="269">
        <f t="shared" si="1288"/>
        <v>26482404</v>
      </c>
      <c r="FT483" s="269">
        <f t="shared" si="1237"/>
        <v>26482404</v>
      </c>
      <c r="FU483" s="269"/>
      <c r="FV483" s="269"/>
      <c r="FW483" s="269"/>
      <c r="FX483" s="140">
        <f>'Detailed Budget'!$AC$278</f>
        <v>1114560000</v>
      </c>
      <c r="FY483" s="269">
        <f t="shared" si="1289"/>
        <v>1440000</v>
      </c>
      <c r="FZ483" s="269">
        <f t="shared" si="1239"/>
        <v>1440000</v>
      </c>
      <c r="GB483" s="269">
        <f t="shared" si="1264"/>
        <v>1645006229.6360462</v>
      </c>
      <c r="GC483" s="887">
        <f t="shared" si="1213"/>
        <v>1028128.8935225288</v>
      </c>
      <c r="GD483" s="1078">
        <f t="shared" si="1265"/>
        <v>9.2306479521931674E-4</v>
      </c>
    </row>
    <row r="484" spans="1:186" hidden="1" outlineLevel="1">
      <c r="A484" s="211" t="s">
        <v>1094</v>
      </c>
      <c r="B484" s="212" t="s">
        <v>1095</v>
      </c>
      <c r="C484" s="213" t="s">
        <v>215</v>
      </c>
      <c r="D484" s="214"/>
      <c r="E484" s="213"/>
      <c r="F484" s="213"/>
      <c r="G484" s="213" t="s">
        <v>215</v>
      </c>
      <c r="H484" s="213" t="s">
        <v>215</v>
      </c>
      <c r="I484" s="214" t="s">
        <v>215</v>
      </c>
      <c r="J484" s="214"/>
      <c r="K484" s="213"/>
      <c r="L484" s="213"/>
      <c r="M484" s="213" t="s">
        <v>215</v>
      </c>
      <c r="N484" s="213"/>
      <c r="O484" s="214"/>
      <c r="P484" s="213"/>
      <c r="Q484" s="214"/>
      <c r="R484" s="214" t="s">
        <v>215</v>
      </c>
      <c r="S484" s="214"/>
      <c r="T484" s="214"/>
      <c r="U484" s="215">
        <f t="shared" si="1294"/>
        <v>6</v>
      </c>
      <c r="V484" s="845" t="s">
        <v>216</v>
      </c>
      <c r="W484" s="216">
        <v>85371</v>
      </c>
      <c r="X484" s="217">
        <v>2.77</v>
      </c>
      <c r="Y484" s="218">
        <f t="shared" si="1312"/>
        <v>1.0277000000000001</v>
      </c>
      <c r="Z484" s="196">
        <v>19</v>
      </c>
      <c r="AA484" s="218">
        <f t="shared" si="1313"/>
        <v>1.6805861263966091</v>
      </c>
      <c r="AB484" s="196">
        <f t="shared" si="1291"/>
        <v>143473.3181966049</v>
      </c>
      <c r="AC484">
        <v>11.4</v>
      </c>
      <c r="AD484" s="196">
        <f t="shared" si="1292"/>
        <v>16355.958274412958</v>
      </c>
      <c r="AE484" s="196">
        <f t="shared" si="1314"/>
        <v>15538.160360692309</v>
      </c>
      <c r="AF484" s="196">
        <f t="shared" si="1295"/>
        <v>0</v>
      </c>
      <c r="AG484" s="606">
        <f t="shared" si="1216"/>
        <v>7.184163212762873E-4</v>
      </c>
      <c r="AH484" s="196">
        <f t="shared" si="1311"/>
        <v>7173.6659098302453</v>
      </c>
      <c r="AI484" s="248">
        <f t="shared" si="1193"/>
        <v>5.5573302886903725E-4</v>
      </c>
      <c r="AJ484" s="196">
        <f t="shared" si="1196"/>
        <v>23529.624184243203</v>
      </c>
      <c r="AK484" s="196">
        <f t="shared" si="1225"/>
        <v>5738.9327278641958</v>
      </c>
      <c r="AL484" s="196">
        <f t="shared" si="1226"/>
        <v>5738.9327278641958</v>
      </c>
      <c r="AM484" s="196">
        <f t="shared" si="1197"/>
        <v>11477.865455728392</v>
      </c>
      <c r="AN484" s="627">
        <f t="shared" si="1198"/>
        <v>5.5573302886903714E-4</v>
      </c>
      <c r="AO484" s="196">
        <f t="shared" si="1199"/>
        <v>5451.9860914709861</v>
      </c>
      <c r="AP484" s="589">
        <f t="shared" si="1217"/>
        <v>5.5573302886903725E-4</v>
      </c>
      <c r="AQ484" s="196"/>
      <c r="AR484" s="589"/>
      <c r="AS484">
        <v>1</v>
      </c>
      <c r="AT484" s="589">
        <f t="shared" si="1218"/>
        <v>1.2919896640826874E-3</v>
      </c>
      <c r="AU484" s="196">
        <v>10</v>
      </c>
      <c r="AV484" s="245">
        <f t="shared" si="1200"/>
        <v>1.1362345188046814E-3</v>
      </c>
      <c r="AX484" s="245"/>
      <c r="AY484" s="245"/>
      <c r="AZ484" s="196">
        <v>29</v>
      </c>
      <c r="BA484" s="589">
        <f t="shared" si="1256"/>
        <v>1.0626213770107361E-3</v>
      </c>
      <c r="BI484" s="196">
        <v>0</v>
      </c>
      <c r="BK484" s="246">
        <f t="shared" si="1257"/>
        <v>0</v>
      </c>
      <c r="BL484" s="246"/>
      <c r="BM484" s="246">
        <f t="shared" si="1258"/>
        <v>0</v>
      </c>
      <c r="BN484" s="196">
        <v>1</v>
      </c>
      <c r="BO484" s="196">
        <f t="shared" si="1296"/>
        <v>7584.4890973555957</v>
      </c>
      <c r="BP484" s="196">
        <f t="shared" si="1201"/>
        <v>7584.4890973555957</v>
      </c>
      <c r="BQ484" s="248">
        <f t="shared" si="1259"/>
        <v>7.0949363600324492E-4</v>
      </c>
      <c r="BR484" s="248"/>
      <c r="BS484" s="248"/>
      <c r="BT484" s="276">
        <v>0</v>
      </c>
      <c r="BU484" s="196">
        <f t="shared" si="1297"/>
        <v>0</v>
      </c>
      <c r="BV484" s="264">
        <f t="shared" si="1261"/>
        <v>0</v>
      </c>
      <c r="BW484" s="196">
        <f t="shared" si="1298"/>
        <v>0</v>
      </c>
      <c r="BX484" s="247">
        <f t="shared" si="1263"/>
        <v>0</v>
      </c>
      <c r="BY484" s="196">
        <f t="shared" si="1299"/>
        <v>0</v>
      </c>
      <c r="BZ484" s="620">
        <v>1</v>
      </c>
      <c r="CA484" s="196">
        <f t="shared" si="1300"/>
        <v>43902.835368161104</v>
      </c>
      <c r="CB484" s="196">
        <f t="shared" si="1301"/>
        <v>87805.670736322209</v>
      </c>
      <c r="CC484" s="196">
        <f t="shared" si="1214"/>
        <v>131708.50610448333</v>
      </c>
      <c r="CD484" s="247">
        <f t="shared" si="1202"/>
        <v>5.5573302886903736E-4</v>
      </c>
      <c r="CE484" s="196">
        <f t="shared" si="1302"/>
        <v>12914.068804906561</v>
      </c>
      <c r="CF484" s="247">
        <f t="shared" si="1203"/>
        <v>5.576696530481775E-4</v>
      </c>
      <c r="CG484" s="196">
        <f t="shared" si="1268"/>
        <v>21807.944365883945</v>
      </c>
      <c r="CH484" s="589">
        <f t="shared" si="1219"/>
        <v>5.5573302886903725E-4</v>
      </c>
      <c r="CI484" s="196">
        <f t="shared" si="1303"/>
        <v>14720.293439173565</v>
      </c>
      <c r="CJ484" s="248">
        <f t="shared" si="1220"/>
        <v>2.4200158677496842E-4</v>
      </c>
      <c r="CK484" s="196">
        <f t="shared" si="1304"/>
        <v>47092.691621362734</v>
      </c>
      <c r="CL484" s="589">
        <f t="shared" si="1221"/>
        <v>6.7696712861049085E-4</v>
      </c>
      <c r="CM484" s="196">
        <f t="shared" si="1305"/>
        <v>4562.1055321860622</v>
      </c>
      <c r="CN484" s="589">
        <f t="shared" si="1222"/>
        <v>6.5745125392538634E-4</v>
      </c>
      <c r="CO484" s="196">
        <f t="shared" si="1306"/>
        <v>364.96124176117053</v>
      </c>
      <c r="CP484" s="589">
        <f t="shared" si="1223"/>
        <v>6.8826068758164874E-4</v>
      </c>
      <c r="CQ484" s="196">
        <f>'Detailed Budget'!$AC$12</f>
        <v>292876014141.44696</v>
      </c>
      <c r="CR484" s="269">
        <f t="shared" si="1224"/>
        <v>0</v>
      </c>
      <c r="CS484" s="269">
        <f>'Detailed Budget'!$AC$16</f>
        <v>10488008800.000002</v>
      </c>
      <c r="CT484" s="607">
        <f t="shared" si="1269"/>
        <v>0</v>
      </c>
      <c r="CU484" s="269">
        <f>'Detailed Budget'!$AC$24</f>
        <v>30624985696</v>
      </c>
      <c r="CV484" s="269">
        <f t="shared" si="1250"/>
        <v>0</v>
      </c>
      <c r="CW484" s="269"/>
      <c r="CX484" s="269">
        <f t="shared" si="1215"/>
        <v>0</v>
      </c>
      <c r="CY484" s="196">
        <f>'Detailed Budget'!$AC$97</f>
        <v>74629165494.837845</v>
      </c>
      <c r="CZ484" s="269">
        <f t="shared" si="1270"/>
        <v>52948917.978820406</v>
      </c>
      <c r="DA484" s="269">
        <f>'Detailed Budget'!$AC$100</f>
        <v>14925833098.967569</v>
      </c>
      <c r="DB484" s="269">
        <f t="shared" si="1271"/>
        <v>10589783.595764082</v>
      </c>
      <c r="DC484" s="269">
        <f t="shared" si="1204"/>
        <v>63538701.574584484</v>
      </c>
      <c r="DD484" s="207">
        <v>0</v>
      </c>
      <c r="DE484" s="606">
        <v>0</v>
      </c>
      <c r="DF484" s="269">
        <f>'Detailed Budget'!$AC$147</f>
        <v>5913600671000</v>
      </c>
      <c r="DG484" s="269">
        <f t="shared" si="1230"/>
        <v>0</v>
      </c>
      <c r="DH484" s="269">
        <f>'Detailed Budget'!$AC$153</f>
        <v>226428026880.00003</v>
      </c>
      <c r="DI484" s="269"/>
      <c r="DJ484" s="269">
        <f>'Detailed Budget'!$AC$156</f>
        <v>27713070000</v>
      </c>
      <c r="DK484" s="269"/>
      <c r="DL484" s="269"/>
      <c r="DM484" s="196">
        <f>'Detailed Budget'!$AC$178</f>
        <v>5622683761.6229038</v>
      </c>
      <c r="DN484" s="269">
        <f t="shared" si="1307"/>
        <v>0</v>
      </c>
      <c r="DO484" s="196">
        <f>'Detailed Budget'!$AC$179</f>
        <v>26827890683.128094</v>
      </c>
      <c r="DP484" s="269">
        <f t="shared" si="1308"/>
        <v>0</v>
      </c>
      <c r="DQ484" s="269">
        <f t="shared" si="1192"/>
        <v>0</v>
      </c>
      <c r="DR484" s="269">
        <f>'Detailed Budget'!$AC$181</f>
        <v>50888946855.375237</v>
      </c>
      <c r="DS484" s="269">
        <f t="shared" si="1309"/>
        <v>0</v>
      </c>
      <c r="DT484" s="269">
        <f t="shared" si="1310"/>
        <v>0</v>
      </c>
      <c r="DU484" s="272">
        <f>'Detailed Budget'!$AC$192</f>
        <v>77498869683.252869</v>
      </c>
      <c r="DV484" s="269">
        <f t="shared" si="1272"/>
        <v>43068681.583000928</v>
      </c>
      <c r="DW484" s="140">
        <f>'Detailed Budget'!$AC$194</f>
        <v>2684962805.4134097</v>
      </c>
      <c r="DX484" s="269">
        <f t="shared" si="1273"/>
        <v>1492122.5122531014</v>
      </c>
      <c r="DY484" s="607">
        <f t="shared" si="1205"/>
        <v>44560804.095254026</v>
      </c>
      <c r="DZ484" s="196">
        <f>'Detailed Budget'!$AC$198</f>
        <v>18732540018.380611</v>
      </c>
      <c r="EA484" s="269">
        <f t="shared" si="1274"/>
        <v>10446569.092761416</v>
      </c>
      <c r="EB484" s="196">
        <f>'Detailed Budget'!$AC$200</f>
        <v>4683135004.5951529</v>
      </c>
      <c r="EC484" s="269">
        <f t="shared" si="1275"/>
        <v>2611642.273190354</v>
      </c>
      <c r="ED484" s="269">
        <f t="shared" si="1206"/>
        <v>13058211.365951769</v>
      </c>
      <c r="EE484" s="196">
        <f>'Detailed Budget'!$AC$161</f>
        <v>251147290106.36197</v>
      </c>
      <c r="EF484" s="269">
        <f t="shared" si="1276"/>
        <v>139570844.22305933</v>
      </c>
      <c r="EG484" s="196">
        <f>'Detailed Budget'!$AC$163</f>
        <v>15696705631.647623</v>
      </c>
      <c r="EH484" s="269">
        <f t="shared" si="1277"/>
        <v>8723177.7639412079</v>
      </c>
      <c r="EI484" s="269">
        <f t="shared" si="1207"/>
        <v>148294021.98700052</v>
      </c>
      <c r="EJ484" s="196">
        <f>'Detailed Budget'!$AC$204</f>
        <v>45012172507.531975</v>
      </c>
      <c r="EK484" s="269">
        <f t="shared" si="1278"/>
        <v>10893017.171011347</v>
      </c>
      <c r="EL484" s="201">
        <f>'Detailed Budget'!$AC$206</f>
        <v>11253043126.882994</v>
      </c>
      <c r="EM484" s="269">
        <f t="shared" si="1279"/>
        <v>2723254.2927528368</v>
      </c>
      <c r="EN484" s="269">
        <f t="shared" si="1208"/>
        <v>13616271.463764183</v>
      </c>
      <c r="EO484" s="140">
        <f>'Detailed Budget'!$AC$209</f>
        <v>135789361677.54817</v>
      </c>
      <c r="EP484" s="269">
        <f t="shared" si="1280"/>
        <v>91924934.270701215</v>
      </c>
      <c r="EQ484" s="196">
        <f>'Detailed Budget'!$AC$211</f>
        <v>33947340419.387043</v>
      </c>
      <c r="ER484" s="269">
        <f t="shared" si="1281"/>
        <v>22981233.567675304</v>
      </c>
      <c r="ES484" s="269">
        <f t="shared" si="1209"/>
        <v>114906167.83837652</v>
      </c>
      <c r="ET484" s="196">
        <f>'Detailed Budget'!$AC$214</f>
        <v>22239745544.201103</v>
      </c>
      <c r="EU484" s="269">
        <f t="shared" si="1282"/>
        <v>14621548.595016539</v>
      </c>
      <c r="EV484" s="140">
        <f>'Detailed Budget'!$AC$217</f>
        <v>5559936386.0502758</v>
      </c>
      <c r="EW484" s="269">
        <f t="shared" si="1283"/>
        <v>3655387.1487541348</v>
      </c>
      <c r="EX484" s="269">
        <f t="shared" si="1210"/>
        <v>18276935.743770674</v>
      </c>
      <c r="EY484" s="196">
        <f>'Detailed Budget'!$AC$219</f>
        <v>372777004.58170313</v>
      </c>
      <c r="EZ484" s="269">
        <f t="shared" si="1284"/>
        <v>256567.75748803042</v>
      </c>
      <c r="FA484" s="196">
        <f>'Detailed Budget'!$AC$222</f>
        <v>93194251.145425782</v>
      </c>
      <c r="FB484" s="269">
        <f t="shared" si="1285"/>
        <v>64141.939372007604</v>
      </c>
      <c r="FC484" s="269">
        <f t="shared" si="1211"/>
        <v>320709.69686003804</v>
      </c>
      <c r="FD484" s="269"/>
      <c r="FE484" s="269">
        <f t="shared" si="1212"/>
        <v>147120084.74277142</v>
      </c>
      <c r="FF484" s="140">
        <f>'Detailed Budget'!$AC$165</f>
        <v>14927760000</v>
      </c>
      <c r="FG484" s="1087">
        <f t="shared" si="1232"/>
        <v>200681534.03446597</v>
      </c>
      <c r="FH484" s="269">
        <f t="shared" si="1286"/>
        <v>16961436.200431772</v>
      </c>
      <c r="FJ484" s="140">
        <f>'Detailed Budget'!$AC$235</f>
        <v>3623696172</v>
      </c>
      <c r="FK484" s="269">
        <f t="shared" si="1287"/>
        <v>4681778</v>
      </c>
      <c r="FL484" s="269">
        <f t="shared" si="1235"/>
        <v>4681778</v>
      </c>
      <c r="FO484" s="607"/>
      <c r="FP484" s="607"/>
      <c r="FQ484" s="607"/>
      <c r="FR484" s="269">
        <f>'Detailed Budget'!$AC$257</f>
        <v>13636439388</v>
      </c>
      <c r="FS484" s="269">
        <f t="shared" si="1288"/>
        <v>14490372</v>
      </c>
      <c r="FT484" s="269">
        <f t="shared" si="1237"/>
        <v>14490372</v>
      </c>
      <c r="FU484" s="269"/>
      <c r="FV484" s="269"/>
      <c r="FW484" s="269"/>
      <c r="FX484" s="140">
        <f>'Detailed Budget'!$AC$278</f>
        <v>1114560000</v>
      </c>
      <c r="FY484" s="269">
        <f t="shared" si="1289"/>
        <v>1440000</v>
      </c>
      <c r="FZ484" s="269">
        <f t="shared" si="1239"/>
        <v>1440000</v>
      </c>
      <c r="GB484" s="269">
        <f t="shared" si="1264"/>
        <v>654826944.00045991</v>
      </c>
      <c r="GC484" s="887">
        <f t="shared" si="1213"/>
        <v>409266.84000028746</v>
      </c>
      <c r="GD484" s="1078">
        <f t="shared" si="1265"/>
        <v>3.674440181917172E-4</v>
      </c>
    </row>
    <row r="485" spans="1:186" hidden="1" outlineLevel="1">
      <c r="A485" s="211" t="s">
        <v>1096</v>
      </c>
      <c r="B485" s="212" t="s">
        <v>1097</v>
      </c>
      <c r="C485" s="213" t="s">
        <v>215</v>
      </c>
      <c r="D485" s="214"/>
      <c r="E485" s="213"/>
      <c r="F485" s="213"/>
      <c r="G485" s="213" t="s">
        <v>215</v>
      </c>
      <c r="H485" s="213" t="s">
        <v>215</v>
      </c>
      <c r="I485" s="214" t="s">
        <v>215</v>
      </c>
      <c r="J485" s="214"/>
      <c r="K485" s="213"/>
      <c r="L485" s="213"/>
      <c r="M485" s="213" t="s">
        <v>215</v>
      </c>
      <c r="N485" s="213"/>
      <c r="O485" s="214"/>
      <c r="P485" s="213"/>
      <c r="Q485" s="214"/>
      <c r="R485" s="214" t="s">
        <v>215</v>
      </c>
      <c r="S485" s="214"/>
      <c r="T485" s="214"/>
      <c r="U485" s="215">
        <f t="shared" si="1294"/>
        <v>6</v>
      </c>
      <c r="V485" s="845" t="s">
        <v>216</v>
      </c>
      <c r="W485" s="216">
        <v>58139</v>
      </c>
      <c r="X485" s="217">
        <v>2.77</v>
      </c>
      <c r="Y485" s="218">
        <f t="shared" si="1312"/>
        <v>1.0277000000000001</v>
      </c>
      <c r="Z485" s="196">
        <v>19</v>
      </c>
      <c r="AA485" s="218">
        <f t="shared" si="1313"/>
        <v>1.6805861263966091</v>
      </c>
      <c r="AB485" s="196">
        <f t="shared" si="1291"/>
        <v>97707.596802572458</v>
      </c>
      <c r="AC485">
        <v>11.4</v>
      </c>
      <c r="AD485" s="196">
        <f t="shared" si="1292"/>
        <v>11138.666035493261</v>
      </c>
      <c r="AE485" s="196">
        <f t="shared" si="1314"/>
        <v>10581.732733718598</v>
      </c>
      <c r="AF485" s="196">
        <f t="shared" si="1295"/>
        <v>0</v>
      </c>
      <c r="AG485" s="606">
        <f t="shared" si="1216"/>
        <v>4.8925286693001229E-4</v>
      </c>
      <c r="AH485" s="196">
        <f t="shared" si="1311"/>
        <v>4885.3798401286231</v>
      </c>
      <c r="AI485" s="248">
        <f t="shared" si="1193"/>
        <v>3.7846297414130043E-4</v>
      </c>
      <c r="AJ485" s="196">
        <f t="shared" si="1196"/>
        <v>16024.045875621883</v>
      </c>
      <c r="AK485" s="196">
        <f t="shared" si="1225"/>
        <v>3908.3038721028984</v>
      </c>
      <c r="AL485" s="196">
        <f t="shared" si="1226"/>
        <v>3908.3038721028984</v>
      </c>
      <c r="AM485" s="196">
        <f t="shared" si="1197"/>
        <v>7816.6077442057967</v>
      </c>
      <c r="AN485" s="627">
        <f t="shared" si="1198"/>
        <v>3.7846297414130043E-4</v>
      </c>
      <c r="AO485" s="196">
        <f t="shared" si="1199"/>
        <v>3712.8886784977535</v>
      </c>
      <c r="AP485" s="589">
        <f t="shared" si="1217"/>
        <v>3.7846297414130043E-4</v>
      </c>
      <c r="AQ485" s="196"/>
      <c r="AR485" s="589"/>
      <c r="AS485">
        <v>1</v>
      </c>
      <c r="AT485" s="589">
        <f t="shared" si="1218"/>
        <v>1.2919896640826874E-3</v>
      </c>
      <c r="AU485" s="196">
        <v>10</v>
      </c>
      <c r="AV485" s="245">
        <f t="shared" si="1200"/>
        <v>1.1362345188046814E-3</v>
      </c>
      <c r="AX485" s="245"/>
      <c r="AY485" s="245"/>
      <c r="AZ485" s="196">
        <v>33</v>
      </c>
      <c r="BA485" s="589">
        <f t="shared" si="1256"/>
        <v>1.2091898428053204E-3</v>
      </c>
      <c r="BI485" s="196">
        <v>0</v>
      </c>
      <c r="BK485" s="246">
        <f t="shared" si="1257"/>
        <v>0</v>
      </c>
      <c r="BL485" s="246"/>
      <c r="BM485" s="246">
        <f t="shared" si="1258"/>
        <v>0</v>
      </c>
      <c r="BN485" s="196">
        <v>1</v>
      </c>
      <c r="BO485" s="196">
        <f t="shared" si="1296"/>
        <v>5165.156922504797</v>
      </c>
      <c r="BP485" s="196">
        <f t="shared" si="1201"/>
        <v>5165.156922504797</v>
      </c>
      <c r="BQ485" s="248">
        <f t="shared" si="1259"/>
        <v>4.8317637726619879E-4</v>
      </c>
      <c r="BR485" s="248"/>
      <c r="BS485" s="248"/>
      <c r="BT485" s="276">
        <v>0</v>
      </c>
      <c r="BU485" s="196">
        <f t="shared" si="1297"/>
        <v>0</v>
      </c>
      <c r="BV485" s="264">
        <f t="shared" si="1261"/>
        <v>0</v>
      </c>
      <c r="BW485" s="196">
        <f t="shared" si="1298"/>
        <v>0</v>
      </c>
      <c r="BX485" s="247">
        <f t="shared" si="1263"/>
        <v>0</v>
      </c>
      <c r="BY485" s="196">
        <f t="shared" si="1299"/>
        <v>0</v>
      </c>
      <c r="BZ485" s="620">
        <v>1</v>
      </c>
      <c r="CA485" s="196">
        <f t="shared" si="1300"/>
        <v>29898.52462158717</v>
      </c>
      <c r="CB485" s="196">
        <f t="shared" si="1301"/>
        <v>59797.049243174341</v>
      </c>
      <c r="CC485" s="196">
        <f t="shared" si="1214"/>
        <v>89695.573864761507</v>
      </c>
      <c r="CD485" s="247">
        <f t="shared" si="1202"/>
        <v>3.7846297414130038E-4</v>
      </c>
      <c r="CE485" s="196">
        <f t="shared" si="1302"/>
        <v>8794.6849193339967</v>
      </c>
      <c r="CF485" s="247">
        <f t="shared" si="1203"/>
        <v>3.7978184580909197E-4</v>
      </c>
      <c r="CG485" s="196">
        <f t="shared" si="1268"/>
        <v>14851.554713991014</v>
      </c>
      <c r="CH485" s="589">
        <f t="shared" si="1219"/>
        <v>3.7846297414130043E-4</v>
      </c>
      <c r="CI485" s="196">
        <f t="shared" si="1303"/>
        <v>10024.752436542996</v>
      </c>
      <c r="CJ485" s="248">
        <f t="shared" si="1220"/>
        <v>1.6480690461058079E-4</v>
      </c>
      <c r="CK485" s="196">
        <f t="shared" si="1304"/>
        <v>32070.867134910084</v>
      </c>
      <c r="CL485" s="589">
        <f t="shared" si="1221"/>
        <v>4.6102531176026214E-4</v>
      </c>
      <c r="CM485" s="196">
        <f t="shared" si="1305"/>
        <v>3106.8659560713304</v>
      </c>
      <c r="CN485" s="589">
        <f t="shared" si="1222"/>
        <v>4.4773469271729334E-4</v>
      </c>
      <c r="CO485" s="196">
        <f t="shared" si="1306"/>
        <v>248.54437261778239</v>
      </c>
      <c r="CP485" s="589">
        <f t="shared" si="1223"/>
        <v>4.6871640387613462E-4</v>
      </c>
      <c r="CQ485" s="196">
        <f>'Detailed Budget'!$AC$12</f>
        <v>292876014141.44696</v>
      </c>
      <c r="CR485" s="269">
        <f t="shared" si="1224"/>
        <v>0</v>
      </c>
      <c r="CS485" s="269">
        <f>'Detailed Budget'!$AC$16</f>
        <v>10488008800.000002</v>
      </c>
      <c r="CT485" s="607">
        <f t="shared" si="1269"/>
        <v>0</v>
      </c>
      <c r="CU485" s="269">
        <f>'Detailed Budget'!$AC$24</f>
        <v>30624985696</v>
      </c>
      <c r="CV485" s="269">
        <f t="shared" si="1250"/>
        <v>0</v>
      </c>
      <c r="CW485" s="269"/>
      <c r="CX485" s="269">
        <f t="shared" si="1215"/>
        <v>0</v>
      </c>
      <c r="CY485" s="196">
        <f>'Detailed Budget'!$AC$97</f>
        <v>74629165494.837845</v>
      </c>
      <c r="CZ485" s="269">
        <f t="shared" si="1270"/>
        <v>36059049.822195359</v>
      </c>
      <c r="DA485" s="269">
        <f>'Detailed Budget'!$AC$100</f>
        <v>14925833098.967569</v>
      </c>
      <c r="DB485" s="269">
        <f t="shared" si="1271"/>
        <v>7211809.9644390717</v>
      </c>
      <c r="DC485" s="269">
        <f t="shared" si="1204"/>
        <v>43270859.78663443</v>
      </c>
      <c r="DD485" s="207">
        <v>0</v>
      </c>
      <c r="DE485" s="606">
        <v>0</v>
      </c>
      <c r="DF485" s="269">
        <f>'Detailed Budget'!$AC$147</f>
        <v>5913600671000</v>
      </c>
      <c r="DG485" s="269">
        <f t="shared" si="1230"/>
        <v>0</v>
      </c>
      <c r="DH485" s="269">
        <f>'Detailed Budget'!$AC$153</f>
        <v>226428026880.00003</v>
      </c>
      <c r="DI485" s="269"/>
      <c r="DJ485" s="269">
        <f>'Detailed Budget'!$AC$156</f>
        <v>27713070000</v>
      </c>
      <c r="DK485" s="269"/>
      <c r="DL485" s="269"/>
      <c r="DM485" s="196">
        <f>'Detailed Budget'!$AC$178</f>
        <v>5622683761.6229038</v>
      </c>
      <c r="DN485" s="269">
        <f t="shared" si="1307"/>
        <v>0</v>
      </c>
      <c r="DO485" s="196">
        <f>'Detailed Budget'!$AC$179</f>
        <v>26827890683.128094</v>
      </c>
      <c r="DP485" s="269">
        <f t="shared" si="1308"/>
        <v>0</v>
      </c>
      <c r="DQ485" s="269">
        <f t="shared" si="1192"/>
        <v>0</v>
      </c>
      <c r="DR485" s="269">
        <f>'Detailed Budget'!$AC$181</f>
        <v>50888946855.375237</v>
      </c>
      <c r="DS485" s="269">
        <f t="shared" si="1309"/>
        <v>0</v>
      </c>
      <c r="DT485" s="269">
        <f t="shared" si="1310"/>
        <v>0</v>
      </c>
      <c r="DU485" s="272">
        <f>'Detailed Budget'!$AC$192</f>
        <v>77498869683.252869</v>
      </c>
      <c r="DV485" s="269">
        <f t="shared" si="1272"/>
        <v>29330452.712912939</v>
      </c>
      <c r="DW485" s="140">
        <f>'Detailed Budget'!$AC$194</f>
        <v>2684962805.4134097</v>
      </c>
      <c r="DX485" s="269">
        <f t="shared" si="1273"/>
        <v>1016159.0087955288</v>
      </c>
      <c r="DY485" s="607">
        <f t="shared" si="1205"/>
        <v>30346611.721708469</v>
      </c>
      <c r="DZ485" s="196">
        <f>'Detailed Budget'!$AC$198</f>
        <v>18732540018.380611</v>
      </c>
      <c r="EA485" s="269">
        <f t="shared" si="1274"/>
        <v>7114278.6248732703</v>
      </c>
      <c r="EB485" s="196">
        <f>'Detailed Budget'!$AC$200</f>
        <v>4683135004.5951529</v>
      </c>
      <c r="EC485" s="269">
        <f t="shared" si="1275"/>
        <v>1778569.6562183176</v>
      </c>
      <c r="ED485" s="269">
        <f t="shared" si="1206"/>
        <v>8892848.2810915876</v>
      </c>
      <c r="EE485" s="196">
        <f>'Detailed Budget'!$AC$161</f>
        <v>251147290106.36197</v>
      </c>
      <c r="EF485" s="269">
        <f t="shared" si="1276"/>
        <v>95049950.361181751</v>
      </c>
      <c r="EG485" s="196">
        <f>'Detailed Budget'!$AC$163</f>
        <v>15696705631.647623</v>
      </c>
      <c r="EH485" s="269">
        <f t="shared" si="1277"/>
        <v>5940621.8975738594</v>
      </c>
      <c r="EI485" s="269">
        <f t="shared" si="1207"/>
        <v>100990572.25875561</v>
      </c>
      <c r="EJ485" s="196">
        <f>'Detailed Budget'!$AC$204</f>
        <v>45012172507.531975</v>
      </c>
      <c r="EK485" s="269">
        <f t="shared" si="1278"/>
        <v>7418316.8207638292</v>
      </c>
      <c r="EL485" s="201">
        <f>'Detailed Budget'!$AC$206</f>
        <v>11253043126.882994</v>
      </c>
      <c r="EM485" s="269">
        <f t="shared" si="1279"/>
        <v>1854579.2051909573</v>
      </c>
      <c r="EN485" s="269">
        <f t="shared" si="1208"/>
        <v>9272896.0259547867</v>
      </c>
      <c r="EO485" s="140">
        <f>'Detailed Budget'!$AC$209</f>
        <v>135789361677.54817</v>
      </c>
      <c r="EP485" s="269">
        <f t="shared" si="1280"/>
        <v>62602332.801118635</v>
      </c>
      <c r="EQ485" s="196">
        <f>'Detailed Budget'!$AC$211</f>
        <v>33947340419.387043</v>
      </c>
      <c r="ER485" s="269">
        <f t="shared" si="1281"/>
        <v>15650583.200279659</v>
      </c>
      <c r="ES485" s="269">
        <f t="shared" si="1209"/>
        <v>78252916.001398295</v>
      </c>
      <c r="ET485" s="196">
        <f>'Detailed Budget'!$AC$214</f>
        <v>22239745544.201103</v>
      </c>
      <c r="EU485" s="269">
        <f t="shared" si="1282"/>
        <v>9957505.6373436749</v>
      </c>
      <c r="EV485" s="140">
        <f>'Detailed Budget'!$AC$217</f>
        <v>5559936386.0502758</v>
      </c>
      <c r="EW485" s="269">
        <f t="shared" si="1283"/>
        <v>2489376.4093359187</v>
      </c>
      <c r="EX485" s="269">
        <f t="shared" si="1210"/>
        <v>12446882.046679594</v>
      </c>
      <c r="EY485" s="196">
        <f>'Detailed Budget'!$AC$219</f>
        <v>372777004.58170313</v>
      </c>
      <c r="EZ485" s="269">
        <f t="shared" si="1284"/>
        <v>174726.69703525325</v>
      </c>
      <c r="FA485" s="196">
        <f>'Detailed Budget'!$AC$222</f>
        <v>93194251.145425782</v>
      </c>
      <c r="FB485" s="269">
        <f t="shared" si="1285"/>
        <v>43681.674258813313</v>
      </c>
      <c r="FC485" s="269">
        <f t="shared" si="1211"/>
        <v>218408.37129406657</v>
      </c>
      <c r="FD485" s="269"/>
      <c r="FE485" s="269">
        <f t="shared" si="1212"/>
        <v>100191102.44532673</v>
      </c>
      <c r="FF485" s="140">
        <f>'Detailed Budget'!$AC$165</f>
        <v>14927760000</v>
      </c>
      <c r="FG485" s="1087">
        <f t="shared" si="1232"/>
        <v>136667295.7705757</v>
      </c>
      <c r="FH485" s="269">
        <f t="shared" si="1286"/>
        <v>16961436.200431772</v>
      </c>
      <c r="FJ485" s="140">
        <f>'Detailed Budget'!$AC$235</f>
        <v>3623696172</v>
      </c>
      <c r="FK485" s="269">
        <f t="shared" si="1287"/>
        <v>4681778</v>
      </c>
      <c r="FL485" s="269">
        <f t="shared" si="1235"/>
        <v>4681778</v>
      </c>
      <c r="FO485" s="607"/>
      <c r="FP485" s="607"/>
      <c r="FQ485" s="607"/>
      <c r="FR485" s="269">
        <f>'Detailed Budget'!$AC$257</f>
        <v>13636439388</v>
      </c>
      <c r="FS485" s="269">
        <f t="shared" si="1288"/>
        <v>16489044</v>
      </c>
      <c r="FT485" s="269">
        <f t="shared" si="1237"/>
        <v>16489044</v>
      </c>
      <c r="FU485" s="269"/>
      <c r="FV485" s="269"/>
      <c r="FW485" s="269"/>
      <c r="FX485" s="140">
        <f>'Detailed Budget'!$AC$278</f>
        <v>1114560000</v>
      </c>
      <c r="FY485" s="269">
        <f t="shared" si="1289"/>
        <v>1440000</v>
      </c>
      <c r="FZ485" s="269">
        <f t="shared" si="1239"/>
        <v>1440000</v>
      </c>
      <c r="GB485" s="269">
        <f t="shared" si="1264"/>
        <v>459931548.46452427</v>
      </c>
      <c r="GC485" s="887">
        <f t="shared" si="1213"/>
        <v>287457.21779032768</v>
      </c>
      <c r="GD485" s="1078">
        <f t="shared" si="1265"/>
        <v>2.5808207467532769E-4</v>
      </c>
    </row>
    <row r="486" spans="1:186" hidden="1" outlineLevel="1">
      <c r="A486" s="211" t="s">
        <v>1098</v>
      </c>
      <c r="B486" s="212" t="s">
        <v>1099</v>
      </c>
      <c r="C486" s="213" t="s">
        <v>215</v>
      </c>
      <c r="D486" s="214"/>
      <c r="E486" s="213"/>
      <c r="F486" s="213"/>
      <c r="G486" s="213" t="s">
        <v>215</v>
      </c>
      <c r="H486" s="213" t="s">
        <v>215</v>
      </c>
      <c r="I486" s="214" t="s">
        <v>215</v>
      </c>
      <c r="J486" s="214"/>
      <c r="K486" s="213"/>
      <c r="L486" s="213"/>
      <c r="M486" s="213" t="s">
        <v>215</v>
      </c>
      <c r="N486" s="213"/>
      <c r="O486" s="214"/>
      <c r="P486" s="213"/>
      <c r="Q486" s="214"/>
      <c r="R486" s="214" t="s">
        <v>215</v>
      </c>
      <c r="S486" s="214"/>
      <c r="T486" s="214"/>
      <c r="U486" s="215">
        <f t="shared" si="1294"/>
        <v>6</v>
      </c>
      <c r="V486" s="845" t="s">
        <v>216</v>
      </c>
      <c r="W486" s="216">
        <v>87367</v>
      </c>
      <c r="X486" s="217">
        <v>2.77</v>
      </c>
      <c r="Y486" s="218">
        <f t="shared" si="1312"/>
        <v>1.0277000000000001</v>
      </c>
      <c r="Z486" s="196">
        <v>19</v>
      </c>
      <c r="AA486" s="218">
        <f t="shared" si="1313"/>
        <v>1.6805861263966091</v>
      </c>
      <c r="AB486" s="196">
        <f t="shared" si="1291"/>
        <v>146827.76810489254</v>
      </c>
      <c r="AC486">
        <v>11.4</v>
      </c>
      <c r="AD486" s="196">
        <f t="shared" si="1292"/>
        <v>16738.365563957748</v>
      </c>
      <c r="AE486" s="196">
        <f t="shared" si="1314"/>
        <v>15901.447285759859</v>
      </c>
      <c r="AF486" s="196">
        <f t="shared" si="1295"/>
        <v>0</v>
      </c>
      <c r="AG486" s="606">
        <f t="shared" si="1216"/>
        <v>7.3521311383192638E-4</v>
      </c>
      <c r="AH486" s="196">
        <f t="shared" si="1311"/>
        <v>7341.3884052446274</v>
      </c>
      <c r="AI486" s="248">
        <f t="shared" si="1193"/>
        <v>5.68726236464387E-4</v>
      </c>
      <c r="AJ486" s="196">
        <f t="shared" si="1196"/>
        <v>24079.753969202375</v>
      </c>
      <c r="AK486" s="196">
        <f t="shared" si="1225"/>
        <v>5873.1107241957016</v>
      </c>
      <c r="AL486" s="196">
        <f t="shared" si="1226"/>
        <v>5873.1107241957016</v>
      </c>
      <c r="AM486" s="196">
        <f t="shared" si="1197"/>
        <v>11746.221448391403</v>
      </c>
      <c r="AN486" s="627">
        <f t="shared" si="1198"/>
        <v>5.6872623646438689E-4</v>
      </c>
      <c r="AO486" s="196">
        <f t="shared" si="1199"/>
        <v>5579.4551879859164</v>
      </c>
      <c r="AP486" s="589">
        <f t="shared" si="1217"/>
        <v>5.6872623646438689E-4</v>
      </c>
      <c r="AQ486" s="196"/>
      <c r="AR486" s="589"/>
      <c r="AS486">
        <v>1</v>
      </c>
      <c r="AT486" s="589">
        <f t="shared" si="1218"/>
        <v>1.2919896640826874E-3</v>
      </c>
      <c r="AU486" s="196">
        <v>10</v>
      </c>
      <c r="AV486" s="245">
        <f t="shared" si="1200"/>
        <v>1.1362345188046814E-3</v>
      </c>
      <c r="AX486" s="245"/>
      <c r="AY486" s="245"/>
      <c r="AZ486" s="196">
        <v>38</v>
      </c>
      <c r="BA486" s="589">
        <f t="shared" si="1256"/>
        <v>1.3924004250485508E-3</v>
      </c>
      <c r="BI486" s="196">
        <v>0</v>
      </c>
      <c r="BK486" s="246">
        <f t="shared" si="1257"/>
        <v>0</v>
      </c>
      <c r="BL486" s="246"/>
      <c r="BM486" s="246">
        <f t="shared" si="1258"/>
        <v>0</v>
      </c>
      <c r="BN486" s="196">
        <v>1</v>
      </c>
      <c r="BO486" s="196">
        <f t="shared" si="1296"/>
        <v>7761.8167641080272</v>
      </c>
      <c r="BP486" s="196">
        <f t="shared" si="1201"/>
        <v>7761.8167641080272</v>
      </c>
      <c r="BQ486" s="248">
        <f t="shared" si="1259"/>
        <v>7.2608181345767888E-4</v>
      </c>
      <c r="BR486" s="248"/>
      <c r="BS486" s="248"/>
      <c r="BT486" s="276">
        <v>0</v>
      </c>
      <c r="BU486" s="196">
        <f t="shared" si="1297"/>
        <v>0</v>
      </c>
      <c r="BV486" s="264">
        <f t="shared" si="1261"/>
        <v>0</v>
      </c>
      <c r="BW486" s="196">
        <f t="shared" si="1298"/>
        <v>0</v>
      </c>
      <c r="BX486" s="247">
        <f t="shared" si="1263"/>
        <v>0</v>
      </c>
      <c r="BY486" s="196">
        <f t="shared" si="1299"/>
        <v>0</v>
      </c>
      <c r="BZ486" s="620">
        <v>1</v>
      </c>
      <c r="CA486" s="196">
        <f t="shared" si="1300"/>
        <v>44929.297040097117</v>
      </c>
      <c r="CB486" s="196">
        <f t="shared" si="1301"/>
        <v>89858.594080194234</v>
      </c>
      <c r="CC486" s="196">
        <f t="shared" si="1214"/>
        <v>134787.89112029134</v>
      </c>
      <c r="CD486" s="247">
        <f t="shared" si="1202"/>
        <v>5.6872623646438689E-4</v>
      </c>
      <c r="CE486" s="196">
        <f t="shared" si="1302"/>
        <v>13216.003669609956</v>
      </c>
      <c r="CF486" s="247">
        <f t="shared" si="1203"/>
        <v>5.7070813950709399E-4</v>
      </c>
      <c r="CG486" s="196">
        <f t="shared" si="1268"/>
        <v>22317.820751943666</v>
      </c>
      <c r="CH486" s="589">
        <f t="shared" si="1219"/>
        <v>5.6872623646438689E-4</v>
      </c>
      <c r="CI486" s="196">
        <f t="shared" si="1303"/>
        <v>15064.458386340524</v>
      </c>
      <c r="CJ486" s="248">
        <f t="shared" si="1220"/>
        <v>2.476596576327871E-4</v>
      </c>
      <c r="CK486" s="196">
        <f t="shared" si="1304"/>
        <v>48193.733104726402</v>
      </c>
      <c r="CL486" s="589">
        <f t="shared" si="1221"/>
        <v>6.9279482640841441E-4</v>
      </c>
      <c r="CM486" s="196">
        <f t="shared" si="1305"/>
        <v>4668.7689500005827</v>
      </c>
      <c r="CN486" s="589">
        <f t="shared" si="1222"/>
        <v>6.7282266462498081E-4</v>
      </c>
      <c r="CO486" s="196">
        <f t="shared" si="1306"/>
        <v>373.49414682911276</v>
      </c>
      <c r="CP486" s="589">
        <f t="shared" si="1223"/>
        <v>7.0435243223045184E-4</v>
      </c>
      <c r="CQ486" s="196">
        <f>'Detailed Budget'!$AC$12</f>
        <v>292876014141.44696</v>
      </c>
      <c r="CR486" s="269">
        <f t="shared" si="1224"/>
        <v>0</v>
      </c>
      <c r="CS486" s="269">
        <f>'Detailed Budget'!$AC$16</f>
        <v>10488008800.000002</v>
      </c>
      <c r="CT486" s="607">
        <f t="shared" si="1269"/>
        <v>0</v>
      </c>
      <c r="CU486" s="269">
        <f>'Detailed Budget'!$AC$24</f>
        <v>30624985696</v>
      </c>
      <c r="CV486" s="269">
        <f t="shared" si="1250"/>
        <v>0</v>
      </c>
      <c r="CW486" s="269"/>
      <c r="CX486" s="269">
        <f t="shared" si="1215"/>
        <v>0</v>
      </c>
      <c r="CY486" s="196">
        <f>'Detailed Budget'!$AC$97</f>
        <v>74629165494.837845</v>
      </c>
      <c r="CZ486" s="269">
        <f t="shared" si="1270"/>
        <v>54186879.819325097</v>
      </c>
      <c r="DA486" s="269">
        <f>'Detailed Budget'!$AC$100</f>
        <v>14925833098.967569</v>
      </c>
      <c r="DB486" s="269">
        <f t="shared" si="1271"/>
        <v>10837375.963865019</v>
      </c>
      <c r="DC486" s="269">
        <f t="shared" si="1204"/>
        <v>65024255.783190116</v>
      </c>
      <c r="DD486" s="207">
        <v>0</v>
      </c>
      <c r="DE486" s="606">
        <v>0</v>
      </c>
      <c r="DF486" s="269">
        <f>'Detailed Budget'!$AC$147</f>
        <v>5913600671000</v>
      </c>
      <c r="DG486" s="269">
        <f t="shared" si="1230"/>
        <v>0</v>
      </c>
      <c r="DH486" s="269">
        <f>'Detailed Budget'!$AC$153</f>
        <v>226428026880.00003</v>
      </c>
      <c r="DI486" s="269"/>
      <c r="DJ486" s="269">
        <f>'Detailed Budget'!$AC$156</f>
        <v>27713070000</v>
      </c>
      <c r="DK486" s="269"/>
      <c r="DL486" s="269"/>
      <c r="DM486" s="196">
        <f>'Detailed Budget'!$AC$178</f>
        <v>5622683761.6229038</v>
      </c>
      <c r="DN486" s="269">
        <f t="shared" si="1307"/>
        <v>0</v>
      </c>
      <c r="DO486" s="196">
        <f>'Detailed Budget'!$AC$179</f>
        <v>26827890683.128094</v>
      </c>
      <c r="DP486" s="269">
        <f t="shared" si="1308"/>
        <v>0</v>
      </c>
      <c r="DQ486" s="269">
        <f t="shared" si="1192"/>
        <v>0</v>
      </c>
      <c r="DR486" s="269">
        <f>'Detailed Budget'!$AC$181</f>
        <v>50888946855.375237</v>
      </c>
      <c r="DS486" s="269">
        <f t="shared" si="1309"/>
        <v>0</v>
      </c>
      <c r="DT486" s="269">
        <f t="shared" si="1310"/>
        <v>0</v>
      </c>
      <c r="DU486" s="272">
        <f>'Detailed Budget'!$AC$192</f>
        <v>77498869683.252869</v>
      </c>
      <c r="DV486" s="269">
        <f t="shared" si="1272"/>
        <v>44075640.485200375</v>
      </c>
      <c r="DW486" s="140">
        <f>'Detailed Budget'!$AC$194</f>
        <v>2684962805.4134097</v>
      </c>
      <c r="DX486" s="269">
        <f t="shared" si="1273"/>
        <v>1527008.7913696305</v>
      </c>
      <c r="DY486" s="607">
        <f t="shared" si="1205"/>
        <v>45602649.276570007</v>
      </c>
      <c r="DZ486" s="196">
        <f>'Detailed Budget'!$AC$198</f>
        <v>18732540018.380611</v>
      </c>
      <c r="EA486" s="269">
        <f t="shared" si="1274"/>
        <v>10690813.062132183</v>
      </c>
      <c r="EB486" s="196">
        <f>'Detailed Budget'!$AC$200</f>
        <v>4683135004.5951529</v>
      </c>
      <c r="EC486" s="269">
        <f t="shared" si="1275"/>
        <v>2672703.2655330459</v>
      </c>
      <c r="ED486" s="269">
        <f t="shared" si="1206"/>
        <v>13363516.327665228</v>
      </c>
      <c r="EE486" s="196">
        <f>'Detailed Budget'!$AC$161</f>
        <v>251147290106.36197</v>
      </c>
      <c r="EF486" s="269">
        <f t="shared" si="1276"/>
        <v>142834053.1004208</v>
      </c>
      <c r="EG486" s="196">
        <f>'Detailed Budget'!$AC$163</f>
        <v>15696705631.647623</v>
      </c>
      <c r="EH486" s="269">
        <f t="shared" si="1277"/>
        <v>8927128.3187763002</v>
      </c>
      <c r="EI486" s="269">
        <f t="shared" si="1207"/>
        <v>151761181.41919711</v>
      </c>
      <c r="EJ486" s="196">
        <f>'Detailed Budget'!$AC$204</f>
        <v>45012172507.531975</v>
      </c>
      <c r="EK486" s="269">
        <f t="shared" si="1278"/>
        <v>11147699.23252332</v>
      </c>
      <c r="EL486" s="201">
        <f>'Detailed Budget'!$AC$206</f>
        <v>11253043126.882994</v>
      </c>
      <c r="EM486" s="269">
        <f t="shared" si="1279"/>
        <v>2786924.8081308301</v>
      </c>
      <c r="EN486" s="269">
        <f t="shared" si="1208"/>
        <v>13934624.040654151</v>
      </c>
      <c r="EO486" s="140">
        <f>'Detailed Budget'!$AC$209</f>
        <v>135789361677.54817</v>
      </c>
      <c r="EP486" s="269">
        <f t="shared" si="1280"/>
        <v>94074167.251506388</v>
      </c>
      <c r="EQ486" s="196">
        <f>'Detailed Budget'!$AC$211</f>
        <v>33947340419.387043</v>
      </c>
      <c r="ER486" s="269">
        <f t="shared" si="1281"/>
        <v>23518541.812876597</v>
      </c>
      <c r="ES486" s="269">
        <f t="shared" si="1209"/>
        <v>117592709.06438299</v>
      </c>
      <c r="ET486" s="196">
        <f>'Detailed Budget'!$AC$214</f>
        <v>22239745544.201103</v>
      </c>
      <c r="EU486" s="269">
        <f t="shared" si="1282"/>
        <v>14963404.857630931</v>
      </c>
      <c r="EV486" s="140">
        <f>'Detailed Budget'!$AC$217</f>
        <v>5559936386.0502758</v>
      </c>
      <c r="EW486" s="269">
        <f t="shared" si="1283"/>
        <v>3740851.2144077327</v>
      </c>
      <c r="EX486" s="269">
        <f t="shared" si="1210"/>
        <v>18704256.072038665</v>
      </c>
      <c r="EY486" s="196">
        <f>'Detailed Budget'!$AC$219</f>
        <v>372777004.58170313</v>
      </c>
      <c r="EZ486" s="269">
        <f t="shared" si="1284"/>
        <v>262566.38985670486</v>
      </c>
      <c r="FA486" s="196">
        <f>'Detailed Budget'!$AC$222</f>
        <v>93194251.145425782</v>
      </c>
      <c r="FB486" s="269">
        <f t="shared" si="1285"/>
        <v>65641.597464176215</v>
      </c>
      <c r="FC486" s="269">
        <f t="shared" si="1211"/>
        <v>328207.9873208811</v>
      </c>
      <c r="FD486" s="269"/>
      <c r="FE486" s="269">
        <f t="shared" si="1212"/>
        <v>150559797.16439667</v>
      </c>
      <c r="FF486" s="140">
        <f>'Detailed Budget'!$AC$165</f>
        <v>14927760000</v>
      </c>
      <c r="FG486" s="1087">
        <f t="shared" si="1232"/>
        <v>205373529.4653827</v>
      </c>
      <c r="FH486" s="269">
        <f t="shared" si="1286"/>
        <v>16961436.200431772</v>
      </c>
      <c r="FJ486" s="140">
        <f>'Detailed Budget'!$AC$235</f>
        <v>3623696172</v>
      </c>
      <c r="FK486" s="269">
        <f t="shared" si="1287"/>
        <v>4681778</v>
      </c>
      <c r="FL486" s="269">
        <f t="shared" si="1235"/>
        <v>4681778</v>
      </c>
      <c r="FO486" s="607"/>
      <c r="FP486" s="607"/>
      <c r="FQ486" s="607"/>
      <c r="FR486" s="269">
        <f>'Detailed Budget'!$AC$257</f>
        <v>13636439388</v>
      </c>
      <c r="FS486" s="269">
        <f t="shared" si="1288"/>
        <v>18987384</v>
      </c>
      <c r="FT486" s="269">
        <f t="shared" si="1237"/>
        <v>18987384</v>
      </c>
      <c r="FU486" s="269"/>
      <c r="FV486" s="269"/>
      <c r="FW486" s="269"/>
      <c r="FX486" s="140">
        <f>'Detailed Budget'!$AC$278</f>
        <v>1114560000</v>
      </c>
      <c r="FY486" s="269">
        <f t="shared" si="1289"/>
        <v>1440000</v>
      </c>
      <c r="FZ486" s="269">
        <f t="shared" si="1239"/>
        <v>1440000</v>
      </c>
      <c r="GB486" s="269">
        <f t="shared" si="1264"/>
        <v>673755527.63683367</v>
      </c>
      <c r="GC486" s="887">
        <f t="shared" si="1213"/>
        <v>421097.20477302105</v>
      </c>
      <c r="GD486" s="1078">
        <f t="shared" si="1265"/>
        <v>3.7806544251420547E-4</v>
      </c>
    </row>
    <row r="487" spans="1:186" hidden="1" outlineLevel="1">
      <c r="A487" s="211" t="s">
        <v>1104</v>
      </c>
      <c r="B487" s="212" t="s">
        <v>1101</v>
      </c>
      <c r="C487" s="213" t="s">
        <v>215</v>
      </c>
      <c r="D487" s="214"/>
      <c r="E487" s="213"/>
      <c r="F487" s="213"/>
      <c r="G487" s="213" t="s">
        <v>215</v>
      </c>
      <c r="H487" s="213" t="s">
        <v>215</v>
      </c>
      <c r="I487" s="214" t="s">
        <v>215</v>
      </c>
      <c r="J487" s="214"/>
      <c r="K487" s="213"/>
      <c r="L487" s="213"/>
      <c r="M487" s="213" t="s">
        <v>215</v>
      </c>
      <c r="N487" s="213"/>
      <c r="O487" s="214"/>
      <c r="P487" s="213"/>
      <c r="Q487" s="214"/>
      <c r="R487" s="214" t="s">
        <v>215</v>
      </c>
      <c r="S487" s="214"/>
      <c r="T487" s="214"/>
      <c r="U487" s="215">
        <f t="shared" si="1294"/>
        <v>6</v>
      </c>
      <c r="V487" s="845" t="s">
        <v>216</v>
      </c>
      <c r="W487" s="216">
        <v>223134</v>
      </c>
      <c r="X487" s="217">
        <v>2.77</v>
      </c>
      <c r="Y487" s="218">
        <f t="shared" si="1312"/>
        <v>1.0277000000000001</v>
      </c>
      <c r="Z487" s="196">
        <v>19</v>
      </c>
      <c r="AA487" s="218">
        <f t="shared" si="1313"/>
        <v>1.6805861263966091</v>
      </c>
      <c r="AB487" s="196">
        <f t="shared" si="1291"/>
        <v>374995.90472738096</v>
      </c>
      <c r="AC487">
        <v>11.4</v>
      </c>
      <c r="AD487" s="196">
        <f t="shared" si="1292"/>
        <v>42749.533138921426</v>
      </c>
      <c r="AE487" s="196">
        <f t="shared" si="1314"/>
        <v>40612.056481975356</v>
      </c>
      <c r="AF487" s="196">
        <f t="shared" si="1295"/>
        <v>0</v>
      </c>
      <c r="AG487" s="606">
        <f t="shared" si="1216"/>
        <v>1.8777232014579085E-3</v>
      </c>
      <c r="AH487" s="196">
        <f t="shared" si="1311"/>
        <v>18749.795236369049</v>
      </c>
      <c r="AI487" s="248">
        <f t="shared" si="1193"/>
        <v>1.4525182282468727E-3</v>
      </c>
      <c r="AJ487" s="196">
        <f t="shared" si="1196"/>
        <v>61499.328375290475</v>
      </c>
      <c r="AK487" s="196">
        <f t="shared" si="1225"/>
        <v>14999.836189095238</v>
      </c>
      <c r="AL487" s="196">
        <f t="shared" si="1226"/>
        <v>14999.836189095238</v>
      </c>
      <c r="AM487" s="196">
        <f t="shared" si="1197"/>
        <v>29999.672378190477</v>
      </c>
      <c r="AN487" s="627">
        <f t="shared" si="1198"/>
        <v>1.4525182282468724E-3</v>
      </c>
      <c r="AO487" s="196">
        <f t="shared" si="1199"/>
        <v>14249.844379640475</v>
      </c>
      <c r="AP487" s="589">
        <f t="shared" si="1217"/>
        <v>1.4525182282468724E-3</v>
      </c>
      <c r="AQ487" s="196"/>
      <c r="AR487" s="589"/>
      <c r="AS487">
        <v>1</v>
      </c>
      <c r="AT487" s="589">
        <f t="shared" si="1218"/>
        <v>1.2919896640826874E-3</v>
      </c>
      <c r="AU487" s="196">
        <v>12</v>
      </c>
      <c r="AV487" s="245">
        <f t="shared" si="1200"/>
        <v>1.3634814225656176E-3</v>
      </c>
      <c r="AX487" s="245"/>
      <c r="AY487" s="245"/>
      <c r="AZ487" s="196">
        <v>50</v>
      </c>
      <c r="BA487" s="589">
        <f t="shared" si="1256"/>
        <v>1.8321058224323038E-3</v>
      </c>
      <c r="BI487" s="196">
        <v>0</v>
      </c>
      <c r="BK487" s="246">
        <f t="shared" si="1257"/>
        <v>0</v>
      </c>
      <c r="BL487" s="246"/>
      <c r="BM487" s="246">
        <f t="shared" si="1258"/>
        <v>0</v>
      </c>
      <c r="BN487" s="196">
        <v>1</v>
      </c>
      <c r="BO487" s="196">
        <f t="shared" si="1296"/>
        <v>19823.562922413275</v>
      </c>
      <c r="BP487" s="196">
        <f t="shared" si="1201"/>
        <v>19823.562922413275</v>
      </c>
      <c r="BQ487" s="248">
        <f t="shared" si="1259"/>
        <v>1.8544019980549374E-3</v>
      </c>
      <c r="BR487" s="248"/>
      <c r="BS487" s="248"/>
      <c r="BT487" s="276">
        <v>0</v>
      </c>
      <c r="BU487" s="196">
        <f t="shared" si="1297"/>
        <v>0</v>
      </c>
      <c r="BV487" s="264">
        <f t="shared" si="1261"/>
        <v>0</v>
      </c>
      <c r="BW487" s="196">
        <f t="shared" si="1298"/>
        <v>0</v>
      </c>
      <c r="BX487" s="247">
        <f t="shared" si="1263"/>
        <v>0</v>
      </c>
      <c r="BY487" s="196">
        <f t="shared" si="1299"/>
        <v>0</v>
      </c>
      <c r="BZ487" s="620">
        <v>1</v>
      </c>
      <c r="CA487" s="196">
        <f t="shared" si="1300"/>
        <v>114748.74684657855</v>
      </c>
      <c r="CB487" s="196">
        <f t="shared" si="1301"/>
        <v>229497.4936931571</v>
      </c>
      <c r="CC487" s="196">
        <f t="shared" si="1214"/>
        <v>344246.24053973565</v>
      </c>
      <c r="CD487" s="247">
        <f t="shared" si="1202"/>
        <v>1.4525182282468722E-3</v>
      </c>
      <c r="CE487" s="196">
        <f t="shared" si="1302"/>
        <v>33753.473998360343</v>
      </c>
      <c r="CF487" s="247">
        <f t="shared" si="1203"/>
        <v>1.4575799787193782E-3</v>
      </c>
      <c r="CG487" s="196">
        <f t="shared" si="1268"/>
        <v>56999.377518561902</v>
      </c>
      <c r="CH487" s="589">
        <f t="shared" si="1219"/>
        <v>1.4525182282468724E-3</v>
      </c>
      <c r="CI487" s="196">
        <f t="shared" si="1303"/>
        <v>38474.399459495078</v>
      </c>
      <c r="CJ487" s="248">
        <f t="shared" si="1220"/>
        <v>6.3251902945316095E-4</v>
      </c>
      <c r="CK487" s="196">
        <f t="shared" si="1304"/>
        <v>123086.06730905286</v>
      </c>
      <c r="CL487" s="589">
        <f t="shared" si="1221"/>
        <v>1.7693875352915304E-3</v>
      </c>
      <c r="CM487" s="196">
        <f t="shared" si="1305"/>
        <v>11923.965466245034</v>
      </c>
      <c r="CN487" s="589">
        <f t="shared" si="1222"/>
        <v>1.7183789353924302E-3</v>
      </c>
      <c r="CO487" s="196">
        <f t="shared" si="1306"/>
        <v>953.89841654820748</v>
      </c>
      <c r="CP487" s="589">
        <f t="shared" si="1223"/>
        <v>1.7989054862054281E-3</v>
      </c>
      <c r="CQ487" s="196">
        <f>'Detailed Budget'!$AC$12</f>
        <v>292876014141.44696</v>
      </c>
      <c r="CR487" s="269">
        <f t="shared" si="1224"/>
        <v>0</v>
      </c>
      <c r="CS487" s="269">
        <f>'Detailed Budget'!$AC$16</f>
        <v>10488008800.000002</v>
      </c>
      <c r="CT487" s="607">
        <f t="shared" si="1269"/>
        <v>0</v>
      </c>
      <c r="CU487" s="269">
        <f>'Detailed Budget'!$AC$24</f>
        <v>30624985696</v>
      </c>
      <c r="CV487" s="269">
        <f t="shared" si="1250"/>
        <v>0</v>
      </c>
      <c r="CW487" s="269"/>
      <c r="CX487" s="269">
        <f t="shared" si="1215"/>
        <v>0</v>
      </c>
      <c r="CY487" s="196">
        <f>'Detailed Budget'!$AC$97</f>
        <v>74629165494.837845</v>
      </c>
      <c r="CZ487" s="269">
        <f t="shared" si="1270"/>
        <v>138392473.6067999</v>
      </c>
      <c r="DA487" s="269">
        <f>'Detailed Budget'!$AC$100</f>
        <v>14925833098.967569</v>
      </c>
      <c r="DB487" s="269">
        <f t="shared" si="1271"/>
        <v>27678494.721359979</v>
      </c>
      <c r="DC487" s="269">
        <f t="shared" si="1204"/>
        <v>166070968.32815987</v>
      </c>
      <c r="DD487" s="207">
        <v>0</v>
      </c>
      <c r="DE487" s="606">
        <v>0</v>
      </c>
      <c r="DF487" s="269">
        <f>'Detailed Budget'!$AC$147</f>
        <v>5913600671000</v>
      </c>
      <c r="DG487" s="269">
        <f t="shared" si="1230"/>
        <v>0</v>
      </c>
      <c r="DH487" s="269">
        <f>'Detailed Budget'!$AC$153</f>
        <v>226428026880.00003</v>
      </c>
      <c r="DI487" s="269"/>
      <c r="DJ487" s="269">
        <f>'Detailed Budget'!$AC$156</f>
        <v>27713070000</v>
      </c>
      <c r="DK487" s="269"/>
      <c r="DL487" s="269"/>
      <c r="DM487" s="196">
        <f>'Detailed Budget'!$AC$178</f>
        <v>5622683761.6229038</v>
      </c>
      <c r="DN487" s="269">
        <f t="shared" si="1307"/>
        <v>0</v>
      </c>
      <c r="DO487" s="196">
        <f>'Detailed Budget'!$AC$179</f>
        <v>26827890683.128094</v>
      </c>
      <c r="DP487" s="269">
        <f t="shared" si="1308"/>
        <v>0</v>
      </c>
      <c r="DQ487" s="269">
        <f t="shared" si="1192"/>
        <v>0</v>
      </c>
      <c r="DR487" s="269">
        <f>'Detailed Budget'!$AC$181</f>
        <v>50888946855.375237</v>
      </c>
      <c r="DS487" s="269">
        <f t="shared" si="1309"/>
        <v>0</v>
      </c>
      <c r="DT487" s="269">
        <f t="shared" si="1310"/>
        <v>0</v>
      </c>
      <c r="DU487" s="272">
        <f>'Detailed Budget'!$AC$192</f>
        <v>77498869683.252869</v>
      </c>
      <c r="DV487" s="269">
        <f t="shared" si="1272"/>
        <v>112568520.8834537</v>
      </c>
      <c r="DW487" s="140">
        <f>'Detailed Budget'!$AC$194</f>
        <v>2684962805.4134097</v>
      </c>
      <c r="DX487" s="269">
        <f t="shared" si="1273"/>
        <v>3899957.4170278381</v>
      </c>
      <c r="DY487" s="607">
        <f t="shared" si="1205"/>
        <v>116468478.30048153</v>
      </c>
      <c r="DZ487" s="196">
        <f>'Detailed Budget'!$AC$198</f>
        <v>18732540018.380611</v>
      </c>
      <c r="EA487" s="269">
        <f t="shared" si="1274"/>
        <v>27304175.281351112</v>
      </c>
      <c r="EB487" s="196">
        <f>'Detailed Budget'!$AC$200</f>
        <v>4683135004.5951529</v>
      </c>
      <c r="EC487" s="269">
        <f t="shared" si="1275"/>
        <v>6826043.820337778</v>
      </c>
      <c r="ED487" s="269">
        <f t="shared" si="1206"/>
        <v>34130219.101688892</v>
      </c>
      <c r="EE487" s="196">
        <f>'Detailed Budget'!$AC$161</f>
        <v>251147290106.36197</v>
      </c>
      <c r="EF487" s="269">
        <f t="shared" si="1276"/>
        <v>364796016.85429615</v>
      </c>
      <c r="EG487" s="196">
        <f>'Detailed Budget'!$AC$163</f>
        <v>15696705631.647623</v>
      </c>
      <c r="EH487" s="269">
        <f t="shared" si="1277"/>
        <v>22799751.053393509</v>
      </c>
      <c r="EI487" s="269">
        <f t="shared" si="1207"/>
        <v>387595767.90768963</v>
      </c>
      <c r="EJ487" s="196">
        <f>'Detailed Budget'!$AC$204</f>
        <v>45012172507.531975</v>
      </c>
      <c r="EK487" s="269">
        <f t="shared" si="1278"/>
        <v>28471055.66804238</v>
      </c>
      <c r="EL487" s="201">
        <f>'Detailed Budget'!$AC$206</f>
        <v>11253043126.882994</v>
      </c>
      <c r="EM487" s="269">
        <f t="shared" si="1279"/>
        <v>7117763.9170105951</v>
      </c>
      <c r="EN487" s="269">
        <f t="shared" si="1208"/>
        <v>35588819.585052975</v>
      </c>
      <c r="EO487" s="140">
        <f>'Detailed Budget'!$AC$209</f>
        <v>135789361677.54817</v>
      </c>
      <c r="EP487" s="269">
        <f t="shared" si="1280"/>
        <v>240264003.97744715</v>
      </c>
      <c r="EQ487" s="196">
        <f>'Detailed Budget'!$AC$211</f>
        <v>33947340419.387043</v>
      </c>
      <c r="ER487" s="269">
        <f t="shared" si="1281"/>
        <v>60066000.994361788</v>
      </c>
      <c r="ES487" s="269">
        <f t="shared" si="1209"/>
        <v>300330004.97180891</v>
      </c>
      <c r="ET487" s="196">
        <f>'Detailed Budget'!$AC$214</f>
        <v>22239745544.201103</v>
      </c>
      <c r="EU487" s="269">
        <f t="shared" si="1282"/>
        <v>38216310.271642834</v>
      </c>
      <c r="EV487" s="140">
        <f>'Detailed Budget'!$AC$217</f>
        <v>5559936386.0502758</v>
      </c>
      <c r="EW487" s="269">
        <f t="shared" si="1283"/>
        <v>9554077.5679107085</v>
      </c>
      <c r="EX487" s="269">
        <f t="shared" si="1210"/>
        <v>47770387.839553542</v>
      </c>
      <c r="EY487" s="196">
        <f>'Detailed Budget'!$AC$219</f>
        <v>372777004.58170313</v>
      </c>
      <c r="EZ487" s="269">
        <f t="shared" si="1284"/>
        <v>670590.59867325181</v>
      </c>
      <c r="FA487" s="196">
        <f>'Detailed Budget'!$AC$222</f>
        <v>93194251.145425782</v>
      </c>
      <c r="FB487" s="269">
        <f t="shared" si="1285"/>
        <v>167647.64966831295</v>
      </c>
      <c r="FC487" s="269">
        <f t="shared" si="1211"/>
        <v>838238.24834156479</v>
      </c>
      <c r="FD487" s="269"/>
      <c r="FE487" s="269">
        <f t="shared" si="1212"/>
        <v>384527450.64475697</v>
      </c>
      <c r="FF487" s="140">
        <f>'Detailed Budget'!$AC$165</f>
        <v>14927760000</v>
      </c>
      <c r="FG487" s="1087">
        <f t="shared" si="1232"/>
        <v>524520896.03315544</v>
      </c>
      <c r="FH487" s="269">
        <f t="shared" si="1286"/>
        <v>20353723.440518126</v>
      </c>
      <c r="FJ487" s="140">
        <f>'Detailed Budget'!$AC$235</f>
        <v>3623696172</v>
      </c>
      <c r="FK487" s="269">
        <f t="shared" si="1287"/>
        <v>4681778</v>
      </c>
      <c r="FL487" s="269">
        <f t="shared" si="1235"/>
        <v>4681778</v>
      </c>
      <c r="FO487" s="607"/>
      <c r="FP487" s="607"/>
      <c r="FQ487" s="607"/>
      <c r="FR487" s="269">
        <f>'Detailed Budget'!$AC$257</f>
        <v>13636439388</v>
      </c>
      <c r="FS487" s="269">
        <f t="shared" si="1288"/>
        <v>24983400</v>
      </c>
      <c r="FT487" s="269">
        <f t="shared" si="1237"/>
        <v>24983400</v>
      </c>
      <c r="FU487" s="269"/>
      <c r="FV487" s="269"/>
      <c r="FW487" s="269"/>
      <c r="FX487" s="140">
        <f>'Detailed Budget'!$AC$278</f>
        <v>1114560000</v>
      </c>
      <c r="FY487" s="269">
        <f t="shared" si="1289"/>
        <v>1440000</v>
      </c>
      <c r="FZ487" s="269">
        <f t="shared" si="1239"/>
        <v>1440000</v>
      </c>
      <c r="GB487" s="269">
        <f t="shared" si="1264"/>
        <v>1664772681.7564504</v>
      </c>
      <c r="GC487" s="887">
        <f t="shared" si="1213"/>
        <v>1040482.9260977815</v>
      </c>
      <c r="GD487" s="1078">
        <f t="shared" si="1265"/>
        <v>9.3415637393192146E-4</v>
      </c>
    </row>
    <row r="488" spans="1:186" hidden="1" outlineLevel="1">
      <c r="A488" s="211" t="s">
        <v>1100</v>
      </c>
      <c r="B488" s="212" t="s">
        <v>1103</v>
      </c>
      <c r="C488" s="213" t="s">
        <v>215</v>
      </c>
      <c r="D488" s="214"/>
      <c r="E488" s="213"/>
      <c r="F488" s="213"/>
      <c r="G488" s="213" t="s">
        <v>215</v>
      </c>
      <c r="H488" s="213" t="s">
        <v>215</v>
      </c>
      <c r="I488" s="214" t="s">
        <v>215</v>
      </c>
      <c r="J488" s="214"/>
      <c r="K488" s="213"/>
      <c r="L488" s="213"/>
      <c r="M488" s="213" t="s">
        <v>215</v>
      </c>
      <c r="N488" s="213"/>
      <c r="O488" s="214"/>
      <c r="P488" s="213"/>
      <c r="Q488" s="214"/>
      <c r="R488" s="214" t="s">
        <v>215</v>
      </c>
      <c r="S488" s="214"/>
      <c r="T488" s="214"/>
      <c r="U488" s="215">
        <f t="shared" si="1294"/>
        <v>6</v>
      </c>
      <c r="V488" s="845" t="s">
        <v>216</v>
      </c>
      <c r="W488" s="216">
        <v>139058</v>
      </c>
      <c r="X488" s="217">
        <v>2.77</v>
      </c>
      <c r="Y488" s="218">
        <f t="shared" si="1312"/>
        <v>1.0277000000000001</v>
      </c>
      <c r="Z488" s="196">
        <v>19</v>
      </c>
      <c r="AA488" s="218">
        <f t="shared" si="1313"/>
        <v>1.6805861263966091</v>
      </c>
      <c r="AB488" s="196">
        <f t="shared" si="1291"/>
        <v>233698.94556445966</v>
      </c>
      <c r="AC488">
        <v>11.4</v>
      </c>
      <c r="AD488" s="196">
        <f t="shared" si="1292"/>
        <v>26641.679794348405</v>
      </c>
      <c r="AE488" s="196">
        <f t="shared" si="1314"/>
        <v>25309.595804630982</v>
      </c>
      <c r="AF488" s="196">
        <f t="shared" si="1295"/>
        <v>0</v>
      </c>
      <c r="AG488" s="606">
        <f t="shared" si="1216"/>
        <v>1.1702045987986315E-3</v>
      </c>
      <c r="AH488" s="196">
        <f t="shared" si="1311"/>
        <v>11684.947278222984</v>
      </c>
      <c r="AI488" s="248">
        <f t="shared" si="1193"/>
        <v>9.052151612195077E-4</v>
      </c>
      <c r="AJ488" s="196">
        <f t="shared" si="1196"/>
        <v>38326.627072571391</v>
      </c>
      <c r="AK488" s="196">
        <f t="shared" si="1225"/>
        <v>9347.9578225783862</v>
      </c>
      <c r="AL488" s="196">
        <f t="shared" si="1226"/>
        <v>9347.9578225783862</v>
      </c>
      <c r="AM488" s="196">
        <f t="shared" si="1197"/>
        <v>18695.915645156772</v>
      </c>
      <c r="AN488" s="627">
        <f t="shared" si="1198"/>
        <v>9.0521516121950759E-4</v>
      </c>
      <c r="AO488" s="196">
        <f t="shared" si="1199"/>
        <v>8880.5599314494666</v>
      </c>
      <c r="AP488" s="589">
        <f t="shared" si="1217"/>
        <v>9.0521516121950748E-4</v>
      </c>
      <c r="AQ488" s="196"/>
      <c r="AR488" s="589"/>
      <c r="AS488">
        <v>1</v>
      </c>
      <c r="AT488" s="589">
        <f t="shared" si="1218"/>
        <v>1.2919896640826874E-3</v>
      </c>
      <c r="AU488" s="196">
        <v>10</v>
      </c>
      <c r="AV488" s="245">
        <f t="shared" si="1200"/>
        <v>1.1362345188046814E-3</v>
      </c>
      <c r="AX488" s="245"/>
      <c r="AY488" s="245"/>
      <c r="AZ488" s="196">
        <v>40</v>
      </c>
      <c r="BA488" s="589">
        <f t="shared" si="1256"/>
        <v>1.4656846579458429E-3</v>
      </c>
      <c r="BI488" s="196">
        <v>0</v>
      </c>
      <c r="BK488" s="246">
        <f t="shared" si="1257"/>
        <v>0</v>
      </c>
      <c r="BL488" s="246"/>
      <c r="BM488" s="246">
        <f t="shared" si="1258"/>
        <v>0</v>
      </c>
      <c r="BN488" s="196">
        <v>1</v>
      </c>
      <c r="BO488" s="196">
        <f t="shared" si="1296"/>
        <v>12354.123588807377</v>
      </c>
      <c r="BP488" s="196">
        <f t="shared" si="1201"/>
        <v>12354.123588807377</v>
      </c>
      <c r="BQ488" s="248">
        <f t="shared" si="1259"/>
        <v>1.1556707316927204E-3</v>
      </c>
      <c r="BR488" s="248"/>
      <c r="BS488" s="248"/>
      <c r="BT488" s="276">
        <v>0</v>
      </c>
      <c r="BU488" s="196">
        <f t="shared" si="1297"/>
        <v>0</v>
      </c>
      <c r="BV488" s="264">
        <f t="shared" si="1261"/>
        <v>0</v>
      </c>
      <c r="BW488" s="196">
        <f t="shared" si="1298"/>
        <v>0</v>
      </c>
      <c r="BX488" s="247">
        <f t="shared" si="1263"/>
        <v>0</v>
      </c>
      <c r="BY488" s="196">
        <f t="shared" si="1299"/>
        <v>0</v>
      </c>
      <c r="BZ488" s="620">
        <v>1</v>
      </c>
      <c r="CA488" s="196">
        <f t="shared" si="1300"/>
        <v>71511.877342724649</v>
      </c>
      <c r="CB488" s="196">
        <f t="shared" si="1301"/>
        <v>143023.7546854493</v>
      </c>
      <c r="CC488" s="196">
        <f t="shared" si="1214"/>
        <v>214535.63202817395</v>
      </c>
      <c r="CD488" s="247">
        <f t="shared" si="1202"/>
        <v>9.0521516121950748E-4</v>
      </c>
      <c r="CE488" s="196">
        <f t="shared" si="1302"/>
        <v>21035.299807577478</v>
      </c>
      <c r="CF488" s="247">
        <f t="shared" si="1203"/>
        <v>9.0836966433066818E-4</v>
      </c>
      <c r="CG488" s="196">
        <f t="shared" si="1268"/>
        <v>35522.239725797866</v>
      </c>
      <c r="CH488" s="589">
        <f t="shared" si="1219"/>
        <v>9.0521516121950748E-4</v>
      </c>
      <c r="CI488" s="196">
        <f t="shared" si="1303"/>
        <v>23977.399410392267</v>
      </c>
      <c r="CJ488" s="248">
        <f t="shared" si="1220"/>
        <v>3.9418838544416217E-4</v>
      </c>
      <c r="CK488" s="196">
        <f t="shared" si="1304"/>
        <v>76707.728754301352</v>
      </c>
      <c r="CL488" s="589">
        <f t="shared" si="1221"/>
        <v>1.1026893789497329E-3</v>
      </c>
      <c r="CM488" s="196">
        <f t="shared" si="1305"/>
        <v>7431.0629030318214</v>
      </c>
      <c r="CN488" s="589">
        <f t="shared" si="1222"/>
        <v>1.0709006157636246E-3</v>
      </c>
      <c r="CO488" s="196">
        <f t="shared" si="1306"/>
        <v>594.47330307510583</v>
      </c>
      <c r="CP488" s="589">
        <f t="shared" si="1223"/>
        <v>1.1210850838543408E-3</v>
      </c>
      <c r="CQ488" s="196">
        <f>'Detailed Budget'!$AC$12</f>
        <v>292876014141.44696</v>
      </c>
      <c r="CR488" s="269">
        <f t="shared" si="1224"/>
        <v>0</v>
      </c>
      <c r="CS488" s="269">
        <f>'Detailed Budget'!$AC$16</f>
        <v>10488008800.000002</v>
      </c>
      <c r="CT488" s="607">
        <f t="shared" si="1269"/>
        <v>0</v>
      </c>
      <c r="CU488" s="269">
        <f>'Detailed Budget'!$AC$24</f>
        <v>30624985696</v>
      </c>
      <c r="CV488" s="269">
        <f t="shared" si="1250"/>
        <v>0</v>
      </c>
      <c r="CW488" s="269"/>
      <c r="CX488" s="269">
        <f t="shared" si="1215"/>
        <v>0</v>
      </c>
      <c r="CY488" s="196">
        <f>'Detailed Budget'!$AC$97</f>
        <v>74629165494.837845</v>
      </c>
      <c r="CZ488" s="269">
        <f t="shared" si="1270"/>
        <v>86246742.293036371</v>
      </c>
      <c r="DA488" s="269">
        <f>'Detailed Budget'!$AC$100</f>
        <v>14925833098.967569</v>
      </c>
      <c r="DB488" s="269">
        <f t="shared" si="1271"/>
        <v>17249348.458607275</v>
      </c>
      <c r="DC488" s="269">
        <f t="shared" si="1204"/>
        <v>103496090.75164364</v>
      </c>
      <c r="DD488" s="207">
        <v>0</v>
      </c>
      <c r="DE488" s="606">
        <v>0</v>
      </c>
      <c r="DF488" s="269">
        <f>'Detailed Budget'!$AC$147</f>
        <v>5913600671000</v>
      </c>
      <c r="DG488" s="269">
        <f t="shared" si="1230"/>
        <v>0</v>
      </c>
      <c r="DH488" s="269">
        <f>'Detailed Budget'!$AC$153</f>
        <v>226428026880.00003</v>
      </c>
      <c r="DI488" s="269"/>
      <c r="DJ488" s="269">
        <f>'Detailed Budget'!$AC$156</f>
        <v>27713070000</v>
      </c>
      <c r="DK488" s="269"/>
      <c r="DL488" s="269"/>
      <c r="DM488" s="196">
        <f>'Detailed Budget'!$AC$178</f>
        <v>5622683761.6229038</v>
      </c>
      <c r="DN488" s="269">
        <f t="shared" si="1307"/>
        <v>0</v>
      </c>
      <c r="DO488" s="196">
        <f>'Detailed Budget'!$AC$179</f>
        <v>26827890683.128094</v>
      </c>
      <c r="DP488" s="269">
        <f t="shared" si="1308"/>
        <v>0</v>
      </c>
      <c r="DQ488" s="269">
        <f t="shared" si="1192"/>
        <v>0</v>
      </c>
      <c r="DR488" s="269">
        <f>'Detailed Budget'!$AC$181</f>
        <v>50888946855.375237</v>
      </c>
      <c r="DS488" s="269">
        <f t="shared" si="1309"/>
        <v>0</v>
      </c>
      <c r="DT488" s="269">
        <f t="shared" si="1310"/>
        <v>0</v>
      </c>
      <c r="DU488" s="272">
        <f>'Detailed Budget'!$AC$192</f>
        <v>77498869683.252869</v>
      </c>
      <c r="DV488" s="269">
        <f t="shared" si="1272"/>
        <v>70153151.814655349</v>
      </c>
      <c r="DW488" s="140">
        <f>'Detailed Budget'!$AC$194</f>
        <v>2684962805.4134097</v>
      </c>
      <c r="DX488" s="269">
        <f t="shared" si="1273"/>
        <v>2430469.0387706812</v>
      </c>
      <c r="DY488" s="607">
        <f t="shared" si="1205"/>
        <v>72583620.853426024</v>
      </c>
      <c r="DZ488" s="196">
        <f>'Detailed Budget'!$AC$198</f>
        <v>18732540018.380611</v>
      </c>
      <c r="EA488" s="269">
        <f t="shared" si="1274"/>
        <v>17016071.088557206</v>
      </c>
      <c r="EB488" s="196">
        <f>'Detailed Budget'!$AC$200</f>
        <v>4683135004.5951529</v>
      </c>
      <c r="EC488" s="269">
        <f t="shared" si="1275"/>
        <v>4254017.7721393015</v>
      </c>
      <c r="ED488" s="269">
        <f t="shared" si="1206"/>
        <v>21270088.860696509</v>
      </c>
      <c r="EE488" s="196">
        <f>'Detailed Budget'!$AC$161</f>
        <v>251147290106.36197</v>
      </c>
      <c r="EF488" s="269">
        <f t="shared" si="1276"/>
        <v>227342334.70347285</v>
      </c>
      <c r="EG488" s="196">
        <f>'Detailed Budget'!$AC$163</f>
        <v>15696705631.647623</v>
      </c>
      <c r="EH488" s="269">
        <f t="shared" si="1277"/>
        <v>14208895.918967053</v>
      </c>
      <c r="EI488" s="269">
        <f t="shared" si="1207"/>
        <v>241551230.62243992</v>
      </c>
      <c r="EJ488" s="196">
        <f>'Detailed Budget'!$AC$204</f>
        <v>45012172507.531975</v>
      </c>
      <c r="EK488" s="269">
        <f t="shared" si="1278"/>
        <v>17743275.606078133</v>
      </c>
      <c r="EL488" s="201">
        <f>'Detailed Budget'!$AC$206</f>
        <v>11253043126.882994</v>
      </c>
      <c r="EM488" s="269">
        <f t="shared" si="1279"/>
        <v>4435818.9015195332</v>
      </c>
      <c r="EN488" s="269">
        <f t="shared" si="1208"/>
        <v>22179094.507597666</v>
      </c>
      <c r="EO488" s="140">
        <f>'Detailed Budget'!$AC$209</f>
        <v>135789361677.54817</v>
      </c>
      <c r="EP488" s="269">
        <f t="shared" si="1280"/>
        <v>149733486.89619625</v>
      </c>
      <c r="EQ488" s="196">
        <f>'Detailed Budget'!$AC$211</f>
        <v>33947340419.387043</v>
      </c>
      <c r="ER488" s="269">
        <f t="shared" si="1281"/>
        <v>37433371.724049062</v>
      </c>
      <c r="ES488" s="269">
        <f t="shared" si="1209"/>
        <v>187166858.62024531</v>
      </c>
      <c r="ET488" s="196">
        <f>'Detailed Budget'!$AC$214</f>
        <v>22239745544.201103</v>
      </c>
      <c r="EU488" s="269">
        <f t="shared" si="1282"/>
        <v>23816557.197711289</v>
      </c>
      <c r="EV488" s="140">
        <f>'Detailed Budget'!$AC$217</f>
        <v>5559936386.0502758</v>
      </c>
      <c r="EW488" s="269">
        <f t="shared" si="1283"/>
        <v>5954139.2994278222</v>
      </c>
      <c r="EX488" s="269">
        <f t="shared" si="1210"/>
        <v>29770696.497139111</v>
      </c>
      <c r="EY488" s="196">
        <f>'Detailed Budget'!$AC$219</f>
        <v>372777004.58170313</v>
      </c>
      <c r="EZ488" s="269">
        <f t="shared" si="1284"/>
        <v>417914.73944044864</v>
      </c>
      <c r="FA488" s="196">
        <f>'Detailed Budget'!$AC$222</f>
        <v>93194251.145425782</v>
      </c>
      <c r="FB488" s="269">
        <f t="shared" si="1285"/>
        <v>104478.68486011216</v>
      </c>
      <c r="FC488" s="269">
        <f t="shared" si="1211"/>
        <v>522393.42430056079</v>
      </c>
      <c r="FD488" s="269"/>
      <c r="FE488" s="269">
        <f t="shared" si="1212"/>
        <v>239639043.04928261</v>
      </c>
      <c r="FF488" s="140">
        <f>'Detailed Budget'!$AC$165</f>
        <v>14927760000</v>
      </c>
      <c r="FG488" s="1087">
        <f t="shared" si="1232"/>
        <v>326883517.35091269</v>
      </c>
      <c r="FH488" s="269">
        <f t="shared" si="1286"/>
        <v>16961436.200431772</v>
      </c>
      <c r="FJ488" s="140">
        <f>'Detailed Budget'!$AC$235</f>
        <v>3623696172</v>
      </c>
      <c r="FK488" s="269">
        <f t="shared" si="1287"/>
        <v>4681778</v>
      </c>
      <c r="FL488" s="269">
        <f t="shared" si="1235"/>
        <v>4681778</v>
      </c>
      <c r="FO488" s="607"/>
      <c r="FP488" s="607"/>
      <c r="FQ488" s="607"/>
      <c r="FR488" s="269">
        <f>'Detailed Budget'!$AC$257</f>
        <v>13636439388</v>
      </c>
      <c r="FS488" s="269">
        <f t="shared" si="1288"/>
        <v>19986720</v>
      </c>
      <c r="FT488" s="269">
        <f t="shared" si="1237"/>
        <v>19986720</v>
      </c>
      <c r="FU488" s="269"/>
      <c r="FV488" s="269"/>
      <c r="FW488" s="269"/>
      <c r="FX488" s="140">
        <f>'Detailed Budget'!$AC$278</f>
        <v>1114560000</v>
      </c>
      <c r="FY488" s="269">
        <f t="shared" si="1289"/>
        <v>1440000</v>
      </c>
      <c r="FZ488" s="269">
        <f t="shared" si="1239"/>
        <v>1440000</v>
      </c>
      <c r="GB488" s="269">
        <f t="shared" si="1264"/>
        <v>1048493525.6888332</v>
      </c>
      <c r="GC488" s="887">
        <f t="shared" si="1213"/>
        <v>655308.45355552074</v>
      </c>
      <c r="GD488" s="1078">
        <f t="shared" si="1265"/>
        <v>5.8834273338458532E-4</v>
      </c>
    </row>
    <row r="489" spans="1:186" hidden="1" outlineLevel="1">
      <c r="A489" s="211" t="s">
        <v>1102</v>
      </c>
      <c r="B489" s="212" t="s">
        <v>1105</v>
      </c>
      <c r="C489" s="213" t="s">
        <v>215</v>
      </c>
      <c r="D489" s="214"/>
      <c r="E489" s="213"/>
      <c r="F489" s="213"/>
      <c r="G489" s="213" t="s">
        <v>215</v>
      </c>
      <c r="H489" s="213" t="s">
        <v>215</v>
      </c>
      <c r="I489" s="214" t="s">
        <v>215</v>
      </c>
      <c r="J489" s="214"/>
      <c r="K489" s="213"/>
      <c r="L489" s="213"/>
      <c r="M489" s="213" t="s">
        <v>215</v>
      </c>
      <c r="N489" s="213"/>
      <c r="O489" s="214"/>
      <c r="P489" s="213"/>
      <c r="Q489" s="214"/>
      <c r="R489" s="214" t="s">
        <v>215</v>
      </c>
      <c r="S489" s="214"/>
      <c r="T489" s="214"/>
      <c r="U489" s="215">
        <f t="shared" si="1294"/>
        <v>6</v>
      </c>
      <c r="V489" s="845" t="s">
        <v>216</v>
      </c>
      <c r="W489" s="216">
        <v>163119</v>
      </c>
      <c r="X489" s="217">
        <v>2.77</v>
      </c>
      <c r="Y489" s="218">
        <f t="shared" si="1312"/>
        <v>1.0277000000000001</v>
      </c>
      <c r="Z489" s="196">
        <v>19</v>
      </c>
      <c r="AA489" s="218">
        <f t="shared" si="1313"/>
        <v>1.6805861263966091</v>
      </c>
      <c r="AB489" s="196">
        <f t="shared" si="1291"/>
        <v>274135.52835168847</v>
      </c>
      <c r="AC489">
        <v>11.4</v>
      </c>
      <c r="AD489" s="196">
        <f t="shared" si="1292"/>
        <v>31251.450232092488</v>
      </c>
      <c r="AE489" s="196">
        <f t="shared" si="1314"/>
        <v>29688.877720487861</v>
      </c>
      <c r="AF489" s="196">
        <f t="shared" si="1295"/>
        <v>0</v>
      </c>
      <c r="AG489" s="606">
        <f t="shared" si="1216"/>
        <v>1.372683369180011E-3</v>
      </c>
      <c r="AH489" s="196">
        <f t="shared" si="1311"/>
        <v>13706.776417584424</v>
      </c>
      <c r="AI489" s="248">
        <f t="shared" si="1193"/>
        <v>1.061843201275474E-3</v>
      </c>
      <c r="AJ489" s="196">
        <f t="shared" si="1196"/>
        <v>44958.226649676915</v>
      </c>
      <c r="AK489" s="196">
        <f t="shared" si="1225"/>
        <v>10965.421134067539</v>
      </c>
      <c r="AL489" s="196">
        <f t="shared" si="1226"/>
        <v>10965.421134067539</v>
      </c>
      <c r="AM489" s="196">
        <f t="shared" si="1197"/>
        <v>21930.842268135078</v>
      </c>
      <c r="AN489" s="627">
        <f t="shared" si="1198"/>
        <v>1.061843201275474E-3</v>
      </c>
      <c r="AO489" s="196">
        <f t="shared" si="1199"/>
        <v>10417.150077364162</v>
      </c>
      <c r="AP489" s="589">
        <f t="shared" si="1217"/>
        <v>1.061843201275474E-3</v>
      </c>
      <c r="AQ489" s="196"/>
      <c r="AR489" s="589"/>
      <c r="AS489">
        <v>1</v>
      </c>
      <c r="AT489" s="589">
        <f t="shared" si="1218"/>
        <v>1.2919896640826874E-3</v>
      </c>
      <c r="AU489" s="196">
        <v>12</v>
      </c>
      <c r="AV489" s="245">
        <f t="shared" si="1200"/>
        <v>1.3634814225656176E-3</v>
      </c>
      <c r="AX489" s="245"/>
      <c r="AY489" s="245"/>
      <c r="AZ489" s="196">
        <v>46</v>
      </c>
      <c r="BA489" s="589">
        <f t="shared" si="1256"/>
        <v>1.6855373566377193E-3</v>
      </c>
      <c r="BI489" s="196">
        <v>0</v>
      </c>
      <c r="BK489" s="246">
        <f t="shared" si="1257"/>
        <v>0</v>
      </c>
      <c r="BL489" s="246"/>
      <c r="BM489" s="246">
        <f t="shared" si="1258"/>
        <v>0</v>
      </c>
      <c r="BN489" s="196">
        <v>1</v>
      </c>
      <c r="BO489" s="196">
        <f t="shared" si="1296"/>
        <v>14491.739315125133</v>
      </c>
      <c r="BP489" s="196">
        <f t="shared" si="1201"/>
        <v>14491.739315125133</v>
      </c>
      <c r="BQ489" s="248">
        <f t="shared" si="1259"/>
        <v>1.3556347285520064E-3</v>
      </c>
      <c r="BR489" s="248"/>
      <c r="BS489" s="248"/>
      <c r="BT489" s="276">
        <v>0</v>
      </c>
      <c r="BU489" s="196">
        <f t="shared" si="1297"/>
        <v>0</v>
      </c>
      <c r="BV489" s="264">
        <f t="shared" si="1261"/>
        <v>0</v>
      </c>
      <c r="BW489" s="196">
        <f t="shared" si="1298"/>
        <v>0</v>
      </c>
      <c r="BX489" s="247">
        <f t="shared" si="1263"/>
        <v>0</v>
      </c>
      <c r="BY489" s="196">
        <f t="shared" si="1299"/>
        <v>0</v>
      </c>
      <c r="BZ489" s="620">
        <v>1</v>
      </c>
      <c r="CA489" s="196">
        <f t="shared" si="1300"/>
        <v>83885.47167561666</v>
      </c>
      <c r="CB489" s="196">
        <f t="shared" si="1301"/>
        <v>167770.94335123332</v>
      </c>
      <c r="CC489" s="196">
        <f t="shared" si="1214"/>
        <v>251656.41502684998</v>
      </c>
      <c r="CD489" s="247">
        <f t="shared" si="1202"/>
        <v>1.0618432012754738E-3</v>
      </c>
      <c r="CE489" s="196">
        <f t="shared" si="1302"/>
        <v>24675.006610998505</v>
      </c>
      <c r="CF489" s="247">
        <f t="shared" si="1203"/>
        <v>1.0655435233927874E-3</v>
      </c>
      <c r="CG489" s="196">
        <f t="shared" si="1268"/>
        <v>41668.600309456648</v>
      </c>
      <c r="CH489" s="589">
        <f t="shared" si="1219"/>
        <v>1.061843201275474E-3</v>
      </c>
      <c r="CI489" s="196">
        <f t="shared" si="1303"/>
        <v>28126.173355173923</v>
      </c>
      <c r="CJ489" s="248">
        <f t="shared" si="1220"/>
        <v>4.6239421856539195E-4</v>
      </c>
      <c r="CK489" s="196">
        <f t="shared" si="1304"/>
        <v>89980.353569538478</v>
      </c>
      <c r="CL489" s="589">
        <f t="shared" si="1221"/>
        <v>1.2934860907312163E-3</v>
      </c>
      <c r="CM489" s="196">
        <f t="shared" si="1305"/>
        <v>8716.8487226887173</v>
      </c>
      <c r="CN489" s="589">
        <f t="shared" si="1222"/>
        <v>1.2561969648833343E-3</v>
      </c>
      <c r="CO489" s="196">
        <f t="shared" si="1306"/>
        <v>697.33413916716904</v>
      </c>
      <c r="CP489" s="589">
        <f t="shared" si="1223"/>
        <v>1.3150647772385352E-3</v>
      </c>
      <c r="CQ489" s="196">
        <f>'Detailed Budget'!$AC$12</f>
        <v>292876014141.44696</v>
      </c>
      <c r="CR489" s="269">
        <f t="shared" si="1224"/>
        <v>0</v>
      </c>
      <c r="CS489" s="269">
        <f>'Detailed Budget'!$AC$16</f>
        <v>10488008800.000002</v>
      </c>
      <c r="CT489" s="607">
        <f t="shared" si="1269"/>
        <v>0</v>
      </c>
      <c r="CU489" s="269">
        <f>'Detailed Budget'!$AC$24</f>
        <v>30624985696</v>
      </c>
      <c r="CV489" s="269">
        <f t="shared" si="1250"/>
        <v>0</v>
      </c>
      <c r="CW489" s="269"/>
      <c r="CX489" s="269">
        <f t="shared" si="1215"/>
        <v>0</v>
      </c>
      <c r="CY489" s="196">
        <f>'Detailed Budget'!$AC$97</f>
        <v>74629165494.837845</v>
      </c>
      <c r="CZ489" s="269">
        <f t="shared" si="1270"/>
        <v>101169888.50765726</v>
      </c>
      <c r="DA489" s="269">
        <f>'Detailed Budget'!$AC$100</f>
        <v>14925833098.967569</v>
      </c>
      <c r="DB489" s="269">
        <f t="shared" si="1271"/>
        <v>20233977.701531451</v>
      </c>
      <c r="DC489" s="269">
        <f t="shared" si="1204"/>
        <v>121403866.20918871</v>
      </c>
      <c r="DD489" s="207">
        <v>0</v>
      </c>
      <c r="DE489" s="606">
        <v>0</v>
      </c>
      <c r="DF489" s="269">
        <f>'Detailed Budget'!$AC$147</f>
        <v>5913600671000</v>
      </c>
      <c r="DG489" s="269">
        <f t="shared" si="1230"/>
        <v>0</v>
      </c>
      <c r="DH489" s="269">
        <f>'Detailed Budget'!$AC$153</f>
        <v>226428026880.00003</v>
      </c>
      <c r="DI489" s="269"/>
      <c r="DJ489" s="269">
        <f>'Detailed Budget'!$AC$156</f>
        <v>27713070000</v>
      </c>
      <c r="DK489" s="269"/>
      <c r="DL489" s="269"/>
      <c r="DM489" s="196">
        <f>'Detailed Budget'!$AC$178</f>
        <v>5622683761.6229038</v>
      </c>
      <c r="DN489" s="269">
        <f t="shared" si="1307"/>
        <v>0</v>
      </c>
      <c r="DO489" s="196">
        <f>'Detailed Budget'!$AC$179</f>
        <v>26827890683.128094</v>
      </c>
      <c r="DP489" s="269">
        <f t="shared" si="1308"/>
        <v>0</v>
      </c>
      <c r="DQ489" s="269">
        <f t="shared" si="1192"/>
        <v>0</v>
      </c>
      <c r="DR489" s="269">
        <f>'Detailed Budget'!$AC$181</f>
        <v>50888946855.375237</v>
      </c>
      <c r="DS489" s="269">
        <f t="shared" si="1309"/>
        <v>0</v>
      </c>
      <c r="DT489" s="269">
        <f t="shared" si="1310"/>
        <v>0</v>
      </c>
      <c r="DU489" s="272">
        <f>'Detailed Budget'!$AC$192</f>
        <v>77498869683.252869</v>
      </c>
      <c r="DV489" s="269">
        <f t="shared" si="1272"/>
        <v>82291647.879695982</v>
      </c>
      <c r="DW489" s="140">
        <f>'Detailed Budget'!$AC$194</f>
        <v>2684962805.4134097</v>
      </c>
      <c r="DX489" s="269">
        <f t="shared" si="1273"/>
        <v>2851009.5006057522</v>
      </c>
      <c r="DY489" s="607">
        <f t="shared" si="1205"/>
        <v>85142657.380301729</v>
      </c>
      <c r="DZ489" s="196">
        <f>'Detailed Budget'!$AC$198</f>
        <v>18732540018.380611</v>
      </c>
      <c r="EA489" s="269">
        <f t="shared" si="1274"/>
        <v>19960336.693281665</v>
      </c>
      <c r="EB489" s="196">
        <f>'Detailed Budget'!$AC$200</f>
        <v>4683135004.5951529</v>
      </c>
      <c r="EC489" s="269">
        <f t="shared" si="1275"/>
        <v>4990084.1733204164</v>
      </c>
      <c r="ED489" s="269">
        <f t="shared" si="1206"/>
        <v>24950420.866602082</v>
      </c>
      <c r="EE489" s="196">
        <f>'Detailed Budget'!$AC$161</f>
        <v>251147290106.36197</v>
      </c>
      <c r="EF489" s="269">
        <f t="shared" si="1276"/>
        <v>266679042.51819956</v>
      </c>
      <c r="EG489" s="196">
        <f>'Detailed Budget'!$AC$163</f>
        <v>15696705631.647623</v>
      </c>
      <c r="EH489" s="269">
        <f t="shared" si="1277"/>
        <v>16667440.157387473</v>
      </c>
      <c r="EI489" s="269">
        <f t="shared" si="1207"/>
        <v>283346482.67558706</v>
      </c>
      <c r="EJ489" s="196">
        <f>'Detailed Budget'!$AC$204</f>
        <v>45012172507.531975</v>
      </c>
      <c r="EK489" s="269">
        <f t="shared" si="1278"/>
        <v>20813368.332550865</v>
      </c>
      <c r="EL489" s="201">
        <f>'Detailed Budget'!$AC$206</f>
        <v>11253043126.882994</v>
      </c>
      <c r="EM489" s="269">
        <f t="shared" si="1279"/>
        <v>5203342.0831377162</v>
      </c>
      <c r="EN489" s="269">
        <f t="shared" si="1208"/>
        <v>26016710.415688582</v>
      </c>
      <c r="EO489" s="140">
        <f>'Detailed Budget'!$AC$209</f>
        <v>135789361677.54817</v>
      </c>
      <c r="EP489" s="269">
        <f t="shared" si="1280"/>
        <v>175641650.59917903</v>
      </c>
      <c r="EQ489" s="196">
        <f>'Detailed Budget'!$AC$211</f>
        <v>33947340419.387043</v>
      </c>
      <c r="ER489" s="269">
        <f t="shared" si="1281"/>
        <v>43910412.649794757</v>
      </c>
      <c r="ES489" s="269">
        <f t="shared" si="1209"/>
        <v>219552063.24897379</v>
      </c>
      <c r="ET489" s="196">
        <f>'Detailed Budget'!$AC$214</f>
        <v>22239745544.201103</v>
      </c>
      <c r="EU489" s="269">
        <f t="shared" si="1282"/>
        <v>27937500.852403082</v>
      </c>
      <c r="EV489" s="140">
        <f>'Detailed Budget'!$AC$217</f>
        <v>5559936386.0502758</v>
      </c>
      <c r="EW489" s="269">
        <f t="shared" si="1283"/>
        <v>6984375.2131007705</v>
      </c>
      <c r="EX489" s="269">
        <f t="shared" si="1210"/>
        <v>34921876.065503851</v>
      </c>
      <c r="EY489" s="196">
        <f>'Detailed Budget'!$AC$219</f>
        <v>372777004.58170313</v>
      </c>
      <c r="EZ489" s="269">
        <f t="shared" si="1284"/>
        <v>490225.9084898858</v>
      </c>
      <c r="FA489" s="196">
        <f>'Detailed Budget'!$AC$222</f>
        <v>93194251.145425782</v>
      </c>
      <c r="FB489" s="269">
        <f t="shared" si="1285"/>
        <v>122556.47712247145</v>
      </c>
      <c r="FC489" s="269">
        <f t="shared" si="1211"/>
        <v>612782.38561235729</v>
      </c>
      <c r="FD489" s="269"/>
      <c r="FE489" s="269">
        <f t="shared" si="1212"/>
        <v>281103432.11577857</v>
      </c>
      <c r="FF489" s="140">
        <f>'Detailed Budget'!$AC$165</f>
        <v>14927760000</v>
      </c>
      <c r="FG489" s="1087">
        <f t="shared" si="1232"/>
        <v>383443688.7253055</v>
      </c>
      <c r="FH489" s="269">
        <f t="shared" si="1286"/>
        <v>20353723.440518126</v>
      </c>
      <c r="FJ489" s="140">
        <f>'Detailed Budget'!$AC$235</f>
        <v>3623696172</v>
      </c>
      <c r="FK489" s="269">
        <f t="shared" si="1287"/>
        <v>4681778</v>
      </c>
      <c r="FL489" s="269">
        <f t="shared" si="1235"/>
        <v>4681778</v>
      </c>
      <c r="FO489" s="607"/>
      <c r="FP489" s="607"/>
      <c r="FQ489" s="607"/>
      <c r="FR489" s="269">
        <f>'Detailed Budget'!$AC$257</f>
        <v>13636439388</v>
      </c>
      <c r="FS489" s="269">
        <f t="shared" si="1288"/>
        <v>22984728</v>
      </c>
      <c r="FT489" s="269">
        <f t="shared" si="1237"/>
        <v>22984728</v>
      </c>
      <c r="FU489" s="269"/>
      <c r="FV489" s="269"/>
      <c r="FW489" s="269"/>
      <c r="FX489" s="140">
        <f>'Detailed Budget'!$AC$278</f>
        <v>1114560000</v>
      </c>
      <c r="FY489" s="269">
        <f t="shared" si="1289"/>
        <v>1440000</v>
      </c>
      <c r="FZ489" s="269">
        <f t="shared" si="1239"/>
        <v>1440000</v>
      </c>
      <c r="GB489" s="269">
        <f t="shared" si="1264"/>
        <v>1228850777.4132819</v>
      </c>
      <c r="GC489" s="887">
        <f t="shared" si="1213"/>
        <v>768031.73588330124</v>
      </c>
      <c r="GD489" s="1078">
        <f t="shared" si="1265"/>
        <v>6.8954686661524222E-4</v>
      </c>
    </row>
    <row r="490" spans="1:186" hidden="1" outlineLevel="1">
      <c r="A490" s="211"/>
      <c r="B490" s="212"/>
      <c r="C490" s="213"/>
      <c r="D490" s="214"/>
      <c r="E490" s="213"/>
      <c r="F490" s="213"/>
      <c r="G490" s="213"/>
      <c r="H490" s="213"/>
      <c r="I490" s="214"/>
      <c r="J490" s="214"/>
      <c r="K490" s="213"/>
      <c r="L490" s="213"/>
      <c r="M490" s="213"/>
      <c r="N490" s="213"/>
      <c r="O490" s="214"/>
      <c r="P490" s="213"/>
      <c r="Q490" s="214"/>
      <c r="R490" s="214"/>
      <c r="S490" s="214"/>
      <c r="T490" s="214"/>
      <c r="U490" s="215"/>
      <c r="V490" s="845"/>
      <c r="W490" s="216"/>
      <c r="X490" s="217"/>
      <c r="Y490" s="218"/>
      <c r="Z490" s="196"/>
      <c r="AA490" s="218"/>
      <c r="AG490" s="606"/>
      <c r="AJ490" s="196"/>
      <c r="AK490" s="196"/>
      <c r="AL490" s="196"/>
      <c r="AM490" s="196"/>
      <c r="AO490" s="196"/>
      <c r="AP490" s="589"/>
      <c r="AQ490" s="196"/>
      <c r="AR490" s="589"/>
      <c r="AS490"/>
      <c r="AT490" s="589"/>
      <c r="AV490" s="245"/>
      <c r="AX490" s="245"/>
      <c r="AY490" s="245"/>
      <c r="BA490" s="589">
        <f t="shared" si="1256"/>
        <v>0</v>
      </c>
      <c r="BK490" s="246">
        <f t="shared" si="1257"/>
        <v>0</v>
      </c>
      <c r="BL490" s="246"/>
      <c r="BM490" s="246">
        <f t="shared" si="1258"/>
        <v>0</v>
      </c>
      <c r="BN490" s="196"/>
      <c r="BQ490" s="248">
        <f t="shared" si="1259"/>
        <v>0</v>
      </c>
      <c r="BR490" s="248"/>
      <c r="BS490" s="248"/>
      <c r="BT490" s="276"/>
      <c r="BV490" s="264">
        <f t="shared" si="1261"/>
        <v>0</v>
      </c>
      <c r="BX490" s="247">
        <f t="shared" si="1263"/>
        <v>0</v>
      </c>
      <c r="BY490" s="196"/>
      <c r="BZ490" s="620"/>
      <c r="CA490" s="196"/>
      <c r="CB490" s="196"/>
      <c r="CC490" s="196"/>
      <c r="CD490" s="247"/>
      <c r="CF490" s="247"/>
      <c r="CG490" s="196"/>
      <c r="CH490" s="589"/>
      <c r="CI490" s="196"/>
      <c r="CJ490" s="248"/>
      <c r="CK490" s="196"/>
      <c r="CL490" s="589"/>
      <c r="CM490" s="196"/>
      <c r="CN490" s="589"/>
      <c r="CO490" s="196"/>
      <c r="CP490" s="589"/>
      <c r="CQ490" s="196"/>
      <c r="CR490" s="269">
        <f t="shared" si="1224"/>
        <v>0</v>
      </c>
      <c r="CS490" s="269"/>
      <c r="CT490" s="607"/>
      <c r="CU490" s="269">
        <f>'Detailed Budget'!$AC$24</f>
        <v>30624985696</v>
      </c>
      <c r="CV490" s="269">
        <f t="shared" si="1250"/>
        <v>0</v>
      </c>
      <c r="CW490" s="269"/>
      <c r="CX490" s="269"/>
      <c r="CY490" s="196"/>
      <c r="DC490" s="269"/>
      <c r="DD490" s="207"/>
      <c r="DE490" s="606">
        <v>0</v>
      </c>
      <c r="DF490" s="269">
        <f>'Detailed Budget'!$AC$147</f>
        <v>5913600671000</v>
      </c>
      <c r="DG490" s="269">
        <f t="shared" si="1230"/>
        <v>0</v>
      </c>
      <c r="DH490" s="269">
        <f>'Detailed Budget'!$AC$153</f>
        <v>226428026880.00003</v>
      </c>
      <c r="DI490" s="269"/>
      <c r="DJ490" s="269">
        <f>'Detailed Budget'!$AC$156</f>
        <v>27713070000</v>
      </c>
      <c r="DK490" s="269"/>
      <c r="DL490" s="269"/>
      <c r="DM490" s="196"/>
      <c r="DN490" s="269"/>
      <c r="DO490" s="196"/>
      <c r="DP490" s="269"/>
      <c r="DQ490" s="269"/>
      <c r="DR490" s="269"/>
      <c r="DS490" s="269"/>
      <c r="DT490" s="269"/>
      <c r="DU490" s="272"/>
      <c r="DV490" s="269"/>
      <c r="DW490" s="140"/>
      <c r="DX490" s="269"/>
      <c r="DY490" s="607"/>
      <c r="DZ490" s="196"/>
      <c r="EA490" s="269"/>
      <c r="EB490" s="196"/>
      <c r="ED490" s="269"/>
      <c r="EE490" s="196"/>
      <c r="EG490" s="196"/>
      <c r="EI490" s="269"/>
      <c r="EJ490" s="196"/>
      <c r="EL490" s="201"/>
      <c r="EN490" s="269"/>
      <c r="EO490" s="140"/>
      <c r="EQ490" s="196"/>
      <c r="ES490" s="269"/>
      <c r="ET490" s="196"/>
      <c r="EV490" s="140"/>
      <c r="EX490" s="269"/>
      <c r="EY490" s="196"/>
      <c r="FA490" s="196"/>
      <c r="FC490" s="269"/>
      <c r="FD490" s="269"/>
      <c r="FE490" s="269"/>
      <c r="FF490" s="140"/>
      <c r="FG490" s="1087">
        <f t="shared" si="1232"/>
        <v>0</v>
      </c>
      <c r="FJ490" s="140"/>
      <c r="FL490" s="269">
        <f t="shared" si="1235"/>
        <v>0</v>
      </c>
      <c r="FO490" s="607"/>
      <c r="FP490" s="607"/>
      <c r="FQ490" s="607"/>
      <c r="FT490" s="269">
        <f t="shared" si="1237"/>
        <v>0</v>
      </c>
      <c r="FU490" s="269"/>
      <c r="FV490" s="269"/>
      <c r="FW490" s="269"/>
      <c r="FX490" s="140">
        <f>'Detailed Budget'!$AC$278</f>
        <v>1114560000</v>
      </c>
      <c r="FY490" s="269"/>
      <c r="FZ490" s="269"/>
      <c r="GB490" s="269">
        <f t="shared" si="1264"/>
        <v>0</v>
      </c>
      <c r="GD490" s="1078">
        <f t="shared" si="1265"/>
        <v>0</v>
      </c>
    </row>
    <row r="491" spans="1:186" s="210" customFormat="1" collapsed="1">
      <c r="A491" s="203">
        <v>4.2</v>
      </c>
      <c r="B491" s="204" t="s">
        <v>1106</v>
      </c>
      <c r="C491" s="205">
        <f>COUNTA(C492:C512)</f>
        <v>21</v>
      </c>
      <c r="D491" s="205">
        <f t="shared" ref="D491:T491" si="1315">COUNTA(D492:D512)</f>
        <v>0</v>
      </c>
      <c r="E491" s="205">
        <f t="shared" si="1315"/>
        <v>0</v>
      </c>
      <c r="F491" s="205">
        <f t="shared" si="1315"/>
        <v>0</v>
      </c>
      <c r="G491" s="205">
        <f t="shared" si="1315"/>
        <v>0</v>
      </c>
      <c r="H491" s="205">
        <f t="shared" si="1315"/>
        <v>21</v>
      </c>
      <c r="I491" s="205">
        <f t="shared" si="1315"/>
        <v>21</v>
      </c>
      <c r="J491" s="205">
        <f t="shared" si="1315"/>
        <v>0</v>
      </c>
      <c r="K491" s="205">
        <f t="shared" si="1315"/>
        <v>0</v>
      </c>
      <c r="L491" s="205">
        <f t="shared" si="1315"/>
        <v>0</v>
      </c>
      <c r="M491" s="205">
        <f t="shared" si="1315"/>
        <v>13</v>
      </c>
      <c r="N491" s="205">
        <f t="shared" si="1315"/>
        <v>8</v>
      </c>
      <c r="O491" s="205">
        <f t="shared" si="1315"/>
        <v>0</v>
      </c>
      <c r="P491" s="205">
        <f t="shared" si="1315"/>
        <v>0</v>
      </c>
      <c r="Q491" s="205">
        <f t="shared" si="1315"/>
        <v>4</v>
      </c>
      <c r="R491" s="205">
        <f t="shared" si="1315"/>
        <v>17</v>
      </c>
      <c r="S491" s="205">
        <f t="shared" si="1315"/>
        <v>0</v>
      </c>
      <c r="T491" s="205">
        <f t="shared" si="1315"/>
        <v>0</v>
      </c>
      <c r="U491" s="206">
        <f>SUM(C491:T491)</f>
        <v>105</v>
      </c>
      <c r="V491" s="844"/>
      <c r="W491" s="207">
        <f>SUM(W492:W512)</f>
        <v>4177828</v>
      </c>
      <c r="X491" s="208">
        <v>2.8</v>
      </c>
      <c r="Y491" s="209">
        <f t="shared" si="1312"/>
        <v>1.028</v>
      </c>
      <c r="Z491" s="207">
        <v>19</v>
      </c>
      <c r="AA491" s="209">
        <f t="shared" si="1313"/>
        <v>1.6899318009047619</v>
      </c>
      <c r="AB491" s="207">
        <f t="shared" si="1291"/>
        <v>7060244.3959103394</v>
      </c>
      <c r="AC491" s="210">
        <v>11.3</v>
      </c>
      <c r="AD491" s="207">
        <f t="shared" si="1292"/>
        <v>797807.61673786829</v>
      </c>
      <c r="AE491" s="207">
        <f t="shared" si="1314"/>
        <v>757917.23590097483</v>
      </c>
      <c r="AF491" s="207">
        <f>SUM(AF492:AF512)</f>
        <v>0</v>
      </c>
      <c r="AG491" s="588">
        <f t="shared" si="1216"/>
        <v>3.5042765669050534E-2</v>
      </c>
      <c r="AH491" s="207">
        <f>SUM(AH492:AH512)</f>
        <v>353012.21979551698</v>
      </c>
      <c r="AI491" s="633">
        <f t="shared" si="1193"/>
        <v>2.734732180180207E-2</v>
      </c>
      <c r="AJ491" s="207">
        <f>SUM(AJ492:AJ512)</f>
        <v>1150819.8365333856</v>
      </c>
      <c r="AK491" s="207">
        <f t="shared" si="1225"/>
        <v>282409.77583641361</v>
      </c>
      <c r="AL491" s="207">
        <f t="shared" si="1226"/>
        <v>282409.77583641361</v>
      </c>
      <c r="AM491" s="207">
        <f t="shared" si="1197"/>
        <v>564819.55167282722</v>
      </c>
      <c r="AN491" s="632">
        <f t="shared" si="1198"/>
        <v>2.7347321801802073E-2</v>
      </c>
      <c r="AO491" s="207">
        <f t="shared" si="1199"/>
        <v>268289.2870445929</v>
      </c>
      <c r="AP491" s="588">
        <f t="shared" si="1217"/>
        <v>2.734732180180207E-2</v>
      </c>
      <c r="AQ491" s="207">
        <v>1</v>
      </c>
      <c r="AR491" s="588">
        <f>AQ491/37</f>
        <v>2.7027027027027029E-2</v>
      </c>
      <c r="AS491" s="207">
        <f>SUM(AS492:AS512)</f>
        <v>21</v>
      </c>
      <c r="AT491" s="588">
        <f t="shared" si="1218"/>
        <v>2.7131782945736434E-2</v>
      </c>
      <c r="AU491" s="207">
        <f>SUM(AU492:AU512)</f>
        <v>326</v>
      </c>
      <c r="AV491" s="892">
        <f t="shared" si="1200"/>
        <v>3.7041245313032607E-2</v>
      </c>
      <c r="AW491" s="207">
        <v>4844</v>
      </c>
      <c r="AX491" s="208">
        <f>AW491*0.002</f>
        <v>9.6880000000000006</v>
      </c>
      <c r="AY491" s="207">
        <f>AX491*100</f>
        <v>968.80000000000007</v>
      </c>
      <c r="AZ491" s="207">
        <f>SUM(AZ492:AZ512)</f>
        <v>614</v>
      </c>
      <c r="BA491" s="588">
        <f t="shared" si="1256"/>
        <v>2.2498259499468688E-2</v>
      </c>
      <c r="BB491" s="207">
        <v>41</v>
      </c>
      <c r="BC491" s="207">
        <v>3</v>
      </c>
      <c r="BD491" s="207">
        <f>BB491+BC491</f>
        <v>44</v>
      </c>
      <c r="BE491" s="633">
        <f>BD491/1306</f>
        <v>3.3690658499234305E-2</v>
      </c>
      <c r="BF491" s="207">
        <f>AZ491+BD491</f>
        <v>658</v>
      </c>
      <c r="BG491" s="588">
        <f>BF491/28597</f>
        <v>2.3009406581109906E-2</v>
      </c>
      <c r="BH491" s="1084">
        <v>15.2</v>
      </c>
      <c r="BI491" s="207"/>
      <c r="BJ491" s="207">
        <v>4487576</v>
      </c>
      <c r="BK491" s="892">
        <f t="shared" si="1257"/>
        <v>8.5575366794123975E-2</v>
      </c>
      <c r="BL491" s="207">
        <f>BJ491/50</f>
        <v>89751.52</v>
      </c>
      <c r="BM491" s="892">
        <f t="shared" si="1258"/>
        <v>8.5575357002901406E-2</v>
      </c>
      <c r="BN491" s="207"/>
      <c r="BO491" s="207">
        <v>372885</v>
      </c>
      <c r="BP491" s="207">
        <f>SUM(BP492:BP512)</f>
        <v>0</v>
      </c>
      <c r="BQ491" s="633">
        <f t="shared" si="1259"/>
        <v>0</v>
      </c>
      <c r="BR491" s="207">
        <f>AY491*0.5*24</f>
        <v>11625.6</v>
      </c>
      <c r="BS491" s="633">
        <f>BR491/2211211</f>
        <v>5.2575715298087793E-3</v>
      </c>
      <c r="BT491" s="634"/>
      <c r="BU491" s="207"/>
      <c r="BV491" s="264">
        <f t="shared" si="1261"/>
        <v>0</v>
      </c>
      <c r="BW491" s="207"/>
      <c r="BX491" s="247">
        <f t="shared" si="1263"/>
        <v>0</v>
      </c>
      <c r="BY491" s="207">
        <f>SUM(BY492:BY512)</f>
        <v>0</v>
      </c>
      <c r="CA491" s="207">
        <f>SUM(CA492:CA512)</f>
        <v>2160434.7851485638</v>
      </c>
      <c r="CB491" s="207">
        <f>SUM(CB492:CB512)</f>
        <v>4320869.5702971276</v>
      </c>
      <c r="CC491" s="207">
        <f>SUM(CC492:CC512)</f>
        <v>6481304.3554456923</v>
      </c>
      <c r="CD491" s="633">
        <f t="shared" si="1202"/>
        <v>2.7347321801802073E-2</v>
      </c>
      <c r="CE491" s="207">
        <f>SUM(CE492:CE512)</f>
        <v>630100.39231854805</v>
      </c>
      <c r="CF491" s="633">
        <f t="shared" si="1203"/>
        <v>2.7209694518299233E-2</v>
      </c>
      <c r="CG491" s="207">
        <f t="shared" ref="CG491:CG527" si="1316">AO491*4</f>
        <v>1073157.1481783716</v>
      </c>
      <c r="CH491" s="588">
        <f t="shared" si="1219"/>
        <v>2.734732180180207E-2</v>
      </c>
      <c r="CI491" s="207">
        <f t="shared" ref="CI491:CO491" si="1317">SUM(CI492:CI512)</f>
        <v>2810604.6498018992</v>
      </c>
      <c r="CJ491" s="633">
        <f t="shared" si="1220"/>
        <v>4.6206333308485358E-2</v>
      </c>
      <c r="CK491" s="207">
        <f t="shared" si="1317"/>
        <v>2290037.8998791329</v>
      </c>
      <c r="CL491" s="588">
        <f t="shared" si="1221"/>
        <v>3.2919765851462161E-2</v>
      </c>
      <c r="CM491" s="207">
        <f t="shared" si="1317"/>
        <v>221846.8934260447</v>
      </c>
      <c r="CN491" s="588">
        <f t="shared" si="1222"/>
        <v>3.1970658555220841E-2</v>
      </c>
      <c r="CO491" s="207">
        <f t="shared" si="1317"/>
        <v>17747.991473968283</v>
      </c>
      <c r="CP491" s="588">
        <f t="shared" si="1223"/>
        <v>3.34699782259626E-2</v>
      </c>
      <c r="CQ491" s="207">
        <f>'Detailed Budget'!$AC$12</f>
        <v>292876014141.44696</v>
      </c>
      <c r="CR491" s="605">
        <f t="shared" si="1224"/>
        <v>25062972335.355366</v>
      </c>
      <c r="CS491" s="605">
        <f>'Detailed Budget'!$AC$16</f>
        <v>10488008800.000002</v>
      </c>
      <c r="CT491" s="605">
        <f t="shared" ref="CT491:CT527" si="1318">BM491*CS491</f>
        <v>897515097.30957174</v>
      </c>
      <c r="CU491" s="605">
        <f>'Detailed Budget'!$AC$24</f>
        <v>30624985696</v>
      </c>
      <c r="CV491" s="605">
        <f t="shared" si="1250"/>
        <v>2620744384</v>
      </c>
      <c r="CW491" s="605"/>
      <c r="CX491" s="605">
        <f t="shared" si="1215"/>
        <v>28581231816.664936</v>
      </c>
      <c r="CY491" s="207">
        <f>'Detailed Budget'!$AC$97</f>
        <v>74629165494.837845</v>
      </c>
      <c r="CZ491" s="605">
        <f t="shared" ref="CZ491:CZ527" si="1319">BQ491*CY491</f>
        <v>0</v>
      </c>
      <c r="DA491" s="605">
        <f>'Detailed Budget'!$AC$100</f>
        <v>14925833098.967569</v>
      </c>
      <c r="DB491" s="605">
        <f t="shared" ref="DB491:DB527" si="1320">BQ491*DA491</f>
        <v>0</v>
      </c>
      <c r="DC491" s="605">
        <f t="shared" si="1204"/>
        <v>0</v>
      </c>
      <c r="DD491" s="207">
        <f>SUM(DD492:DD512)</f>
        <v>0</v>
      </c>
      <c r="DE491" s="606">
        <v>0</v>
      </c>
      <c r="DF491" s="605">
        <f>'Detailed Budget'!$AC$147</f>
        <v>5913600671000</v>
      </c>
      <c r="DG491" s="605">
        <f t="shared" si="1230"/>
        <v>0</v>
      </c>
      <c r="DH491" s="605">
        <f>'Detailed Budget'!$AC$153</f>
        <v>226428026880.00003</v>
      </c>
      <c r="DI491" s="605">
        <f>BS491*DH491</f>
        <v>1190461547.675065</v>
      </c>
      <c r="DJ491" s="605">
        <f>'Detailed Budget'!$AC$156</f>
        <v>27713070000</v>
      </c>
      <c r="DK491" s="605">
        <f>AT491*DJ491</f>
        <v>751905000</v>
      </c>
      <c r="DL491" s="605">
        <f>DI491+DK491</f>
        <v>1942366547.675065</v>
      </c>
      <c r="DM491" s="207">
        <f>'Detailed Budget'!$AC$178</f>
        <v>5622683761.6229038</v>
      </c>
      <c r="DN491" s="207">
        <f>SUM(DN492:DN512)</f>
        <v>0</v>
      </c>
      <c r="DO491" s="207">
        <f>'Detailed Budget'!$AC$179</f>
        <v>26827890683.128094</v>
      </c>
      <c r="DP491" s="207">
        <f>SUM(DP492:DP512)</f>
        <v>0</v>
      </c>
      <c r="DQ491" s="207">
        <f>SUM(DQ492:DQ512)</f>
        <v>0</v>
      </c>
      <c r="DR491" s="605">
        <f>'Detailed Budget'!$AC$181</f>
        <v>50888946855.375237</v>
      </c>
      <c r="DS491" s="207">
        <f>SUM(DS492:DS512)</f>
        <v>0</v>
      </c>
      <c r="DT491" s="207">
        <f>SUM(DT492:DT512)</f>
        <v>0</v>
      </c>
      <c r="DU491" s="634">
        <f>'Detailed Budget'!$AC$192</f>
        <v>77498869683.252869</v>
      </c>
      <c r="DV491" s="605">
        <f t="shared" ref="DV491:DV527" si="1321">BZ491*CD491*DU491</f>
        <v>0</v>
      </c>
      <c r="DW491" s="930">
        <f>'Detailed Budget'!$AC$194</f>
        <v>2684962805.4134097</v>
      </c>
      <c r="DX491" s="605">
        <f t="shared" ref="DX491:DX527" si="1322">BZ491*AN491*DW491</f>
        <v>0</v>
      </c>
      <c r="DY491" s="605">
        <f t="shared" si="1205"/>
        <v>0</v>
      </c>
      <c r="DZ491" s="207">
        <f>'Detailed Budget'!$AC$198</f>
        <v>18732540018.380611</v>
      </c>
      <c r="EA491" s="605">
        <f t="shared" ref="EA491:EA512" si="1323">CF491*DZ491</f>
        <v>509706691.45195192</v>
      </c>
      <c r="EB491" s="207">
        <f>'Detailed Budget'!$AC$200</f>
        <v>4683135004.5951529</v>
      </c>
      <c r="EC491" s="605">
        <f t="shared" ref="EC491:EC527" si="1324">CF491*EB491</f>
        <v>127426672.86298798</v>
      </c>
      <c r="ED491" s="605">
        <f t="shared" si="1206"/>
        <v>637133364.31493986</v>
      </c>
      <c r="EE491" s="207">
        <f>'Detailed Budget'!$AC$161</f>
        <v>251147290106.36197</v>
      </c>
      <c r="EF491" s="605">
        <f t="shared" ref="EF491:EF527" si="1325">CH491*EE491</f>
        <v>6868205762.1892223</v>
      </c>
      <c r="EG491" s="207">
        <f>'Detailed Budget'!$AC$163</f>
        <v>15696705631.647623</v>
      </c>
      <c r="EH491" s="605">
        <f t="shared" ref="EH491:EH527" si="1326">AP491*EG491</f>
        <v>429262860.1368264</v>
      </c>
      <c r="EI491" s="605">
        <f t="shared" si="1207"/>
        <v>7297468622.3260489</v>
      </c>
      <c r="EJ491" s="207">
        <f>'Detailed Budget'!$AC$204</f>
        <v>45012172507.531975</v>
      </c>
      <c r="EK491" s="605">
        <f t="shared" ref="EK491:EK527" si="1327">CJ491*EJ491</f>
        <v>2079847445.8220634</v>
      </c>
      <c r="EL491" s="207">
        <f>'Detailed Budget'!$AC$206</f>
        <v>11253043126.882994</v>
      </c>
      <c r="EM491" s="605">
        <f t="shared" ref="EM491:EM527" si="1328">CJ491*EL491</f>
        <v>519961861.45551586</v>
      </c>
      <c r="EN491" s="605">
        <f t="shared" si="1208"/>
        <v>2599809307.2775793</v>
      </c>
      <c r="EO491" s="930">
        <f>'Detailed Budget'!$AC$209</f>
        <v>135789361677.54817</v>
      </c>
      <c r="EP491" s="605">
        <f t="shared" ref="EP491:EP527" si="1329">CL491*EO491</f>
        <v>4470153991.5443954</v>
      </c>
      <c r="EQ491" s="207">
        <f>'Detailed Budget'!$AC$211</f>
        <v>33947340419.387043</v>
      </c>
      <c r="ER491" s="605">
        <f t="shared" ref="ER491:ER527" si="1330">CL491*EQ491</f>
        <v>1117538497.8860989</v>
      </c>
      <c r="ES491" s="605">
        <f t="shared" si="1209"/>
        <v>5587692489.4304943</v>
      </c>
      <c r="ET491" s="207">
        <f>'Detailed Budget'!$AC$214</f>
        <v>22239745544.201103</v>
      </c>
      <c r="EU491" s="605">
        <f t="shared" ref="EU491:EU527" si="1331">CN491*ET491</f>
        <v>711019311.14864755</v>
      </c>
      <c r="EV491" s="930">
        <f>'Detailed Budget'!$AC$217</f>
        <v>5559936386.0502758</v>
      </c>
      <c r="EW491" s="605">
        <f t="shared" ref="EW491:EW527" si="1332">CN491*EV491</f>
        <v>177754827.78716189</v>
      </c>
      <c r="EX491" s="605">
        <f t="shared" si="1210"/>
        <v>888774138.93580937</v>
      </c>
      <c r="EY491" s="207">
        <f>'Detailed Budget'!$AC$219</f>
        <v>372777004.58170313</v>
      </c>
      <c r="EZ491" s="605">
        <f t="shared" ref="EZ491:EZ527" si="1333">CP491*EY491</f>
        <v>12476838.226489164</v>
      </c>
      <c r="FA491" s="207">
        <f>'Detailed Budget'!$AC$222</f>
        <v>93194251.145425782</v>
      </c>
      <c r="FB491" s="605">
        <f t="shared" ref="FB491:FB527" si="1334">CP491*FA491</f>
        <v>3119209.556622291</v>
      </c>
      <c r="FC491" s="605">
        <f t="shared" si="1211"/>
        <v>15596047.783111455</v>
      </c>
      <c r="FD491" s="605"/>
      <c r="FE491" s="605">
        <f t="shared" si="1212"/>
        <v>9091871983.4269943</v>
      </c>
      <c r="FF491" s="930">
        <f>'Detailed Budget'!$AC$165</f>
        <v>14927760000</v>
      </c>
      <c r="FG491" s="1087">
        <f t="shared" si="1232"/>
        <v>12401915211.435877</v>
      </c>
      <c r="FH491" s="605">
        <f t="shared" ref="FH491:FH512" si="1335">AV491*FF491</f>
        <v>552942820.13407564</v>
      </c>
      <c r="FI491" s="605"/>
      <c r="FJ491" s="930">
        <f>'Detailed Budget'!$AC$235</f>
        <v>3623696172</v>
      </c>
      <c r="FK491" s="605">
        <f t="shared" ref="FK491:FK512" si="1336">AT491*FJ491</f>
        <v>98317338</v>
      </c>
      <c r="FL491" s="605">
        <f t="shared" si="1235"/>
        <v>98317338</v>
      </c>
      <c r="FM491" s="605"/>
      <c r="FN491" s="605">
        <f>'Detailed Budget'!$AC$251</f>
        <v>1047595800</v>
      </c>
      <c r="FO491" s="605">
        <f>AR491*FN491</f>
        <v>28313400</v>
      </c>
      <c r="FP491" s="605">
        <f>'Detailed Budget'!$AB$254</f>
        <v>2773297530</v>
      </c>
      <c r="FQ491" s="605">
        <f>BE491*FP491</f>
        <v>93434220</v>
      </c>
      <c r="FR491" s="605">
        <f>'Detailed Budget'!$AC$257</f>
        <v>13636439388</v>
      </c>
      <c r="FS491" s="605">
        <f t="shared" ref="FS491:FS512" si="1337">BA491*FR491</f>
        <v>306796152</v>
      </c>
      <c r="FT491" s="605">
        <f t="shared" si="1237"/>
        <v>428543772</v>
      </c>
      <c r="FU491" s="605"/>
      <c r="FV491" s="605">
        <f>'Detailed Budget'!$AC$265</f>
        <v>6277805540</v>
      </c>
      <c r="FW491" s="605">
        <f>AR491*FV491</f>
        <v>169670420</v>
      </c>
      <c r="FX491" s="930">
        <f>'Detailed Budget'!$AC$278</f>
        <v>1114560000</v>
      </c>
      <c r="FY491" s="605">
        <f t="shared" ref="FY491:FY512" si="1338">AT491*FX491</f>
        <v>30240000</v>
      </c>
      <c r="FZ491" s="605">
        <f t="shared" si="1239"/>
        <v>199910420</v>
      </c>
      <c r="GB491" s="269">
        <f t="shared" si="1264"/>
        <v>61231701895.977936</v>
      </c>
      <c r="GC491" s="889">
        <f t="shared" si="1213"/>
        <v>38269813.684986211</v>
      </c>
      <c r="GD491" s="1078">
        <f t="shared" si="1265"/>
        <v>3.4359036065198502E-2</v>
      </c>
    </row>
    <row r="492" spans="1:186" hidden="1" outlineLevel="1">
      <c r="A492" s="211" t="s">
        <v>1107</v>
      </c>
      <c r="B492" s="212" t="s">
        <v>1108</v>
      </c>
      <c r="C492" s="213" t="s">
        <v>215</v>
      </c>
      <c r="D492" s="214"/>
      <c r="E492" s="213"/>
      <c r="F492" s="213"/>
      <c r="G492" s="213"/>
      <c r="H492" s="213" t="s">
        <v>215</v>
      </c>
      <c r="I492" s="214" t="s">
        <v>215</v>
      </c>
      <c r="J492" s="214"/>
      <c r="K492" s="213"/>
      <c r="L492" s="213"/>
      <c r="M492" s="214" t="s">
        <v>215</v>
      </c>
      <c r="N492" s="213"/>
      <c r="O492" s="214"/>
      <c r="P492" s="213"/>
      <c r="Q492" s="214"/>
      <c r="R492" s="214" t="s">
        <v>215</v>
      </c>
      <c r="S492" s="214"/>
      <c r="T492" s="214"/>
      <c r="U492" s="215">
        <f t="shared" ref="U492:U512" si="1339">COUNTA(C492:T492)</f>
        <v>5</v>
      </c>
      <c r="V492" s="845" t="s">
        <v>467</v>
      </c>
      <c r="W492" s="216">
        <v>369972</v>
      </c>
      <c r="X492" s="217">
        <v>2.8</v>
      </c>
      <c r="Y492" s="218">
        <f t="shared" si="1312"/>
        <v>1.028</v>
      </c>
      <c r="Z492" s="196">
        <v>19</v>
      </c>
      <c r="AA492" s="218">
        <f t="shared" si="1313"/>
        <v>1.6899318009047619</v>
      </c>
      <c r="AB492" s="196">
        <f t="shared" si="1291"/>
        <v>625227.44824433653</v>
      </c>
      <c r="AC492">
        <v>11.3</v>
      </c>
      <c r="AD492" s="196">
        <f t="shared" si="1292"/>
        <v>70650.701651610027</v>
      </c>
      <c r="AE492" s="196">
        <f t="shared" si="1314"/>
        <v>67118.166569029519</v>
      </c>
      <c r="AF492" s="196">
        <f t="shared" ref="AF492:AF513" si="1340">AE492*BT492</f>
        <v>0</v>
      </c>
      <c r="AG492" s="606">
        <f t="shared" si="1216"/>
        <v>3.1032493678796649E-3</v>
      </c>
      <c r="AH492" s="196">
        <f>AB492*0.05</f>
        <v>31261.372412216828</v>
      </c>
      <c r="AI492" s="248">
        <f t="shared" si="1193"/>
        <v>2.4217711551687421E-3</v>
      </c>
      <c r="AJ492" s="196">
        <f t="shared" si="1196"/>
        <v>101912.07406382685</v>
      </c>
      <c r="AK492" s="196">
        <f t="shared" si="1225"/>
        <v>25009.097929773463</v>
      </c>
      <c r="AL492" s="196">
        <f t="shared" si="1226"/>
        <v>25009.097929773463</v>
      </c>
      <c r="AM492" s="196">
        <f t="shared" si="1197"/>
        <v>50018.195859546926</v>
      </c>
      <c r="AN492" s="627">
        <f t="shared" si="1198"/>
        <v>2.4217711551687421E-3</v>
      </c>
      <c r="AO492" s="196">
        <f t="shared" si="1199"/>
        <v>23758.643033284789</v>
      </c>
      <c r="AP492" s="589">
        <f t="shared" si="1217"/>
        <v>2.4217711551687421E-3</v>
      </c>
      <c r="AQ492" s="196"/>
      <c r="AR492" s="589"/>
      <c r="AS492">
        <v>1</v>
      </c>
      <c r="AT492" s="589">
        <f t="shared" si="1218"/>
        <v>1.2919896640826874E-3</v>
      </c>
      <c r="AU492" s="196">
        <v>20</v>
      </c>
      <c r="AV492" s="245">
        <f t="shared" si="1200"/>
        <v>2.2724690376093627E-3</v>
      </c>
      <c r="AX492" s="245"/>
      <c r="AY492" s="245"/>
      <c r="AZ492" s="196">
        <v>40</v>
      </c>
      <c r="BA492" s="589">
        <f t="shared" si="1256"/>
        <v>1.4656846579458429E-3</v>
      </c>
      <c r="BI492" s="196">
        <v>0</v>
      </c>
      <c r="BJ492" s="196">
        <f t="shared" ref="BJ492:BJ512" si="1341">AB492/7060244*4487576</f>
        <v>397402.08571864181</v>
      </c>
      <c r="BK492" s="246">
        <f t="shared" si="1257"/>
        <v>7.5782180068087249E-3</v>
      </c>
      <c r="BL492" s="196">
        <f>BJ492/50</f>
        <v>7948.0417143728364</v>
      </c>
      <c r="BM492" s="246">
        <f t="shared" si="1258"/>
        <v>7.578217139736553E-3</v>
      </c>
      <c r="BN492" s="196">
        <v>0</v>
      </c>
      <c r="BO492" s="196">
        <f t="shared" ref="BO492:BO512" si="1342">AJ492/1150820*372885</f>
        <v>33021.222899576016</v>
      </c>
      <c r="BP492" s="196">
        <f t="shared" si="1201"/>
        <v>0</v>
      </c>
      <c r="BQ492" s="248">
        <f t="shared" si="1259"/>
        <v>0</v>
      </c>
      <c r="BR492" s="248"/>
      <c r="BS492" s="248"/>
      <c r="BT492" s="276">
        <v>0</v>
      </c>
      <c r="BU492" s="196">
        <f t="shared" ref="BU492:BU512" si="1343">AD492*BT492*0.18*4</f>
        <v>0</v>
      </c>
      <c r="BV492" s="264">
        <f t="shared" si="1261"/>
        <v>0</v>
      </c>
      <c r="BW492" s="196">
        <f t="shared" ref="BW492:BW512" si="1344">AD492*BT492*0.77*4</f>
        <v>0</v>
      </c>
      <c r="BX492" s="247">
        <f t="shared" si="1263"/>
        <v>0</v>
      </c>
      <c r="BY492" s="196">
        <f t="shared" ref="BY492:BY512" si="1345">BU492+BW492</f>
        <v>0</v>
      </c>
      <c r="BZ492" s="620">
        <v>0</v>
      </c>
      <c r="CA492" s="196">
        <f t="shared" ref="CA492:CA513" si="1346">AK492*0.85*0.75*12</f>
        <v>191319.599162767</v>
      </c>
      <c r="CB492" s="196">
        <f t="shared" ref="CB492:CB513" si="1347">AL492*0.85*0.75*2*12</f>
        <v>382639.198325534</v>
      </c>
      <c r="CC492" s="196">
        <f t="shared" si="1214"/>
        <v>573958.79748830106</v>
      </c>
      <c r="CD492" s="247">
        <f t="shared" si="1202"/>
        <v>2.4217711551687425E-3</v>
      </c>
      <c r="CE492" s="196">
        <f t="shared" ref="CE492:CE512" si="1348">AH492/353012*630100</f>
        <v>55799.210103163132</v>
      </c>
      <c r="CF492" s="247">
        <f t="shared" si="1203"/>
        <v>2.409583424766219E-3</v>
      </c>
      <c r="CG492" s="196">
        <f t="shared" si="1316"/>
        <v>95034.572133139154</v>
      </c>
      <c r="CH492" s="589">
        <f t="shared" si="1219"/>
        <v>2.4217711551687421E-3</v>
      </c>
      <c r="CI492" s="196">
        <f t="shared" ref="CI492:CI512" si="1349">AD492/797808*2810606</f>
        <v>248896.08272444629</v>
      </c>
      <c r="CJ492" s="248">
        <f t="shared" si="1220"/>
        <v>4.0918509682081076E-3</v>
      </c>
      <c r="CK492" s="196">
        <f t="shared" ref="CK492:CK512" si="1350">AD492/797808*2290039</f>
        <v>202796.74076914668</v>
      </c>
      <c r="CL492" s="589">
        <f t="shared" si="1221"/>
        <v>2.9152448620664035E-3</v>
      </c>
      <c r="CM492" s="196">
        <f t="shared" ref="CM492:CM512" si="1351">AD492/797808*221847</f>
        <v>19645.887493362723</v>
      </c>
      <c r="CN492" s="589">
        <f t="shared" si="1222"/>
        <v>2.831195656449275E-3</v>
      </c>
      <c r="CO492" s="196">
        <f t="shared" ref="CO492:CO512" si="1352">AD492/797808*17748</f>
        <v>1571.6922529139526</v>
      </c>
      <c r="CP492" s="589">
        <f t="shared" si="1223"/>
        <v>2.9639695038225205E-3</v>
      </c>
      <c r="CQ492" s="196">
        <f>'Detailed Budget'!$AC$12</f>
        <v>292876014141.44696</v>
      </c>
      <c r="CR492" s="269">
        <f t="shared" si="1224"/>
        <v>2219478284.1290803</v>
      </c>
      <c r="CS492" s="269">
        <f>'Detailed Budget'!$AC$16</f>
        <v>10488008800.000002</v>
      </c>
      <c r="CT492" s="607">
        <f t="shared" si="1318"/>
        <v>79480408.049867809</v>
      </c>
      <c r="CU492" s="269">
        <f>'Detailed Budget'!$AC$24</f>
        <v>30624985696</v>
      </c>
      <c r="CV492" s="269">
        <f t="shared" si="1250"/>
        <v>232082818.05968684</v>
      </c>
      <c r="CW492" s="269"/>
      <c r="CX492" s="269">
        <f t="shared" si="1215"/>
        <v>2531041510.2386346</v>
      </c>
      <c r="CY492" s="196">
        <f>'Detailed Budget'!$AC$97</f>
        <v>74629165494.837845</v>
      </c>
      <c r="CZ492" s="269">
        <f t="shared" si="1319"/>
        <v>0</v>
      </c>
      <c r="DA492" s="269">
        <f>'Detailed Budget'!$AC$100</f>
        <v>14925833098.967569</v>
      </c>
      <c r="DB492" s="269">
        <f t="shared" si="1320"/>
        <v>0</v>
      </c>
      <c r="DC492" s="269">
        <f t="shared" si="1204"/>
        <v>0</v>
      </c>
      <c r="DD492" s="207">
        <v>0</v>
      </c>
      <c r="DE492" s="606">
        <v>0</v>
      </c>
      <c r="DF492" s="269">
        <f>'Detailed Budget'!$AC$147</f>
        <v>5913600671000</v>
      </c>
      <c r="DG492" s="269">
        <f t="shared" si="1230"/>
        <v>0</v>
      </c>
      <c r="DH492" s="269">
        <f>'Detailed Budget'!$AC$153</f>
        <v>226428026880.00003</v>
      </c>
      <c r="DI492" s="269"/>
      <c r="DJ492" s="269">
        <f>'Detailed Budget'!$AC$156</f>
        <v>27713070000</v>
      </c>
      <c r="DK492" s="269"/>
      <c r="DL492" s="269"/>
      <c r="DM492" s="196">
        <f>'Detailed Budget'!$AC$178</f>
        <v>5622683761.6229038</v>
      </c>
      <c r="DN492" s="269">
        <f t="shared" ref="DN492:DN512" si="1353">BT492*BV492*DM492</f>
        <v>0</v>
      </c>
      <c r="DO492" s="196">
        <f>'Detailed Budget'!$AC$179</f>
        <v>26827890683.128094</v>
      </c>
      <c r="DP492" s="269">
        <f t="shared" ref="DP492:DP512" si="1354">BT492*BX492*DO492</f>
        <v>0</v>
      </c>
      <c r="DQ492" s="269">
        <f t="shared" si="1192"/>
        <v>0</v>
      </c>
      <c r="DR492" s="269">
        <f>'Detailed Budget'!$AC$181</f>
        <v>50888946855.375237</v>
      </c>
      <c r="DS492" s="269">
        <f t="shared" ref="DS492:DS512" si="1355">BT492*AG492*DR492</f>
        <v>0</v>
      </c>
      <c r="DT492" s="269">
        <f t="shared" ref="DT492:DT512" si="1356">DQ492+DS492</f>
        <v>0</v>
      </c>
      <c r="DU492" s="272">
        <f>'Detailed Budget'!$AC$192</f>
        <v>77498869683.252869</v>
      </c>
      <c r="DV492" s="269">
        <f t="shared" si="1321"/>
        <v>0</v>
      </c>
      <c r="DW492" s="140">
        <f>'Detailed Budget'!$AC$194</f>
        <v>2684962805.4134097</v>
      </c>
      <c r="DX492" s="269">
        <f t="shared" si="1322"/>
        <v>0</v>
      </c>
      <c r="DY492" s="607">
        <f t="shared" si="1205"/>
        <v>0</v>
      </c>
      <c r="DZ492" s="196">
        <f>'Detailed Budget'!$AC$198</f>
        <v>18732540018.380611</v>
      </c>
      <c r="EA492" s="269">
        <f t="shared" si="1323"/>
        <v>45137617.932059802</v>
      </c>
      <c r="EB492" s="196">
        <f>'Detailed Budget'!$AC$200</f>
        <v>4683135004.5951529</v>
      </c>
      <c r="EC492" s="269">
        <f t="shared" si="1324"/>
        <v>11284404.483014951</v>
      </c>
      <c r="ED492" s="269">
        <f t="shared" si="1206"/>
        <v>56422022.415074751</v>
      </c>
      <c r="EE492" s="196">
        <f>'Detailed Budget'!$AC$161</f>
        <v>251147290106.36197</v>
      </c>
      <c r="EF492" s="269">
        <f t="shared" si="1325"/>
        <v>608221262.8783834</v>
      </c>
      <c r="EG492" s="196">
        <f>'Detailed Budget'!$AC$163</f>
        <v>15696705631.647623</v>
      </c>
      <c r="EH492" s="269">
        <f t="shared" si="1326"/>
        <v>38013828.929898962</v>
      </c>
      <c r="EI492" s="269">
        <f t="shared" si="1207"/>
        <v>646235091.80828238</v>
      </c>
      <c r="EJ492" s="196">
        <f>'Detailed Budget'!$AC$204</f>
        <v>45012172507.531975</v>
      </c>
      <c r="EK492" s="269">
        <f t="shared" si="1327"/>
        <v>184183101.65609509</v>
      </c>
      <c r="EL492" s="201">
        <f>'Detailed Budget'!$AC$206</f>
        <v>11253043126.882994</v>
      </c>
      <c r="EM492" s="269">
        <f t="shared" si="1328"/>
        <v>46045775.414023772</v>
      </c>
      <c r="EN492" s="269">
        <f t="shared" si="1208"/>
        <v>230228877.07011884</v>
      </c>
      <c r="EO492" s="140">
        <f>'Detailed Budget'!$AC$209</f>
        <v>135789361677.54817</v>
      </c>
      <c r="EP492" s="269">
        <f t="shared" si="1329"/>
        <v>395859238.95374888</v>
      </c>
      <c r="EQ492" s="196">
        <f>'Detailed Budget'!$AC$211</f>
        <v>33947340419.387043</v>
      </c>
      <c r="ER492" s="269">
        <f t="shared" si="1330"/>
        <v>98964809.73843722</v>
      </c>
      <c r="ES492" s="269">
        <f t="shared" si="1209"/>
        <v>494824048.69218612</v>
      </c>
      <c r="ET492" s="196">
        <f>'Detailed Budget'!$AC$214</f>
        <v>22239745544.201103</v>
      </c>
      <c r="EU492" s="269">
        <f t="shared" si="1331"/>
        <v>62965070.985279284</v>
      </c>
      <c r="EV492" s="140">
        <f>'Detailed Budget'!$AC$217</f>
        <v>5559936386.0502758</v>
      </c>
      <c r="EW492" s="269">
        <f t="shared" si="1332"/>
        <v>15741267.746319821</v>
      </c>
      <c r="EX492" s="269">
        <f t="shared" si="1210"/>
        <v>78706338.731599107</v>
      </c>
      <c r="EY492" s="196">
        <f>'Detailed Budget'!$AC$219</f>
        <v>372777004.58170313</v>
      </c>
      <c r="EZ492" s="269">
        <f t="shared" si="1333"/>
        <v>1104899.6733064761</v>
      </c>
      <c r="FA492" s="196">
        <f>'Detailed Budget'!$AC$222</f>
        <v>93194251.145425782</v>
      </c>
      <c r="FB492" s="269">
        <f t="shared" si="1334"/>
        <v>276224.91832661902</v>
      </c>
      <c r="FC492" s="269">
        <f t="shared" si="1211"/>
        <v>1381124.5916330952</v>
      </c>
      <c r="FD492" s="269"/>
      <c r="FE492" s="269">
        <f t="shared" si="1212"/>
        <v>805140389.0855372</v>
      </c>
      <c r="FF492" s="140">
        <f>'Detailed Budget'!$AC$165</f>
        <v>14927760000</v>
      </c>
      <c r="FG492" s="1087">
        <f t="shared" si="1232"/>
        <v>1098264786.0575767</v>
      </c>
      <c r="FH492" s="269">
        <f t="shared" si="1335"/>
        <v>33922872.400863543</v>
      </c>
      <c r="FJ492" s="140">
        <f>'Detailed Budget'!$AC$235</f>
        <v>3623696172</v>
      </c>
      <c r="FK492" s="269">
        <f t="shared" si="1336"/>
        <v>4681778</v>
      </c>
      <c r="FL492" s="269">
        <f t="shared" si="1235"/>
        <v>4681778</v>
      </c>
      <c r="FO492" s="607"/>
      <c r="FP492" s="607"/>
      <c r="FQ492" s="607"/>
      <c r="FR492" s="269">
        <f>'Detailed Budget'!$AC$257</f>
        <v>13636439388</v>
      </c>
      <c r="FS492" s="269">
        <f t="shared" si="1337"/>
        <v>19986720</v>
      </c>
      <c r="FT492" s="269">
        <f t="shared" si="1237"/>
        <v>19986720</v>
      </c>
      <c r="FU492" s="269"/>
      <c r="FV492" s="269"/>
      <c r="FW492" s="269"/>
      <c r="FX492" s="140">
        <f>'Detailed Budget'!$AC$278</f>
        <v>1114560000</v>
      </c>
      <c r="FY492" s="269">
        <f t="shared" si="1338"/>
        <v>1440000</v>
      </c>
      <c r="FZ492" s="269">
        <f t="shared" si="1239"/>
        <v>1440000</v>
      </c>
      <c r="GB492" s="269">
        <f t="shared" si="1264"/>
        <v>5197135170.00597</v>
      </c>
      <c r="GC492" s="887">
        <f t="shared" si="1213"/>
        <v>3248209.4812537311</v>
      </c>
      <c r="GD492" s="1078">
        <f t="shared" si="1265"/>
        <v>2.9162761970148035E-3</v>
      </c>
    </row>
    <row r="493" spans="1:186" hidden="1" outlineLevel="1">
      <c r="A493" s="211" t="s">
        <v>1109</v>
      </c>
      <c r="B493" s="212" t="s">
        <v>1110</v>
      </c>
      <c r="C493" s="213" t="s">
        <v>215</v>
      </c>
      <c r="D493" s="214"/>
      <c r="E493" s="213"/>
      <c r="F493" s="213"/>
      <c r="G493" s="213"/>
      <c r="H493" s="213" t="s">
        <v>215</v>
      </c>
      <c r="I493" s="214" t="s">
        <v>215</v>
      </c>
      <c r="J493" s="214"/>
      <c r="K493" s="213"/>
      <c r="L493" s="213"/>
      <c r="M493" s="214" t="s">
        <v>215</v>
      </c>
      <c r="N493" s="213"/>
      <c r="O493" s="214"/>
      <c r="P493" s="213"/>
      <c r="Q493" s="214"/>
      <c r="R493" s="214" t="s">
        <v>215</v>
      </c>
      <c r="S493" s="214"/>
      <c r="T493" s="214"/>
      <c r="U493" s="215">
        <f t="shared" si="1339"/>
        <v>5</v>
      </c>
      <c r="V493" s="845" t="s">
        <v>467</v>
      </c>
      <c r="W493" s="216">
        <v>152149</v>
      </c>
      <c r="X493" s="217">
        <v>2.8</v>
      </c>
      <c r="Y493" s="218">
        <f t="shared" si="1312"/>
        <v>1.028</v>
      </c>
      <c r="Z493" s="196">
        <v>19</v>
      </c>
      <c r="AA493" s="218">
        <f t="shared" si="1313"/>
        <v>1.6899318009047619</v>
      </c>
      <c r="AB493" s="196">
        <f t="shared" si="1291"/>
        <v>257121.43357585862</v>
      </c>
      <c r="AC493">
        <v>11.3</v>
      </c>
      <c r="AD493" s="196">
        <f t="shared" si="1292"/>
        <v>29054.721994072028</v>
      </c>
      <c r="AE493" s="196">
        <f t="shared" si="1314"/>
        <v>27601.985894368427</v>
      </c>
      <c r="AF493" s="196">
        <f t="shared" si="1340"/>
        <v>0</v>
      </c>
      <c r="AG493" s="606">
        <f t="shared" si="1216"/>
        <v>1.276194652767029E-3</v>
      </c>
      <c r="AH493" s="196">
        <f t="shared" ref="AH493:AH512" si="1357">AB493*0.05</f>
        <v>12856.071678792932</v>
      </c>
      <c r="AI493" s="248">
        <f t="shared" si="1193"/>
        <v>9.9594039410487553E-4</v>
      </c>
      <c r="AJ493" s="196">
        <f t="shared" si="1196"/>
        <v>41910.793672864958</v>
      </c>
      <c r="AK493" s="196">
        <f t="shared" si="1225"/>
        <v>10284.857343034346</v>
      </c>
      <c r="AL493" s="196">
        <f t="shared" si="1226"/>
        <v>10284.857343034346</v>
      </c>
      <c r="AM493" s="196">
        <f t="shared" si="1197"/>
        <v>20569.714686068692</v>
      </c>
      <c r="AN493" s="627">
        <f t="shared" si="1198"/>
        <v>9.9594039410487553E-4</v>
      </c>
      <c r="AO493" s="196">
        <f t="shared" si="1199"/>
        <v>9770.6144758826267</v>
      </c>
      <c r="AP493" s="589">
        <f t="shared" si="1217"/>
        <v>9.9594039410487532E-4</v>
      </c>
      <c r="AQ493" s="196"/>
      <c r="AR493" s="589"/>
      <c r="AS493">
        <v>1</v>
      </c>
      <c r="AT493" s="589">
        <f t="shared" si="1218"/>
        <v>1.2919896640826874E-3</v>
      </c>
      <c r="AU493" s="196">
        <v>15</v>
      </c>
      <c r="AV493" s="245">
        <f t="shared" si="1200"/>
        <v>1.7043517782070218E-3</v>
      </c>
      <c r="AX493" s="245"/>
      <c r="AY493" s="245"/>
      <c r="AZ493" s="196">
        <v>28</v>
      </c>
      <c r="BA493" s="589">
        <f t="shared" si="1256"/>
        <v>1.0259792605620901E-3</v>
      </c>
      <c r="BI493" s="196">
        <v>0</v>
      </c>
      <c r="BJ493" s="196">
        <f t="shared" si="1341"/>
        <v>163429.47558195118</v>
      </c>
      <c r="BK493" s="246">
        <f t="shared" si="1257"/>
        <v>3.1165014961076535E-3</v>
      </c>
      <c r="BL493" s="196">
        <f t="shared" ref="BL493:BL512" si="1358">BJ493/50</f>
        <v>3268.5895116390234</v>
      </c>
      <c r="BM493" s="246">
        <f t="shared" si="1258"/>
        <v>3.1165011395288748E-3</v>
      </c>
      <c r="BN493" s="196">
        <v>0</v>
      </c>
      <c r="BO493" s="196">
        <f t="shared" si="1342"/>
        <v>13579.800749644817</v>
      </c>
      <c r="BP493" s="196">
        <f t="shared" si="1201"/>
        <v>0</v>
      </c>
      <c r="BQ493" s="248">
        <f t="shared" si="1259"/>
        <v>0</v>
      </c>
      <c r="BR493" s="248"/>
      <c r="BS493" s="248"/>
      <c r="BT493" s="276">
        <v>0</v>
      </c>
      <c r="BU493" s="196">
        <f t="shared" si="1343"/>
        <v>0</v>
      </c>
      <c r="BV493" s="264">
        <f t="shared" si="1261"/>
        <v>0</v>
      </c>
      <c r="BW493" s="196">
        <f t="shared" si="1344"/>
        <v>0</v>
      </c>
      <c r="BX493" s="247">
        <f t="shared" si="1263"/>
        <v>0</v>
      </c>
      <c r="BY493" s="196">
        <f t="shared" si="1345"/>
        <v>0</v>
      </c>
      <c r="BZ493" s="620">
        <v>0</v>
      </c>
      <c r="CA493" s="196">
        <f t="shared" si="1346"/>
        <v>78679.15867421274</v>
      </c>
      <c r="CB493" s="196">
        <f t="shared" si="1347"/>
        <v>157358.31734842548</v>
      </c>
      <c r="CC493" s="196">
        <f t="shared" si="1214"/>
        <v>236037.47602263821</v>
      </c>
      <c r="CD493" s="247">
        <f t="shared" si="1202"/>
        <v>9.9594039410487532E-4</v>
      </c>
      <c r="CE493" s="196">
        <f t="shared" si="1348"/>
        <v>22947.125777048448</v>
      </c>
      <c r="CF493" s="247">
        <f t="shared" si="1203"/>
        <v>9.9092825536731288E-4</v>
      </c>
      <c r="CG493" s="196">
        <f t="shared" si="1316"/>
        <v>39082.457903530507</v>
      </c>
      <c r="CH493" s="589">
        <f t="shared" si="1219"/>
        <v>9.9594039410487532E-4</v>
      </c>
      <c r="CI493" s="196">
        <f t="shared" si="1349"/>
        <v>102357.17862552244</v>
      </c>
      <c r="CJ493" s="248">
        <f t="shared" si="1220"/>
        <v>1.6827517567867176E-3</v>
      </c>
      <c r="CK493" s="196">
        <f t="shared" si="1350"/>
        <v>83399.071581862692</v>
      </c>
      <c r="CL493" s="589">
        <f t="shared" si="1221"/>
        <v>1.1988788084464266E-3</v>
      </c>
      <c r="CM493" s="196">
        <f t="shared" si="1351"/>
        <v>8079.2658261372371</v>
      </c>
      <c r="CN493" s="589">
        <f t="shared" si="1222"/>
        <v>1.1643140235831385E-3</v>
      </c>
      <c r="CO493" s="196">
        <f t="shared" si="1352"/>
        <v>646.35000645617788</v>
      </c>
      <c r="CP493" s="589">
        <f t="shared" si="1223"/>
        <v>1.218916555947728E-3</v>
      </c>
      <c r="CQ493" s="196">
        <f>'Detailed Budget'!$AC$12</f>
        <v>292876014141.44696</v>
      </c>
      <c r="CR493" s="269">
        <f t="shared" si="1224"/>
        <v>912748536.2458657</v>
      </c>
      <c r="CS493" s="269">
        <f>'Detailed Budget'!$AC$16</f>
        <v>10488008800.000002</v>
      </c>
      <c r="CT493" s="607">
        <f t="shared" si="1318"/>
        <v>32685891.376588874</v>
      </c>
      <c r="CU493" s="269">
        <f>'Detailed Budget'!$AC$24</f>
        <v>30624985696</v>
      </c>
      <c r="CV493" s="269">
        <f t="shared" si="1250"/>
        <v>95442813.739859492</v>
      </c>
      <c r="CW493" s="269"/>
      <c r="CX493" s="269">
        <f t="shared" si="1215"/>
        <v>1040877241.362314</v>
      </c>
      <c r="CY493" s="196">
        <f>'Detailed Budget'!$AC$97</f>
        <v>74629165494.837845</v>
      </c>
      <c r="CZ493" s="269">
        <f t="shared" si="1319"/>
        <v>0</v>
      </c>
      <c r="DA493" s="269">
        <f>'Detailed Budget'!$AC$100</f>
        <v>14925833098.967569</v>
      </c>
      <c r="DB493" s="269">
        <f t="shared" si="1320"/>
        <v>0</v>
      </c>
      <c r="DC493" s="269">
        <f t="shared" si="1204"/>
        <v>0</v>
      </c>
      <c r="DD493" s="207">
        <v>0</v>
      </c>
      <c r="DE493" s="606">
        <v>0</v>
      </c>
      <c r="DF493" s="269">
        <f>'Detailed Budget'!$AC$147</f>
        <v>5913600671000</v>
      </c>
      <c r="DG493" s="269">
        <f t="shared" si="1230"/>
        <v>0</v>
      </c>
      <c r="DH493" s="269">
        <f>'Detailed Budget'!$AC$153</f>
        <v>226428026880.00003</v>
      </c>
      <c r="DI493" s="269"/>
      <c r="DJ493" s="269">
        <f>'Detailed Budget'!$AC$156</f>
        <v>27713070000</v>
      </c>
      <c r="DK493" s="269"/>
      <c r="DL493" s="269"/>
      <c r="DM493" s="196">
        <f>'Detailed Budget'!$AC$178</f>
        <v>5622683761.6229038</v>
      </c>
      <c r="DN493" s="269">
        <f t="shared" si="1353"/>
        <v>0</v>
      </c>
      <c r="DO493" s="196">
        <f>'Detailed Budget'!$AC$179</f>
        <v>26827890683.128094</v>
      </c>
      <c r="DP493" s="269">
        <f t="shared" si="1354"/>
        <v>0</v>
      </c>
      <c r="DQ493" s="269">
        <f t="shared" si="1192"/>
        <v>0</v>
      </c>
      <c r="DR493" s="269">
        <f>'Detailed Budget'!$AC$181</f>
        <v>50888946855.375237</v>
      </c>
      <c r="DS493" s="269">
        <f t="shared" si="1355"/>
        <v>0</v>
      </c>
      <c r="DT493" s="269">
        <f t="shared" si="1356"/>
        <v>0</v>
      </c>
      <c r="DU493" s="272">
        <f>'Detailed Budget'!$AC$192</f>
        <v>77498869683.252869</v>
      </c>
      <c r="DV493" s="269">
        <f t="shared" si="1321"/>
        <v>0</v>
      </c>
      <c r="DW493" s="140">
        <f>'Detailed Budget'!$AC$194</f>
        <v>2684962805.4134097</v>
      </c>
      <c r="DX493" s="269">
        <f t="shared" si="1322"/>
        <v>0</v>
      </c>
      <c r="DY493" s="607">
        <f t="shared" si="1205"/>
        <v>0</v>
      </c>
      <c r="DZ493" s="196">
        <f>'Detailed Budget'!$AC$198</f>
        <v>18732540018.380611</v>
      </c>
      <c r="EA493" s="269">
        <f t="shared" si="1323"/>
        <v>18562603.199012272</v>
      </c>
      <c r="EB493" s="196">
        <f>'Detailed Budget'!$AC$200</f>
        <v>4683135004.5951529</v>
      </c>
      <c r="EC493" s="269">
        <f t="shared" si="1324"/>
        <v>4640650.799753068</v>
      </c>
      <c r="ED493" s="269">
        <f t="shared" si="1206"/>
        <v>23203253.998765342</v>
      </c>
      <c r="EE493" s="196">
        <f>'Detailed Budget'!$AC$161</f>
        <v>251147290106.36197</v>
      </c>
      <c r="EF493" s="269">
        <f t="shared" si="1325"/>
        <v>250127731.08690161</v>
      </c>
      <c r="EG493" s="196">
        <f>'Detailed Budget'!$AC$163</f>
        <v>15696705631.647623</v>
      </c>
      <c r="EH493" s="269">
        <f t="shared" si="1326"/>
        <v>15632983.19293135</v>
      </c>
      <c r="EI493" s="269">
        <f t="shared" si="1207"/>
        <v>265760714.27983296</v>
      </c>
      <c r="EJ493" s="196">
        <f>'Detailed Budget'!$AC$204</f>
        <v>45012172507.531975</v>
      </c>
      <c r="EK493" s="269">
        <f t="shared" si="1327"/>
        <v>75744312.363836229</v>
      </c>
      <c r="EL493" s="201">
        <f>'Detailed Budget'!$AC$206</f>
        <v>11253043126.882994</v>
      </c>
      <c r="EM493" s="269">
        <f t="shared" si="1328"/>
        <v>18936078.090959057</v>
      </c>
      <c r="EN493" s="269">
        <f t="shared" si="1208"/>
        <v>94680390.454795286</v>
      </c>
      <c r="EO493" s="140">
        <f>'Detailed Budget'!$AC$209</f>
        <v>135789361677.54817</v>
      </c>
      <c r="EP493" s="269">
        <f t="shared" si="1329"/>
        <v>162794988.12767982</v>
      </c>
      <c r="EQ493" s="196">
        <f>'Detailed Budget'!$AC$211</f>
        <v>33947340419.387043</v>
      </c>
      <c r="ER493" s="269">
        <f t="shared" si="1330"/>
        <v>40698747.031919956</v>
      </c>
      <c r="ES493" s="269">
        <f t="shared" si="1209"/>
        <v>203493735.15959978</v>
      </c>
      <c r="ET493" s="196">
        <f>'Detailed Budget'!$AC$214</f>
        <v>22239745544.201103</v>
      </c>
      <c r="EU493" s="269">
        <f t="shared" si="1331"/>
        <v>25894047.618033964</v>
      </c>
      <c r="EV493" s="140">
        <f>'Detailed Budget'!$AC$217</f>
        <v>5559936386.0502758</v>
      </c>
      <c r="EW493" s="269">
        <f t="shared" si="1332"/>
        <v>6473511.904508491</v>
      </c>
      <c r="EX493" s="269">
        <f t="shared" si="1210"/>
        <v>32367559.522542454</v>
      </c>
      <c r="EY493" s="196">
        <f>'Detailed Budget'!$AC$219</f>
        <v>372777004.58170313</v>
      </c>
      <c r="EZ493" s="269">
        <f t="shared" si="1333"/>
        <v>454384.06256123999</v>
      </c>
      <c r="FA493" s="196">
        <f>'Detailed Budget'!$AC$222</f>
        <v>93194251.145425782</v>
      </c>
      <c r="FB493" s="269">
        <f t="shared" si="1334"/>
        <v>113596.01564031</v>
      </c>
      <c r="FC493" s="269">
        <f t="shared" si="1211"/>
        <v>567980.07820154994</v>
      </c>
      <c r="FD493" s="269"/>
      <c r="FE493" s="269">
        <f t="shared" si="1212"/>
        <v>331109665.21513909</v>
      </c>
      <c r="FF493" s="140">
        <f>'Detailed Budget'!$AC$165</f>
        <v>14927760000</v>
      </c>
      <c r="FG493" s="1087">
        <f t="shared" si="1232"/>
        <v>451655500.77809751</v>
      </c>
      <c r="FH493" s="269">
        <f t="shared" si="1335"/>
        <v>25442154.300647654</v>
      </c>
      <c r="FJ493" s="140">
        <f>'Detailed Budget'!$AC$235</f>
        <v>3623696172</v>
      </c>
      <c r="FK493" s="269">
        <f t="shared" si="1336"/>
        <v>4681778</v>
      </c>
      <c r="FL493" s="269">
        <f t="shared" si="1235"/>
        <v>4681778</v>
      </c>
      <c r="FO493" s="607"/>
      <c r="FP493" s="607"/>
      <c r="FQ493" s="607"/>
      <c r="FR493" s="269">
        <f>'Detailed Budget'!$AC$257</f>
        <v>13636439388</v>
      </c>
      <c r="FS493" s="269">
        <f t="shared" si="1337"/>
        <v>13990704</v>
      </c>
      <c r="FT493" s="269">
        <f t="shared" si="1237"/>
        <v>13990704</v>
      </c>
      <c r="FU493" s="269"/>
      <c r="FV493" s="269"/>
      <c r="FW493" s="269"/>
      <c r="FX493" s="140">
        <f>'Detailed Budget'!$AC$278</f>
        <v>1114560000</v>
      </c>
      <c r="FY493" s="269">
        <f t="shared" si="1338"/>
        <v>1440000</v>
      </c>
      <c r="FZ493" s="269">
        <f t="shared" si="1239"/>
        <v>1440000</v>
      </c>
      <c r="GB493" s="269">
        <f t="shared" si="1264"/>
        <v>2158161011.9347968</v>
      </c>
      <c r="GC493" s="887">
        <f t="shared" si="1213"/>
        <v>1348850.632459248</v>
      </c>
      <c r="GD493" s="1078">
        <f t="shared" si="1265"/>
        <v>1.2110121023509188E-3</v>
      </c>
    </row>
    <row r="494" spans="1:186" hidden="1" outlineLevel="1">
      <c r="A494" s="211" t="s">
        <v>1111</v>
      </c>
      <c r="B494" s="212" t="s">
        <v>1112</v>
      </c>
      <c r="C494" s="213" t="s">
        <v>215</v>
      </c>
      <c r="D494" s="214"/>
      <c r="E494" s="213"/>
      <c r="F494" s="213"/>
      <c r="G494" s="213"/>
      <c r="H494" s="213" t="s">
        <v>215</v>
      </c>
      <c r="I494" s="214" t="s">
        <v>215</v>
      </c>
      <c r="J494" s="214"/>
      <c r="K494" s="213"/>
      <c r="L494" s="213"/>
      <c r="M494" s="214" t="s">
        <v>215</v>
      </c>
      <c r="N494" s="213"/>
      <c r="O494" s="214"/>
      <c r="P494" s="213"/>
      <c r="Q494" s="214"/>
      <c r="R494" s="214" t="s">
        <v>215</v>
      </c>
      <c r="S494" s="214"/>
      <c r="T494" s="214"/>
      <c r="U494" s="215">
        <f t="shared" si="1339"/>
        <v>5</v>
      </c>
      <c r="V494" s="845" t="s">
        <v>467</v>
      </c>
      <c r="W494" s="216">
        <v>167303</v>
      </c>
      <c r="X494" s="217">
        <v>2.8</v>
      </c>
      <c r="Y494" s="218">
        <f t="shared" si="1312"/>
        <v>1.028</v>
      </c>
      <c r="Z494" s="196">
        <v>19</v>
      </c>
      <c r="AA494" s="218">
        <f t="shared" si="1313"/>
        <v>1.6899318009047619</v>
      </c>
      <c r="AB494" s="196">
        <f t="shared" si="1291"/>
        <v>282730.66008676938</v>
      </c>
      <c r="AC494">
        <v>11.3</v>
      </c>
      <c r="AD494" s="196">
        <f t="shared" si="1292"/>
        <v>31948.564589804941</v>
      </c>
      <c r="AE494" s="196">
        <f t="shared" si="1314"/>
        <v>30351.136360314693</v>
      </c>
      <c r="AF494" s="196">
        <f t="shared" si="1340"/>
        <v>0</v>
      </c>
      <c r="AG494" s="606">
        <f t="shared" si="1216"/>
        <v>1.4033033013156986E-3</v>
      </c>
      <c r="AH494" s="196">
        <f t="shared" si="1357"/>
        <v>14136.533004338469</v>
      </c>
      <c r="AI494" s="248">
        <f t="shared" si="1193"/>
        <v>1.0951357929064795E-3</v>
      </c>
      <c r="AJ494" s="196">
        <f t="shared" si="1196"/>
        <v>46085.097594143408</v>
      </c>
      <c r="AK494" s="196">
        <f t="shared" si="1225"/>
        <v>11309.226403470775</v>
      </c>
      <c r="AL494" s="196">
        <f t="shared" si="1226"/>
        <v>11309.226403470775</v>
      </c>
      <c r="AM494" s="196">
        <f t="shared" si="1197"/>
        <v>22618.45280694155</v>
      </c>
      <c r="AN494" s="627">
        <f t="shared" si="1198"/>
        <v>1.0951357929064795E-3</v>
      </c>
      <c r="AO494" s="196">
        <f t="shared" si="1199"/>
        <v>10743.765083297236</v>
      </c>
      <c r="AP494" s="589">
        <f t="shared" si="1217"/>
        <v>1.0951357929064795E-3</v>
      </c>
      <c r="AQ494" s="196"/>
      <c r="AR494" s="589"/>
      <c r="AS494">
        <v>1</v>
      </c>
      <c r="AT494" s="589">
        <f t="shared" si="1218"/>
        <v>1.2919896640826874E-3</v>
      </c>
      <c r="AU494" s="196">
        <v>10</v>
      </c>
      <c r="AV494" s="245">
        <f t="shared" si="1200"/>
        <v>1.1362345188046814E-3</v>
      </c>
      <c r="AX494" s="245"/>
      <c r="AY494" s="245"/>
      <c r="AZ494" s="196">
        <v>21</v>
      </c>
      <c r="BA494" s="589">
        <f t="shared" si="1256"/>
        <v>7.6948444542156754E-4</v>
      </c>
      <c r="BI494" s="196">
        <v>0</v>
      </c>
      <c r="BJ494" s="196">
        <f t="shared" si="1341"/>
        <v>179707.00795461802</v>
      </c>
      <c r="BK494" s="246">
        <f t="shared" si="1257"/>
        <v>3.4269042175978726E-3</v>
      </c>
      <c r="BL494" s="196">
        <f t="shared" si="1358"/>
        <v>3594.1401590923606</v>
      </c>
      <c r="BM494" s="246">
        <f t="shared" si="1258"/>
        <v>3.4269038255039428E-3</v>
      </c>
      <c r="BN494" s="196">
        <v>0</v>
      </c>
      <c r="BO494" s="196">
        <f t="shared" si="1342"/>
        <v>14932.345298476013</v>
      </c>
      <c r="BP494" s="196">
        <f t="shared" si="1201"/>
        <v>0</v>
      </c>
      <c r="BQ494" s="248">
        <f t="shared" si="1259"/>
        <v>0</v>
      </c>
      <c r="BR494" s="248"/>
      <c r="BS494" s="248"/>
      <c r="BT494" s="276">
        <v>0</v>
      </c>
      <c r="BU494" s="196">
        <f t="shared" si="1343"/>
        <v>0</v>
      </c>
      <c r="BV494" s="264">
        <f t="shared" si="1261"/>
        <v>0</v>
      </c>
      <c r="BW494" s="196">
        <f t="shared" si="1344"/>
        <v>0</v>
      </c>
      <c r="BX494" s="247">
        <f t="shared" si="1263"/>
        <v>0</v>
      </c>
      <c r="BY494" s="196">
        <f t="shared" si="1345"/>
        <v>0</v>
      </c>
      <c r="BZ494" s="620">
        <v>0</v>
      </c>
      <c r="CA494" s="196">
        <f t="shared" si="1346"/>
        <v>86515.581986551435</v>
      </c>
      <c r="CB494" s="196">
        <f t="shared" si="1347"/>
        <v>173031.16397310287</v>
      </c>
      <c r="CC494" s="196">
        <f t="shared" si="1214"/>
        <v>259546.7459596543</v>
      </c>
      <c r="CD494" s="247">
        <f t="shared" si="1202"/>
        <v>1.0951357929064797E-3</v>
      </c>
      <c r="CE494" s="196">
        <f t="shared" si="1348"/>
        <v>25232.653411310857</v>
      </c>
      <c r="CF494" s="247">
        <f t="shared" si="1203"/>
        <v>1.0896244464815247E-3</v>
      </c>
      <c r="CG494" s="196">
        <f t="shared" si="1316"/>
        <v>42975.060333188943</v>
      </c>
      <c r="CH494" s="589">
        <f t="shared" si="1219"/>
        <v>1.0951357929064795E-3</v>
      </c>
      <c r="CI494" s="196">
        <f t="shared" si="1349"/>
        <v>112551.92643780621</v>
      </c>
      <c r="CJ494" s="248">
        <f t="shared" si="1220"/>
        <v>1.8503533849429715E-3</v>
      </c>
      <c r="CK494" s="196">
        <f t="shared" si="1350"/>
        <v>91705.596966528683</v>
      </c>
      <c r="CL494" s="589">
        <f t="shared" si="1221"/>
        <v>1.3182868194303774E-3</v>
      </c>
      <c r="CM494" s="196">
        <f t="shared" si="1351"/>
        <v>8883.9585571396328</v>
      </c>
      <c r="CN494" s="589">
        <f t="shared" si="1222"/>
        <v>1.2802793911726648E-3</v>
      </c>
      <c r="CO494" s="196">
        <f t="shared" si="1352"/>
        <v>710.7262954744225</v>
      </c>
      <c r="CP494" s="589">
        <f t="shared" si="1223"/>
        <v>1.3403203212622014E-3</v>
      </c>
      <c r="CQ494" s="196">
        <f>'Detailed Budget'!$AC$12</f>
        <v>292876014141.44696</v>
      </c>
      <c r="CR494" s="269">
        <f t="shared" si="1224"/>
        <v>1003658048.0945787</v>
      </c>
      <c r="CS494" s="269">
        <f>'Detailed Budget'!$AC$16</f>
        <v>10488008800.000002</v>
      </c>
      <c r="CT494" s="607">
        <f t="shared" si="1318"/>
        <v>35941397.478639022</v>
      </c>
      <c r="CU494" s="269">
        <f>'Detailed Budget'!$AC$24</f>
        <v>30624985696</v>
      </c>
      <c r="CV494" s="269">
        <f t="shared" si="1250"/>
        <v>104948892.64549692</v>
      </c>
      <c r="CW494" s="269"/>
      <c r="CX494" s="269">
        <f t="shared" si="1215"/>
        <v>1144548338.2187147</v>
      </c>
      <c r="CY494" s="196">
        <f>'Detailed Budget'!$AC$97</f>
        <v>74629165494.837845</v>
      </c>
      <c r="CZ494" s="269">
        <f t="shared" si="1319"/>
        <v>0</v>
      </c>
      <c r="DA494" s="269">
        <f>'Detailed Budget'!$AC$100</f>
        <v>14925833098.967569</v>
      </c>
      <c r="DB494" s="269">
        <f t="shared" si="1320"/>
        <v>0</v>
      </c>
      <c r="DC494" s="269">
        <f t="shared" si="1204"/>
        <v>0</v>
      </c>
      <c r="DD494" s="207">
        <v>0</v>
      </c>
      <c r="DE494" s="606">
        <v>0</v>
      </c>
      <c r="DF494" s="269">
        <f>'Detailed Budget'!$AC$147</f>
        <v>5913600671000</v>
      </c>
      <c r="DG494" s="269">
        <f t="shared" si="1230"/>
        <v>0</v>
      </c>
      <c r="DH494" s="269">
        <f>'Detailed Budget'!$AC$153</f>
        <v>226428026880.00003</v>
      </c>
      <c r="DI494" s="269"/>
      <c r="DJ494" s="269">
        <f>'Detailed Budget'!$AC$156</f>
        <v>27713070000</v>
      </c>
      <c r="DK494" s="269"/>
      <c r="DL494" s="269"/>
      <c r="DM494" s="196">
        <f>'Detailed Budget'!$AC$178</f>
        <v>5622683761.6229038</v>
      </c>
      <c r="DN494" s="269">
        <f t="shared" si="1353"/>
        <v>0</v>
      </c>
      <c r="DO494" s="196">
        <f>'Detailed Budget'!$AC$179</f>
        <v>26827890683.128094</v>
      </c>
      <c r="DP494" s="269">
        <f t="shared" si="1354"/>
        <v>0</v>
      </c>
      <c r="DQ494" s="269">
        <f t="shared" si="1192"/>
        <v>0</v>
      </c>
      <c r="DR494" s="269">
        <f>'Detailed Budget'!$AC$181</f>
        <v>50888946855.375237</v>
      </c>
      <c r="DS494" s="269">
        <f t="shared" si="1355"/>
        <v>0</v>
      </c>
      <c r="DT494" s="269">
        <f t="shared" si="1356"/>
        <v>0</v>
      </c>
      <c r="DU494" s="272">
        <f>'Detailed Budget'!$AC$192</f>
        <v>77498869683.252869</v>
      </c>
      <c r="DV494" s="269">
        <f t="shared" si="1321"/>
        <v>0</v>
      </c>
      <c r="DW494" s="140">
        <f>'Detailed Budget'!$AC$194</f>
        <v>2684962805.4134097</v>
      </c>
      <c r="DX494" s="269">
        <f t="shared" si="1322"/>
        <v>0</v>
      </c>
      <c r="DY494" s="607">
        <f t="shared" si="1205"/>
        <v>0</v>
      </c>
      <c r="DZ494" s="196">
        <f>'Detailed Budget'!$AC$198</f>
        <v>18732540018.380611</v>
      </c>
      <c r="EA494" s="269">
        <f t="shared" si="1323"/>
        <v>20411433.548720986</v>
      </c>
      <c r="EB494" s="196">
        <f>'Detailed Budget'!$AC$200</f>
        <v>4683135004.5951529</v>
      </c>
      <c r="EC494" s="269">
        <f t="shared" si="1324"/>
        <v>5102858.3871802464</v>
      </c>
      <c r="ED494" s="269">
        <f t="shared" si="1206"/>
        <v>25514291.935901232</v>
      </c>
      <c r="EE494" s="196">
        <f>'Detailed Budget'!$AC$161</f>
        <v>251147290106.36197</v>
      </c>
      <c r="EF494" s="269">
        <f t="shared" si="1325"/>
        <v>275040386.68694437</v>
      </c>
      <c r="EG494" s="196">
        <f>'Detailed Budget'!$AC$163</f>
        <v>15696705631.647623</v>
      </c>
      <c r="EH494" s="269">
        <f t="shared" si="1326"/>
        <v>17190024.167934023</v>
      </c>
      <c r="EI494" s="269">
        <f t="shared" si="1207"/>
        <v>292230410.85487837</v>
      </c>
      <c r="EJ494" s="196">
        <f>'Detailed Budget'!$AC$204</f>
        <v>45012172507.531975</v>
      </c>
      <c r="EK494" s="269">
        <f t="shared" si="1327"/>
        <v>83288425.762948751</v>
      </c>
      <c r="EL494" s="201">
        <f>'Detailed Budget'!$AC$206</f>
        <v>11253043126.882994</v>
      </c>
      <c r="EM494" s="269">
        <f t="shared" si="1328"/>
        <v>20822106.440737188</v>
      </c>
      <c r="EN494" s="269">
        <f t="shared" si="1208"/>
        <v>104110532.20368594</v>
      </c>
      <c r="EO494" s="140">
        <f>'Detailed Budget'!$AC$209</f>
        <v>135789361677.54817</v>
      </c>
      <c r="EP494" s="269">
        <f t="shared" si="1329"/>
        <v>179009325.71837616</v>
      </c>
      <c r="EQ494" s="196">
        <f>'Detailed Budget'!$AC$211</f>
        <v>33947340419.387043</v>
      </c>
      <c r="ER494" s="269">
        <f t="shared" si="1330"/>
        <v>44752331.42959404</v>
      </c>
      <c r="ES494" s="269">
        <f t="shared" si="1209"/>
        <v>223761657.1479702</v>
      </c>
      <c r="ET494" s="196">
        <f>'Detailed Budget'!$AC$214</f>
        <v>22239745544.201103</v>
      </c>
      <c r="EU494" s="269">
        <f t="shared" si="1331"/>
        <v>28473087.885164775</v>
      </c>
      <c r="EV494" s="140">
        <f>'Detailed Budget'!$AC$217</f>
        <v>5559936386.0502758</v>
      </c>
      <c r="EW494" s="269">
        <f t="shared" si="1332"/>
        <v>7118271.9712911937</v>
      </c>
      <c r="EX494" s="269">
        <f t="shared" si="1210"/>
        <v>35591359.856455967</v>
      </c>
      <c r="EY494" s="196">
        <f>'Detailed Budget'!$AC$219</f>
        <v>372777004.58170313</v>
      </c>
      <c r="EZ494" s="269">
        <f t="shared" si="1333"/>
        <v>499640.59454010945</v>
      </c>
      <c r="FA494" s="196">
        <f>'Detailed Budget'!$AC$222</f>
        <v>93194251.145425782</v>
      </c>
      <c r="FB494" s="269">
        <f t="shared" si="1334"/>
        <v>124910.14863502736</v>
      </c>
      <c r="FC494" s="269">
        <f t="shared" si="1211"/>
        <v>624550.74317513686</v>
      </c>
      <c r="FD494" s="269"/>
      <c r="FE494" s="269">
        <f t="shared" si="1212"/>
        <v>364088099.95128727</v>
      </c>
      <c r="FF494" s="140">
        <f>'Detailed Budget'!$AC$165</f>
        <v>14927760000</v>
      </c>
      <c r="FG494" s="1087">
        <f t="shared" si="1232"/>
        <v>496640268.72787887</v>
      </c>
      <c r="FH494" s="269">
        <f t="shared" si="1335"/>
        <v>16961436.200431772</v>
      </c>
      <c r="FJ494" s="140">
        <f>'Detailed Budget'!$AC$235</f>
        <v>3623696172</v>
      </c>
      <c r="FK494" s="269">
        <f t="shared" si="1336"/>
        <v>4681778</v>
      </c>
      <c r="FL494" s="269">
        <f t="shared" si="1235"/>
        <v>4681778</v>
      </c>
      <c r="FO494" s="607"/>
      <c r="FP494" s="607"/>
      <c r="FQ494" s="607"/>
      <c r="FR494" s="269">
        <f>'Detailed Budget'!$AC$257</f>
        <v>13636439388</v>
      </c>
      <c r="FS494" s="269">
        <f t="shared" si="1337"/>
        <v>10493028</v>
      </c>
      <c r="FT494" s="269">
        <f t="shared" si="1237"/>
        <v>10493028</v>
      </c>
      <c r="FU494" s="269"/>
      <c r="FV494" s="269"/>
      <c r="FW494" s="269"/>
      <c r="FX494" s="140">
        <f>'Detailed Budget'!$AC$278</f>
        <v>1114560000</v>
      </c>
      <c r="FY494" s="269">
        <f t="shared" si="1338"/>
        <v>1440000</v>
      </c>
      <c r="FZ494" s="269">
        <f t="shared" si="1239"/>
        <v>1440000</v>
      </c>
      <c r="GB494" s="269">
        <f t="shared" si="1264"/>
        <v>2356597651.8890924</v>
      </c>
      <c r="GC494" s="887">
        <f t="shared" si="1213"/>
        <v>1472873.5324306828</v>
      </c>
      <c r="GD494" s="1078">
        <f t="shared" si="1265"/>
        <v>1.3223611496210601E-3</v>
      </c>
    </row>
    <row r="495" spans="1:186" hidden="1" outlineLevel="1">
      <c r="A495" s="211" t="s">
        <v>1113</v>
      </c>
      <c r="B495" s="212" t="s">
        <v>1114</v>
      </c>
      <c r="C495" s="213" t="s">
        <v>215</v>
      </c>
      <c r="D495" s="214"/>
      <c r="E495" s="213"/>
      <c r="F495" s="213"/>
      <c r="G495" s="213"/>
      <c r="H495" s="213" t="s">
        <v>215</v>
      </c>
      <c r="I495" s="214" t="s">
        <v>215</v>
      </c>
      <c r="J495" s="214"/>
      <c r="K495" s="213"/>
      <c r="L495" s="213"/>
      <c r="M495" s="214" t="s">
        <v>215</v>
      </c>
      <c r="N495" s="213"/>
      <c r="O495" s="214"/>
      <c r="P495" s="213"/>
      <c r="Q495" s="214"/>
      <c r="R495" s="214" t="s">
        <v>215</v>
      </c>
      <c r="S495" s="214"/>
      <c r="T495" s="214"/>
      <c r="U495" s="215">
        <f t="shared" si="1339"/>
        <v>5</v>
      </c>
      <c r="V495" s="845" t="s">
        <v>467</v>
      </c>
      <c r="W495" s="216">
        <v>284215</v>
      </c>
      <c r="X495" s="217">
        <v>2.8</v>
      </c>
      <c r="Y495" s="218">
        <f t="shared" si="1312"/>
        <v>1.028</v>
      </c>
      <c r="Z495" s="196">
        <v>19</v>
      </c>
      <c r="AA495" s="218">
        <f t="shared" si="1313"/>
        <v>1.6899318009047619</v>
      </c>
      <c r="AB495" s="196">
        <f t="shared" si="1291"/>
        <v>480303.96679414692</v>
      </c>
      <c r="AC495">
        <v>11.3</v>
      </c>
      <c r="AD495" s="196">
        <f t="shared" si="1292"/>
        <v>54274.348247738599</v>
      </c>
      <c r="AE495" s="196">
        <f t="shared" si="1314"/>
        <v>51560.630835351665</v>
      </c>
      <c r="AF495" s="196">
        <f t="shared" si="1340"/>
        <v>0</v>
      </c>
      <c r="AG495" s="606">
        <f t="shared" si="1216"/>
        <v>2.3839372144160071E-3</v>
      </c>
      <c r="AH495" s="196">
        <f t="shared" si="1357"/>
        <v>24015.198339707349</v>
      </c>
      <c r="AI495" s="248">
        <f t="shared" si="1193"/>
        <v>1.8604210287975419E-3</v>
      </c>
      <c r="AJ495" s="196">
        <f t="shared" si="1196"/>
        <v>78289.546587445948</v>
      </c>
      <c r="AK495" s="196">
        <f t="shared" si="1225"/>
        <v>19212.158671765876</v>
      </c>
      <c r="AL495" s="196">
        <f t="shared" si="1226"/>
        <v>19212.158671765876</v>
      </c>
      <c r="AM495" s="196">
        <f t="shared" si="1197"/>
        <v>38424.317343531751</v>
      </c>
      <c r="AN495" s="627">
        <f t="shared" si="1198"/>
        <v>1.8604210287975415E-3</v>
      </c>
      <c r="AO495" s="196">
        <f t="shared" si="1199"/>
        <v>18251.550738177582</v>
      </c>
      <c r="AP495" s="589">
        <f t="shared" si="1217"/>
        <v>1.8604210287975415E-3</v>
      </c>
      <c r="AQ495" s="196"/>
      <c r="AR495" s="589"/>
      <c r="AS495">
        <v>1</v>
      </c>
      <c r="AT495" s="589">
        <f t="shared" si="1218"/>
        <v>1.2919896640826874E-3</v>
      </c>
      <c r="AU495" s="196">
        <v>19</v>
      </c>
      <c r="AV495" s="245">
        <f t="shared" si="1200"/>
        <v>2.1588455857288946E-3</v>
      </c>
      <c r="AX495" s="245"/>
      <c r="AY495" s="245"/>
      <c r="AZ495" s="196">
        <v>30</v>
      </c>
      <c r="BA495" s="589">
        <f t="shared" si="1256"/>
        <v>1.0992634934593821E-3</v>
      </c>
      <c r="BI495" s="196">
        <v>0</v>
      </c>
      <c r="BJ495" s="196">
        <f t="shared" si="1341"/>
        <v>305286.97791325778</v>
      </c>
      <c r="BK495" s="246">
        <f t="shared" si="1257"/>
        <v>5.8216384775203042E-3</v>
      </c>
      <c r="BL495" s="196">
        <f t="shared" si="1358"/>
        <v>6105.7395582651552</v>
      </c>
      <c r="BM495" s="246">
        <f t="shared" si="1258"/>
        <v>5.8216378114295799E-3</v>
      </c>
      <c r="BN495" s="196">
        <v>0</v>
      </c>
      <c r="BO495" s="196">
        <f t="shared" si="1342"/>
        <v>25367.127421542707</v>
      </c>
      <c r="BP495" s="196">
        <f t="shared" si="1201"/>
        <v>0</v>
      </c>
      <c r="BQ495" s="248">
        <f t="shared" si="1259"/>
        <v>0</v>
      </c>
      <c r="BR495" s="248"/>
      <c r="BS495" s="248"/>
      <c r="BT495" s="276">
        <v>0</v>
      </c>
      <c r="BU495" s="196">
        <f t="shared" si="1343"/>
        <v>0</v>
      </c>
      <c r="BV495" s="264">
        <f t="shared" si="1261"/>
        <v>0</v>
      </c>
      <c r="BW495" s="196">
        <f t="shared" si="1344"/>
        <v>0</v>
      </c>
      <c r="BX495" s="247">
        <f t="shared" si="1263"/>
        <v>0</v>
      </c>
      <c r="BY495" s="196">
        <f t="shared" si="1345"/>
        <v>0</v>
      </c>
      <c r="BZ495" s="620">
        <v>0</v>
      </c>
      <c r="CA495" s="196">
        <f t="shared" si="1346"/>
        <v>146973.01383900893</v>
      </c>
      <c r="CB495" s="196">
        <f t="shared" si="1347"/>
        <v>293946.02767801785</v>
      </c>
      <c r="CC495" s="196">
        <f t="shared" si="1214"/>
        <v>440919.04151702678</v>
      </c>
      <c r="CD495" s="247">
        <f t="shared" si="1202"/>
        <v>1.8604210287975413E-3</v>
      </c>
      <c r="CE495" s="196">
        <f t="shared" si="1348"/>
        <v>42865.331699346207</v>
      </c>
      <c r="CF495" s="247">
        <f t="shared" si="1203"/>
        <v>1.8510583316303155E-3</v>
      </c>
      <c r="CG495" s="196">
        <f t="shared" si="1316"/>
        <v>73006.20295271033</v>
      </c>
      <c r="CH495" s="589">
        <f t="shared" si="1219"/>
        <v>1.8604210287975415E-3</v>
      </c>
      <c r="CI495" s="196">
        <f t="shared" si="1349"/>
        <v>191203.65906481707</v>
      </c>
      <c r="CJ495" s="248">
        <f t="shared" si="1220"/>
        <v>3.1433876696865364E-3</v>
      </c>
      <c r="CK495" s="196">
        <f t="shared" si="1350"/>
        <v>155789.83187296073</v>
      </c>
      <c r="CL495" s="589">
        <f t="shared" si="1221"/>
        <v>2.2395108777750828E-3</v>
      </c>
      <c r="CM495" s="196">
        <f t="shared" si="1351"/>
        <v>15092.104034700158</v>
      </c>
      <c r="CN495" s="589">
        <f t="shared" si="1222"/>
        <v>2.1749437078960863E-3</v>
      </c>
      <c r="CO495" s="196">
        <f t="shared" si="1352"/>
        <v>1207.3846498165781</v>
      </c>
      <c r="CP495" s="589">
        <f t="shared" si="1223"/>
        <v>2.2769414780819024E-3</v>
      </c>
      <c r="CQ495" s="196">
        <f>'Detailed Budget'!$AC$12</f>
        <v>292876014141.44696</v>
      </c>
      <c r="CR495" s="269">
        <f t="shared" si="1224"/>
        <v>1705018273.0686283</v>
      </c>
      <c r="CS495" s="269">
        <f>'Detailed Budget'!$AC$16</f>
        <v>10488008800.000002</v>
      </c>
      <c r="CT495" s="607">
        <f t="shared" si="1318"/>
        <v>61057388.596686184</v>
      </c>
      <c r="CU495" s="269">
        <f>'Detailed Budget'!$AC$24</f>
        <v>30624985696</v>
      </c>
      <c r="CV495" s="269">
        <f t="shared" si="1250"/>
        <v>178287595.10134253</v>
      </c>
      <c r="CW495" s="269"/>
      <c r="CX495" s="269">
        <f t="shared" si="1215"/>
        <v>1944363256.7666569</v>
      </c>
      <c r="CY495" s="196">
        <f>'Detailed Budget'!$AC$97</f>
        <v>74629165494.837845</v>
      </c>
      <c r="CZ495" s="269">
        <f t="shared" si="1319"/>
        <v>0</v>
      </c>
      <c r="DA495" s="269">
        <f>'Detailed Budget'!$AC$100</f>
        <v>14925833098.967569</v>
      </c>
      <c r="DB495" s="269">
        <f t="shared" si="1320"/>
        <v>0</v>
      </c>
      <c r="DC495" s="269">
        <f t="shared" si="1204"/>
        <v>0</v>
      </c>
      <c r="DD495" s="207">
        <v>0</v>
      </c>
      <c r="DE495" s="606">
        <v>0</v>
      </c>
      <c r="DF495" s="269">
        <f>'Detailed Budget'!$AC$147</f>
        <v>5913600671000</v>
      </c>
      <c r="DG495" s="269">
        <f t="shared" si="1230"/>
        <v>0</v>
      </c>
      <c r="DH495" s="269">
        <f>'Detailed Budget'!$AC$153</f>
        <v>226428026880.00003</v>
      </c>
      <c r="DI495" s="269"/>
      <c r="DJ495" s="269">
        <f>'Detailed Budget'!$AC$156</f>
        <v>27713070000</v>
      </c>
      <c r="DK495" s="269"/>
      <c r="DL495" s="269"/>
      <c r="DM495" s="196">
        <f>'Detailed Budget'!$AC$178</f>
        <v>5622683761.6229038</v>
      </c>
      <c r="DN495" s="269">
        <f t="shared" si="1353"/>
        <v>0</v>
      </c>
      <c r="DO495" s="196">
        <f>'Detailed Budget'!$AC$179</f>
        <v>26827890683.128094</v>
      </c>
      <c r="DP495" s="269">
        <f t="shared" si="1354"/>
        <v>0</v>
      </c>
      <c r="DQ495" s="269">
        <f t="shared" si="1192"/>
        <v>0</v>
      </c>
      <c r="DR495" s="269">
        <f>'Detailed Budget'!$AC$181</f>
        <v>50888946855.375237</v>
      </c>
      <c r="DS495" s="269">
        <f t="shared" si="1355"/>
        <v>0</v>
      </c>
      <c r="DT495" s="269">
        <f t="shared" si="1356"/>
        <v>0</v>
      </c>
      <c r="DU495" s="272">
        <f>'Detailed Budget'!$AC$192</f>
        <v>77498869683.252869</v>
      </c>
      <c r="DV495" s="269">
        <f t="shared" si="1321"/>
        <v>0</v>
      </c>
      <c r="DW495" s="140">
        <f>'Detailed Budget'!$AC$194</f>
        <v>2684962805.4134097</v>
      </c>
      <c r="DX495" s="269">
        <f t="shared" si="1322"/>
        <v>0</v>
      </c>
      <c r="DY495" s="607">
        <f t="shared" si="1205"/>
        <v>0</v>
      </c>
      <c r="DZ495" s="196">
        <f>'Detailed Budget'!$AC$198</f>
        <v>18732540018.380611</v>
      </c>
      <c r="EA495" s="269">
        <f t="shared" si="1323"/>
        <v>34675024.273621731</v>
      </c>
      <c r="EB495" s="196">
        <f>'Detailed Budget'!$AC$200</f>
        <v>4683135004.5951529</v>
      </c>
      <c r="EC495" s="269">
        <f t="shared" si="1324"/>
        <v>8668756.0684054326</v>
      </c>
      <c r="ED495" s="269">
        <f t="shared" si="1206"/>
        <v>43343780.342027165</v>
      </c>
      <c r="EE495" s="196">
        <f>'Detailed Budget'!$AC$161</f>
        <v>251147290106.36197</v>
      </c>
      <c r="EF495" s="269">
        <f t="shared" si="1325"/>
        <v>467239699.83939254</v>
      </c>
      <c r="EG495" s="196">
        <f>'Detailed Budget'!$AC$163</f>
        <v>15696705631.647623</v>
      </c>
      <c r="EH495" s="269">
        <f t="shared" si="1326"/>
        <v>29202481.239962034</v>
      </c>
      <c r="EI495" s="269">
        <f t="shared" si="1207"/>
        <v>496442181.07935458</v>
      </c>
      <c r="EJ495" s="196">
        <f>'Detailed Budget'!$AC$204</f>
        <v>45012172507.531975</v>
      </c>
      <c r="EK495" s="269">
        <f t="shared" si="1327"/>
        <v>141490708.04597932</v>
      </c>
      <c r="EL495" s="201">
        <f>'Detailed Budget'!$AC$206</f>
        <v>11253043126.882994</v>
      </c>
      <c r="EM495" s="269">
        <f t="shared" si="1328"/>
        <v>35372677.01149483</v>
      </c>
      <c r="EN495" s="269">
        <f t="shared" si="1208"/>
        <v>176863385.05747414</v>
      </c>
      <c r="EO495" s="140">
        <f>'Detailed Budget'!$AC$209</f>
        <v>135789361677.54817</v>
      </c>
      <c r="EP495" s="269">
        <f t="shared" si="1329"/>
        <v>304101752.56300408</v>
      </c>
      <c r="EQ495" s="196">
        <f>'Detailed Budget'!$AC$211</f>
        <v>33947340419.387043</v>
      </c>
      <c r="ER495" s="269">
        <f t="shared" si="1330"/>
        <v>76025438.140751019</v>
      </c>
      <c r="ES495" s="269">
        <f t="shared" si="1209"/>
        <v>380127190.70375508</v>
      </c>
      <c r="ET495" s="196">
        <f>'Detailed Budget'!$AC$214</f>
        <v>22239745544.201103</v>
      </c>
      <c r="EU495" s="269">
        <f t="shared" si="1331"/>
        <v>48370194.636570208</v>
      </c>
      <c r="EV495" s="140">
        <f>'Detailed Budget'!$AC$217</f>
        <v>5559936386.0502758</v>
      </c>
      <c r="EW495" s="269">
        <f t="shared" si="1332"/>
        <v>12092548.659142552</v>
      </c>
      <c r="EX495" s="269">
        <f t="shared" si="1210"/>
        <v>60462743.295712762</v>
      </c>
      <c r="EY495" s="196">
        <f>'Detailed Budget'!$AC$219</f>
        <v>372777004.58170313</v>
      </c>
      <c r="EZ495" s="269">
        <f t="shared" si="1333"/>
        <v>848791.42380720726</v>
      </c>
      <c r="FA495" s="196">
        <f>'Detailed Budget'!$AC$222</f>
        <v>93194251.145425782</v>
      </c>
      <c r="FB495" s="269">
        <f t="shared" si="1334"/>
        <v>212197.85595180182</v>
      </c>
      <c r="FC495" s="269">
        <f t="shared" si="1211"/>
        <v>1060989.2797590091</v>
      </c>
      <c r="FD495" s="269"/>
      <c r="FE495" s="269">
        <f t="shared" si="1212"/>
        <v>618514308.33670104</v>
      </c>
      <c r="FF495" s="140">
        <f>'Detailed Budget'!$AC$165</f>
        <v>14927760000</v>
      </c>
      <c r="FG495" s="1087">
        <f t="shared" si="1232"/>
        <v>843694458.41672921</v>
      </c>
      <c r="FH495" s="269">
        <f t="shared" si="1335"/>
        <v>32226728.780820362</v>
      </c>
      <c r="FJ495" s="140">
        <f>'Detailed Budget'!$AC$235</f>
        <v>3623696172</v>
      </c>
      <c r="FK495" s="269">
        <f t="shared" si="1336"/>
        <v>4681778</v>
      </c>
      <c r="FL495" s="269">
        <f t="shared" si="1235"/>
        <v>4681778</v>
      </c>
      <c r="FO495" s="607"/>
      <c r="FP495" s="607"/>
      <c r="FQ495" s="607"/>
      <c r="FR495" s="269">
        <f>'Detailed Budget'!$AC$257</f>
        <v>13636439388</v>
      </c>
      <c r="FS495" s="269">
        <f t="shared" si="1337"/>
        <v>14990039.999999998</v>
      </c>
      <c r="FT495" s="269">
        <f t="shared" si="1237"/>
        <v>14990039.999999998</v>
      </c>
      <c r="FU495" s="269"/>
      <c r="FV495" s="269"/>
      <c r="FW495" s="269"/>
      <c r="FX495" s="140">
        <f>'Detailed Budget'!$AC$278</f>
        <v>1114560000</v>
      </c>
      <c r="FY495" s="269">
        <f t="shared" si="1338"/>
        <v>1440000</v>
      </c>
      <c r="FZ495" s="269">
        <f t="shared" si="1239"/>
        <v>1440000</v>
      </c>
      <c r="GB495" s="269">
        <f t="shared" si="1264"/>
        <v>3999696531.7222896</v>
      </c>
      <c r="GC495" s="887">
        <f t="shared" si="1213"/>
        <v>2499810.3323264308</v>
      </c>
      <c r="GD495" s="1078">
        <f t="shared" si="1265"/>
        <v>2.2443556708052637E-3</v>
      </c>
    </row>
    <row r="496" spans="1:186" hidden="1" outlineLevel="1">
      <c r="A496" s="211" t="s">
        <v>1115</v>
      </c>
      <c r="B496" s="212" t="s">
        <v>1116</v>
      </c>
      <c r="C496" s="213" t="s">
        <v>215</v>
      </c>
      <c r="D496" s="214"/>
      <c r="E496" s="213"/>
      <c r="F496" s="213"/>
      <c r="G496" s="213"/>
      <c r="H496" s="213" t="s">
        <v>215</v>
      </c>
      <c r="I496" s="214" t="s">
        <v>215</v>
      </c>
      <c r="J496" s="214"/>
      <c r="K496" s="213"/>
      <c r="L496" s="213"/>
      <c r="M496" s="214" t="s">
        <v>215</v>
      </c>
      <c r="N496" s="213"/>
      <c r="O496" s="214"/>
      <c r="P496" s="213"/>
      <c r="Q496" s="214"/>
      <c r="R496" s="214" t="s">
        <v>215</v>
      </c>
      <c r="S496" s="214"/>
      <c r="T496" s="214"/>
      <c r="U496" s="215">
        <f t="shared" si="1339"/>
        <v>5</v>
      </c>
      <c r="V496" s="845" t="s">
        <v>467</v>
      </c>
      <c r="W496" s="216">
        <v>112192</v>
      </c>
      <c r="X496" s="217">
        <v>2.8</v>
      </c>
      <c r="Y496" s="218">
        <f t="shared" si="1312"/>
        <v>1.028</v>
      </c>
      <c r="Z496" s="196">
        <v>19</v>
      </c>
      <c r="AA496" s="218">
        <f t="shared" si="1313"/>
        <v>1.6899318009047619</v>
      </c>
      <c r="AB496" s="196">
        <f t="shared" si="1291"/>
        <v>189596.82860710705</v>
      </c>
      <c r="AC496">
        <v>11.3</v>
      </c>
      <c r="AD496" s="196">
        <f t="shared" si="1292"/>
        <v>21424.441632603099</v>
      </c>
      <c r="AE496" s="196">
        <f t="shared" si="1314"/>
        <v>20353.219550972943</v>
      </c>
      <c r="AF496" s="196">
        <f t="shared" si="1340"/>
        <v>0</v>
      </c>
      <c r="AG496" s="606">
        <f t="shared" si="1216"/>
        <v>9.4104351972894014E-4</v>
      </c>
      <c r="AH496" s="196">
        <f t="shared" si="1357"/>
        <v>9479.8414303553527</v>
      </c>
      <c r="AI496" s="248">
        <f t="shared" ref="AI496:AI556" si="1359">AH496/12908475</f>
        <v>7.3438895224690393E-4</v>
      </c>
      <c r="AJ496" s="196">
        <f t="shared" si="1196"/>
        <v>30904.28306295845</v>
      </c>
      <c r="AK496" s="196">
        <f t="shared" si="1225"/>
        <v>7583.8731442842818</v>
      </c>
      <c r="AL496" s="196">
        <f t="shared" si="1226"/>
        <v>7583.8731442842818</v>
      </c>
      <c r="AM496" s="196">
        <f t="shared" si="1197"/>
        <v>15167.746288568564</v>
      </c>
      <c r="AN496" s="627">
        <f t="shared" si="1198"/>
        <v>7.3438895224690382E-4</v>
      </c>
      <c r="AO496" s="196">
        <f t="shared" si="1199"/>
        <v>7204.6794870700678</v>
      </c>
      <c r="AP496" s="589">
        <f t="shared" si="1217"/>
        <v>7.3438895224690382E-4</v>
      </c>
      <c r="AQ496" s="196"/>
      <c r="AR496" s="589"/>
      <c r="AS496">
        <v>1</v>
      </c>
      <c r="AT496" s="589">
        <f t="shared" si="1218"/>
        <v>1.2919896640826874E-3</v>
      </c>
      <c r="AU496" s="196">
        <v>14</v>
      </c>
      <c r="AV496" s="245">
        <f t="shared" si="1200"/>
        <v>1.5907283263265539E-3</v>
      </c>
      <c r="AX496" s="245"/>
      <c r="AY496" s="245"/>
      <c r="AZ496" s="196">
        <v>25</v>
      </c>
      <c r="BA496" s="589">
        <f t="shared" si="1256"/>
        <v>9.1605291121615189E-4</v>
      </c>
      <c r="BI496" s="196">
        <v>0</v>
      </c>
      <c r="BJ496" s="196">
        <f t="shared" si="1341"/>
        <v>120510.0245449544</v>
      </c>
      <c r="BK496" s="246">
        <f t="shared" si="1257"/>
        <v>2.2980534597750223E-3</v>
      </c>
      <c r="BL496" s="196">
        <f t="shared" si="1358"/>
        <v>2410.200490899088</v>
      </c>
      <c r="BM496" s="246">
        <f t="shared" si="1258"/>
        <v>2.2980531968400946E-3</v>
      </c>
      <c r="BN496" s="196">
        <v>0</v>
      </c>
      <c r="BO496" s="196">
        <f t="shared" si="1342"/>
        <v>10013.506534411343</v>
      </c>
      <c r="BP496" s="196">
        <f t="shared" si="1201"/>
        <v>0</v>
      </c>
      <c r="BQ496" s="248">
        <f t="shared" si="1259"/>
        <v>0</v>
      </c>
      <c r="BR496" s="248"/>
      <c r="BS496" s="248"/>
      <c r="BT496" s="276">
        <v>0</v>
      </c>
      <c r="BU496" s="196">
        <f t="shared" si="1343"/>
        <v>0</v>
      </c>
      <c r="BV496" s="264">
        <f t="shared" si="1261"/>
        <v>0</v>
      </c>
      <c r="BW496" s="196">
        <f t="shared" si="1344"/>
        <v>0</v>
      </c>
      <c r="BX496" s="247">
        <f t="shared" si="1263"/>
        <v>0</v>
      </c>
      <c r="BY496" s="196">
        <f t="shared" si="1345"/>
        <v>0</v>
      </c>
      <c r="BZ496" s="620">
        <v>0</v>
      </c>
      <c r="CA496" s="196">
        <f t="shared" si="1346"/>
        <v>58016.629553774765</v>
      </c>
      <c r="CB496" s="196">
        <f t="shared" si="1347"/>
        <v>116033.25910754953</v>
      </c>
      <c r="CC496" s="196">
        <f t="shared" si="1214"/>
        <v>174049.88866132428</v>
      </c>
      <c r="CD496" s="247">
        <f t="shared" si="1202"/>
        <v>7.3438895224690393E-4</v>
      </c>
      <c r="CE496" s="196">
        <f t="shared" si="1348"/>
        <v>16920.807466224684</v>
      </c>
      <c r="CF496" s="247">
        <f t="shared" si="1203"/>
        <v>7.3069308918342912E-4</v>
      </c>
      <c r="CG496" s="196">
        <f t="shared" si="1316"/>
        <v>28818.717948280271</v>
      </c>
      <c r="CH496" s="589">
        <f t="shared" si="1219"/>
        <v>7.3438895224690382E-4</v>
      </c>
      <c r="CI496" s="196">
        <f t="shared" si="1349"/>
        <v>75476.385545449608</v>
      </c>
      <c r="CJ496" s="248">
        <f t="shared" si="1220"/>
        <v>1.2408315867827946E-3</v>
      </c>
      <c r="CK496" s="196">
        <f t="shared" si="1350"/>
        <v>61497.010423416119</v>
      </c>
      <c r="CL496" s="589">
        <f t="shared" si="1221"/>
        <v>8.8403217423197974E-4</v>
      </c>
      <c r="CM496" s="196">
        <f t="shared" si="1351"/>
        <v>5957.5087024297818</v>
      </c>
      <c r="CN496" s="589">
        <f t="shared" si="1222"/>
        <v>8.5854470902759438E-4</v>
      </c>
      <c r="CO496" s="196">
        <f t="shared" si="1352"/>
        <v>476.60714118614982</v>
      </c>
      <c r="CP496" s="589">
        <f t="shared" si="1223"/>
        <v>8.9880765726286398E-4</v>
      </c>
      <c r="CQ496" s="196">
        <f>'Detailed Budget'!$AC$12</f>
        <v>292876014141.44696</v>
      </c>
      <c r="CR496" s="269">
        <f t="shared" si="1224"/>
        <v>673044737.5828706</v>
      </c>
      <c r="CS496" s="269">
        <f>'Detailed Budget'!$AC$16</f>
        <v>10488008800.000002</v>
      </c>
      <c r="CT496" s="607">
        <f t="shared" si="1318"/>
        <v>24102002.151327047</v>
      </c>
      <c r="CU496" s="269">
        <f>'Detailed Budget'!$AC$24</f>
        <v>30624985696</v>
      </c>
      <c r="CV496" s="269">
        <f t="shared" si="1250"/>
        <v>70377854.334253371</v>
      </c>
      <c r="CW496" s="269"/>
      <c r="CX496" s="269">
        <f t="shared" si="1215"/>
        <v>767524594.06845093</v>
      </c>
      <c r="CY496" s="196">
        <f>'Detailed Budget'!$AC$97</f>
        <v>74629165494.837845</v>
      </c>
      <c r="CZ496" s="269">
        <f t="shared" si="1319"/>
        <v>0</v>
      </c>
      <c r="DA496" s="269">
        <f>'Detailed Budget'!$AC$100</f>
        <v>14925833098.967569</v>
      </c>
      <c r="DB496" s="269">
        <f t="shared" si="1320"/>
        <v>0</v>
      </c>
      <c r="DC496" s="269">
        <f t="shared" si="1204"/>
        <v>0</v>
      </c>
      <c r="DD496" s="207">
        <v>0</v>
      </c>
      <c r="DE496" s="606">
        <v>0</v>
      </c>
      <c r="DF496" s="269">
        <f>'Detailed Budget'!$AC$147</f>
        <v>5913600671000</v>
      </c>
      <c r="DG496" s="269">
        <f t="shared" si="1230"/>
        <v>0</v>
      </c>
      <c r="DH496" s="269">
        <f>'Detailed Budget'!$AC$153</f>
        <v>226428026880.00003</v>
      </c>
      <c r="DI496" s="269"/>
      <c r="DJ496" s="269">
        <f>'Detailed Budget'!$AC$156</f>
        <v>27713070000</v>
      </c>
      <c r="DK496" s="269"/>
      <c r="DL496" s="269"/>
      <c r="DM496" s="196">
        <f>'Detailed Budget'!$AC$178</f>
        <v>5622683761.6229038</v>
      </c>
      <c r="DN496" s="269">
        <f t="shared" si="1353"/>
        <v>0</v>
      </c>
      <c r="DO496" s="196">
        <f>'Detailed Budget'!$AC$179</f>
        <v>26827890683.128094</v>
      </c>
      <c r="DP496" s="269">
        <f t="shared" si="1354"/>
        <v>0</v>
      </c>
      <c r="DQ496" s="269">
        <f t="shared" si="1192"/>
        <v>0</v>
      </c>
      <c r="DR496" s="269">
        <f>'Detailed Budget'!$AC$181</f>
        <v>50888946855.375237</v>
      </c>
      <c r="DS496" s="269">
        <f t="shared" si="1355"/>
        <v>0</v>
      </c>
      <c r="DT496" s="269">
        <f t="shared" si="1356"/>
        <v>0</v>
      </c>
      <c r="DU496" s="272">
        <f>'Detailed Budget'!$AC$192</f>
        <v>77498869683.252869</v>
      </c>
      <c r="DV496" s="269">
        <f t="shared" si="1321"/>
        <v>0</v>
      </c>
      <c r="DW496" s="140">
        <f>'Detailed Budget'!$AC$194</f>
        <v>2684962805.4134097</v>
      </c>
      <c r="DX496" s="269">
        <f t="shared" si="1322"/>
        <v>0</v>
      </c>
      <c r="DY496" s="607">
        <f t="shared" si="1205"/>
        <v>0</v>
      </c>
      <c r="DZ496" s="196">
        <f>'Detailed Budget'!$AC$198</f>
        <v>18732540018.380611</v>
      </c>
      <c r="EA496" s="269">
        <f t="shared" si="1323"/>
        <v>13687737.534282738</v>
      </c>
      <c r="EB496" s="196">
        <f>'Detailed Budget'!$AC$200</f>
        <v>4683135004.5951529</v>
      </c>
      <c r="EC496" s="269">
        <f t="shared" si="1324"/>
        <v>3421934.3835706846</v>
      </c>
      <c r="ED496" s="269">
        <f t="shared" si="1206"/>
        <v>17109671.917853422</v>
      </c>
      <c r="EE496" s="196">
        <f>'Detailed Budget'!$AC$161</f>
        <v>251147290106.36197</v>
      </c>
      <c r="EF496" s="269">
        <f t="shared" si="1325"/>
        <v>184439795.24086037</v>
      </c>
      <c r="EG496" s="196">
        <f>'Detailed Budget'!$AC$163</f>
        <v>15696705631.647623</v>
      </c>
      <c r="EH496" s="269">
        <f t="shared" si="1326"/>
        <v>11527487.202553773</v>
      </c>
      <c r="EI496" s="269">
        <f t="shared" si="1207"/>
        <v>195967282.44341415</v>
      </c>
      <c r="EJ496" s="196">
        <f>'Detailed Budget'!$AC$204</f>
        <v>45012172507.531975</v>
      </c>
      <c r="EK496" s="269">
        <f t="shared" si="1327"/>
        <v>55852525.437061787</v>
      </c>
      <c r="EL496" s="201">
        <f>'Detailed Budget'!$AC$206</f>
        <v>11253043126.882994</v>
      </c>
      <c r="EM496" s="269">
        <f t="shared" si="1328"/>
        <v>13963131.359265447</v>
      </c>
      <c r="EN496" s="269">
        <f t="shared" si="1208"/>
        <v>69815656.796327233</v>
      </c>
      <c r="EO496" s="140">
        <f>'Detailed Budget'!$AC$209</f>
        <v>135789361677.54817</v>
      </c>
      <c r="EP496" s="269">
        <f t="shared" si="1329"/>
        <v>120042164.64137557</v>
      </c>
      <c r="EQ496" s="196">
        <f>'Detailed Budget'!$AC$211</f>
        <v>33947340419.387043</v>
      </c>
      <c r="ER496" s="269">
        <f t="shared" si="1330"/>
        <v>30010541.160343893</v>
      </c>
      <c r="ES496" s="269">
        <f t="shared" si="1209"/>
        <v>150052705.80171946</v>
      </c>
      <c r="ET496" s="196">
        <f>'Detailed Budget'!$AC$214</f>
        <v>22239745544.201103</v>
      </c>
      <c r="EU496" s="269">
        <f t="shared" si="1331"/>
        <v>19093815.867093876</v>
      </c>
      <c r="EV496" s="140">
        <f>'Detailed Budget'!$AC$217</f>
        <v>5559936386.0502758</v>
      </c>
      <c r="EW496" s="269">
        <f t="shared" si="1332"/>
        <v>4773453.966773469</v>
      </c>
      <c r="EX496" s="269">
        <f t="shared" si="1210"/>
        <v>23867269.833867345</v>
      </c>
      <c r="EY496" s="196">
        <f>'Detailed Budget'!$AC$219</f>
        <v>372777004.58170313</v>
      </c>
      <c r="EZ496" s="269">
        <f t="shared" si="1333"/>
        <v>335054.8261695485</v>
      </c>
      <c r="FA496" s="196">
        <f>'Detailed Budget'!$AC$222</f>
        <v>93194251.145425782</v>
      </c>
      <c r="FB496" s="269">
        <f t="shared" si="1334"/>
        <v>83763.706542387125</v>
      </c>
      <c r="FC496" s="269">
        <f t="shared" si="1211"/>
        <v>418818.53271193564</v>
      </c>
      <c r="FD496" s="269"/>
      <c r="FE496" s="269">
        <f t="shared" si="1212"/>
        <v>244154450.96462595</v>
      </c>
      <c r="FF496" s="140">
        <f>'Detailed Budget'!$AC$165</f>
        <v>14927760000</v>
      </c>
      <c r="FG496" s="1087">
        <f t="shared" si="1232"/>
        <v>333042832.6396907</v>
      </c>
      <c r="FH496" s="269">
        <f t="shared" si="1335"/>
        <v>23746010.68060448</v>
      </c>
      <c r="FJ496" s="140">
        <f>'Detailed Budget'!$AC$235</f>
        <v>3623696172</v>
      </c>
      <c r="FK496" s="269">
        <f t="shared" si="1336"/>
        <v>4681778</v>
      </c>
      <c r="FL496" s="269">
        <f t="shared" si="1235"/>
        <v>4681778</v>
      </c>
      <c r="FO496" s="607"/>
      <c r="FP496" s="607"/>
      <c r="FQ496" s="607"/>
      <c r="FR496" s="269">
        <f>'Detailed Budget'!$AC$257</f>
        <v>13636439388</v>
      </c>
      <c r="FS496" s="269">
        <f t="shared" si="1337"/>
        <v>12491700</v>
      </c>
      <c r="FT496" s="269">
        <f t="shared" si="1237"/>
        <v>12491700</v>
      </c>
      <c r="FU496" s="269"/>
      <c r="FV496" s="269"/>
      <c r="FW496" s="269"/>
      <c r="FX496" s="140">
        <f>'Detailed Budget'!$AC$278</f>
        <v>1114560000</v>
      </c>
      <c r="FY496" s="269">
        <f t="shared" si="1338"/>
        <v>1440000</v>
      </c>
      <c r="FZ496" s="269">
        <f t="shared" si="1239"/>
        <v>1440000</v>
      </c>
      <c r="GB496" s="269">
        <f t="shared" si="1264"/>
        <v>1600158320.7146394</v>
      </c>
      <c r="GC496" s="887">
        <f t="shared" si="1213"/>
        <v>1000098.9504466497</v>
      </c>
      <c r="GD496" s="1078">
        <f t="shared" si="1265"/>
        <v>8.9789922130309387E-4</v>
      </c>
    </row>
    <row r="497" spans="1:186" hidden="1" outlineLevel="1">
      <c r="A497" s="211" t="s">
        <v>1117</v>
      </c>
      <c r="B497" s="212" t="s">
        <v>1118</v>
      </c>
      <c r="C497" s="213" t="s">
        <v>215</v>
      </c>
      <c r="D497" s="214"/>
      <c r="E497" s="213"/>
      <c r="F497" s="213"/>
      <c r="G497" s="213"/>
      <c r="H497" s="213" t="s">
        <v>215</v>
      </c>
      <c r="I497" s="214" t="s">
        <v>215</v>
      </c>
      <c r="J497" s="214"/>
      <c r="K497" s="213"/>
      <c r="L497" s="213"/>
      <c r="M497" s="214" t="s">
        <v>215</v>
      </c>
      <c r="N497" s="213"/>
      <c r="O497" s="214"/>
      <c r="P497" s="213"/>
      <c r="Q497" s="214"/>
      <c r="R497" s="214" t="s">
        <v>215</v>
      </c>
      <c r="S497" s="214"/>
      <c r="T497" s="214"/>
      <c r="U497" s="215">
        <f t="shared" si="1339"/>
        <v>5</v>
      </c>
      <c r="V497" s="845" t="s">
        <v>467</v>
      </c>
      <c r="W497" s="216">
        <v>189654</v>
      </c>
      <c r="X497" s="217">
        <v>2.8</v>
      </c>
      <c r="Y497" s="218">
        <f t="shared" si="1312"/>
        <v>1.028</v>
      </c>
      <c r="Z497" s="196">
        <v>19</v>
      </c>
      <c r="AA497" s="218">
        <f t="shared" si="1313"/>
        <v>1.6899318009047619</v>
      </c>
      <c r="AB497" s="196">
        <f t="shared" si="1291"/>
        <v>320502.32576879172</v>
      </c>
      <c r="AC497">
        <v>11.3</v>
      </c>
      <c r="AD497" s="196">
        <f t="shared" si="1292"/>
        <v>36216.762811873465</v>
      </c>
      <c r="AE497" s="196">
        <f t="shared" si="1314"/>
        <v>34405.92467127979</v>
      </c>
      <c r="AF497" s="196">
        <f t="shared" si="1340"/>
        <v>0</v>
      </c>
      <c r="AG497" s="606">
        <f t="shared" si="1216"/>
        <v>1.5907789119604999E-3</v>
      </c>
      <c r="AH497" s="196">
        <f t="shared" si="1357"/>
        <v>16025.116288439587</v>
      </c>
      <c r="AI497" s="248">
        <f t="shared" si="1359"/>
        <v>1.2414414784426191E-3</v>
      </c>
      <c r="AJ497" s="196">
        <f t="shared" ref="AJ497:AJ557" si="1360">AD497+AH497</f>
        <v>52241.879100313054</v>
      </c>
      <c r="AK497" s="196">
        <f t="shared" si="1225"/>
        <v>12820.093030751668</v>
      </c>
      <c r="AL497" s="196">
        <f t="shared" si="1226"/>
        <v>12820.093030751668</v>
      </c>
      <c r="AM497" s="196">
        <f t="shared" ref="AM497:AM557" si="1361">AK497+AL497</f>
        <v>25640.186061503337</v>
      </c>
      <c r="AN497" s="627">
        <f t="shared" ref="AN497:AN557" si="1362">AM497/20653560</f>
        <v>1.2414414784426189E-3</v>
      </c>
      <c r="AO497" s="196">
        <f t="shared" ref="AO497:AO557" si="1363">AB497*0.038</f>
        <v>12179.088379214085</v>
      </c>
      <c r="AP497" s="589">
        <f t="shared" si="1217"/>
        <v>1.2414414784426189E-3</v>
      </c>
      <c r="AQ497" s="196"/>
      <c r="AR497" s="589"/>
      <c r="AS497">
        <v>1</v>
      </c>
      <c r="AT497" s="589">
        <f t="shared" si="1218"/>
        <v>1.2919896640826874E-3</v>
      </c>
      <c r="AU497" s="196">
        <v>20</v>
      </c>
      <c r="AV497" s="245">
        <f t="shared" ref="AV497:AV548" si="1364">AU497/8801</f>
        <v>2.2724690376093627E-3</v>
      </c>
      <c r="AX497" s="245"/>
      <c r="AY497" s="245"/>
      <c r="AZ497" s="196">
        <v>28</v>
      </c>
      <c r="BA497" s="589">
        <f t="shared" si="1256"/>
        <v>1.0259792605620901E-3</v>
      </c>
      <c r="BI497" s="196">
        <v>0</v>
      </c>
      <c r="BJ497" s="196">
        <f t="shared" si="1341"/>
        <v>203715.13294217753</v>
      </c>
      <c r="BK497" s="246">
        <f t="shared" si="1257"/>
        <v>3.8847246760925205E-3</v>
      </c>
      <c r="BL497" s="196">
        <f t="shared" si="1358"/>
        <v>4074.3026588435505</v>
      </c>
      <c r="BM497" s="246">
        <f t="shared" si="1258"/>
        <v>3.884724231616437E-3</v>
      </c>
      <c r="BN497" s="196">
        <v>0</v>
      </c>
      <c r="BO497" s="196">
        <f t="shared" si="1342"/>
        <v>16927.245866703943</v>
      </c>
      <c r="BP497" s="196">
        <f t="shared" ref="BP497:BP557" si="1365">BN497*BO497</f>
        <v>0</v>
      </c>
      <c r="BQ497" s="248">
        <f t="shared" si="1259"/>
        <v>0</v>
      </c>
      <c r="BR497" s="248"/>
      <c r="BS497" s="248"/>
      <c r="BT497" s="276">
        <v>0</v>
      </c>
      <c r="BU497" s="196">
        <f t="shared" si="1343"/>
        <v>0</v>
      </c>
      <c r="BV497" s="264">
        <f t="shared" si="1261"/>
        <v>0</v>
      </c>
      <c r="BW497" s="196">
        <f t="shared" si="1344"/>
        <v>0</v>
      </c>
      <c r="BX497" s="247">
        <f t="shared" si="1263"/>
        <v>0</v>
      </c>
      <c r="BY497" s="196">
        <f t="shared" si="1345"/>
        <v>0</v>
      </c>
      <c r="BZ497" s="620">
        <v>0</v>
      </c>
      <c r="CA497" s="196">
        <f t="shared" si="1346"/>
        <v>98073.711685250266</v>
      </c>
      <c r="CB497" s="196">
        <f t="shared" si="1347"/>
        <v>196147.42337050053</v>
      </c>
      <c r="CC497" s="196">
        <f t="shared" si="1214"/>
        <v>294221.13505575078</v>
      </c>
      <c r="CD497" s="247">
        <f t="shared" ref="CD497:CD557" si="1366">CC497/236999601</f>
        <v>1.2414414784426189E-3</v>
      </c>
      <c r="CE497" s="196">
        <f t="shared" si="1348"/>
        <v>28603.633228745151</v>
      </c>
      <c r="CF497" s="247">
        <f t="shared" ref="CF497:CF557" si="1367">CE497/23157202</f>
        <v>1.2351938385624114E-3</v>
      </c>
      <c r="CG497" s="196">
        <f t="shared" si="1316"/>
        <v>48716.353516856339</v>
      </c>
      <c r="CH497" s="589">
        <f t="shared" si="1219"/>
        <v>1.2414414784426189E-3</v>
      </c>
      <c r="CI497" s="196">
        <f t="shared" si="1349"/>
        <v>127588.4058064452</v>
      </c>
      <c r="CJ497" s="248">
        <f t="shared" si="1220"/>
        <v>2.0975530675957652E-3</v>
      </c>
      <c r="CK497" s="196">
        <f t="shared" si="1350"/>
        <v>103957.09154701368</v>
      </c>
      <c r="CL497" s="589">
        <f t="shared" si="1221"/>
        <v>1.4944045740497706E-3</v>
      </c>
      <c r="CM497" s="196">
        <f t="shared" si="1351"/>
        <v>10070.819269204736</v>
      </c>
      <c r="CN497" s="589">
        <f t="shared" si="1222"/>
        <v>1.4513195080390704E-3</v>
      </c>
      <c r="CO497" s="196">
        <f t="shared" si="1352"/>
        <v>805.67643641719599</v>
      </c>
      <c r="CP497" s="589">
        <f t="shared" si="1223"/>
        <v>1.5193816620662007E-3</v>
      </c>
      <c r="CQ497" s="196">
        <f>'Detailed Budget'!$AC$12</f>
        <v>292876014141.44696</v>
      </c>
      <c r="CR497" s="269">
        <f t="shared" si="1224"/>
        <v>1137742679.1709011</v>
      </c>
      <c r="CS497" s="269">
        <f>'Detailed Budget'!$AC$16</f>
        <v>10488008800.000002</v>
      </c>
      <c r="CT497" s="607">
        <f t="shared" si="1318"/>
        <v>40743021.926766433</v>
      </c>
      <c r="CU497" s="269">
        <f>'Detailed Budget'!$AC$24</f>
        <v>30624985696</v>
      </c>
      <c r="CV497" s="269">
        <f t="shared" si="1250"/>
        <v>118969637.63823168</v>
      </c>
      <c r="CW497" s="269"/>
      <c r="CX497" s="269">
        <f t="shared" si="1215"/>
        <v>1297455338.7358992</v>
      </c>
      <c r="CY497" s="196">
        <f>'Detailed Budget'!$AC$97</f>
        <v>74629165494.837845</v>
      </c>
      <c r="CZ497" s="269">
        <f t="shared" si="1319"/>
        <v>0</v>
      </c>
      <c r="DA497" s="269">
        <f>'Detailed Budget'!$AC$100</f>
        <v>14925833098.967569</v>
      </c>
      <c r="DB497" s="269">
        <f t="shared" si="1320"/>
        <v>0</v>
      </c>
      <c r="DC497" s="269">
        <f t="shared" ref="DC497:DC557" si="1368">CZ497+DB497</f>
        <v>0</v>
      </c>
      <c r="DD497" s="207">
        <v>0</v>
      </c>
      <c r="DE497" s="606">
        <v>0</v>
      </c>
      <c r="DF497" s="269">
        <f>'Detailed Budget'!$AC$147</f>
        <v>5913600671000</v>
      </c>
      <c r="DG497" s="269">
        <f t="shared" si="1230"/>
        <v>0</v>
      </c>
      <c r="DH497" s="269">
        <f>'Detailed Budget'!$AC$153</f>
        <v>226428026880.00003</v>
      </c>
      <c r="DI497" s="269"/>
      <c r="DJ497" s="269">
        <f>'Detailed Budget'!$AC$156</f>
        <v>27713070000</v>
      </c>
      <c r="DK497" s="269"/>
      <c r="DL497" s="269"/>
      <c r="DM497" s="196">
        <f>'Detailed Budget'!$AC$178</f>
        <v>5622683761.6229038</v>
      </c>
      <c r="DN497" s="269">
        <f t="shared" si="1353"/>
        <v>0</v>
      </c>
      <c r="DO497" s="196">
        <f>'Detailed Budget'!$AC$179</f>
        <v>26827890683.128094</v>
      </c>
      <c r="DP497" s="269">
        <f t="shared" si="1354"/>
        <v>0</v>
      </c>
      <c r="DQ497" s="269">
        <f t="shared" si="1192"/>
        <v>0</v>
      </c>
      <c r="DR497" s="269">
        <f>'Detailed Budget'!$AC$181</f>
        <v>50888946855.375237</v>
      </c>
      <c r="DS497" s="269">
        <f t="shared" si="1355"/>
        <v>0</v>
      </c>
      <c r="DT497" s="269">
        <f t="shared" si="1356"/>
        <v>0</v>
      </c>
      <c r="DU497" s="272">
        <f>'Detailed Budget'!$AC$192</f>
        <v>77498869683.252869</v>
      </c>
      <c r="DV497" s="269">
        <f t="shared" si="1321"/>
        <v>0</v>
      </c>
      <c r="DW497" s="140">
        <f>'Detailed Budget'!$AC$194</f>
        <v>2684962805.4134097</v>
      </c>
      <c r="DX497" s="269">
        <f t="shared" si="1322"/>
        <v>0</v>
      </c>
      <c r="DY497" s="607">
        <f t="shared" ref="DY497:DY557" si="1369">DV497+DX497</f>
        <v>0</v>
      </c>
      <c r="DZ497" s="196">
        <f>'Detailed Budget'!$AC$198</f>
        <v>18732540018.380611</v>
      </c>
      <c r="EA497" s="269">
        <f t="shared" si="1323"/>
        <v>23138318.011327531</v>
      </c>
      <c r="EB497" s="196">
        <f>'Detailed Budget'!$AC$200</f>
        <v>4683135004.5951529</v>
      </c>
      <c r="EC497" s="269">
        <f t="shared" si="1324"/>
        <v>5784579.5028318828</v>
      </c>
      <c r="ED497" s="269">
        <f t="shared" ref="ED497:ED557" si="1370">EA497+EC497</f>
        <v>28922897.514159415</v>
      </c>
      <c r="EE497" s="196">
        <f>'Detailed Budget'!$AC$161</f>
        <v>251147290106.36197</v>
      </c>
      <c r="EF497" s="269">
        <f t="shared" si="1325"/>
        <v>311784663.13649929</v>
      </c>
      <c r="EG497" s="196">
        <f>'Detailed Budget'!$AC$163</f>
        <v>15696705631.647623</v>
      </c>
      <c r="EH497" s="269">
        <f t="shared" si="1326"/>
        <v>19486541.446031205</v>
      </c>
      <c r="EI497" s="269">
        <f t="shared" ref="EI497:EI557" si="1371">EF497+EH497</f>
        <v>331271204.5825305</v>
      </c>
      <c r="EJ497" s="196">
        <f>'Detailed Budget'!$AC$204</f>
        <v>45012172507.531975</v>
      </c>
      <c r="EK497" s="269">
        <f t="shared" si="1327"/>
        <v>94415420.522323459</v>
      </c>
      <c r="EL497" s="201">
        <f>'Detailed Budget'!$AC$206</f>
        <v>11253043126.882994</v>
      </c>
      <c r="EM497" s="269">
        <f t="shared" si="1328"/>
        <v>23603855.130580865</v>
      </c>
      <c r="EN497" s="269">
        <f t="shared" ref="EN497:EN557" si="1372">EK497+EM497</f>
        <v>118019275.65290433</v>
      </c>
      <c r="EO497" s="140">
        <f>'Detailed Budget'!$AC$209</f>
        <v>135789361677.54817</v>
      </c>
      <c r="EP497" s="269">
        <f t="shared" si="1329"/>
        <v>202924243.1982266</v>
      </c>
      <c r="EQ497" s="196">
        <f>'Detailed Budget'!$AC$211</f>
        <v>33947340419.387043</v>
      </c>
      <c r="ER497" s="269">
        <f t="shared" si="1330"/>
        <v>50731060.79955665</v>
      </c>
      <c r="ES497" s="269">
        <f t="shared" ref="ES497:ES557" si="1373">EP497+ER497</f>
        <v>253655303.99778324</v>
      </c>
      <c r="ET497" s="196">
        <f>'Detailed Budget'!$AC$214</f>
        <v>22239745544.201103</v>
      </c>
      <c r="EU497" s="269">
        <f t="shared" si="1331"/>
        <v>32276976.562124055</v>
      </c>
      <c r="EV497" s="140">
        <f>'Detailed Budget'!$AC$217</f>
        <v>5559936386.0502758</v>
      </c>
      <c r="EW497" s="269">
        <f t="shared" si="1332"/>
        <v>8069244.1405310137</v>
      </c>
      <c r="EX497" s="269">
        <f t="shared" ref="EX497:EX557" si="1374">EU497+EW497</f>
        <v>40346220.70265507</v>
      </c>
      <c r="EY497" s="196">
        <f>'Detailed Budget'!$AC$219</f>
        <v>372777004.58170313</v>
      </c>
      <c r="EZ497" s="269">
        <f t="shared" si="1333"/>
        <v>566390.54480140784</v>
      </c>
      <c r="FA497" s="196">
        <f>'Detailed Budget'!$AC$222</f>
        <v>93194251.145425782</v>
      </c>
      <c r="FB497" s="269">
        <f t="shared" si="1334"/>
        <v>141597.63620035196</v>
      </c>
      <c r="FC497" s="269">
        <f t="shared" ref="FC497:FC557" si="1375">EZ497+FB497</f>
        <v>707988.18100175983</v>
      </c>
      <c r="FD497" s="269"/>
      <c r="FE497" s="269">
        <f t="shared" ref="FE497:FE557" si="1376">EN497+ES497+EX497+FC497</f>
        <v>412728788.53434443</v>
      </c>
      <c r="FF497" s="140">
        <f>'Detailed Budget'!$AC$165</f>
        <v>14927760000</v>
      </c>
      <c r="FG497" s="1087">
        <f t="shared" si="1232"/>
        <v>562989387.66977954</v>
      </c>
      <c r="FH497" s="269">
        <f t="shared" si="1335"/>
        <v>33922872.400863543</v>
      </c>
      <c r="FJ497" s="140">
        <f>'Detailed Budget'!$AC$235</f>
        <v>3623696172</v>
      </c>
      <c r="FK497" s="269">
        <f t="shared" si="1336"/>
        <v>4681778</v>
      </c>
      <c r="FL497" s="269">
        <f t="shared" si="1235"/>
        <v>4681778</v>
      </c>
      <c r="FO497" s="607"/>
      <c r="FP497" s="607"/>
      <c r="FQ497" s="607"/>
      <c r="FR497" s="269">
        <f>'Detailed Budget'!$AC$257</f>
        <v>13636439388</v>
      </c>
      <c r="FS497" s="269">
        <f t="shared" si="1337"/>
        <v>13990704</v>
      </c>
      <c r="FT497" s="269">
        <f t="shared" si="1237"/>
        <v>13990704</v>
      </c>
      <c r="FU497" s="269"/>
      <c r="FV497" s="269"/>
      <c r="FW497" s="269"/>
      <c r="FX497" s="140">
        <f>'Detailed Budget'!$AC$278</f>
        <v>1114560000</v>
      </c>
      <c r="FY497" s="269">
        <f t="shared" si="1338"/>
        <v>1440000</v>
      </c>
      <c r="FZ497" s="269">
        <f t="shared" si="1239"/>
        <v>1440000</v>
      </c>
      <c r="GB497" s="269">
        <f t="shared" si="1264"/>
        <v>2687402971.4375768</v>
      </c>
      <c r="GC497" s="887">
        <f t="shared" ref="GC497:GC557" si="1377">GB497/1600</f>
        <v>1679626.8571484855</v>
      </c>
      <c r="GD497" s="1078">
        <f t="shared" si="1265"/>
        <v>1.507986431182481E-3</v>
      </c>
    </row>
    <row r="498" spans="1:186" hidden="1" outlineLevel="1">
      <c r="A498" s="211" t="s">
        <v>1119</v>
      </c>
      <c r="B498" s="212" t="s">
        <v>1120</v>
      </c>
      <c r="C498" s="213" t="s">
        <v>215</v>
      </c>
      <c r="D498" s="214"/>
      <c r="E498" s="213"/>
      <c r="F498" s="213"/>
      <c r="G498" s="213"/>
      <c r="H498" s="213" t="s">
        <v>215</v>
      </c>
      <c r="I498" s="214" t="s">
        <v>215</v>
      </c>
      <c r="J498" s="214"/>
      <c r="K498" s="213"/>
      <c r="L498" s="213"/>
      <c r="M498" s="214" t="s">
        <v>215</v>
      </c>
      <c r="N498" s="213"/>
      <c r="O498" s="214"/>
      <c r="P498" s="213"/>
      <c r="Q498" s="214"/>
      <c r="R498" s="214" t="s">
        <v>215</v>
      </c>
      <c r="S498" s="214"/>
      <c r="T498" s="214"/>
      <c r="U498" s="215">
        <f t="shared" si="1339"/>
        <v>5</v>
      </c>
      <c r="V498" s="845" t="s">
        <v>467</v>
      </c>
      <c r="W498" s="216">
        <v>158152</v>
      </c>
      <c r="X498" s="217">
        <v>2.8</v>
      </c>
      <c r="Y498" s="218">
        <f t="shared" si="1312"/>
        <v>1.028</v>
      </c>
      <c r="Z498" s="196">
        <v>19</v>
      </c>
      <c r="AA498" s="218">
        <f t="shared" si="1313"/>
        <v>1.6899318009047619</v>
      </c>
      <c r="AB498" s="196">
        <f t="shared" si="1291"/>
        <v>267266.09417668992</v>
      </c>
      <c r="AC498">
        <v>11.3</v>
      </c>
      <c r="AD498" s="196">
        <f t="shared" si="1292"/>
        <v>30201.068641965961</v>
      </c>
      <c r="AE498" s="196">
        <f t="shared" si="1314"/>
        <v>28691.015209867663</v>
      </c>
      <c r="AF498" s="196">
        <f t="shared" si="1340"/>
        <v>0</v>
      </c>
      <c r="AG498" s="606">
        <f t="shared" si="1216"/>
        <v>1.3265465873874371E-3</v>
      </c>
      <c r="AH498" s="196">
        <f t="shared" si="1357"/>
        <v>13363.304708834497</v>
      </c>
      <c r="AI498" s="248">
        <f t="shared" si="1359"/>
        <v>1.0352349684090876E-3</v>
      </c>
      <c r="AJ498" s="196">
        <f t="shared" si="1360"/>
        <v>43564.373350800459</v>
      </c>
      <c r="AK498" s="196">
        <f t="shared" si="1225"/>
        <v>10690.643767067597</v>
      </c>
      <c r="AL498" s="196">
        <f t="shared" si="1226"/>
        <v>10690.643767067597</v>
      </c>
      <c r="AM498" s="196">
        <f t="shared" si="1361"/>
        <v>21381.287534135194</v>
      </c>
      <c r="AN498" s="627">
        <f t="shared" si="1362"/>
        <v>1.0352349684090876E-3</v>
      </c>
      <c r="AO498" s="196">
        <f t="shared" si="1363"/>
        <v>10156.111578714217</v>
      </c>
      <c r="AP498" s="589">
        <f t="shared" si="1217"/>
        <v>1.0352349684090876E-3</v>
      </c>
      <c r="AQ498" s="196"/>
      <c r="AR498" s="589"/>
      <c r="AS498">
        <v>1</v>
      </c>
      <c r="AT498" s="589">
        <f t="shared" si="1218"/>
        <v>1.2919896640826874E-3</v>
      </c>
      <c r="AU498" s="196">
        <v>11</v>
      </c>
      <c r="AV498" s="245">
        <f t="shared" si="1364"/>
        <v>1.2498579706851495E-3</v>
      </c>
      <c r="AX498" s="245"/>
      <c r="AY498" s="245"/>
      <c r="AZ498" s="196">
        <v>22</v>
      </c>
      <c r="BA498" s="589">
        <f t="shared" si="1256"/>
        <v>8.0612656187021366E-4</v>
      </c>
      <c r="BI498" s="196">
        <v>0</v>
      </c>
      <c r="BJ498" s="196">
        <f t="shared" si="1341"/>
        <v>169877.54386973786</v>
      </c>
      <c r="BK498" s="246">
        <f t="shared" si="1257"/>
        <v>3.2394622679900471E-3</v>
      </c>
      <c r="BL498" s="196">
        <f t="shared" si="1358"/>
        <v>3397.5508773947572</v>
      </c>
      <c r="BM498" s="246">
        <f t="shared" si="1258"/>
        <v>3.2394618973425439E-3</v>
      </c>
      <c r="BN498" s="196">
        <v>0</v>
      </c>
      <c r="BO498" s="196">
        <f t="shared" si="1342"/>
        <v>14115.588325640178</v>
      </c>
      <c r="BP498" s="196">
        <f t="shared" si="1365"/>
        <v>0</v>
      </c>
      <c r="BQ498" s="248">
        <f t="shared" si="1259"/>
        <v>0</v>
      </c>
      <c r="BR498" s="248"/>
      <c r="BS498" s="248"/>
      <c r="BT498" s="276">
        <v>0</v>
      </c>
      <c r="BU498" s="196">
        <f t="shared" si="1343"/>
        <v>0</v>
      </c>
      <c r="BV498" s="264">
        <f t="shared" si="1261"/>
        <v>0</v>
      </c>
      <c r="BW498" s="196">
        <f t="shared" si="1344"/>
        <v>0</v>
      </c>
      <c r="BX498" s="247">
        <f t="shared" si="1263"/>
        <v>0</v>
      </c>
      <c r="BY498" s="196">
        <f t="shared" si="1345"/>
        <v>0</v>
      </c>
      <c r="BZ498" s="620">
        <v>0</v>
      </c>
      <c r="CA498" s="196">
        <f t="shared" si="1346"/>
        <v>81783.424818067113</v>
      </c>
      <c r="CB498" s="196">
        <f t="shared" si="1347"/>
        <v>163566.84963613423</v>
      </c>
      <c r="CC498" s="196">
        <f t="shared" ref="CC498:CC558" si="1378">CA498+CB498</f>
        <v>245350.27445420134</v>
      </c>
      <c r="CD498" s="247">
        <f t="shared" si="1366"/>
        <v>1.0352349684090874E-3</v>
      </c>
      <c r="CE498" s="196">
        <f t="shared" si="1348"/>
        <v>23852.498773516527</v>
      </c>
      <c r="CF498" s="247">
        <f t="shared" si="1367"/>
        <v>1.030025077015631E-3</v>
      </c>
      <c r="CG498" s="196">
        <f t="shared" si="1316"/>
        <v>40624.446314856868</v>
      </c>
      <c r="CH498" s="589">
        <f t="shared" si="1219"/>
        <v>1.0352349684090876E-3</v>
      </c>
      <c r="CI498" s="196">
        <f t="shared" si="1349"/>
        <v>106395.65500912674</v>
      </c>
      <c r="CJ498" s="248">
        <f t="shared" si="1220"/>
        <v>1.7491442982821639E-3</v>
      </c>
      <c r="CK498" s="196">
        <f t="shared" si="1350"/>
        <v>86689.560686003519</v>
      </c>
      <c r="CL498" s="589">
        <f t="shared" si="1221"/>
        <v>1.2461802661431838E-3</v>
      </c>
      <c r="CM498" s="196">
        <f t="shared" si="1351"/>
        <v>8398.0311992537336</v>
      </c>
      <c r="CN498" s="589">
        <f t="shared" si="1222"/>
        <v>1.2102517365064542E-3</v>
      </c>
      <c r="CO498" s="196">
        <f t="shared" si="1352"/>
        <v>671.85158115437787</v>
      </c>
      <c r="CP498" s="589">
        <f t="shared" si="1223"/>
        <v>1.2670085978629176E-3</v>
      </c>
      <c r="CQ498" s="196">
        <f>'Detailed Budget'!$AC$12</f>
        <v>292876014141.44696</v>
      </c>
      <c r="CR498" s="269">
        <f t="shared" si="1224"/>
        <v>948760797.01053691</v>
      </c>
      <c r="CS498" s="269">
        <f>'Detailed Budget'!$AC$16</f>
        <v>10488008800.000002</v>
      </c>
      <c r="CT498" s="607">
        <f t="shared" si="1318"/>
        <v>33975504.886593305</v>
      </c>
      <c r="CU498" s="269">
        <f>'Detailed Budget'!$AC$24</f>
        <v>30624985696</v>
      </c>
      <c r="CV498" s="269">
        <f t="shared" si="1250"/>
        <v>99208485.619926915</v>
      </c>
      <c r="CW498" s="269"/>
      <c r="CX498" s="269">
        <f t="shared" ref="CX498:CX558" si="1379">CR498+CT498+CV498+CW498</f>
        <v>1081944787.5170572</v>
      </c>
      <c r="CY498" s="196">
        <f>'Detailed Budget'!$AC$97</f>
        <v>74629165494.837845</v>
      </c>
      <c r="CZ498" s="269">
        <f t="shared" si="1319"/>
        <v>0</v>
      </c>
      <c r="DA498" s="269">
        <f>'Detailed Budget'!$AC$100</f>
        <v>14925833098.967569</v>
      </c>
      <c r="DB498" s="269">
        <f t="shared" si="1320"/>
        <v>0</v>
      </c>
      <c r="DC498" s="269">
        <f t="shared" si="1368"/>
        <v>0</v>
      </c>
      <c r="DD498" s="207">
        <v>0</v>
      </c>
      <c r="DE498" s="606">
        <v>0</v>
      </c>
      <c r="DF498" s="269">
        <f>'Detailed Budget'!$AC$147</f>
        <v>5913600671000</v>
      </c>
      <c r="DG498" s="269">
        <f t="shared" si="1230"/>
        <v>0</v>
      </c>
      <c r="DH498" s="269">
        <f>'Detailed Budget'!$AC$153</f>
        <v>226428026880.00003</v>
      </c>
      <c r="DI498" s="269"/>
      <c r="DJ498" s="269">
        <f>'Detailed Budget'!$AC$156</f>
        <v>27713070000</v>
      </c>
      <c r="DK498" s="269"/>
      <c r="DL498" s="269"/>
      <c r="DM498" s="196">
        <f>'Detailed Budget'!$AC$178</f>
        <v>5622683761.6229038</v>
      </c>
      <c r="DN498" s="269">
        <f t="shared" si="1353"/>
        <v>0</v>
      </c>
      <c r="DO498" s="196">
        <f>'Detailed Budget'!$AC$179</f>
        <v>26827890683.128094</v>
      </c>
      <c r="DP498" s="269">
        <f t="shared" si="1354"/>
        <v>0</v>
      </c>
      <c r="DQ498" s="269">
        <f t="shared" si="1192"/>
        <v>0</v>
      </c>
      <c r="DR498" s="269">
        <f>'Detailed Budget'!$AC$181</f>
        <v>50888946855.375237</v>
      </c>
      <c r="DS498" s="269">
        <f t="shared" si="1355"/>
        <v>0</v>
      </c>
      <c r="DT498" s="269">
        <f t="shared" si="1356"/>
        <v>0</v>
      </c>
      <c r="DU498" s="272">
        <f>'Detailed Budget'!$AC$192</f>
        <v>77498869683.252869</v>
      </c>
      <c r="DV498" s="269">
        <f t="shared" si="1321"/>
        <v>0</v>
      </c>
      <c r="DW498" s="140">
        <f>'Detailed Budget'!$AC$194</f>
        <v>2684962805.4134097</v>
      </c>
      <c r="DX498" s="269">
        <f t="shared" si="1322"/>
        <v>0</v>
      </c>
      <c r="DY498" s="607">
        <f t="shared" si="1369"/>
        <v>0</v>
      </c>
      <c r="DZ498" s="196">
        <f>'Detailed Budget'!$AC$198</f>
        <v>18732540018.380611</v>
      </c>
      <c r="EA498" s="269">
        <f t="shared" si="1323"/>
        <v>19294985.975130878</v>
      </c>
      <c r="EB498" s="196">
        <f>'Detailed Budget'!$AC$200</f>
        <v>4683135004.5951529</v>
      </c>
      <c r="EC498" s="269">
        <f t="shared" si="1324"/>
        <v>4823746.4937827196</v>
      </c>
      <c r="ED498" s="269">
        <f t="shared" si="1370"/>
        <v>24118732.4689136</v>
      </c>
      <c r="EE498" s="196">
        <f>'Detailed Budget'!$AC$161</f>
        <v>251147290106.36197</v>
      </c>
      <c r="EF498" s="269">
        <f t="shared" si="1325"/>
        <v>259996456.9392876</v>
      </c>
      <c r="EG498" s="196">
        <f>'Detailed Budget'!$AC$163</f>
        <v>15696705631.647623</v>
      </c>
      <c r="EH498" s="269">
        <f t="shared" si="1326"/>
        <v>16249778.558705475</v>
      </c>
      <c r="EI498" s="269">
        <f t="shared" si="1371"/>
        <v>276246235.49799305</v>
      </c>
      <c r="EJ498" s="196">
        <f>'Detailed Budget'!$AC$204</f>
        <v>45012172507.531975</v>
      </c>
      <c r="EK498" s="269">
        <f t="shared" si="1327"/>
        <v>78732784.894842729</v>
      </c>
      <c r="EL498" s="201">
        <f>'Detailed Budget'!$AC$206</f>
        <v>11253043126.882994</v>
      </c>
      <c r="EM498" s="269">
        <f t="shared" si="1328"/>
        <v>19683196.223710682</v>
      </c>
      <c r="EN498" s="269">
        <f t="shared" si="1372"/>
        <v>98415981.118553415</v>
      </c>
      <c r="EO498" s="140">
        <f>'Detailed Budget'!$AC$209</f>
        <v>135789361677.54817</v>
      </c>
      <c r="EP498" s="269">
        <f t="shared" si="1329"/>
        <v>169218022.87474003</v>
      </c>
      <c r="EQ498" s="196">
        <f>'Detailed Budget'!$AC$211</f>
        <v>33947340419.387043</v>
      </c>
      <c r="ER498" s="269">
        <f t="shared" si="1330"/>
        <v>42304505.718685009</v>
      </c>
      <c r="ES498" s="269">
        <f t="shared" si="1373"/>
        <v>211522528.59342504</v>
      </c>
      <c r="ET498" s="196">
        <f>'Detailed Budget'!$AC$214</f>
        <v>22239745544.201103</v>
      </c>
      <c r="EU498" s="269">
        <f t="shared" si="1331"/>
        <v>26915690.664331064</v>
      </c>
      <c r="EV498" s="140">
        <f>'Detailed Budget'!$AC$217</f>
        <v>5559936386.0502758</v>
      </c>
      <c r="EW498" s="269">
        <f t="shared" si="1332"/>
        <v>6728922.6660827659</v>
      </c>
      <c r="EX498" s="269">
        <f t="shared" si="1374"/>
        <v>33644613.330413833</v>
      </c>
      <c r="EY498" s="196">
        <f>'Detailed Budget'!$AC$219</f>
        <v>372777004.58170313</v>
      </c>
      <c r="EZ498" s="269">
        <f t="shared" si="1333"/>
        <v>472311.66989060212</v>
      </c>
      <c r="FA498" s="196">
        <f>'Detailed Budget'!$AC$222</f>
        <v>93194251.145425782</v>
      </c>
      <c r="FB498" s="269">
        <f t="shared" si="1334"/>
        <v>118077.91747265053</v>
      </c>
      <c r="FC498" s="269">
        <f t="shared" si="1375"/>
        <v>590389.58736325265</v>
      </c>
      <c r="FD498" s="269"/>
      <c r="FE498" s="269">
        <f t="shared" si="1376"/>
        <v>344173512.6297555</v>
      </c>
      <c r="FF498" s="140">
        <f>'Detailed Budget'!$AC$165</f>
        <v>14927760000</v>
      </c>
      <c r="FG498" s="1087">
        <f t="shared" si="1232"/>
        <v>469475453.39803523</v>
      </c>
      <c r="FH498" s="269">
        <f t="shared" si="1335"/>
        <v>18657579.820474949</v>
      </c>
      <c r="FJ498" s="140">
        <f>'Detailed Budget'!$AC$235</f>
        <v>3623696172</v>
      </c>
      <c r="FK498" s="269">
        <f t="shared" si="1336"/>
        <v>4681778</v>
      </c>
      <c r="FL498" s="269">
        <f t="shared" si="1235"/>
        <v>4681778</v>
      </c>
      <c r="FO498" s="607"/>
      <c r="FP498" s="607"/>
      <c r="FQ498" s="607"/>
      <c r="FR498" s="269">
        <f>'Detailed Budget'!$AC$257</f>
        <v>13636439388</v>
      </c>
      <c r="FS498" s="269">
        <f t="shared" si="1337"/>
        <v>10992696</v>
      </c>
      <c r="FT498" s="269">
        <f t="shared" si="1237"/>
        <v>10992696</v>
      </c>
      <c r="FU498" s="269"/>
      <c r="FV498" s="269"/>
      <c r="FW498" s="269"/>
      <c r="FX498" s="140">
        <f>'Detailed Budget'!$AC$278</f>
        <v>1114560000</v>
      </c>
      <c r="FY498" s="269">
        <f t="shared" si="1338"/>
        <v>1440000</v>
      </c>
      <c r="FZ498" s="269">
        <f t="shared" si="1239"/>
        <v>1440000</v>
      </c>
      <c r="GB498" s="269">
        <f t="shared" si="1264"/>
        <v>2231730775.3322296</v>
      </c>
      <c r="GC498" s="887">
        <f t="shared" si="1377"/>
        <v>1394831.7345826435</v>
      </c>
      <c r="GD498" s="1078">
        <f t="shared" si="1265"/>
        <v>1.2522944132390725E-3</v>
      </c>
    </row>
    <row r="499" spans="1:186" hidden="1" outlineLevel="1">
      <c r="A499" s="211" t="s">
        <v>1121</v>
      </c>
      <c r="B499" s="212" t="s">
        <v>1122</v>
      </c>
      <c r="C499" s="213" t="s">
        <v>215</v>
      </c>
      <c r="D499" s="214"/>
      <c r="E499" s="213"/>
      <c r="F499" s="213"/>
      <c r="G499" s="213"/>
      <c r="H499" s="213" t="s">
        <v>215</v>
      </c>
      <c r="I499" s="214" t="s">
        <v>215</v>
      </c>
      <c r="J499" s="214"/>
      <c r="K499" s="213"/>
      <c r="L499" s="213"/>
      <c r="M499" s="214" t="s">
        <v>215</v>
      </c>
      <c r="N499" s="213"/>
      <c r="O499" s="214"/>
      <c r="P499" s="213"/>
      <c r="Q499" s="214"/>
      <c r="R499" s="214" t="s">
        <v>215</v>
      </c>
      <c r="S499" s="214"/>
      <c r="T499" s="214"/>
      <c r="U499" s="215">
        <f t="shared" si="1339"/>
        <v>5</v>
      </c>
      <c r="V499" s="845" t="s">
        <v>467</v>
      </c>
      <c r="W499" s="216">
        <v>96517</v>
      </c>
      <c r="X499" s="217">
        <v>2.8</v>
      </c>
      <c r="Y499" s="218">
        <f t="shared" si="1312"/>
        <v>1.028</v>
      </c>
      <c r="Z499" s="196">
        <v>19</v>
      </c>
      <c r="AA499" s="218">
        <f t="shared" si="1313"/>
        <v>1.6899318009047619</v>
      </c>
      <c r="AB499" s="196">
        <f t="shared" si="1291"/>
        <v>163107.14762792492</v>
      </c>
      <c r="AC499">
        <v>11.3</v>
      </c>
      <c r="AD499" s="196">
        <f t="shared" si="1292"/>
        <v>18431.107681955516</v>
      </c>
      <c r="AE499" s="196">
        <f t="shared" si="1314"/>
        <v>17509.552297857739</v>
      </c>
      <c r="AF499" s="196">
        <f t="shared" si="1340"/>
        <v>0</v>
      </c>
      <c r="AG499" s="606">
        <f t="shared" ref="AG499:AG559" si="1380">AE499/21628351</f>
        <v>8.0956482987804934E-4</v>
      </c>
      <c r="AH499" s="196">
        <f t="shared" si="1357"/>
        <v>8155.3573813962466</v>
      </c>
      <c r="AI499" s="248">
        <f t="shared" si="1359"/>
        <v>6.3178317976339158E-4</v>
      </c>
      <c r="AJ499" s="196">
        <f t="shared" si="1360"/>
        <v>26586.465063351763</v>
      </c>
      <c r="AK499" s="196">
        <f t="shared" si="1225"/>
        <v>6524.2859051169971</v>
      </c>
      <c r="AL499" s="196">
        <f t="shared" si="1226"/>
        <v>6524.2859051169971</v>
      </c>
      <c r="AM499" s="196">
        <f t="shared" si="1361"/>
        <v>13048.571810233994</v>
      </c>
      <c r="AN499" s="627">
        <f t="shared" si="1362"/>
        <v>6.3178317976339158E-4</v>
      </c>
      <c r="AO499" s="196">
        <f t="shared" si="1363"/>
        <v>6198.0716098611465</v>
      </c>
      <c r="AP499" s="589">
        <f t="shared" ref="AP499:AP559" si="1381">AO499/9810441</f>
        <v>6.3178317976339147E-4</v>
      </c>
      <c r="AQ499" s="196"/>
      <c r="AR499" s="589"/>
      <c r="AS499">
        <v>1</v>
      </c>
      <c r="AT499" s="589">
        <f t="shared" ref="AT499:AT559" si="1382">AS499/774</f>
        <v>1.2919896640826874E-3</v>
      </c>
      <c r="AU499" s="196">
        <v>14</v>
      </c>
      <c r="AV499" s="245">
        <f t="shared" si="1364"/>
        <v>1.5907283263265539E-3</v>
      </c>
      <c r="AX499" s="245"/>
      <c r="AY499" s="245"/>
      <c r="AZ499" s="196">
        <v>24</v>
      </c>
      <c r="BA499" s="589">
        <f t="shared" si="1256"/>
        <v>8.7941079476750578E-4</v>
      </c>
      <c r="BI499" s="196">
        <v>0</v>
      </c>
      <c r="BJ499" s="196">
        <f t="shared" si="1341"/>
        <v>103672.86472302271</v>
      </c>
      <c r="BK499" s="246">
        <f t="shared" si="1257"/>
        <v>1.9769789804719214E-3</v>
      </c>
      <c r="BL499" s="196">
        <f t="shared" si="1358"/>
        <v>2073.4572944604542</v>
      </c>
      <c r="BM499" s="246">
        <f t="shared" si="1258"/>
        <v>1.9769787542731694E-3</v>
      </c>
      <c r="BN499" s="196">
        <v>0</v>
      </c>
      <c r="BO499" s="196">
        <f t="shared" si="1342"/>
        <v>8614.4610148832326</v>
      </c>
      <c r="BP499" s="196">
        <f t="shared" si="1365"/>
        <v>0</v>
      </c>
      <c r="BQ499" s="248">
        <f t="shared" si="1259"/>
        <v>0</v>
      </c>
      <c r="BR499" s="248"/>
      <c r="BS499" s="248"/>
      <c r="BT499" s="276">
        <v>0</v>
      </c>
      <c r="BU499" s="196">
        <f t="shared" si="1343"/>
        <v>0</v>
      </c>
      <c r="BV499" s="264">
        <f t="shared" si="1261"/>
        <v>0</v>
      </c>
      <c r="BW499" s="196">
        <f t="shared" si="1344"/>
        <v>0</v>
      </c>
      <c r="BX499" s="247">
        <f t="shared" si="1263"/>
        <v>0</v>
      </c>
      <c r="BY499" s="196">
        <f t="shared" si="1345"/>
        <v>0</v>
      </c>
      <c r="BZ499" s="620">
        <v>0</v>
      </c>
      <c r="CA499" s="196">
        <f t="shared" si="1346"/>
        <v>49910.787174145029</v>
      </c>
      <c r="CB499" s="196">
        <f t="shared" si="1347"/>
        <v>99821.574348290058</v>
      </c>
      <c r="CC499" s="196">
        <f t="shared" si="1378"/>
        <v>149732.36152243509</v>
      </c>
      <c r="CD499" s="247">
        <f t="shared" si="1366"/>
        <v>6.3178317976339169E-4</v>
      </c>
      <c r="CE499" s="196">
        <f t="shared" si="1348"/>
        <v>14556.70256540224</v>
      </c>
      <c r="CF499" s="247">
        <f t="shared" si="1367"/>
        <v>6.2860368732812544E-4</v>
      </c>
      <c r="CG499" s="196">
        <f t="shared" si="1316"/>
        <v>24792.286439444586</v>
      </c>
      <c r="CH499" s="589">
        <f t="shared" ref="CH499:CH559" si="1383">CG499/39241764</f>
        <v>6.3178317976339147E-4</v>
      </c>
      <c r="CI499" s="196">
        <f t="shared" si="1349"/>
        <v>64931.138616747725</v>
      </c>
      <c r="CJ499" s="248">
        <f t="shared" ref="CJ499:CJ559" si="1384">CI499/60827260</f>
        <v>1.0674677540423113E-3</v>
      </c>
      <c r="CK499" s="196">
        <f t="shared" si="1350"/>
        <v>52904.903692213833</v>
      </c>
      <c r="CL499" s="589">
        <f t="shared" ref="CL499:CL559" si="1385">CK499/69564222</f>
        <v>7.6051887264999291E-4</v>
      </c>
      <c r="CM499" s="196">
        <f t="shared" si="1351"/>
        <v>5125.1503443419788</v>
      </c>
      <c r="CN499" s="589">
        <f t="shared" ref="CN499:CN559" si="1386">CM499/6939078</f>
        <v>7.3859241016486327E-4</v>
      </c>
      <c r="CO499" s="196">
        <f t="shared" si="1352"/>
        <v>410.01757207165952</v>
      </c>
      <c r="CP499" s="589">
        <f t="shared" ref="CP499:CP559" si="1387">CO499/530266</f>
        <v>7.7322998659476471E-4</v>
      </c>
      <c r="CQ499" s="196">
        <f>'Detailed Budget'!$AC$12</f>
        <v>292876014141.44696</v>
      </c>
      <c r="CR499" s="269">
        <f t="shared" si="1224"/>
        <v>579009723.8420378</v>
      </c>
      <c r="CS499" s="269">
        <f>'Detailed Budget'!$AC$16</f>
        <v>10488008800.000002</v>
      </c>
      <c r="CT499" s="607">
        <f t="shared" si="1318"/>
        <v>20734570.572230041</v>
      </c>
      <c r="CU499" s="269">
        <f>'Detailed Budget'!$AC$24</f>
        <v>30624985696</v>
      </c>
      <c r="CV499" s="269">
        <f t="shared" si="1250"/>
        <v>60544952.998245254</v>
      </c>
      <c r="CW499" s="269"/>
      <c r="CX499" s="269">
        <f t="shared" si="1379"/>
        <v>660289247.41251302</v>
      </c>
      <c r="CY499" s="196">
        <f>'Detailed Budget'!$AC$97</f>
        <v>74629165494.837845</v>
      </c>
      <c r="CZ499" s="269">
        <f t="shared" si="1319"/>
        <v>0</v>
      </c>
      <c r="DA499" s="269">
        <f>'Detailed Budget'!$AC$100</f>
        <v>14925833098.967569</v>
      </c>
      <c r="DB499" s="269">
        <f t="shared" si="1320"/>
        <v>0</v>
      </c>
      <c r="DC499" s="269">
        <f t="shared" si="1368"/>
        <v>0</v>
      </c>
      <c r="DD499" s="207">
        <v>0</v>
      </c>
      <c r="DE499" s="606">
        <v>0</v>
      </c>
      <c r="DF499" s="269">
        <f>'Detailed Budget'!$AC$147</f>
        <v>5913600671000</v>
      </c>
      <c r="DG499" s="269">
        <f t="shared" si="1230"/>
        <v>0</v>
      </c>
      <c r="DH499" s="269">
        <f>'Detailed Budget'!$AC$153</f>
        <v>226428026880.00003</v>
      </c>
      <c r="DI499" s="269"/>
      <c r="DJ499" s="269">
        <f>'Detailed Budget'!$AC$156</f>
        <v>27713070000</v>
      </c>
      <c r="DK499" s="269"/>
      <c r="DL499" s="269"/>
      <c r="DM499" s="196">
        <f>'Detailed Budget'!$AC$178</f>
        <v>5622683761.6229038</v>
      </c>
      <c r="DN499" s="269">
        <f t="shared" si="1353"/>
        <v>0</v>
      </c>
      <c r="DO499" s="196">
        <f>'Detailed Budget'!$AC$179</f>
        <v>26827890683.128094</v>
      </c>
      <c r="DP499" s="269">
        <f t="shared" si="1354"/>
        <v>0</v>
      </c>
      <c r="DQ499" s="269">
        <f t="shared" ref="DQ499:DQ565" si="1388">DN499+DP499</f>
        <v>0</v>
      </c>
      <c r="DR499" s="269">
        <f>'Detailed Budget'!$AC$181</f>
        <v>50888946855.375237</v>
      </c>
      <c r="DS499" s="269">
        <f t="shared" si="1355"/>
        <v>0</v>
      </c>
      <c r="DT499" s="269">
        <f t="shared" si="1356"/>
        <v>0</v>
      </c>
      <c r="DU499" s="272">
        <f>'Detailed Budget'!$AC$192</f>
        <v>77498869683.252869</v>
      </c>
      <c r="DV499" s="269">
        <f t="shared" si="1321"/>
        <v>0</v>
      </c>
      <c r="DW499" s="140">
        <f>'Detailed Budget'!$AC$194</f>
        <v>2684962805.4134097</v>
      </c>
      <c r="DX499" s="269">
        <f t="shared" si="1322"/>
        <v>0</v>
      </c>
      <c r="DY499" s="607">
        <f t="shared" si="1369"/>
        <v>0</v>
      </c>
      <c r="DZ499" s="196">
        <f>'Detailed Budget'!$AC$198</f>
        <v>18732540018.380611</v>
      </c>
      <c r="EA499" s="269">
        <f t="shared" si="1323"/>
        <v>11775343.728575723</v>
      </c>
      <c r="EB499" s="196">
        <f>'Detailed Budget'!$AC$200</f>
        <v>4683135004.5951529</v>
      </c>
      <c r="EC499" s="269">
        <f t="shared" si="1324"/>
        <v>2943835.9321439308</v>
      </c>
      <c r="ED499" s="269">
        <f t="shared" si="1370"/>
        <v>14719179.660719654</v>
      </c>
      <c r="EE499" s="196">
        <f>'Detailed Budget'!$AC$161</f>
        <v>251147290106.36197</v>
      </c>
      <c r="EF499" s="269">
        <f t="shared" si="1325"/>
        <v>158670633.53235632</v>
      </c>
      <c r="EG499" s="196">
        <f>'Detailed Budget'!$AC$163</f>
        <v>15696705631.647623</v>
      </c>
      <c r="EH499" s="269">
        <f t="shared" si="1326"/>
        <v>9916914.5957722701</v>
      </c>
      <c r="EI499" s="269">
        <f t="shared" si="1371"/>
        <v>168587548.12812859</v>
      </c>
      <c r="EJ499" s="196">
        <f>'Detailed Budget'!$AC$204</f>
        <v>45012172507.531975</v>
      </c>
      <c r="EK499" s="269">
        <f t="shared" si="1327"/>
        <v>48049042.691180229</v>
      </c>
      <c r="EL499" s="201">
        <f>'Detailed Budget'!$AC$206</f>
        <v>11253043126.882994</v>
      </c>
      <c r="EM499" s="269">
        <f t="shared" si="1328"/>
        <v>12012260.672795057</v>
      </c>
      <c r="EN499" s="269">
        <f t="shared" si="1372"/>
        <v>60061303.363975286</v>
      </c>
      <c r="EO499" s="140">
        <f>'Detailed Budget'!$AC$209</f>
        <v>135789361677.54817</v>
      </c>
      <c r="EP499" s="269">
        <f t="shared" si="1329"/>
        <v>103270372.26087108</v>
      </c>
      <c r="EQ499" s="196">
        <f>'Detailed Budget'!$AC$211</f>
        <v>33947340419.387043</v>
      </c>
      <c r="ER499" s="269">
        <f t="shared" si="1330"/>
        <v>25817593.065217771</v>
      </c>
      <c r="ES499" s="269">
        <f t="shared" si="1373"/>
        <v>129087965.32608885</v>
      </c>
      <c r="ET499" s="196">
        <f>'Detailed Budget'!$AC$214</f>
        <v>22239745544.201103</v>
      </c>
      <c r="EU499" s="269">
        <f t="shared" si="1331"/>
        <v>16426107.262944771</v>
      </c>
      <c r="EV499" s="140">
        <f>'Detailed Budget'!$AC$217</f>
        <v>5559936386.0502758</v>
      </c>
      <c r="EW499" s="269">
        <f t="shared" si="1332"/>
        <v>4106526.8157361927</v>
      </c>
      <c r="EX499" s="269">
        <f t="shared" si="1374"/>
        <v>20532634.078680962</v>
      </c>
      <c r="EY499" s="196">
        <f>'Detailed Budget'!$AC$219</f>
        <v>372777004.58170313</v>
      </c>
      <c r="EZ499" s="269">
        <f t="shared" si="1333"/>
        <v>288242.35825554683</v>
      </c>
      <c r="FA499" s="196">
        <f>'Detailed Budget'!$AC$222</f>
        <v>93194251.145425782</v>
      </c>
      <c r="FB499" s="269">
        <f t="shared" si="1334"/>
        <v>72060.589563886708</v>
      </c>
      <c r="FC499" s="269">
        <f t="shared" si="1375"/>
        <v>360302.94781943352</v>
      </c>
      <c r="FD499" s="269"/>
      <c r="FE499" s="269">
        <f t="shared" si="1376"/>
        <v>210042205.71656454</v>
      </c>
      <c r="FF499" s="140">
        <f>'Detailed Budget'!$AC$165</f>
        <v>14927760000</v>
      </c>
      <c r="FG499" s="1087">
        <f t="shared" si="1232"/>
        <v>286511472.10037291</v>
      </c>
      <c r="FH499" s="269">
        <f t="shared" si="1335"/>
        <v>23746010.68060448</v>
      </c>
      <c r="FJ499" s="140">
        <f>'Detailed Budget'!$AC$235</f>
        <v>3623696172</v>
      </c>
      <c r="FK499" s="269">
        <f t="shared" si="1336"/>
        <v>4681778</v>
      </c>
      <c r="FL499" s="269">
        <f t="shared" si="1235"/>
        <v>4681778</v>
      </c>
      <c r="FO499" s="607"/>
      <c r="FP499" s="607"/>
      <c r="FQ499" s="607"/>
      <c r="FR499" s="269">
        <f>'Detailed Budget'!$AC$257</f>
        <v>13636439388</v>
      </c>
      <c r="FS499" s="269">
        <f t="shared" si="1337"/>
        <v>11992032</v>
      </c>
      <c r="FT499" s="269">
        <f t="shared" si="1237"/>
        <v>11992032</v>
      </c>
      <c r="FU499" s="269"/>
      <c r="FV499" s="269"/>
      <c r="FW499" s="269"/>
      <c r="FX499" s="140">
        <f>'Detailed Budget'!$AC$278</f>
        <v>1114560000</v>
      </c>
      <c r="FY499" s="269">
        <f t="shared" si="1338"/>
        <v>1440000</v>
      </c>
      <c r="FZ499" s="269">
        <f t="shared" si="1239"/>
        <v>1440000</v>
      </c>
      <c r="GB499" s="269">
        <f t="shared" si="1264"/>
        <v>1382009473.6989031</v>
      </c>
      <c r="GC499" s="887">
        <f t="shared" si="1377"/>
        <v>863755.92106181441</v>
      </c>
      <c r="GD499" s="1078">
        <f t="shared" si="1265"/>
        <v>7.7548903393106041E-4</v>
      </c>
    </row>
    <row r="500" spans="1:186" hidden="1" outlineLevel="1">
      <c r="A500" s="211" t="s">
        <v>1123</v>
      </c>
      <c r="B500" s="212" t="s">
        <v>1124</v>
      </c>
      <c r="C500" s="213" t="s">
        <v>215</v>
      </c>
      <c r="D500" s="214"/>
      <c r="E500" s="213"/>
      <c r="F500" s="213"/>
      <c r="G500" s="213"/>
      <c r="H500" s="213" t="s">
        <v>215</v>
      </c>
      <c r="I500" s="214" t="s">
        <v>215</v>
      </c>
      <c r="J500" s="214"/>
      <c r="K500" s="213"/>
      <c r="L500" s="213"/>
      <c r="M500" s="214"/>
      <c r="N500" s="213" t="s">
        <v>215</v>
      </c>
      <c r="O500" s="214"/>
      <c r="P500" s="213"/>
      <c r="Q500" s="214"/>
      <c r="R500" s="214" t="s">
        <v>215</v>
      </c>
      <c r="S500" s="214"/>
      <c r="T500" s="214"/>
      <c r="U500" s="215">
        <f t="shared" si="1339"/>
        <v>5</v>
      </c>
      <c r="V500" s="845" t="s">
        <v>467</v>
      </c>
      <c r="W500" s="216">
        <v>158429</v>
      </c>
      <c r="X500" s="217">
        <v>2.8</v>
      </c>
      <c r="Y500" s="218">
        <f t="shared" si="1312"/>
        <v>1.028</v>
      </c>
      <c r="Z500" s="196">
        <v>19</v>
      </c>
      <c r="AA500" s="218">
        <f t="shared" si="1313"/>
        <v>1.6899318009047619</v>
      </c>
      <c r="AB500" s="196">
        <f t="shared" si="1291"/>
        <v>267734.20528554055</v>
      </c>
      <c r="AC500">
        <v>11.3</v>
      </c>
      <c r="AD500" s="196">
        <f t="shared" si="1292"/>
        <v>30253.965197266083</v>
      </c>
      <c r="AE500" s="196">
        <f t="shared" si="1314"/>
        <v>28741.266937402779</v>
      </c>
      <c r="AF500" s="196">
        <f t="shared" si="1340"/>
        <v>0</v>
      </c>
      <c r="AG500" s="606">
        <f t="shared" si="1380"/>
        <v>1.3288700066594434E-3</v>
      </c>
      <c r="AH500" s="196">
        <f t="shared" si="1357"/>
        <v>13386.710264277028</v>
      </c>
      <c r="AI500" s="248">
        <f t="shared" si="1359"/>
        <v>1.0370481613263401E-3</v>
      </c>
      <c r="AJ500" s="196">
        <f t="shared" si="1360"/>
        <v>43640.675461543113</v>
      </c>
      <c r="AK500" s="196">
        <f t="shared" si="1225"/>
        <v>10709.368211421623</v>
      </c>
      <c r="AL500" s="196">
        <f t="shared" si="1226"/>
        <v>10709.368211421623</v>
      </c>
      <c r="AM500" s="196">
        <f t="shared" si="1361"/>
        <v>21418.736422843245</v>
      </c>
      <c r="AN500" s="627">
        <f t="shared" si="1362"/>
        <v>1.0370481613263401E-3</v>
      </c>
      <c r="AO500" s="196">
        <f t="shared" si="1363"/>
        <v>10173.89980085054</v>
      </c>
      <c r="AP500" s="589">
        <f t="shared" si="1381"/>
        <v>1.0370481613263399E-3</v>
      </c>
      <c r="AQ500" s="196"/>
      <c r="AR500" s="589"/>
      <c r="AS500">
        <v>1</v>
      </c>
      <c r="AT500" s="589">
        <f t="shared" si="1382"/>
        <v>1.2919896640826874E-3</v>
      </c>
      <c r="AU500" s="196">
        <v>12</v>
      </c>
      <c r="AV500" s="245">
        <f t="shared" si="1364"/>
        <v>1.3634814225656176E-3</v>
      </c>
      <c r="AX500" s="245"/>
      <c r="AY500" s="245"/>
      <c r="AZ500" s="196">
        <v>36</v>
      </c>
      <c r="BA500" s="589">
        <f t="shared" si="1256"/>
        <v>1.3191161921512586E-3</v>
      </c>
      <c r="BI500" s="196">
        <v>0</v>
      </c>
      <c r="BJ500" s="196">
        <f t="shared" si="1341"/>
        <v>170175.08092049864</v>
      </c>
      <c r="BK500" s="246">
        <f t="shared" si="1257"/>
        <v>3.2451361200325967E-3</v>
      </c>
      <c r="BL500" s="196">
        <f t="shared" si="1358"/>
        <v>3403.5016184099727</v>
      </c>
      <c r="BM500" s="246">
        <f t="shared" si="1258"/>
        <v>3.2451357487359115E-3</v>
      </c>
      <c r="BN500" s="196">
        <v>0</v>
      </c>
      <c r="BO500" s="196">
        <f t="shared" si="1342"/>
        <v>14140.311490482878</v>
      </c>
      <c r="BP500" s="196">
        <f t="shared" si="1365"/>
        <v>0</v>
      </c>
      <c r="BQ500" s="248">
        <f t="shared" si="1259"/>
        <v>0</v>
      </c>
      <c r="BR500" s="248"/>
      <c r="BS500" s="248"/>
      <c r="BT500" s="276">
        <v>0</v>
      </c>
      <c r="BU500" s="196">
        <f t="shared" si="1343"/>
        <v>0</v>
      </c>
      <c r="BV500" s="264">
        <f t="shared" si="1261"/>
        <v>0</v>
      </c>
      <c r="BW500" s="196">
        <f t="shared" si="1344"/>
        <v>0</v>
      </c>
      <c r="BX500" s="247">
        <f t="shared" si="1263"/>
        <v>0</v>
      </c>
      <c r="BY500" s="196">
        <f t="shared" si="1345"/>
        <v>0</v>
      </c>
      <c r="BZ500" s="620">
        <v>0</v>
      </c>
      <c r="CA500" s="196">
        <f t="shared" si="1346"/>
        <v>81926.666817375415</v>
      </c>
      <c r="CB500" s="196">
        <f t="shared" si="1347"/>
        <v>163853.33363475083</v>
      </c>
      <c r="CC500" s="196">
        <f t="shared" si="1378"/>
        <v>245780.00045212626</v>
      </c>
      <c r="CD500" s="247">
        <f t="shared" si="1366"/>
        <v>1.0370481613263401E-3</v>
      </c>
      <c r="CE500" s="196">
        <f t="shared" si="1348"/>
        <v>23894.275938271094</v>
      </c>
      <c r="CF500" s="247">
        <f t="shared" si="1367"/>
        <v>1.0318291449144458E-3</v>
      </c>
      <c r="CG500" s="196">
        <f t="shared" si="1316"/>
        <v>40695.599203402162</v>
      </c>
      <c r="CH500" s="589">
        <f t="shared" si="1383"/>
        <v>1.0370481613263399E-3</v>
      </c>
      <c r="CI500" s="196">
        <f t="shared" si="1349"/>
        <v>106582.00482726074</v>
      </c>
      <c r="CJ500" s="248">
        <f t="shared" si="1384"/>
        <v>1.7522078888192686E-3</v>
      </c>
      <c r="CK500" s="196">
        <f t="shared" si="1350"/>
        <v>86841.395682146613</v>
      </c>
      <c r="CL500" s="589">
        <f t="shared" si="1385"/>
        <v>1.248362925443867E-3</v>
      </c>
      <c r="CM500" s="196">
        <f t="shared" si="1351"/>
        <v>8412.7401794891612</v>
      </c>
      <c r="CN500" s="589">
        <f t="shared" si="1386"/>
        <v>1.2123714677208068E-3</v>
      </c>
      <c r="CO500" s="196">
        <f t="shared" si="1352"/>
        <v>673.0283154857791</v>
      </c>
      <c r="CP500" s="589">
        <f t="shared" si="1387"/>
        <v>1.2692277375614862E-3</v>
      </c>
      <c r="CQ500" s="196">
        <f>'Detailed Budget'!$AC$12</f>
        <v>292876014141.44696</v>
      </c>
      <c r="CR500" s="269">
        <f t="shared" si="1224"/>
        <v>950422532.1815871</v>
      </c>
      <c r="CS500" s="269">
        <f>'Detailed Budget'!$AC$16</f>
        <v>10488008800.000002</v>
      </c>
      <c r="CT500" s="607">
        <f t="shared" si="1318"/>
        <v>34035012.289936833</v>
      </c>
      <c r="CU500" s="269">
        <f>'Detailed Budget'!$AC$24</f>
        <v>30624985696</v>
      </c>
      <c r="CV500" s="269">
        <f t="shared" si="1250"/>
        <v>99382247.25757122</v>
      </c>
      <c r="CW500" s="269"/>
      <c r="CX500" s="269">
        <f t="shared" si="1379"/>
        <v>1083839791.729095</v>
      </c>
      <c r="CY500" s="196">
        <f>'Detailed Budget'!$AC$97</f>
        <v>74629165494.837845</v>
      </c>
      <c r="CZ500" s="269">
        <f t="shared" si="1319"/>
        <v>0</v>
      </c>
      <c r="DA500" s="269">
        <f>'Detailed Budget'!$AC$100</f>
        <v>14925833098.967569</v>
      </c>
      <c r="DB500" s="269">
        <f t="shared" si="1320"/>
        <v>0</v>
      </c>
      <c r="DC500" s="269">
        <f t="shared" si="1368"/>
        <v>0</v>
      </c>
      <c r="DD500" s="207">
        <v>0</v>
      </c>
      <c r="DE500" s="606">
        <v>0</v>
      </c>
      <c r="DF500" s="269">
        <f>'Detailed Budget'!$AC$147</f>
        <v>5913600671000</v>
      </c>
      <c r="DG500" s="269">
        <f t="shared" si="1230"/>
        <v>0</v>
      </c>
      <c r="DH500" s="269">
        <f>'Detailed Budget'!$AC$153</f>
        <v>226428026880.00003</v>
      </c>
      <c r="DI500" s="269"/>
      <c r="DJ500" s="269">
        <f>'Detailed Budget'!$AC$156</f>
        <v>27713070000</v>
      </c>
      <c r="DK500" s="269"/>
      <c r="DL500" s="269"/>
      <c r="DM500" s="196">
        <f>'Detailed Budget'!$AC$178</f>
        <v>5622683761.6229038</v>
      </c>
      <c r="DN500" s="269">
        <f t="shared" si="1353"/>
        <v>0</v>
      </c>
      <c r="DO500" s="196">
        <f>'Detailed Budget'!$AC$179</f>
        <v>26827890683.128094</v>
      </c>
      <c r="DP500" s="269">
        <f t="shared" si="1354"/>
        <v>0</v>
      </c>
      <c r="DQ500" s="269">
        <f t="shared" si="1388"/>
        <v>0</v>
      </c>
      <c r="DR500" s="269">
        <f>'Detailed Budget'!$AC$181</f>
        <v>50888946855.375237</v>
      </c>
      <c r="DS500" s="269">
        <f t="shared" si="1355"/>
        <v>0</v>
      </c>
      <c r="DT500" s="269">
        <f t="shared" si="1356"/>
        <v>0</v>
      </c>
      <c r="DU500" s="272">
        <f>'Detailed Budget'!$AC$192</f>
        <v>77498869683.252869</v>
      </c>
      <c r="DV500" s="269">
        <f t="shared" si="1321"/>
        <v>0</v>
      </c>
      <c r="DW500" s="140">
        <f>'Detailed Budget'!$AC$194</f>
        <v>2684962805.4134097</v>
      </c>
      <c r="DX500" s="269">
        <f t="shared" si="1322"/>
        <v>0</v>
      </c>
      <c r="DY500" s="607">
        <f t="shared" si="1369"/>
        <v>0</v>
      </c>
      <c r="DZ500" s="196">
        <f>'Detailed Budget'!$AC$198</f>
        <v>18732540018.380611</v>
      </c>
      <c r="EA500" s="269">
        <f t="shared" si="1323"/>
        <v>19328780.749241304</v>
      </c>
      <c r="EB500" s="196">
        <f>'Detailed Budget'!$AC$200</f>
        <v>4683135004.5951529</v>
      </c>
      <c r="EC500" s="269">
        <f t="shared" si="1324"/>
        <v>4832195.1873103259</v>
      </c>
      <c r="ED500" s="269">
        <f t="shared" si="1370"/>
        <v>24160975.93655163</v>
      </c>
      <c r="EE500" s="196">
        <f>'Detailed Budget'!$AC$161</f>
        <v>251147290106.36197</v>
      </c>
      <c r="EF500" s="269">
        <f t="shared" si="1325"/>
        <v>260451835.42689556</v>
      </c>
      <c r="EG500" s="196">
        <f>'Detailed Budget'!$AC$163</f>
        <v>15696705631.647623</v>
      </c>
      <c r="EH500" s="269">
        <f t="shared" si="1326"/>
        <v>16278239.714180972</v>
      </c>
      <c r="EI500" s="269">
        <f t="shared" si="1371"/>
        <v>276730075.14107651</v>
      </c>
      <c r="EJ500" s="196">
        <f>'Detailed Budget'!$AC$204</f>
        <v>45012172507.531975</v>
      </c>
      <c r="EK500" s="269">
        <f t="shared" si="1327"/>
        <v>78870683.760591328</v>
      </c>
      <c r="EL500" s="201">
        <f>'Detailed Budget'!$AC$206</f>
        <v>11253043126.882994</v>
      </c>
      <c r="EM500" s="269">
        <f t="shared" si="1328"/>
        <v>19717670.940147832</v>
      </c>
      <c r="EN500" s="269">
        <f t="shared" si="1372"/>
        <v>98588354.70073916</v>
      </c>
      <c r="EO500" s="140">
        <f>'Detailed Budget'!$AC$209</f>
        <v>135789361677.54817</v>
      </c>
      <c r="EP500" s="269">
        <f t="shared" si="1329"/>
        <v>169514404.78793937</v>
      </c>
      <c r="EQ500" s="196">
        <f>'Detailed Budget'!$AC$211</f>
        <v>33947340419.387043</v>
      </c>
      <c r="ER500" s="269">
        <f t="shared" si="1330"/>
        <v>42378601.196984842</v>
      </c>
      <c r="ES500" s="269">
        <f t="shared" si="1373"/>
        <v>211893005.9849242</v>
      </c>
      <c r="ET500" s="196">
        <f>'Detailed Budget'!$AC$214</f>
        <v>22239745544.201103</v>
      </c>
      <c r="EU500" s="269">
        <f t="shared" si="1331"/>
        <v>26962832.947160363</v>
      </c>
      <c r="EV500" s="140">
        <f>'Detailed Budget'!$AC$217</f>
        <v>5559936386.0502758</v>
      </c>
      <c r="EW500" s="269">
        <f t="shared" si="1332"/>
        <v>6740708.2367900908</v>
      </c>
      <c r="EX500" s="269">
        <f t="shared" si="1374"/>
        <v>33703541.183950454</v>
      </c>
      <c r="EY500" s="196">
        <f>'Detailed Budget'!$AC$219</f>
        <v>372777004.58170313</v>
      </c>
      <c r="EZ500" s="269">
        <f t="shared" si="1333"/>
        <v>473138.91414018284</v>
      </c>
      <c r="FA500" s="196">
        <f>'Detailed Budget'!$AC$222</f>
        <v>93194251.145425782</v>
      </c>
      <c r="FB500" s="269">
        <f t="shared" si="1334"/>
        <v>118284.72853504571</v>
      </c>
      <c r="FC500" s="269">
        <f t="shared" si="1375"/>
        <v>591423.64267522853</v>
      </c>
      <c r="FD500" s="269"/>
      <c r="FE500" s="269">
        <f t="shared" si="1376"/>
        <v>344776325.51228899</v>
      </c>
      <c r="FF500" s="140">
        <f>'Detailed Budget'!$AC$165</f>
        <v>14927760000</v>
      </c>
      <c r="FG500" s="1087">
        <f t="shared" si="1232"/>
        <v>470297730.07231855</v>
      </c>
      <c r="FH500" s="269">
        <f t="shared" si="1335"/>
        <v>20353723.440518126</v>
      </c>
      <c r="FJ500" s="140">
        <f>'Detailed Budget'!$AC$235</f>
        <v>3623696172</v>
      </c>
      <c r="FK500" s="269">
        <f t="shared" si="1336"/>
        <v>4681778</v>
      </c>
      <c r="FL500" s="269">
        <f t="shared" si="1235"/>
        <v>4681778</v>
      </c>
      <c r="FO500" s="607"/>
      <c r="FP500" s="607"/>
      <c r="FQ500" s="607"/>
      <c r="FR500" s="269">
        <f>'Detailed Budget'!$AC$257</f>
        <v>13636439388</v>
      </c>
      <c r="FS500" s="269">
        <f t="shared" si="1337"/>
        <v>17988048</v>
      </c>
      <c r="FT500" s="269">
        <f t="shared" si="1237"/>
        <v>17988048</v>
      </c>
      <c r="FU500" s="269"/>
      <c r="FV500" s="269"/>
      <c r="FW500" s="269"/>
      <c r="FX500" s="140">
        <f>'Detailed Budget'!$AC$278</f>
        <v>1114560000</v>
      </c>
      <c r="FY500" s="269">
        <f t="shared" si="1338"/>
        <v>1440000</v>
      </c>
      <c r="FZ500" s="269">
        <f t="shared" si="1239"/>
        <v>1440000</v>
      </c>
      <c r="GB500" s="269">
        <f t="shared" si="1264"/>
        <v>2244268447.8318486</v>
      </c>
      <c r="GC500" s="887">
        <f t="shared" si="1377"/>
        <v>1402667.7798949054</v>
      </c>
      <c r="GD500" s="1078">
        <f t="shared" si="1265"/>
        <v>1.2593296960786689E-3</v>
      </c>
    </row>
    <row r="501" spans="1:186" hidden="1" outlineLevel="1">
      <c r="A501" s="211" t="s">
        <v>1125</v>
      </c>
      <c r="B501" s="212" t="s">
        <v>1126</v>
      </c>
      <c r="C501" s="213" t="s">
        <v>215</v>
      </c>
      <c r="D501" s="214"/>
      <c r="E501" s="213"/>
      <c r="F501" s="213"/>
      <c r="G501" s="213"/>
      <c r="H501" s="213" t="s">
        <v>215</v>
      </c>
      <c r="I501" s="214" t="s">
        <v>215</v>
      </c>
      <c r="J501" s="214"/>
      <c r="K501" s="213"/>
      <c r="L501" s="213"/>
      <c r="M501" s="214"/>
      <c r="N501" s="213" t="s">
        <v>215</v>
      </c>
      <c r="O501" s="214"/>
      <c r="P501" s="213"/>
      <c r="Q501" s="214" t="s">
        <v>215</v>
      </c>
      <c r="R501" s="214"/>
      <c r="S501" s="214"/>
      <c r="T501" s="214"/>
      <c r="U501" s="215">
        <f t="shared" si="1339"/>
        <v>5</v>
      </c>
      <c r="V501" s="845" t="s">
        <v>1127</v>
      </c>
      <c r="W501" s="216">
        <v>431005</v>
      </c>
      <c r="X501" s="217">
        <v>2.8</v>
      </c>
      <c r="Y501" s="218">
        <f t="shared" si="1312"/>
        <v>1.028</v>
      </c>
      <c r="Z501" s="196">
        <v>19</v>
      </c>
      <c r="AA501" s="218">
        <f t="shared" si="1313"/>
        <v>1.6899318009047619</v>
      </c>
      <c r="AB501" s="196">
        <f t="shared" si="1291"/>
        <v>728369.05584895692</v>
      </c>
      <c r="AC501">
        <v>11.3</v>
      </c>
      <c r="AD501" s="196">
        <f t="shared" si="1292"/>
        <v>82305.703310932135</v>
      </c>
      <c r="AE501" s="196">
        <f t="shared" si="1314"/>
        <v>78190.418145385527</v>
      </c>
      <c r="AF501" s="196">
        <f t="shared" si="1340"/>
        <v>0</v>
      </c>
      <c r="AG501" s="606">
        <f t="shared" si="1380"/>
        <v>3.6151816726751628E-3</v>
      </c>
      <c r="AH501" s="196">
        <f t="shared" si="1357"/>
        <v>36418.452792447846</v>
      </c>
      <c r="AI501" s="248">
        <f t="shared" si="1359"/>
        <v>2.8212823584852467E-3</v>
      </c>
      <c r="AJ501" s="196">
        <f t="shared" si="1360"/>
        <v>118724.15610337998</v>
      </c>
      <c r="AK501" s="196">
        <f t="shared" si="1225"/>
        <v>29134.762233958278</v>
      </c>
      <c r="AL501" s="196">
        <f t="shared" si="1226"/>
        <v>29134.762233958278</v>
      </c>
      <c r="AM501" s="196">
        <f t="shared" si="1361"/>
        <v>58269.524467916555</v>
      </c>
      <c r="AN501" s="627">
        <f t="shared" si="1362"/>
        <v>2.8212823584852467E-3</v>
      </c>
      <c r="AO501" s="196">
        <f t="shared" si="1363"/>
        <v>27678.024122260362</v>
      </c>
      <c r="AP501" s="589">
        <f t="shared" si="1381"/>
        <v>2.8212823584852467E-3</v>
      </c>
      <c r="AQ501" s="196"/>
      <c r="AR501" s="589"/>
      <c r="AS501">
        <v>1</v>
      </c>
      <c r="AT501" s="589">
        <f t="shared" si="1382"/>
        <v>1.2919896640826874E-3</v>
      </c>
      <c r="AU501" s="196">
        <v>12</v>
      </c>
      <c r="AV501" s="245">
        <f t="shared" si="1364"/>
        <v>1.3634814225656176E-3</v>
      </c>
      <c r="AX501" s="245"/>
      <c r="AY501" s="245"/>
      <c r="AZ501" s="196">
        <v>40</v>
      </c>
      <c r="BA501" s="589">
        <f t="shared" si="1256"/>
        <v>1.4656846579458429E-3</v>
      </c>
      <c r="BI501" s="196">
        <v>0</v>
      </c>
      <c r="BJ501" s="196">
        <f t="shared" si="1341"/>
        <v>462960.13199691661</v>
      </c>
      <c r="BK501" s="246">
        <f t="shared" si="1257"/>
        <v>8.8283703956639811E-3</v>
      </c>
      <c r="BL501" s="196">
        <f t="shared" si="1358"/>
        <v>9259.2026399383321</v>
      </c>
      <c r="BM501" s="246">
        <f t="shared" si="1258"/>
        <v>8.828369385553916E-3</v>
      </c>
      <c r="BN501" s="196">
        <v>0</v>
      </c>
      <c r="BO501" s="196">
        <f t="shared" si="1342"/>
        <v>38468.619722118878</v>
      </c>
      <c r="BP501" s="196">
        <f t="shared" si="1365"/>
        <v>0</v>
      </c>
      <c r="BQ501" s="248">
        <f t="shared" si="1259"/>
        <v>0</v>
      </c>
      <c r="BR501" s="248"/>
      <c r="BS501" s="248"/>
      <c r="BT501" s="276">
        <v>0</v>
      </c>
      <c r="BU501" s="196">
        <f t="shared" si="1343"/>
        <v>0</v>
      </c>
      <c r="BV501" s="264">
        <f t="shared" si="1261"/>
        <v>0</v>
      </c>
      <c r="BW501" s="196">
        <f t="shared" si="1344"/>
        <v>0</v>
      </c>
      <c r="BX501" s="247">
        <f t="shared" si="1263"/>
        <v>0</v>
      </c>
      <c r="BY501" s="196">
        <f t="shared" si="1345"/>
        <v>0</v>
      </c>
      <c r="BZ501" s="620">
        <v>0</v>
      </c>
      <c r="CA501" s="196">
        <f t="shared" si="1346"/>
        <v>222880.93108978082</v>
      </c>
      <c r="CB501" s="196">
        <f t="shared" si="1347"/>
        <v>445761.86217956163</v>
      </c>
      <c r="CC501" s="196">
        <f t="shared" si="1378"/>
        <v>668642.79326934251</v>
      </c>
      <c r="CD501" s="247">
        <f t="shared" si="1366"/>
        <v>2.8212823584852472E-3</v>
      </c>
      <c r="CE501" s="196">
        <f t="shared" si="1348"/>
        <v>65004.212617478697</v>
      </c>
      <c r="CF501" s="247">
        <f t="shared" si="1367"/>
        <v>2.8070840603920412E-3</v>
      </c>
      <c r="CG501" s="196">
        <f t="shared" si="1316"/>
        <v>110712.09648904145</v>
      </c>
      <c r="CH501" s="589">
        <f t="shared" si="1383"/>
        <v>2.8212823584852467E-3</v>
      </c>
      <c r="CI501" s="196">
        <f t="shared" si="1349"/>
        <v>289955.60781532113</v>
      </c>
      <c r="CJ501" s="248">
        <f t="shared" si="1384"/>
        <v>4.7668694564792355E-3</v>
      </c>
      <c r="CK501" s="196">
        <f t="shared" si="1350"/>
        <v>236251.41701319578</v>
      </c>
      <c r="CL501" s="589">
        <f t="shared" si="1385"/>
        <v>3.396162714407929E-3</v>
      </c>
      <c r="CM501" s="196">
        <f t="shared" si="1351"/>
        <v>22886.801539242977</v>
      </c>
      <c r="CN501" s="589">
        <f t="shared" si="1386"/>
        <v>3.2982482023177972E-3</v>
      </c>
      <c r="CO501" s="196">
        <f t="shared" si="1352"/>
        <v>1830.9688826916042</v>
      </c>
      <c r="CP501" s="589">
        <f t="shared" si="1387"/>
        <v>3.4529252916302463E-3</v>
      </c>
      <c r="CQ501" s="196">
        <f>'Detailed Budget'!$AC$12</f>
        <v>292876014141.44696</v>
      </c>
      <c r="CR501" s="269">
        <f t="shared" si="1224"/>
        <v>2585617932.846416</v>
      </c>
      <c r="CS501" s="269">
        <f>'Detailed Budget'!$AC$16</f>
        <v>10488008800.000002</v>
      </c>
      <c r="CT501" s="607">
        <f t="shared" si="1318"/>
        <v>92592015.805340081</v>
      </c>
      <c r="CU501" s="269">
        <f>'Detailed Budget'!$AC$24</f>
        <v>30624985696</v>
      </c>
      <c r="CV501" s="269">
        <f t="shared" si="1250"/>
        <v>270368717.08619928</v>
      </c>
      <c r="CW501" s="269"/>
      <c r="CX501" s="269">
        <f t="shared" si="1379"/>
        <v>2948578665.7379556</v>
      </c>
      <c r="CY501" s="196">
        <f>'Detailed Budget'!$AC$97</f>
        <v>74629165494.837845</v>
      </c>
      <c r="CZ501" s="269">
        <f t="shared" si="1319"/>
        <v>0</v>
      </c>
      <c r="DA501" s="269">
        <f>'Detailed Budget'!$AC$100</f>
        <v>14925833098.967569</v>
      </c>
      <c r="DB501" s="269">
        <f t="shared" si="1320"/>
        <v>0</v>
      </c>
      <c r="DC501" s="269">
        <f t="shared" si="1368"/>
        <v>0</v>
      </c>
      <c r="DD501" s="207">
        <v>0</v>
      </c>
      <c r="DE501" s="606">
        <v>0</v>
      </c>
      <c r="DF501" s="269">
        <f>'Detailed Budget'!$AC$147</f>
        <v>5913600671000</v>
      </c>
      <c r="DG501" s="269">
        <f t="shared" si="1230"/>
        <v>0</v>
      </c>
      <c r="DH501" s="269">
        <f>'Detailed Budget'!$AC$153</f>
        <v>226428026880.00003</v>
      </c>
      <c r="DI501" s="269"/>
      <c r="DJ501" s="269">
        <f>'Detailed Budget'!$AC$156</f>
        <v>27713070000</v>
      </c>
      <c r="DK501" s="269"/>
      <c r="DL501" s="269"/>
      <c r="DM501" s="196">
        <f>'Detailed Budget'!$AC$178</f>
        <v>5622683761.6229038</v>
      </c>
      <c r="DN501" s="269">
        <f t="shared" si="1353"/>
        <v>0</v>
      </c>
      <c r="DO501" s="196">
        <f>'Detailed Budget'!$AC$179</f>
        <v>26827890683.128094</v>
      </c>
      <c r="DP501" s="269">
        <f t="shared" si="1354"/>
        <v>0</v>
      </c>
      <c r="DQ501" s="269">
        <f t="shared" si="1388"/>
        <v>0</v>
      </c>
      <c r="DR501" s="269">
        <f>'Detailed Budget'!$AC$181</f>
        <v>50888946855.375237</v>
      </c>
      <c r="DS501" s="269">
        <f t="shared" si="1355"/>
        <v>0</v>
      </c>
      <c r="DT501" s="269">
        <f t="shared" si="1356"/>
        <v>0</v>
      </c>
      <c r="DU501" s="272">
        <f>'Detailed Budget'!$AC$192</f>
        <v>77498869683.252869</v>
      </c>
      <c r="DV501" s="269">
        <f t="shared" si="1321"/>
        <v>0</v>
      </c>
      <c r="DW501" s="140">
        <f>'Detailed Budget'!$AC$194</f>
        <v>2684962805.4134097</v>
      </c>
      <c r="DX501" s="269">
        <f t="shared" si="1322"/>
        <v>0</v>
      </c>
      <c r="DY501" s="607">
        <f t="shared" si="1369"/>
        <v>0</v>
      </c>
      <c r="DZ501" s="196">
        <f>'Detailed Budget'!$AC$198</f>
        <v>18732540018.380611</v>
      </c>
      <c r="EA501" s="269">
        <f t="shared" si="1323"/>
        <v>52583814.496252246</v>
      </c>
      <c r="EB501" s="196">
        <f>'Detailed Budget'!$AC$200</f>
        <v>4683135004.5951529</v>
      </c>
      <c r="EC501" s="269">
        <f t="shared" si="1324"/>
        <v>13145953.624063062</v>
      </c>
      <c r="ED501" s="269">
        <f t="shared" si="1370"/>
        <v>65729768.120315306</v>
      </c>
      <c r="EE501" s="196">
        <f>'Detailed Budget'!$AC$161</f>
        <v>251147290106.36197</v>
      </c>
      <c r="EF501" s="269">
        <f t="shared" si="1325"/>
        <v>708557418.95845532</v>
      </c>
      <c r="EG501" s="196">
        <f>'Detailed Budget'!$AC$163</f>
        <v>15696705631.647623</v>
      </c>
      <c r="EH501" s="269">
        <f t="shared" si="1326"/>
        <v>44284838.684903458</v>
      </c>
      <c r="EI501" s="269">
        <f t="shared" si="1371"/>
        <v>752842257.64335883</v>
      </c>
      <c r="EJ501" s="196">
        <f>'Detailed Budget'!$AC$204</f>
        <v>45012172507.531975</v>
      </c>
      <c r="EK501" s="269">
        <f t="shared" si="1327"/>
        <v>214567150.29592854</v>
      </c>
      <c r="EL501" s="201">
        <f>'Detailed Budget'!$AC$206</f>
        <v>11253043126.882994</v>
      </c>
      <c r="EM501" s="269">
        <f t="shared" si="1328"/>
        <v>53641787.573982134</v>
      </c>
      <c r="EN501" s="269">
        <f t="shared" si="1372"/>
        <v>268208937.86991066</v>
      </c>
      <c r="EO501" s="140">
        <f>'Detailed Budget'!$AC$209</f>
        <v>135789361677.54817</v>
      </c>
      <c r="EP501" s="269">
        <f t="shared" si="1329"/>
        <v>461162767.142542</v>
      </c>
      <c r="EQ501" s="196">
        <f>'Detailed Budget'!$AC$211</f>
        <v>33947340419.387043</v>
      </c>
      <c r="ER501" s="269">
        <f t="shared" si="1330"/>
        <v>115290691.7856355</v>
      </c>
      <c r="ES501" s="269">
        <f t="shared" si="1373"/>
        <v>576453458.92817748</v>
      </c>
      <c r="ET501" s="196">
        <f>'Detailed Budget'!$AC$214</f>
        <v>22239745544.201103</v>
      </c>
      <c r="EU501" s="269">
        <f t="shared" si="1331"/>
        <v>73352200.761166528</v>
      </c>
      <c r="EV501" s="140">
        <f>'Detailed Budget'!$AC$217</f>
        <v>5559936386.0502758</v>
      </c>
      <c r="EW501" s="269">
        <f t="shared" si="1332"/>
        <v>18338050.190291632</v>
      </c>
      <c r="EX501" s="269">
        <f t="shared" si="1374"/>
        <v>91690250.951458156</v>
      </c>
      <c r="EY501" s="196">
        <f>'Detailed Budget'!$AC$219</f>
        <v>372777004.58170313</v>
      </c>
      <c r="EZ501" s="269">
        <f t="shared" si="1333"/>
        <v>1287171.1472583269</v>
      </c>
      <c r="FA501" s="196">
        <f>'Detailed Budget'!$AC$222</f>
        <v>93194251.145425782</v>
      </c>
      <c r="FB501" s="269">
        <f t="shared" si="1334"/>
        <v>321792.78681458172</v>
      </c>
      <c r="FC501" s="269">
        <f t="shared" si="1375"/>
        <v>1608963.9340729085</v>
      </c>
      <c r="FD501" s="269"/>
      <c r="FE501" s="269">
        <f t="shared" si="1376"/>
        <v>937961611.68361914</v>
      </c>
      <c r="FF501" s="140">
        <f>'Detailed Budget'!$AC$165</f>
        <v>14927760000</v>
      </c>
      <c r="FG501" s="1087">
        <f t="shared" si="1232"/>
        <v>1279441725.6299012</v>
      </c>
      <c r="FH501" s="269">
        <f t="shared" si="1335"/>
        <v>20353723.440518126</v>
      </c>
      <c r="FJ501" s="140">
        <f>'Detailed Budget'!$AC$235</f>
        <v>3623696172</v>
      </c>
      <c r="FK501" s="269">
        <f t="shared" si="1336"/>
        <v>4681778</v>
      </c>
      <c r="FL501" s="269">
        <f t="shared" si="1235"/>
        <v>4681778</v>
      </c>
      <c r="FO501" s="607"/>
      <c r="FP501" s="607"/>
      <c r="FQ501" s="607"/>
      <c r="FR501" s="269">
        <f>'Detailed Budget'!$AC$257</f>
        <v>13636439388</v>
      </c>
      <c r="FS501" s="269">
        <f t="shared" si="1337"/>
        <v>19986720</v>
      </c>
      <c r="FT501" s="269">
        <f t="shared" si="1237"/>
        <v>19986720</v>
      </c>
      <c r="FU501" s="269"/>
      <c r="FV501" s="269"/>
      <c r="FW501" s="269"/>
      <c r="FX501" s="140">
        <f>'Detailed Budget'!$AC$278</f>
        <v>1114560000</v>
      </c>
      <c r="FY501" s="269">
        <f t="shared" si="1338"/>
        <v>1440000</v>
      </c>
      <c r="FZ501" s="269">
        <f t="shared" si="1239"/>
        <v>1440000</v>
      </c>
      <c r="GB501" s="269">
        <f t="shared" si="1264"/>
        <v>6031016250.2556677</v>
      </c>
      <c r="GC501" s="887">
        <f t="shared" si="1377"/>
        <v>3769385.1564097921</v>
      </c>
      <c r="GD501" s="1078">
        <f t="shared" si="1265"/>
        <v>3.3841931293100993E-3</v>
      </c>
    </row>
    <row r="502" spans="1:186" hidden="1" outlineLevel="1">
      <c r="A502" s="211" t="s">
        <v>1128</v>
      </c>
      <c r="B502" s="212" t="s">
        <v>1129</v>
      </c>
      <c r="C502" s="213" t="s">
        <v>215</v>
      </c>
      <c r="D502" s="214"/>
      <c r="E502" s="213"/>
      <c r="F502" s="213"/>
      <c r="G502" s="213"/>
      <c r="H502" s="213" t="s">
        <v>215</v>
      </c>
      <c r="I502" s="214" t="s">
        <v>215</v>
      </c>
      <c r="J502" s="214"/>
      <c r="K502" s="213"/>
      <c r="L502" s="213"/>
      <c r="M502" s="214"/>
      <c r="N502" s="213" t="s">
        <v>215</v>
      </c>
      <c r="O502" s="214"/>
      <c r="P502" s="213"/>
      <c r="Q502" s="214" t="s">
        <v>215</v>
      </c>
      <c r="R502" s="214"/>
      <c r="S502" s="214"/>
      <c r="T502" s="214"/>
      <c r="U502" s="215">
        <f t="shared" si="1339"/>
        <v>5</v>
      </c>
      <c r="V502" s="845" t="s">
        <v>1127</v>
      </c>
      <c r="W502" s="216">
        <v>206816</v>
      </c>
      <c r="X502" s="217">
        <v>2.8</v>
      </c>
      <c r="Y502" s="218">
        <f t="shared" si="1312"/>
        <v>1.028</v>
      </c>
      <c r="Z502" s="196">
        <v>19</v>
      </c>
      <c r="AA502" s="218">
        <f t="shared" si="1313"/>
        <v>1.6899318009047619</v>
      </c>
      <c r="AB502" s="196">
        <f t="shared" si="1291"/>
        <v>349504.93533591926</v>
      </c>
      <c r="AC502">
        <v>11.3</v>
      </c>
      <c r="AD502" s="196">
        <f t="shared" si="1292"/>
        <v>39494.057692958879</v>
      </c>
      <c r="AE502" s="196">
        <f t="shared" si="1314"/>
        <v>37519.354808310934</v>
      </c>
      <c r="AF502" s="196">
        <f t="shared" si="1340"/>
        <v>0</v>
      </c>
      <c r="AG502" s="606">
        <f t="shared" si="1380"/>
        <v>1.7347302532824131E-3</v>
      </c>
      <c r="AH502" s="196">
        <f t="shared" si="1357"/>
        <v>17475.246766795965</v>
      </c>
      <c r="AI502" s="248">
        <f t="shared" si="1359"/>
        <v>1.3537808894386026E-3</v>
      </c>
      <c r="AJ502" s="196">
        <f t="shared" si="1360"/>
        <v>56969.304459754843</v>
      </c>
      <c r="AK502" s="196">
        <f t="shared" si="1225"/>
        <v>13980.19741343677</v>
      </c>
      <c r="AL502" s="196">
        <f t="shared" si="1226"/>
        <v>13980.19741343677</v>
      </c>
      <c r="AM502" s="196">
        <f t="shared" si="1361"/>
        <v>27960.39482687354</v>
      </c>
      <c r="AN502" s="627">
        <f t="shared" si="1362"/>
        <v>1.3537808894386024E-3</v>
      </c>
      <c r="AO502" s="196">
        <f t="shared" si="1363"/>
        <v>13281.187542764932</v>
      </c>
      <c r="AP502" s="589">
        <f t="shared" si="1381"/>
        <v>1.3537808894386024E-3</v>
      </c>
      <c r="AQ502" s="196"/>
      <c r="AR502" s="589"/>
      <c r="AS502">
        <v>1</v>
      </c>
      <c r="AT502" s="589">
        <f t="shared" si="1382"/>
        <v>1.2919896640826874E-3</v>
      </c>
      <c r="AU502" s="196">
        <v>12</v>
      </c>
      <c r="AV502" s="245">
        <f t="shared" si="1364"/>
        <v>1.3634814225656176E-3</v>
      </c>
      <c r="AX502" s="245"/>
      <c r="AY502" s="245"/>
      <c r="AZ502" s="196">
        <v>30</v>
      </c>
      <c r="BA502" s="589">
        <f t="shared" si="1256"/>
        <v>1.0992634934593821E-3</v>
      </c>
      <c r="BI502" s="196">
        <v>0</v>
      </c>
      <c r="BJ502" s="196">
        <f t="shared" si="1341"/>
        <v>222149.54039761561</v>
      </c>
      <c r="BK502" s="246">
        <f t="shared" si="1257"/>
        <v>4.236257704086129E-3</v>
      </c>
      <c r="BL502" s="196">
        <f t="shared" si="1358"/>
        <v>4442.990807952312</v>
      </c>
      <c r="BM502" s="246">
        <f t="shared" si="1258"/>
        <v>4.2362572193889135E-3</v>
      </c>
      <c r="BN502" s="196">
        <v>0</v>
      </c>
      <c r="BO502" s="196">
        <f t="shared" si="1342"/>
        <v>18459.011047319029</v>
      </c>
      <c r="BP502" s="196">
        <f t="shared" si="1365"/>
        <v>0</v>
      </c>
      <c r="BQ502" s="248">
        <f t="shared" si="1259"/>
        <v>0</v>
      </c>
      <c r="BR502" s="248"/>
      <c r="BS502" s="248"/>
      <c r="BT502" s="276">
        <v>0</v>
      </c>
      <c r="BU502" s="196">
        <f t="shared" si="1343"/>
        <v>0</v>
      </c>
      <c r="BV502" s="264">
        <f t="shared" si="1261"/>
        <v>0</v>
      </c>
      <c r="BW502" s="196">
        <f t="shared" si="1344"/>
        <v>0</v>
      </c>
      <c r="BX502" s="247">
        <f t="shared" si="1263"/>
        <v>0</v>
      </c>
      <c r="BY502" s="196">
        <f t="shared" si="1345"/>
        <v>0</v>
      </c>
      <c r="BZ502" s="620">
        <v>0</v>
      </c>
      <c r="CA502" s="196">
        <f t="shared" si="1346"/>
        <v>106948.5102127913</v>
      </c>
      <c r="CB502" s="196">
        <f t="shared" si="1347"/>
        <v>213897.0204255826</v>
      </c>
      <c r="CC502" s="196">
        <f t="shared" si="1378"/>
        <v>320845.53063837392</v>
      </c>
      <c r="CD502" s="247">
        <f t="shared" si="1366"/>
        <v>1.3537808894386026E-3</v>
      </c>
      <c r="CE502" s="196">
        <f t="shared" si="1348"/>
        <v>31192.007602455826</v>
      </c>
      <c r="CF502" s="247">
        <f t="shared" si="1367"/>
        <v>1.3469678937229042E-3</v>
      </c>
      <c r="CG502" s="196">
        <f t="shared" si="1316"/>
        <v>53124.750171059728</v>
      </c>
      <c r="CH502" s="589">
        <f t="shared" si="1383"/>
        <v>1.3537808894386024E-3</v>
      </c>
      <c r="CI502" s="196">
        <f t="shared" si="1349"/>
        <v>139134.02161444406</v>
      </c>
      <c r="CJ502" s="248">
        <f t="shared" si="1384"/>
        <v>2.2873629621726192E-3</v>
      </c>
      <c r="CK502" s="196">
        <f t="shared" si="1350"/>
        <v>113364.28361852208</v>
      </c>
      <c r="CL502" s="589">
        <f t="shared" si="1385"/>
        <v>1.6296348950545596E-3</v>
      </c>
      <c r="CM502" s="196">
        <f t="shared" si="1351"/>
        <v>10982.138831661063</v>
      </c>
      <c r="CN502" s="589">
        <f t="shared" si="1386"/>
        <v>1.582651013817839E-3</v>
      </c>
      <c r="CO502" s="196">
        <f t="shared" si="1352"/>
        <v>878.58298730350441</v>
      </c>
      <c r="CP502" s="589">
        <f t="shared" si="1387"/>
        <v>1.6568721873616344E-3</v>
      </c>
      <c r="CQ502" s="196">
        <f>'Detailed Budget'!$AC$12</f>
        <v>292876014141.44696</v>
      </c>
      <c r="CR502" s="269">
        <f t="shared" si="1224"/>
        <v>1240698271.2487428</v>
      </c>
      <c r="CS502" s="269">
        <f>'Detailed Budget'!$AC$16</f>
        <v>10488008800.000002</v>
      </c>
      <c r="CT502" s="607">
        <f t="shared" si="1318"/>
        <v>44429902.996014461</v>
      </c>
      <c r="CU502" s="269">
        <f>'Detailed Budget'!$AC$24</f>
        <v>30624985696</v>
      </c>
      <c r="CV502" s="269">
        <f t="shared" si="1250"/>
        <v>129735331.59220751</v>
      </c>
      <c r="CW502" s="269"/>
      <c r="CX502" s="269">
        <f t="shared" si="1379"/>
        <v>1414863505.8369646</v>
      </c>
      <c r="CY502" s="196">
        <f>'Detailed Budget'!$AC$97</f>
        <v>74629165494.837845</v>
      </c>
      <c r="CZ502" s="269">
        <f t="shared" si="1319"/>
        <v>0</v>
      </c>
      <c r="DA502" s="269">
        <f>'Detailed Budget'!$AC$100</f>
        <v>14925833098.967569</v>
      </c>
      <c r="DB502" s="269">
        <f t="shared" si="1320"/>
        <v>0</v>
      </c>
      <c r="DC502" s="269">
        <f t="shared" si="1368"/>
        <v>0</v>
      </c>
      <c r="DD502" s="207">
        <v>0</v>
      </c>
      <c r="DE502" s="606">
        <v>0</v>
      </c>
      <c r="DF502" s="269">
        <f>'Detailed Budget'!$AC$147</f>
        <v>5913600671000</v>
      </c>
      <c r="DG502" s="269">
        <f t="shared" si="1230"/>
        <v>0</v>
      </c>
      <c r="DH502" s="269">
        <f>'Detailed Budget'!$AC$153</f>
        <v>226428026880.00003</v>
      </c>
      <c r="DI502" s="269"/>
      <c r="DJ502" s="269">
        <f>'Detailed Budget'!$AC$156</f>
        <v>27713070000</v>
      </c>
      <c r="DK502" s="269"/>
      <c r="DL502" s="269"/>
      <c r="DM502" s="196">
        <f>'Detailed Budget'!$AC$178</f>
        <v>5622683761.6229038</v>
      </c>
      <c r="DN502" s="269">
        <f t="shared" si="1353"/>
        <v>0</v>
      </c>
      <c r="DO502" s="196">
        <f>'Detailed Budget'!$AC$179</f>
        <v>26827890683.128094</v>
      </c>
      <c r="DP502" s="269">
        <f t="shared" si="1354"/>
        <v>0</v>
      </c>
      <c r="DQ502" s="269">
        <f t="shared" si="1388"/>
        <v>0</v>
      </c>
      <c r="DR502" s="269">
        <f>'Detailed Budget'!$AC$181</f>
        <v>50888946855.375237</v>
      </c>
      <c r="DS502" s="269">
        <f t="shared" si="1355"/>
        <v>0</v>
      </c>
      <c r="DT502" s="269">
        <f t="shared" si="1356"/>
        <v>0</v>
      </c>
      <c r="DU502" s="272">
        <f>'Detailed Budget'!$AC$192</f>
        <v>77498869683.252869</v>
      </c>
      <c r="DV502" s="269">
        <f t="shared" si="1321"/>
        <v>0</v>
      </c>
      <c r="DW502" s="140">
        <f>'Detailed Budget'!$AC$194</f>
        <v>2684962805.4134097</v>
      </c>
      <c r="DX502" s="269">
        <f t="shared" si="1322"/>
        <v>0</v>
      </c>
      <c r="DY502" s="607">
        <f t="shared" si="1369"/>
        <v>0</v>
      </c>
      <c r="DZ502" s="196">
        <f>'Detailed Budget'!$AC$198</f>
        <v>18732540018.380611</v>
      </c>
      <c r="EA502" s="269">
        <f t="shared" si="1323"/>
        <v>25232129.972638145</v>
      </c>
      <c r="EB502" s="196">
        <f>'Detailed Budget'!$AC$200</f>
        <v>4683135004.5951529</v>
      </c>
      <c r="EC502" s="269">
        <f t="shared" si="1324"/>
        <v>6308032.4931595363</v>
      </c>
      <c r="ED502" s="269">
        <f t="shared" si="1370"/>
        <v>31540162.465797681</v>
      </c>
      <c r="EE502" s="196">
        <f>'Detailed Budget'!$AC$161</f>
        <v>251147290106.36197</v>
      </c>
      <c r="EF502" s="269">
        <f t="shared" si="1325"/>
        <v>339998401.78028542</v>
      </c>
      <c r="EG502" s="196">
        <f>'Detailed Budget'!$AC$163</f>
        <v>15696705631.647623</v>
      </c>
      <c r="EH502" s="269">
        <f t="shared" si="1326"/>
        <v>21249900.111267839</v>
      </c>
      <c r="EI502" s="269">
        <f t="shared" si="1371"/>
        <v>361248301.89155328</v>
      </c>
      <c r="EJ502" s="196">
        <f>'Detailed Budget'!$AC$204</f>
        <v>45012172507.531975</v>
      </c>
      <c r="EK502" s="269">
        <f t="shared" si="1327"/>
        <v>102959176.24065328</v>
      </c>
      <c r="EL502" s="201">
        <f>'Detailed Budget'!$AC$206</f>
        <v>11253043126.882994</v>
      </c>
      <c r="EM502" s="269">
        <f t="shared" si="1328"/>
        <v>25739794.060163319</v>
      </c>
      <c r="EN502" s="269">
        <f t="shared" si="1372"/>
        <v>128698970.3008166</v>
      </c>
      <c r="EO502" s="140">
        <f>'Detailed Budget'!$AC$209</f>
        <v>135789361677.54817</v>
      </c>
      <c r="EP502" s="269">
        <f t="shared" si="1329"/>
        <v>221287082.16691685</v>
      </c>
      <c r="EQ502" s="196">
        <f>'Detailed Budget'!$AC$211</f>
        <v>33947340419.387043</v>
      </c>
      <c r="ER502" s="269">
        <f t="shared" si="1330"/>
        <v>55321770.541729212</v>
      </c>
      <c r="ES502" s="269">
        <f t="shared" si="1373"/>
        <v>276608852.70864606</v>
      </c>
      <c r="ET502" s="196">
        <f>'Detailed Budget'!$AC$214</f>
        <v>22239745544.201103</v>
      </c>
      <c r="EU502" s="269">
        <f t="shared" si="1331"/>
        <v>35197755.832580641</v>
      </c>
      <c r="EV502" s="140">
        <f>'Detailed Budget'!$AC$217</f>
        <v>5559936386.0502758</v>
      </c>
      <c r="EW502" s="269">
        <f t="shared" si="1332"/>
        <v>8799438.9581451602</v>
      </c>
      <c r="EX502" s="269">
        <f t="shared" si="1374"/>
        <v>43997194.790725797</v>
      </c>
      <c r="EY502" s="196">
        <f>'Detailed Budget'!$AC$219</f>
        <v>372777004.58170313</v>
      </c>
      <c r="EZ502" s="269">
        <f t="shared" si="1333"/>
        <v>617643.85097940452</v>
      </c>
      <c r="FA502" s="196">
        <f>'Detailed Budget'!$AC$222</f>
        <v>93194251.145425782</v>
      </c>
      <c r="FB502" s="269">
        <f t="shared" si="1334"/>
        <v>154410.96274485113</v>
      </c>
      <c r="FC502" s="269">
        <f t="shared" si="1375"/>
        <v>772054.81372425565</v>
      </c>
      <c r="FD502" s="269"/>
      <c r="FE502" s="269">
        <f t="shared" si="1376"/>
        <v>450077072.6139127</v>
      </c>
      <c r="FF502" s="140">
        <f>'Detailed Budget'!$AC$165</f>
        <v>14927760000</v>
      </c>
      <c r="FG502" s="1087">
        <f t="shared" si="1232"/>
        <v>613934919.38115275</v>
      </c>
      <c r="FH502" s="269">
        <f t="shared" si="1335"/>
        <v>20353723.440518126</v>
      </c>
      <c r="FJ502" s="140">
        <f>'Detailed Budget'!$AC$235</f>
        <v>3623696172</v>
      </c>
      <c r="FK502" s="269">
        <f t="shared" si="1336"/>
        <v>4681778</v>
      </c>
      <c r="FL502" s="269">
        <f t="shared" si="1235"/>
        <v>4681778</v>
      </c>
      <c r="FO502" s="607"/>
      <c r="FP502" s="607"/>
      <c r="FQ502" s="607"/>
      <c r="FR502" s="269">
        <f>'Detailed Budget'!$AC$257</f>
        <v>13636439388</v>
      </c>
      <c r="FS502" s="269">
        <f t="shared" si="1337"/>
        <v>14990039.999999998</v>
      </c>
      <c r="FT502" s="269">
        <f t="shared" si="1237"/>
        <v>14990039.999999998</v>
      </c>
      <c r="FU502" s="269"/>
      <c r="FV502" s="269"/>
      <c r="FW502" s="269"/>
      <c r="FX502" s="140">
        <f>'Detailed Budget'!$AC$278</f>
        <v>1114560000</v>
      </c>
      <c r="FY502" s="269">
        <f t="shared" si="1338"/>
        <v>1440000</v>
      </c>
      <c r="FZ502" s="269">
        <f t="shared" si="1239"/>
        <v>1440000</v>
      </c>
      <c r="GB502" s="269">
        <f t="shared" si="1264"/>
        <v>2913129503.6298985</v>
      </c>
      <c r="GC502" s="887">
        <f t="shared" si="1377"/>
        <v>1820705.9397686867</v>
      </c>
      <c r="GD502" s="1078">
        <f t="shared" si="1265"/>
        <v>1.6346486963216052E-3</v>
      </c>
    </row>
    <row r="503" spans="1:186" hidden="1" outlineLevel="1">
      <c r="A503" s="211" t="s">
        <v>1130</v>
      </c>
      <c r="B503" s="212" t="s">
        <v>1131</v>
      </c>
      <c r="C503" s="213" t="s">
        <v>215</v>
      </c>
      <c r="D503" s="214"/>
      <c r="E503" s="213"/>
      <c r="F503" s="213"/>
      <c r="G503" s="213"/>
      <c r="H503" s="213" t="s">
        <v>215</v>
      </c>
      <c r="I503" s="214" t="s">
        <v>215</v>
      </c>
      <c r="J503" s="214"/>
      <c r="K503" s="213"/>
      <c r="L503" s="213"/>
      <c r="M503" s="214" t="s">
        <v>215</v>
      </c>
      <c r="N503" s="213"/>
      <c r="O503" s="214"/>
      <c r="P503" s="213"/>
      <c r="Q503" s="214"/>
      <c r="R503" s="214" t="s">
        <v>215</v>
      </c>
      <c r="S503" s="214"/>
      <c r="T503" s="214"/>
      <c r="U503" s="215">
        <f t="shared" si="1339"/>
        <v>5</v>
      </c>
      <c r="V503" s="845" t="s">
        <v>467</v>
      </c>
      <c r="W503" s="216">
        <v>302277</v>
      </c>
      <c r="X503" s="217">
        <v>2.8</v>
      </c>
      <c r="Y503" s="218">
        <f t="shared" si="1312"/>
        <v>1.028</v>
      </c>
      <c r="Z503" s="196">
        <v>19</v>
      </c>
      <c r="AA503" s="218">
        <f t="shared" si="1313"/>
        <v>1.6899318009047619</v>
      </c>
      <c r="AB503" s="196">
        <f t="shared" si="1291"/>
        <v>510827.5149820887</v>
      </c>
      <c r="AC503">
        <v>11.3</v>
      </c>
      <c r="AD503" s="196">
        <f t="shared" si="1292"/>
        <v>57723.509192976031</v>
      </c>
      <c r="AE503" s="196">
        <f t="shared" si="1314"/>
        <v>54837.333733327228</v>
      </c>
      <c r="AF503" s="196">
        <f t="shared" si="1340"/>
        <v>0</v>
      </c>
      <c r="AG503" s="606">
        <f t="shared" si="1380"/>
        <v>2.5354375714231395E-3</v>
      </c>
      <c r="AH503" s="196">
        <f t="shared" si="1357"/>
        <v>25541.375749104438</v>
      </c>
      <c r="AI503" s="248">
        <f t="shared" si="1359"/>
        <v>1.9786516803188942E-3</v>
      </c>
      <c r="AJ503" s="196">
        <f t="shared" si="1360"/>
        <v>83264.884942080476</v>
      </c>
      <c r="AK503" s="196">
        <f t="shared" si="1225"/>
        <v>20433.100599283549</v>
      </c>
      <c r="AL503" s="196">
        <f t="shared" si="1226"/>
        <v>20433.100599283549</v>
      </c>
      <c r="AM503" s="196">
        <f t="shared" si="1361"/>
        <v>40866.201198567098</v>
      </c>
      <c r="AN503" s="627">
        <f t="shared" si="1362"/>
        <v>1.9786516803188942E-3</v>
      </c>
      <c r="AO503" s="196">
        <f t="shared" si="1363"/>
        <v>19411.44556931937</v>
      </c>
      <c r="AP503" s="589">
        <f t="shared" si="1381"/>
        <v>1.9786516803188938E-3</v>
      </c>
      <c r="AQ503" s="196"/>
      <c r="AR503" s="589"/>
      <c r="AS503">
        <v>1</v>
      </c>
      <c r="AT503" s="589">
        <f t="shared" si="1382"/>
        <v>1.2919896640826874E-3</v>
      </c>
      <c r="AU503" s="196">
        <v>20</v>
      </c>
      <c r="AV503" s="245">
        <f t="shared" si="1364"/>
        <v>2.2724690376093627E-3</v>
      </c>
      <c r="AX503" s="245"/>
      <c r="AY503" s="245"/>
      <c r="AZ503" s="196">
        <v>31</v>
      </c>
      <c r="BA503" s="589">
        <f t="shared" si="1256"/>
        <v>1.1359056099080284E-3</v>
      </c>
      <c r="BI503" s="196">
        <v>0</v>
      </c>
      <c r="BJ503" s="196">
        <f t="shared" si="1341"/>
        <v>324688.11224842392</v>
      </c>
      <c r="BK503" s="246">
        <f t="shared" si="1257"/>
        <v>6.1916064038471039E-3</v>
      </c>
      <c r="BL503" s="196">
        <f t="shared" si="1358"/>
        <v>6493.7622449684786</v>
      </c>
      <c r="BM503" s="246">
        <f t="shared" si="1258"/>
        <v>6.1916056954259948E-3</v>
      </c>
      <c r="BN503" s="196">
        <v>0</v>
      </c>
      <c r="BO503" s="196">
        <f t="shared" si="1342"/>
        <v>26979.220574570892</v>
      </c>
      <c r="BP503" s="196">
        <f t="shared" si="1365"/>
        <v>0</v>
      </c>
      <c r="BQ503" s="248">
        <f t="shared" si="1259"/>
        <v>0</v>
      </c>
      <c r="BR503" s="248"/>
      <c r="BS503" s="248"/>
      <c r="BT503" s="276">
        <v>0</v>
      </c>
      <c r="BU503" s="196">
        <f t="shared" si="1343"/>
        <v>0</v>
      </c>
      <c r="BV503" s="264">
        <f t="shared" si="1261"/>
        <v>0</v>
      </c>
      <c r="BW503" s="196">
        <f t="shared" si="1344"/>
        <v>0</v>
      </c>
      <c r="BX503" s="247">
        <f t="shared" si="1263"/>
        <v>0</v>
      </c>
      <c r="BY503" s="196">
        <f t="shared" si="1345"/>
        <v>0</v>
      </c>
      <c r="BZ503" s="620">
        <v>0</v>
      </c>
      <c r="CA503" s="196">
        <f t="shared" si="1346"/>
        <v>156313.21958451916</v>
      </c>
      <c r="CB503" s="196">
        <f t="shared" si="1347"/>
        <v>312626.43916903832</v>
      </c>
      <c r="CC503" s="196">
        <f t="shared" si="1378"/>
        <v>468939.65875355748</v>
      </c>
      <c r="CD503" s="247">
        <f t="shared" si="1366"/>
        <v>1.9786516803188942E-3</v>
      </c>
      <c r="CE503" s="196">
        <f t="shared" si="1348"/>
        <v>45589.444153486867</v>
      </c>
      <c r="CF503" s="247">
        <f t="shared" si="1367"/>
        <v>1.9686939792418301E-3</v>
      </c>
      <c r="CG503" s="196">
        <f t="shared" si="1316"/>
        <v>77645.782277277482</v>
      </c>
      <c r="CH503" s="589">
        <f t="shared" si="1383"/>
        <v>1.9786516803188938E-3</v>
      </c>
      <c r="CI503" s="196">
        <f t="shared" si="1349"/>
        <v>203354.74359599501</v>
      </c>
      <c r="CJ503" s="248">
        <f t="shared" si="1384"/>
        <v>3.3431514685355714E-3</v>
      </c>
      <c r="CK503" s="196">
        <f t="shared" si="1350"/>
        <v>165690.3506467391</v>
      </c>
      <c r="CL503" s="589">
        <f t="shared" si="1385"/>
        <v>2.381832871597976E-3</v>
      </c>
      <c r="CM503" s="196">
        <f t="shared" si="1351"/>
        <v>16051.214507668705</v>
      </c>
      <c r="CN503" s="589">
        <f t="shared" si="1386"/>
        <v>2.3131624270066866E-3</v>
      </c>
      <c r="CO503" s="196">
        <f t="shared" si="1352"/>
        <v>1284.1145252453455</v>
      </c>
      <c r="CP503" s="589">
        <f t="shared" si="1387"/>
        <v>2.4216422045640214E-3</v>
      </c>
      <c r="CQ503" s="196">
        <f>'Detailed Budget'!$AC$12</f>
        <v>292876014141.44696</v>
      </c>
      <c r="CR503" s="269">
        <f t="shared" si="1224"/>
        <v>1813373004.6913979</v>
      </c>
      <c r="CS503" s="269">
        <f>'Detailed Budget'!$AC$16</f>
        <v>10488008800.000002</v>
      </c>
      <c r="CT503" s="607">
        <f t="shared" si="1318"/>
        <v>64937615.019757964</v>
      </c>
      <c r="CU503" s="269">
        <f>'Detailed Budget'!$AC$24</f>
        <v>30624985696</v>
      </c>
      <c r="CV503" s="269">
        <f t="shared" si="1250"/>
        <v>189617857.55307955</v>
      </c>
      <c r="CW503" s="269"/>
      <c r="CX503" s="269">
        <f t="shared" si="1379"/>
        <v>2067928477.2642355</v>
      </c>
      <c r="CY503" s="196">
        <f>'Detailed Budget'!$AC$97</f>
        <v>74629165494.837845</v>
      </c>
      <c r="CZ503" s="269">
        <f t="shared" si="1319"/>
        <v>0</v>
      </c>
      <c r="DA503" s="269">
        <f>'Detailed Budget'!$AC$100</f>
        <v>14925833098.967569</v>
      </c>
      <c r="DB503" s="269">
        <f t="shared" si="1320"/>
        <v>0</v>
      </c>
      <c r="DC503" s="269">
        <f t="shared" si="1368"/>
        <v>0</v>
      </c>
      <c r="DD503" s="207">
        <v>0</v>
      </c>
      <c r="DE503" s="606">
        <v>0</v>
      </c>
      <c r="DF503" s="269">
        <f>'Detailed Budget'!$AC$147</f>
        <v>5913600671000</v>
      </c>
      <c r="DG503" s="269">
        <f t="shared" si="1230"/>
        <v>0</v>
      </c>
      <c r="DH503" s="269">
        <f>'Detailed Budget'!$AC$153</f>
        <v>226428026880.00003</v>
      </c>
      <c r="DI503" s="269"/>
      <c r="DJ503" s="269">
        <f>'Detailed Budget'!$AC$156</f>
        <v>27713070000</v>
      </c>
      <c r="DK503" s="269"/>
      <c r="DL503" s="269"/>
      <c r="DM503" s="196">
        <f>'Detailed Budget'!$AC$178</f>
        <v>5622683761.6229038</v>
      </c>
      <c r="DN503" s="269">
        <f t="shared" si="1353"/>
        <v>0</v>
      </c>
      <c r="DO503" s="196">
        <f>'Detailed Budget'!$AC$179</f>
        <v>26827890683.128094</v>
      </c>
      <c r="DP503" s="269">
        <f t="shared" si="1354"/>
        <v>0</v>
      </c>
      <c r="DQ503" s="269">
        <f t="shared" si="1388"/>
        <v>0</v>
      </c>
      <c r="DR503" s="269">
        <f>'Detailed Budget'!$AC$181</f>
        <v>50888946855.375237</v>
      </c>
      <c r="DS503" s="269">
        <f t="shared" si="1355"/>
        <v>0</v>
      </c>
      <c r="DT503" s="269">
        <f t="shared" si="1356"/>
        <v>0</v>
      </c>
      <c r="DU503" s="272">
        <f>'Detailed Budget'!$AC$192</f>
        <v>77498869683.252869</v>
      </c>
      <c r="DV503" s="269">
        <f t="shared" si="1321"/>
        <v>0</v>
      </c>
      <c r="DW503" s="140">
        <f>'Detailed Budget'!$AC$194</f>
        <v>2684962805.4134097</v>
      </c>
      <c r="DX503" s="269">
        <f t="shared" si="1322"/>
        <v>0</v>
      </c>
      <c r="DY503" s="607">
        <f t="shared" si="1369"/>
        <v>0</v>
      </c>
      <c r="DZ503" s="196">
        <f>'Detailed Budget'!$AC$198</f>
        <v>18732540018.380611</v>
      </c>
      <c r="EA503" s="269">
        <f t="shared" si="1323"/>
        <v>36878638.750092551</v>
      </c>
      <c r="EB503" s="196">
        <f>'Detailed Budget'!$AC$200</f>
        <v>4683135004.5951529</v>
      </c>
      <c r="EC503" s="269">
        <f t="shared" si="1324"/>
        <v>9219659.6875231378</v>
      </c>
      <c r="ED503" s="269">
        <f t="shared" si="1370"/>
        <v>46098298.437615693</v>
      </c>
      <c r="EE503" s="196">
        <f>'Detailed Budget'!$AC$161</f>
        <v>251147290106.36197</v>
      </c>
      <c r="EF503" s="269">
        <f t="shared" si="1325"/>
        <v>496933007.57648981</v>
      </c>
      <c r="EG503" s="196">
        <f>'Detailed Budget'!$AC$163</f>
        <v>15696705631.647623</v>
      </c>
      <c r="EH503" s="269">
        <f t="shared" si="1326"/>
        <v>31058312.973530613</v>
      </c>
      <c r="EI503" s="269">
        <f t="shared" si="1371"/>
        <v>527991320.5500204</v>
      </c>
      <c r="EJ503" s="196">
        <f>'Detailed Budget'!$AC$204</f>
        <v>45012172507.531975</v>
      </c>
      <c r="EK503" s="269">
        <f t="shared" si="1327"/>
        <v>150482510.62053201</v>
      </c>
      <c r="EL503" s="201">
        <f>'Detailed Budget'!$AC$206</f>
        <v>11253043126.882994</v>
      </c>
      <c r="EM503" s="269">
        <f t="shared" si="1328"/>
        <v>37620627.655133002</v>
      </c>
      <c r="EN503" s="269">
        <f t="shared" si="1372"/>
        <v>188103138.27566501</v>
      </c>
      <c r="EO503" s="140">
        <f>'Detailed Budget'!$AC$209</f>
        <v>135789361677.54817</v>
      </c>
      <c r="EP503" s="269">
        <f t="shared" si="1329"/>
        <v>323427565.25689071</v>
      </c>
      <c r="EQ503" s="196">
        <f>'Detailed Budget'!$AC$211</f>
        <v>33947340419.387043</v>
      </c>
      <c r="ER503" s="269">
        <f t="shared" si="1330"/>
        <v>80856891.314222679</v>
      </c>
      <c r="ES503" s="269">
        <f t="shared" si="1373"/>
        <v>404284456.57111341</v>
      </c>
      <c r="ET503" s="196">
        <f>'Detailed Budget'!$AC$214</f>
        <v>22239745544.201103</v>
      </c>
      <c r="EU503" s="269">
        <f t="shared" si="1331"/>
        <v>51444143.779035367</v>
      </c>
      <c r="EV503" s="140">
        <f>'Detailed Budget'!$AC$217</f>
        <v>5559936386.0502758</v>
      </c>
      <c r="EW503" s="269">
        <f t="shared" si="1332"/>
        <v>12861035.944758842</v>
      </c>
      <c r="EX503" s="269">
        <f t="shared" si="1374"/>
        <v>64305179.723794207</v>
      </c>
      <c r="EY503" s="196">
        <f>'Detailed Budget'!$AC$219</f>
        <v>372777004.58170313</v>
      </c>
      <c r="EZ503" s="269">
        <f t="shared" si="1333"/>
        <v>902732.52718600782</v>
      </c>
      <c r="FA503" s="196">
        <f>'Detailed Budget'!$AC$222</f>
        <v>93194251.145425782</v>
      </c>
      <c r="FB503" s="269">
        <f t="shared" si="1334"/>
        <v>225683.13179650196</v>
      </c>
      <c r="FC503" s="269">
        <f t="shared" si="1375"/>
        <v>1128415.6589825097</v>
      </c>
      <c r="FD503" s="269"/>
      <c r="FE503" s="269">
        <f t="shared" si="1376"/>
        <v>657821190.22955513</v>
      </c>
      <c r="FF503" s="140">
        <f>'Detailed Budget'!$AC$165</f>
        <v>14927760000</v>
      </c>
      <c r="FG503" s="1087">
        <f t="shared" si="1232"/>
        <v>897311647.19256103</v>
      </c>
      <c r="FH503" s="269">
        <f t="shared" si="1335"/>
        <v>33922872.400863543</v>
      </c>
      <c r="FJ503" s="140">
        <f>'Detailed Budget'!$AC$235</f>
        <v>3623696172</v>
      </c>
      <c r="FK503" s="269">
        <f t="shared" si="1336"/>
        <v>4681778</v>
      </c>
      <c r="FL503" s="269">
        <f t="shared" si="1235"/>
        <v>4681778</v>
      </c>
      <c r="FO503" s="607"/>
      <c r="FP503" s="607"/>
      <c r="FQ503" s="607"/>
      <c r="FR503" s="269">
        <f>'Detailed Budget'!$AC$257</f>
        <v>13636439388</v>
      </c>
      <c r="FS503" s="269">
        <f t="shared" si="1337"/>
        <v>15489708.000000002</v>
      </c>
      <c r="FT503" s="269">
        <f t="shared" si="1237"/>
        <v>15489708.000000002</v>
      </c>
      <c r="FU503" s="269"/>
      <c r="FV503" s="269"/>
      <c r="FW503" s="269"/>
      <c r="FX503" s="140">
        <f>'Detailed Budget'!$AC$278</f>
        <v>1114560000</v>
      </c>
      <c r="FY503" s="269">
        <f t="shared" si="1338"/>
        <v>1440000</v>
      </c>
      <c r="FZ503" s="269">
        <f t="shared" si="1239"/>
        <v>1440000</v>
      </c>
      <c r="GB503" s="269">
        <f t="shared" si="1264"/>
        <v>4252685292.0748515</v>
      </c>
      <c r="GC503" s="887">
        <f t="shared" si="1377"/>
        <v>2657928.3075467823</v>
      </c>
      <c r="GD503" s="1078">
        <f t="shared" si="1265"/>
        <v>2.3863156306282085E-3</v>
      </c>
    </row>
    <row r="504" spans="1:186" hidden="1" outlineLevel="1">
      <c r="A504" s="211" t="s">
        <v>1132</v>
      </c>
      <c r="B504" s="212" t="s">
        <v>1133</v>
      </c>
      <c r="C504" s="213" t="s">
        <v>215</v>
      </c>
      <c r="D504" s="214"/>
      <c r="E504" s="213"/>
      <c r="F504" s="213"/>
      <c r="G504" s="213"/>
      <c r="H504" s="213" t="s">
        <v>215</v>
      </c>
      <c r="I504" s="214" t="s">
        <v>215</v>
      </c>
      <c r="J504" s="214"/>
      <c r="K504" s="213"/>
      <c r="L504" s="213"/>
      <c r="M504" s="214" t="s">
        <v>215</v>
      </c>
      <c r="N504" s="213"/>
      <c r="O504" s="214"/>
      <c r="P504" s="213"/>
      <c r="Q504" s="214"/>
      <c r="R504" s="214" t="s">
        <v>215</v>
      </c>
      <c r="S504" s="214"/>
      <c r="T504" s="214"/>
      <c r="U504" s="215">
        <f t="shared" si="1339"/>
        <v>5</v>
      </c>
      <c r="V504" s="845" t="s">
        <v>467</v>
      </c>
      <c r="W504" s="216">
        <v>148394</v>
      </c>
      <c r="X504" s="217">
        <v>2.8</v>
      </c>
      <c r="Y504" s="218">
        <f t="shared" si="1312"/>
        <v>1.028</v>
      </c>
      <c r="Z504" s="196">
        <v>19</v>
      </c>
      <c r="AA504" s="218">
        <f t="shared" si="1313"/>
        <v>1.6899318009047619</v>
      </c>
      <c r="AB504" s="196">
        <f t="shared" si="1291"/>
        <v>250775.73966346125</v>
      </c>
      <c r="AC504">
        <v>11.3</v>
      </c>
      <c r="AD504" s="196">
        <f t="shared" si="1292"/>
        <v>28337.658581971122</v>
      </c>
      <c r="AE504" s="196">
        <f t="shared" si="1314"/>
        <v>26920.775652872566</v>
      </c>
      <c r="AF504" s="196">
        <f t="shared" si="1340"/>
        <v>0</v>
      </c>
      <c r="AG504" s="606">
        <f t="shared" si="1380"/>
        <v>1.2446984817692558E-3</v>
      </c>
      <c r="AH504" s="196">
        <f t="shared" si="1357"/>
        <v>12538.786983173064</v>
      </c>
      <c r="AI504" s="248">
        <f t="shared" si="1359"/>
        <v>9.7136082946847437E-4</v>
      </c>
      <c r="AJ504" s="196">
        <f t="shared" si="1360"/>
        <v>40876.445565144182</v>
      </c>
      <c r="AK504" s="196">
        <f t="shared" si="1225"/>
        <v>10031.029586538451</v>
      </c>
      <c r="AL504" s="196">
        <f t="shared" si="1226"/>
        <v>10031.029586538451</v>
      </c>
      <c r="AM504" s="196">
        <f t="shared" si="1361"/>
        <v>20062.059173076901</v>
      </c>
      <c r="AN504" s="627">
        <f t="shared" si="1362"/>
        <v>9.7136082946847426E-4</v>
      </c>
      <c r="AO504" s="196">
        <f t="shared" si="1363"/>
        <v>9529.4781072115275</v>
      </c>
      <c r="AP504" s="589">
        <f t="shared" si="1381"/>
        <v>9.7136082946847415E-4</v>
      </c>
      <c r="AQ504" s="196"/>
      <c r="AR504" s="589"/>
      <c r="AS504">
        <v>1</v>
      </c>
      <c r="AT504" s="589">
        <f t="shared" si="1382"/>
        <v>1.2919896640826874E-3</v>
      </c>
      <c r="AU504" s="196">
        <v>18</v>
      </c>
      <c r="AV504" s="245">
        <f t="shared" si="1364"/>
        <v>2.0452221338484265E-3</v>
      </c>
      <c r="AX504" s="245"/>
      <c r="AY504" s="245"/>
      <c r="AZ504" s="196">
        <v>28</v>
      </c>
      <c r="BA504" s="589">
        <f t="shared" si="1256"/>
        <v>1.0259792605620901E-3</v>
      </c>
      <c r="BI504" s="196">
        <v>0</v>
      </c>
      <c r="BJ504" s="196">
        <f t="shared" si="1341"/>
        <v>159396.07621152993</v>
      </c>
      <c r="BK504" s="246">
        <f t="shared" si="1257"/>
        <v>3.0395870036175015E-3</v>
      </c>
      <c r="BL504" s="196">
        <f t="shared" si="1358"/>
        <v>3187.9215242305986</v>
      </c>
      <c r="BM504" s="246">
        <f t="shared" si="1258"/>
        <v>3.0395866558389998E-3</v>
      </c>
      <c r="BN504" s="196">
        <v>0</v>
      </c>
      <c r="BO504" s="196">
        <f t="shared" si="1342"/>
        <v>13244.654598076841</v>
      </c>
      <c r="BP504" s="196">
        <f t="shared" si="1365"/>
        <v>0</v>
      </c>
      <c r="BQ504" s="248">
        <f t="shared" si="1259"/>
        <v>0</v>
      </c>
      <c r="BR504" s="248"/>
      <c r="BS504" s="248"/>
      <c r="BT504" s="276">
        <v>0</v>
      </c>
      <c r="BU504" s="196">
        <f t="shared" si="1343"/>
        <v>0</v>
      </c>
      <c r="BV504" s="264">
        <f t="shared" si="1261"/>
        <v>0</v>
      </c>
      <c r="BW504" s="196">
        <f t="shared" si="1344"/>
        <v>0</v>
      </c>
      <c r="BX504" s="247">
        <f t="shared" si="1263"/>
        <v>0</v>
      </c>
      <c r="BY504" s="196">
        <f t="shared" si="1345"/>
        <v>0</v>
      </c>
      <c r="BZ504" s="620">
        <v>0</v>
      </c>
      <c r="CA504" s="196">
        <f t="shared" si="1346"/>
        <v>76737.376337019145</v>
      </c>
      <c r="CB504" s="196">
        <f t="shared" si="1347"/>
        <v>153474.75267403829</v>
      </c>
      <c r="CC504" s="196">
        <f t="shared" si="1378"/>
        <v>230212.12901105743</v>
      </c>
      <c r="CD504" s="247">
        <f t="shared" si="1366"/>
        <v>9.7136082946847426E-4</v>
      </c>
      <c r="CE504" s="196">
        <f t="shared" si="1348"/>
        <v>22380.796341476627</v>
      </c>
      <c r="CF504" s="247">
        <f t="shared" si="1367"/>
        <v>9.6647238908554786E-4</v>
      </c>
      <c r="CG504" s="196">
        <f t="shared" si="1316"/>
        <v>38117.91242884611</v>
      </c>
      <c r="CH504" s="589">
        <f t="shared" si="1383"/>
        <v>9.7136082946847415E-4</v>
      </c>
      <c r="CI504" s="196">
        <f t="shared" si="1349"/>
        <v>99831.028563814267</v>
      </c>
      <c r="CJ504" s="248">
        <f t="shared" si="1384"/>
        <v>1.6412218561844519E-3</v>
      </c>
      <c r="CK504" s="196">
        <f t="shared" si="1350"/>
        <v>81340.802951836245</v>
      </c>
      <c r="CL504" s="589">
        <f t="shared" si="1385"/>
        <v>1.1692907735220016E-3</v>
      </c>
      <c r="CM504" s="196">
        <f t="shared" si="1351"/>
        <v>7879.8715272779264</v>
      </c>
      <c r="CN504" s="589">
        <f t="shared" si="1386"/>
        <v>1.1355790390708861E-3</v>
      </c>
      <c r="CO504" s="196">
        <f t="shared" si="1352"/>
        <v>630.39824683736379</v>
      </c>
      <c r="CP504" s="589">
        <f t="shared" si="1387"/>
        <v>1.1888339943299472E-3</v>
      </c>
      <c r="CQ504" s="196">
        <f>'Detailed Budget'!$AC$12</f>
        <v>292876014141.44696</v>
      </c>
      <c r="CR504" s="269">
        <f t="shared" si="1224"/>
        <v>890222126.25563776</v>
      </c>
      <c r="CS504" s="269">
        <f>'Detailed Budget'!$AC$16</f>
        <v>10488008800.000002</v>
      </c>
      <c r="CT504" s="607">
        <f t="shared" si="1318"/>
        <v>31879211.594802007</v>
      </c>
      <c r="CU504" s="269">
        <f>'Detailed Budget'!$AC$24</f>
        <v>30624985696</v>
      </c>
      <c r="CV504" s="269">
        <f t="shared" si="1250"/>
        <v>93087308.507533491</v>
      </c>
      <c r="CW504" s="269"/>
      <c r="CX504" s="269">
        <f t="shared" si="1379"/>
        <v>1015188646.3579733</v>
      </c>
      <c r="CY504" s="196">
        <f>'Detailed Budget'!$AC$97</f>
        <v>74629165494.837845</v>
      </c>
      <c r="CZ504" s="269">
        <f t="shared" si="1319"/>
        <v>0</v>
      </c>
      <c r="DA504" s="269">
        <f>'Detailed Budget'!$AC$100</f>
        <v>14925833098.967569</v>
      </c>
      <c r="DB504" s="269">
        <f t="shared" si="1320"/>
        <v>0</v>
      </c>
      <c r="DC504" s="269">
        <f t="shared" si="1368"/>
        <v>0</v>
      </c>
      <c r="DD504" s="207">
        <v>0</v>
      </c>
      <c r="DE504" s="606">
        <v>0</v>
      </c>
      <c r="DF504" s="269">
        <f>'Detailed Budget'!$AC$147</f>
        <v>5913600671000</v>
      </c>
      <c r="DG504" s="269">
        <f t="shared" si="1230"/>
        <v>0</v>
      </c>
      <c r="DH504" s="269">
        <f>'Detailed Budget'!$AC$153</f>
        <v>226428026880.00003</v>
      </c>
      <c r="DI504" s="269"/>
      <c r="DJ504" s="269">
        <f>'Detailed Budget'!$AC$156</f>
        <v>27713070000</v>
      </c>
      <c r="DK504" s="269"/>
      <c r="DL504" s="269"/>
      <c r="DM504" s="196">
        <f>'Detailed Budget'!$AC$178</f>
        <v>5622683761.6229038</v>
      </c>
      <c r="DN504" s="269">
        <f t="shared" si="1353"/>
        <v>0</v>
      </c>
      <c r="DO504" s="196">
        <f>'Detailed Budget'!$AC$179</f>
        <v>26827890683.128094</v>
      </c>
      <c r="DP504" s="269">
        <f t="shared" si="1354"/>
        <v>0</v>
      </c>
      <c r="DQ504" s="269">
        <f t="shared" si="1388"/>
        <v>0</v>
      </c>
      <c r="DR504" s="269">
        <f>'Detailed Budget'!$AC$181</f>
        <v>50888946855.375237</v>
      </c>
      <c r="DS504" s="269">
        <f t="shared" si="1355"/>
        <v>0</v>
      </c>
      <c r="DT504" s="269">
        <f t="shared" si="1356"/>
        <v>0</v>
      </c>
      <c r="DU504" s="272">
        <f>'Detailed Budget'!$AC$192</f>
        <v>77498869683.252869</v>
      </c>
      <c r="DV504" s="269">
        <f t="shared" si="1321"/>
        <v>0</v>
      </c>
      <c r="DW504" s="140">
        <f>'Detailed Budget'!$AC$194</f>
        <v>2684962805.4134097</v>
      </c>
      <c r="DX504" s="269">
        <f t="shared" si="1322"/>
        <v>0</v>
      </c>
      <c r="DY504" s="607">
        <f t="shared" si="1369"/>
        <v>0</v>
      </c>
      <c r="DZ504" s="196">
        <f>'Detailed Budget'!$AC$198</f>
        <v>18732540018.380611</v>
      </c>
      <c r="EA504" s="269">
        <f t="shared" si="1323"/>
        <v>18104482.705204941</v>
      </c>
      <c r="EB504" s="196">
        <f>'Detailed Budget'!$AC$200</f>
        <v>4683135004.5951529</v>
      </c>
      <c r="EC504" s="269">
        <f t="shared" si="1324"/>
        <v>4526120.6763012353</v>
      </c>
      <c r="ED504" s="269">
        <f t="shared" si="1370"/>
        <v>22630603.381506175</v>
      </c>
      <c r="EE504" s="196">
        <f>'Detailed Budget'!$AC$161</f>
        <v>251147290106.36197</v>
      </c>
      <c r="EF504" s="269">
        <f t="shared" si="1325"/>
        <v>243954640.03647527</v>
      </c>
      <c r="EG504" s="196">
        <f>'Detailed Budget'!$AC$163</f>
        <v>15696705631.647623</v>
      </c>
      <c r="EH504" s="269">
        <f t="shared" si="1326"/>
        <v>15247165.002279704</v>
      </c>
      <c r="EI504" s="269">
        <f t="shared" si="1371"/>
        <v>259201805.03875497</v>
      </c>
      <c r="EJ504" s="196">
        <f>'Detailed Budget'!$AC$204</f>
        <v>45012172507.531975</v>
      </c>
      <c r="EK504" s="269">
        <f t="shared" si="1327"/>
        <v>73874961.313706383</v>
      </c>
      <c r="EL504" s="201">
        <f>'Detailed Budget'!$AC$206</f>
        <v>11253043126.882994</v>
      </c>
      <c r="EM504" s="269">
        <f t="shared" si="1328"/>
        <v>18468740.328426596</v>
      </c>
      <c r="EN504" s="269">
        <f t="shared" si="1372"/>
        <v>92343701.642132983</v>
      </c>
      <c r="EO504" s="140">
        <f>'Detailed Budget'!$AC$209</f>
        <v>135789361677.54817</v>
      </c>
      <c r="EP504" s="269">
        <f t="shared" si="1329"/>
        <v>158777247.75199914</v>
      </c>
      <c r="EQ504" s="196">
        <f>'Detailed Budget'!$AC$211</f>
        <v>33947340419.387043</v>
      </c>
      <c r="ER504" s="269">
        <f t="shared" si="1330"/>
        <v>39694311.937999785</v>
      </c>
      <c r="ES504" s="269">
        <f t="shared" si="1373"/>
        <v>198471559.68999892</v>
      </c>
      <c r="ET504" s="196">
        <f>'Detailed Budget'!$AC$214</f>
        <v>22239745544.201103</v>
      </c>
      <c r="EU504" s="269">
        <f t="shared" si="1331"/>
        <v>25254988.874264911</v>
      </c>
      <c r="EV504" s="140">
        <f>'Detailed Budget'!$AC$217</f>
        <v>5559936386.0502758</v>
      </c>
      <c r="EW504" s="269">
        <f t="shared" si="1332"/>
        <v>6313747.2185662277</v>
      </c>
      <c r="EX504" s="269">
        <f t="shared" si="1374"/>
        <v>31568736.092831139</v>
      </c>
      <c r="EY504" s="196">
        <f>'Detailed Budget'!$AC$219</f>
        <v>372777004.58170313</v>
      </c>
      <c r="EZ504" s="269">
        <f t="shared" si="1333"/>
        <v>443169.97535121912</v>
      </c>
      <c r="FA504" s="196">
        <f>'Detailed Budget'!$AC$222</f>
        <v>93194251.145425782</v>
      </c>
      <c r="FB504" s="269">
        <f t="shared" si="1334"/>
        <v>110792.49383780478</v>
      </c>
      <c r="FC504" s="269">
        <f t="shared" si="1375"/>
        <v>553962.46918902395</v>
      </c>
      <c r="FD504" s="269"/>
      <c r="FE504" s="269">
        <f t="shared" si="1376"/>
        <v>322937959.8941521</v>
      </c>
      <c r="FF504" s="140">
        <f>'Detailed Budget'!$AC$165</f>
        <v>14927760000</v>
      </c>
      <c r="FG504" s="1087">
        <f t="shared" si="1232"/>
        <v>440508753.80360699</v>
      </c>
      <c r="FH504" s="269">
        <f t="shared" si="1335"/>
        <v>30530585.160777185</v>
      </c>
      <c r="FJ504" s="140">
        <f>'Detailed Budget'!$AC$235</f>
        <v>3623696172</v>
      </c>
      <c r="FK504" s="269">
        <f t="shared" si="1336"/>
        <v>4681778</v>
      </c>
      <c r="FL504" s="269">
        <f t="shared" si="1235"/>
        <v>4681778</v>
      </c>
      <c r="FO504" s="607"/>
      <c r="FP504" s="607"/>
      <c r="FQ504" s="607"/>
      <c r="FR504" s="269">
        <f>'Detailed Budget'!$AC$257</f>
        <v>13636439388</v>
      </c>
      <c r="FS504" s="269">
        <f t="shared" si="1337"/>
        <v>13990704</v>
      </c>
      <c r="FT504" s="269">
        <f t="shared" si="1237"/>
        <v>13990704</v>
      </c>
      <c r="FU504" s="269"/>
      <c r="FV504" s="269"/>
      <c r="FW504" s="269"/>
      <c r="FX504" s="140">
        <f>'Detailed Budget'!$AC$278</f>
        <v>1114560000</v>
      </c>
      <c r="FY504" s="269">
        <f t="shared" si="1338"/>
        <v>1440000</v>
      </c>
      <c r="FZ504" s="269">
        <f t="shared" si="1239"/>
        <v>1440000</v>
      </c>
      <c r="GB504" s="269">
        <f t="shared" si="1264"/>
        <v>2111110835.6367707</v>
      </c>
      <c r="GC504" s="887">
        <f t="shared" si="1377"/>
        <v>1319444.2722729817</v>
      </c>
      <c r="GD504" s="1078">
        <f t="shared" si="1265"/>
        <v>1.1846107668622508E-3</v>
      </c>
    </row>
    <row r="505" spans="1:186" hidden="1" outlineLevel="1">
      <c r="A505" s="211" t="s">
        <v>1134</v>
      </c>
      <c r="B505" s="212" t="s">
        <v>1135</v>
      </c>
      <c r="C505" s="213" t="s">
        <v>215</v>
      </c>
      <c r="D505" s="214"/>
      <c r="E505" s="213"/>
      <c r="F505" s="213"/>
      <c r="G505" s="213"/>
      <c r="H505" s="213" t="s">
        <v>215</v>
      </c>
      <c r="I505" s="214" t="s">
        <v>215</v>
      </c>
      <c r="J505" s="214"/>
      <c r="K505" s="213"/>
      <c r="L505" s="213"/>
      <c r="M505" s="214"/>
      <c r="N505" s="213" t="s">
        <v>215</v>
      </c>
      <c r="O505" s="214"/>
      <c r="P505" s="213"/>
      <c r="Q505" s="214"/>
      <c r="R505" s="214" t="s">
        <v>215</v>
      </c>
      <c r="S505" s="214"/>
      <c r="T505" s="214"/>
      <c r="U505" s="215">
        <f t="shared" si="1339"/>
        <v>5</v>
      </c>
      <c r="V505" s="845" t="s">
        <v>467</v>
      </c>
      <c r="W505" s="216">
        <v>155443</v>
      </c>
      <c r="X505" s="217">
        <v>2.8</v>
      </c>
      <c r="Y505" s="218">
        <f t="shared" si="1312"/>
        <v>1.028</v>
      </c>
      <c r="Z505" s="196">
        <v>19</v>
      </c>
      <c r="AA505" s="218">
        <f t="shared" si="1313"/>
        <v>1.6899318009047619</v>
      </c>
      <c r="AB505" s="196">
        <f t="shared" ref="AB505:AB538" si="1389">W505*AA505</f>
        <v>262688.06892803893</v>
      </c>
      <c r="AC505">
        <v>11.3</v>
      </c>
      <c r="AD505" s="196">
        <f t="shared" ref="AD505:AD538" si="1390">AB505*AC505/100</f>
        <v>29683.751788868401</v>
      </c>
      <c r="AE505" s="196">
        <f t="shared" si="1314"/>
        <v>28199.564199424982</v>
      </c>
      <c r="AF505" s="196">
        <f t="shared" si="1340"/>
        <v>0</v>
      </c>
      <c r="AG505" s="606">
        <f t="shared" si="1380"/>
        <v>1.3038240501749292E-3</v>
      </c>
      <c r="AH505" s="196">
        <f t="shared" si="1357"/>
        <v>13134.403446401948</v>
      </c>
      <c r="AI505" s="248">
        <f t="shared" si="1359"/>
        <v>1.0175023344277266E-3</v>
      </c>
      <c r="AJ505" s="196">
        <f t="shared" si="1360"/>
        <v>42818.155235270351</v>
      </c>
      <c r="AK505" s="196">
        <f t="shared" si="1225"/>
        <v>10507.522757121558</v>
      </c>
      <c r="AL505" s="196">
        <f t="shared" si="1226"/>
        <v>10507.522757121558</v>
      </c>
      <c r="AM505" s="196">
        <f t="shared" si="1361"/>
        <v>21015.045514243116</v>
      </c>
      <c r="AN505" s="627">
        <f t="shared" si="1362"/>
        <v>1.0175023344277266E-3</v>
      </c>
      <c r="AO505" s="196">
        <f t="shared" si="1363"/>
        <v>9982.1466192654789</v>
      </c>
      <c r="AP505" s="589">
        <f t="shared" si="1381"/>
        <v>1.0175023344277264E-3</v>
      </c>
      <c r="AQ505" s="196"/>
      <c r="AR505" s="589"/>
      <c r="AS505">
        <v>1</v>
      </c>
      <c r="AT505" s="589">
        <f t="shared" si="1382"/>
        <v>1.2919896640826874E-3</v>
      </c>
      <c r="AU505" s="196">
        <v>10</v>
      </c>
      <c r="AV505" s="245">
        <f t="shared" si="1364"/>
        <v>1.1362345188046814E-3</v>
      </c>
      <c r="AX505" s="245"/>
      <c r="AY505" s="245"/>
      <c r="AZ505" s="196">
        <v>36</v>
      </c>
      <c r="BA505" s="589">
        <f t="shared" si="1256"/>
        <v>1.3191161921512586E-3</v>
      </c>
      <c r="BI505" s="196">
        <v>0</v>
      </c>
      <c r="BJ505" s="196">
        <f t="shared" si="1341"/>
        <v>166967.69596175617</v>
      </c>
      <c r="BK505" s="246">
        <f t="shared" si="1257"/>
        <v>3.183973224007138E-3</v>
      </c>
      <c r="BL505" s="196">
        <f t="shared" si="1358"/>
        <v>3339.3539192351232</v>
      </c>
      <c r="BM505" s="246">
        <f t="shared" si="1258"/>
        <v>3.1839728597084891E-3</v>
      </c>
      <c r="BN505" s="196">
        <v>0</v>
      </c>
      <c r="BO505" s="196">
        <f t="shared" si="1342"/>
        <v>13873.801128676756</v>
      </c>
      <c r="BP505" s="196">
        <f t="shared" si="1365"/>
        <v>0</v>
      </c>
      <c r="BQ505" s="248">
        <f t="shared" si="1259"/>
        <v>0</v>
      </c>
      <c r="BR505" s="248"/>
      <c r="BS505" s="248"/>
      <c r="BT505" s="276">
        <v>0</v>
      </c>
      <c r="BU505" s="196">
        <f t="shared" si="1343"/>
        <v>0</v>
      </c>
      <c r="BV505" s="264">
        <f t="shared" si="1261"/>
        <v>0</v>
      </c>
      <c r="BW505" s="196">
        <f t="shared" si="1344"/>
        <v>0</v>
      </c>
      <c r="BX505" s="247">
        <f t="shared" si="1263"/>
        <v>0</v>
      </c>
      <c r="BY505" s="196">
        <f t="shared" si="1345"/>
        <v>0</v>
      </c>
      <c r="BZ505" s="620">
        <v>0</v>
      </c>
      <c r="CA505" s="196">
        <f t="shared" si="1346"/>
        <v>80382.549091979919</v>
      </c>
      <c r="CB505" s="196">
        <f t="shared" si="1347"/>
        <v>160765.09818395984</v>
      </c>
      <c r="CC505" s="196">
        <f t="shared" si="1378"/>
        <v>241147.64727593976</v>
      </c>
      <c r="CD505" s="247">
        <f t="shared" si="1366"/>
        <v>1.0175023344277266E-3</v>
      </c>
      <c r="CE505" s="196">
        <f t="shared" si="1348"/>
        <v>23443.927151422238</v>
      </c>
      <c r="CF505" s="247">
        <f t="shared" si="1367"/>
        <v>1.0123816837380544E-3</v>
      </c>
      <c r="CG505" s="196">
        <f t="shared" si="1316"/>
        <v>39928.586477061916</v>
      </c>
      <c r="CH505" s="589">
        <f t="shared" si="1383"/>
        <v>1.0175023344277264E-3</v>
      </c>
      <c r="CI505" s="196">
        <f t="shared" si="1349"/>
        <v>104573.1941523578</v>
      </c>
      <c r="CJ505" s="248">
        <f t="shared" si="1384"/>
        <v>1.7191830464228998E-3</v>
      </c>
      <c r="CK505" s="196">
        <f t="shared" si="1350"/>
        <v>85204.647312170855</v>
      </c>
      <c r="CL505" s="589">
        <f t="shared" si="1385"/>
        <v>1.2248343309606891E-3</v>
      </c>
      <c r="CM505" s="196">
        <f t="shared" si="1351"/>
        <v>8254.1805586119572</v>
      </c>
      <c r="CN505" s="589">
        <f t="shared" si="1386"/>
        <v>1.1895212243776417E-3</v>
      </c>
      <c r="CO505" s="196">
        <f t="shared" si="1352"/>
        <v>660.34337428157698</v>
      </c>
      <c r="CP505" s="589">
        <f t="shared" si="1387"/>
        <v>1.2453058922909954E-3</v>
      </c>
      <c r="CQ505" s="196">
        <f>'Detailed Budget'!$AC$12</f>
        <v>292876014141.44696</v>
      </c>
      <c r="CR505" s="269">
        <f t="shared" si="1224"/>
        <v>932509386.98030305</v>
      </c>
      <c r="CS505" s="269">
        <f>'Detailed Budget'!$AC$16</f>
        <v>10488008800.000002</v>
      </c>
      <c r="CT505" s="607">
        <f t="shared" si="1318"/>
        <v>33393535.371583804</v>
      </c>
      <c r="CU505" s="269">
        <f>'Detailed Budget'!$AC$24</f>
        <v>30624985696</v>
      </c>
      <c r="CV505" s="269">
        <f t="shared" si="1250"/>
        <v>97509134.441665605</v>
      </c>
      <c r="CW505" s="269"/>
      <c r="CX505" s="269">
        <f t="shared" si="1379"/>
        <v>1063412056.7935525</v>
      </c>
      <c r="CY505" s="196">
        <f>'Detailed Budget'!$AC$97</f>
        <v>74629165494.837845</v>
      </c>
      <c r="CZ505" s="269">
        <f t="shared" si="1319"/>
        <v>0</v>
      </c>
      <c r="DA505" s="269">
        <f>'Detailed Budget'!$AC$100</f>
        <v>14925833098.967569</v>
      </c>
      <c r="DB505" s="269">
        <f t="shared" si="1320"/>
        <v>0</v>
      </c>
      <c r="DC505" s="269">
        <f t="shared" si="1368"/>
        <v>0</v>
      </c>
      <c r="DD505" s="207">
        <v>0</v>
      </c>
      <c r="DE505" s="606">
        <v>0</v>
      </c>
      <c r="DF505" s="269">
        <f>'Detailed Budget'!$AC$147</f>
        <v>5913600671000</v>
      </c>
      <c r="DG505" s="269">
        <f t="shared" si="1230"/>
        <v>0</v>
      </c>
      <c r="DH505" s="269">
        <f>'Detailed Budget'!$AC$153</f>
        <v>226428026880.00003</v>
      </c>
      <c r="DI505" s="269"/>
      <c r="DJ505" s="269">
        <f>'Detailed Budget'!$AC$156</f>
        <v>27713070000</v>
      </c>
      <c r="DK505" s="269"/>
      <c r="DL505" s="269"/>
      <c r="DM505" s="196">
        <f>'Detailed Budget'!$AC$178</f>
        <v>5622683761.6229038</v>
      </c>
      <c r="DN505" s="269">
        <f t="shared" si="1353"/>
        <v>0</v>
      </c>
      <c r="DO505" s="196">
        <f>'Detailed Budget'!$AC$179</f>
        <v>26827890683.128094</v>
      </c>
      <c r="DP505" s="269">
        <f t="shared" si="1354"/>
        <v>0</v>
      </c>
      <c r="DQ505" s="269">
        <f t="shared" si="1388"/>
        <v>0</v>
      </c>
      <c r="DR505" s="269">
        <f>'Detailed Budget'!$AC$181</f>
        <v>50888946855.375237</v>
      </c>
      <c r="DS505" s="269">
        <f t="shared" si="1355"/>
        <v>0</v>
      </c>
      <c r="DT505" s="269">
        <f t="shared" si="1356"/>
        <v>0</v>
      </c>
      <c r="DU505" s="272">
        <f>'Detailed Budget'!$AC$192</f>
        <v>77498869683.252869</v>
      </c>
      <c r="DV505" s="269">
        <f t="shared" si="1321"/>
        <v>0</v>
      </c>
      <c r="DW505" s="140">
        <f>'Detailed Budget'!$AC$194</f>
        <v>2684962805.4134097</v>
      </c>
      <c r="DX505" s="269">
        <f t="shared" si="1322"/>
        <v>0</v>
      </c>
      <c r="DY505" s="607">
        <f t="shared" si="1369"/>
        <v>0</v>
      </c>
      <c r="DZ505" s="196">
        <f>'Detailed Budget'!$AC$198</f>
        <v>18732540018.380611</v>
      </c>
      <c r="EA505" s="269">
        <f t="shared" si="1323"/>
        <v>18964480.404498648</v>
      </c>
      <c r="EB505" s="196">
        <f>'Detailed Budget'!$AC$200</f>
        <v>4683135004.5951529</v>
      </c>
      <c r="EC505" s="269">
        <f t="shared" si="1324"/>
        <v>4741120.101124662</v>
      </c>
      <c r="ED505" s="269">
        <f t="shared" si="1370"/>
        <v>23705600.505623311</v>
      </c>
      <c r="EE505" s="196">
        <f>'Detailed Budget'!$AC$161</f>
        <v>251147290106.36197</v>
      </c>
      <c r="EF505" s="269">
        <f t="shared" si="1325"/>
        <v>255542953.96842074</v>
      </c>
      <c r="EG505" s="196">
        <f>'Detailed Budget'!$AC$163</f>
        <v>15696705631.647623</v>
      </c>
      <c r="EH505" s="269">
        <f t="shared" si="1326"/>
        <v>15971434.623026296</v>
      </c>
      <c r="EI505" s="269">
        <f t="shared" si="1371"/>
        <v>271514388.59144706</v>
      </c>
      <c r="EJ505" s="196">
        <f>'Detailed Budget'!$AC$204</f>
        <v>45012172507.531975</v>
      </c>
      <c r="EK505" s="269">
        <f t="shared" si="1327"/>
        <v>77384163.857611924</v>
      </c>
      <c r="EL505" s="201">
        <f>'Detailed Budget'!$AC$206</f>
        <v>11253043126.882994</v>
      </c>
      <c r="EM505" s="269">
        <f t="shared" si="1328"/>
        <v>19346040.964402981</v>
      </c>
      <c r="EN505" s="269">
        <f t="shared" si="1372"/>
        <v>96730204.822014898</v>
      </c>
      <c r="EO505" s="140">
        <f>'Detailed Budget'!$AC$209</f>
        <v>135789361677.54817</v>
      </c>
      <c r="EP505" s="269">
        <f t="shared" si="1329"/>
        <v>166319471.96189874</v>
      </c>
      <c r="EQ505" s="196">
        <f>'Detailed Budget'!$AC$211</f>
        <v>33947340419.387043</v>
      </c>
      <c r="ER505" s="269">
        <f t="shared" si="1330"/>
        <v>41579867.990474686</v>
      </c>
      <c r="ES505" s="269">
        <f t="shared" si="1373"/>
        <v>207899339.95237345</v>
      </c>
      <c r="ET505" s="196">
        <f>'Detailed Budget'!$AC$214</f>
        <v>22239745544.201103</v>
      </c>
      <c r="EU505" s="269">
        <f t="shared" si="1331"/>
        <v>26454649.349585298</v>
      </c>
      <c r="EV505" s="140">
        <f>'Detailed Budget'!$AC$217</f>
        <v>5559936386.0502758</v>
      </c>
      <c r="EW505" s="269">
        <f t="shared" si="1332"/>
        <v>6613662.3373963246</v>
      </c>
      <c r="EX505" s="269">
        <f t="shared" si="1374"/>
        <v>33068311.686981622</v>
      </c>
      <c r="EY505" s="196">
        <f>'Detailed Budget'!$AC$219</f>
        <v>372777004.58170313</v>
      </c>
      <c r="EZ505" s="269">
        <f t="shared" si="1333"/>
        <v>464221.40031618229</v>
      </c>
      <c r="FA505" s="196">
        <f>'Detailed Budget'!$AC$222</f>
        <v>93194251.145425782</v>
      </c>
      <c r="FB505" s="269">
        <f t="shared" si="1334"/>
        <v>116055.35007904557</v>
      </c>
      <c r="FC505" s="269">
        <f t="shared" si="1375"/>
        <v>580276.75039522792</v>
      </c>
      <c r="FD505" s="269"/>
      <c r="FE505" s="269">
        <f t="shared" si="1376"/>
        <v>338278133.21176517</v>
      </c>
      <c r="FF505" s="140">
        <f>'Detailed Budget'!$AC$165</f>
        <v>14927760000</v>
      </c>
      <c r="FG505" s="1087">
        <f t="shared" si="1232"/>
        <v>461433765.63401538</v>
      </c>
      <c r="FH505" s="269">
        <f t="shared" si="1335"/>
        <v>16961436.200431772</v>
      </c>
      <c r="FJ505" s="140">
        <f>'Detailed Budget'!$AC$235</f>
        <v>3623696172</v>
      </c>
      <c r="FK505" s="269">
        <f t="shared" si="1336"/>
        <v>4681778</v>
      </c>
      <c r="FL505" s="269">
        <f t="shared" si="1235"/>
        <v>4681778</v>
      </c>
      <c r="FO505" s="607"/>
      <c r="FP505" s="607"/>
      <c r="FQ505" s="607"/>
      <c r="FR505" s="269">
        <f>'Detailed Budget'!$AC$257</f>
        <v>13636439388</v>
      </c>
      <c r="FS505" s="269">
        <f t="shared" si="1337"/>
        <v>17988048</v>
      </c>
      <c r="FT505" s="269">
        <f t="shared" si="1237"/>
        <v>17988048</v>
      </c>
      <c r="FU505" s="269"/>
      <c r="FV505" s="269"/>
      <c r="FW505" s="269"/>
      <c r="FX505" s="140">
        <f>'Detailed Budget'!$AC$278</f>
        <v>1114560000</v>
      </c>
      <c r="FY505" s="269">
        <f t="shared" si="1338"/>
        <v>1440000</v>
      </c>
      <c r="FZ505" s="269">
        <f t="shared" si="1239"/>
        <v>1440000</v>
      </c>
      <c r="GB505" s="269">
        <f t="shared" si="1264"/>
        <v>2199415206.9368353</v>
      </c>
      <c r="GC505" s="887">
        <f t="shared" si="1377"/>
        <v>1374634.504335522</v>
      </c>
      <c r="GD505" s="1078">
        <f t="shared" si="1265"/>
        <v>1.2341611302241564E-3</v>
      </c>
    </row>
    <row r="506" spans="1:186" hidden="1" outlineLevel="1">
      <c r="A506" s="211" t="s">
        <v>1136</v>
      </c>
      <c r="B506" s="212" t="s">
        <v>1137</v>
      </c>
      <c r="C506" s="213" t="s">
        <v>215</v>
      </c>
      <c r="D506" s="214"/>
      <c r="E506" s="213"/>
      <c r="F506" s="213"/>
      <c r="G506" s="213"/>
      <c r="H506" s="213" t="s">
        <v>215</v>
      </c>
      <c r="I506" s="214" t="s">
        <v>215</v>
      </c>
      <c r="J506" s="214"/>
      <c r="K506" s="213"/>
      <c r="L506" s="213"/>
      <c r="M506" s="214" t="s">
        <v>215</v>
      </c>
      <c r="N506" s="213"/>
      <c r="O506" s="214"/>
      <c r="P506" s="213"/>
      <c r="Q506" s="214"/>
      <c r="R506" s="214" t="s">
        <v>215</v>
      </c>
      <c r="S506" s="214"/>
      <c r="T506" s="214"/>
      <c r="U506" s="215">
        <f t="shared" si="1339"/>
        <v>5</v>
      </c>
      <c r="V506" s="845" t="s">
        <v>467</v>
      </c>
      <c r="W506" s="216">
        <v>233362</v>
      </c>
      <c r="X506" s="217">
        <v>2.8</v>
      </c>
      <c r="Y506" s="218">
        <f t="shared" si="1312"/>
        <v>1.028</v>
      </c>
      <c r="Z506" s="196">
        <v>19</v>
      </c>
      <c r="AA506" s="218">
        <f t="shared" si="1313"/>
        <v>1.6899318009047619</v>
      </c>
      <c r="AB506" s="196">
        <f t="shared" si="1389"/>
        <v>394365.86492273706</v>
      </c>
      <c r="AC506">
        <v>11.3</v>
      </c>
      <c r="AD506" s="196">
        <f t="shared" si="1390"/>
        <v>44563.342736269289</v>
      </c>
      <c r="AE506" s="196">
        <f t="shared" si="1314"/>
        <v>42335.175599455826</v>
      </c>
      <c r="AF506" s="196">
        <f t="shared" si="1340"/>
        <v>0</v>
      </c>
      <c r="AG506" s="606">
        <f t="shared" si="1380"/>
        <v>1.9573926648155391E-3</v>
      </c>
      <c r="AH506" s="196">
        <f t="shared" si="1357"/>
        <v>19718.293246136855</v>
      </c>
      <c r="AI506" s="248">
        <f t="shared" si="1359"/>
        <v>1.5275463016457679E-3</v>
      </c>
      <c r="AJ506" s="196">
        <f t="shared" si="1360"/>
        <v>64281.635982406144</v>
      </c>
      <c r="AK506" s="196">
        <f t="shared" si="1225"/>
        <v>15774.634596909484</v>
      </c>
      <c r="AL506" s="196">
        <f t="shared" si="1226"/>
        <v>15774.634596909484</v>
      </c>
      <c r="AM506" s="196">
        <f t="shared" si="1361"/>
        <v>31549.269193818967</v>
      </c>
      <c r="AN506" s="627">
        <f t="shared" si="1362"/>
        <v>1.5275463016457679E-3</v>
      </c>
      <c r="AO506" s="196">
        <f t="shared" si="1363"/>
        <v>14985.902867064007</v>
      </c>
      <c r="AP506" s="589">
        <f t="shared" si="1381"/>
        <v>1.5275463016457677E-3</v>
      </c>
      <c r="AQ506" s="196"/>
      <c r="AR506" s="589"/>
      <c r="AS506">
        <v>1</v>
      </c>
      <c r="AT506" s="589">
        <f t="shared" si="1382"/>
        <v>1.2919896640826874E-3</v>
      </c>
      <c r="AU506" s="196">
        <v>20</v>
      </c>
      <c r="AV506" s="245">
        <f t="shared" si="1364"/>
        <v>2.2724690376093627E-3</v>
      </c>
      <c r="AX506" s="245"/>
      <c r="AY506" s="245"/>
      <c r="AZ506" s="196">
        <v>31</v>
      </c>
      <c r="BA506" s="589">
        <f t="shared" si="1256"/>
        <v>1.1359056099080284E-3</v>
      </c>
      <c r="BI506" s="196">
        <v>0</v>
      </c>
      <c r="BJ506" s="196">
        <f t="shared" si="1341"/>
        <v>250663.68678568568</v>
      </c>
      <c r="BK506" s="246">
        <f t="shared" si="1257"/>
        <v>4.7800052720338238E-3</v>
      </c>
      <c r="BL506" s="196">
        <f t="shared" si="1358"/>
        <v>5013.2737357137139</v>
      </c>
      <c r="BM506" s="246">
        <f t="shared" si="1258"/>
        <v>4.7800047251229869E-3</v>
      </c>
      <c r="BN506" s="196">
        <v>0</v>
      </c>
      <c r="BO506" s="196">
        <f t="shared" si="1342"/>
        <v>20828.329220294672</v>
      </c>
      <c r="BP506" s="196">
        <f t="shared" si="1365"/>
        <v>0</v>
      </c>
      <c r="BQ506" s="248">
        <f t="shared" si="1259"/>
        <v>0</v>
      </c>
      <c r="BR506" s="248"/>
      <c r="BS506" s="248"/>
      <c r="BT506" s="276">
        <v>0</v>
      </c>
      <c r="BU506" s="196">
        <f t="shared" si="1343"/>
        <v>0</v>
      </c>
      <c r="BV506" s="264">
        <f t="shared" si="1261"/>
        <v>0</v>
      </c>
      <c r="BW506" s="196">
        <f t="shared" si="1344"/>
        <v>0</v>
      </c>
      <c r="BX506" s="247">
        <f t="shared" si="1263"/>
        <v>0</v>
      </c>
      <c r="BY506" s="196">
        <f t="shared" si="1345"/>
        <v>0</v>
      </c>
      <c r="BZ506" s="620">
        <v>0</v>
      </c>
      <c r="CA506" s="196">
        <f t="shared" si="1346"/>
        <v>120675.95466635755</v>
      </c>
      <c r="CB506" s="196">
        <f t="shared" si="1347"/>
        <v>241351.90933271509</v>
      </c>
      <c r="CC506" s="196">
        <f t="shared" si="1378"/>
        <v>362027.86399907264</v>
      </c>
      <c r="CD506" s="247">
        <f t="shared" si="1366"/>
        <v>1.5275463016457679E-3</v>
      </c>
      <c r="CE506" s="196">
        <f t="shared" si="1348"/>
        <v>35195.67769478327</v>
      </c>
      <c r="CF506" s="247">
        <f t="shared" si="1367"/>
        <v>1.5198588195060557E-3</v>
      </c>
      <c r="CG506" s="196">
        <f t="shared" si="1316"/>
        <v>59943.611468256029</v>
      </c>
      <c r="CH506" s="589">
        <f t="shared" si="1383"/>
        <v>1.5275463016457677E-3</v>
      </c>
      <c r="CI506" s="196">
        <f t="shared" si="1349"/>
        <v>156992.65797612318</v>
      </c>
      <c r="CJ506" s="248">
        <f t="shared" si="1384"/>
        <v>2.5809588986274111E-3</v>
      </c>
      <c r="CK506" s="196">
        <f t="shared" si="1350"/>
        <v>127915.22877236552</v>
      </c>
      <c r="CL506" s="589">
        <f t="shared" si="1385"/>
        <v>1.8388077246427844E-3</v>
      </c>
      <c r="CM506" s="196">
        <f t="shared" si="1351"/>
        <v>12391.758287724782</v>
      </c>
      <c r="CN506" s="589">
        <f t="shared" si="1386"/>
        <v>1.7857931972698365E-3</v>
      </c>
      <c r="CO506" s="196">
        <f t="shared" si="1352"/>
        <v>991.35406875251613</v>
      </c>
      <c r="CP506" s="589">
        <f t="shared" si="1387"/>
        <v>1.8695410770302378E-3</v>
      </c>
      <c r="CQ506" s="196">
        <f>'Detailed Budget'!$AC$12</f>
        <v>292876014141.44696</v>
      </c>
      <c r="CR506" s="269">
        <f t="shared" si="1224"/>
        <v>1399948891.6483693</v>
      </c>
      <c r="CS506" s="269">
        <f>'Detailed Budget'!$AC$16</f>
        <v>10488008800.000002</v>
      </c>
      <c r="CT506" s="607">
        <f t="shared" si="1318"/>
        <v>50132731.62113148</v>
      </c>
      <c r="CU506" s="269">
        <f>'Detailed Budget'!$AC$24</f>
        <v>30624985696</v>
      </c>
      <c r="CV506" s="269">
        <f t="shared" si="1250"/>
        <v>146387593.08284044</v>
      </c>
      <c r="CW506" s="269"/>
      <c r="CX506" s="269">
        <f t="shared" si="1379"/>
        <v>1596469216.3523412</v>
      </c>
      <c r="CY506" s="196">
        <f>'Detailed Budget'!$AC$97</f>
        <v>74629165494.837845</v>
      </c>
      <c r="CZ506" s="269">
        <f t="shared" si="1319"/>
        <v>0</v>
      </c>
      <c r="DA506" s="269">
        <f>'Detailed Budget'!$AC$100</f>
        <v>14925833098.967569</v>
      </c>
      <c r="DB506" s="269">
        <f t="shared" si="1320"/>
        <v>0</v>
      </c>
      <c r="DC506" s="269">
        <f t="shared" si="1368"/>
        <v>0</v>
      </c>
      <c r="DD506" s="207">
        <v>0</v>
      </c>
      <c r="DE506" s="606">
        <v>0</v>
      </c>
      <c r="DF506" s="269">
        <f>'Detailed Budget'!$AC$147</f>
        <v>5913600671000</v>
      </c>
      <c r="DG506" s="269">
        <f t="shared" si="1230"/>
        <v>0</v>
      </c>
      <c r="DH506" s="269">
        <f>'Detailed Budget'!$AC$153</f>
        <v>226428026880.00003</v>
      </c>
      <c r="DI506" s="269"/>
      <c r="DJ506" s="269">
        <f>'Detailed Budget'!$AC$156</f>
        <v>27713070000</v>
      </c>
      <c r="DK506" s="269"/>
      <c r="DL506" s="269"/>
      <c r="DM506" s="196">
        <f>'Detailed Budget'!$AC$178</f>
        <v>5622683761.6229038</v>
      </c>
      <c r="DN506" s="269">
        <f t="shared" si="1353"/>
        <v>0</v>
      </c>
      <c r="DO506" s="196">
        <f>'Detailed Budget'!$AC$179</f>
        <v>26827890683.128094</v>
      </c>
      <c r="DP506" s="269">
        <f t="shared" si="1354"/>
        <v>0</v>
      </c>
      <c r="DQ506" s="269">
        <f t="shared" si="1388"/>
        <v>0</v>
      </c>
      <c r="DR506" s="269">
        <f>'Detailed Budget'!$AC$181</f>
        <v>50888946855.375237</v>
      </c>
      <c r="DS506" s="269">
        <f t="shared" si="1355"/>
        <v>0</v>
      </c>
      <c r="DT506" s="269">
        <f t="shared" si="1356"/>
        <v>0</v>
      </c>
      <c r="DU506" s="272">
        <f>'Detailed Budget'!$AC$192</f>
        <v>77498869683.252869</v>
      </c>
      <c r="DV506" s="269">
        <f t="shared" si="1321"/>
        <v>0</v>
      </c>
      <c r="DW506" s="140">
        <f>'Detailed Budget'!$AC$194</f>
        <v>2684962805.4134097</v>
      </c>
      <c r="DX506" s="269">
        <f t="shared" si="1322"/>
        <v>0</v>
      </c>
      <c r="DY506" s="607">
        <f t="shared" si="1369"/>
        <v>0</v>
      </c>
      <c r="DZ506" s="196">
        <f>'Detailed Budget'!$AC$198</f>
        <v>18732540018.380611</v>
      </c>
      <c r="EA506" s="269">
        <f t="shared" si="1323"/>
        <v>28470816.158685904</v>
      </c>
      <c r="EB506" s="196">
        <f>'Detailed Budget'!$AC$200</f>
        <v>4683135004.5951529</v>
      </c>
      <c r="EC506" s="269">
        <f t="shared" si="1324"/>
        <v>7117704.039671476</v>
      </c>
      <c r="ED506" s="269">
        <f t="shared" si="1370"/>
        <v>35588520.198357381</v>
      </c>
      <c r="EE506" s="196">
        <f>'Detailed Budget'!$AC$161</f>
        <v>251147290106.36197</v>
      </c>
      <c r="EF506" s="269">
        <f t="shared" si="1325"/>
        <v>383639114.17032993</v>
      </c>
      <c r="EG506" s="196">
        <f>'Detailed Budget'!$AC$163</f>
        <v>15696705631.647623</v>
      </c>
      <c r="EH506" s="269">
        <f t="shared" si="1326"/>
        <v>23977444.635645621</v>
      </c>
      <c r="EI506" s="269">
        <f t="shared" si="1371"/>
        <v>407616558.80597556</v>
      </c>
      <c r="EJ506" s="196">
        <f>'Detailed Budget'!$AC$204</f>
        <v>45012172507.531975</v>
      </c>
      <c r="EK506" s="269">
        <f t="shared" si="1327"/>
        <v>116174567.17986676</v>
      </c>
      <c r="EL506" s="201">
        <f>'Detailed Budget'!$AC$206</f>
        <v>11253043126.882994</v>
      </c>
      <c r="EM506" s="269">
        <f t="shared" si="1328"/>
        <v>29043641.79496669</v>
      </c>
      <c r="EN506" s="269">
        <f t="shared" si="1372"/>
        <v>145218208.97483346</v>
      </c>
      <c r="EO506" s="140">
        <f>'Detailed Budget'!$AC$209</f>
        <v>135789361677.54817</v>
      </c>
      <c r="EP506" s="269">
        <f t="shared" si="1329"/>
        <v>249690527.17698845</v>
      </c>
      <c r="EQ506" s="196">
        <f>'Detailed Budget'!$AC$211</f>
        <v>33947340419.387043</v>
      </c>
      <c r="ER506" s="269">
        <f t="shared" si="1330"/>
        <v>62422631.794247113</v>
      </c>
      <c r="ES506" s="269">
        <f t="shared" si="1373"/>
        <v>312113158.97123557</v>
      </c>
      <c r="ET506" s="196">
        <f>'Detailed Budget'!$AC$214</f>
        <v>22239745544.201103</v>
      </c>
      <c r="EU506" s="269">
        <f t="shared" si="1331"/>
        <v>39715586.301846489</v>
      </c>
      <c r="EV506" s="140">
        <f>'Detailed Budget'!$AC$217</f>
        <v>5559936386.0502758</v>
      </c>
      <c r="EW506" s="269">
        <f t="shared" si="1332"/>
        <v>9928896.5754616223</v>
      </c>
      <c r="EX506" s="269">
        <f t="shared" si="1374"/>
        <v>49644482.877308115</v>
      </c>
      <c r="EY506" s="196">
        <f>'Detailed Budget'!$AC$219</f>
        <v>372777004.58170313</v>
      </c>
      <c r="EZ506" s="269">
        <f t="shared" si="1333"/>
        <v>696921.92263778311</v>
      </c>
      <c r="FA506" s="196">
        <f>'Detailed Budget'!$AC$222</f>
        <v>93194251.145425782</v>
      </c>
      <c r="FB506" s="269">
        <f t="shared" si="1334"/>
        <v>174230.48065944578</v>
      </c>
      <c r="FC506" s="269">
        <f t="shared" si="1375"/>
        <v>871152.40329722886</v>
      </c>
      <c r="FD506" s="269"/>
      <c r="FE506" s="269">
        <f t="shared" si="1376"/>
        <v>507847003.22667438</v>
      </c>
      <c r="FF506" s="140">
        <f>'Detailed Budget'!$AC$165</f>
        <v>14927760000</v>
      </c>
      <c r="FG506" s="1087">
        <f t="shared" si="1232"/>
        <v>692736928.75127923</v>
      </c>
      <c r="FH506" s="269">
        <f t="shared" si="1335"/>
        <v>33922872.400863543</v>
      </c>
      <c r="FJ506" s="140">
        <f>'Detailed Budget'!$AC$235</f>
        <v>3623696172</v>
      </c>
      <c r="FK506" s="269">
        <f t="shared" si="1336"/>
        <v>4681778</v>
      </c>
      <c r="FL506" s="269">
        <f t="shared" si="1235"/>
        <v>4681778</v>
      </c>
      <c r="FO506" s="607"/>
      <c r="FP506" s="607"/>
      <c r="FQ506" s="607"/>
      <c r="FR506" s="269">
        <f>'Detailed Budget'!$AC$257</f>
        <v>13636439388</v>
      </c>
      <c r="FS506" s="269">
        <f t="shared" si="1337"/>
        <v>15489708.000000002</v>
      </c>
      <c r="FT506" s="269">
        <f t="shared" si="1237"/>
        <v>15489708.000000002</v>
      </c>
      <c r="FU506" s="269"/>
      <c r="FV506" s="269"/>
      <c r="FW506" s="269"/>
      <c r="FX506" s="140">
        <f>'Detailed Budget'!$AC$278</f>
        <v>1114560000</v>
      </c>
      <c r="FY506" s="269">
        <f t="shared" si="1338"/>
        <v>1440000</v>
      </c>
      <c r="FZ506" s="269">
        <f t="shared" si="1239"/>
        <v>1440000</v>
      </c>
      <c r="GB506" s="269">
        <f t="shared" si="1264"/>
        <v>3295792585.7354918</v>
      </c>
      <c r="GC506" s="887">
        <f t="shared" si="1377"/>
        <v>2059870.3660846823</v>
      </c>
      <c r="GD506" s="1078">
        <f t="shared" si="1265"/>
        <v>1.849373001408244E-3</v>
      </c>
    </row>
    <row r="507" spans="1:186" hidden="1" outlineLevel="1">
      <c r="A507" s="211" t="s">
        <v>1138</v>
      </c>
      <c r="B507" s="212" t="s">
        <v>1139</v>
      </c>
      <c r="C507" s="213" t="s">
        <v>215</v>
      </c>
      <c r="D507" s="214"/>
      <c r="E507" s="213"/>
      <c r="F507" s="213"/>
      <c r="G507" s="213"/>
      <c r="H507" s="213" t="s">
        <v>215</v>
      </c>
      <c r="I507" s="214" t="s">
        <v>215</v>
      </c>
      <c r="J507" s="214"/>
      <c r="K507" s="213"/>
      <c r="L507" s="213"/>
      <c r="M507" s="214"/>
      <c r="N507" s="213" t="s">
        <v>215</v>
      </c>
      <c r="O507" s="214"/>
      <c r="P507" s="213"/>
      <c r="Q507" s="214"/>
      <c r="R507" s="214" t="s">
        <v>215</v>
      </c>
      <c r="S507" s="214"/>
      <c r="T507" s="214"/>
      <c r="U507" s="215">
        <f t="shared" si="1339"/>
        <v>5</v>
      </c>
      <c r="V507" s="845" t="s">
        <v>467</v>
      </c>
      <c r="W507" s="216">
        <v>223317</v>
      </c>
      <c r="X507" s="217">
        <v>2.8</v>
      </c>
      <c r="Y507" s="218">
        <f t="shared" si="1312"/>
        <v>1.028</v>
      </c>
      <c r="Z507" s="196">
        <v>19</v>
      </c>
      <c r="AA507" s="218">
        <f t="shared" si="1313"/>
        <v>1.6899318009047619</v>
      </c>
      <c r="AB507" s="196">
        <f t="shared" si="1389"/>
        <v>377390.4999826487</v>
      </c>
      <c r="AC507">
        <v>11.3</v>
      </c>
      <c r="AD507" s="196">
        <f t="shared" si="1390"/>
        <v>42645.12649803931</v>
      </c>
      <c r="AE507" s="196">
        <f t="shared" si="1314"/>
        <v>40512.870173137344</v>
      </c>
      <c r="AF507" s="196">
        <f t="shared" si="1340"/>
        <v>0</v>
      </c>
      <c r="AG507" s="606">
        <f t="shared" si="1380"/>
        <v>1.8731372619732935E-3</v>
      </c>
      <c r="AH507" s="196">
        <f t="shared" si="1357"/>
        <v>18869.524999132434</v>
      </c>
      <c r="AI507" s="248">
        <f t="shared" si="1359"/>
        <v>1.4617935115598423E-3</v>
      </c>
      <c r="AJ507" s="196">
        <f t="shared" si="1360"/>
        <v>61514.651497171741</v>
      </c>
      <c r="AK507" s="196">
        <f t="shared" ref="AK507:AK567" si="1391">AB507*0.04</f>
        <v>15095.619999305949</v>
      </c>
      <c r="AL507" s="196">
        <f t="shared" ref="AL507:AL567" si="1392">AB507*0.04</f>
        <v>15095.619999305949</v>
      </c>
      <c r="AM507" s="196">
        <f t="shared" si="1361"/>
        <v>30191.239998611898</v>
      </c>
      <c r="AN507" s="627">
        <f t="shared" si="1362"/>
        <v>1.4617935115598423E-3</v>
      </c>
      <c r="AO507" s="196">
        <f t="shared" si="1363"/>
        <v>14340.838999340651</v>
      </c>
      <c r="AP507" s="589">
        <f t="shared" si="1381"/>
        <v>1.4617935115598423E-3</v>
      </c>
      <c r="AQ507" s="196"/>
      <c r="AR507" s="589"/>
      <c r="AS507">
        <v>1</v>
      </c>
      <c r="AT507" s="589">
        <f t="shared" si="1382"/>
        <v>1.2919896640826874E-3</v>
      </c>
      <c r="AU507" s="196">
        <v>16</v>
      </c>
      <c r="AV507" s="245">
        <f t="shared" si="1364"/>
        <v>1.81797523008749E-3</v>
      </c>
      <c r="AX507" s="245"/>
      <c r="AY507" s="245"/>
      <c r="AZ507" s="196">
        <v>31</v>
      </c>
      <c r="BA507" s="589">
        <f t="shared" si="1256"/>
        <v>1.1359056099080284E-3</v>
      </c>
      <c r="BI507" s="196">
        <v>0</v>
      </c>
      <c r="BJ507" s="196">
        <f t="shared" si="1341"/>
        <v>239873.94066694222</v>
      </c>
      <c r="BK507" s="246">
        <f t="shared" si="1257"/>
        <v>4.5742513234150262E-3</v>
      </c>
      <c r="BL507" s="196">
        <f t="shared" si="1358"/>
        <v>4797.4788133388447</v>
      </c>
      <c r="BM507" s="246">
        <f t="shared" si="1258"/>
        <v>4.5742508000458093E-3</v>
      </c>
      <c r="BN507" s="196">
        <v>0</v>
      </c>
      <c r="BO507" s="196">
        <f t="shared" si="1342"/>
        <v>19931.779794861824</v>
      </c>
      <c r="BP507" s="196">
        <f t="shared" si="1365"/>
        <v>0</v>
      </c>
      <c r="BQ507" s="248">
        <f t="shared" si="1259"/>
        <v>0</v>
      </c>
      <c r="BR507" s="248"/>
      <c r="BS507" s="248"/>
      <c r="BT507" s="276">
        <v>0</v>
      </c>
      <c r="BU507" s="196">
        <f t="shared" si="1343"/>
        <v>0</v>
      </c>
      <c r="BV507" s="264">
        <f t="shared" si="1261"/>
        <v>0</v>
      </c>
      <c r="BW507" s="196">
        <f t="shared" si="1344"/>
        <v>0</v>
      </c>
      <c r="BX507" s="247">
        <f t="shared" si="1263"/>
        <v>0</v>
      </c>
      <c r="BY507" s="196">
        <f t="shared" si="1345"/>
        <v>0</v>
      </c>
      <c r="BZ507" s="620">
        <v>0</v>
      </c>
      <c r="CA507" s="196">
        <f t="shared" si="1346"/>
        <v>115481.49299469052</v>
      </c>
      <c r="CB507" s="196">
        <f t="shared" si="1347"/>
        <v>230962.98598938104</v>
      </c>
      <c r="CC507" s="196">
        <f t="shared" si="1378"/>
        <v>346444.47898407152</v>
      </c>
      <c r="CD507" s="247">
        <f t="shared" si="1366"/>
        <v>1.4617935115598423E-3</v>
      </c>
      <c r="CE507" s="196">
        <f t="shared" si="1348"/>
        <v>33680.68989709513</v>
      </c>
      <c r="CF507" s="247">
        <f t="shared" si="1367"/>
        <v>1.454436934872146E-3</v>
      </c>
      <c r="CG507" s="196">
        <f t="shared" si="1316"/>
        <v>57363.355997362603</v>
      </c>
      <c r="CH507" s="589">
        <f t="shared" si="1383"/>
        <v>1.4617935115598423E-3</v>
      </c>
      <c r="CI507" s="196">
        <f t="shared" si="1349"/>
        <v>150234.95428241917</v>
      </c>
      <c r="CJ507" s="248">
        <f t="shared" si="1384"/>
        <v>2.4698622670562371E-3</v>
      </c>
      <c r="CK507" s="196">
        <f t="shared" si="1350"/>
        <v>122409.15463425216</v>
      </c>
      <c r="CL507" s="589">
        <f t="shared" si="1385"/>
        <v>1.7596567763562736E-3</v>
      </c>
      <c r="CM507" s="196">
        <f t="shared" si="1351"/>
        <v>11858.358625396746</v>
      </c>
      <c r="CN507" s="589">
        <f t="shared" si="1386"/>
        <v>1.7089242440273399E-3</v>
      </c>
      <c r="CO507" s="196">
        <f t="shared" si="1352"/>
        <v>948.6815187202958</v>
      </c>
      <c r="CP507" s="589">
        <f t="shared" si="1387"/>
        <v>1.7890672204521803E-3</v>
      </c>
      <c r="CQ507" s="196">
        <f>'Detailed Budget'!$AC$12</f>
        <v>292876014141.44696</v>
      </c>
      <c r="CR507" s="269">
        <f t="shared" ref="CR507:CR570" si="1393">BK507*CQ507</f>
        <v>1339688495.2830317</v>
      </c>
      <c r="CS507" s="269">
        <f>'Detailed Budget'!$AC$16</f>
        <v>10488008800.000002</v>
      </c>
      <c r="CT507" s="607">
        <f t="shared" si="1318"/>
        <v>47974782.644287497</v>
      </c>
      <c r="CU507" s="269">
        <f>'Detailed Budget'!$AC$24</f>
        <v>30624985696</v>
      </c>
      <c r="CV507" s="269">
        <f t="shared" si="1250"/>
        <v>140086381.34949425</v>
      </c>
      <c r="CW507" s="269"/>
      <c r="CX507" s="269">
        <f t="shared" si="1379"/>
        <v>1527749659.2768135</v>
      </c>
      <c r="CY507" s="196">
        <f>'Detailed Budget'!$AC$97</f>
        <v>74629165494.837845</v>
      </c>
      <c r="CZ507" s="269">
        <f t="shared" si="1319"/>
        <v>0</v>
      </c>
      <c r="DA507" s="269">
        <f>'Detailed Budget'!$AC$100</f>
        <v>14925833098.967569</v>
      </c>
      <c r="DB507" s="269">
        <f t="shared" si="1320"/>
        <v>0</v>
      </c>
      <c r="DC507" s="269">
        <f t="shared" si="1368"/>
        <v>0</v>
      </c>
      <c r="DD507" s="207">
        <v>0</v>
      </c>
      <c r="DE507" s="606">
        <v>0</v>
      </c>
      <c r="DF507" s="269">
        <f>'Detailed Budget'!$AC$147</f>
        <v>5913600671000</v>
      </c>
      <c r="DG507" s="269">
        <f t="shared" si="1230"/>
        <v>0</v>
      </c>
      <c r="DH507" s="269">
        <f>'Detailed Budget'!$AC$153</f>
        <v>226428026880.00003</v>
      </c>
      <c r="DI507" s="269"/>
      <c r="DJ507" s="269">
        <f>'Detailed Budget'!$AC$156</f>
        <v>27713070000</v>
      </c>
      <c r="DK507" s="269"/>
      <c r="DL507" s="269"/>
      <c r="DM507" s="196">
        <f>'Detailed Budget'!$AC$178</f>
        <v>5622683761.6229038</v>
      </c>
      <c r="DN507" s="269">
        <f t="shared" si="1353"/>
        <v>0</v>
      </c>
      <c r="DO507" s="196">
        <f>'Detailed Budget'!$AC$179</f>
        <v>26827890683.128094</v>
      </c>
      <c r="DP507" s="269">
        <f t="shared" si="1354"/>
        <v>0</v>
      </c>
      <c r="DQ507" s="269">
        <f t="shared" si="1388"/>
        <v>0</v>
      </c>
      <c r="DR507" s="269">
        <f>'Detailed Budget'!$AC$181</f>
        <v>50888946855.375237</v>
      </c>
      <c r="DS507" s="269">
        <f t="shared" si="1355"/>
        <v>0</v>
      </c>
      <c r="DT507" s="269">
        <f t="shared" si="1356"/>
        <v>0</v>
      </c>
      <c r="DU507" s="272">
        <f>'Detailed Budget'!$AC$192</f>
        <v>77498869683.252869</v>
      </c>
      <c r="DV507" s="269">
        <f t="shared" si="1321"/>
        <v>0</v>
      </c>
      <c r="DW507" s="140">
        <f>'Detailed Budget'!$AC$194</f>
        <v>2684962805.4134097</v>
      </c>
      <c r="DX507" s="269">
        <f t="shared" si="1322"/>
        <v>0</v>
      </c>
      <c r="DY507" s="607">
        <f t="shared" si="1369"/>
        <v>0</v>
      </c>
      <c r="DZ507" s="196">
        <f>'Detailed Budget'!$AC$198</f>
        <v>18732540018.380611</v>
      </c>
      <c r="EA507" s="269">
        <f t="shared" si="1323"/>
        <v>27245298.086703308</v>
      </c>
      <c r="EB507" s="196">
        <f>'Detailed Budget'!$AC$200</f>
        <v>4683135004.5951529</v>
      </c>
      <c r="EC507" s="269">
        <f t="shared" si="1324"/>
        <v>6811324.521675827</v>
      </c>
      <c r="ED507" s="269">
        <f t="shared" si="1370"/>
        <v>34056622.608379133</v>
      </c>
      <c r="EE507" s="196">
        <f>'Detailed Budget'!$AC$161</f>
        <v>251147290106.36197</v>
      </c>
      <c r="EF507" s="269">
        <f t="shared" si="1325"/>
        <v>367125479.1233173</v>
      </c>
      <c r="EG507" s="196">
        <f>'Detailed Budget'!$AC$163</f>
        <v>15696705631.647623</v>
      </c>
      <c r="EH507" s="269">
        <f t="shared" si="1326"/>
        <v>22945342.445207331</v>
      </c>
      <c r="EI507" s="269">
        <f t="shared" si="1371"/>
        <v>390070821.56852466</v>
      </c>
      <c r="EJ507" s="196">
        <f>'Detailed Budget'!$AC$204</f>
        <v>45012172507.531975</v>
      </c>
      <c r="EK507" s="269">
        <f t="shared" si="1327"/>
        <v>111173866.43457936</v>
      </c>
      <c r="EL507" s="201">
        <f>'Detailed Budget'!$AC$206</f>
        <v>11253043126.882994</v>
      </c>
      <c r="EM507" s="269">
        <f t="shared" si="1328"/>
        <v>27793466.608644839</v>
      </c>
      <c r="EN507" s="269">
        <f t="shared" si="1372"/>
        <v>138967333.04322419</v>
      </c>
      <c r="EO507" s="140">
        <f>'Detailed Budget'!$AC$209</f>
        <v>135789361677.54817</v>
      </c>
      <c r="EP507" s="269">
        <f t="shared" si="1329"/>
        <v>238942670.43299052</v>
      </c>
      <c r="EQ507" s="196">
        <f>'Detailed Budget'!$AC$211</f>
        <v>33947340419.387043</v>
      </c>
      <c r="ER507" s="269">
        <f t="shared" si="1330"/>
        <v>59735667.60824763</v>
      </c>
      <c r="ES507" s="269">
        <f t="shared" si="1373"/>
        <v>298678338.04123813</v>
      </c>
      <c r="ET507" s="196">
        <f>'Detailed Budget'!$AC$214</f>
        <v>22239745544.201103</v>
      </c>
      <c r="EU507" s="269">
        <f t="shared" si="1331"/>
        <v>38006040.341484271</v>
      </c>
      <c r="EV507" s="140">
        <f>'Detailed Budget'!$AC$217</f>
        <v>5559936386.0502758</v>
      </c>
      <c r="EW507" s="269">
        <f t="shared" si="1332"/>
        <v>9501510.0853710677</v>
      </c>
      <c r="EX507" s="269">
        <f t="shared" si="1374"/>
        <v>47507550.426855341</v>
      </c>
      <c r="EY507" s="196">
        <f>'Detailed Budget'!$AC$219</f>
        <v>372777004.58170313</v>
      </c>
      <c r="EZ507" s="269">
        <f t="shared" si="1333"/>
        <v>666923.1194354773</v>
      </c>
      <c r="FA507" s="196">
        <f>'Detailed Budget'!$AC$222</f>
        <v>93194251.145425782</v>
      </c>
      <c r="FB507" s="269">
        <f t="shared" si="1334"/>
        <v>166730.77985886933</v>
      </c>
      <c r="FC507" s="269">
        <f t="shared" si="1375"/>
        <v>833653.89929434657</v>
      </c>
      <c r="FD507" s="269"/>
      <c r="FE507" s="269">
        <f t="shared" si="1376"/>
        <v>485986875.41061199</v>
      </c>
      <c r="FF507" s="140">
        <f>'Detailed Budget'!$AC$165</f>
        <v>14927760000</v>
      </c>
      <c r="FG507" s="1087">
        <f t="shared" si="1232"/>
        <v>662918267.40407348</v>
      </c>
      <c r="FH507" s="269">
        <f t="shared" si="1335"/>
        <v>27138297.920690831</v>
      </c>
      <c r="FJ507" s="140">
        <f>'Detailed Budget'!$AC$235</f>
        <v>3623696172</v>
      </c>
      <c r="FK507" s="269">
        <f t="shared" si="1336"/>
        <v>4681778</v>
      </c>
      <c r="FL507" s="269">
        <f t="shared" si="1235"/>
        <v>4681778</v>
      </c>
      <c r="FO507" s="607"/>
      <c r="FP507" s="607"/>
      <c r="FQ507" s="607"/>
      <c r="FR507" s="269">
        <f>'Detailed Budget'!$AC$257</f>
        <v>13636439388</v>
      </c>
      <c r="FS507" s="269">
        <f t="shared" si="1337"/>
        <v>15489708.000000002</v>
      </c>
      <c r="FT507" s="269">
        <f t="shared" si="1237"/>
        <v>15489708.000000002</v>
      </c>
      <c r="FU507" s="269"/>
      <c r="FV507" s="269"/>
      <c r="FW507" s="269"/>
      <c r="FX507" s="140">
        <f>'Detailed Budget'!$AC$278</f>
        <v>1114560000</v>
      </c>
      <c r="FY507" s="269">
        <f t="shared" si="1338"/>
        <v>1440000</v>
      </c>
      <c r="FZ507" s="269">
        <f t="shared" si="1239"/>
        <v>1440000</v>
      </c>
      <c r="GB507" s="269">
        <f t="shared" si="1264"/>
        <v>3149532030.1890941</v>
      </c>
      <c r="GC507" s="887">
        <f t="shared" si="1377"/>
        <v>1968457.5188681837</v>
      </c>
      <c r="GD507" s="1078">
        <f t="shared" si="1265"/>
        <v>1.7673015980774682E-3</v>
      </c>
    </row>
    <row r="508" spans="1:186" hidden="1" outlineLevel="1">
      <c r="A508" s="211" t="s">
        <v>1140</v>
      </c>
      <c r="B508" s="212" t="s">
        <v>1141</v>
      </c>
      <c r="C508" s="213" t="s">
        <v>215</v>
      </c>
      <c r="D508" s="214"/>
      <c r="E508" s="213"/>
      <c r="F508" s="213"/>
      <c r="G508" s="213"/>
      <c r="H508" s="213" t="s">
        <v>215</v>
      </c>
      <c r="I508" s="214" t="s">
        <v>215</v>
      </c>
      <c r="J508" s="214"/>
      <c r="K508" s="213"/>
      <c r="L508" s="213"/>
      <c r="M508" s="214"/>
      <c r="N508" s="213" t="s">
        <v>215</v>
      </c>
      <c r="O508" s="214"/>
      <c r="P508" s="213"/>
      <c r="Q508" s="214" t="s">
        <v>215</v>
      </c>
      <c r="R508" s="214"/>
      <c r="S508" s="214"/>
      <c r="T508" s="214"/>
      <c r="U508" s="215">
        <f t="shared" si="1339"/>
        <v>5</v>
      </c>
      <c r="V508" s="845" t="s">
        <v>1127</v>
      </c>
      <c r="W508" s="216">
        <v>125918</v>
      </c>
      <c r="X508" s="217">
        <v>2.8</v>
      </c>
      <c r="Y508" s="218">
        <f t="shared" si="1312"/>
        <v>1.028</v>
      </c>
      <c r="Z508" s="196">
        <v>19</v>
      </c>
      <c r="AA508" s="218">
        <f t="shared" si="1313"/>
        <v>1.6899318009047619</v>
      </c>
      <c r="AB508" s="196">
        <f t="shared" si="1389"/>
        <v>212792.83250632582</v>
      </c>
      <c r="AC508">
        <v>11.3</v>
      </c>
      <c r="AD508" s="196">
        <f t="shared" si="1390"/>
        <v>24045.590073214822</v>
      </c>
      <c r="AE508" s="196">
        <f t="shared" si="1314"/>
        <v>22843.31056955408</v>
      </c>
      <c r="AF508" s="196">
        <f t="shared" si="1340"/>
        <v>0</v>
      </c>
      <c r="AG508" s="606">
        <f t="shared" si="1380"/>
        <v>1.0561743967237298E-3</v>
      </c>
      <c r="AH508" s="196">
        <f t="shared" si="1357"/>
        <v>10639.641625316292</v>
      </c>
      <c r="AI508" s="248">
        <f t="shared" si="1359"/>
        <v>8.2423691608158917E-4</v>
      </c>
      <c r="AJ508" s="196">
        <f t="shared" si="1360"/>
        <v>34685.231698531112</v>
      </c>
      <c r="AK508" s="196">
        <f t="shared" si="1391"/>
        <v>8511.7133002530336</v>
      </c>
      <c r="AL508" s="196">
        <f t="shared" si="1392"/>
        <v>8511.7133002530336</v>
      </c>
      <c r="AM508" s="196">
        <f t="shared" si="1361"/>
        <v>17023.426600506067</v>
      </c>
      <c r="AN508" s="627">
        <f t="shared" si="1362"/>
        <v>8.2423691608158917E-4</v>
      </c>
      <c r="AO508" s="196">
        <f t="shared" si="1363"/>
        <v>8086.1276352403811</v>
      </c>
      <c r="AP508" s="589">
        <f t="shared" si="1381"/>
        <v>8.2423691608158906E-4</v>
      </c>
      <c r="AQ508" s="196"/>
      <c r="AR508" s="589"/>
      <c r="AS508">
        <v>1</v>
      </c>
      <c r="AT508" s="589">
        <f t="shared" si="1382"/>
        <v>1.2919896640826874E-3</v>
      </c>
      <c r="AU508" s="196">
        <v>15</v>
      </c>
      <c r="AV508" s="245">
        <f t="shared" si="1364"/>
        <v>1.7043517782070218E-3</v>
      </c>
      <c r="AX508" s="245"/>
      <c r="AY508" s="245"/>
      <c r="AZ508" s="196">
        <v>17</v>
      </c>
      <c r="BA508" s="589">
        <f t="shared" si="1256"/>
        <v>6.229159796269833E-4</v>
      </c>
      <c r="BI508" s="196">
        <v>0</v>
      </c>
      <c r="BJ508" s="196">
        <f t="shared" si="1341"/>
        <v>135253.68360178595</v>
      </c>
      <c r="BK508" s="246">
        <f t="shared" si="1257"/>
        <v>2.5792061425765765E-3</v>
      </c>
      <c r="BL508" s="196">
        <f t="shared" si="1358"/>
        <v>2705.073672035719</v>
      </c>
      <c r="BM508" s="246">
        <f t="shared" si="1258"/>
        <v>2.5792058474731804E-3</v>
      </c>
      <c r="BN508" s="196">
        <v>0</v>
      </c>
      <c r="BO508" s="196">
        <f t="shared" si="1342"/>
        <v>11238.597367013759</v>
      </c>
      <c r="BP508" s="196">
        <f t="shared" si="1365"/>
        <v>0</v>
      </c>
      <c r="BQ508" s="248">
        <f t="shared" si="1259"/>
        <v>0</v>
      </c>
      <c r="BR508" s="248"/>
      <c r="BS508" s="248"/>
      <c r="BT508" s="276">
        <v>0</v>
      </c>
      <c r="BU508" s="196">
        <f t="shared" si="1343"/>
        <v>0</v>
      </c>
      <c r="BV508" s="264">
        <f t="shared" si="1261"/>
        <v>0</v>
      </c>
      <c r="BW508" s="196">
        <f t="shared" si="1344"/>
        <v>0</v>
      </c>
      <c r="BX508" s="247">
        <f t="shared" si="1263"/>
        <v>0</v>
      </c>
      <c r="BY508" s="196">
        <f t="shared" si="1345"/>
        <v>0</v>
      </c>
      <c r="BZ508" s="620">
        <v>0</v>
      </c>
      <c r="CA508" s="196">
        <f t="shared" si="1346"/>
        <v>65114.606746935708</v>
      </c>
      <c r="CB508" s="196">
        <f t="shared" si="1347"/>
        <v>130229.21349387142</v>
      </c>
      <c r="CC508" s="196">
        <f t="shared" si="1378"/>
        <v>195343.82024080714</v>
      </c>
      <c r="CD508" s="247">
        <f t="shared" si="1366"/>
        <v>8.2423691608158928E-4</v>
      </c>
      <c r="CE508" s="196">
        <f t="shared" si="1348"/>
        <v>18990.964012871504</v>
      </c>
      <c r="CF508" s="247">
        <f t="shared" si="1367"/>
        <v>8.2008888694201935E-4</v>
      </c>
      <c r="CG508" s="196">
        <f t="shared" si="1316"/>
        <v>32344.510540961524</v>
      </c>
      <c r="CH508" s="589">
        <f t="shared" si="1383"/>
        <v>8.2423691608158906E-4</v>
      </c>
      <c r="CI508" s="196">
        <f t="shared" si="1349"/>
        <v>84710.456316955984</v>
      </c>
      <c r="CJ508" s="248">
        <f t="shared" si="1384"/>
        <v>1.3926396868271886E-3</v>
      </c>
      <c r="CK508" s="196">
        <f t="shared" si="1350"/>
        <v>69020.790773813744</v>
      </c>
      <c r="CL508" s="589">
        <f t="shared" si="1385"/>
        <v>9.9218806434453835E-4</v>
      </c>
      <c r="CM508" s="196">
        <f t="shared" si="1351"/>
        <v>6686.3731887527929</v>
      </c>
      <c r="CN508" s="589">
        <f t="shared" si="1386"/>
        <v>9.6358236479728184E-4</v>
      </c>
      <c r="CO508" s="196">
        <f t="shared" si="1352"/>
        <v>534.91708859702669</v>
      </c>
      <c r="CP508" s="589">
        <f t="shared" si="1387"/>
        <v>1.008771236694464E-3</v>
      </c>
      <c r="CQ508" s="196">
        <f>'Detailed Budget'!$AC$12</f>
        <v>292876014141.44696</v>
      </c>
      <c r="CR508" s="269">
        <f t="shared" si="1393"/>
        <v>755387614.68696427</v>
      </c>
      <c r="CS508" s="269">
        <f>'Detailed Budget'!$AC$16</f>
        <v>10488008800.000002</v>
      </c>
      <c r="CT508" s="607">
        <f t="shared" si="1318"/>
        <v>27050733.625310179</v>
      </c>
      <c r="CU508" s="269">
        <f>'Detailed Budget'!$AC$24</f>
        <v>30624985696</v>
      </c>
      <c r="CV508" s="269">
        <f t="shared" si="1250"/>
        <v>78988151.223442987</v>
      </c>
      <c r="CW508" s="269"/>
      <c r="CX508" s="269">
        <f t="shared" si="1379"/>
        <v>861426499.53571749</v>
      </c>
      <c r="CY508" s="196">
        <f>'Detailed Budget'!$AC$97</f>
        <v>74629165494.837845</v>
      </c>
      <c r="CZ508" s="269">
        <f t="shared" si="1319"/>
        <v>0</v>
      </c>
      <c r="DA508" s="269">
        <f>'Detailed Budget'!$AC$100</f>
        <v>14925833098.967569</v>
      </c>
      <c r="DB508" s="269">
        <f t="shared" si="1320"/>
        <v>0</v>
      </c>
      <c r="DC508" s="269">
        <f t="shared" si="1368"/>
        <v>0</v>
      </c>
      <c r="DD508" s="207">
        <v>0</v>
      </c>
      <c r="DE508" s="606">
        <v>0</v>
      </c>
      <c r="DF508" s="269">
        <f>'Detailed Budget'!$AC$147</f>
        <v>5913600671000</v>
      </c>
      <c r="DG508" s="269">
        <f t="shared" si="1230"/>
        <v>0</v>
      </c>
      <c r="DH508" s="269">
        <f>'Detailed Budget'!$AC$153</f>
        <v>226428026880.00003</v>
      </c>
      <c r="DI508" s="269"/>
      <c r="DJ508" s="269">
        <f>'Detailed Budget'!$AC$156</f>
        <v>27713070000</v>
      </c>
      <c r="DK508" s="269"/>
      <c r="DL508" s="269"/>
      <c r="DM508" s="196">
        <f>'Detailed Budget'!$AC$178</f>
        <v>5622683761.6229038</v>
      </c>
      <c r="DN508" s="269">
        <f t="shared" si="1353"/>
        <v>0</v>
      </c>
      <c r="DO508" s="196">
        <f>'Detailed Budget'!$AC$179</f>
        <v>26827890683.128094</v>
      </c>
      <c r="DP508" s="269">
        <f t="shared" si="1354"/>
        <v>0</v>
      </c>
      <c r="DQ508" s="269">
        <f t="shared" si="1388"/>
        <v>0</v>
      </c>
      <c r="DR508" s="269">
        <f>'Detailed Budget'!$AC$181</f>
        <v>50888946855.375237</v>
      </c>
      <c r="DS508" s="269">
        <f t="shared" si="1355"/>
        <v>0</v>
      </c>
      <c r="DT508" s="269">
        <f t="shared" si="1356"/>
        <v>0</v>
      </c>
      <c r="DU508" s="272">
        <f>'Detailed Budget'!$AC$192</f>
        <v>77498869683.252869</v>
      </c>
      <c r="DV508" s="269">
        <f t="shared" si="1321"/>
        <v>0</v>
      </c>
      <c r="DW508" s="140">
        <f>'Detailed Budget'!$AC$194</f>
        <v>2684962805.4134097</v>
      </c>
      <c r="DX508" s="269">
        <f t="shared" si="1322"/>
        <v>0</v>
      </c>
      <c r="DY508" s="607">
        <f t="shared" si="1369"/>
        <v>0</v>
      </c>
      <c r="DZ508" s="196">
        <f>'Detailed Budget'!$AC$198</f>
        <v>18732540018.380611</v>
      </c>
      <c r="EA508" s="269">
        <f t="shared" si="1323"/>
        <v>15362347.893270591</v>
      </c>
      <c r="EB508" s="196">
        <f>'Detailed Budget'!$AC$200</f>
        <v>4683135004.5951529</v>
      </c>
      <c r="EC508" s="269">
        <f t="shared" si="1324"/>
        <v>3840586.9733176478</v>
      </c>
      <c r="ED508" s="269">
        <f t="shared" si="1370"/>
        <v>19202934.866588239</v>
      </c>
      <c r="EE508" s="196">
        <f>'Detailed Budget'!$AC$161</f>
        <v>251147290106.36197</v>
      </c>
      <c r="EF508" s="269">
        <f t="shared" si="1325"/>
        <v>207004867.87951598</v>
      </c>
      <c r="EG508" s="196">
        <f>'Detailed Budget'!$AC$163</f>
        <v>15696705631.647623</v>
      </c>
      <c r="EH508" s="269">
        <f t="shared" si="1326"/>
        <v>12937804.242469748</v>
      </c>
      <c r="EI508" s="269">
        <f t="shared" si="1371"/>
        <v>219942672.12198573</v>
      </c>
      <c r="EJ508" s="196">
        <f>'Detailed Budget'!$AC$204</f>
        <v>45012172507.531975</v>
      </c>
      <c r="EK508" s="269">
        <f t="shared" si="1327"/>
        <v>62685737.824300721</v>
      </c>
      <c r="EL508" s="201">
        <f>'Detailed Budget'!$AC$206</f>
        <v>11253043126.882994</v>
      </c>
      <c r="EM508" s="269">
        <f t="shared" si="1328"/>
        <v>15671434.45607518</v>
      </c>
      <c r="EN508" s="269">
        <f t="shared" si="1372"/>
        <v>78357172.280375898</v>
      </c>
      <c r="EO508" s="140">
        <f>'Detailed Budget'!$AC$209</f>
        <v>135789361677.54817</v>
      </c>
      <c r="EP508" s="269">
        <f t="shared" si="1329"/>
        <v>134728583.92142695</v>
      </c>
      <c r="EQ508" s="196">
        <f>'Detailed Budget'!$AC$211</f>
        <v>33947340419.387043</v>
      </c>
      <c r="ER508" s="269">
        <f t="shared" si="1330"/>
        <v>33682145.980356738</v>
      </c>
      <c r="ES508" s="269">
        <f t="shared" si="1373"/>
        <v>168410729.9017837</v>
      </c>
      <c r="ET508" s="196">
        <f>'Detailed Budget'!$AC$214</f>
        <v>22239745544.201103</v>
      </c>
      <c r="EU508" s="269">
        <f t="shared" si="1331"/>
        <v>21429826.603971113</v>
      </c>
      <c r="EV508" s="140">
        <f>'Detailed Budget'!$AC$217</f>
        <v>5559936386.0502758</v>
      </c>
      <c r="EW508" s="269">
        <f t="shared" si="1332"/>
        <v>5357456.6509927781</v>
      </c>
      <c r="EX508" s="269">
        <f t="shared" si="1374"/>
        <v>26787283.25496389</v>
      </c>
      <c r="EY508" s="196">
        <f>'Detailed Budget'!$AC$219</f>
        <v>372777004.58170313</v>
      </c>
      <c r="EZ508" s="269">
        <f t="shared" si="1333"/>
        <v>376046.71992314258</v>
      </c>
      <c r="FA508" s="196">
        <f>'Detailed Budget'!$AC$222</f>
        <v>93194251.145425782</v>
      </c>
      <c r="FB508" s="269">
        <f t="shared" si="1334"/>
        <v>94011.679980785644</v>
      </c>
      <c r="FC508" s="269">
        <f t="shared" si="1375"/>
        <v>470058.39990392822</v>
      </c>
      <c r="FD508" s="269"/>
      <c r="FE508" s="269">
        <f t="shared" si="1376"/>
        <v>274025243.83702743</v>
      </c>
      <c r="FF508" s="140">
        <f>'Detailed Budget'!$AC$165</f>
        <v>14927760000</v>
      </c>
      <c r="FG508" s="1087">
        <f t="shared" si="1232"/>
        <v>373788571.38053149</v>
      </c>
      <c r="FH508" s="269">
        <f t="shared" si="1335"/>
        <v>25442154.300647654</v>
      </c>
      <c r="FJ508" s="140">
        <f>'Detailed Budget'!$AC$235</f>
        <v>3623696172</v>
      </c>
      <c r="FK508" s="269">
        <f t="shared" si="1336"/>
        <v>4681778</v>
      </c>
      <c r="FL508" s="269">
        <f t="shared" si="1235"/>
        <v>4681778</v>
      </c>
      <c r="FO508" s="607"/>
      <c r="FP508" s="607"/>
      <c r="FQ508" s="607"/>
      <c r="FR508" s="269">
        <f>'Detailed Budget'!$AC$257</f>
        <v>13636439388</v>
      </c>
      <c r="FS508" s="269">
        <f t="shared" si="1337"/>
        <v>8494356</v>
      </c>
      <c r="FT508" s="269">
        <f t="shared" si="1237"/>
        <v>8494356</v>
      </c>
      <c r="FU508" s="269"/>
      <c r="FV508" s="269"/>
      <c r="FW508" s="269"/>
      <c r="FX508" s="140">
        <f>'Detailed Budget'!$AC$278</f>
        <v>1114560000</v>
      </c>
      <c r="FY508" s="269">
        <f t="shared" si="1338"/>
        <v>1440000</v>
      </c>
      <c r="FZ508" s="269">
        <f t="shared" si="1239"/>
        <v>1440000</v>
      </c>
      <c r="GB508" s="269">
        <f t="shared" si="1264"/>
        <v>1788444210.0424984</v>
      </c>
      <c r="GC508" s="887">
        <f t="shared" si="1377"/>
        <v>1117777.6312765614</v>
      </c>
      <c r="GD508" s="1078">
        <f t="shared" si="1265"/>
        <v>1.00355236275871E-3</v>
      </c>
    </row>
    <row r="509" spans="1:186" hidden="1" outlineLevel="1">
      <c r="A509" s="211" t="s">
        <v>1142</v>
      </c>
      <c r="B509" s="212" t="s">
        <v>1143</v>
      </c>
      <c r="C509" s="213" t="s">
        <v>215</v>
      </c>
      <c r="D509" s="214"/>
      <c r="E509" s="213"/>
      <c r="F509" s="213"/>
      <c r="G509" s="213"/>
      <c r="H509" s="213" t="s">
        <v>215</v>
      </c>
      <c r="I509" s="214" t="s">
        <v>215</v>
      </c>
      <c r="J509" s="214"/>
      <c r="K509" s="213"/>
      <c r="L509" s="213"/>
      <c r="M509" s="214"/>
      <c r="N509" s="213" t="s">
        <v>215</v>
      </c>
      <c r="O509" s="214"/>
      <c r="P509" s="213"/>
      <c r="Q509" s="214" t="s">
        <v>215</v>
      </c>
      <c r="R509" s="214"/>
      <c r="S509" s="214"/>
      <c r="T509" s="214"/>
      <c r="U509" s="215">
        <f t="shared" si="1339"/>
        <v>5</v>
      </c>
      <c r="V509" s="845" t="s">
        <v>1127</v>
      </c>
      <c r="W509" s="216">
        <v>137191</v>
      </c>
      <c r="X509" s="217">
        <v>2.8</v>
      </c>
      <c r="Y509" s="218">
        <f t="shared" si="1312"/>
        <v>1.028</v>
      </c>
      <c r="Z509" s="196">
        <v>19</v>
      </c>
      <c r="AA509" s="218">
        <f t="shared" si="1313"/>
        <v>1.6899318009047619</v>
      </c>
      <c r="AB509" s="196">
        <f t="shared" si="1389"/>
        <v>231843.43369792518</v>
      </c>
      <c r="AC509">
        <v>11.3</v>
      </c>
      <c r="AD509" s="196">
        <f t="shared" si="1390"/>
        <v>26198.308007865548</v>
      </c>
      <c r="AE509" s="196">
        <f t="shared" si="1314"/>
        <v>24888.392607472269</v>
      </c>
      <c r="AF509" s="196">
        <f t="shared" si="1340"/>
        <v>0</v>
      </c>
      <c r="AG509" s="606">
        <f t="shared" si="1380"/>
        <v>1.1507300120786957E-3</v>
      </c>
      <c r="AH509" s="196">
        <f t="shared" si="1357"/>
        <v>11592.171684896261</v>
      </c>
      <c r="AI509" s="248">
        <f t="shared" si="1359"/>
        <v>8.9802797657324049E-4</v>
      </c>
      <c r="AJ509" s="196">
        <f t="shared" si="1360"/>
        <v>37790.479692761808</v>
      </c>
      <c r="AK509" s="196">
        <f t="shared" si="1391"/>
        <v>9273.7373479170074</v>
      </c>
      <c r="AL509" s="196">
        <f t="shared" si="1392"/>
        <v>9273.7373479170074</v>
      </c>
      <c r="AM509" s="196">
        <f t="shared" si="1361"/>
        <v>18547.474695834015</v>
      </c>
      <c r="AN509" s="627">
        <f t="shared" si="1362"/>
        <v>8.9802797657324038E-4</v>
      </c>
      <c r="AO509" s="196">
        <f t="shared" si="1363"/>
        <v>8810.0504805211567</v>
      </c>
      <c r="AP509" s="589">
        <f t="shared" si="1381"/>
        <v>8.9802797657324038E-4</v>
      </c>
      <c r="AQ509" s="196"/>
      <c r="AR509" s="589"/>
      <c r="AS509">
        <v>1</v>
      </c>
      <c r="AT509" s="589">
        <f t="shared" si="1382"/>
        <v>1.2919896640826874E-3</v>
      </c>
      <c r="AU509" s="196">
        <v>17</v>
      </c>
      <c r="AV509" s="245">
        <f t="shared" si="1364"/>
        <v>1.9315986819679581E-3</v>
      </c>
      <c r="AX509" s="245"/>
      <c r="AY509" s="245"/>
      <c r="AZ509" s="196">
        <v>19</v>
      </c>
      <c r="BA509" s="589">
        <f t="shared" si="1256"/>
        <v>6.9620021252427542E-4</v>
      </c>
      <c r="BI509" s="196">
        <v>0</v>
      </c>
      <c r="BJ509" s="196">
        <f t="shared" si="1341"/>
        <v>147362.47484086957</v>
      </c>
      <c r="BK509" s="246">
        <f t="shared" si="1257"/>
        <v>2.8101134858099963E-3</v>
      </c>
      <c r="BL509" s="196">
        <f t="shared" si="1358"/>
        <v>2947.2494968173914</v>
      </c>
      <c r="BM509" s="246">
        <f t="shared" si="1258"/>
        <v>2.8101131642870206E-3</v>
      </c>
      <c r="BN509" s="196">
        <v>0</v>
      </c>
      <c r="BO509" s="196">
        <f t="shared" si="1342"/>
        <v>12244.749848139143</v>
      </c>
      <c r="BP509" s="196">
        <f t="shared" si="1365"/>
        <v>0</v>
      </c>
      <c r="BQ509" s="248">
        <f t="shared" si="1259"/>
        <v>0</v>
      </c>
      <c r="BR509" s="248"/>
      <c r="BS509" s="248"/>
      <c r="BT509" s="276">
        <v>0</v>
      </c>
      <c r="BU509" s="196">
        <f t="shared" si="1343"/>
        <v>0</v>
      </c>
      <c r="BV509" s="264">
        <f t="shared" si="1261"/>
        <v>0</v>
      </c>
      <c r="BW509" s="196">
        <f t="shared" si="1344"/>
        <v>0</v>
      </c>
      <c r="BX509" s="247">
        <f t="shared" si="1263"/>
        <v>0</v>
      </c>
      <c r="BY509" s="196">
        <f t="shared" si="1345"/>
        <v>0</v>
      </c>
      <c r="BZ509" s="620">
        <v>0</v>
      </c>
      <c r="CA509" s="196">
        <f t="shared" si="1346"/>
        <v>70944.090711565106</v>
      </c>
      <c r="CB509" s="196">
        <f t="shared" si="1347"/>
        <v>141888.18142313021</v>
      </c>
      <c r="CC509" s="196">
        <f t="shared" si="1378"/>
        <v>212832.27213469532</v>
      </c>
      <c r="CD509" s="247">
        <f t="shared" si="1366"/>
        <v>8.9802797657324038E-4</v>
      </c>
      <c r="CE509" s="196">
        <f t="shared" si="1348"/>
        <v>20691.158880301897</v>
      </c>
      <c r="CF509" s="247">
        <f t="shared" si="1367"/>
        <v>8.9350858883132322E-4</v>
      </c>
      <c r="CG509" s="196">
        <f t="shared" si="1316"/>
        <v>35240.201922084627</v>
      </c>
      <c r="CH509" s="589">
        <f t="shared" si="1383"/>
        <v>8.9802797657324038E-4</v>
      </c>
      <c r="CI509" s="196">
        <f t="shared" si="1349"/>
        <v>92294.288446286504</v>
      </c>
      <c r="CJ509" s="248">
        <f t="shared" si="1384"/>
        <v>1.5173178677830713E-3</v>
      </c>
      <c r="CK509" s="196">
        <f t="shared" si="1350"/>
        <v>75199.981790135484</v>
      </c>
      <c r="CL509" s="589">
        <f t="shared" si="1385"/>
        <v>1.0810152062095293E-3</v>
      </c>
      <c r="CM509" s="196">
        <f t="shared" si="1351"/>
        <v>7284.9808934241664</v>
      </c>
      <c r="CN509" s="589">
        <f t="shared" si="1386"/>
        <v>1.0498485380080994E-3</v>
      </c>
      <c r="CO509" s="196">
        <f t="shared" si="1352"/>
        <v>582.80635256051289</v>
      </c>
      <c r="CP509" s="589">
        <f t="shared" si="1387"/>
        <v>1.0990830122250207E-3</v>
      </c>
      <c r="CQ509" s="196">
        <f>'Detailed Budget'!$AC$12</f>
        <v>292876014141.44696</v>
      </c>
      <c r="CR509" s="269">
        <f t="shared" si="1393"/>
        <v>823014837.00915933</v>
      </c>
      <c r="CS509" s="269">
        <f>'Detailed Budget'!$AC$16</f>
        <v>10488008800.000002</v>
      </c>
      <c r="CT509" s="607">
        <f t="shared" si="1318"/>
        <v>29472491.596038122</v>
      </c>
      <c r="CU509" s="269">
        <f>'Detailed Budget'!$AC$24</f>
        <v>30624985696</v>
      </c>
      <c r="CV509" s="269">
        <f t="shared" si="1250"/>
        <v>86059685.307067841</v>
      </c>
      <c r="CW509" s="269"/>
      <c r="CX509" s="269">
        <f t="shared" si="1379"/>
        <v>938547013.9122653</v>
      </c>
      <c r="CY509" s="196">
        <f>'Detailed Budget'!$AC$97</f>
        <v>74629165494.837845</v>
      </c>
      <c r="CZ509" s="269">
        <f t="shared" si="1319"/>
        <v>0</v>
      </c>
      <c r="DA509" s="269">
        <f>'Detailed Budget'!$AC$100</f>
        <v>14925833098.967569</v>
      </c>
      <c r="DB509" s="269">
        <f t="shared" si="1320"/>
        <v>0</v>
      </c>
      <c r="DC509" s="269">
        <f t="shared" si="1368"/>
        <v>0</v>
      </c>
      <c r="DD509" s="207">
        <v>0</v>
      </c>
      <c r="DE509" s="606">
        <v>0</v>
      </c>
      <c r="DF509" s="269">
        <f>'Detailed Budget'!$AC$147</f>
        <v>5913600671000</v>
      </c>
      <c r="DG509" s="269">
        <f t="shared" si="1230"/>
        <v>0</v>
      </c>
      <c r="DH509" s="269">
        <f>'Detailed Budget'!$AC$153</f>
        <v>226428026880.00003</v>
      </c>
      <c r="DI509" s="269"/>
      <c r="DJ509" s="269">
        <f>'Detailed Budget'!$AC$156</f>
        <v>27713070000</v>
      </c>
      <c r="DK509" s="269"/>
      <c r="DL509" s="269"/>
      <c r="DM509" s="196">
        <f>'Detailed Budget'!$AC$178</f>
        <v>5622683761.6229038</v>
      </c>
      <c r="DN509" s="269">
        <f t="shared" si="1353"/>
        <v>0</v>
      </c>
      <c r="DO509" s="196">
        <f>'Detailed Budget'!$AC$179</f>
        <v>26827890683.128094</v>
      </c>
      <c r="DP509" s="269">
        <f t="shared" si="1354"/>
        <v>0</v>
      </c>
      <c r="DQ509" s="269">
        <f t="shared" si="1388"/>
        <v>0</v>
      </c>
      <c r="DR509" s="269">
        <f>'Detailed Budget'!$AC$181</f>
        <v>50888946855.375237</v>
      </c>
      <c r="DS509" s="269">
        <f t="shared" si="1355"/>
        <v>0</v>
      </c>
      <c r="DT509" s="269">
        <f t="shared" si="1356"/>
        <v>0</v>
      </c>
      <c r="DU509" s="272">
        <f>'Detailed Budget'!$AC$192</f>
        <v>77498869683.252869</v>
      </c>
      <c r="DV509" s="269">
        <f t="shared" si="1321"/>
        <v>0</v>
      </c>
      <c r="DW509" s="140">
        <f>'Detailed Budget'!$AC$194</f>
        <v>2684962805.4134097</v>
      </c>
      <c r="DX509" s="269">
        <f t="shared" si="1322"/>
        <v>0</v>
      </c>
      <c r="DY509" s="607">
        <f t="shared" si="1369"/>
        <v>0</v>
      </c>
      <c r="DZ509" s="196">
        <f>'Detailed Budget'!$AC$198</f>
        <v>18732540018.380611</v>
      </c>
      <c r="EA509" s="269">
        <f t="shared" si="1323"/>
        <v>16737685.39704955</v>
      </c>
      <c r="EB509" s="196">
        <f>'Detailed Budget'!$AC$200</f>
        <v>4683135004.5951529</v>
      </c>
      <c r="EC509" s="269">
        <f t="shared" si="1324"/>
        <v>4184421.3492623875</v>
      </c>
      <c r="ED509" s="269">
        <f t="shared" si="1370"/>
        <v>20922106.746311937</v>
      </c>
      <c r="EE509" s="196">
        <f>'Detailed Budget'!$AC$161</f>
        <v>251147290106.36197</v>
      </c>
      <c r="EF509" s="269">
        <f t="shared" si="1325"/>
        <v>225537292.75606883</v>
      </c>
      <c r="EG509" s="196">
        <f>'Detailed Budget'!$AC$163</f>
        <v>15696705631.647623</v>
      </c>
      <c r="EH509" s="269">
        <f t="shared" si="1326"/>
        <v>14096080.797254302</v>
      </c>
      <c r="EI509" s="269">
        <f t="shared" si="1371"/>
        <v>239633373.55332312</v>
      </c>
      <c r="EJ509" s="196">
        <f>'Detailed Budget'!$AC$204</f>
        <v>45012172507.531975</v>
      </c>
      <c r="EK509" s="269">
        <f t="shared" si="1327"/>
        <v>68297773.613412201</v>
      </c>
      <c r="EL509" s="201">
        <f>'Detailed Budget'!$AC$206</f>
        <v>11253043126.882994</v>
      </c>
      <c r="EM509" s="269">
        <f t="shared" si="1328"/>
        <v>17074443.40335305</v>
      </c>
      <c r="EN509" s="269">
        <f t="shared" si="1372"/>
        <v>85372217.016765252</v>
      </c>
      <c r="EO509" s="140">
        <f>'Detailed Budget'!$AC$209</f>
        <v>135789361677.54817</v>
      </c>
      <c r="EP509" s="269">
        <f t="shared" si="1329"/>
        <v>146790364.81491509</v>
      </c>
      <c r="EQ509" s="196">
        <f>'Detailed Budget'!$AC$211</f>
        <v>33947340419.387043</v>
      </c>
      <c r="ER509" s="269">
        <f t="shared" si="1330"/>
        <v>36697591.203728773</v>
      </c>
      <c r="ES509" s="269">
        <f t="shared" si="1373"/>
        <v>183487956.01864386</v>
      </c>
      <c r="ET509" s="196">
        <f>'Detailed Budget'!$AC$214</f>
        <v>22239745544.201103</v>
      </c>
      <c r="EU509" s="269">
        <f t="shared" si="1331"/>
        <v>23348364.345251672</v>
      </c>
      <c r="EV509" s="140">
        <f>'Detailed Budget'!$AC$217</f>
        <v>5559936386.0502758</v>
      </c>
      <c r="EW509" s="269">
        <f t="shared" si="1332"/>
        <v>5837091.086312918</v>
      </c>
      <c r="EX509" s="269">
        <f t="shared" si="1374"/>
        <v>29185455.431564592</v>
      </c>
      <c r="EY509" s="196">
        <f>'Detailed Budget'!$AC$219</f>
        <v>372777004.58170313</v>
      </c>
      <c r="EZ509" s="269">
        <f t="shared" si="1333"/>
        <v>409712.87308387866</v>
      </c>
      <c r="FA509" s="196">
        <f>'Detailed Budget'!$AC$222</f>
        <v>93194251.145425782</v>
      </c>
      <c r="FB509" s="269">
        <f t="shared" si="1334"/>
        <v>102428.21827096966</v>
      </c>
      <c r="FC509" s="269">
        <f t="shared" si="1375"/>
        <v>512141.09135484835</v>
      </c>
      <c r="FD509" s="269"/>
      <c r="FE509" s="269">
        <f t="shared" si="1376"/>
        <v>298557769.55832851</v>
      </c>
      <c r="FF509" s="140">
        <f>'Detailed Budget'!$AC$165</f>
        <v>14927760000</v>
      </c>
      <c r="FG509" s="1087">
        <f t="shared" si="1232"/>
        <v>407252560.36679798</v>
      </c>
      <c r="FH509" s="269">
        <f t="shared" si="1335"/>
        <v>28834441.540734008</v>
      </c>
      <c r="FJ509" s="140">
        <f>'Detailed Budget'!$AC$235</f>
        <v>3623696172</v>
      </c>
      <c r="FK509" s="269">
        <f t="shared" si="1336"/>
        <v>4681778</v>
      </c>
      <c r="FL509" s="269">
        <f t="shared" si="1235"/>
        <v>4681778</v>
      </c>
      <c r="FO509" s="607"/>
      <c r="FP509" s="607"/>
      <c r="FQ509" s="607"/>
      <c r="FR509" s="269">
        <f>'Detailed Budget'!$AC$257</f>
        <v>13636439388</v>
      </c>
      <c r="FS509" s="269">
        <f t="shared" si="1337"/>
        <v>9493692</v>
      </c>
      <c r="FT509" s="269">
        <f t="shared" si="1237"/>
        <v>9493692</v>
      </c>
      <c r="FU509" s="269"/>
      <c r="FV509" s="269"/>
      <c r="FW509" s="269"/>
      <c r="FX509" s="140">
        <f>'Detailed Budget'!$AC$278</f>
        <v>1114560000</v>
      </c>
      <c r="FY509" s="269">
        <f t="shared" si="1338"/>
        <v>1440000</v>
      </c>
      <c r="FZ509" s="269">
        <f t="shared" si="1239"/>
        <v>1440000</v>
      </c>
      <c r="GB509" s="269">
        <f t="shared" si="1264"/>
        <v>1949362735.6777608</v>
      </c>
      <c r="GC509" s="887">
        <f t="shared" si="1377"/>
        <v>1218351.7097986005</v>
      </c>
      <c r="GD509" s="1078">
        <f t="shared" si="1265"/>
        <v>1.0938488146726773E-3</v>
      </c>
    </row>
    <row r="510" spans="1:186" hidden="1" outlineLevel="1">
      <c r="A510" s="211" t="s">
        <v>1144</v>
      </c>
      <c r="B510" s="212" t="s">
        <v>1145</v>
      </c>
      <c r="C510" s="213" t="s">
        <v>215</v>
      </c>
      <c r="D510" s="214"/>
      <c r="E510" s="213"/>
      <c r="F510" s="213"/>
      <c r="G510" s="213"/>
      <c r="H510" s="213" t="s">
        <v>215</v>
      </c>
      <c r="I510" s="214" t="s">
        <v>215</v>
      </c>
      <c r="J510" s="214"/>
      <c r="K510" s="213"/>
      <c r="L510" s="213"/>
      <c r="M510" s="214" t="s">
        <v>215</v>
      </c>
      <c r="N510" s="213"/>
      <c r="O510" s="214"/>
      <c r="P510" s="213"/>
      <c r="Q510" s="214"/>
      <c r="R510" s="214" t="s">
        <v>215</v>
      </c>
      <c r="S510" s="214"/>
      <c r="T510" s="214"/>
      <c r="U510" s="215">
        <f t="shared" si="1339"/>
        <v>5</v>
      </c>
      <c r="V510" s="845" t="s">
        <v>467</v>
      </c>
      <c r="W510" s="216">
        <v>172773</v>
      </c>
      <c r="X510" s="217">
        <v>2.8</v>
      </c>
      <c r="Y510" s="218">
        <f t="shared" si="1312"/>
        <v>1.028</v>
      </c>
      <c r="Z510" s="196">
        <v>19</v>
      </c>
      <c r="AA510" s="218">
        <f t="shared" si="1313"/>
        <v>1.6899318009047619</v>
      </c>
      <c r="AB510" s="196">
        <f t="shared" si="1389"/>
        <v>291974.58703771845</v>
      </c>
      <c r="AC510">
        <v>11.3</v>
      </c>
      <c r="AD510" s="196">
        <f t="shared" si="1390"/>
        <v>32993.12833526219</v>
      </c>
      <c r="AE510" s="196">
        <f t="shared" si="1314"/>
        <v>31343.471918499079</v>
      </c>
      <c r="AF510" s="196">
        <f t="shared" si="1340"/>
        <v>0</v>
      </c>
      <c r="AG510" s="606">
        <f t="shared" si="1380"/>
        <v>1.4491845410914165E-3</v>
      </c>
      <c r="AH510" s="196">
        <f t="shared" si="1357"/>
        <v>14598.729351885922</v>
      </c>
      <c r="AI510" s="248">
        <f t="shared" si="1359"/>
        <v>1.1309414436551121E-3</v>
      </c>
      <c r="AJ510" s="196">
        <f t="shared" si="1360"/>
        <v>47591.857687148113</v>
      </c>
      <c r="AK510" s="196">
        <f t="shared" si="1391"/>
        <v>11678.983481508738</v>
      </c>
      <c r="AL510" s="196">
        <f t="shared" si="1392"/>
        <v>11678.983481508738</v>
      </c>
      <c r="AM510" s="196">
        <f t="shared" si="1361"/>
        <v>23357.966963017476</v>
      </c>
      <c r="AN510" s="627">
        <f t="shared" si="1362"/>
        <v>1.1309414436551121E-3</v>
      </c>
      <c r="AO510" s="196">
        <f t="shared" si="1363"/>
        <v>11095.034307433301</v>
      </c>
      <c r="AP510" s="589">
        <f t="shared" si="1381"/>
        <v>1.1309414436551121E-3</v>
      </c>
      <c r="AQ510" s="196"/>
      <c r="AR510" s="589"/>
      <c r="AS510">
        <v>1</v>
      </c>
      <c r="AT510" s="589">
        <f t="shared" si="1382"/>
        <v>1.2919896640826874E-3</v>
      </c>
      <c r="AU510" s="196">
        <v>18</v>
      </c>
      <c r="AV510" s="245">
        <f t="shared" si="1364"/>
        <v>2.0452221338484265E-3</v>
      </c>
      <c r="AX510" s="245"/>
      <c r="AY510" s="245"/>
      <c r="AZ510" s="196">
        <v>40</v>
      </c>
      <c r="BA510" s="589">
        <f t="shared" si="1256"/>
        <v>1.4656846579458429E-3</v>
      </c>
      <c r="BI510" s="196">
        <v>0</v>
      </c>
      <c r="BJ510" s="196">
        <f t="shared" si="1341"/>
        <v>185582.55910141015</v>
      </c>
      <c r="BK510" s="246">
        <f t="shared" si="1257"/>
        <v>3.5389474330229423E-3</v>
      </c>
      <c r="BL510" s="196">
        <f t="shared" si="1358"/>
        <v>3711.651182028203</v>
      </c>
      <c r="BM510" s="246">
        <f t="shared" si="1258"/>
        <v>3.5389470281094347E-3</v>
      </c>
      <c r="BN510" s="196">
        <v>0</v>
      </c>
      <c r="BO510" s="196">
        <f t="shared" si="1342"/>
        <v>15420.560864142284</v>
      </c>
      <c r="BP510" s="196">
        <f t="shared" si="1365"/>
        <v>0</v>
      </c>
      <c r="BQ510" s="248">
        <f t="shared" si="1259"/>
        <v>0</v>
      </c>
      <c r="BR510" s="248"/>
      <c r="BS510" s="248"/>
      <c r="BT510" s="276">
        <v>0</v>
      </c>
      <c r="BU510" s="196">
        <f t="shared" si="1343"/>
        <v>0</v>
      </c>
      <c r="BV510" s="264">
        <f t="shared" si="1261"/>
        <v>0</v>
      </c>
      <c r="BW510" s="196">
        <f t="shared" si="1344"/>
        <v>0</v>
      </c>
      <c r="BX510" s="247">
        <f t="shared" si="1263"/>
        <v>0</v>
      </c>
      <c r="BY510" s="196">
        <f t="shared" si="1345"/>
        <v>0</v>
      </c>
      <c r="BZ510" s="620">
        <v>0</v>
      </c>
      <c r="CA510" s="196">
        <f t="shared" si="1346"/>
        <v>89344.223633541842</v>
      </c>
      <c r="CB510" s="196">
        <f t="shared" si="1347"/>
        <v>178688.44726708368</v>
      </c>
      <c r="CC510" s="196">
        <f t="shared" si="1378"/>
        <v>268032.67090062553</v>
      </c>
      <c r="CD510" s="247">
        <f t="shared" si="1366"/>
        <v>1.1309414436551121E-3</v>
      </c>
      <c r="CE510" s="196">
        <f t="shared" si="1348"/>
        <v>26057.639300146511</v>
      </c>
      <c r="CF510" s="247">
        <f t="shared" si="1367"/>
        <v>1.1252499028227378E-3</v>
      </c>
      <c r="CG510" s="196">
        <f t="shared" si="1316"/>
        <v>44380.137229733205</v>
      </c>
      <c r="CH510" s="589">
        <f t="shared" si="1383"/>
        <v>1.1309414436551121E-3</v>
      </c>
      <c r="CI510" s="196">
        <f t="shared" si="1349"/>
        <v>116231.83078868341</v>
      </c>
      <c r="CJ510" s="248">
        <f t="shared" si="1384"/>
        <v>1.9108510031305604E-3</v>
      </c>
      <c r="CK510" s="196">
        <f t="shared" si="1350"/>
        <v>94703.927034769644</v>
      </c>
      <c r="CL510" s="589">
        <f t="shared" si="1385"/>
        <v>1.3613884308915241E-3</v>
      </c>
      <c r="CM510" s="196">
        <f t="shared" si="1351"/>
        <v>9174.4210910305628</v>
      </c>
      <c r="CN510" s="589">
        <f t="shared" si="1386"/>
        <v>1.3221383433116853E-3</v>
      </c>
      <c r="CO510" s="196">
        <f t="shared" si="1352"/>
        <v>733.9636124158111</v>
      </c>
      <c r="CP510" s="589">
        <f t="shared" si="1387"/>
        <v>1.3841423218079437E-3</v>
      </c>
      <c r="CQ510" s="196">
        <f>'Detailed Budget'!$AC$12</f>
        <v>292876014141.44696</v>
      </c>
      <c r="CR510" s="269">
        <f t="shared" si="1393"/>
        <v>1036472818.4398646</v>
      </c>
      <c r="CS510" s="269">
        <f>'Detailed Budget'!$AC$16</f>
        <v>10488008800.000002</v>
      </c>
      <c r="CT510" s="607">
        <f t="shared" si="1318"/>
        <v>37116507.573545605</v>
      </c>
      <c r="CU510" s="269">
        <f>'Detailed Budget'!$AC$24</f>
        <v>30624985696</v>
      </c>
      <c r="CV510" s="269">
        <f t="shared" si="1250"/>
        <v>108380214.51522353</v>
      </c>
      <c r="CW510" s="269"/>
      <c r="CX510" s="269">
        <f t="shared" si="1379"/>
        <v>1181969540.5286338</v>
      </c>
      <c r="CY510" s="196">
        <f>'Detailed Budget'!$AC$97</f>
        <v>74629165494.837845</v>
      </c>
      <c r="CZ510" s="269">
        <f t="shared" si="1319"/>
        <v>0</v>
      </c>
      <c r="DA510" s="269">
        <f>'Detailed Budget'!$AC$100</f>
        <v>14925833098.967569</v>
      </c>
      <c r="DB510" s="269">
        <f t="shared" si="1320"/>
        <v>0</v>
      </c>
      <c r="DC510" s="269">
        <f t="shared" si="1368"/>
        <v>0</v>
      </c>
      <c r="DD510" s="207">
        <v>0</v>
      </c>
      <c r="DE510" s="606">
        <v>0</v>
      </c>
      <c r="DF510" s="269">
        <f>'Detailed Budget'!$AC$147</f>
        <v>5913600671000</v>
      </c>
      <c r="DG510" s="269">
        <f t="shared" si="1230"/>
        <v>0</v>
      </c>
      <c r="DH510" s="269">
        <f>'Detailed Budget'!$AC$153</f>
        <v>226428026880.00003</v>
      </c>
      <c r="DI510" s="269"/>
      <c r="DJ510" s="269">
        <f>'Detailed Budget'!$AC$156</f>
        <v>27713070000</v>
      </c>
      <c r="DK510" s="269"/>
      <c r="DL510" s="269"/>
      <c r="DM510" s="196">
        <f>'Detailed Budget'!$AC$178</f>
        <v>5622683761.6229038</v>
      </c>
      <c r="DN510" s="269">
        <f t="shared" si="1353"/>
        <v>0</v>
      </c>
      <c r="DO510" s="196">
        <f>'Detailed Budget'!$AC$179</f>
        <v>26827890683.128094</v>
      </c>
      <c r="DP510" s="269">
        <f t="shared" si="1354"/>
        <v>0</v>
      </c>
      <c r="DQ510" s="269">
        <f t="shared" si="1388"/>
        <v>0</v>
      </c>
      <c r="DR510" s="269">
        <f>'Detailed Budget'!$AC$181</f>
        <v>50888946855.375237</v>
      </c>
      <c r="DS510" s="269">
        <f t="shared" si="1355"/>
        <v>0</v>
      </c>
      <c r="DT510" s="269">
        <f t="shared" si="1356"/>
        <v>0</v>
      </c>
      <c r="DU510" s="272">
        <f>'Detailed Budget'!$AC$192</f>
        <v>77498869683.252869</v>
      </c>
      <c r="DV510" s="269">
        <f t="shared" si="1321"/>
        <v>0</v>
      </c>
      <c r="DW510" s="140">
        <f>'Detailed Budget'!$AC$194</f>
        <v>2684962805.4134097</v>
      </c>
      <c r="DX510" s="269">
        <f t="shared" si="1322"/>
        <v>0</v>
      </c>
      <c r="DY510" s="607">
        <f t="shared" si="1369"/>
        <v>0</v>
      </c>
      <c r="DZ510" s="196">
        <f>'Detailed Budget'!$AC$198</f>
        <v>18732540018.380611</v>
      </c>
      <c r="EA510" s="269">
        <f t="shared" si="1323"/>
        <v>21078788.835305832</v>
      </c>
      <c r="EB510" s="196">
        <f>'Detailed Budget'!$AC$200</f>
        <v>4683135004.5951529</v>
      </c>
      <c r="EC510" s="269">
        <f t="shared" si="1324"/>
        <v>5269697.2088264581</v>
      </c>
      <c r="ED510" s="269">
        <f t="shared" si="1370"/>
        <v>26348486.044132292</v>
      </c>
      <c r="EE510" s="196">
        <f>'Detailed Budget'!$AC$161</f>
        <v>251147290106.36197</v>
      </c>
      <c r="EF510" s="269">
        <f t="shared" si="1325"/>
        <v>284032878.84295827</v>
      </c>
      <c r="EG510" s="196">
        <f>'Detailed Budget'!$AC$163</f>
        <v>15696705631.647623</v>
      </c>
      <c r="EH510" s="269">
        <f t="shared" si="1326"/>
        <v>17752054.927684892</v>
      </c>
      <c r="EI510" s="269">
        <f t="shared" si="1371"/>
        <v>301784933.77064317</v>
      </c>
      <c r="EJ510" s="196">
        <f>'Detailed Budget'!$AC$204</f>
        <v>45012172507.531975</v>
      </c>
      <c r="EK510" s="269">
        <f t="shared" si="1327"/>
        <v>86011554.989103302</v>
      </c>
      <c r="EL510" s="201">
        <f>'Detailed Budget'!$AC$206</f>
        <v>11253043126.882994</v>
      </c>
      <c r="EM510" s="269">
        <f t="shared" si="1328"/>
        <v>21502888.747275826</v>
      </c>
      <c r="EN510" s="269">
        <f t="shared" si="1372"/>
        <v>107514443.73637913</v>
      </c>
      <c r="EO510" s="140">
        <f>'Detailed Budget'!$AC$209</f>
        <v>135789361677.54817</v>
      </c>
      <c r="EP510" s="269">
        <f t="shared" si="1329"/>
        <v>184862066.02595896</v>
      </c>
      <c r="EQ510" s="196">
        <f>'Detailed Budget'!$AC$211</f>
        <v>33947340419.387043</v>
      </c>
      <c r="ER510" s="269">
        <f t="shared" si="1330"/>
        <v>46215516.506489739</v>
      </c>
      <c r="ES510" s="269">
        <f t="shared" si="1373"/>
        <v>231077582.53244871</v>
      </c>
      <c r="ET510" s="196">
        <f>'Detailed Budget'!$AC$214</f>
        <v>22239745544.201103</v>
      </c>
      <c r="EU510" s="269">
        <f t="shared" si="1331"/>
        <v>29404020.329483483</v>
      </c>
      <c r="EV510" s="140">
        <f>'Detailed Budget'!$AC$217</f>
        <v>5559936386.0502758</v>
      </c>
      <c r="EW510" s="269">
        <f t="shared" si="1332"/>
        <v>7351005.0823708707</v>
      </c>
      <c r="EX510" s="269">
        <f t="shared" si="1374"/>
        <v>36755025.411854357</v>
      </c>
      <c r="EY510" s="196">
        <f>'Detailed Budget'!$AC$219</f>
        <v>372777004.58170313</v>
      </c>
      <c r="EZ510" s="269">
        <f t="shared" si="1333"/>
        <v>515976.42863832903</v>
      </c>
      <c r="FA510" s="196">
        <f>'Detailed Budget'!$AC$222</f>
        <v>93194251.145425782</v>
      </c>
      <c r="FB510" s="269">
        <f t="shared" si="1334"/>
        <v>128994.10715958226</v>
      </c>
      <c r="FC510" s="269">
        <f t="shared" si="1375"/>
        <v>644970.53579791123</v>
      </c>
      <c r="FD510" s="269"/>
      <c r="FE510" s="269">
        <f t="shared" si="1376"/>
        <v>375992022.21648008</v>
      </c>
      <c r="FF510" s="140">
        <f>'Detailed Budget'!$AC$165</f>
        <v>14927760000</v>
      </c>
      <c r="FG510" s="1087">
        <f t="shared" si="1232"/>
        <v>512878006.66408741</v>
      </c>
      <c r="FH510" s="269">
        <f t="shared" si="1335"/>
        <v>30530585.160777185</v>
      </c>
      <c r="FJ510" s="140">
        <f>'Detailed Budget'!$AC$235</f>
        <v>3623696172</v>
      </c>
      <c r="FK510" s="269">
        <f t="shared" si="1336"/>
        <v>4681778</v>
      </c>
      <c r="FL510" s="269">
        <f t="shared" si="1235"/>
        <v>4681778</v>
      </c>
      <c r="FO510" s="607"/>
      <c r="FP510" s="607"/>
      <c r="FQ510" s="607"/>
      <c r="FR510" s="269">
        <f>'Detailed Budget'!$AC$257</f>
        <v>13636439388</v>
      </c>
      <c r="FS510" s="269">
        <f t="shared" si="1337"/>
        <v>19986720</v>
      </c>
      <c r="FT510" s="269">
        <f t="shared" si="1237"/>
        <v>19986720</v>
      </c>
      <c r="FU510" s="269"/>
      <c r="FV510" s="269"/>
      <c r="FW510" s="269"/>
      <c r="FX510" s="140">
        <f>'Detailed Budget'!$AC$278</f>
        <v>1114560000</v>
      </c>
      <c r="FY510" s="269">
        <f t="shared" si="1338"/>
        <v>1440000</v>
      </c>
      <c r="FZ510" s="269">
        <f t="shared" si="1239"/>
        <v>1440000</v>
      </c>
      <c r="GB510" s="269">
        <f t="shared" si="1264"/>
        <v>2455612072.3847537</v>
      </c>
      <c r="GC510" s="887">
        <f t="shared" si="1377"/>
        <v>1534757.5452404711</v>
      </c>
      <c r="GD510" s="1078">
        <f t="shared" si="1265"/>
        <v>1.3779212588364569E-3</v>
      </c>
    </row>
    <row r="511" spans="1:186" hidden="1" outlineLevel="1">
      <c r="A511" s="211" t="s">
        <v>1146</v>
      </c>
      <c r="B511" s="212" t="s">
        <v>1147</v>
      </c>
      <c r="C511" s="213" t="s">
        <v>215</v>
      </c>
      <c r="D511" s="214"/>
      <c r="E511" s="213"/>
      <c r="F511" s="213"/>
      <c r="G511" s="213"/>
      <c r="H511" s="213" t="s">
        <v>215</v>
      </c>
      <c r="I511" s="214" t="s">
        <v>215</v>
      </c>
      <c r="J511" s="214"/>
      <c r="K511" s="213"/>
      <c r="L511" s="213"/>
      <c r="M511" s="214" t="s">
        <v>215</v>
      </c>
      <c r="N511" s="213"/>
      <c r="O511" s="214"/>
      <c r="P511" s="213"/>
      <c r="Q511" s="214"/>
      <c r="R511" s="214" t="s">
        <v>215</v>
      </c>
      <c r="S511" s="214"/>
      <c r="T511" s="214"/>
      <c r="U511" s="215">
        <f t="shared" si="1339"/>
        <v>5</v>
      </c>
      <c r="V511" s="845" t="s">
        <v>467</v>
      </c>
      <c r="W511" s="216">
        <v>184548</v>
      </c>
      <c r="X511" s="217">
        <v>2.8</v>
      </c>
      <c r="Y511" s="218">
        <f t="shared" si="1312"/>
        <v>1.028</v>
      </c>
      <c r="Z511" s="196">
        <v>19</v>
      </c>
      <c r="AA511" s="218">
        <f t="shared" si="1313"/>
        <v>1.6899318009047619</v>
      </c>
      <c r="AB511" s="196">
        <f t="shared" si="1389"/>
        <v>311873.533993372</v>
      </c>
      <c r="AC511">
        <v>11.3</v>
      </c>
      <c r="AD511" s="196">
        <f t="shared" si="1390"/>
        <v>35241.709341251037</v>
      </c>
      <c r="AE511" s="196">
        <f t="shared" si="1314"/>
        <v>33479.623874188481</v>
      </c>
      <c r="AF511" s="196">
        <f t="shared" si="1340"/>
        <v>0</v>
      </c>
      <c r="AG511" s="606">
        <f t="shared" si="1380"/>
        <v>1.5479508296396929E-3</v>
      </c>
      <c r="AH511" s="196">
        <f t="shared" si="1357"/>
        <v>15593.6766996686</v>
      </c>
      <c r="AI511" s="248">
        <f t="shared" si="1359"/>
        <v>1.2080185071953581E-3</v>
      </c>
      <c r="AJ511" s="196">
        <f t="shared" si="1360"/>
        <v>50835.386040919635</v>
      </c>
      <c r="AK511" s="196">
        <f t="shared" si="1391"/>
        <v>12474.941359734879</v>
      </c>
      <c r="AL511" s="196">
        <f t="shared" si="1392"/>
        <v>12474.941359734879</v>
      </c>
      <c r="AM511" s="196">
        <f t="shared" si="1361"/>
        <v>24949.882719469759</v>
      </c>
      <c r="AN511" s="627">
        <f t="shared" si="1362"/>
        <v>1.2080185071953581E-3</v>
      </c>
      <c r="AO511" s="196">
        <f t="shared" si="1363"/>
        <v>11851.194291748136</v>
      </c>
      <c r="AP511" s="589">
        <f t="shared" si="1381"/>
        <v>1.2080185071953581E-3</v>
      </c>
      <c r="AQ511" s="196"/>
      <c r="AR511" s="589"/>
      <c r="AS511">
        <v>1</v>
      </c>
      <c r="AT511" s="589">
        <f t="shared" si="1382"/>
        <v>1.2919896640826874E-3</v>
      </c>
      <c r="AU511" s="196">
        <v>18</v>
      </c>
      <c r="AV511" s="245">
        <f t="shared" si="1364"/>
        <v>2.0452221338484265E-3</v>
      </c>
      <c r="AX511" s="245"/>
      <c r="AY511" s="245"/>
      <c r="AZ511" s="196">
        <v>34</v>
      </c>
      <c r="BA511" s="589">
        <f t="shared" si="1256"/>
        <v>1.2458319592539666E-3</v>
      </c>
      <c r="BI511" s="196">
        <v>0</v>
      </c>
      <c r="BJ511" s="196">
        <f t="shared" si="1341"/>
        <v>198230.56911118657</v>
      </c>
      <c r="BK511" s="246">
        <f t="shared" si="1257"/>
        <v>3.780137352882209E-3</v>
      </c>
      <c r="BL511" s="196">
        <f t="shared" si="1358"/>
        <v>3964.6113822237317</v>
      </c>
      <c r="BM511" s="246">
        <f t="shared" si="1258"/>
        <v>3.780136920372627E-3</v>
      </c>
      <c r="BN511" s="196">
        <v>0</v>
      </c>
      <c r="BO511" s="196">
        <f t="shared" si="1342"/>
        <v>16471.51850321364</v>
      </c>
      <c r="BP511" s="196">
        <f t="shared" si="1365"/>
        <v>0</v>
      </c>
      <c r="BQ511" s="248">
        <f t="shared" si="1259"/>
        <v>0</v>
      </c>
      <c r="BR511" s="248"/>
      <c r="BS511" s="248"/>
      <c r="BT511" s="276">
        <v>0</v>
      </c>
      <c r="BU511" s="196">
        <f t="shared" si="1343"/>
        <v>0</v>
      </c>
      <c r="BV511" s="264">
        <f t="shared" si="1261"/>
        <v>0</v>
      </c>
      <c r="BW511" s="196">
        <f t="shared" si="1344"/>
        <v>0</v>
      </c>
      <c r="BX511" s="247">
        <f t="shared" si="1263"/>
        <v>0</v>
      </c>
      <c r="BY511" s="196">
        <f t="shared" si="1345"/>
        <v>0</v>
      </c>
      <c r="BZ511" s="620">
        <v>0</v>
      </c>
      <c r="CA511" s="196">
        <f t="shared" si="1346"/>
        <v>95433.301401971839</v>
      </c>
      <c r="CB511" s="196">
        <f t="shared" si="1347"/>
        <v>190866.60280394368</v>
      </c>
      <c r="CC511" s="196">
        <f t="shared" si="1378"/>
        <v>286299.90420591552</v>
      </c>
      <c r="CD511" s="247">
        <f t="shared" si="1366"/>
        <v>1.2080185071953581E-3</v>
      </c>
      <c r="CE511" s="196">
        <f t="shared" si="1348"/>
        <v>27833.545852438969</v>
      </c>
      <c r="CF511" s="247">
        <f t="shared" si="1367"/>
        <v>1.201939070723612E-3</v>
      </c>
      <c r="CG511" s="196">
        <f t="shared" si="1316"/>
        <v>47404.777166992542</v>
      </c>
      <c r="CH511" s="589">
        <f t="shared" si="1383"/>
        <v>1.2080185071953581E-3</v>
      </c>
      <c r="CI511" s="196">
        <f t="shared" si="1349"/>
        <v>124153.37991694269</v>
      </c>
      <c r="CJ511" s="248">
        <f t="shared" si="1384"/>
        <v>2.0410812506915926E-3</v>
      </c>
      <c r="CK511" s="196">
        <f t="shared" si="1350"/>
        <v>101158.28472280197</v>
      </c>
      <c r="CL511" s="589">
        <f t="shared" si="1385"/>
        <v>1.4541711502617245E-3</v>
      </c>
      <c r="CM511" s="196">
        <f t="shared" si="1351"/>
        <v>9799.6855035654189</v>
      </c>
      <c r="CN511" s="589">
        <f t="shared" si="1386"/>
        <v>1.4122460510698133E-3</v>
      </c>
      <c r="CO511" s="196">
        <f t="shared" si="1352"/>
        <v>783.98544184631317</v>
      </c>
      <c r="CP511" s="589">
        <f t="shared" si="1387"/>
        <v>1.4784757873337404E-3</v>
      </c>
      <c r="CQ511" s="196">
        <f>'Detailed Budget'!$AC$12</f>
        <v>292876014141.44696</v>
      </c>
      <c r="CR511" s="269">
        <f t="shared" si="1393"/>
        <v>1107111560.8193417</v>
      </c>
      <c r="CS511" s="269">
        <f>'Detailed Budget'!$AC$16</f>
        <v>10488008800.000002</v>
      </c>
      <c r="CT511" s="607">
        <f t="shared" si="1318"/>
        <v>39646109.286073022</v>
      </c>
      <c r="CU511" s="269">
        <f>'Detailed Budget'!$AC$24</f>
        <v>30624985696</v>
      </c>
      <c r="CV511" s="269">
        <f t="shared" si="1250"/>
        <v>115766652.36093295</v>
      </c>
      <c r="CW511" s="269"/>
      <c r="CX511" s="269">
        <f t="shared" si="1379"/>
        <v>1262524322.4663477</v>
      </c>
      <c r="CY511" s="196">
        <f>'Detailed Budget'!$AC$97</f>
        <v>74629165494.837845</v>
      </c>
      <c r="CZ511" s="269">
        <f t="shared" si="1319"/>
        <v>0</v>
      </c>
      <c r="DA511" s="269">
        <f>'Detailed Budget'!$AC$100</f>
        <v>14925833098.967569</v>
      </c>
      <c r="DB511" s="269">
        <f t="shared" si="1320"/>
        <v>0</v>
      </c>
      <c r="DC511" s="269">
        <f t="shared" si="1368"/>
        <v>0</v>
      </c>
      <c r="DD511" s="207">
        <v>0</v>
      </c>
      <c r="DE511" s="606">
        <v>0</v>
      </c>
      <c r="DF511" s="269">
        <f>'Detailed Budget'!$AC$147</f>
        <v>5913600671000</v>
      </c>
      <c r="DG511" s="269">
        <f t="shared" si="1230"/>
        <v>0</v>
      </c>
      <c r="DH511" s="269">
        <f>'Detailed Budget'!$AC$153</f>
        <v>226428026880.00003</v>
      </c>
      <c r="DI511" s="269"/>
      <c r="DJ511" s="269">
        <f>'Detailed Budget'!$AC$156</f>
        <v>27713070000</v>
      </c>
      <c r="DK511" s="269"/>
      <c r="DL511" s="269"/>
      <c r="DM511" s="196">
        <f>'Detailed Budget'!$AC$178</f>
        <v>5622683761.6229038</v>
      </c>
      <c r="DN511" s="269">
        <f t="shared" si="1353"/>
        <v>0</v>
      </c>
      <c r="DO511" s="196">
        <f>'Detailed Budget'!$AC$179</f>
        <v>26827890683.128094</v>
      </c>
      <c r="DP511" s="269">
        <f t="shared" si="1354"/>
        <v>0</v>
      </c>
      <c r="DQ511" s="269">
        <f t="shared" si="1388"/>
        <v>0</v>
      </c>
      <c r="DR511" s="269">
        <f>'Detailed Budget'!$AC$181</f>
        <v>50888946855.375237</v>
      </c>
      <c r="DS511" s="269">
        <f t="shared" si="1355"/>
        <v>0</v>
      </c>
      <c r="DT511" s="269">
        <f t="shared" si="1356"/>
        <v>0</v>
      </c>
      <c r="DU511" s="272">
        <f>'Detailed Budget'!$AC$192</f>
        <v>77498869683.252869</v>
      </c>
      <c r="DV511" s="269">
        <f t="shared" si="1321"/>
        <v>0</v>
      </c>
      <c r="DW511" s="140">
        <f>'Detailed Budget'!$AC$194</f>
        <v>2684962805.4134097</v>
      </c>
      <c r="DX511" s="269">
        <f t="shared" si="1322"/>
        <v>0</v>
      </c>
      <c r="DY511" s="607">
        <f t="shared" si="1369"/>
        <v>0</v>
      </c>
      <c r="DZ511" s="196">
        <f>'Detailed Budget'!$AC$198</f>
        <v>18732540018.380611</v>
      </c>
      <c r="EA511" s="269">
        <f t="shared" si="1323"/>
        <v>22515371.741985265</v>
      </c>
      <c r="EB511" s="196">
        <f>'Detailed Budget'!$AC$200</f>
        <v>4683135004.5951529</v>
      </c>
      <c r="EC511" s="269">
        <f t="shared" si="1324"/>
        <v>5628842.9354963163</v>
      </c>
      <c r="ED511" s="269">
        <f t="shared" si="1370"/>
        <v>28144214.677481581</v>
      </c>
      <c r="EE511" s="196">
        <f>'Detailed Budget'!$AC$161</f>
        <v>251147290106.36197</v>
      </c>
      <c r="EF511" s="269">
        <f t="shared" si="1325"/>
        <v>303390574.48044693</v>
      </c>
      <c r="EG511" s="196">
        <f>'Detailed Budget'!$AC$163</f>
        <v>15696705631.647623</v>
      </c>
      <c r="EH511" s="269">
        <f t="shared" si="1326"/>
        <v>18961910.905027933</v>
      </c>
      <c r="EI511" s="269">
        <f t="shared" si="1371"/>
        <v>322352485.38547486</v>
      </c>
      <c r="EJ511" s="196">
        <f>'Detailed Budget'!$AC$204</f>
        <v>45012172507.531975</v>
      </c>
      <c r="EK511" s="269">
        <f t="shared" si="1327"/>
        <v>91873501.358019084</v>
      </c>
      <c r="EL511" s="201">
        <f>'Detailed Budget'!$AC$206</f>
        <v>11253043126.882994</v>
      </c>
      <c r="EM511" s="269">
        <f t="shared" si="1328"/>
        <v>22968375.339504771</v>
      </c>
      <c r="EN511" s="269">
        <f t="shared" si="1372"/>
        <v>114841876.69752386</v>
      </c>
      <c r="EO511" s="140">
        <f>'Detailed Budget'!$AC$209</f>
        <v>135789361677.54817</v>
      </c>
      <c r="EP511" s="269">
        <f t="shared" si="1329"/>
        <v>197460972.26394555</v>
      </c>
      <c r="EQ511" s="196">
        <f>'Detailed Budget'!$AC$211</f>
        <v>33947340419.387043</v>
      </c>
      <c r="ER511" s="269">
        <f t="shared" si="1330"/>
        <v>49365243.065986387</v>
      </c>
      <c r="ES511" s="269">
        <f t="shared" si="1373"/>
        <v>246826215.32993194</v>
      </c>
      <c r="ET511" s="196">
        <f>'Detailed Budget'!$AC$214</f>
        <v>22239745544.201103</v>
      </c>
      <c r="EU511" s="269">
        <f t="shared" si="1331"/>
        <v>31407992.821595486</v>
      </c>
      <c r="EV511" s="140">
        <f>'Detailed Budget'!$AC$217</f>
        <v>5559936386.0502758</v>
      </c>
      <c r="EW511" s="269">
        <f t="shared" si="1332"/>
        <v>7851998.2053988716</v>
      </c>
      <c r="EX511" s="269">
        <f t="shared" si="1374"/>
        <v>39259991.026994355</v>
      </c>
      <c r="EY511" s="196">
        <f>'Detailed Budget'!$AC$219</f>
        <v>372777004.58170313</v>
      </c>
      <c r="EZ511" s="269">
        <f t="shared" si="1333"/>
        <v>551141.77534884692</v>
      </c>
      <c r="FA511" s="196">
        <f>'Detailed Budget'!$AC$222</f>
        <v>93194251.145425782</v>
      </c>
      <c r="FB511" s="269">
        <f t="shared" si="1334"/>
        <v>137785.44383721173</v>
      </c>
      <c r="FC511" s="269">
        <f t="shared" si="1375"/>
        <v>688927.21918605862</v>
      </c>
      <c r="FD511" s="269"/>
      <c r="FE511" s="269">
        <f t="shared" si="1376"/>
        <v>401617010.27363622</v>
      </c>
      <c r="FF511" s="140">
        <f>'Detailed Budget'!$AC$165</f>
        <v>14927760000</v>
      </c>
      <c r="FG511" s="1087">
        <f t="shared" si="1232"/>
        <v>547832186.59075201</v>
      </c>
      <c r="FH511" s="269">
        <f t="shared" si="1335"/>
        <v>30530585.160777185</v>
      </c>
      <c r="FJ511" s="140">
        <f>'Detailed Budget'!$AC$235</f>
        <v>3623696172</v>
      </c>
      <c r="FK511" s="269">
        <f t="shared" si="1336"/>
        <v>4681778</v>
      </c>
      <c r="FL511" s="269">
        <f t="shared" si="1235"/>
        <v>4681778</v>
      </c>
      <c r="FO511" s="607"/>
      <c r="FP511" s="607"/>
      <c r="FQ511" s="607"/>
      <c r="FR511" s="269">
        <f>'Detailed Budget'!$AC$257</f>
        <v>13636439388</v>
      </c>
      <c r="FS511" s="269">
        <f t="shared" si="1337"/>
        <v>16988712</v>
      </c>
      <c r="FT511" s="269">
        <f t="shared" si="1237"/>
        <v>16988712</v>
      </c>
      <c r="FU511" s="269"/>
      <c r="FV511" s="269"/>
      <c r="FW511" s="269"/>
      <c r="FX511" s="140">
        <f>'Detailed Budget'!$AC$278</f>
        <v>1114560000</v>
      </c>
      <c r="FY511" s="269">
        <f t="shared" si="1338"/>
        <v>1440000</v>
      </c>
      <c r="FZ511" s="269">
        <f t="shared" si="1239"/>
        <v>1440000</v>
      </c>
      <c r="GB511" s="269">
        <f t="shared" si="1264"/>
        <v>2616111294.5544696</v>
      </c>
      <c r="GC511" s="887">
        <f t="shared" si="1377"/>
        <v>1635069.5590965436</v>
      </c>
      <c r="GD511" s="1078">
        <f t="shared" si="1265"/>
        <v>1.4679824263724162E-3</v>
      </c>
    </row>
    <row r="512" spans="1:186" hidden="1" outlineLevel="1">
      <c r="A512" s="211" t="s">
        <v>1148</v>
      </c>
      <c r="B512" s="212" t="s">
        <v>1149</v>
      </c>
      <c r="C512" s="213" t="s">
        <v>215</v>
      </c>
      <c r="D512" s="214"/>
      <c r="E512" s="213"/>
      <c r="F512" s="213"/>
      <c r="G512" s="213"/>
      <c r="H512" s="213" t="s">
        <v>215</v>
      </c>
      <c r="I512" s="214" t="s">
        <v>215</v>
      </c>
      <c r="J512" s="214"/>
      <c r="K512" s="213"/>
      <c r="L512" s="213"/>
      <c r="M512" s="214"/>
      <c r="N512" s="213" t="s">
        <v>215</v>
      </c>
      <c r="O512" s="214"/>
      <c r="P512" s="213"/>
      <c r="Q512" s="214"/>
      <c r="R512" s="214" t="s">
        <v>215</v>
      </c>
      <c r="S512" s="214"/>
      <c r="T512" s="214"/>
      <c r="U512" s="215">
        <f t="shared" si="1339"/>
        <v>5</v>
      </c>
      <c r="V512" s="845" t="s">
        <v>467</v>
      </c>
      <c r="W512" s="216">
        <v>168201</v>
      </c>
      <c r="X512" s="217">
        <v>2.8</v>
      </c>
      <c r="Y512" s="218">
        <f t="shared" si="1312"/>
        <v>1.028</v>
      </c>
      <c r="Z512" s="196">
        <v>19</v>
      </c>
      <c r="AA512" s="218">
        <f t="shared" si="1313"/>
        <v>1.6899318009047619</v>
      </c>
      <c r="AB512" s="196">
        <f t="shared" si="1389"/>
        <v>284248.21884398186</v>
      </c>
      <c r="AC512">
        <v>11.3</v>
      </c>
      <c r="AD512" s="196">
        <f t="shared" si="1390"/>
        <v>32120.048729369952</v>
      </c>
      <c r="AE512" s="196">
        <f t="shared" si="1314"/>
        <v>30514.046292901454</v>
      </c>
      <c r="AF512" s="196">
        <f t="shared" si="1340"/>
        <v>0</v>
      </c>
      <c r="AG512" s="606">
        <f t="shared" si="1380"/>
        <v>1.4108355414105057E-3</v>
      </c>
      <c r="AH512" s="196">
        <f t="shared" si="1357"/>
        <v>14212.410942199094</v>
      </c>
      <c r="AI512" s="248">
        <f t="shared" si="1359"/>
        <v>1.101013941786237E-3</v>
      </c>
      <c r="AJ512" s="196">
        <f t="shared" si="1360"/>
        <v>46332.459671569042</v>
      </c>
      <c r="AK512" s="196">
        <f t="shared" si="1391"/>
        <v>11369.928753759274</v>
      </c>
      <c r="AL512" s="196">
        <f t="shared" si="1392"/>
        <v>11369.928753759274</v>
      </c>
      <c r="AM512" s="196">
        <f t="shared" si="1361"/>
        <v>22739.857507518547</v>
      </c>
      <c r="AN512" s="627">
        <f t="shared" si="1362"/>
        <v>1.1010139417862367E-3</v>
      </c>
      <c r="AO512" s="196">
        <f t="shared" si="1363"/>
        <v>10801.43231607131</v>
      </c>
      <c r="AP512" s="589">
        <f t="shared" si="1381"/>
        <v>1.1010139417862367E-3</v>
      </c>
      <c r="AQ512" s="196"/>
      <c r="AR512" s="589"/>
      <c r="AS512">
        <v>1</v>
      </c>
      <c r="AT512" s="589">
        <f t="shared" si="1382"/>
        <v>1.2919896640826874E-3</v>
      </c>
      <c r="AU512" s="196">
        <v>15</v>
      </c>
      <c r="AV512" s="245">
        <f t="shared" si="1364"/>
        <v>1.7043517782070218E-3</v>
      </c>
      <c r="AX512" s="245"/>
      <c r="AY512" s="245"/>
      <c r="AZ512" s="196">
        <v>23</v>
      </c>
      <c r="BA512" s="589">
        <f t="shared" si="1256"/>
        <v>8.4276867831885966E-4</v>
      </c>
      <c r="BI512" s="196">
        <v>0</v>
      </c>
      <c r="BJ512" s="196">
        <f t="shared" si="1341"/>
        <v>180671.58655239121</v>
      </c>
      <c r="BK512" s="246">
        <f t="shared" si="1257"/>
        <v>3.4452981494903249E-3</v>
      </c>
      <c r="BL512" s="196">
        <f t="shared" si="1358"/>
        <v>3613.4317310478241</v>
      </c>
      <c r="BM512" s="246">
        <f t="shared" si="1258"/>
        <v>3.4452977552918277E-3</v>
      </c>
      <c r="BN512" s="196">
        <v>0</v>
      </c>
      <c r="BO512" s="196">
        <f t="shared" si="1342"/>
        <v>15012.494764283747</v>
      </c>
      <c r="BP512" s="196">
        <f t="shared" si="1365"/>
        <v>0</v>
      </c>
      <c r="BQ512" s="248">
        <f t="shared" si="1259"/>
        <v>0</v>
      </c>
      <c r="BR512" s="248"/>
      <c r="BS512" s="248"/>
      <c r="BT512" s="276">
        <v>0</v>
      </c>
      <c r="BU512" s="196">
        <f t="shared" si="1343"/>
        <v>0</v>
      </c>
      <c r="BV512" s="264">
        <f t="shared" si="1261"/>
        <v>0</v>
      </c>
      <c r="BW512" s="196">
        <f t="shared" si="1344"/>
        <v>0</v>
      </c>
      <c r="BX512" s="247">
        <f t="shared" si="1263"/>
        <v>0</v>
      </c>
      <c r="BY512" s="196">
        <f t="shared" si="1345"/>
        <v>0</v>
      </c>
      <c r="BZ512" s="620">
        <v>0</v>
      </c>
      <c r="CA512" s="196">
        <f t="shared" si="1346"/>
        <v>86979.954966258432</v>
      </c>
      <c r="CB512" s="196">
        <f t="shared" si="1347"/>
        <v>173959.90993251686</v>
      </c>
      <c r="CC512" s="196">
        <f t="shared" si="1378"/>
        <v>260939.8648987753</v>
      </c>
      <c r="CD512" s="247">
        <f t="shared" si="1366"/>
        <v>1.1010139417862365E-3</v>
      </c>
      <c r="CE512" s="196">
        <f t="shared" si="1348"/>
        <v>25368.089851562123</v>
      </c>
      <c r="CF512" s="247">
        <f t="shared" si="1367"/>
        <v>1.0954730131715448E-3</v>
      </c>
      <c r="CG512" s="196">
        <f t="shared" si="1316"/>
        <v>43205.729264285241</v>
      </c>
      <c r="CH512" s="589">
        <f t="shared" si="1383"/>
        <v>1.1010139417862367E-3</v>
      </c>
      <c r="CI512" s="196">
        <f t="shared" si="1349"/>
        <v>113156.04967493376</v>
      </c>
      <c r="CJ512" s="248">
        <f t="shared" si="1384"/>
        <v>1.8602851694278809E-3</v>
      </c>
      <c r="CK512" s="196">
        <f t="shared" si="1350"/>
        <v>92197.827387238067</v>
      </c>
      <c r="CL512" s="589">
        <f t="shared" si="1385"/>
        <v>1.3253627329755527E-3</v>
      </c>
      <c r="CM512" s="196">
        <f t="shared" si="1351"/>
        <v>8931.6432656284906</v>
      </c>
      <c r="CN512" s="589">
        <f t="shared" si="1386"/>
        <v>1.2871512995859811E-3</v>
      </c>
      <c r="CO512" s="196">
        <f t="shared" si="1352"/>
        <v>714.54112374012027</v>
      </c>
      <c r="CP512" s="589">
        <f t="shared" si="1387"/>
        <v>1.3475144997795829E-3</v>
      </c>
      <c r="CQ512" s="196">
        <f>'Detailed Budget'!$AC$12</f>
        <v>292876014141.44696</v>
      </c>
      <c r="CR512" s="269">
        <f t="shared" si="1393"/>
        <v>1009045189.5516294</v>
      </c>
      <c r="CS512" s="269">
        <f>'Detailed Budget'!$AC$16</f>
        <v>10488008800.000002</v>
      </c>
      <c r="CT512" s="607">
        <f t="shared" si="1318"/>
        <v>36134313.176120944</v>
      </c>
      <c r="CU512" s="269">
        <f>'Detailed Budget'!$AC$24</f>
        <v>30624985696</v>
      </c>
      <c r="CV512" s="269">
        <f t="shared" si="1250"/>
        <v>105512206.54659647</v>
      </c>
      <c r="CW512" s="269"/>
      <c r="CX512" s="269">
        <f t="shared" si="1379"/>
        <v>1150691709.2743468</v>
      </c>
      <c r="CY512" s="196">
        <f>'Detailed Budget'!$AC$97</f>
        <v>74629165494.837845</v>
      </c>
      <c r="CZ512" s="269">
        <f t="shared" si="1319"/>
        <v>0</v>
      </c>
      <c r="DA512" s="269">
        <f>'Detailed Budget'!$AC$100</f>
        <v>14925833098.967569</v>
      </c>
      <c r="DB512" s="269">
        <f t="shared" si="1320"/>
        <v>0</v>
      </c>
      <c r="DC512" s="269">
        <f t="shared" si="1368"/>
        <v>0</v>
      </c>
      <c r="DD512" s="207">
        <v>0</v>
      </c>
      <c r="DE512" s="606">
        <v>0</v>
      </c>
      <c r="DF512" s="269">
        <f>'Detailed Budget'!$AC$147</f>
        <v>5913600671000</v>
      </c>
      <c r="DG512" s="269">
        <f t="shared" si="1230"/>
        <v>0</v>
      </c>
      <c r="DH512" s="269">
        <f>'Detailed Budget'!$AC$153</f>
        <v>226428026880.00003</v>
      </c>
      <c r="DI512" s="269"/>
      <c r="DJ512" s="269">
        <f>'Detailed Budget'!$AC$156</f>
        <v>27713070000</v>
      </c>
      <c r="DK512" s="269"/>
      <c r="DL512" s="269"/>
      <c r="DM512" s="196">
        <f>'Detailed Budget'!$AC$178</f>
        <v>5622683761.6229038</v>
      </c>
      <c r="DN512" s="269">
        <f t="shared" si="1353"/>
        <v>0</v>
      </c>
      <c r="DO512" s="196">
        <f>'Detailed Budget'!$AC$179</f>
        <v>26827890683.128094</v>
      </c>
      <c r="DP512" s="269">
        <f t="shared" si="1354"/>
        <v>0</v>
      </c>
      <c r="DQ512" s="269">
        <f t="shared" si="1388"/>
        <v>0</v>
      </c>
      <c r="DR512" s="269">
        <f>'Detailed Budget'!$AC$181</f>
        <v>50888946855.375237</v>
      </c>
      <c r="DS512" s="269">
        <f t="shared" si="1355"/>
        <v>0</v>
      </c>
      <c r="DT512" s="269">
        <f t="shared" si="1356"/>
        <v>0</v>
      </c>
      <c r="DU512" s="272">
        <f>'Detailed Budget'!$AC$192</f>
        <v>77498869683.252869</v>
      </c>
      <c r="DV512" s="269">
        <f t="shared" si="1321"/>
        <v>0</v>
      </c>
      <c r="DW512" s="140">
        <f>'Detailed Budget'!$AC$194</f>
        <v>2684962805.4134097</v>
      </c>
      <c r="DX512" s="269">
        <f t="shared" si="1322"/>
        <v>0</v>
      </c>
      <c r="DY512" s="607">
        <f t="shared" si="1369"/>
        <v>0</v>
      </c>
      <c r="DZ512" s="196">
        <f>'Detailed Budget'!$AC$198</f>
        <v>18732540018.380611</v>
      </c>
      <c r="EA512" s="269">
        <f t="shared" si="1323"/>
        <v>20520992.058291953</v>
      </c>
      <c r="EB512" s="196">
        <f>'Detailed Budget'!$AC$200</f>
        <v>4683135004.5951529</v>
      </c>
      <c r="EC512" s="269">
        <f t="shared" si="1324"/>
        <v>5130248.0145729883</v>
      </c>
      <c r="ED512" s="269">
        <f t="shared" si="1370"/>
        <v>25651240.072864942</v>
      </c>
      <c r="EE512" s="196">
        <f>'Detailed Budget'!$AC$161</f>
        <v>251147290106.36197</v>
      </c>
      <c r="EF512" s="269">
        <f t="shared" si="1325"/>
        <v>276516667.84893715</v>
      </c>
      <c r="EG512" s="196">
        <f>'Detailed Budget'!$AC$163</f>
        <v>15696705631.647623</v>
      </c>
      <c r="EH512" s="269">
        <f t="shared" si="1326"/>
        <v>17282291.740558572</v>
      </c>
      <c r="EI512" s="269">
        <f t="shared" si="1371"/>
        <v>293798959.58949572</v>
      </c>
      <c r="EJ512" s="196">
        <f>'Detailed Budget'!$AC$204</f>
        <v>45012172507.531975</v>
      </c>
      <c r="EK512" s="269">
        <f t="shared" si="1327"/>
        <v>83735476.959491119</v>
      </c>
      <c r="EL512" s="201">
        <f>'Detailed Budget'!$AC$206</f>
        <v>11253043126.882994</v>
      </c>
      <c r="EM512" s="269">
        <f t="shared" si="1328"/>
        <v>20933869.23987278</v>
      </c>
      <c r="EN512" s="269">
        <f t="shared" si="1372"/>
        <v>104669346.1993639</v>
      </c>
      <c r="EO512" s="140">
        <f>'Detailed Budget'!$AC$209</f>
        <v>135789361677.54817</v>
      </c>
      <c r="EP512" s="269">
        <f t="shared" si="1329"/>
        <v>179970159.50196102</v>
      </c>
      <c r="EQ512" s="196">
        <f>'Detailed Budget'!$AC$211</f>
        <v>33947340419.387043</v>
      </c>
      <c r="ER512" s="269">
        <f t="shared" si="1330"/>
        <v>44992539.875490256</v>
      </c>
      <c r="ES512" s="269">
        <f t="shared" si="1373"/>
        <v>224962699.37745127</v>
      </c>
      <c r="ET512" s="196">
        <f>'Detailed Budget'!$AC$214</f>
        <v>22239745544.201103</v>
      </c>
      <c r="EU512" s="269">
        <f t="shared" si="1331"/>
        <v>28625917.379679982</v>
      </c>
      <c r="EV512" s="140">
        <f>'Detailed Budget'!$AC$217</f>
        <v>5559936386.0502758</v>
      </c>
      <c r="EW512" s="269">
        <f t="shared" si="1332"/>
        <v>7156479.3449199954</v>
      </c>
      <c r="EX512" s="269">
        <f t="shared" si="1374"/>
        <v>35782396.72459998</v>
      </c>
      <c r="EY512" s="196">
        <f>'Detailed Budget'!$AC$219</f>
        <v>372777004.58170313</v>
      </c>
      <c r="EZ512" s="269">
        <f t="shared" si="1333"/>
        <v>502322.41885824496</v>
      </c>
      <c r="FA512" s="196">
        <f>'Detailed Budget'!$AC$222</f>
        <v>93194251.145425782</v>
      </c>
      <c r="FB512" s="269">
        <f t="shared" si="1334"/>
        <v>125580.60471456124</v>
      </c>
      <c r="FC512" s="269">
        <f t="shared" si="1375"/>
        <v>627903.02357280615</v>
      </c>
      <c r="FD512" s="269"/>
      <c r="FE512" s="269">
        <f t="shared" si="1376"/>
        <v>366042345.32498795</v>
      </c>
      <c r="FF512" s="140">
        <f>'Detailed Budget'!$AC$165</f>
        <v>14927760000</v>
      </c>
      <c r="FG512" s="1087">
        <f t="shared" si="1232"/>
        <v>499305988.77663839</v>
      </c>
      <c r="FH512" s="269">
        <f t="shared" si="1335"/>
        <v>25442154.300647654</v>
      </c>
      <c r="FJ512" s="140">
        <f>'Detailed Budget'!$AC$235</f>
        <v>3623696172</v>
      </c>
      <c r="FK512" s="269">
        <f t="shared" si="1336"/>
        <v>4681778</v>
      </c>
      <c r="FL512" s="269">
        <f t="shared" si="1235"/>
        <v>4681778</v>
      </c>
      <c r="FO512" s="607"/>
      <c r="FP512" s="607"/>
      <c r="FQ512" s="607"/>
      <c r="FR512" s="269">
        <f>'Detailed Budget'!$AC$257</f>
        <v>13636439388</v>
      </c>
      <c r="FS512" s="269">
        <f t="shared" si="1337"/>
        <v>11492364</v>
      </c>
      <c r="FT512" s="269">
        <f t="shared" si="1237"/>
        <v>11492364</v>
      </c>
      <c r="FU512" s="269"/>
      <c r="FV512" s="269"/>
      <c r="FW512" s="269"/>
      <c r="FX512" s="140">
        <f>'Detailed Budget'!$AC$278</f>
        <v>1114560000</v>
      </c>
      <c r="FY512" s="269">
        <f t="shared" si="1338"/>
        <v>1440000</v>
      </c>
      <c r="FZ512" s="269">
        <f t="shared" si="1239"/>
        <v>1440000</v>
      </c>
      <c r="GB512" s="269">
        <f t="shared" si="1264"/>
        <v>2378546539.3389816</v>
      </c>
      <c r="GC512" s="887">
        <f t="shared" si="1377"/>
        <v>1486591.5870868636</v>
      </c>
      <c r="GD512" s="1078">
        <f t="shared" si="1265"/>
        <v>1.3346773615199696E-3</v>
      </c>
    </row>
    <row r="513" spans="1:186" hidden="1" outlineLevel="1">
      <c r="A513" s="211"/>
      <c r="B513" s="212"/>
      <c r="C513" s="213"/>
      <c r="D513" s="214"/>
      <c r="E513" s="213"/>
      <c r="F513" s="213"/>
      <c r="G513" s="213"/>
      <c r="H513" s="213"/>
      <c r="I513" s="214"/>
      <c r="J513" s="214"/>
      <c r="K513" s="213"/>
      <c r="L513" s="213"/>
      <c r="M513" s="214"/>
      <c r="N513" s="213"/>
      <c r="O513" s="214"/>
      <c r="P513" s="213"/>
      <c r="Q513" s="214"/>
      <c r="R513" s="214"/>
      <c r="S513" s="214"/>
      <c r="T513" s="214"/>
      <c r="U513" s="215"/>
      <c r="V513" s="845"/>
      <c r="W513" s="216"/>
      <c r="X513" s="217"/>
      <c r="Y513" s="218"/>
      <c r="Z513" s="196"/>
      <c r="AA513" s="218"/>
      <c r="AF513" s="196">
        <f t="shared" si="1340"/>
        <v>0</v>
      </c>
      <c r="AG513" s="606">
        <f t="shared" si="1380"/>
        <v>0</v>
      </c>
      <c r="AJ513" s="196"/>
      <c r="AK513" s="196"/>
      <c r="AL513" s="196"/>
      <c r="AM513" s="196"/>
      <c r="AO513" s="196"/>
      <c r="AP513" s="589">
        <f t="shared" si="1381"/>
        <v>0</v>
      </c>
      <c r="AQ513" s="196"/>
      <c r="AR513" s="589"/>
      <c r="AS513"/>
      <c r="AT513" s="589">
        <f t="shared" si="1382"/>
        <v>0</v>
      </c>
      <c r="AV513" s="245">
        <f t="shared" si="1364"/>
        <v>0</v>
      </c>
      <c r="AX513" s="245"/>
      <c r="AY513" s="245"/>
      <c r="BA513" s="589">
        <f t="shared" si="1256"/>
        <v>0</v>
      </c>
      <c r="BK513" s="246">
        <f t="shared" si="1257"/>
        <v>0</v>
      </c>
      <c r="BL513" s="246"/>
      <c r="BM513" s="246">
        <f t="shared" si="1258"/>
        <v>0</v>
      </c>
      <c r="BN513" s="196"/>
      <c r="BQ513" s="248">
        <f t="shared" si="1259"/>
        <v>0</v>
      </c>
      <c r="BR513" s="248"/>
      <c r="BS513" s="248"/>
      <c r="BT513" s="276"/>
      <c r="BV513" s="264">
        <f t="shared" si="1261"/>
        <v>0</v>
      </c>
      <c r="BX513" s="247">
        <f t="shared" si="1263"/>
        <v>0</v>
      </c>
      <c r="BY513" s="196"/>
      <c r="BZ513" s="620"/>
      <c r="CA513" s="196">
        <f t="shared" si="1346"/>
        <v>0</v>
      </c>
      <c r="CB513" s="196">
        <f t="shared" si="1347"/>
        <v>0</v>
      </c>
      <c r="CC513" s="196">
        <f t="shared" si="1378"/>
        <v>0</v>
      </c>
      <c r="CD513" s="247">
        <f t="shared" si="1366"/>
        <v>0</v>
      </c>
      <c r="CF513" s="247">
        <f t="shared" si="1367"/>
        <v>0</v>
      </c>
      <c r="CG513" s="196">
        <f t="shared" si="1316"/>
        <v>0</v>
      </c>
      <c r="CH513" s="589">
        <f t="shared" si="1383"/>
        <v>0</v>
      </c>
      <c r="CI513" s="196"/>
      <c r="CJ513" s="248">
        <f t="shared" si="1384"/>
        <v>0</v>
      </c>
      <c r="CK513" s="196"/>
      <c r="CL513" s="589">
        <f t="shared" si="1385"/>
        <v>0</v>
      </c>
      <c r="CM513" s="196"/>
      <c r="CN513" s="589">
        <f t="shared" si="1386"/>
        <v>0</v>
      </c>
      <c r="CO513" s="196"/>
      <c r="CP513" s="589">
        <f t="shared" si="1387"/>
        <v>0</v>
      </c>
      <c r="CQ513" s="196"/>
      <c r="CR513" s="269">
        <f t="shared" si="1393"/>
        <v>0</v>
      </c>
      <c r="CS513" s="269">
        <f>'Detailed Budget'!$AC$16</f>
        <v>10488008800.000002</v>
      </c>
      <c r="CT513" s="607">
        <f t="shared" si="1318"/>
        <v>0</v>
      </c>
      <c r="CU513" s="269">
        <f>'Detailed Budget'!$AC$24</f>
        <v>30624985696</v>
      </c>
      <c r="CV513" s="269">
        <f t="shared" si="1250"/>
        <v>0</v>
      </c>
      <c r="CW513" s="269"/>
      <c r="CX513" s="269">
        <f t="shared" si="1379"/>
        <v>0</v>
      </c>
      <c r="CY513" s="196">
        <f>'Detailed Budget'!$AC$97</f>
        <v>74629165494.837845</v>
      </c>
      <c r="CZ513" s="269">
        <f t="shared" si="1319"/>
        <v>0</v>
      </c>
      <c r="DA513" s="269">
        <f>'Detailed Budget'!$AC$100</f>
        <v>14925833098.967569</v>
      </c>
      <c r="DB513" s="269">
        <f t="shared" si="1320"/>
        <v>0</v>
      </c>
      <c r="DC513" s="269"/>
      <c r="DD513" s="207"/>
      <c r="DE513" s="606">
        <v>0</v>
      </c>
      <c r="DF513" s="269">
        <f>'Detailed Budget'!$AC$147</f>
        <v>5913600671000</v>
      </c>
      <c r="DG513" s="269">
        <f t="shared" si="1230"/>
        <v>0</v>
      </c>
      <c r="DH513" s="269">
        <f>'Detailed Budget'!$AC$153</f>
        <v>226428026880.00003</v>
      </c>
      <c r="DI513" s="269"/>
      <c r="DJ513" s="269">
        <f>'Detailed Budget'!$AC$156</f>
        <v>27713070000</v>
      </c>
      <c r="DK513" s="269"/>
      <c r="DL513" s="269"/>
      <c r="DM513" s="196"/>
      <c r="DN513" s="269"/>
      <c r="DO513" s="196"/>
      <c r="DP513" s="269"/>
      <c r="DQ513" s="269"/>
      <c r="DR513" s="269"/>
      <c r="DS513" s="269"/>
      <c r="DT513" s="269"/>
      <c r="DU513" s="272">
        <f>'Detailed Budget'!$AC$192</f>
        <v>77498869683.252869</v>
      </c>
      <c r="DV513" s="269">
        <f t="shared" si="1321"/>
        <v>0</v>
      </c>
      <c r="DW513" s="140">
        <f>'Detailed Budget'!$AC$194</f>
        <v>2684962805.4134097</v>
      </c>
      <c r="DX513" s="269">
        <f t="shared" si="1322"/>
        <v>0</v>
      </c>
      <c r="DY513" s="607">
        <f t="shared" si="1369"/>
        <v>0</v>
      </c>
      <c r="DZ513" s="196"/>
      <c r="EA513" s="269"/>
      <c r="EB513" s="196">
        <f>'Detailed Budget'!$AC$200</f>
        <v>4683135004.5951529</v>
      </c>
      <c r="EC513" s="269">
        <f t="shared" si="1324"/>
        <v>0</v>
      </c>
      <c r="ED513" s="269">
        <f t="shared" si="1370"/>
        <v>0</v>
      </c>
      <c r="EE513" s="196">
        <f>'Detailed Budget'!$AC$161</f>
        <v>251147290106.36197</v>
      </c>
      <c r="EF513" s="269">
        <f t="shared" si="1325"/>
        <v>0</v>
      </c>
      <c r="EG513" s="196">
        <f>'Detailed Budget'!$AC$163</f>
        <v>15696705631.647623</v>
      </c>
      <c r="EH513" s="269">
        <f t="shared" si="1326"/>
        <v>0</v>
      </c>
      <c r="EI513" s="269">
        <f t="shared" si="1371"/>
        <v>0</v>
      </c>
      <c r="EJ513" s="196">
        <f>'Detailed Budget'!$AC$204</f>
        <v>45012172507.531975</v>
      </c>
      <c r="EK513" s="269">
        <f t="shared" si="1327"/>
        <v>0</v>
      </c>
      <c r="EL513" s="201">
        <f>'Detailed Budget'!$AC$206</f>
        <v>11253043126.882994</v>
      </c>
      <c r="EM513" s="269">
        <f t="shared" si="1328"/>
        <v>0</v>
      </c>
      <c r="EN513" s="269">
        <f t="shared" si="1372"/>
        <v>0</v>
      </c>
      <c r="EO513" s="140">
        <f>'Detailed Budget'!$AC$209</f>
        <v>135789361677.54817</v>
      </c>
      <c r="EP513" s="269">
        <f t="shared" si="1329"/>
        <v>0</v>
      </c>
      <c r="EQ513" s="196">
        <f>'Detailed Budget'!$AC$211</f>
        <v>33947340419.387043</v>
      </c>
      <c r="ER513" s="269">
        <f t="shared" si="1330"/>
        <v>0</v>
      </c>
      <c r="ES513" s="269">
        <f t="shared" si="1373"/>
        <v>0</v>
      </c>
      <c r="ET513" s="196">
        <f>'Detailed Budget'!$AC$214</f>
        <v>22239745544.201103</v>
      </c>
      <c r="EU513" s="269">
        <f t="shared" si="1331"/>
        <v>0</v>
      </c>
      <c r="EV513" s="140">
        <f>'Detailed Budget'!$AC$217</f>
        <v>5559936386.0502758</v>
      </c>
      <c r="EW513" s="269">
        <f t="shared" si="1332"/>
        <v>0</v>
      </c>
      <c r="EX513" s="269">
        <f t="shared" si="1374"/>
        <v>0</v>
      </c>
      <c r="EY513" s="196">
        <f>'Detailed Budget'!$AC$219</f>
        <v>372777004.58170313</v>
      </c>
      <c r="EZ513" s="269">
        <f t="shared" si="1333"/>
        <v>0</v>
      </c>
      <c r="FA513" s="196">
        <f>'Detailed Budget'!$AC$222</f>
        <v>93194251.145425782</v>
      </c>
      <c r="FB513" s="269">
        <f t="shared" si="1334"/>
        <v>0</v>
      </c>
      <c r="FC513" s="269">
        <f t="shared" si="1375"/>
        <v>0</v>
      </c>
      <c r="FD513" s="269"/>
      <c r="FE513" s="269"/>
      <c r="FF513" s="140"/>
      <c r="FG513" s="1087">
        <f t="shared" si="1232"/>
        <v>0</v>
      </c>
      <c r="FJ513" s="140"/>
      <c r="FL513" s="269">
        <f t="shared" si="1235"/>
        <v>0</v>
      </c>
      <c r="FO513" s="607"/>
      <c r="FP513" s="607"/>
      <c r="FQ513" s="607"/>
      <c r="FT513" s="269">
        <f t="shared" si="1237"/>
        <v>0</v>
      </c>
      <c r="FU513" s="269"/>
      <c r="FV513" s="269"/>
      <c r="FW513" s="269"/>
      <c r="FX513" s="140">
        <f>'Detailed Budget'!$AC$278</f>
        <v>1114560000</v>
      </c>
      <c r="FY513" s="269"/>
      <c r="FZ513" s="269"/>
      <c r="GB513" s="269">
        <f t="shared" si="1264"/>
        <v>0</v>
      </c>
      <c r="GD513" s="1078">
        <f t="shared" si="1265"/>
        <v>0</v>
      </c>
    </row>
    <row r="514" spans="1:186" s="210" customFormat="1" collapsed="1">
      <c r="A514" s="203">
        <v>4.3</v>
      </c>
      <c r="B514" s="204" t="s">
        <v>1150</v>
      </c>
      <c r="C514" s="205">
        <f>COUNTA(C515:C527)</f>
        <v>13</v>
      </c>
      <c r="D514" s="205">
        <f t="shared" ref="D514:T514" si="1394">COUNTA(D515:D527)</f>
        <v>0</v>
      </c>
      <c r="E514" s="205">
        <f t="shared" si="1394"/>
        <v>0</v>
      </c>
      <c r="F514" s="205">
        <f t="shared" si="1394"/>
        <v>0</v>
      </c>
      <c r="G514" s="205">
        <f t="shared" si="1394"/>
        <v>13</v>
      </c>
      <c r="H514" s="205">
        <f t="shared" si="1394"/>
        <v>13</v>
      </c>
      <c r="I514" s="205">
        <f t="shared" si="1394"/>
        <v>13</v>
      </c>
      <c r="J514" s="205">
        <f t="shared" si="1394"/>
        <v>0</v>
      </c>
      <c r="K514" s="205">
        <f t="shared" si="1394"/>
        <v>13</v>
      </c>
      <c r="L514" s="205">
        <f t="shared" si="1394"/>
        <v>0</v>
      </c>
      <c r="M514" s="205">
        <f t="shared" si="1394"/>
        <v>0</v>
      </c>
      <c r="N514" s="205">
        <f t="shared" si="1394"/>
        <v>0</v>
      </c>
      <c r="O514" s="205">
        <f t="shared" si="1394"/>
        <v>0</v>
      </c>
      <c r="P514" s="205">
        <f t="shared" si="1394"/>
        <v>0</v>
      </c>
      <c r="Q514" s="205">
        <f t="shared" si="1394"/>
        <v>0</v>
      </c>
      <c r="R514" s="205">
        <f t="shared" si="1394"/>
        <v>13</v>
      </c>
      <c r="S514" s="205">
        <f t="shared" si="1394"/>
        <v>0</v>
      </c>
      <c r="T514" s="205">
        <f t="shared" si="1394"/>
        <v>0</v>
      </c>
      <c r="U514" s="206">
        <f>SUM(C514:T514)</f>
        <v>78</v>
      </c>
      <c r="V514" s="844"/>
      <c r="W514" s="207">
        <f>SUM(W515:W527)</f>
        <v>2176947</v>
      </c>
      <c r="X514" s="208">
        <v>2.82</v>
      </c>
      <c r="Y514" s="209">
        <f t="shared" si="1312"/>
        <v>1.0282</v>
      </c>
      <c r="Z514" s="207">
        <v>19</v>
      </c>
      <c r="AA514" s="209">
        <f t="shared" si="1313"/>
        <v>1.6961895806156848</v>
      </c>
      <c r="AB514" s="207">
        <f t="shared" si="1389"/>
        <v>3692514.818952573</v>
      </c>
      <c r="AC514" s="210">
        <v>14.9</v>
      </c>
      <c r="AD514" s="207">
        <f t="shared" si="1390"/>
        <v>550184.70802393334</v>
      </c>
      <c r="AE514" s="207">
        <f t="shared" si="1314"/>
        <v>522675.47262273665</v>
      </c>
      <c r="AF514" s="207">
        <f>SUM(AF515:AF527)</f>
        <v>0</v>
      </c>
      <c r="AG514" s="588">
        <f t="shared" si="1380"/>
        <v>2.4166219265756166E-2</v>
      </c>
      <c r="AH514" s="207">
        <f>SUM(AH515:AH527)</f>
        <v>184625.74094762863</v>
      </c>
      <c r="AI514" s="633">
        <f t="shared" si="1359"/>
        <v>1.4302676415891778E-2</v>
      </c>
      <c r="AJ514" s="207">
        <f>SUM(AJ515:AJ527)</f>
        <v>734810.44897156209</v>
      </c>
      <c r="AK514" s="207">
        <f t="shared" si="1391"/>
        <v>147700.59275810292</v>
      </c>
      <c r="AL514" s="207">
        <f t="shared" si="1392"/>
        <v>147700.59275810292</v>
      </c>
      <c r="AM514" s="207">
        <f t="shared" si="1361"/>
        <v>295401.18551620585</v>
      </c>
      <c r="AN514" s="632">
        <f t="shared" si="1362"/>
        <v>1.4302676415891781E-2</v>
      </c>
      <c r="AO514" s="207">
        <f t="shared" si="1363"/>
        <v>140315.56312019777</v>
      </c>
      <c r="AP514" s="588">
        <f t="shared" si="1381"/>
        <v>1.430267641589178E-2</v>
      </c>
      <c r="AQ514" s="207">
        <v>1</v>
      </c>
      <c r="AR514" s="588">
        <f>AQ514/37</f>
        <v>2.7027027027027029E-2</v>
      </c>
      <c r="AS514" s="207">
        <f>SUM(AS515:AS527)</f>
        <v>13</v>
      </c>
      <c r="AT514" s="588">
        <f t="shared" si="1382"/>
        <v>1.6795865633074936E-2</v>
      </c>
      <c r="AU514" s="207">
        <f>SUM(AU515:AU527)</f>
        <v>171</v>
      </c>
      <c r="AV514" s="892">
        <f t="shared" si="1364"/>
        <v>1.9429610271560049E-2</v>
      </c>
      <c r="AW514" s="207">
        <v>5530</v>
      </c>
      <c r="AX514" s="208">
        <f>AW514*0.002</f>
        <v>11.06</v>
      </c>
      <c r="AY514" s="207">
        <f>AX514*100</f>
        <v>1106</v>
      </c>
      <c r="AZ514" s="207">
        <f>SUM(AZ515:AZ527)</f>
        <v>517</v>
      </c>
      <c r="BA514" s="588">
        <f t="shared" si="1256"/>
        <v>1.8943974203950019E-2</v>
      </c>
      <c r="BB514" s="207">
        <v>14</v>
      </c>
      <c r="BC514" s="207">
        <v>3</v>
      </c>
      <c r="BD514" s="207">
        <f>BB514+BC514</f>
        <v>17</v>
      </c>
      <c r="BE514" s="633">
        <f>BD514/1306</f>
        <v>1.3016845329249618E-2</v>
      </c>
      <c r="BF514" s="207">
        <f>AZ514+BD514</f>
        <v>534</v>
      </c>
      <c r="BG514" s="588">
        <f>BF514/28597</f>
        <v>1.8673287407770047E-2</v>
      </c>
      <c r="BH514" s="1084">
        <v>49.3</v>
      </c>
      <c r="BI514" s="207"/>
      <c r="BJ514" s="207"/>
      <c r="BK514" s="892">
        <f t="shared" si="1257"/>
        <v>0</v>
      </c>
      <c r="BL514" s="892"/>
      <c r="BM514" s="892">
        <f t="shared" si="1258"/>
        <v>0</v>
      </c>
      <c r="BN514" s="207"/>
      <c r="BO514" s="207">
        <v>203632</v>
      </c>
      <c r="BP514" s="207">
        <f>SUM(BP515:BP527)</f>
        <v>203632.124419887</v>
      </c>
      <c r="BQ514" s="633">
        <f t="shared" si="1259"/>
        <v>1.9048836975994021E-2</v>
      </c>
      <c r="BR514" s="207">
        <f>AY514*0.5*24</f>
        <v>13272</v>
      </c>
      <c r="BS514" s="633">
        <f>BR514/2211211</f>
        <v>6.0021409083077099E-3</v>
      </c>
      <c r="BT514" s="634"/>
      <c r="BU514" s="207">
        <f>AD514*BT514*0.18</f>
        <v>0</v>
      </c>
      <c r="BV514" s="264">
        <f t="shared" si="1261"/>
        <v>0</v>
      </c>
      <c r="BW514" s="207">
        <f>AD514*BT514*0.77</f>
        <v>0</v>
      </c>
      <c r="BX514" s="247">
        <f t="shared" si="1263"/>
        <v>0</v>
      </c>
      <c r="BY514" s="207">
        <f>SUM(BY515:BY527)</f>
        <v>0</v>
      </c>
      <c r="CA514" s="207">
        <f>SUM(CA515:CA527)</f>
        <v>1129909.5345994874</v>
      </c>
      <c r="CB514" s="207">
        <f>SUM(CB515:CB527)</f>
        <v>2259819.0691989749</v>
      </c>
      <c r="CC514" s="207">
        <f>SUM(CC515:CC527)</f>
        <v>3389728.6037984625</v>
      </c>
      <c r="CD514" s="633">
        <f t="shared" si="1366"/>
        <v>1.4302676415891783E-2</v>
      </c>
      <c r="CE514" s="207">
        <f>SUM(CE515:CE527)</f>
        <v>293941.58756419929</v>
      </c>
      <c r="CF514" s="633">
        <f t="shared" si="1367"/>
        <v>1.2693311893388471E-2</v>
      </c>
      <c r="CG514" s="207">
        <f t="shared" si="1316"/>
        <v>561262.25248079107</v>
      </c>
      <c r="CH514" s="588">
        <f t="shared" si="1383"/>
        <v>1.430267641589178E-2</v>
      </c>
      <c r="CI514" s="207">
        <f t="shared" ref="CI514:CO514" si="1395">SUM(CI515:CI527)</f>
        <v>1084565.4244348453</v>
      </c>
      <c r="CJ514" s="633">
        <f t="shared" si="1384"/>
        <v>1.783025282471782E-2</v>
      </c>
      <c r="CK514" s="207">
        <f t="shared" si="1395"/>
        <v>937973.50222932431</v>
      </c>
      <c r="CL514" s="588">
        <f t="shared" si="1385"/>
        <v>1.3483562027464698E-2</v>
      </c>
      <c r="CM514" s="207">
        <f t="shared" si="1395"/>
        <v>90864.951779119219</v>
      </c>
      <c r="CN514" s="588">
        <f t="shared" si="1386"/>
        <v>1.3094672199839693E-2</v>
      </c>
      <c r="CO514" s="207">
        <f t="shared" si="1395"/>
        <v>7268.9961424356752</v>
      </c>
      <c r="CP514" s="588">
        <f t="shared" si="1387"/>
        <v>1.3708207093111147E-2</v>
      </c>
      <c r="CQ514" s="207">
        <f>'Detailed Budget'!$AC$12</f>
        <v>292876014141.44696</v>
      </c>
      <c r="CR514" s="605">
        <f t="shared" si="1393"/>
        <v>0</v>
      </c>
      <c r="CS514" s="605">
        <f>'Detailed Budget'!$AC$16</f>
        <v>10488008800.000002</v>
      </c>
      <c r="CT514" s="605">
        <f t="shared" si="1318"/>
        <v>0</v>
      </c>
      <c r="CU514" s="605">
        <f>'Detailed Budget'!$AC$24</f>
        <v>30624985696</v>
      </c>
      <c r="CV514" s="605">
        <f t="shared" si="1250"/>
        <v>0</v>
      </c>
      <c r="CW514" s="605"/>
      <c r="CX514" s="605">
        <f t="shared" si="1379"/>
        <v>0</v>
      </c>
      <c r="CY514" s="207">
        <f>'Detailed Budget'!$AC$97</f>
        <v>74629165494.837845</v>
      </c>
      <c r="CZ514" s="605">
        <f t="shared" si="1319"/>
        <v>1421598807.1656442</v>
      </c>
      <c r="DA514" s="605">
        <f>'Detailed Budget'!$AC$100</f>
        <v>14925833098.967569</v>
      </c>
      <c r="DB514" s="605">
        <f t="shared" si="1320"/>
        <v>284319761.43312889</v>
      </c>
      <c r="DC514" s="605">
        <f t="shared" si="1368"/>
        <v>1705918568.598773</v>
      </c>
      <c r="DD514" s="207">
        <f>SUM(DD515:DD527)</f>
        <v>0</v>
      </c>
      <c r="DE514" s="606">
        <v>0</v>
      </c>
      <c r="DF514" s="605">
        <f>'Detailed Budget'!$AC$147</f>
        <v>5913600671000</v>
      </c>
      <c r="DG514" s="605">
        <f t="shared" si="1230"/>
        <v>0</v>
      </c>
      <c r="DH514" s="605">
        <f>'Detailed Budget'!$AC$153</f>
        <v>226428026880.00003</v>
      </c>
      <c r="DI514" s="605">
        <f>BS514*DH514</f>
        <v>1359052922.923846</v>
      </c>
      <c r="DJ514" s="605">
        <f>'Detailed Budget'!$AC$156</f>
        <v>27713070000</v>
      </c>
      <c r="DK514" s="605">
        <f>AT514*DJ514</f>
        <v>465465000</v>
      </c>
      <c r="DL514" s="605">
        <f>DI514+DK514</f>
        <v>1824517922.923846</v>
      </c>
      <c r="DM514" s="207">
        <f>'Detailed Budget'!$AC$178</f>
        <v>5622683761.6229038</v>
      </c>
      <c r="DN514" s="605">
        <f>SUM(DN515:DN527)</f>
        <v>0</v>
      </c>
      <c r="DO514" s="605">
        <f>'Detailed Budget'!$AC$179</f>
        <v>26827890683.128094</v>
      </c>
      <c r="DP514" s="605">
        <f>SUM(DP515:DP527)</f>
        <v>0</v>
      </c>
      <c r="DQ514" s="605">
        <f>SUM(DQ515:DQ527)</f>
        <v>0</v>
      </c>
      <c r="DR514" s="605">
        <f>'Detailed Budget'!$AC$181</f>
        <v>50888946855.375237</v>
      </c>
      <c r="DS514" s="605">
        <f>SUM(DS515:DS527)</f>
        <v>0</v>
      </c>
      <c r="DT514" s="605">
        <f>SUM(DT515:DT527)</f>
        <v>0</v>
      </c>
      <c r="DU514" s="634">
        <f>'Detailed Budget'!$AC$192</f>
        <v>77498869683.252869</v>
      </c>
      <c r="DV514" s="605">
        <f t="shared" si="1321"/>
        <v>0</v>
      </c>
      <c r="DW514" s="930">
        <f>'Detailed Budget'!$AC$194</f>
        <v>2684962805.4134097</v>
      </c>
      <c r="DX514" s="605">
        <f t="shared" si="1322"/>
        <v>0</v>
      </c>
      <c r="DY514" s="605">
        <f t="shared" si="1369"/>
        <v>0</v>
      </c>
      <c r="DZ514" s="207">
        <f>'Detailed Budget'!$AC$198</f>
        <v>18732540018.380611</v>
      </c>
      <c r="EA514" s="605">
        <f t="shared" ref="EA514:EA527" si="1396">CF514*DZ514</f>
        <v>237777973.0086861</v>
      </c>
      <c r="EB514" s="207">
        <f>'Detailed Budget'!$AC$200</f>
        <v>4683135004.5951529</v>
      </c>
      <c r="EC514" s="605">
        <f t="shared" si="1324"/>
        <v>59444493.252171524</v>
      </c>
      <c r="ED514" s="605">
        <f t="shared" si="1370"/>
        <v>297222466.26085764</v>
      </c>
      <c r="EE514" s="207">
        <f>'Detailed Budget'!$AC$161</f>
        <v>251147290106.36197</v>
      </c>
      <c r="EF514" s="605">
        <f t="shared" si="1325"/>
        <v>3592078423.1193943</v>
      </c>
      <c r="EG514" s="207">
        <f>'Detailed Budget'!$AC$163</f>
        <v>15696705631.647623</v>
      </c>
      <c r="EH514" s="605">
        <f t="shared" si="1326"/>
        <v>224504901.44496214</v>
      </c>
      <c r="EI514" s="605">
        <f t="shared" si="1371"/>
        <v>3816583324.5643563</v>
      </c>
      <c r="EJ514" s="207">
        <f>'Detailed Budget'!$AC$204</f>
        <v>45012172507.531975</v>
      </c>
      <c r="EK514" s="605">
        <f t="shared" si="1327"/>
        <v>802578415.99910772</v>
      </c>
      <c r="EL514" s="207">
        <f>'Detailed Budget'!$AC$206</f>
        <v>11253043126.882994</v>
      </c>
      <c r="EM514" s="605">
        <f t="shared" si="1328"/>
        <v>200644603.99977693</v>
      </c>
      <c r="EN514" s="605">
        <f t="shared" si="1372"/>
        <v>1003223019.9988847</v>
      </c>
      <c r="EO514" s="930">
        <f>'Detailed Budget'!$AC$209</f>
        <v>135789361677.54817</v>
      </c>
      <c r="EP514" s="605">
        <f t="shared" si="1329"/>
        <v>1830924280.8490586</v>
      </c>
      <c r="EQ514" s="207">
        <f>'Detailed Budget'!$AC$211</f>
        <v>33947340419.387043</v>
      </c>
      <c r="ER514" s="605">
        <f t="shared" si="1330"/>
        <v>457731070.21226466</v>
      </c>
      <c r="ES514" s="605">
        <f t="shared" si="1373"/>
        <v>2288655351.0613232</v>
      </c>
      <c r="ET514" s="207">
        <f>'Detailed Budget'!$AC$214</f>
        <v>22239745544.201103</v>
      </c>
      <c r="EU514" s="605">
        <f t="shared" si="1331"/>
        <v>291222177.7091589</v>
      </c>
      <c r="EV514" s="930">
        <f>'Detailed Budget'!$AC$217</f>
        <v>5559936386.0502758</v>
      </c>
      <c r="EW514" s="605">
        <f t="shared" si="1332"/>
        <v>72805544.427289724</v>
      </c>
      <c r="EX514" s="605">
        <f t="shared" si="1374"/>
        <v>364027722.13644862</v>
      </c>
      <c r="EY514" s="207">
        <f>'Detailed Budget'!$AC$219</f>
        <v>372777004.58170313</v>
      </c>
      <c r="EZ514" s="605">
        <f t="shared" si="1333"/>
        <v>5110104.3783556297</v>
      </c>
      <c r="FA514" s="207">
        <f>'Detailed Budget'!$AC$222</f>
        <v>93194251.145425782</v>
      </c>
      <c r="FB514" s="605">
        <f t="shared" si="1334"/>
        <v>1277526.0945889074</v>
      </c>
      <c r="FC514" s="605">
        <f t="shared" si="1375"/>
        <v>6387630.4729445372</v>
      </c>
      <c r="FD514" s="605"/>
      <c r="FE514" s="605">
        <f t="shared" si="1376"/>
        <v>3662293723.669601</v>
      </c>
      <c r="FF514" s="930">
        <f>'Detailed Budget'!$AC$165</f>
        <v>14927760000</v>
      </c>
      <c r="FG514" s="1087">
        <f t="shared" si="1232"/>
        <v>4995611060.4192905</v>
      </c>
      <c r="FH514" s="605">
        <f t="shared" ref="FH514:FH527" si="1397">AV514*FF514</f>
        <v>290040559.02738321</v>
      </c>
      <c r="FI514" s="605"/>
      <c r="FJ514" s="930">
        <f>'Detailed Budget'!$AC$235</f>
        <v>3623696172</v>
      </c>
      <c r="FK514" s="605">
        <f t="shared" ref="FK514:FK527" si="1398">AT514*FJ514</f>
        <v>60863114</v>
      </c>
      <c r="FL514" s="605">
        <f t="shared" si="1235"/>
        <v>60863114</v>
      </c>
      <c r="FM514" s="605"/>
      <c r="FN514" s="605">
        <f>'Detailed Budget'!$AC$251</f>
        <v>1047595800</v>
      </c>
      <c r="FO514" s="605">
        <f>AR514*FN514</f>
        <v>28313400</v>
      </c>
      <c r="FP514" s="605">
        <f>'Detailed Budget'!$AB$254</f>
        <v>2773297530</v>
      </c>
      <c r="FQ514" s="605">
        <f>BE514*FP514</f>
        <v>36099585</v>
      </c>
      <c r="FR514" s="605">
        <f>'Detailed Budget'!$AC$257</f>
        <v>13636439388</v>
      </c>
      <c r="FS514" s="605">
        <f t="shared" ref="FS514:FS527" si="1399">BA514*FR514</f>
        <v>258328355.99999997</v>
      </c>
      <c r="FT514" s="605">
        <f t="shared" si="1237"/>
        <v>322741341</v>
      </c>
      <c r="FU514" s="605"/>
      <c r="FV514" s="605">
        <f>'Detailed Budget'!$AC$265</f>
        <v>6277805540</v>
      </c>
      <c r="FW514" s="605">
        <f>AR514*FV514</f>
        <v>169670420</v>
      </c>
      <c r="FX514" s="930">
        <f>'Detailed Budget'!$AC$278</f>
        <v>1114560000</v>
      </c>
      <c r="FY514" s="605">
        <f t="shared" ref="FY514:FY527" si="1400">AT514*FX514</f>
        <v>18720000</v>
      </c>
      <c r="FZ514" s="605">
        <f t="shared" si="1239"/>
        <v>188390420</v>
      </c>
      <c r="GB514" s="269">
        <f t="shared" si="1264"/>
        <v>17164182500.464109</v>
      </c>
      <c r="GC514" s="889">
        <f t="shared" si="1377"/>
        <v>10727614.062790068</v>
      </c>
      <c r="GD514" s="1078">
        <f t="shared" si="1265"/>
        <v>9.6313632857203558E-3</v>
      </c>
    </row>
    <row r="515" spans="1:186" hidden="1" outlineLevel="1">
      <c r="A515" s="211" t="s">
        <v>1151</v>
      </c>
      <c r="B515" s="212" t="s">
        <v>1152</v>
      </c>
      <c r="C515" s="213" t="s">
        <v>215</v>
      </c>
      <c r="D515" s="214"/>
      <c r="E515" s="213"/>
      <c r="F515" s="213"/>
      <c r="G515" s="213" t="s">
        <v>215</v>
      </c>
      <c r="H515" s="213" t="s">
        <v>215</v>
      </c>
      <c r="I515" s="214" t="s">
        <v>215</v>
      </c>
      <c r="J515" s="214"/>
      <c r="K515" s="213" t="s">
        <v>215</v>
      </c>
      <c r="L515" s="213"/>
      <c r="M515" s="214"/>
      <c r="N515" s="213"/>
      <c r="O515" s="214"/>
      <c r="P515" s="213"/>
      <c r="Q515" s="214"/>
      <c r="R515" s="214" t="s">
        <v>215</v>
      </c>
      <c r="S515" s="214"/>
      <c r="T515" s="214"/>
      <c r="U515" s="215">
        <f t="shared" ref="U515:U527" si="1401">COUNTA(C515:T515)</f>
        <v>6</v>
      </c>
      <c r="V515" s="845" t="s">
        <v>216</v>
      </c>
      <c r="W515" s="216">
        <v>149683</v>
      </c>
      <c r="X515" s="217">
        <v>2.82</v>
      </c>
      <c r="Y515" s="218">
        <f t="shared" si="1312"/>
        <v>1.0282</v>
      </c>
      <c r="Z515" s="196">
        <v>19</v>
      </c>
      <c r="AA515" s="218">
        <f t="shared" si="1313"/>
        <v>1.6961895806156848</v>
      </c>
      <c r="AB515" s="196">
        <f t="shared" si="1389"/>
        <v>253890.74499529754</v>
      </c>
      <c r="AC515">
        <v>14.9</v>
      </c>
      <c r="AD515" s="196">
        <f t="shared" si="1390"/>
        <v>37829.721004299332</v>
      </c>
      <c r="AE515" s="196">
        <f t="shared" si="1314"/>
        <v>35938.234954084364</v>
      </c>
      <c r="AF515" s="196">
        <f t="shared" ref="AF515:AF527" si="1402">AE515*BT515</f>
        <v>0</v>
      </c>
      <c r="AG515" s="606">
        <f t="shared" si="1380"/>
        <v>1.6616262124691968E-3</v>
      </c>
      <c r="AH515" s="196">
        <f>AB515*0.05</f>
        <v>12694.537249764879</v>
      </c>
      <c r="AI515" s="248">
        <f t="shared" si="1359"/>
        <v>9.8342656663663814E-4</v>
      </c>
      <c r="AJ515" s="196">
        <f t="shared" si="1360"/>
        <v>50524.258254064211</v>
      </c>
      <c r="AK515" s="196">
        <f t="shared" si="1391"/>
        <v>10155.629799811903</v>
      </c>
      <c r="AL515" s="196">
        <f t="shared" si="1392"/>
        <v>10155.629799811903</v>
      </c>
      <c r="AM515" s="196">
        <f t="shared" si="1361"/>
        <v>20311.259599623805</v>
      </c>
      <c r="AN515" s="627">
        <f t="shared" si="1362"/>
        <v>9.8342656663663814E-4</v>
      </c>
      <c r="AO515" s="196">
        <f t="shared" si="1363"/>
        <v>9647.8483098213073</v>
      </c>
      <c r="AP515" s="589">
        <f t="shared" si="1381"/>
        <v>9.8342656663663814E-4</v>
      </c>
      <c r="AQ515" s="196"/>
      <c r="AR515" s="589"/>
      <c r="AS515">
        <v>1</v>
      </c>
      <c r="AT515" s="589">
        <f t="shared" si="1382"/>
        <v>1.2919896640826874E-3</v>
      </c>
      <c r="AU515" s="196">
        <v>14</v>
      </c>
      <c r="AV515" s="245">
        <f t="shared" si="1364"/>
        <v>1.5907283263265539E-3</v>
      </c>
      <c r="AX515" s="245"/>
      <c r="AY515" s="245"/>
      <c r="AZ515" s="196">
        <v>32</v>
      </c>
      <c r="BA515" s="589">
        <f t="shared" si="1256"/>
        <v>1.1725477263566744E-3</v>
      </c>
      <c r="BI515" s="196">
        <v>0</v>
      </c>
      <c r="BK515" s="246">
        <f t="shared" si="1257"/>
        <v>0</v>
      </c>
      <c r="BL515" s="246"/>
      <c r="BM515" s="246">
        <f t="shared" si="1258"/>
        <v>0</v>
      </c>
      <c r="BN515" s="196">
        <v>1</v>
      </c>
      <c r="BO515" s="196">
        <f t="shared" ref="BO515:BO527" si="1403">AJ515/734810*203632</f>
        <v>14001.38233936882</v>
      </c>
      <c r="BP515" s="196">
        <f t="shared" si="1365"/>
        <v>14001.38233936882</v>
      </c>
      <c r="BQ515" s="248">
        <f t="shared" si="1259"/>
        <v>1.3097641169388652E-3</v>
      </c>
      <c r="BR515" s="248"/>
      <c r="BS515" s="248"/>
      <c r="BT515" s="276">
        <v>0</v>
      </c>
      <c r="BU515" s="196">
        <f t="shared" ref="BU515:BU527" si="1404">AD515*BT515*0.18*4</f>
        <v>0</v>
      </c>
      <c r="BV515" s="264">
        <f t="shared" si="1261"/>
        <v>0</v>
      </c>
      <c r="BW515" s="196">
        <f t="shared" ref="BW515:BW527" si="1405">AD515*BT515*0.77*4</f>
        <v>0</v>
      </c>
      <c r="BX515" s="247">
        <f t="shared" si="1263"/>
        <v>0</v>
      </c>
      <c r="BY515" s="196">
        <f t="shared" ref="BY515:BY527" si="1406">BU515+BW515</f>
        <v>0</v>
      </c>
      <c r="BZ515" s="620">
        <v>1</v>
      </c>
      <c r="CA515" s="196">
        <f t="shared" ref="CA515:CA527" si="1407">AK515*0.85*0.75*12</f>
        <v>77690.567968561052</v>
      </c>
      <c r="CB515" s="196">
        <f t="shared" ref="CB515:CB527" si="1408">AL515*0.85*0.75*2*12</f>
        <v>155381.1359371221</v>
      </c>
      <c r="CC515" s="196">
        <f t="shared" si="1378"/>
        <v>233071.70390568316</v>
      </c>
      <c r="CD515" s="247">
        <f t="shared" si="1366"/>
        <v>9.8342656663663814E-4</v>
      </c>
      <c r="CE515" s="196">
        <f t="shared" ref="CE515:CE527" si="1409">AH515/184626*293942</f>
        <v>20210.900243033961</v>
      </c>
      <c r="CF515" s="247">
        <f t="shared" si="1367"/>
        <v>8.7276952729582616E-4</v>
      </c>
      <c r="CG515" s="196">
        <f t="shared" si="1316"/>
        <v>38591.393239285229</v>
      </c>
      <c r="CH515" s="589">
        <f t="shared" si="1383"/>
        <v>9.8342656663663814E-4</v>
      </c>
      <c r="CI515" s="196">
        <f t="shared" ref="CI515:CI527" si="1410">AD515/550185*1084566</f>
        <v>74572.787681868664</v>
      </c>
      <c r="CJ515" s="248">
        <f t="shared" si="1384"/>
        <v>1.2259764401991585E-3</v>
      </c>
      <c r="CK515" s="196">
        <f t="shared" ref="CK515:CK527" si="1411">AD515/550185*937974</f>
        <v>64493.388095434559</v>
      </c>
      <c r="CL515" s="589">
        <f t="shared" si="1385"/>
        <v>9.2710571959583703E-4</v>
      </c>
      <c r="CM515" s="196">
        <f t="shared" ref="CM515:CM527" si="1412">AD515/550185*90865</f>
        <v>6247.7123132322013</v>
      </c>
      <c r="CN515" s="589">
        <f t="shared" si="1386"/>
        <v>9.0036634740698999E-4</v>
      </c>
      <c r="CO515" s="196">
        <f t="shared" ref="CO515:CO527" si="1413">AD515/550185*7269</f>
        <v>499.80323342194328</v>
      </c>
      <c r="CP515" s="589">
        <f t="shared" si="1387"/>
        <v>9.4255191436362748E-4</v>
      </c>
      <c r="CQ515" s="196">
        <f>'Detailed Budget'!$AC$12</f>
        <v>292876014141.44696</v>
      </c>
      <c r="CR515" s="269">
        <f t="shared" si="1393"/>
        <v>0</v>
      </c>
      <c r="CS515" s="269">
        <f>'Detailed Budget'!$AC$16</f>
        <v>10488008800.000002</v>
      </c>
      <c r="CT515" s="607">
        <f t="shared" si="1318"/>
        <v>0</v>
      </c>
      <c r="CU515" s="269">
        <f>'Detailed Budget'!$AC$24</f>
        <v>30624985696</v>
      </c>
      <c r="CV515" s="269">
        <f t="shared" si="1250"/>
        <v>0</v>
      </c>
      <c r="CW515" s="269"/>
      <c r="CX515" s="269">
        <f t="shared" si="1379"/>
        <v>0</v>
      </c>
      <c r="CY515" s="196">
        <f>'Detailed Budget'!$AC$97</f>
        <v>74629165494.837845</v>
      </c>
      <c r="CZ515" s="269">
        <f t="shared" si="1319"/>
        <v>97746603.042230725</v>
      </c>
      <c r="DA515" s="269">
        <f>'Detailed Budget'!$AC$100</f>
        <v>14925833098.967569</v>
      </c>
      <c r="DB515" s="269">
        <f t="shared" si="1320"/>
        <v>19549320.608446144</v>
      </c>
      <c r="DC515" s="269">
        <f t="shared" si="1368"/>
        <v>117295923.65067688</v>
      </c>
      <c r="DD515" s="207">
        <v>0</v>
      </c>
      <c r="DE515" s="606">
        <v>0</v>
      </c>
      <c r="DF515" s="269">
        <f>'Detailed Budget'!$AC$147</f>
        <v>5913600671000</v>
      </c>
      <c r="DG515" s="269">
        <f t="shared" si="1230"/>
        <v>0</v>
      </c>
      <c r="DH515" s="269">
        <f>'Detailed Budget'!$AC$153</f>
        <v>226428026880.00003</v>
      </c>
      <c r="DI515" s="269"/>
      <c r="DJ515" s="269">
        <f>'Detailed Budget'!$AC$156</f>
        <v>27713070000</v>
      </c>
      <c r="DK515" s="269"/>
      <c r="DL515" s="269"/>
      <c r="DM515" s="196">
        <f>'Detailed Budget'!$AC$178</f>
        <v>5622683761.6229038</v>
      </c>
      <c r="DN515" s="269">
        <f t="shared" ref="DN515:DN527" si="1414">BT515*BV515*DM515</f>
        <v>0</v>
      </c>
      <c r="DO515" s="196">
        <f>'Detailed Budget'!$AC$179</f>
        <v>26827890683.128094</v>
      </c>
      <c r="DP515" s="269">
        <f t="shared" ref="DP515:DP527" si="1415">BT515*BX515*DO515</f>
        <v>0</v>
      </c>
      <c r="DQ515" s="269">
        <f t="shared" si="1388"/>
        <v>0</v>
      </c>
      <c r="DR515" s="269">
        <f>'Detailed Budget'!$AC$181</f>
        <v>50888946855.375237</v>
      </c>
      <c r="DS515" s="269">
        <f t="shared" ref="DS515:DS527" si="1416">BT515*AG515*DR515</f>
        <v>0</v>
      </c>
      <c r="DT515" s="269">
        <f t="shared" ref="DT515:DT527" si="1417">DQ515+DS515</f>
        <v>0</v>
      </c>
      <c r="DU515" s="272">
        <f>'Detailed Budget'!$AC$192</f>
        <v>77498869683.252869</v>
      </c>
      <c r="DV515" s="269">
        <f t="shared" si="1321"/>
        <v>76214447.330821618</v>
      </c>
      <c r="DW515" s="140">
        <f>'Detailed Budget'!$AC$194</f>
        <v>2684962805.4134097</v>
      </c>
      <c r="DX515" s="269">
        <f t="shared" si="1322"/>
        <v>2640463.7532747854</v>
      </c>
      <c r="DY515" s="607">
        <f t="shared" si="1369"/>
        <v>78854911.084096402</v>
      </c>
      <c r="DZ515" s="196">
        <f>'Detailed Budget'!$AC$198</f>
        <v>18732540018.380611</v>
      </c>
      <c r="EA515" s="269">
        <f t="shared" si="1396"/>
        <v>16349190.096892193</v>
      </c>
      <c r="EB515" s="196">
        <f>'Detailed Budget'!$AC$200</f>
        <v>4683135004.5951529</v>
      </c>
      <c r="EC515" s="269">
        <f t="shared" si="1324"/>
        <v>4087297.5242230482</v>
      </c>
      <c r="ED515" s="269">
        <f t="shared" si="1370"/>
        <v>20436487.621115241</v>
      </c>
      <c r="EE515" s="196">
        <f>'Detailed Budget'!$AC$161</f>
        <v>251147290106.36197</v>
      </c>
      <c r="EF515" s="269">
        <f t="shared" si="1325"/>
        <v>246984917.22939527</v>
      </c>
      <c r="EG515" s="196">
        <f>'Detailed Budget'!$AC$163</f>
        <v>15696705631.647623</v>
      </c>
      <c r="EH515" s="269">
        <f t="shared" si="1326"/>
        <v>15436557.326837204</v>
      </c>
      <c r="EI515" s="269">
        <f t="shared" si="1371"/>
        <v>262421474.55623248</v>
      </c>
      <c r="EJ515" s="196">
        <f>'Detailed Budget'!$AC$204</f>
        <v>45012172507.531975</v>
      </c>
      <c r="EK515" s="269">
        <f t="shared" si="1327"/>
        <v>55183863.016414478</v>
      </c>
      <c r="EL515" s="201">
        <f>'Detailed Budget'!$AC$206</f>
        <v>11253043126.882994</v>
      </c>
      <c r="EM515" s="269">
        <f t="shared" si="1328"/>
        <v>13795965.75410362</v>
      </c>
      <c r="EN515" s="269">
        <f t="shared" si="1372"/>
        <v>68979828.770518094</v>
      </c>
      <c r="EO515" s="140">
        <f>'Detailed Budget'!$AC$209</f>
        <v>135789361677.54817</v>
      </c>
      <c r="EP515" s="269">
        <f t="shared" si="1329"/>
        <v>125891093.87152268</v>
      </c>
      <c r="EQ515" s="196">
        <f>'Detailed Budget'!$AC$211</f>
        <v>33947340419.387043</v>
      </c>
      <c r="ER515" s="269">
        <f t="shared" si="1330"/>
        <v>31472773.46788067</v>
      </c>
      <c r="ES515" s="269">
        <f t="shared" si="1373"/>
        <v>157363867.33940336</v>
      </c>
      <c r="ET515" s="196">
        <f>'Detailed Budget'!$AC$214</f>
        <v>22239745544.201103</v>
      </c>
      <c r="EU515" s="269">
        <f t="shared" si="1331"/>
        <v>20023918.462893229</v>
      </c>
      <c r="EV515" s="140">
        <f>'Detailed Budget'!$AC$217</f>
        <v>5559936386.0502758</v>
      </c>
      <c r="EW515" s="269">
        <f t="shared" si="1332"/>
        <v>5005979.6157233072</v>
      </c>
      <c r="EX515" s="269">
        <f t="shared" si="1374"/>
        <v>25029898.078616537</v>
      </c>
      <c r="EY515" s="196">
        <f>'Detailed Budget'!$AC$219</f>
        <v>372777004.58170313</v>
      </c>
      <c r="EZ515" s="269">
        <f t="shared" si="1333"/>
        <v>351361.679299223</v>
      </c>
      <c r="FA515" s="196">
        <f>'Detailed Budget'!$AC$222</f>
        <v>93194251.145425782</v>
      </c>
      <c r="FB515" s="269">
        <f t="shared" si="1334"/>
        <v>87840.419824805751</v>
      </c>
      <c r="FC515" s="269">
        <f t="shared" si="1375"/>
        <v>439202.09912402875</v>
      </c>
      <c r="FD515" s="269"/>
      <c r="FE515" s="269">
        <f t="shared" si="1376"/>
        <v>251812796.287662</v>
      </c>
      <c r="FF515" s="140">
        <f>'Detailed Budget'!$AC$165</f>
        <v>14927760000</v>
      </c>
      <c r="FG515" s="1087">
        <f t="shared" si="1232"/>
        <v>343489322.59569967</v>
      </c>
      <c r="FH515" s="269">
        <f t="shared" si="1397"/>
        <v>23746010.68060448</v>
      </c>
      <c r="FJ515" s="140">
        <f>'Detailed Budget'!$AC$235</f>
        <v>3623696172</v>
      </c>
      <c r="FK515" s="269">
        <f t="shared" si="1398"/>
        <v>4681778</v>
      </c>
      <c r="FL515" s="269">
        <f t="shared" si="1235"/>
        <v>4681778</v>
      </c>
      <c r="FO515" s="607"/>
      <c r="FP515" s="607"/>
      <c r="FQ515" s="607"/>
      <c r="FR515" s="269">
        <f>'Detailed Budget'!$AC$257</f>
        <v>13636439388</v>
      </c>
      <c r="FS515" s="269">
        <f t="shared" si="1399"/>
        <v>15989376</v>
      </c>
      <c r="FT515" s="269">
        <f t="shared" si="1237"/>
        <v>15989376</v>
      </c>
      <c r="FU515" s="269"/>
      <c r="FV515" s="269"/>
      <c r="FW515" s="269"/>
      <c r="FX515" s="140">
        <f>'Detailed Budget'!$AC$278</f>
        <v>1114560000</v>
      </c>
      <c r="FY515" s="269">
        <f t="shared" si="1400"/>
        <v>1440000</v>
      </c>
      <c r="FZ515" s="269">
        <f t="shared" si="1239"/>
        <v>1440000</v>
      </c>
      <c r="GB515" s="269">
        <f t="shared" si="1264"/>
        <v>1120168080.4760871</v>
      </c>
      <c r="GC515" s="887">
        <f t="shared" si="1377"/>
        <v>700105.05029755447</v>
      </c>
      <c r="GD515" s="1078">
        <f t="shared" si="1265"/>
        <v>6.2856158304314862E-4</v>
      </c>
    </row>
    <row r="516" spans="1:186" hidden="1" outlineLevel="1">
      <c r="A516" s="211" t="s">
        <v>1153</v>
      </c>
      <c r="B516" s="212" t="s">
        <v>1154</v>
      </c>
      <c r="C516" s="213" t="s">
        <v>215</v>
      </c>
      <c r="D516" s="214"/>
      <c r="E516" s="213"/>
      <c r="F516" s="213"/>
      <c r="G516" s="213" t="s">
        <v>215</v>
      </c>
      <c r="H516" s="213" t="s">
        <v>215</v>
      </c>
      <c r="I516" s="214" t="s">
        <v>215</v>
      </c>
      <c r="J516" s="214"/>
      <c r="K516" s="213" t="s">
        <v>215</v>
      </c>
      <c r="L516" s="213"/>
      <c r="M516" s="214"/>
      <c r="N516" s="213"/>
      <c r="O516" s="214"/>
      <c r="P516" s="213"/>
      <c r="Q516" s="214"/>
      <c r="R516" s="214" t="s">
        <v>215</v>
      </c>
      <c r="S516" s="214"/>
      <c r="T516" s="214"/>
      <c r="U516" s="215">
        <f t="shared" si="1401"/>
        <v>6</v>
      </c>
      <c r="V516" s="845" t="s">
        <v>216</v>
      </c>
      <c r="W516" s="216">
        <v>156649</v>
      </c>
      <c r="X516" s="217">
        <v>2.82</v>
      </c>
      <c r="Y516" s="218">
        <f t="shared" si="1312"/>
        <v>1.0282</v>
      </c>
      <c r="Z516" s="196">
        <v>19</v>
      </c>
      <c r="AA516" s="218">
        <f t="shared" si="1313"/>
        <v>1.6961895806156848</v>
      </c>
      <c r="AB516" s="196">
        <f t="shared" si="1389"/>
        <v>265706.40161386639</v>
      </c>
      <c r="AC516">
        <v>14.9</v>
      </c>
      <c r="AD516" s="196">
        <f t="shared" si="1390"/>
        <v>39590.253840466088</v>
      </c>
      <c r="AE516" s="196">
        <f t="shared" si="1314"/>
        <v>37610.741148442779</v>
      </c>
      <c r="AF516" s="196">
        <f t="shared" si="1402"/>
        <v>0</v>
      </c>
      <c r="AG516" s="606">
        <f t="shared" si="1380"/>
        <v>1.7389555564565591E-3</v>
      </c>
      <c r="AH516" s="196">
        <f t="shared" ref="AH516:AH527" si="1418">AB516*0.05</f>
        <v>13285.32008069332</v>
      </c>
      <c r="AI516" s="248">
        <f t="shared" si="1359"/>
        <v>1.0291936174252434E-3</v>
      </c>
      <c r="AJ516" s="196">
        <f t="shared" si="1360"/>
        <v>52875.573921159405</v>
      </c>
      <c r="AK516" s="196">
        <f t="shared" si="1391"/>
        <v>10628.256064554656</v>
      </c>
      <c r="AL516" s="196">
        <f t="shared" si="1392"/>
        <v>10628.256064554656</v>
      </c>
      <c r="AM516" s="196">
        <f t="shared" si="1361"/>
        <v>21256.512129109313</v>
      </c>
      <c r="AN516" s="627">
        <f t="shared" si="1362"/>
        <v>1.0291936174252436E-3</v>
      </c>
      <c r="AO516" s="196">
        <f t="shared" si="1363"/>
        <v>10096.843261326923</v>
      </c>
      <c r="AP516" s="589">
        <f t="shared" si="1381"/>
        <v>1.0291936174252436E-3</v>
      </c>
      <c r="AQ516" s="196"/>
      <c r="AR516" s="589"/>
      <c r="AS516">
        <v>1</v>
      </c>
      <c r="AT516" s="589">
        <f t="shared" si="1382"/>
        <v>1.2919896640826874E-3</v>
      </c>
      <c r="AU516" s="196">
        <v>12</v>
      </c>
      <c r="AV516" s="245">
        <f t="shared" si="1364"/>
        <v>1.3634814225656176E-3</v>
      </c>
      <c r="AX516" s="245"/>
      <c r="AY516" s="245"/>
      <c r="AZ516" s="196">
        <v>41</v>
      </c>
      <c r="BA516" s="589">
        <f t="shared" si="1256"/>
        <v>1.5023267743944891E-3</v>
      </c>
      <c r="BI516" s="196">
        <v>0</v>
      </c>
      <c r="BK516" s="246">
        <f t="shared" si="1257"/>
        <v>0</v>
      </c>
      <c r="BL516" s="246"/>
      <c r="BM516" s="246">
        <f t="shared" si="1258"/>
        <v>0</v>
      </c>
      <c r="BN516" s="196">
        <v>1</v>
      </c>
      <c r="BO516" s="196">
        <f t="shared" si="1403"/>
        <v>14652.983585843322</v>
      </c>
      <c r="BP516" s="196">
        <f t="shared" si="1365"/>
        <v>14652.983585843322</v>
      </c>
      <c r="BQ516" s="248">
        <f t="shared" si="1259"/>
        <v>1.370718379203759E-3</v>
      </c>
      <c r="BR516" s="248"/>
      <c r="BS516" s="248"/>
      <c r="BT516" s="276">
        <v>0</v>
      </c>
      <c r="BU516" s="196">
        <f t="shared" si="1404"/>
        <v>0</v>
      </c>
      <c r="BV516" s="264">
        <f t="shared" si="1261"/>
        <v>0</v>
      </c>
      <c r="BW516" s="196">
        <f t="shared" si="1405"/>
        <v>0</v>
      </c>
      <c r="BX516" s="247">
        <f t="shared" si="1263"/>
        <v>0</v>
      </c>
      <c r="BY516" s="196">
        <f t="shared" si="1406"/>
        <v>0</v>
      </c>
      <c r="BZ516" s="620">
        <v>1</v>
      </c>
      <c r="CA516" s="196">
        <f t="shared" si="1407"/>
        <v>81306.158893843109</v>
      </c>
      <c r="CB516" s="196">
        <f t="shared" si="1408"/>
        <v>162612.31778768622</v>
      </c>
      <c r="CC516" s="196">
        <f t="shared" si="1378"/>
        <v>243918.47668152931</v>
      </c>
      <c r="CD516" s="247">
        <f t="shared" si="1366"/>
        <v>1.0291936174252434E-3</v>
      </c>
      <c r="CE516" s="196">
        <f t="shared" si="1409"/>
        <v>21151.482213551484</v>
      </c>
      <c r="CF516" s="247">
        <f t="shared" si="1367"/>
        <v>9.1338678194159576E-4</v>
      </c>
      <c r="CG516" s="196">
        <f t="shared" si="1316"/>
        <v>40387.373045307693</v>
      </c>
      <c r="CH516" s="589">
        <f t="shared" si="1383"/>
        <v>1.0291936174252436E-3</v>
      </c>
      <c r="CI516" s="196">
        <f t="shared" si="1410"/>
        <v>78043.282253676385</v>
      </c>
      <c r="CJ516" s="248">
        <f t="shared" si="1384"/>
        <v>1.2830313621503974E-3</v>
      </c>
      <c r="CK516" s="196">
        <f t="shared" si="1411"/>
        <v>67494.804030930216</v>
      </c>
      <c r="CL516" s="589">
        <f t="shared" si="1385"/>
        <v>9.7025169103350591E-4</v>
      </c>
      <c r="CM516" s="196">
        <f t="shared" si="1412"/>
        <v>6538.470542115745</v>
      </c>
      <c r="CN516" s="589">
        <f t="shared" si="1386"/>
        <v>9.422679125549165E-4</v>
      </c>
      <c r="CO516" s="196">
        <f t="shared" si="1413"/>
        <v>523.0632517541336</v>
      </c>
      <c r="CP516" s="589">
        <f t="shared" si="1387"/>
        <v>9.8641672623576396E-4</v>
      </c>
      <c r="CQ516" s="196">
        <f>'Detailed Budget'!$AC$12</f>
        <v>292876014141.44696</v>
      </c>
      <c r="CR516" s="269">
        <f t="shared" si="1393"/>
        <v>0</v>
      </c>
      <c r="CS516" s="269">
        <f>'Detailed Budget'!$AC$16</f>
        <v>10488008800.000002</v>
      </c>
      <c r="CT516" s="607">
        <f t="shared" si="1318"/>
        <v>0</v>
      </c>
      <c r="CU516" s="269">
        <f>'Detailed Budget'!$AC$24</f>
        <v>30624985696</v>
      </c>
      <c r="CV516" s="269">
        <f t="shared" si="1250"/>
        <v>0</v>
      </c>
      <c r="CW516" s="269"/>
      <c r="CX516" s="269">
        <f t="shared" si="1379"/>
        <v>0</v>
      </c>
      <c r="CY516" s="196">
        <f>'Detailed Budget'!$AC$97</f>
        <v>74629165494.837845</v>
      </c>
      <c r="CZ516" s="269">
        <f t="shared" si="1319"/>
        <v>102295568.76841323</v>
      </c>
      <c r="DA516" s="269">
        <f>'Detailed Budget'!$AC$100</f>
        <v>14925833098.967569</v>
      </c>
      <c r="DB516" s="269">
        <f t="shared" si="1320"/>
        <v>20459113.753682647</v>
      </c>
      <c r="DC516" s="269">
        <f t="shared" si="1368"/>
        <v>122754682.52209587</v>
      </c>
      <c r="DD516" s="207">
        <v>0</v>
      </c>
      <c r="DE516" s="606">
        <v>0</v>
      </c>
      <c r="DF516" s="269">
        <f>'Detailed Budget'!$AC$147</f>
        <v>5913600671000</v>
      </c>
      <c r="DG516" s="269">
        <f t="shared" si="1230"/>
        <v>0</v>
      </c>
      <c r="DH516" s="269">
        <f>'Detailed Budget'!$AC$153</f>
        <v>226428026880.00003</v>
      </c>
      <c r="DI516" s="269"/>
      <c r="DJ516" s="269">
        <f>'Detailed Budget'!$AC$156</f>
        <v>27713070000</v>
      </c>
      <c r="DK516" s="269"/>
      <c r="DL516" s="269"/>
      <c r="DM516" s="196">
        <f>'Detailed Budget'!$AC$178</f>
        <v>5622683761.6229038</v>
      </c>
      <c r="DN516" s="269">
        <f t="shared" si="1414"/>
        <v>0</v>
      </c>
      <c r="DO516" s="196">
        <f>'Detailed Budget'!$AC$179</f>
        <v>26827890683.128094</v>
      </c>
      <c r="DP516" s="269">
        <f t="shared" si="1415"/>
        <v>0</v>
      </c>
      <c r="DQ516" s="269">
        <f t="shared" si="1388"/>
        <v>0</v>
      </c>
      <c r="DR516" s="269">
        <f>'Detailed Budget'!$AC$181</f>
        <v>50888946855.375237</v>
      </c>
      <c r="DS516" s="269">
        <f t="shared" si="1416"/>
        <v>0</v>
      </c>
      <c r="DT516" s="269">
        <f t="shared" si="1417"/>
        <v>0</v>
      </c>
      <c r="DU516" s="272">
        <f>'Detailed Budget'!$AC$192</f>
        <v>77498869683.252869</v>
      </c>
      <c r="DV516" s="269">
        <f t="shared" si="1321"/>
        <v>79761342.035674542</v>
      </c>
      <c r="DW516" s="140">
        <f>'Detailed Budget'!$AC$194</f>
        <v>2684962805.4134097</v>
      </c>
      <c r="DX516" s="269">
        <f t="shared" si="1322"/>
        <v>2763346.5823556576</v>
      </c>
      <c r="DY516" s="607">
        <f t="shared" si="1369"/>
        <v>82524688.618030205</v>
      </c>
      <c r="DZ516" s="196">
        <f>'Detailed Budget'!$AC$198</f>
        <v>18732540018.380611</v>
      </c>
      <c r="EA516" s="269">
        <f t="shared" si="1396"/>
        <v>17110054.444980826</v>
      </c>
      <c r="EB516" s="196">
        <f>'Detailed Budget'!$AC$200</f>
        <v>4683135004.5951529</v>
      </c>
      <c r="EC516" s="269">
        <f t="shared" si="1324"/>
        <v>4277513.6112452066</v>
      </c>
      <c r="ED516" s="269">
        <f t="shared" si="1370"/>
        <v>21387568.056226034</v>
      </c>
      <c r="EE516" s="196">
        <f>'Detailed Budget'!$AC$161</f>
        <v>251147290106.36197</v>
      </c>
      <c r="EF516" s="269">
        <f t="shared" si="1325"/>
        <v>258479188.01111376</v>
      </c>
      <c r="EG516" s="196">
        <f>'Detailed Budget'!$AC$163</f>
        <v>15696705631.647623</v>
      </c>
      <c r="EH516" s="269">
        <f t="shared" si="1326"/>
        <v>16154949.25069461</v>
      </c>
      <c r="EI516" s="269">
        <f t="shared" si="1371"/>
        <v>274634137.2618084</v>
      </c>
      <c r="EJ516" s="196">
        <f>'Detailed Budget'!$AC$204</f>
        <v>45012172507.531975</v>
      </c>
      <c r="EK516" s="269">
        <f t="shared" si="1327"/>
        <v>57752029.005687416</v>
      </c>
      <c r="EL516" s="201">
        <f>'Detailed Budget'!$AC$206</f>
        <v>11253043126.882994</v>
      </c>
      <c r="EM516" s="269">
        <f t="shared" si="1328"/>
        <v>14438007.251421854</v>
      </c>
      <c r="EN516" s="269">
        <f t="shared" si="1372"/>
        <v>72190036.257109269</v>
      </c>
      <c r="EO516" s="140">
        <f>'Detailed Budget'!$AC$209</f>
        <v>135789361677.54817</v>
      </c>
      <c r="EP516" s="269">
        <f t="shared" si="1329"/>
        <v>131749857.79200146</v>
      </c>
      <c r="EQ516" s="196">
        <f>'Detailed Budget'!$AC$211</f>
        <v>33947340419.387043</v>
      </c>
      <c r="ER516" s="269">
        <f t="shared" si="1330"/>
        <v>32937464.448000364</v>
      </c>
      <c r="ES516" s="269">
        <f t="shared" si="1373"/>
        <v>164687322.24000183</v>
      </c>
      <c r="ET516" s="196">
        <f>'Detailed Budget'!$AC$214</f>
        <v>22239745544.201103</v>
      </c>
      <c r="EU516" s="269">
        <f t="shared" si="1331"/>
        <v>20955798.609686878</v>
      </c>
      <c r="EV516" s="140">
        <f>'Detailed Budget'!$AC$217</f>
        <v>5559936386.0502758</v>
      </c>
      <c r="EW516" s="269">
        <f t="shared" si="1332"/>
        <v>5238949.6524217194</v>
      </c>
      <c r="EX516" s="269">
        <f t="shared" si="1374"/>
        <v>26194748.262108598</v>
      </c>
      <c r="EY516" s="196">
        <f>'Detailed Budget'!$AC$219</f>
        <v>372777004.58170313</v>
      </c>
      <c r="EZ516" s="269">
        <f t="shared" si="1333"/>
        <v>367713.47247545799</v>
      </c>
      <c r="FA516" s="196">
        <f>'Detailed Budget'!$AC$222</f>
        <v>93194251.145425782</v>
      </c>
      <c r="FB516" s="269">
        <f t="shared" si="1334"/>
        <v>91928.368118864499</v>
      </c>
      <c r="FC516" s="269">
        <f t="shared" si="1375"/>
        <v>459641.84059432248</v>
      </c>
      <c r="FD516" s="269"/>
      <c r="FE516" s="269">
        <f t="shared" si="1376"/>
        <v>263531748.599814</v>
      </c>
      <c r="FF516" s="140">
        <f>'Detailed Budget'!$AC$165</f>
        <v>14927760000</v>
      </c>
      <c r="FG516" s="1087">
        <f t="shared" si="1232"/>
        <v>359474749.27208668</v>
      </c>
      <c r="FH516" s="269">
        <f t="shared" si="1397"/>
        <v>20353723.440518126</v>
      </c>
      <c r="FJ516" s="140">
        <f>'Detailed Budget'!$AC$235</f>
        <v>3623696172</v>
      </c>
      <c r="FK516" s="269">
        <f t="shared" si="1398"/>
        <v>4681778</v>
      </c>
      <c r="FL516" s="269">
        <f t="shared" si="1235"/>
        <v>4681778</v>
      </c>
      <c r="FO516" s="607"/>
      <c r="FP516" s="607"/>
      <c r="FQ516" s="607"/>
      <c r="FR516" s="269">
        <f>'Detailed Budget'!$AC$257</f>
        <v>13636439388</v>
      </c>
      <c r="FS516" s="269">
        <f t="shared" si="1399"/>
        <v>20486388</v>
      </c>
      <c r="FT516" s="269">
        <f t="shared" si="1237"/>
        <v>20486388</v>
      </c>
      <c r="FU516" s="269"/>
      <c r="FV516" s="269"/>
      <c r="FW516" s="269"/>
      <c r="FX516" s="140">
        <f>'Detailed Budget'!$AC$278</f>
        <v>1114560000</v>
      </c>
      <c r="FY516" s="269">
        <f t="shared" si="1400"/>
        <v>1440000</v>
      </c>
      <c r="FZ516" s="269">
        <f t="shared" si="1239"/>
        <v>1440000</v>
      </c>
      <c r="GB516" s="269">
        <f t="shared" si="1264"/>
        <v>1171269463.7705793</v>
      </c>
      <c r="GC516" s="887">
        <f t="shared" si="1377"/>
        <v>732043.4148566121</v>
      </c>
      <c r="GD516" s="1078">
        <f t="shared" si="1265"/>
        <v>6.5723617834640802E-4</v>
      </c>
    </row>
    <row r="517" spans="1:186" hidden="1" outlineLevel="1">
      <c r="A517" s="211" t="s">
        <v>1155</v>
      </c>
      <c r="B517" s="212" t="s">
        <v>1156</v>
      </c>
      <c r="C517" s="213" t="s">
        <v>215</v>
      </c>
      <c r="D517" s="214"/>
      <c r="E517" s="213"/>
      <c r="F517" s="213"/>
      <c r="G517" s="213" t="s">
        <v>215</v>
      </c>
      <c r="H517" s="213" t="s">
        <v>215</v>
      </c>
      <c r="I517" s="214" t="s">
        <v>215</v>
      </c>
      <c r="J517" s="214"/>
      <c r="K517" s="213" t="s">
        <v>215</v>
      </c>
      <c r="L517" s="213"/>
      <c r="M517" s="214"/>
      <c r="N517" s="213"/>
      <c r="O517" s="214"/>
      <c r="P517" s="213"/>
      <c r="Q517" s="214"/>
      <c r="R517" s="214" t="s">
        <v>215</v>
      </c>
      <c r="S517" s="214"/>
      <c r="T517" s="214"/>
      <c r="U517" s="215">
        <f t="shared" si="1401"/>
        <v>6</v>
      </c>
      <c r="V517" s="845" t="s">
        <v>216</v>
      </c>
      <c r="W517" s="216">
        <v>157542</v>
      </c>
      <c r="X517" s="217">
        <v>2.82</v>
      </c>
      <c r="Y517" s="218">
        <f t="shared" si="1312"/>
        <v>1.0282</v>
      </c>
      <c r="Z517" s="196">
        <v>19</v>
      </c>
      <c r="AA517" s="218">
        <f t="shared" si="1313"/>
        <v>1.6961895806156848</v>
      </c>
      <c r="AB517" s="196">
        <f t="shared" si="1389"/>
        <v>267221.09890935622</v>
      </c>
      <c r="AC517">
        <v>14.9</v>
      </c>
      <c r="AD517" s="196">
        <f t="shared" si="1390"/>
        <v>39815.943737494083</v>
      </c>
      <c r="AE517" s="196">
        <f t="shared" si="1314"/>
        <v>37825.146550619378</v>
      </c>
      <c r="AF517" s="196">
        <f t="shared" si="1402"/>
        <v>0</v>
      </c>
      <c r="AG517" s="606">
        <f t="shared" si="1380"/>
        <v>1.7488687209958531E-3</v>
      </c>
      <c r="AH517" s="196">
        <f t="shared" si="1418"/>
        <v>13361.054945467811</v>
      </c>
      <c r="AI517" s="248">
        <f t="shared" si="1359"/>
        <v>1.035060682649795E-3</v>
      </c>
      <c r="AJ517" s="196">
        <f t="shared" si="1360"/>
        <v>53176.998682961894</v>
      </c>
      <c r="AK517" s="196">
        <f t="shared" si="1391"/>
        <v>10688.843956374249</v>
      </c>
      <c r="AL517" s="196">
        <f t="shared" si="1392"/>
        <v>10688.843956374249</v>
      </c>
      <c r="AM517" s="196">
        <f t="shared" si="1361"/>
        <v>21377.687912748497</v>
      </c>
      <c r="AN517" s="627">
        <f t="shared" si="1362"/>
        <v>1.035060682649795E-3</v>
      </c>
      <c r="AO517" s="196">
        <f t="shared" si="1363"/>
        <v>10154.401758555536</v>
      </c>
      <c r="AP517" s="589">
        <f t="shared" si="1381"/>
        <v>1.0350606826497947E-3</v>
      </c>
      <c r="AQ517" s="196"/>
      <c r="AR517" s="589"/>
      <c r="AS517">
        <v>1</v>
      </c>
      <c r="AT517" s="589">
        <f t="shared" si="1382"/>
        <v>1.2919896640826874E-3</v>
      </c>
      <c r="AU517" s="196">
        <v>11</v>
      </c>
      <c r="AV517" s="245">
        <f t="shared" si="1364"/>
        <v>1.2498579706851495E-3</v>
      </c>
      <c r="AX517" s="245"/>
      <c r="AY517" s="245"/>
      <c r="AZ517" s="196">
        <v>31</v>
      </c>
      <c r="BA517" s="589">
        <f t="shared" si="1256"/>
        <v>1.1359056099080284E-3</v>
      </c>
      <c r="BI517" s="196">
        <v>0</v>
      </c>
      <c r="BK517" s="246">
        <f t="shared" si="1257"/>
        <v>0</v>
      </c>
      <c r="BL517" s="246"/>
      <c r="BM517" s="246">
        <f t="shared" si="1258"/>
        <v>0</v>
      </c>
      <c r="BN517" s="196">
        <v>1</v>
      </c>
      <c r="BO517" s="196">
        <f t="shared" si="1403"/>
        <v>14736.515011783857</v>
      </c>
      <c r="BP517" s="196">
        <f t="shared" si="1365"/>
        <v>14736.515011783857</v>
      </c>
      <c r="BQ517" s="248">
        <f t="shared" si="1259"/>
        <v>1.3785323551156962E-3</v>
      </c>
      <c r="BR517" s="248"/>
      <c r="BS517" s="248"/>
      <c r="BT517" s="276">
        <v>0</v>
      </c>
      <c r="BU517" s="196">
        <f t="shared" si="1404"/>
        <v>0</v>
      </c>
      <c r="BV517" s="264">
        <f t="shared" si="1261"/>
        <v>0</v>
      </c>
      <c r="BW517" s="196">
        <f t="shared" si="1405"/>
        <v>0</v>
      </c>
      <c r="BX517" s="247">
        <f t="shared" si="1263"/>
        <v>0</v>
      </c>
      <c r="BY517" s="196">
        <f t="shared" si="1406"/>
        <v>0</v>
      </c>
      <c r="BZ517" s="620">
        <v>1</v>
      </c>
      <c r="CA517" s="196">
        <f t="shared" si="1407"/>
        <v>81769.656266263002</v>
      </c>
      <c r="CB517" s="196">
        <f t="shared" si="1408"/>
        <v>163539.312532526</v>
      </c>
      <c r="CC517" s="196">
        <f t="shared" si="1378"/>
        <v>245308.96879878902</v>
      </c>
      <c r="CD517" s="247">
        <f t="shared" si="1366"/>
        <v>1.035060682649795E-3</v>
      </c>
      <c r="CE517" s="196">
        <f t="shared" si="1409"/>
        <v>21272.059259154721</v>
      </c>
      <c r="CF517" s="247">
        <f t="shared" si="1367"/>
        <v>9.1859367375880395E-4</v>
      </c>
      <c r="CG517" s="196">
        <f t="shared" si="1316"/>
        <v>40617.607034222143</v>
      </c>
      <c r="CH517" s="589">
        <f t="shared" si="1383"/>
        <v>1.0350606826497947E-3</v>
      </c>
      <c r="CI517" s="196">
        <f t="shared" si="1410"/>
        <v>78488.179131744779</v>
      </c>
      <c r="CJ517" s="248">
        <f t="shared" si="1384"/>
        <v>1.2903454656965443E-3</v>
      </c>
      <c r="CK517" s="196">
        <f t="shared" si="1411"/>
        <v>67879.567802161589</v>
      </c>
      <c r="CL517" s="589">
        <f t="shared" si="1385"/>
        <v>9.7578274938748817E-4</v>
      </c>
      <c r="CM517" s="196">
        <f t="shared" si="1412"/>
        <v>6575.7440273860602</v>
      </c>
      <c r="CN517" s="589">
        <f t="shared" si="1386"/>
        <v>9.47639445382522E-4</v>
      </c>
      <c r="CO517" s="196">
        <f t="shared" si="1413"/>
        <v>526.04504853430115</v>
      </c>
      <c r="CP517" s="589">
        <f t="shared" si="1387"/>
        <v>9.9203993568190512E-4</v>
      </c>
      <c r="CQ517" s="196">
        <f>'Detailed Budget'!$AC$12</f>
        <v>292876014141.44696</v>
      </c>
      <c r="CR517" s="269">
        <f t="shared" si="1393"/>
        <v>0</v>
      </c>
      <c r="CS517" s="269">
        <f>'Detailed Budget'!$AC$16</f>
        <v>10488008800.000002</v>
      </c>
      <c r="CT517" s="607">
        <f t="shared" si="1318"/>
        <v>0</v>
      </c>
      <c r="CU517" s="269">
        <f>'Detailed Budget'!$AC$24</f>
        <v>30624985696</v>
      </c>
      <c r="CV517" s="269">
        <f t="shared" si="1250"/>
        <v>0</v>
      </c>
      <c r="CW517" s="269"/>
      <c r="CX517" s="269">
        <f t="shared" si="1379"/>
        <v>0</v>
      </c>
      <c r="CY517" s="196">
        <f>'Detailed Budget'!$AC$97</f>
        <v>74629165494.837845</v>
      </c>
      <c r="CZ517" s="269">
        <f t="shared" si="1319"/>
        <v>102878719.26991786</v>
      </c>
      <c r="DA517" s="269">
        <f>'Detailed Budget'!$AC$100</f>
        <v>14925833098.967569</v>
      </c>
      <c r="DB517" s="269">
        <f t="shared" si="1320"/>
        <v>20575743.853983574</v>
      </c>
      <c r="DC517" s="269">
        <f t="shared" si="1368"/>
        <v>123454463.12390143</v>
      </c>
      <c r="DD517" s="207">
        <v>0</v>
      </c>
      <c r="DE517" s="606">
        <v>0</v>
      </c>
      <c r="DF517" s="269">
        <f>'Detailed Budget'!$AC$147</f>
        <v>5913600671000</v>
      </c>
      <c r="DG517" s="269">
        <f t="shared" si="1230"/>
        <v>0</v>
      </c>
      <c r="DH517" s="269">
        <f>'Detailed Budget'!$AC$153</f>
        <v>226428026880.00003</v>
      </c>
      <c r="DI517" s="269"/>
      <c r="DJ517" s="269">
        <f>'Detailed Budget'!$AC$156</f>
        <v>27713070000</v>
      </c>
      <c r="DK517" s="269"/>
      <c r="DL517" s="269"/>
      <c r="DM517" s="196">
        <f>'Detailed Budget'!$AC$178</f>
        <v>5622683761.6229038</v>
      </c>
      <c r="DN517" s="269">
        <f t="shared" si="1414"/>
        <v>0</v>
      </c>
      <c r="DO517" s="196">
        <f>'Detailed Budget'!$AC$179</f>
        <v>26827890683.128094</v>
      </c>
      <c r="DP517" s="269">
        <f t="shared" si="1415"/>
        <v>0</v>
      </c>
      <c r="DQ517" s="269">
        <f t="shared" si="1388"/>
        <v>0</v>
      </c>
      <c r="DR517" s="269">
        <f>'Detailed Budget'!$AC$181</f>
        <v>50888946855.375237</v>
      </c>
      <c r="DS517" s="269">
        <f t="shared" si="1416"/>
        <v>0</v>
      </c>
      <c r="DT517" s="269">
        <f t="shared" si="1417"/>
        <v>0</v>
      </c>
      <c r="DU517" s="272">
        <f>'Detailed Budget'!$AC$192</f>
        <v>77498869683.252869</v>
      </c>
      <c r="DV517" s="269">
        <f t="shared" si="1321"/>
        <v>80216032.958935216</v>
      </c>
      <c r="DW517" s="140">
        <f>'Detailed Budget'!$AC$194</f>
        <v>2684962805.4134097</v>
      </c>
      <c r="DX517" s="269">
        <f t="shared" si="1322"/>
        <v>2779099.4342605122</v>
      </c>
      <c r="DY517" s="607">
        <f t="shared" si="1369"/>
        <v>82995132.393195733</v>
      </c>
      <c r="DZ517" s="196">
        <f>'Detailed Budget'!$AC$198</f>
        <v>18732540018.380611</v>
      </c>
      <c r="EA517" s="269">
        <f t="shared" si="1396"/>
        <v>17207592.754318058</v>
      </c>
      <c r="EB517" s="196">
        <f>'Detailed Budget'!$AC$200</f>
        <v>4683135004.5951529</v>
      </c>
      <c r="EC517" s="269">
        <f t="shared" si="1324"/>
        <v>4301898.1885795146</v>
      </c>
      <c r="ED517" s="269">
        <f t="shared" si="1370"/>
        <v>21509490.942897573</v>
      </c>
      <c r="EE517" s="196">
        <f>'Detailed Budget'!$AC$161</f>
        <v>251147290106.36197</v>
      </c>
      <c r="EF517" s="269">
        <f t="shared" si="1325"/>
        <v>259952685.54313707</v>
      </c>
      <c r="EG517" s="196">
        <f>'Detailed Budget'!$AC$163</f>
        <v>15696705631.647623</v>
      </c>
      <c r="EH517" s="269">
        <f t="shared" si="1326"/>
        <v>16247042.846446067</v>
      </c>
      <c r="EI517" s="269">
        <f t="shared" si="1371"/>
        <v>276199728.38958311</v>
      </c>
      <c r="EJ517" s="196">
        <f>'Detailed Budget'!$AC$204</f>
        <v>45012172507.531975</v>
      </c>
      <c r="EK517" s="269">
        <f t="shared" si="1327"/>
        <v>58081252.69624453</v>
      </c>
      <c r="EL517" s="201">
        <f>'Detailed Budget'!$AC$206</f>
        <v>11253043126.882994</v>
      </c>
      <c r="EM517" s="269">
        <f t="shared" si="1328"/>
        <v>14520313.174061133</v>
      </c>
      <c r="EN517" s="269">
        <f t="shared" si="1372"/>
        <v>72601565.870305657</v>
      </c>
      <c r="EO517" s="140">
        <f>'Detailed Budget'!$AC$209</f>
        <v>135789361677.54817</v>
      </c>
      <c r="EP517" s="269">
        <f t="shared" si="1329"/>
        <v>132500916.67528997</v>
      </c>
      <c r="EQ517" s="196">
        <f>'Detailed Budget'!$AC$211</f>
        <v>33947340419.387043</v>
      </c>
      <c r="ER517" s="269">
        <f t="shared" si="1330"/>
        <v>33125229.168822493</v>
      </c>
      <c r="ES517" s="269">
        <f t="shared" si="1373"/>
        <v>165626145.84411246</v>
      </c>
      <c r="ET517" s="196">
        <f>'Detailed Budget'!$AC$214</f>
        <v>22239745544.201103</v>
      </c>
      <c r="EU517" s="269">
        <f t="shared" si="1331"/>
        <v>21075260.132955149</v>
      </c>
      <c r="EV517" s="140">
        <f>'Detailed Budget'!$AC$217</f>
        <v>5559936386.0502758</v>
      </c>
      <c r="EW517" s="269">
        <f t="shared" si="1332"/>
        <v>5268815.0332387872</v>
      </c>
      <c r="EX517" s="269">
        <f t="shared" si="1374"/>
        <v>26344075.166193936</v>
      </c>
      <c r="EY517" s="196">
        <f>'Detailed Budget'!$AC$219</f>
        <v>372777004.58170313</v>
      </c>
      <c r="EZ517" s="269">
        <f t="shared" si="1333"/>
        <v>369809.675648926</v>
      </c>
      <c r="FA517" s="196">
        <f>'Detailed Budget'!$AC$222</f>
        <v>93194251.145425782</v>
      </c>
      <c r="FB517" s="269">
        <f t="shared" si="1334"/>
        <v>92452.4189122315</v>
      </c>
      <c r="FC517" s="269">
        <f t="shared" si="1375"/>
        <v>462262.09456115752</v>
      </c>
      <c r="FD517" s="269"/>
      <c r="FE517" s="269">
        <f t="shared" si="1376"/>
        <v>265034048.97517321</v>
      </c>
      <c r="FF517" s="140">
        <f>'Detailed Budget'!$AC$165</f>
        <v>14927760000</v>
      </c>
      <c r="FG517" s="1087">
        <f t="shared" si="1232"/>
        <v>361523986.42712748</v>
      </c>
      <c r="FH517" s="269">
        <f t="shared" si="1397"/>
        <v>18657579.820474949</v>
      </c>
      <c r="FJ517" s="140">
        <f>'Detailed Budget'!$AC$235</f>
        <v>3623696172</v>
      </c>
      <c r="FK517" s="269">
        <f t="shared" si="1398"/>
        <v>4681778</v>
      </c>
      <c r="FL517" s="269">
        <f t="shared" si="1235"/>
        <v>4681778</v>
      </c>
      <c r="FO517" s="607"/>
      <c r="FP517" s="607"/>
      <c r="FQ517" s="607"/>
      <c r="FR517" s="269">
        <f>'Detailed Budget'!$AC$257</f>
        <v>13636439388</v>
      </c>
      <c r="FS517" s="269">
        <f t="shared" si="1399"/>
        <v>15489708.000000002</v>
      </c>
      <c r="FT517" s="269">
        <f t="shared" si="1237"/>
        <v>15489708.000000002</v>
      </c>
      <c r="FU517" s="269"/>
      <c r="FV517" s="269"/>
      <c r="FW517" s="269"/>
      <c r="FX517" s="140">
        <f>'Detailed Budget'!$AC$278</f>
        <v>1114560000</v>
      </c>
      <c r="FY517" s="269">
        <f t="shared" si="1400"/>
        <v>1440000</v>
      </c>
      <c r="FZ517" s="269">
        <f t="shared" si="1239"/>
        <v>1440000</v>
      </c>
      <c r="GB517" s="269">
        <f t="shared" si="1264"/>
        <v>1170985916.0723534</v>
      </c>
      <c r="GC517" s="887">
        <f t="shared" si="1377"/>
        <v>731866.19754522084</v>
      </c>
      <c r="GD517" s="1078">
        <f t="shared" si="1265"/>
        <v>6.5707707080427081E-4</v>
      </c>
    </row>
    <row r="518" spans="1:186" hidden="1" outlineLevel="1">
      <c r="A518" s="211" t="s">
        <v>1157</v>
      </c>
      <c r="B518" s="212" t="s">
        <v>1150</v>
      </c>
      <c r="C518" s="213" t="s">
        <v>215</v>
      </c>
      <c r="D518" s="214"/>
      <c r="E518" s="213"/>
      <c r="F518" s="213"/>
      <c r="G518" s="213" t="s">
        <v>215</v>
      </c>
      <c r="H518" s="213" t="s">
        <v>215</v>
      </c>
      <c r="I518" s="214" t="s">
        <v>215</v>
      </c>
      <c r="J518" s="214"/>
      <c r="K518" s="213" t="s">
        <v>215</v>
      </c>
      <c r="L518" s="213"/>
      <c r="M518" s="214"/>
      <c r="N518" s="213"/>
      <c r="O518" s="214"/>
      <c r="P518" s="213"/>
      <c r="Q518" s="214"/>
      <c r="R518" s="214" t="s">
        <v>215</v>
      </c>
      <c r="S518" s="214"/>
      <c r="T518" s="214"/>
      <c r="U518" s="215">
        <f t="shared" si="1401"/>
        <v>6</v>
      </c>
      <c r="V518" s="845" t="s">
        <v>216</v>
      </c>
      <c r="W518" s="216">
        <v>127226</v>
      </c>
      <c r="X518" s="217">
        <v>2.82</v>
      </c>
      <c r="Y518" s="218">
        <f t="shared" si="1312"/>
        <v>1.0282</v>
      </c>
      <c r="Z518" s="196">
        <v>19</v>
      </c>
      <c r="AA518" s="218">
        <f t="shared" si="1313"/>
        <v>1.6961895806156848</v>
      </c>
      <c r="AB518" s="196">
        <f t="shared" si="1389"/>
        <v>215799.41558341112</v>
      </c>
      <c r="AC518">
        <v>14.9</v>
      </c>
      <c r="AD518" s="196">
        <f t="shared" si="1390"/>
        <v>32154.112921928256</v>
      </c>
      <c r="AE518" s="196">
        <f t="shared" si="1314"/>
        <v>30546.40727583184</v>
      </c>
      <c r="AF518" s="196">
        <f t="shared" si="1402"/>
        <v>0</v>
      </c>
      <c r="AG518" s="606">
        <f t="shared" si="1380"/>
        <v>1.4123317711938299E-3</v>
      </c>
      <c r="AH518" s="196">
        <f t="shared" si="1418"/>
        <v>10789.970779170557</v>
      </c>
      <c r="AI518" s="248">
        <f t="shared" si="1359"/>
        <v>8.3588268785976321E-4</v>
      </c>
      <c r="AJ518" s="196">
        <f t="shared" si="1360"/>
        <v>42944.083701098811</v>
      </c>
      <c r="AK518" s="196">
        <f t="shared" si="1391"/>
        <v>8631.9766233364444</v>
      </c>
      <c r="AL518" s="196">
        <f t="shared" si="1392"/>
        <v>8631.9766233364444</v>
      </c>
      <c r="AM518" s="196">
        <f t="shared" si="1361"/>
        <v>17263.953246672889</v>
      </c>
      <c r="AN518" s="627">
        <f t="shared" si="1362"/>
        <v>8.358826878597631E-4</v>
      </c>
      <c r="AO518" s="196">
        <f t="shared" si="1363"/>
        <v>8200.3777921696219</v>
      </c>
      <c r="AP518" s="589">
        <f t="shared" si="1381"/>
        <v>8.358826878597631E-4</v>
      </c>
      <c r="AQ518" s="196"/>
      <c r="AR518" s="589"/>
      <c r="AS518">
        <v>1</v>
      </c>
      <c r="AT518" s="589">
        <f t="shared" si="1382"/>
        <v>1.2919896640826874E-3</v>
      </c>
      <c r="AU518" s="196">
        <v>13</v>
      </c>
      <c r="AV518" s="245">
        <f t="shared" si="1364"/>
        <v>1.4771048744460858E-3</v>
      </c>
      <c r="AX518" s="245"/>
      <c r="AY518" s="245"/>
      <c r="AZ518" s="196">
        <v>36</v>
      </c>
      <c r="BA518" s="589">
        <f t="shared" si="1256"/>
        <v>1.3191161921512586E-3</v>
      </c>
      <c r="BI518" s="196">
        <v>0</v>
      </c>
      <c r="BK518" s="246">
        <f t="shared" si="1257"/>
        <v>0</v>
      </c>
      <c r="BL518" s="246"/>
      <c r="BM518" s="246">
        <f t="shared" si="1258"/>
        <v>0</v>
      </c>
      <c r="BN518" s="196">
        <v>1</v>
      </c>
      <c r="BO518" s="196">
        <f t="shared" si="1403"/>
        <v>11900.749380414192</v>
      </c>
      <c r="BP518" s="196">
        <f t="shared" si="1365"/>
        <v>11900.749380414192</v>
      </c>
      <c r="BQ518" s="248">
        <f t="shared" si="1259"/>
        <v>1.1132596857469724E-3</v>
      </c>
      <c r="BR518" s="248"/>
      <c r="BS518" s="248"/>
      <c r="BT518" s="276">
        <v>0</v>
      </c>
      <c r="BU518" s="196">
        <f t="shared" si="1404"/>
        <v>0</v>
      </c>
      <c r="BV518" s="264">
        <f t="shared" si="1261"/>
        <v>0</v>
      </c>
      <c r="BW518" s="196">
        <f t="shared" si="1405"/>
        <v>0</v>
      </c>
      <c r="BX518" s="247">
        <f t="shared" si="1263"/>
        <v>0</v>
      </c>
      <c r="BY518" s="196">
        <f t="shared" si="1406"/>
        <v>0</v>
      </c>
      <c r="BZ518" s="620">
        <v>1</v>
      </c>
      <c r="CA518" s="196">
        <f t="shared" si="1407"/>
        <v>66034.621168523794</v>
      </c>
      <c r="CB518" s="196">
        <f t="shared" si="1408"/>
        <v>132069.24233704759</v>
      </c>
      <c r="CC518" s="196">
        <f t="shared" si="1378"/>
        <v>198103.86350557138</v>
      </c>
      <c r="CD518" s="247">
        <f t="shared" si="1366"/>
        <v>8.35882687859763E-4</v>
      </c>
      <c r="CE518" s="196">
        <f t="shared" si="1409"/>
        <v>17178.650844252443</v>
      </c>
      <c r="CF518" s="247">
        <f t="shared" si="1367"/>
        <v>7.4182756812556387E-4</v>
      </c>
      <c r="CG518" s="196">
        <f t="shared" si="1316"/>
        <v>32801.511168678488</v>
      </c>
      <c r="CH518" s="589">
        <f t="shared" si="1383"/>
        <v>8.358826878597631E-4</v>
      </c>
      <c r="CI518" s="196">
        <f t="shared" si="1410"/>
        <v>63384.602697790819</v>
      </c>
      <c r="CJ518" s="248">
        <f t="shared" si="1384"/>
        <v>1.0420427074602869E-3</v>
      </c>
      <c r="CK518" s="196">
        <f t="shared" si="1411"/>
        <v>54817.419438611985</v>
      </c>
      <c r="CL518" s="589">
        <f t="shared" si="1385"/>
        <v>7.88011679892172E-4</v>
      </c>
      <c r="CM518" s="196">
        <f t="shared" si="1412"/>
        <v>5310.3655509528817</v>
      </c>
      <c r="CN518" s="589">
        <f t="shared" si="1386"/>
        <v>7.6528402634368448E-4</v>
      </c>
      <c r="CO518" s="196">
        <f t="shared" si="1413"/>
        <v>424.81755560310893</v>
      </c>
      <c r="CP518" s="589">
        <f t="shared" si="1387"/>
        <v>8.0114047591795239E-4</v>
      </c>
      <c r="CQ518" s="196">
        <f>'Detailed Budget'!$AC$12</f>
        <v>292876014141.44696</v>
      </c>
      <c r="CR518" s="269">
        <f t="shared" si="1393"/>
        <v>0</v>
      </c>
      <c r="CS518" s="269">
        <f>'Detailed Budget'!$AC$16</f>
        <v>10488008800.000002</v>
      </c>
      <c r="CT518" s="607">
        <f t="shared" si="1318"/>
        <v>0</v>
      </c>
      <c r="CU518" s="269">
        <f>'Detailed Budget'!$AC$24</f>
        <v>30624985696</v>
      </c>
      <c r="CV518" s="269">
        <f t="shared" si="1250"/>
        <v>0</v>
      </c>
      <c r="CW518" s="269"/>
      <c r="CX518" s="269">
        <f t="shared" si="1379"/>
        <v>0</v>
      </c>
      <c r="CY518" s="196">
        <f>'Detailed Budget'!$AC$97</f>
        <v>74629165494.837845</v>
      </c>
      <c r="CZ518" s="269">
        <f t="shared" si="1319"/>
        <v>83081641.326341972</v>
      </c>
      <c r="DA518" s="269">
        <f>'Detailed Budget'!$AC$100</f>
        <v>14925833098.967569</v>
      </c>
      <c r="DB518" s="269">
        <f t="shared" si="1320"/>
        <v>16616328.265268395</v>
      </c>
      <c r="DC518" s="269">
        <f t="shared" si="1368"/>
        <v>99697969.591610372</v>
      </c>
      <c r="DD518" s="207">
        <v>0</v>
      </c>
      <c r="DE518" s="606">
        <v>0</v>
      </c>
      <c r="DF518" s="269">
        <f>'Detailed Budget'!$AC$147</f>
        <v>5913600671000</v>
      </c>
      <c r="DG518" s="269">
        <f t="shared" si="1230"/>
        <v>0</v>
      </c>
      <c r="DH518" s="269">
        <f>'Detailed Budget'!$AC$153</f>
        <v>226428026880.00003</v>
      </c>
      <c r="DI518" s="269"/>
      <c r="DJ518" s="269">
        <f>'Detailed Budget'!$AC$156</f>
        <v>27713070000</v>
      </c>
      <c r="DK518" s="269"/>
      <c r="DL518" s="269"/>
      <c r="DM518" s="196">
        <f>'Detailed Budget'!$AC$178</f>
        <v>5622683761.6229038</v>
      </c>
      <c r="DN518" s="269">
        <f t="shared" si="1414"/>
        <v>0</v>
      </c>
      <c r="DO518" s="196">
        <f>'Detailed Budget'!$AC$179</f>
        <v>26827890683.128094</v>
      </c>
      <c r="DP518" s="269">
        <f t="shared" si="1415"/>
        <v>0</v>
      </c>
      <c r="DQ518" s="269">
        <f t="shared" si="1388"/>
        <v>0</v>
      </c>
      <c r="DR518" s="269">
        <f>'Detailed Budget'!$AC$181</f>
        <v>50888946855.375237</v>
      </c>
      <c r="DS518" s="269">
        <f t="shared" si="1416"/>
        <v>0</v>
      </c>
      <c r="DT518" s="269">
        <f t="shared" si="1417"/>
        <v>0</v>
      </c>
      <c r="DU518" s="272">
        <f>'Detailed Budget'!$AC$192</f>
        <v>77498869683.252869</v>
      </c>
      <c r="DV518" s="269">
        <f t="shared" si="1321"/>
        <v>64779963.496930905</v>
      </c>
      <c r="DW518" s="140">
        <f>'Detailed Budget'!$AC$194</f>
        <v>2684962805.4134097</v>
      </c>
      <c r="DX518" s="269">
        <f t="shared" si="1322"/>
        <v>2244313.9265924511</v>
      </c>
      <c r="DY518" s="607">
        <f t="shared" si="1369"/>
        <v>67024277.423523359</v>
      </c>
      <c r="DZ518" s="196">
        <f>'Detailed Budget'!$AC$198</f>
        <v>18732540018.380611</v>
      </c>
      <c r="EA518" s="269">
        <f t="shared" si="1396"/>
        <v>13896314.606650094</v>
      </c>
      <c r="EB518" s="196">
        <f>'Detailed Budget'!$AC$200</f>
        <v>4683135004.5951529</v>
      </c>
      <c r="EC518" s="269">
        <f t="shared" si="1324"/>
        <v>3474078.6516625234</v>
      </c>
      <c r="ED518" s="269">
        <f t="shared" si="1370"/>
        <v>17370393.258312616</v>
      </c>
      <c r="EE518" s="196">
        <f>'Detailed Budget'!$AC$161</f>
        <v>251147290106.36197</v>
      </c>
      <c r="EF518" s="269">
        <f t="shared" si="1325"/>
        <v>209929671.90280154</v>
      </c>
      <c r="EG518" s="196">
        <f>'Detailed Budget'!$AC$163</f>
        <v>15696705631.647623</v>
      </c>
      <c r="EH518" s="269">
        <f t="shared" si="1326"/>
        <v>13120604.493925096</v>
      </c>
      <c r="EI518" s="269">
        <f t="shared" si="1371"/>
        <v>223050276.39672664</v>
      </c>
      <c r="EJ518" s="196">
        <f>'Detailed Budget'!$AC$204</f>
        <v>45012172507.531975</v>
      </c>
      <c r="EK518" s="269">
        <f t="shared" si="1327"/>
        <v>46904606.108418114</v>
      </c>
      <c r="EL518" s="201">
        <f>'Detailed Budget'!$AC$206</f>
        <v>11253043126.882994</v>
      </c>
      <c r="EM518" s="269">
        <f t="shared" si="1328"/>
        <v>11726151.527104529</v>
      </c>
      <c r="EN518" s="269">
        <f t="shared" si="1372"/>
        <v>58630757.635522641</v>
      </c>
      <c r="EO518" s="140">
        <f>'Detailed Budget'!$AC$209</f>
        <v>135789361677.54817</v>
      </c>
      <c r="EP518" s="269">
        <f t="shared" si="1329"/>
        <v>107003603.00701046</v>
      </c>
      <c r="EQ518" s="196">
        <f>'Detailed Budget'!$AC$211</f>
        <v>33947340419.387043</v>
      </c>
      <c r="ER518" s="269">
        <f t="shared" si="1330"/>
        <v>26750900.751752615</v>
      </c>
      <c r="ES518" s="269">
        <f t="shared" si="1373"/>
        <v>133754503.75876307</v>
      </c>
      <c r="ET518" s="196">
        <f>'Detailed Budget'!$AC$214</f>
        <v>22239745544.201103</v>
      </c>
      <c r="EU518" s="269">
        <f t="shared" si="1331"/>
        <v>17019722.014925238</v>
      </c>
      <c r="EV518" s="140">
        <f>'Detailed Budget'!$AC$217</f>
        <v>5559936386.0502758</v>
      </c>
      <c r="EW518" s="269">
        <f t="shared" si="1332"/>
        <v>4254930.5037313094</v>
      </c>
      <c r="EX518" s="269">
        <f t="shared" si="1374"/>
        <v>21274652.518656548</v>
      </c>
      <c r="EY518" s="196">
        <f>'Detailed Budget'!$AC$219</f>
        <v>372777004.58170313</v>
      </c>
      <c r="EZ518" s="269">
        <f t="shared" si="1333"/>
        <v>298646.74686185434</v>
      </c>
      <c r="FA518" s="196">
        <f>'Detailed Budget'!$AC$222</f>
        <v>93194251.145425782</v>
      </c>
      <c r="FB518" s="269">
        <f t="shared" si="1334"/>
        <v>74661.686715463584</v>
      </c>
      <c r="FC518" s="269">
        <f t="shared" si="1375"/>
        <v>373308.43357731792</v>
      </c>
      <c r="FD518" s="269"/>
      <c r="FE518" s="269">
        <f t="shared" si="1376"/>
        <v>214033222.34651959</v>
      </c>
      <c r="FF518" s="140">
        <f>'Detailed Budget'!$AC$165</f>
        <v>14927760000</v>
      </c>
      <c r="FG518" s="1087">
        <f t="shared" si="1232"/>
        <v>291955482.96440142</v>
      </c>
      <c r="FH518" s="269">
        <f t="shared" si="1397"/>
        <v>22049867.060561303</v>
      </c>
      <c r="FJ518" s="140">
        <f>'Detailed Budget'!$AC$235</f>
        <v>3623696172</v>
      </c>
      <c r="FK518" s="269">
        <f t="shared" si="1398"/>
        <v>4681778</v>
      </c>
      <c r="FL518" s="269">
        <f t="shared" si="1235"/>
        <v>4681778</v>
      </c>
      <c r="FO518" s="607"/>
      <c r="FP518" s="607"/>
      <c r="FQ518" s="607"/>
      <c r="FR518" s="269">
        <f>'Detailed Budget'!$AC$257</f>
        <v>13636439388</v>
      </c>
      <c r="FS518" s="269">
        <f t="shared" si="1399"/>
        <v>17988048</v>
      </c>
      <c r="FT518" s="269">
        <f t="shared" si="1237"/>
        <v>17988048</v>
      </c>
      <c r="FU518" s="269"/>
      <c r="FV518" s="269"/>
      <c r="FW518" s="269"/>
      <c r="FX518" s="140">
        <f>'Detailed Budget'!$AC$278</f>
        <v>1114560000</v>
      </c>
      <c r="FY518" s="269">
        <f t="shared" si="1400"/>
        <v>1440000</v>
      </c>
      <c r="FZ518" s="269">
        <f t="shared" si="1239"/>
        <v>1440000</v>
      </c>
      <c r="GB518" s="269">
        <f t="shared" si="1264"/>
        <v>959291315.04165542</v>
      </c>
      <c r="GC518" s="887">
        <f t="shared" si="1377"/>
        <v>599557.07190103468</v>
      </c>
      <c r="GD518" s="1078">
        <f t="shared" si="1265"/>
        <v>5.3828856409285873E-4</v>
      </c>
    </row>
    <row r="519" spans="1:186" hidden="1" outlineLevel="1">
      <c r="A519" s="211" t="s">
        <v>1158</v>
      </c>
      <c r="B519" s="212" t="s">
        <v>1159</v>
      </c>
      <c r="C519" s="213" t="s">
        <v>215</v>
      </c>
      <c r="D519" s="214"/>
      <c r="E519" s="213"/>
      <c r="F519" s="213"/>
      <c r="G519" s="213" t="s">
        <v>215</v>
      </c>
      <c r="H519" s="213" t="s">
        <v>215</v>
      </c>
      <c r="I519" s="214" t="s">
        <v>215</v>
      </c>
      <c r="J519" s="214"/>
      <c r="K519" s="213" t="s">
        <v>215</v>
      </c>
      <c r="L519" s="213"/>
      <c r="M519" s="214"/>
      <c r="N519" s="213"/>
      <c r="O519" s="214"/>
      <c r="P519" s="213"/>
      <c r="Q519" s="214"/>
      <c r="R519" s="214" t="s">
        <v>215</v>
      </c>
      <c r="S519" s="214"/>
      <c r="T519" s="214"/>
      <c r="U519" s="215">
        <f t="shared" si="1401"/>
        <v>6</v>
      </c>
      <c r="V519" s="845" t="s">
        <v>216</v>
      </c>
      <c r="W519" s="216">
        <v>146149</v>
      </c>
      <c r="X519" s="217">
        <v>2.82</v>
      </c>
      <c r="Y519" s="218">
        <f t="shared" si="1312"/>
        <v>1.0282</v>
      </c>
      <c r="Z519" s="196">
        <v>19</v>
      </c>
      <c r="AA519" s="218">
        <f t="shared" si="1313"/>
        <v>1.6961895806156848</v>
      </c>
      <c r="AB519" s="196">
        <f t="shared" si="1389"/>
        <v>247896.41101740173</v>
      </c>
      <c r="AC519">
        <v>14.9</v>
      </c>
      <c r="AD519" s="196">
        <f t="shared" si="1390"/>
        <v>36936.565241592856</v>
      </c>
      <c r="AE519" s="196">
        <f t="shared" si="1314"/>
        <v>35089.736979513211</v>
      </c>
      <c r="AF519" s="196">
        <f t="shared" si="1402"/>
        <v>0</v>
      </c>
      <c r="AG519" s="606">
        <f t="shared" si="1380"/>
        <v>1.6223953911009309E-3</v>
      </c>
      <c r="AH519" s="196">
        <f t="shared" si="1418"/>
        <v>12394.820550870087</v>
      </c>
      <c r="AI519" s="248">
        <f t="shared" si="1359"/>
        <v>9.6020796808841372E-4</v>
      </c>
      <c r="AJ519" s="196">
        <f t="shared" si="1360"/>
        <v>49331.385792462941</v>
      </c>
      <c r="AK519" s="196">
        <f t="shared" si="1391"/>
        <v>9915.8564406960686</v>
      </c>
      <c r="AL519" s="196">
        <f t="shared" si="1392"/>
        <v>9915.8564406960686</v>
      </c>
      <c r="AM519" s="196">
        <f t="shared" si="1361"/>
        <v>19831.712881392137</v>
      </c>
      <c r="AN519" s="627">
        <f t="shared" si="1362"/>
        <v>9.6020796808841372E-4</v>
      </c>
      <c r="AO519" s="196">
        <f t="shared" si="1363"/>
        <v>9420.0636186612646</v>
      </c>
      <c r="AP519" s="589">
        <f t="shared" si="1381"/>
        <v>9.6020796808841361E-4</v>
      </c>
      <c r="AQ519" s="196"/>
      <c r="AR519" s="589"/>
      <c r="AS519">
        <v>1</v>
      </c>
      <c r="AT519" s="589">
        <f t="shared" si="1382"/>
        <v>1.2919896640826874E-3</v>
      </c>
      <c r="AU519" s="196">
        <v>11</v>
      </c>
      <c r="AV519" s="245">
        <f t="shared" si="1364"/>
        <v>1.2498579706851495E-3</v>
      </c>
      <c r="AX519" s="245"/>
      <c r="AY519" s="245"/>
      <c r="AZ519" s="196">
        <v>37</v>
      </c>
      <c r="BA519" s="589">
        <f t="shared" si="1256"/>
        <v>1.3557583085999048E-3</v>
      </c>
      <c r="BI519" s="196">
        <v>0</v>
      </c>
      <c r="BK519" s="246">
        <f t="shared" si="1257"/>
        <v>0</v>
      </c>
      <c r="BL519" s="246"/>
      <c r="BM519" s="246">
        <f t="shared" si="1258"/>
        <v>0</v>
      </c>
      <c r="BN519" s="196">
        <v>1</v>
      </c>
      <c r="BO519" s="196">
        <f t="shared" si="1403"/>
        <v>13670.811164370129</v>
      </c>
      <c r="BP519" s="196">
        <f t="shared" si="1365"/>
        <v>13670.811164370129</v>
      </c>
      <c r="BQ519" s="248">
        <f t="shared" si="1259"/>
        <v>1.2788407229043929E-3</v>
      </c>
      <c r="BR519" s="248"/>
      <c r="BS519" s="248"/>
      <c r="BT519" s="276">
        <v>0</v>
      </c>
      <c r="BU519" s="196">
        <f t="shared" si="1404"/>
        <v>0</v>
      </c>
      <c r="BV519" s="264">
        <f t="shared" si="1261"/>
        <v>0</v>
      </c>
      <c r="BW519" s="196">
        <f t="shared" si="1405"/>
        <v>0</v>
      </c>
      <c r="BX519" s="247">
        <f t="shared" si="1263"/>
        <v>0</v>
      </c>
      <c r="BY519" s="196">
        <f t="shared" si="1406"/>
        <v>0</v>
      </c>
      <c r="BZ519" s="620">
        <v>1</v>
      </c>
      <c r="CA519" s="196">
        <f t="shared" si="1407"/>
        <v>75856.301771324914</v>
      </c>
      <c r="CB519" s="196">
        <f t="shared" si="1408"/>
        <v>151712.60354264983</v>
      </c>
      <c r="CC519" s="196">
        <f t="shared" si="1378"/>
        <v>227568.90531397474</v>
      </c>
      <c r="CD519" s="247">
        <f t="shared" si="1366"/>
        <v>9.602079680884135E-4</v>
      </c>
      <c r="CE519" s="196">
        <f t="shared" si="1409"/>
        <v>19733.722998731788</v>
      </c>
      <c r="CF519" s="247">
        <f t="shared" si="1367"/>
        <v>8.521635298915554E-4</v>
      </c>
      <c r="CG519" s="196">
        <f t="shared" si="1316"/>
        <v>37680.254474645059</v>
      </c>
      <c r="CH519" s="589">
        <f t="shared" si="1383"/>
        <v>9.6020796808841361E-4</v>
      </c>
      <c r="CI519" s="196">
        <f t="shared" si="1410"/>
        <v>72812.131951640622</v>
      </c>
      <c r="CJ519" s="248">
        <f t="shared" si="1384"/>
        <v>1.1970312644633445E-3</v>
      </c>
      <c r="CK519" s="196">
        <f t="shared" si="1411"/>
        <v>62970.705936944505</v>
      </c>
      <c r="CL519" s="589">
        <f t="shared" si="1385"/>
        <v>9.0521685036518487E-4</v>
      </c>
      <c r="CM519" s="196">
        <f t="shared" si="1412"/>
        <v>6100.2044779071302</v>
      </c>
      <c r="CN519" s="589">
        <f t="shared" si="1386"/>
        <v>8.7910879196157333E-4</v>
      </c>
      <c r="CO519" s="196">
        <f t="shared" si="1413"/>
        <v>488.00293127064248</v>
      </c>
      <c r="CP519" s="589">
        <f t="shared" si="1387"/>
        <v>9.2029836208740981E-4</v>
      </c>
      <c r="CQ519" s="196">
        <f>'Detailed Budget'!$AC$12</f>
        <v>292876014141.44696</v>
      </c>
      <c r="CR519" s="269">
        <f t="shared" si="1393"/>
        <v>0</v>
      </c>
      <c r="CS519" s="269">
        <f>'Detailed Budget'!$AC$16</f>
        <v>10488008800.000002</v>
      </c>
      <c r="CT519" s="607">
        <f t="shared" si="1318"/>
        <v>0</v>
      </c>
      <c r="CU519" s="269">
        <f>'Detailed Budget'!$AC$24</f>
        <v>30624985696</v>
      </c>
      <c r="CV519" s="269">
        <f t="shared" si="1250"/>
        <v>0</v>
      </c>
      <c r="CW519" s="269"/>
      <c r="CX519" s="269">
        <f t="shared" si="1379"/>
        <v>0</v>
      </c>
      <c r="CY519" s="196">
        <f>'Detailed Budget'!$AC$97</f>
        <v>74629165494.837845</v>
      </c>
      <c r="CZ519" s="269">
        <f t="shared" si="1319"/>
        <v>95438815.951169997</v>
      </c>
      <c r="DA519" s="269">
        <f>'Detailed Budget'!$AC$100</f>
        <v>14925833098.967569</v>
      </c>
      <c r="DB519" s="269">
        <f t="shared" si="1320"/>
        <v>19087763.190234002</v>
      </c>
      <c r="DC519" s="269">
        <f t="shared" si="1368"/>
        <v>114526579.141404</v>
      </c>
      <c r="DD519" s="207">
        <v>0</v>
      </c>
      <c r="DE519" s="606">
        <v>0</v>
      </c>
      <c r="DF519" s="269">
        <f>'Detailed Budget'!$AC$147</f>
        <v>5913600671000</v>
      </c>
      <c r="DG519" s="269">
        <f t="shared" ref="DG519:DG582" si="1419">DE519*DF519</f>
        <v>0</v>
      </c>
      <c r="DH519" s="269">
        <f>'Detailed Budget'!$AC$153</f>
        <v>226428026880.00003</v>
      </c>
      <c r="DI519" s="269"/>
      <c r="DJ519" s="269">
        <f>'Detailed Budget'!$AC$156</f>
        <v>27713070000</v>
      </c>
      <c r="DK519" s="269"/>
      <c r="DL519" s="269"/>
      <c r="DM519" s="196">
        <f>'Detailed Budget'!$AC$178</f>
        <v>5622683761.6229038</v>
      </c>
      <c r="DN519" s="269">
        <f t="shared" si="1414"/>
        <v>0</v>
      </c>
      <c r="DO519" s="196">
        <f>'Detailed Budget'!$AC$179</f>
        <v>26827890683.128094</v>
      </c>
      <c r="DP519" s="269">
        <f t="shared" si="1415"/>
        <v>0</v>
      </c>
      <c r="DQ519" s="269">
        <f t="shared" si="1388"/>
        <v>0</v>
      </c>
      <c r="DR519" s="269">
        <f>'Detailed Budget'!$AC$181</f>
        <v>50888946855.375237</v>
      </c>
      <c r="DS519" s="269">
        <f t="shared" si="1416"/>
        <v>0</v>
      </c>
      <c r="DT519" s="269">
        <f t="shared" si="1417"/>
        <v>0</v>
      </c>
      <c r="DU519" s="272">
        <f>'Detailed Budget'!$AC$192</f>
        <v>77498869683.252869</v>
      </c>
      <c r="DV519" s="269">
        <f t="shared" si="1321"/>
        <v>74415032.18770498</v>
      </c>
      <c r="DW519" s="140">
        <f>'Detailed Budget'!$AC$194</f>
        <v>2684962805.4134097</v>
      </c>
      <c r="DX519" s="269">
        <f t="shared" si="1322"/>
        <v>2578122.6797789773</v>
      </c>
      <c r="DY519" s="607">
        <f t="shared" si="1369"/>
        <v>76993154.867483959</v>
      </c>
      <c r="DZ519" s="196">
        <f>'Detailed Budget'!$AC$198</f>
        <v>18732540018.380611</v>
      </c>
      <c r="EA519" s="269">
        <f t="shared" si="1396"/>
        <v>15963187.425898043</v>
      </c>
      <c r="EB519" s="196">
        <f>'Detailed Budget'!$AC$200</f>
        <v>4683135004.5951529</v>
      </c>
      <c r="EC519" s="269">
        <f t="shared" si="1324"/>
        <v>3990796.8564745109</v>
      </c>
      <c r="ED519" s="269">
        <f t="shared" si="1370"/>
        <v>19953984.282372553</v>
      </c>
      <c r="EE519" s="196">
        <f>'Detailed Budget'!$AC$161</f>
        <v>251147290106.36197</v>
      </c>
      <c r="EF519" s="269">
        <f t="shared" si="1325"/>
        <v>241153629.12394118</v>
      </c>
      <c r="EG519" s="196">
        <f>'Detailed Budget'!$AC$163</f>
        <v>15696705631.647623</v>
      </c>
      <c r="EH519" s="269">
        <f t="shared" si="1326"/>
        <v>15072101.820246324</v>
      </c>
      <c r="EI519" s="269">
        <f t="shared" si="1371"/>
        <v>256225730.94418752</v>
      </c>
      <c r="EJ519" s="196">
        <f>'Detailed Budget'!$AC$204</f>
        <v>45012172507.531975</v>
      </c>
      <c r="EK519" s="269">
        <f t="shared" si="1327"/>
        <v>53880977.772933193</v>
      </c>
      <c r="EL519" s="201">
        <f>'Detailed Budget'!$AC$206</f>
        <v>11253043126.882994</v>
      </c>
      <c r="EM519" s="269">
        <f t="shared" si="1328"/>
        <v>13470244.443233298</v>
      </c>
      <c r="EN519" s="269">
        <f t="shared" si="1372"/>
        <v>67351222.216166496</v>
      </c>
      <c r="EO519" s="140">
        <f>'Detailed Budget'!$AC$209</f>
        <v>135789361677.54817</v>
      </c>
      <c r="EP519" s="269">
        <f t="shared" si="1329"/>
        <v>122918818.29084909</v>
      </c>
      <c r="EQ519" s="196">
        <f>'Detailed Budget'!$AC$211</f>
        <v>33947340419.387043</v>
      </c>
      <c r="ER519" s="269">
        <f t="shared" si="1330"/>
        <v>30729704.572712272</v>
      </c>
      <c r="ES519" s="269">
        <f t="shared" si="1373"/>
        <v>153648522.86356136</v>
      </c>
      <c r="ET519" s="196">
        <f>'Detailed Budget'!$AC$214</f>
        <v>22239745544.201103</v>
      </c>
      <c r="EU519" s="269">
        <f t="shared" si="1331"/>
        <v>19551155.838895414</v>
      </c>
      <c r="EV519" s="140">
        <f>'Detailed Budget'!$AC$217</f>
        <v>5559936386.0502758</v>
      </c>
      <c r="EW519" s="269">
        <f t="shared" si="1332"/>
        <v>4887788.9597238535</v>
      </c>
      <c r="EX519" s="269">
        <f t="shared" si="1374"/>
        <v>24438944.798619267</v>
      </c>
      <c r="EY519" s="196">
        <f>'Detailed Budget'!$AC$219</f>
        <v>372777004.58170313</v>
      </c>
      <c r="EZ519" s="269">
        <f t="shared" si="1333"/>
        <v>343066.06674039224</v>
      </c>
      <c r="FA519" s="196">
        <f>'Detailed Budget'!$AC$222</f>
        <v>93194251.145425782</v>
      </c>
      <c r="FB519" s="269">
        <f t="shared" si="1334"/>
        <v>85766.51668509806</v>
      </c>
      <c r="FC519" s="269">
        <f t="shared" si="1375"/>
        <v>428832.5834254903</v>
      </c>
      <c r="FD519" s="269"/>
      <c r="FE519" s="269">
        <f t="shared" si="1376"/>
        <v>245867522.46177262</v>
      </c>
      <c r="FF519" s="140">
        <f>'Detailed Budget'!$AC$165</f>
        <v>14927760000</v>
      </c>
      <c r="FG519" s="1087">
        <f t="shared" ref="FG519:FG582" si="1420">FE519/0.423*0.577</f>
        <v>335379575.55660236</v>
      </c>
      <c r="FH519" s="269">
        <f t="shared" si="1397"/>
        <v>18657579.820474949</v>
      </c>
      <c r="FJ519" s="140">
        <f>'Detailed Budget'!$AC$235</f>
        <v>3623696172</v>
      </c>
      <c r="FK519" s="269">
        <f t="shared" si="1398"/>
        <v>4681778</v>
      </c>
      <c r="FL519" s="269">
        <f t="shared" ref="FL519:FL582" si="1421">FI519+FK519</f>
        <v>4681778</v>
      </c>
      <c r="FO519" s="607"/>
      <c r="FP519" s="607"/>
      <c r="FQ519" s="607"/>
      <c r="FR519" s="269">
        <f>'Detailed Budget'!$AC$257</f>
        <v>13636439388</v>
      </c>
      <c r="FS519" s="269">
        <f t="shared" si="1399"/>
        <v>18487716</v>
      </c>
      <c r="FT519" s="269">
        <f t="shared" ref="FT519:FT582" si="1422">FM519+FO519+FQ519+FS519</f>
        <v>18487716</v>
      </c>
      <c r="FU519" s="269"/>
      <c r="FV519" s="269"/>
      <c r="FW519" s="269"/>
      <c r="FX519" s="140">
        <f>'Detailed Budget'!$AC$278</f>
        <v>1114560000</v>
      </c>
      <c r="FY519" s="269">
        <f t="shared" si="1400"/>
        <v>1440000</v>
      </c>
      <c r="FZ519" s="269">
        <f t="shared" ref="FZ519:FZ582" si="1423">FU519+FW519+FY519</f>
        <v>1440000</v>
      </c>
      <c r="GB519" s="269">
        <f t="shared" si="1264"/>
        <v>1092213621.0742979</v>
      </c>
      <c r="GC519" s="887">
        <f t="shared" si="1377"/>
        <v>682633.51317143615</v>
      </c>
      <c r="GD519" s="1078">
        <f t="shared" si="1265"/>
        <v>6.1287545561195444E-4</v>
      </c>
    </row>
    <row r="520" spans="1:186" hidden="1" outlineLevel="1">
      <c r="A520" s="211" t="s">
        <v>1160</v>
      </c>
      <c r="B520" s="212" t="s">
        <v>1161</v>
      </c>
      <c r="C520" s="213" t="s">
        <v>215</v>
      </c>
      <c r="D520" s="214"/>
      <c r="E520" s="213"/>
      <c r="F520" s="213"/>
      <c r="G520" s="213" t="s">
        <v>215</v>
      </c>
      <c r="H520" s="213" t="s">
        <v>215</v>
      </c>
      <c r="I520" s="214" t="s">
        <v>215</v>
      </c>
      <c r="J520" s="214"/>
      <c r="K520" s="213" t="s">
        <v>215</v>
      </c>
      <c r="L520" s="213"/>
      <c r="M520" s="214"/>
      <c r="N520" s="213"/>
      <c r="O520" s="214"/>
      <c r="P520" s="213"/>
      <c r="Q520" s="214"/>
      <c r="R520" s="214" t="s">
        <v>215</v>
      </c>
      <c r="S520" s="214"/>
      <c r="T520" s="214"/>
      <c r="U520" s="215">
        <f t="shared" si="1401"/>
        <v>6</v>
      </c>
      <c r="V520" s="845" t="s">
        <v>216</v>
      </c>
      <c r="W520" s="216">
        <v>133625</v>
      </c>
      <c r="X520" s="217">
        <v>2.82</v>
      </c>
      <c r="Y520" s="218">
        <f t="shared" si="1312"/>
        <v>1.0282</v>
      </c>
      <c r="Z520" s="196">
        <v>19</v>
      </c>
      <c r="AA520" s="218">
        <f t="shared" si="1313"/>
        <v>1.6961895806156848</v>
      </c>
      <c r="AB520" s="196">
        <f t="shared" si="1389"/>
        <v>226653.33270977088</v>
      </c>
      <c r="AC520">
        <v>14.9</v>
      </c>
      <c r="AD520" s="196">
        <f t="shared" si="1390"/>
        <v>33771.346573755865</v>
      </c>
      <c r="AE520" s="196">
        <f t="shared" si="1314"/>
        <v>32082.779245068072</v>
      </c>
      <c r="AF520" s="196">
        <f t="shared" si="1402"/>
        <v>0</v>
      </c>
      <c r="AG520" s="606">
        <f t="shared" si="1380"/>
        <v>1.483366866251989E-3</v>
      </c>
      <c r="AH520" s="196">
        <f t="shared" si="1418"/>
        <v>11332.666635488546</v>
      </c>
      <c r="AI520" s="248">
        <f t="shared" si="1359"/>
        <v>8.7792451358417983E-4</v>
      </c>
      <c r="AJ520" s="196">
        <f t="shared" si="1360"/>
        <v>45104.013209244411</v>
      </c>
      <c r="AK520" s="196">
        <f t="shared" si="1391"/>
        <v>9066.1333083908357</v>
      </c>
      <c r="AL520" s="196">
        <f t="shared" si="1392"/>
        <v>9066.1333083908357</v>
      </c>
      <c r="AM520" s="196">
        <f t="shared" si="1361"/>
        <v>18132.266616781671</v>
      </c>
      <c r="AN520" s="627">
        <f t="shared" si="1362"/>
        <v>8.7792451358417972E-4</v>
      </c>
      <c r="AO520" s="196">
        <f t="shared" si="1363"/>
        <v>8612.826642971293</v>
      </c>
      <c r="AP520" s="589">
        <f t="shared" si="1381"/>
        <v>8.7792451358417961E-4</v>
      </c>
      <c r="AQ520" s="196"/>
      <c r="AR520" s="589"/>
      <c r="AS520">
        <v>1</v>
      </c>
      <c r="AT520" s="589">
        <f t="shared" si="1382"/>
        <v>1.2919896640826874E-3</v>
      </c>
      <c r="AU520" s="196">
        <v>11</v>
      </c>
      <c r="AV520" s="245">
        <f t="shared" si="1364"/>
        <v>1.2498579706851495E-3</v>
      </c>
      <c r="AX520" s="245"/>
      <c r="AY520" s="245"/>
      <c r="AZ520" s="196">
        <v>32</v>
      </c>
      <c r="BA520" s="589">
        <f t="shared" si="1256"/>
        <v>1.1725477263566744E-3</v>
      </c>
      <c r="BI520" s="196">
        <v>0</v>
      </c>
      <c r="BK520" s="246">
        <f t="shared" si="1257"/>
        <v>0</v>
      </c>
      <c r="BL520" s="246"/>
      <c r="BM520" s="246">
        <f t="shared" si="1258"/>
        <v>0</v>
      </c>
      <c r="BN520" s="196">
        <v>1</v>
      </c>
      <c r="BO520" s="196">
        <f t="shared" si="1403"/>
        <v>12499.313316129146</v>
      </c>
      <c r="BP520" s="196">
        <f t="shared" si="1365"/>
        <v>12499.313316129146</v>
      </c>
      <c r="BQ520" s="248">
        <f t="shared" si="1259"/>
        <v>1.1692525545717008E-3</v>
      </c>
      <c r="BR520" s="248"/>
      <c r="BS520" s="248"/>
      <c r="BT520" s="276">
        <v>0</v>
      </c>
      <c r="BU520" s="196">
        <f t="shared" si="1404"/>
        <v>0</v>
      </c>
      <c r="BV520" s="264">
        <f t="shared" si="1261"/>
        <v>0</v>
      </c>
      <c r="BW520" s="196">
        <f t="shared" si="1405"/>
        <v>0</v>
      </c>
      <c r="BX520" s="247">
        <f t="shared" si="1263"/>
        <v>0</v>
      </c>
      <c r="BY520" s="196">
        <f t="shared" si="1406"/>
        <v>0</v>
      </c>
      <c r="BZ520" s="620">
        <v>1</v>
      </c>
      <c r="CA520" s="196">
        <f t="shared" si="1407"/>
        <v>69355.919809189887</v>
      </c>
      <c r="CB520" s="196">
        <f t="shared" si="1408"/>
        <v>138711.83961837977</v>
      </c>
      <c r="CC520" s="196">
        <f t="shared" si="1378"/>
        <v>208067.75942756966</v>
      </c>
      <c r="CD520" s="247">
        <f t="shared" si="1366"/>
        <v>8.7792451358417972E-4</v>
      </c>
      <c r="CE520" s="196">
        <f t="shared" si="1409"/>
        <v>18042.673817169703</v>
      </c>
      <c r="CF520" s="247">
        <f t="shared" si="1367"/>
        <v>7.7913876716063121E-4</v>
      </c>
      <c r="CG520" s="196">
        <f t="shared" si="1316"/>
        <v>34451.306571885172</v>
      </c>
      <c r="CH520" s="589">
        <f t="shared" si="1383"/>
        <v>8.7792451358417961E-4</v>
      </c>
      <c r="CI520" s="196">
        <f t="shared" si="1410"/>
        <v>66572.615153288629</v>
      </c>
      <c r="CJ520" s="248">
        <f t="shared" si="1384"/>
        <v>1.0944536241364255E-3</v>
      </c>
      <c r="CK520" s="196">
        <f t="shared" si="1411"/>
        <v>57574.534077032426</v>
      </c>
      <c r="CL520" s="589">
        <f t="shared" si="1385"/>
        <v>8.2764576993375164E-4</v>
      </c>
      <c r="CM520" s="196">
        <f t="shared" si="1412"/>
        <v>5577.4574123691609</v>
      </c>
      <c r="CN520" s="589">
        <f t="shared" si="1386"/>
        <v>8.0377499897957066E-4</v>
      </c>
      <c r="CO520" s="196">
        <f t="shared" si="1413"/>
        <v>446.18431662919085</v>
      </c>
      <c r="CP520" s="589">
        <f t="shared" si="1387"/>
        <v>8.4143489612607792E-4</v>
      </c>
      <c r="CQ520" s="196">
        <f>'Detailed Budget'!$AC$12</f>
        <v>292876014141.44696</v>
      </c>
      <c r="CR520" s="269">
        <f t="shared" si="1393"/>
        <v>0</v>
      </c>
      <c r="CS520" s="269">
        <f>'Detailed Budget'!$AC$16</f>
        <v>10488008800.000002</v>
      </c>
      <c r="CT520" s="607">
        <f t="shared" si="1318"/>
        <v>0</v>
      </c>
      <c r="CU520" s="269">
        <f>'Detailed Budget'!$AC$24</f>
        <v>30624985696</v>
      </c>
      <c r="CV520" s="269">
        <f t="shared" ref="CV520:CV583" si="1424">BK520*CU520</f>
        <v>0</v>
      </c>
      <c r="CW520" s="269"/>
      <c r="CX520" s="269">
        <f t="shared" si="1379"/>
        <v>0</v>
      </c>
      <c r="CY520" s="196">
        <f>'Detailed Budget'!$AC$97</f>
        <v>74629165494.837845</v>
      </c>
      <c r="CZ520" s="269">
        <f t="shared" si="1319"/>
        <v>87260342.400393382</v>
      </c>
      <c r="DA520" s="269">
        <f>'Detailed Budget'!$AC$100</f>
        <v>14925833098.967569</v>
      </c>
      <c r="DB520" s="269">
        <f t="shared" si="1320"/>
        <v>17452068.480078675</v>
      </c>
      <c r="DC520" s="269">
        <f t="shared" si="1368"/>
        <v>104712410.88047206</v>
      </c>
      <c r="DD520" s="207">
        <v>0</v>
      </c>
      <c r="DE520" s="606">
        <v>0</v>
      </c>
      <c r="DF520" s="269">
        <f>'Detailed Budget'!$AC$147</f>
        <v>5913600671000</v>
      </c>
      <c r="DG520" s="269">
        <f t="shared" si="1419"/>
        <v>0</v>
      </c>
      <c r="DH520" s="269">
        <f>'Detailed Budget'!$AC$153</f>
        <v>226428026880.00003</v>
      </c>
      <c r="DI520" s="269"/>
      <c r="DJ520" s="269">
        <f>'Detailed Budget'!$AC$156</f>
        <v>27713070000</v>
      </c>
      <c r="DK520" s="269"/>
      <c r="DL520" s="269"/>
      <c r="DM520" s="196">
        <f>'Detailed Budget'!$AC$178</f>
        <v>5622683761.6229038</v>
      </c>
      <c r="DN520" s="269">
        <f t="shared" si="1414"/>
        <v>0</v>
      </c>
      <c r="DO520" s="196">
        <f>'Detailed Budget'!$AC$179</f>
        <v>26827890683.128094</v>
      </c>
      <c r="DP520" s="269">
        <f t="shared" si="1415"/>
        <v>0</v>
      </c>
      <c r="DQ520" s="269">
        <f t="shared" si="1388"/>
        <v>0</v>
      </c>
      <c r="DR520" s="269">
        <f>'Detailed Budget'!$AC$181</f>
        <v>50888946855.375237</v>
      </c>
      <c r="DS520" s="269">
        <f t="shared" si="1416"/>
        <v>0</v>
      </c>
      <c r="DT520" s="269">
        <f t="shared" si="1417"/>
        <v>0</v>
      </c>
      <c r="DU520" s="272">
        <f>'Detailed Budget'!$AC$192</f>
        <v>77498869683.252869</v>
      </c>
      <c r="DV520" s="269">
        <f t="shared" si="1321"/>
        <v>68038157.469993502</v>
      </c>
      <c r="DW520" s="140">
        <f>'Detailed Budget'!$AC$194</f>
        <v>2684962805.4134097</v>
      </c>
      <c r="DX520" s="269">
        <f t="shared" si="1322"/>
        <v>2357194.6649341821</v>
      </c>
      <c r="DY520" s="607">
        <f t="shared" si="1369"/>
        <v>70395352.13492769</v>
      </c>
      <c r="DZ520" s="196">
        <f>'Detailed Budget'!$AC$198</f>
        <v>18732540018.380611</v>
      </c>
      <c r="EA520" s="269">
        <f t="shared" si="1396"/>
        <v>14595248.135708258</v>
      </c>
      <c r="EB520" s="196">
        <f>'Detailed Budget'!$AC$200</f>
        <v>4683135004.5951529</v>
      </c>
      <c r="EC520" s="269">
        <f t="shared" si="1324"/>
        <v>3648812.0339270644</v>
      </c>
      <c r="ED520" s="269">
        <f t="shared" si="1370"/>
        <v>18244060.169635322</v>
      </c>
      <c r="EE520" s="196">
        <f>'Detailed Budget'!$AC$161</f>
        <v>251147290106.36197</v>
      </c>
      <c r="EF520" s="269">
        <f t="shared" si="1325"/>
        <v>220488362.50461268</v>
      </c>
      <c r="EG520" s="196">
        <f>'Detailed Budget'!$AC$163</f>
        <v>15696705631.647623</v>
      </c>
      <c r="EH520" s="269">
        <f t="shared" si="1326"/>
        <v>13780522.656538293</v>
      </c>
      <c r="EI520" s="269">
        <f t="shared" si="1371"/>
        <v>234268885.16115099</v>
      </c>
      <c r="EJ520" s="196">
        <f>'Detailed Budget'!$AC$204</f>
        <v>45012172507.531975</v>
      </c>
      <c r="EK520" s="269">
        <f t="shared" si="1327"/>
        <v>49263735.331122346</v>
      </c>
      <c r="EL520" s="201">
        <f>'Detailed Budget'!$AC$206</f>
        <v>11253043126.882994</v>
      </c>
      <c r="EM520" s="269">
        <f t="shared" si="1328"/>
        <v>12315933.832780587</v>
      </c>
      <c r="EN520" s="269">
        <f t="shared" si="1372"/>
        <v>61579669.163902931</v>
      </c>
      <c r="EO520" s="140">
        <f>'Detailed Budget'!$AC$209</f>
        <v>135789361677.54817</v>
      </c>
      <c r="EP520" s="269">
        <f t="shared" si="1329"/>
        <v>112385490.79442702</v>
      </c>
      <c r="EQ520" s="196">
        <f>'Detailed Budget'!$AC$211</f>
        <v>33947340419.387043</v>
      </c>
      <c r="ER520" s="269">
        <f t="shared" si="1330"/>
        <v>28096372.698606756</v>
      </c>
      <c r="ES520" s="269">
        <f t="shared" si="1373"/>
        <v>140481863.49303377</v>
      </c>
      <c r="ET520" s="196">
        <f>'Detailed Budget'!$AC$214</f>
        <v>22239745544.201103</v>
      </c>
      <c r="EU520" s="269">
        <f t="shared" si="1331"/>
        <v>17875751.452096153</v>
      </c>
      <c r="EV520" s="140">
        <f>'Detailed Budget'!$AC$217</f>
        <v>5559936386.0502758</v>
      </c>
      <c r="EW520" s="269">
        <f t="shared" si="1332"/>
        <v>4468937.8630240383</v>
      </c>
      <c r="EX520" s="269">
        <f t="shared" si="1374"/>
        <v>22344689.31512019</v>
      </c>
      <c r="EY520" s="196">
        <f>'Detailed Budget'!$AC$219</f>
        <v>372777004.58170313</v>
      </c>
      <c r="EZ520" s="269">
        <f t="shared" si="1333"/>
        <v>313667.58012839581</v>
      </c>
      <c r="FA520" s="196">
        <f>'Detailed Budget'!$AC$222</f>
        <v>93194251.145425782</v>
      </c>
      <c r="FB520" s="269">
        <f t="shared" si="1334"/>
        <v>78416.895032098953</v>
      </c>
      <c r="FC520" s="269">
        <f t="shared" si="1375"/>
        <v>392084.4751604948</v>
      </c>
      <c r="FD520" s="269"/>
      <c r="FE520" s="269">
        <f t="shared" si="1376"/>
        <v>224798306.4472174</v>
      </c>
      <c r="FF520" s="140">
        <f>'Detailed Budget'!$AC$165</f>
        <v>14927760000</v>
      </c>
      <c r="FG520" s="1087">
        <f t="shared" si="1420"/>
        <v>306639770.26015234</v>
      </c>
      <c r="FH520" s="269">
        <f t="shared" si="1397"/>
        <v>18657579.820474949</v>
      </c>
      <c r="FJ520" s="140">
        <f>'Detailed Budget'!$AC$235</f>
        <v>3623696172</v>
      </c>
      <c r="FK520" s="269">
        <f t="shared" si="1398"/>
        <v>4681778</v>
      </c>
      <c r="FL520" s="269">
        <f t="shared" si="1421"/>
        <v>4681778</v>
      </c>
      <c r="FO520" s="607"/>
      <c r="FP520" s="607"/>
      <c r="FQ520" s="607"/>
      <c r="FR520" s="269">
        <f>'Detailed Budget'!$AC$257</f>
        <v>13636439388</v>
      </c>
      <c r="FS520" s="269">
        <f t="shared" si="1399"/>
        <v>15989376</v>
      </c>
      <c r="FT520" s="269">
        <f t="shared" si="1422"/>
        <v>15989376</v>
      </c>
      <c r="FU520" s="269"/>
      <c r="FV520" s="269"/>
      <c r="FW520" s="269"/>
      <c r="FX520" s="140">
        <f>'Detailed Budget'!$AC$278</f>
        <v>1114560000</v>
      </c>
      <c r="FY520" s="269">
        <f t="shared" si="1400"/>
        <v>1440000</v>
      </c>
      <c r="FZ520" s="269">
        <f t="shared" si="1423"/>
        <v>1440000</v>
      </c>
      <c r="GB520" s="269">
        <f t="shared" si="1264"/>
        <v>999827518.87403071</v>
      </c>
      <c r="GC520" s="887">
        <f t="shared" si="1377"/>
        <v>624892.19929626922</v>
      </c>
      <c r="GD520" s="1078">
        <f t="shared" si="1265"/>
        <v>5.610347045119005E-4</v>
      </c>
    </row>
    <row r="521" spans="1:186" hidden="1" outlineLevel="1">
      <c r="A521" s="211" t="s">
        <v>1162</v>
      </c>
      <c r="B521" s="212" t="s">
        <v>1163</v>
      </c>
      <c r="C521" s="213" t="s">
        <v>215</v>
      </c>
      <c r="D521" s="214"/>
      <c r="E521" s="213"/>
      <c r="F521" s="213"/>
      <c r="G521" s="213" t="s">
        <v>215</v>
      </c>
      <c r="H521" s="213" t="s">
        <v>215</v>
      </c>
      <c r="I521" s="214" t="s">
        <v>215</v>
      </c>
      <c r="J521" s="214"/>
      <c r="K521" s="213" t="s">
        <v>215</v>
      </c>
      <c r="L521" s="213"/>
      <c r="M521" s="214"/>
      <c r="N521" s="213"/>
      <c r="O521" s="214"/>
      <c r="P521" s="213"/>
      <c r="Q521" s="214"/>
      <c r="R521" s="214" t="s">
        <v>215</v>
      </c>
      <c r="S521" s="214"/>
      <c r="T521" s="214"/>
      <c r="U521" s="215">
        <f t="shared" si="1401"/>
        <v>6</v>
      </c>
      <c r="V521" s="845" t="s">
        <v>216</v>
      </c>
      <c r="W521" s="216">
        <v>214969</v>
      </c>
      <c r="X521" s="217">
        <v>2.82</v>
      </c>
      <c r="Y521" s="218">
        <f t="shared" si="1312"/>
        <v>1.0282</v>
      </c>
      <c r="Z521" s="196">
        <v>19</v>
      </c>
      <c r="AA521" s="218">
        <f t="shared" si="1313"/>
        <v>1.6961895806156848</v>
      </c>
      <c r="AB521" s="196">
        <f t="shared" si="1389"/>
        <v>364628.17795537313</v>
      </c>
      <c r="AC521">
        <v>14.9</v>
      </c>
      <c r="AD521" s="196">
        <f t="shared" si="1390"/>
        <v>54329.598515350597</v>
      </c>
      <c r="AE521" s="196">
        <f t="shared" si="1314"/>
        <v>51613.118589583064</v>
      </c>
      <c r="AF521" s="196">
        <f t="shared" si="1402"/>
        <v>0</v>
      </c>
      <c r="AG521" s="606">
        <f t="shared" si="1380"/>
        <v>2.3863640177461086E-3</v>
      </c>
      <c r="AH521" s="196">
        <f t="shared" si="1418"/>
        <v>18231.408897768659</v>
      </c>
      <c r="AI521" s="248">
        <f t="shared" si="1359"/>
        <v>1.4123596240275215E-3</v>
      </c>
      <c r="AJ521" s="196">
        <f t="shared" si="1360"/>
        <v>72561.007413119252</v>
      </c>
      <c r="AK521" s="196">
        <f t="shared" si="1391"/>
        <v>14585.127118214925</v>
      </c>
      <c r="AL521" s="196">
        <f t="shared" si="1392"/>
        <v>14585.127118214925</v>
      </c>
      <c r="AM521" s="196">
        <f t="shared" si="1361"/>
        <v>29170.25423642985</v>
      </c>
      <c r="AN521" s="627">
        <f t="shared" si="1362"/>
        <v>1.4123596240275212E-3</v>
      </c>
      <c r="AO521" s="196">
        <f t="shared" si="1363"/>
        <v>13855.870762304179</v>
      </c>
      <c r="AP521" s="589">
        <f t="shared" si="1381"/>
        <v>1.4123596240275212E-3</v>
      </c>
      <c r="AQ521" s="196"/>
      <c r="AR521" s="589"/>
      <c r="AS521">
        <v>1</v>
      </c>
      <c r="AT521" s="589">
        <f t="shared" si="1382"/>
        <v>1.2919896640826874E-3</v>
      </c>
      <c r="AU521" s="196">
        <v>20</v>
      </c>
      <c r="AV521" s="245">
        <f t="shared" si="1364"/>
        <v>2.2724690376093627E-3</v>
      </c>
      <c r="AX521" s="245"/>
      <c r="AY521" s="245"/>
      <c r="AZ521" s="196">
        <v>46</v>
      </c>
      <c r="BA521" s="589">
        <f t="shared" ref="BA521:BA584" si="1425">AZ521/27291</f>
        <v>1.6855373566377193E-3</v>
      </c>
      <c r="BI521" s="196">
        <v>0</v>
      </c>
      <c r="BK521" s="246">
        <f t="shared" ref="BK521:BK584" si="1426">BJ521/52440044</f>
        <v>0</v>
      </c>
      <c r="BL521" s="246"/>
      <c r="BM521" s="246">
        <f t="shared" ref="BM521:BM584" si="1427">BL521/1048801</f>
        <v>0</v>
      </c>
      <c r="BN521" s="196">
        <v>1</v>
      </c>
      <c r="BO521" s="196">
        <f t="shared" si="1403"/>
        <v>20108.249835397313</v>
      </c>
      <c r="BP521" s="196">
        <f t="shared" si="1365"/>
        <v>20108.249835397313</v>
      </c>
      <c r="BQ521" s="248">
        <f t="shared" ref="BQ521:BQ584" si="1428">BP521/10690003</f>
        <v>1.8810331330493838E-3</v>
      </c>
      <c r="BR521" s="248"/>
      <c r="BS521" s="248"/>
      <c r="BT521" s="276">
        <v>0</v>
      </c>
      <c r="BU521" s="196">
        <f t="shared" si="1404"/>
        <v>0</v>
      </c>
      <c r="BV521" s="264">
        <f t="shared" ref="BV521:BV584" si="1429">BU521/14417138</f>
        <v>0</v>
      </c>
      <c r="BW521" s="196">
        <f t="shared" si="1405"/>
        <v>0</v>
      </c>
      <c r="BX521" s="247">
        <f t="shared" ref="BX521:BX584" si="1430">BW521/61673312</f>
        <v>0</v>
      </c>
      <c r="BY521" s="196">
        <f t="shared" si="1406"/>
        <v>0</v>
      </c>
      <c r="BZ521" s="620">
        <v>1</v>
      </c>
      <c r="CA521" s="196">
        <f t="shared" si="1407"/>
        <v>111576.22245434418</v>
      </c>
      <c r="CB521" s="196">
        <f t="shared" si="1408"/>
        <v>223152.44490868837</v>
      </c>
      <c r="CC521" s="196">
        <f t="shared" si="1378"/>
        <v>334728.66736303258</v>
      </c>
      <c r="CD521" s="247">
        <f t="shared" si="1366"/>
        <v>1.4123596240275215E-3</v>
      </c>
      <c r="CE521" s="196">
        <f t="shared" si="1409"/>
        <v>29026.121966721454</v>
      </c>
      <c r="CF521" s="247">
        <f t="shared" si="1367"/>
        <v>1.2534382161852478E-3</v>
      </c>
      <c r="CG521" s="196">
        <f t="shared" si="1316"/>
        <v>55423.483049216717</v>
      </c>
      <c r="CH521" s="589">
        <f t="shared" si="1383"/>
        <v>1.4123596240275212E-3</v>
      </c>
      <c r="CI521" s="196">
        <f t="shared" si="1410"/>
        <v>107098.58564555511</v>
      </c>
      <c r="CJ521" s="248">
        <f t="shared" si="1384"/>
        <v>1.7607004761607725E-3</v>
      </c>
      <c r="CK521" s="196">
        <f t="shared" si="1411"/>
        <v>92622.937444382274</v>
      </c>
      <c r="CL521" s="589">
        <f t="shared" si="1385"/>
        <v>1.3314737774884088E-3</v>
      </c>
      <c r="CM521" s="196">
        <f t="shared" si="1412"/>
        <v>8972.7254816058812</v>
      </c>
      <c r="CN521" s="589">
        <f t="shared" si="1386"/>
        <v>1.2930717137933717E-3</v>
      </c>
      <c r="CO521" s="196">
        <f t="shared" si="1413"/>
        <v>717.79828895386731</v>
      </c>
      <c r="CP521" s="589">
        <f t="shared" si="1387"/>
        <v>1.353657011676908E-3</v>
      </c>
      <c r="CQ521" s="196">
        <f>'Detailed Budget'!$AC$12</f>
        <v>292876014141.44696</v>
      </c>
      <c r="CR521" s="269">
        <f t="shared" si="1393"/>
        <v>0</v>
      </c>
      <c r="CS521" s="269">
        <f>'Detailed Budget'!$AC$16</f>
        <v>10488008800.000002</v>
      </c>
      <c r="CT521" s="607">
        <f t="shared" si="1318"/>
        <v>0</v>
      </c>
      <c r="CU521" s="269">
        <f>'Detailed Budget'!$AC$24</f>
        <v>30624985696</v>
      </c>
      <c r="CV521" s="269">
        <f t="shared" si="1424"/>
        <v>0</v>
      </c>
      <c r="CW521" s="269"/>
      <c r="CX521" s="269">
        <f t="shared" si="1379"/>
        <v>0</v>
      </c>
      <c r="CY521" s="196">
        <f>'Detailed Budget'!$AC$97</f>
        <v>74629165494.837845</v>
      </c>
      <c r="CZ521" s="269">
        <f t="shared" si="1319"/>
        <v>140379932.98761579</v>
      </c>
      <c r="DA521" s="269">
        <f>'Detailed Budget'!$AC$100</f>
        <v>14925833098.967569</v>
      </c>
      <c r="DB521" s="269">
        <f t="shared" si="1320"/>
        <v>28075986.59752316</v>
      </c>
      <c r="DC521" s="269">
        <f t="shared" si="1368"/>
        <v>168455919.58513895</v>
      </c>
      <c r="DD521" s="207">
        <v>0</v>
      </c>
      <c r="DE521" s="606">
        <v>0</v>
      </c>
      <c r="DF521" s="269">
        <f>'Detailed Budget'!$AC$147</f>
        <v>5913600671000</v>
      </c>
      <c r="DG521" s="269">
        <f t="shared" si="1419"/>
        <v>0</v>
      </c>
      <c r="DH521" s="269">
        <f>'Detailed Budget'!$AC$153</f>
        <v>226428026880.00003</v>
      </c>
      <c r="DI521" s="269"/>
      <c r="DJ521" s="269">
        <f>'Detailed Budget'!$AC$156</f>
        <v>27713070000</v>
      </c>
      <c r="DK521" s="269"/>
      <c r="DL521" s="269"/>
      <c r="DM521" s="196">
        <f>'Detailed Budget'!$AC$178</f>
        <v>5622683761.6229038</v>
      </c>
      <c r="DN521" s="269">
        <f t="shared" si="1414"/>
        <v>0</v>
      </c>
      <c r="DO521" s="196">
        <f>'Detailed Budget'!$AC$179</f>
        <v>26827890683.128094</v>
      </c>
      <c r="DP521" s="269">
        <f t="shared" si="1415"/>
        <v>0</v>
      </c>
      <c r="DQ521" s="269">
        <f t="shared" si="1388"/>
        <v>0</v>
      </c>
      <c r="DR521" s="269">
        <f>'Detailed Budget'!$AC$181</f>
        <v>50888946855.375237</v>
      </c>
      <c r="DS521" s="269">
        <f t="shared" si="1416"/>
        <v>0</v>
      </c>
      <c r="DT521" s="269">
        <f t="shared" si="1417"/>
        <v>0</v>
      </c>
      <c r="DU521" s="272">
        <f>'Detailed Budget'!$AC$192</f>
        <v>77498869683.252869</v>
      </c>
      <c r="DV521" s="269">
        <f t="shared" si="1321"/>
        <v>109456274.44839691</v>
      </c>
      <c r="DW521" s="140">
        <f>'Detailed Budget'!$AC$194</f>
        <v>2684962805.4134097</v>
      </c>
      <c r="DX521" s="269">
        <f t="shared" si="1322"/>
        <v>3792133.0583815621</v>
      </c>
      <c r="DY521" s="607">
        <f t="shared" si="1369"/>
        <v>113248407.50677846</v>
      </c>
      <c r="DZ521" s="196">
        <f>'Detailed Budget'!$AC$198</f>
        <v>18732540018.380611</v>
      </c>
      <c r="EA521" s="269">
        <f t="shared" si="1396"/>
        <v>23480081.545257762</v>
      </c>
      <c r="EB521" s="196">
        <f>'Detailed Budget'!$AC$200</f>
        <v>4683135004.5951529</v>
      </c>
      <c r="EC521" s="269">
        <f t="shared" si="1324"/>
        <v>5870020.3863144405</v>
      </c>
      <c r="ED521" s="269">
        <f t="shared" si="1370"/>
        <v>29350101.931572203</v>
      </c>
      <c r="EE521" s="196">
        <f>'Detailed Budget'!$AC$161</f>
        <v>251147290106.36197</v>
      </c>
      <c r="EF521" s="269">
        <f t="shared" si="1325"/>
        <v>354710292.23015219</v>
      </c>
      <c r="EG521" s="196">
        <f>'Detailed Budget'!$AC$163</f>
        <v>15696705631.647623</v>
      </c>
      <c r="EH521" s="269">
        <f t="shared" si="1326"/>
        <v>22169393.264384512</v>
      </c>
      <c r="EI521" s="269">
        <f t="shared" si="1371"/>
        <v>376879685.4945367</v>
      </c>
      <c r="EJ521" s="196">
        <f>'Detailed Budget'!$AC$204</f>
        <v>45012172507.531975</v>
      </c>
      <c r="EK521" s="269">
        <f t="shared" si="1327"/>
        <v>79252953.567042381</v>
      </c>
      <c r="EL521" s="201">
        <f>'Detailed Budget'!$AC$206</f>
        <v>11253043126.882994</v>
      </c>
      <c r="EM521" s="269">
        <f t="shared" si="1328"/>
        <v>19813238.391760595</v>
      </c>
      <c r="EN521" s="269">
        <f t="shared" si="1372"/>
        <v>99066191.958802968</v>
      </c>
      <c r="EO521" s="140">
        <f>'Detailed Budget'!$AC$209</f>
        <v>135789361677.54817</v>
      </c>
      <c r="EP521" s="269">
        <f t="shared" si="1329"/>
        <v>180799974.33554485</v>
      </c>
      <c r="EQ521" s="196">
        <f>'Detailed Budget'!$AC$211</f>
        <v>33947340419.387043</v>
      </c>
      <c r="ER521" s="269">
        <f t="shared" si="1330"/>
        <v>45199993.583886214</v>
      </c>
      <c r="ES521" s="269">
        <f t="shared" si="1373"/>
        <v>225999967.91943106</v>
      </c>
      <c r="ET521" s="196">
        <f>'Detailed Budget'!$AC$214</f>
        <v>22239745544.201103</v>
      </c>
      <c r="EU521" s="269">
        <f t="shared" si="1331"/>
        <v>28757585.885168623</v>
      </c>
      <c r="EV521" s="140">
        <f>'Detailed Budget'!$AC$217</f>
        <v>5559936386.0502758</v>
      </c>
      <c r="EW521" s="269">
        <f t="shared" si="1332"/>
        <v>7189396.4712921558</v>
      </c>
      <c r="EX521" s="269">
        <f t="shared" si="1374"/>
        <v>35946982.35646078</v>
      </c>
      <c r="EY521" s="196">
        <f>'Detailed Budget'!$AC$219</f>
        <v>372777004.58170313</v>
      </c>
      <c r="EZ521" s="269">
        <f t="shared" si="1333"/>
        <v>504612.2060439373</v>
      </c>
      <c r="FA521" s="196">
        <f>'Detailed Budget'!$AC$222</f>
        <v>93194251.145425782</v>
      </c>
      <c r="FB521" s="269">
        <f t="shared" si="1334"/>
        <v>126153.05151098433</v>
      </c>
      <c r="FC521" s="269">
        <f t="shared" si="1375"/>
        <v>630765.25755492167</v>
      </c>
      <c r="FD521" s="269"/>
      <c r="FE521" s="269">
        <f t="shared" si="1376"/>
        <v>361643907.49224979</v>
      </c>
      <c r="FF521" s="140">
        <f>'Detailed Budget'!$AC$165</f>
        <v>14927760000</v>
      </c>
      <c r="FG521" s="1087">
        <f t="shared" si="1420"/>
        <v>493306228.42323434</v>
      </c>
      <c r="FH521" s="269">
        <f t="shared" si="1397"/>
        <v>33922872.400863543</v>
      </c>
      <c r="FJ521" s="140">
        <f>'Detailed Budget'!$AC$235</f>
        <v>3623696172</v>
      </c>
      <c r="FK521" s="269">
        <f t="shared" si="1398"/>
        <v>4681778</v>
      </c>
      <c r="FL521" s="269">
        <f t="shared" si="1421"/>
        <v>4681778</v>
      </c>
      <c r="FO521" s="607"/>
      <c r="FP521" s="607"/>
      <c r="FQ521" s="607"/>
      <c r="FR521" s="269">
        <f>'Detailed Budget'!$AC$257</f>
        <v>13636439388</v>
      </c>
      <c r="FS521" s="269">
        <f t="shared" si="1399"/>
        <v>22984728</v>
      </c>
      <c r="FT521" s="269">
        <f t="shared" si="1422"/>
        <v>22984728</v>
      </c>
      <c r="FU521" s="269"/>
      <c r="FV521" s="269"/>
      <c r="FW521" s="269"/>
      <c r="FX521" s="140">
        <f>'Detailed Budget'!$AC$278</f>
        <v>1114560000</v>
      </c>
      <c r="FY521" s="269">
        <f t="shared" si="1400"/>
        <v>1440000</v>
      </c>
      <c r="FZ521" s="269">
        <f t="shared" si="1423"/>
        <v>1440000</v>
      </c>
      <c r="GB521" s="269">
        <f t="shared" ref="GB521:GB584" si="1431">SUM(CX521,DC521,DG521,DL521,DT521,DY521,ED521,EI521,FE521,FG521,FH521,FL521,FT521,FZ521,GA521)</f>
        <v>1605913628.834374</v>
      </c>
      <c r="GC521" s="887">
        <f t="shared" si="1377"/>
        <v>1003696.0180214837</v>
      </c>
      <c r="GD521" s="1078">
        <f t="shared" ref="GD521:GD584" si="1432">GB521/1782113496426</f>
        <v>9.0112870591856694E-4</v>
      </c>
    </row>
    <row r="522" spans="1:186" hidden="1" outlineLevel="1">
      <c r="A522" s="211" t="s">
        <v>1164</v>
      </c>
      <c r="B522" s="212" t="s">
        <v>1165</v>
      </c>
      <c r="C522" s="213" t="s">
        <v>215</v>
      </c>
      <c r="D522" s="214"/>
      <c r="E522" s="213"/>
      <c r="F522" s="213"/>
      <c r="G522" s="213" t="s">
        <v>215</v>
      </c>
      <c r="H522" s="213" t="s">
        <v>215</v>
      </c>
      <c r="I522" s="214" t="s">
        <v>215</v>
      </c>
      <c r="J522" s="214"/>
      <c r="K522" s="213" t="s">
        <v>215</v>
      </c>
      <c r="L522" s="213"/>
      <c r="M522" s="214"/>
      <c r="N522" s="213"/>
      <c r="O522" s="214"/>
      <c r="P522" s="213"/>
      <c r="Q522" s="214"/>
      <c r="R522" s="214" t="s">
        <v>215</v>
      </c>
      <c r="S522" s="214"/>
      <c r="T522" s="214"/>
      <c r="U522" s="215">
        <f t="shared" si="1401"/>
        <v>6</v>
      </c>
      <c r="V522" s="845" t="s">
        <v>216</v>
      </c>
      <c r="W522" s="216">
        <v>152581</v>
      </c>
      <c r="X522" s="217">
        <v>2.82</v>
      </c>
      <c r="Y522" s="218">
        <f t="shared" si="1312"/>
        <v>1.0282</v>
      </c>
      <c r="Z522" s="196">
        <v>19</v>
      </c>
      <c r="AA522" s="218">
        <f t="shared" si="1313"/>
        <v>1.6961895806156848</v>
      </c>
      <c r="AB522" s="196">
        <f t="shared" si="1389"/>
        <v>258806.30239992181</v>
      </c>
      <c r="AC522">
        <v>14.9</v>
      </c>
      <c r="AD522" s="196">
        <f t="shared" si="1390"/>
        <v>38562.139057588349</v>
      </c>
      <c r="AE522" s="196">
        <f t="shared" si="1314"/>
        <v>36634.032104708931</v>
      </c>
      <c r="AF522" s="196">
        <f t="shared" si="1402"/>
        <v>0</v>
      </c>
      <c r="AG522" s="606">
        <f t="shared" si="1380"/>
        <v>1.6937968181073505E-3</v>
      </c>
      <c r="AH522" s="196">
        <f t="shared" si="1418"/>
        <v>12940.315119996092</v>
      </c>
      <c r="AI522" s="248">
        <f t="shared" si="1359"/>
        <v>1.0024666058536032E-3</v>
      </c>
      <c r="AJ522" s="196">
        <f t="shared" si="1360"/>
        <v>51502.454177584441</v>
      </c>
      <c r="AK522" s="196">
        <f t="shared" si="1391"/>
        <v>10352.252095996873</v>
      </c>
      <c r="AL522" s="196">
        <f t="shared" si="1392"/>
        <v>10352.252095996873</v>
      </c>
      <c r="AM522" s="196">
        <f t="shared" si="1361"/>
        <v>20704.504191993747</v>
      </c>
      <c r="AN522" s="627">
        <f t="shared" si="1362"/>
        <v>1.0024666058536032E-3</v>
      </c>
      <c r="AO522" s="196">
        <f t="shared" si="1363"/>
        <v>9834.6394911970292</v>
      </c>
      <c r="AP522" s="589">
        <f t="shared" si="1381"/>
        <v>1.0024666058536032E-3</v>
      </c>
      <c r="AQ522" s="196"/>
      <c r="AR522" s="589"/>
      <c r="AS522">
        <v>1</v>
      </c>
      <c r="AT522" s="589">
        <f t="shared" si="1382"/>
        <v>1.2919896640826874E-3</v>
      </c>
      <c r="AU522" s="196">
        <v>16</v>
      </c>
      <c r="AV522" s="245">
        <f t="shared" si="1364"/>
        <v>1.81797523008749E-3</v>
      </c>
      <c r="AX522" s="245"/>
      <c r="AY522" s="245"/>
      <c r="AZ522" s="196">
        <v>41</v>
      </c>
      <c r="BA522" s="589">
        <f t="shared" si="1425"/>
        <v>1.5023267743944891E-3</v>
      </c>
      <c r="BI522" s="196">
        <v>0</v>
      </c>
      <c r="BK522" s="246">
        <f t="shared" si="1426"/>
        <v>0</v>
      </c>
      <c r="BL522" s="246"/>
      <c r="BM522" s="246">
        <f t="shared" si="1427"/>
        <v>0</v>
      </c>
      <c r="BN522" s="196">
        <v>1</v>
      </c>
      <c r="BO522" s="196">
        <f t="shared" si="1403"/>
        <v>14272.461927695425</v>
      </c>
      <c r="BP522" s="196">
        <f t="shared" si="1365"/>
        <v>14272.461927695425</v>
      </c>
      <c r="BQ522" s="248">
        <f t="shared" si="1428"/>
        <v>1.3351223500774907E-3</v>
      </c>
      <c r="BR522" s="248"/>
      <c r="BS522" s="248"/>
      <c r="BT522" s="276">
        <v>0</v>
      </c>
      <c r="BU522" s="196">
        <f t="shared" si="1404"/>
        <v>0</v>
      </c>
      <c r="BV522" s="264">
        <f t="shared" si="1429"/>
        <v>0</v>
      </c>
      <c r="BW522" s="196">
        <f t="shared" si="1405"/>
        <v>0</v>
      </c>
      <c r="BX522" s="247">
        <f t="shared" si="1430"/>
        <v>0</v>
      </c>
      <c r="BY522" s="196">
        <f t="shared" si="1406"/>
        <v>0</v>
      </c>
      <c r="BZ522" s="620">
        <v>1</v>
      </c>
      <c r="CA522" s="196">
        <f t="shared" si="1407"/>
        <v>79194.728534376089</v>
      </c>
      <c r="CB522" s="196">
        <f t="shared" si="1408"/>
        <v>158389.45706875218</v>
      </c>
      <c r="CC522" s="196">
        <f t="shared" si="1378"/>
        <v>237584.18560312828</v>
      </c>
      <c r="CD522" s="247">
        <f t="shared" si="1366"/>
        <v>1.0024666058536034E-3</v>
      </c>
      <c r="CE522" s="196">
        <f t="shared" si="1409"/>
        <v>20602.201786324196</v>
      </c>
      <c r="CF522" s="247">
        <f t="shared" si="1367"/>
        <v>8.8966714486163724E-4</v>
      </c>
      <c r="CG522" s="196">
        <f t="shared" si="1316"/>
        <v>39338.557964788117</v>
      </c>
      <c r="CH522" s="589">
        <f t="shared" si="1383"/>
        <v>1.0024666058536032E-3</v>
      </c>
      <c r="CI522" s="196">
        <f t="shared" si="1410"/>
        <v>76016.585165230528</v>
      </c>
      <c r="CJ522" s="248">
        <f t="shared" si="1384"/>
        <v>1.2497124671607849E-3</v>
      </c>
      <c r="CK522" s="196">
        <f t="shared" si="1411"/>
        <v>65742.039169374606</v>
      </c>
      <c r="CL522" s="589">
        <f t="shared" si="1385"/>
        <v>9.4505533562029348E-4</v>
      </c>
      <c r="CM522" s="196">
        <f t="shared" si="1412"/>
        <v>6368.6737469537793</v>
      </c>
      <c r="CN522" s="589">
        <f t="shared" si="1386"/>
        <v>9.1779826469075277E-4</v>
      </c>
      <c r="CO522" s="196">
        <f t="shared" si="1413"/>
        <v>509.47988187538681</v>
      </c>
      <c r="CP522" s="589">
        <f t="shared" si="1387"/>
        <v>9.6080058286857311E-4</v>
      </c>
      <c r="CQ522" s="196">
        <f>'Detailed Budget'!$AC$12</f>
        <v>292876014141.44696</v>
      </c>
      <c r="CR522" s="269">
        <f t="shared" si="1393"/>
        <v>0</v>
      </c>
      <c r="CS522" s="269">
        <f>'Detailed Budget'!$AC$16</f>
        <v>10488008800.000002</v>
      </c>
      <c r="CT522" s="607">
        <f t="shared" si="1318"/>
        <v>0</v>
      </c>
      <c r="CU522" s="269">
        <f>'Detailed Budget'!$AC$24</f>
        <v>30624985696</v>
      </c>
      <c r="CV522" s="269">
        <f t="shared" si="1424"/>
        <v>0</v>
      </c>
      <c r="CW522" s="269"/>
      <c r="CX522" s="269">
        <f t="shared" si="1379"/>
        <v>0</v>
      </c>
      <c r="CY522" s="196">
        <f>'Detailed Budget'!$AC$97</f>
        <v>74629165494.837845</v>
      </c>
      <c r="CZ522" s="269">
        <f t="shared" si="1319"/>
        <v>99639066.819789872</v>
      </c>
      <c r="DA522" s="269">
        <f>'Detailed Budget'!$AC$100</f>
        <v>14925833098.967569</v>
      </c>
      <c r="DB522" s="269">
        <f t="shared" si="1320"/>
        <v>19927813.363957975</v>
      </c>
      <c r="DC522" s="269">
        <f t="shared" si="1368"/>
        <v>119566880.18374784</v>
      </c>
      <c r="DD522" s="207">
        <v>0</v>
      </c>
      <c r="DE522" s="606">
        <v>0</v>
      </c>
      <c r="DF522" s="269">
        <f>'Detailed Budget'!$AC$147</f>
        <v>5913600671000</v>
      </c>
      <c r="DG522" s="269">
        <f t="shared" si="1419"/>
        <v>0</v>
      </c>
      <c r="DH522" s="269">
        <f>'Detailed Budget'!$AC$153</f>
        <v>226428026880.00003</v>
      </c>
      <c r="DI522" s="269"/>
      <c r="DJ522" s="269">
        <f>'Detailed Budget'!$AC$156</f>
        <v>27713070000</v>
      </c>
      <c r="DK522" s="269"/>
      <c r="DL522" s="269"/>
      <c r="DM522" s="196">
        <f>'Detailed Budget'!$AC$178</f>
        <v>5622683761.6229038</v>
      </c>
      <c r="DN522" s="269">
        <f t="shared" si="1414"/>
        <v>0</v>
      </c>
      <c r="DO522" s="196">
        <f>'Detailed Budget'!$AC$179</f>
        <v>26827890683.128094</v>
      </c>
      <c r="DP522" s="269">
        <f t="shared" si="1415"/>
        <v>0</v>
      </c>
      <c r="DQ522" s="269">
        <f t="shared" si="1388"/>
        <v>0</v>
      </c>
      <c r="DR522" s="269">
        <f>'Detailed Budget'!$AC$181</f>
        <v>50888946855.375237</v>
      </c>
      <c r="DS522" s="269">
        <f t="shared" si="1416"/>
        <v>0</v>
      </c>
      <c r="DT522" s="269">
        <f t="shared" si="1417"/>
        <v>0</v>
      </c>
      <c r="DU522" s="272">
        <f>'Detailed Budget'!$AC$192</f>
        <v>77498869683.252869</v>
      </c>
      <c r="DV522" s="269">
        <f t="shared" si="1321"/>
        <v>77690028.848861232</v>
      </c>
      <c r="DW522" s="140">
        <f>'Detailed Budget'!$AC$194</f>
        <v>2684962805.4134097</v>
      </c>
      <c r="DX522" s="269">
        <f t="shared" si="1322"/>
        <v>2691585.5503859492</v>
      </c>
      <c r="DY522" s="607">
        <f t="shared" si="1369"/>
        <v>80381614.399247184</v>
      </c>
      <c r="DZ522" s="196">
        <f>'Detailed Budget'!$AC$198</f>
        <v>18732540018.380611</v>
      </c>
      <c r="EA522" s="269">
        <f t="shared" si="1396"/>
        <v>16665725.394159039</v>
      </c>
      <c r="EB522" s="196">
        <f>'Detailed Budget'!$AC$200</f>
        <v>4683135004.5951529</v>
      </c>
      <c r="EC522" s="269">
        <f t="shared" si="1324"/>
        <v>4166431.3485397599</v>
      </c>
      <c r="ED522" s="269">
        <f t="shared" si="1370"/>
        <v>20832156.7426988</v>
      </c>
      <c r="EE522" s="196">
        <f>'Detailed Budget'!$AC$161</f>
        <v>251147290106.36197</v>
      </c>
      <c r="EF522" s="269">
        <f t="shared" si="1325"/>
        <v>251766771.48225489</v>
      </c>
      <c r="EG522" s="196">
        <f>'Detailed Budget'!$AC$163</f>
        <v>15696705631.647623</v>
      </c>
      <c r="EH522" s="269">
        <f t="shared" si="1326"/>
        <v>15735423.217640931</v>
      </c>
      <c r="EI522" s="269">
        <f t="shared" si="1371"/>
        <v>267502194.69989583</v>
      </c>
      <c r="EJ522" s="196">
        <f>'Detailed Budget'!$AC$204</f>
        <v>45012172507.531975</v>
      </c>
      <c r="EK522" s="269">
        <f t="shared" si="1327"/>
        <v>56252273.156654641</v>
      </c>
      <c r="EL522" s="201">
        <f>'Detailed Budget'!$AC$206</f>
        <v>11253043126.882994</v>
      </c>
      <c r="EM522" s="269">
        <f t="shared" si="1328"/>
        <v>14063068.28916366</v>
      </c>
      <c r="EN522" s="269">
        <f t="shared" si="1372"/>
        <v>70315341.445818305</v>
      </c>
      <c r="EO522" s="140">
        <f>'Detailed Budget'!$AC$209</f>
        <v>135789361677.54817</v>
      </c>
      <c r="EP522" s="269">
        <f t="shared" si="1329"/>
        <v>128328460.77384071</v>
      </c>
      <c r="EQ522" s="196">
        <f>'Detailed Budget'!$AC$211</f>
        <v>33947340419.387043</v>
      </c>
      <c r="ER522" s="269">
        <f t="shared" si="1330"/>
        <v>32082115.193460178</v>
      </c>
      <c r="ES522" s="269">
        <f t="shared" si="1373"/>
        <v>160410575.96730089</v>
      </c>
      <c r="ET522" s="196">
        <f>'Detailed Budget'!$AC$214</f>
        <v>22239745544.201103</v>
      </c>
      <c r="EU522" s="269">
        <f t="shared" si="1331"/>
        <v>20411599.867631674</v>
      </c>
      <c r="EV522" s="140">
        <f>'Detailed Budget'!$AC$217</f>
        <v>5559936386.0502758</v>
      </c>
      <c r="EW522" s="269">
        <f t="shared" si="1332"/>
        <v>5102899.9669079185</v>
      </c>
      <c r="EX522" s="269">
        <f t="shared" si="1374"/>
        <v>25514499.834539592</v>
      </c>
      <c r="EY522" s="196">
        <f>'Detailed Budget'!$AC$219</f>
        <v>372777004.58170313</v>
      </c>
      <c r="EZ522" s="269">
        <f t="shared" si="1333"/>
        <v>358164.36328210111</v>
      </c>
      <c r="FA522" s="196">
        <f>'Detailed Budget'!$AC$222</f>
        <v>93194251.145425782</v>
      </c>
      <c r="FB522" s="269">
        <f t="shared" si="1334"/>
        <v>89541.090820525278</v>
      </c>
      <c r="FC522" s="269">
        <f t="shared" si="1375"/>
        <v>447705.45410262642</v>
      </c>
      <c r="FD522" s="269"/>
      <c r="FE522" s="269">
        <f t="shared" si="1376"/>
        <v>256688122.70176142</v>
      </c>
      <c r="FF522" s="140">
        <f>'Detailed Budget'!$AC$165</f>
        <v>14927760000</v>
      </c>
      <c r="FG522" s="1087">
        <f t="shared" si="1420"/>
        <v>350139590.54117334</v>
      </c>
      <c r="FH522" s="269">
        <f t="shared" si="1397"/>
        <v>27138297.920690831</v>
      </c>
      <c r="FJ522" s="140">
        <f>'Detailed Budget'!$AC$235</f>
        <v>3623696172</v>
      </c>
      <c r="FK522" s="269">
        <f t="shared" si="1398"/>
        <v>4681778</v>
      </c>
      <c r="FL522" s="269">
        <f t="shared" si="1421"/>
        <v>4681778</v>
      </c>
      <c r="FO522" s="607"/>
      <c r="FP522" s="607"/>
      <c r="FQ522" s="607"/>
      <c r="FR522" s="269">
        <f>'Detailed Budget'!$AC$257</f>
        <v>13636439388</v>
      </c>
      <c r="FS522" s="269">
        <f t="shared" si="1399"/>
        <v>20486388</v>
      </c>
      <c r="FT522" s="269">
        <f t="shared" si="1422"/>
        <v>20486388</v>
      </c>
      <c r="FU522" s="269"/>
      <c r="FV522" s="269"/>
      <c r="FW522" s="269"/>
      <c r="FX522" s="140">
        <f>'Detailed Budget'!$AC$278</f>
        <v>1114560000</v>
      </c>
      <c r="FY522" s="269">
        <f t="shared" si="1400"/>
        <v>1440000</v>
      </c>
      <c r="FZ522" s="269">
        <f t="shared" si="1423"/>
        <v>1440000</v>
      </c>
      <c r="GB522" s="269">
        <f t="shared" si="1431"/>
        <v>1148857023.1892152</v>
      </c>
      <c r="GC522" s="887">
        <f t="shared" si="1377"/>
        <v>718035.63949325948</v>
      </c>
      <c r="GD522" s="1078">
        <f t="shared" si="1432"/>
        <v>6.4465985218855563E-4</v>
      </c>
    </row>
    <row r="523" spans="1:186" hidden="1" outlineLevel="1">
      <c r="A523" s="211" t="s">
        <v>1166</v>
      </c>
      <c r="B523" s="212" t="s">
        <v>1167</v>
      </c>
      <c r="C523" s="213" t="s">
        <v>215</v>
      </c>
      <c r="D523" s="214"/>
      <c r="E523" s="213"/>
      <c r="F523" s="213"/>
      <c r="G523" s="213" t="s">
        <v>215</v>
      </c>
      <c r="H523" s="213" t="s">
        <v>215</v>
      </c>
      <c r="I523" s="214" t="s">
        <v>215</v>
      </c>
      <c r="J523" s="214"/>
      <c r="K523" s="213" t="s">
        <v>215</v>
      </c>
      <c r="L523" s="213"/>
      <c r="M523" s="214"/>
      <c r="N523" s="213"/>
      <c r="O523" s="214"/>
      <c r="P523" s="213"/>
      <c r="Q523" s="214"/>
      <c r="R523" s="214" t="s">
        <v>215</v>
      </c>
      <c r="S523" s="214"/>
      <c r="T523" s="214"/>
      <c r="U523" s="215">
        <f t="shared" si="1401"/>
        <v>6</v>
      </c>
      <c r="V523" s="845" t="s">
        <v>216</v>
      </c>
      <c r="W523" s="216">
        <v>121363</v>
      </c>
      <c r="X523" s="217">
        <v>2.82</v>
      </c>
      <c r="Y523" s="218">
        <f t="shared" si="1312"/>
        <v>1.0282</v>
      </c>
      <c r="Z523" s="196">
        <v>19</v>
      </c>
      <c r="AA523" s="218">
        <f t="shared" si="1313"/>
        <v>1.6961895806156848</v>
      </c>
      <c r="AB523" s="196">
        <f t="shared" si="1389"/>
        <v>205854.65607226136</v>
      </c>
      <c r="AC523">
        <v>14.9</v>
      </c>
      <c r="AD523" s="196">
        <f t="shared" si="1390"/>
        <v>30672.343754766942</v>
      </c>
      <c r="AE523" s="196">
        <f t="shared" si="1314"/>
        <v>29138.726567028592</v>
      </c>
      <c r="AF523" s="196">
        <f t="shared" si="1402"/>
        <v>0</v>
      </c>
      <c r="AG523" s="606">
        <f t="shared" si="1380"/>
        <v>1.3472467950528726E-3</v>
      </c>
      <c r="AH523" s="196">
        <f t="shared" si="1418"/>
        <v>10292.732803613069</v>
      </c>
      <c r="AI523" s="248">
        <f t="shared" si="1359"/>
        <v>7.9736241528244583E-4</v>
      </c>
      <c r="AJ523" s="196">
        <f t="shared" si="1360"/>
        <v>40965.076558380009</v>
      </c>
      <c r="AK523" s="196">
        <f t="shared" si="1391"/>
        <v>8234.1862428904551</v>
      </c>
      <c r="AL523" s="196">
        <f t="shared" si="1392"/>
        <v>8234.1862428904551</v>
      </c>
      <c r="AM523" s="196">
        <f t="shared" si="1361"/>
        <v>16468.37248578091</v>
      </c>
      <c r="AN523" s="627">
        <f t="shared" si="1362"/>
        <v>7.9736241528244572E-4</v>
      </c>
      <c r="AO523" s="196">
        <f t="shared" si="1363"/>
        <v>7822.4769307459319</v>
      </c>
      <c r="AP523" s="589">
        <f t="shared" si="1381"/>
        <v>7.9736241528244572E-4</v>
      </c>
      <c r="AQ523" s="196"/>
      <c r="AR523" s="589"/>
      <c r="AS523">
        <v>1</v>
      </c>
      <c r="AT523" s="589">
        <f t="shared" si="1382"/>
        <v>1.2919896640826874E-3</v>
      </c>
      <c r="AU523" s="196">
        <v>11</v>
      </c>
      <c r="AV523" s="245">
        <f t="shared" si="1364"/>
        <v>1.2498579706851495E-3</v>
      </c>
      <c r="AX523" s="245"/>
      <c r="AY523" s="245"/>
      <c r="AZ523" s="196">
        <v>30</v>
      </c>
      <c r="BA523" s="589">
        <f t="shared" si="1425"/>
        <v>1.0992634934593821E-3</v>
      </c>
      <c r="BI523" s="196">
        <v>0</v>
      </c>
      <c r="BK523" s="246">
        <f t="shared" si="1426"/>
        <v>0</v>
      </c>
      <c r="BL523" s="246"/>
      <c r="BM523" s="246">
        <f t="shared" si="1427"/>
        <v>0</v>
      </c>
      <c r="BN523" s="196">
        <v>1</v>
      </c>
      <c r="BO523" s="196">
        <f t="shared" si="1403"/>
        <v>11352.323008309682</v>
      </c>
      <c r="BP523" s="196">
        <f t="shared" si="1365"/>
        <v>11352.323008309682</v>
      </c>
      <c r="BQ523" s="248">
        <f t="shared" si="1428"/>
        <v>1.0619569525200023E-3</v>
      </c>
      <c r="BR523" s="248"/>
      <c r="BS523" s="248"/>
      <c r="BT523" s="276">
        <v>0</v>
      </c>
      <c r="BU523" s="196">
        <f t="shared" si="1404"/>
        <v>0</v>
      </c>
      <c r="BV523" s="264">
        <f t="shared" si="1429"/>
        <v>0</v>
      </c>
      <c r="BW523" s="196">
        <f t="shared" si="1405"/>
        <v>0</v>
      </c>
      <c r="BX523" s="247">
        <f t="shared" si="1430"/>
        <v>0</v>
      </c>
      <c r="BY523" s="196">
        <f t="shared" si="1406"/>
        <v>0</v>
      </c>
      <c r="BZ523" s="620">
        <v>1</v>
      </c>
      <c r="CA523" s="196">
        <f t="shared" si="1407"/>
        <v>62991.524758111977</v>
      </c>
      <c r="CB523" s="196">
        <f t="shared" si="1408"/>
        <v>125983.04951622395</v>
      </c>
      <c r="CC523" s="196">
        <f t="shared" si="1378"/>
        <v>188974.57427433593</v>
      </c>
      <c r="CD523" s="247">
        <f t="shared" si="1366"/>
        <v>7.9736241528244572E-4</v>
      </c>
      <c r="CE523" s="196">
        <f t="shared" si="1409"/>
        <v>16387.00110363455</v>
      </c>
      <c r="CF523" s="247">
        <f t="shared" si="1367"/>
        <v>7.0764167033800327E-4</v>
      </c>
      <c r="CG523" s="196">
        <f t="shared" si="1316"/>
        <v>31289.907722983728</v>
      </c>
      <c r="CH523" s="589">
        <f t="shared" si="1383"/>
        <v>7.9736241528244572E-4</v>
      </c>
      <c r="CI523" s="196">
        <f t="shared" si="1410"/>
        <v>60463.628010092172</v>
      </c>
      <c r="CJ523" s="248">
        <f t="shared" si="1384"/>
        <v>9.9402189100893535E-4</v>
      </c>
      <c r="CK523" s="196">
        <f t="shared" si="1411"/>
        <v>52291.249236227392</v>
      </c>
      <c r="CL523" s="589">
        <f t="shared" si="1385"/>
        <v>7.5169746362185137E-4</v>
      </c>
      <c r="CM523" s="196">
        <f t="shared" si="1412"/>
        <v>5065.6461286238236</v>
      </c>
      <c r="CN523" s="589">
        <f t="shared" si="1386"/>
        <v>7.3001717643523016E-4</v>
      </c>
      <c r="CO523" s="196">
        <f t="shared" si="1413"/>
        <v>405.24054046075577</v>
      </c>
      <c r="CP523" s="589">
        <f t="shared" si="1387"/>
        <v>7.642212407749238E-4</v>
      </c>
      <c r="CQ523" s="196">
        <f>'Detailed Budget'!$AC$12</f>
        <v>292876014141.44696</v>
      </c>
      <c r="CR523" s="269">
        <f t="shared" si="1393"/>
        <v>0</v>
      </c>
      <c r="CS523" s="269">
        <f>'Detailed Budget'!$AC$16</f>
        <v>10488008800.000002</v>
      </c>
      <c r="CT523" s="607">
        <f t="shared" si="1318"/>
        <v>0</v>
      </c>
      <c r="CU523" s="269">
        <f>'Detailed Budget'!$AC$24</f>
        <v>30624985696</v>
      </c>
      <c r="CV523" s="269">
        <f t="shared" si="1424"/>
        <v>0</v>
      </c>
      <c r="CW523" s="269"/>
      <c r="CX523" s="269">
        <f t="shared" si="1379"/>
        <v>0</v>
      </c>
      <c r="CY523" s="196">
        <f>'Detailed Budget'!$AC$97</f>
        <v>74629165494.837845</v>
      </c>
      <c r="CZ523" s="269">
        <f t="shared" si="1319"/>
        <v>79252961.158008903</v>
      </c>
      <c r="DA523" s="269">
        <f>'Detailed Budget'!$AC$100</f>
        <v>14925833098.967569</v>
      </c>
      <c r="DB523" s="269">
        <f t="shared" si="1320"/>
        <v>15850592.231601782</v>
      </c>
      <c r="DC523" s="269">
        <f t="shared" si="1368"/>
        <v>95103553.389610678</v>
      </c>
      <c r="DD523" s="207">
        <v>0</v>
      </c>
      <c r="DE523" s="606">
        <v>0</v>
      </c>
      <c r="DF523" s="269">
        <f>'Detailed Budget'!$AC$147</f>
        <v>5913600671000</v>
      </c>
      <c r="DG523" s="269">
        <f t="shared" si="1419"/>
        <v>0</v>
      </c>
      <c r="DH523" s="269">
        <f>'Detailed Budget'!$AC$153</f>
        <v>226428026880.00003</v>
      </c>
      <c r="DI523" s="269"/>
      <c r="DJ523" s="269">
        <f>'Detailed Budget'!$AC$156</f>
        <v>27713070000</v>
      </c>
      <c r="DK523" s="269"/>
      <c r="DL523" s="269"/>
      <c r="DM523" s="196">
        <f>'Detailed Budget'!$AC$178</f>
        <v>5622683761.6229038</v>
      </c>
      <c r="DN523" s="269">
        <f t="shared" si="1414"/>
        <v>0</v>
      </c>
      <c r="DO523" s="196">
        <f>'Detailed Budget'!$AC$179</f>
        <v>26827890683.128094</v>
      </c>
      <c r="DP523" s="269">
        <f t="shared" si="1415"/>
        <v>0</v>
      </c>
      <c r="DQ523" s="269">
        <f t="shared" si="1388"/>
        <v>0</v>
      </c>
      <c r="DR523" s="269">
        <f>'Detailed Budget'!$AC$181</f>
        <v>50888946855.375237</v>
      </c>
      <c r="DS523" s="269">
        <f t="shared" si="1416"/>
        <v>0</v>
      </c>
      <c r="DT523" s="269">
        <f t="shared" si="1417"/>
        <v>0</v>
      </c>
      <c r="DU523" s="272">
        <f>'Detailed Budget'!$AC$192</f>
        <v>77498869683.252869</v>
      </c>
      <c r="DV523" s="269">
        <f t="shared" si="1321"/>
        <v>61794685.912298016</v>
      </c>
      <c r="DW523" s="140">
        <f>'Detailed Budget'!$AC$194</f>
        <v>2684962805.4134097</v>
      </c>
      <c r="DX523" s="269">
        <f t="shared" si="1322"/>
        <v>2140888.4274679678</v>
      </c>
      <c r="DY523" s="607">
        <f t="shared" si="1369"/>
        <v>63935574.339765981</v>
      </c>
      <c r="DZ523" s="196">
        <f>'Detailed Budget'!$AC$198</f>
        <v>18732540018.380611</v>
      </c>
      <c r="EA523" s="269">
        <f t="shared" si="1396"/>
        <v>13255925.908280347</v>
      </c>
      <c r="EB523" s="196">
        <f>'Detailed Budget'!$AC$200</f>
        <v>4683135004.5951529</v>
      </c>
      <c r="EC523" s="269">
        <f t="shared" si="1324"/>
        <v>3313981.4770700866</v>
      </c>
      <c r="ED523" s="269">
        <f t="shared" si="1370"/>
        <v>16569907.385350432</v>
      </c>
      <c r="EE523" s="196">
        <f>'Detailed Budget'!$AC$161</f>
        <v>251147290106.36197</v>
      </c>
      <c r="EF523" s="269">
        <f t="shared" si="1325"/>
        <v>200255409.83084986</v>
      </c>
      <c r="EG523" s="196">
        <f>'Detailed Budget'!$AC$163</f>
        <v>15696705631.647623</v>
      </c>
      <c r="EH523" s="269">
        <f t="shared" si="1326"/>
        <v>12515963.114428116</v>
      </c>
      <c r="EI523" s="269">
        <f t="shared" si="1371"/>
        <v>212771372.94527796</v>
      </c>
      <c r="EJ523" s="196">
        <f>'Detailed Budget'!$AC$204</f>
        <v>45012172507.531975</v>
      </c>
      <c r="EK523" s="269">
        <f t="shared" si="1327"/>
        <v>44743084.834357344</v>
      </c>
      <c r="EL523" s="201">
        <f>'Detailed Budget'!$AC$206</f>
        <v>11253043126.882994</v>
      </c>
      <c r="EM523" s="269">
        <f t="shared" si="1328"/>
        <v>11185771.208589336</v>
      </c>
      <c r="EN523" s="269">
        <f t="shared" si="1372"/>
        <v>55928856.042946681</v>
      </c>
      <c r="EO523" s="140">
        <f>'Detailed Budget'!$AC$209</f>
        <v>135789361677.54817</v>
      </c>
      <c r="EP523" s="269">
        <f t="shared" si="1329"/>
        <v>102072518.75984319</v>
      </c>
      <c r="EQ523" s="196">
        <f>'Detailed Budget'!$AC$211</f>
        <v>33947340419.387043</v>
      </c>
      <c r="ER523" s="269">
        <f t="shared" si="1330"/>
        <v>25518129.689960796</v>
      </c>
      <c r="ES523" s="269">
        <f t="shared" si="1373"/>
        <v>127590648.44980398</v>
      </c>
      <c r="ET523" s="196">
        <f>'Detailed Budget'!$AC$214</f>
        <v>22239745544.201103</v>
      </c>
      <c r="EU523" s="269">
        <f t="shared" si="1331"/>
        <v>16235396.24681568</v>
      </c>
      <c r="EV523" s="140">
        <f>'Detailed Budget'!$AC$217</f>
        <v>5559936386.0502758</v>
      </c>
      <c r="EW523" s="269">
        <f t="shared" si="1332"/>
        <v>4058849.0617039199</v>
      </c>
      <c r="EX523" s="269">
        <f t="shared" si="1374"/>
        <v>20294245.308519598</v>
      </c>
      <c r="EY523" s="196">
        <f>'Detailed Budget'!$AC$219</f>
        <v>372777004.58170313</v>
      </c>
      <c r="EZ523" s="269">
        <f t="shared" si="1333"/>
        <v>284884.10497378861</v>
      </c>
      <c r="FA523" s="196">
        <f>'Detailed Budget'!$AC$222</f>
        <v>93194251.145425782</v>
      </c>
      <c r="FB523" s="269">
        <f t="shared" si="1334"/>
        <v>71221.026243447152</v>
      </c>
      <c r="FC523" s="269">
        <f t="shared" si="1375"/>
        <v>356105.13121723576</v>
      </c>
      <c r="FD523" s="269"/>
      <c r="FE523" s="269">
        <f t="shared" si="1376"/>
        <v>204169854.93248749</v>
      </c>
      <c r="FF523" s="140">
        <f>'Detailed Budget'!$AC$165</f>
        <v>14927760000</v>
      </c>
      <c r="FG523" s="1087">
        <f t="shared" si="1420"/>
        <v>278501196.91736472</v>
      </c>
      <c r="FH523" s="269">
        <f t="shared" si="1397"/>
        <v>18657579.820474949</v>
      </c>
      <c r="FJ523" s="140">
        <f>'Detailed Budget'!$AC$235</f>
        <v>3623696172</v>
      </c>
      <c r="FK523" s="269">
        <f t="shared" si="1398"/>
        <v>4681778</v>
      </c>
      <c r="FL523" s="269">
        <f t="shared" si="1421"/>
        <v>4681778</v>
      </c>
      <c r="FO523" s="607"/>
      <c r="FP523" s="607"/>
      <c r="FQ523" s="607"/>
      <c r="FR523" s="269">
        <f>'Detailed Budget'!$AC$257</f>
        <v>13636439388</v>
      </c>
      <c r="FS523" s="269">
        <f t="shared" si="1399"/>
        <v>14990039.999999998</v>
      </c>
      <c r="FT523" s="269">
        <f t="shared" si="1422"/>
        <v>14990039.999999998</v>
      </c>
      <c r="FU523" s="269"/>
      <c r="FV523" s="269"/>
      <c r="FW523" s="269"/>
      <c r="FX523" s="140">
        <f>'Detailed Budget'!$AC$278</f>
        <v>1114560000</v>
      </c>
      <c r="FY523" s="269">
        <f t="shared" si="1400"/>
        <v>1440000</v>
      </c>
      <c r="FZ523" s="269">
        <f t="shared" si="1423"/>
        <v>1440000</v>
      </c>
      <c r="GB523" s="269">
        <f t="shared" si="1431"/>
        <v>910820857.73033226</v>
      </c>
      <c r="GC523" s="887">
        <f t="shared" si="1377"/>
        <v>569263.03608145763</v>
      </c>
      <c r="GD523" s="1078">
        <f t="shared" si="1432"/>
        <v>5.1109026420425457E-4</v>
      </c>
    </row>
    <row r="524" spans="1:186" hidden="1" outlineLevel="1">
      <c r="A524" s="211" t="s">
        <v>1168</v>
      </c>
      <c r="B524" s="212" t="s">
        <v>1169</v>
      </c>
      <c r="C524" s="213" t="s">
        <v>215</v>
      </c>
      <c r="D524" s="214"/>
      <c r="E524" s="213"/>
      <c r="F524" s="213"/>
      <c r="G524" s="213" t="s">
        <v>215</v>
      </c>
      <c r="H524" s="213" t="s">
        <v>215</v>
      </c>
      <c r="I524" s="214" t="s">
        <v>215</v>
      </c>
      <c r="J524" s="214"/>
      <c r="K524" s="213" t="s">
        <v>215</v>
      </c>
      <c r="L524" s="213"/>
      <c r="M524" s="214"/>
      <c r="N524" s="213"/>
      <c r="O524" s="214"/>
      <c r="P524" s="213"/>
      <c r="Q524" s="214"/>
      <c r="R524" s="214" t="s">
        <v>215</v>
      </c>
      <c r="S524" s="214"/>
      <c r="T524" s="214"/>
      <c r="U524" s="215">
        <f t="shared" si="1401"/>
        <v>6</v>
      </c>
      <c r="V524" s="845" t="s">
        <v>216</v>
      </c>
      <c r="W524" s="216">
        <v>236679</v>
      </c>
      <c r="X524" s="217">
        <v>2.82</v>
      </c>
      <c r="Y524" s="218">
        <f t="shared" si="1312"/>
        <v>1.0282</v>
      </c>
      <c r="Z524" s="196">
        <v>19</v>
      </c>
      <c r="AA524" s="218">
        <f t="shared" si="1313"/>
        <v>1.6961895806156848</v>
      </c>
      <c r="AB524" s="196">
        <f t="shared" si="1389"/>
        <v>401452.45375053969</v>
      </c>
      <c r="AC524">
        <v>14.9</v>
      </c>
      <c r="AD524" s="196">
        <f t="shared" si="1390"/>
        <v>59816.415608830415</v>
      </c>
      <c r="AE524" s="196">
        <f t="shared" si="1314"/>
        <v>56825.594828388894</v>
      </c>
      <c r="AF524" s="196">
        <f t="shared" si="1402"/>
        <v>0</v>
      </c>
      <c r="AG524" s="606">
        <f t="shared" si="1380"/>
        <v>2.6273660358290328E-3</v>
      </c>
      <c r="AH524" s="196">
        <f t="shared" si="1418"/>
        <v>20072.622687526986</v>
      </c>
      <c r="AI524" s="248">
        <f t="shared" si="1359"/>
        <v>1.5549956666087192E-3</v>
      </c>
      <c r="AJ524" s="196">
        <f t="shared" si="1360"/>
        <v>79889.038296357408</v>
      </c>
      <c r="AK524" s="196">
        <f t="shared" si="1391"/>
        <v>16058.098150021588</v>
      </c>
      <c r="AL524" s="196">
        <f t="shared" si="1392"/>
        <v>16058.098150021588</v>
      </c>
      <c r="AM524" s="196">
        <f t="shared" si="1361"/>
        <v>32116.196300043175</v>
      </c>
      <c r="AN524" s="627">
        <f t="shared" si="1362"/>
        <v>1.554995666608719E-3</v>
      </c>
      <c r="AO524" s="196">
        <f t="shared" si="1363"/>
        <v>15255.193242520509</v>
      </c>
      <c r="AP524" s="589">
        <f t="shared" si="1381"/>
        <v>1.5549956666087192E-3</v>
      </c>
      <c r="AQ524" s="196"/>
      <c r="AR524" s="589"/>
      <c r="AS524">
        <v>1</v>
      </c>
      <c r="AT524" s="589">
        <f t="shared" si="1382"/>
        <v>1.2919896640826874E-3</v>
      </c>
      <c r="AU524" s="196">
        <v>14</v>
      </c>
      <c r="AV524" s="245">
        <f t="shared" si="1364"/>
        <v>1.5907283263265539E-3</v>
      </c>
      <c r="AX524" s="245"/>
      <c r="AY524" s="245"/>
      <c r="AZ524" s="196">
        <v>58</v>
      </c>
      <c r="BA524" s="589">
        <f t="shared" si="1425"/>
        <v>2.1252427540214723E-3</v>
      </c>
      <c r="BI524" s="196">
        <v>0</v>
      </c>
      <c r="BK524" s="246">
        <f t="shared" si="1426"/>
        <v>0</v>
      </c>
      <c r="BL524" s="246"/>
      <c r="BM524" s="246">
        <f t="shared" si="1427"/>
        <v>0</v>
      </c>
      <c r="BN524" s="196">
        <v>1</v>
      </c>
      <c r="BO524" s="196">
        <f t="shared" si="1403"/>
        <v>22139.008242081425</v>
      </c>
      <c r="BP524" s="196">
        <f t="shared" si="1365"/>
        <v>22139.008242081425</v>
      </c>
      <c r="BQ524" s="248">
        <f t="shared" si="1428"/>
        <v>2.0710011252645507E-3</v>
      </c>
      <c r="BR524" s="248"/>
      <c r="BS524" s="248"/>
      <c r="BT524" s="276">
        <v>0</v>
      </c>
      <c r="BU524" s="196">
        <f t="shared" si="1404"/>
        <v>0</v>
      </c>
      <c r="BV524" s="264">
        <f t="shared" si="1429"/>
        <v>0</v>
      </c>
      <c r="BW524" s="196">
        <f t="shared" si="1405"/>
        <v>0</v>
      </c>
      <c r="BX524" s="247">
        <f t="shared" si="1430"/>
        <v>0</v>
      </c>
      <c r="BY524" s="196">
        <f t="shared" si="1406"/>
        <v>0</v>
      </c>
      <c r="BZ524" s="620">
        <v>1</v>
      </c>
      <c r="CA524" s="196">
        <f t="shared" si="1407"/>
        <v>122844.45084766514</v>
      </c>
      <c r="CB524" s="196">
        <f t="shared" si="1408"/>
        <v>245688.90169533028</v>
      </c>
      <c r="CC524" s="196">
        <f t="shared" si="1378"/>
        <v>368533.35254299542</v>
      </c>
      <c r="CD524" s="247">
        <f t="shared" si="1366"/>
        <v>1.554995666608719E-3</v>
      </c>
      <c r="CE524" s="196">
        <f t="shared" si="1409"/>
        <v>31957.507924220085</v>
      </c>
      <c r="CF524" s="247">
        <f t="shared" si="1367"/>
        <v>1.380024578281093E-3</v>
      </c>
      <c r="CG524" s="196">
        <f t="shared" si="1316"/>
        <v>61020.772970082035</v>
      </c>
      <c r="CH524" s="589">
        <f t="shared" si="1383"/>
        <v>1.5549956666087192E-3</v>
      </c>
      <c r="CI524" s="196">
        <f t="shared" si="1410"/>
        <v>117914.61165100243</v>
      </c>
      <c r="CJ524" s="248">
        <f t="shared" si="1384"/>
        <v>1.9385159162356226E-3</v>
      </c>
      <c r="CK524" s="196">
        <f t="shared" si="1411"/>
        <v>101977.04883680417</v>
      </c>
      <c r="CL524" s="589">
        <f t="shared" si="1385"/>
        <v>1.4659410528130993E-3</v>
      </c>
      <c r="CM524" s="196">
        <f t="shared" si="1412"/>
        <v>9878.8927438886476</v>
      </c>
      <c r="CN524" s="589">
        <f t="shared" si="1386"/>
        <v>1.4236607145630368E-3</v>
      </c>
      <c r="CO524" s="196">
        <f t="shared" si="1413"/>
        <v>790.28967540116196</v>
      </c>
      <c r="CP524" s="589">
        <f t="shared" si="1387"/>
        <v>1.4903646007874576E-3</v>
      </c>
      <c r="CQ524" s="196">
        <f>'Detailed Budget'!$AC$12</f>
        <v>292876014141.44696</v>
      </c>
      <c r="CR524" s="269">
        <f t="shared" si="1393"/>
        <v>0</v>
      </c>
      <c r="CS524" s="269">
        <f>'Detailed Budget'!$AC$16</f>
        <v>10488008800.000002</v>
      </c>
      <c r="CT524" s="607">
        <f t="shared" si="1318"/>
        <v>0</v>
      </c>
      <c r="CU524" s="269">
        <f>'Detailed Budget'!$AC$24</f>
        <v>30624985696</v>
      </c>
      <c r="CV524" s="269">
        <f t="shared" si="1424"/>
        <v>0</v>
      </c>
      <c r="CW524" s="269"/>
      <c r="CX524" s="269">
        <f t="shared" si="1379"/>
        <v>0</v>
      </c>
      <c r="CY524" s="196">
        <f>'Detailed Budget'!$AC$97</f>
        <v>74629165494.837845</v>
      </c>
      <c r="CZ524" s="269">
        <f t="shared" si="1319"/>
        <v>154557085.71736357</v>
      </c>
      <c r="DA524" s="269">
        <f>'Detailed Budget'!$AC$100</f>
        <v>14925833098.967569</v>
      </c>
      <c r="DB524" s="269">
        <f t="shared" si="1320"/>
        <v>30911417.143472712</v>
      </c>
      <c r="DC524" s="269">
        <f t="shared" si="1368"/>
        <v>185468502.86083627</v>
      </c>
      <c r="DD524" s="207">
        <v>0</v>
      </c>
      <c r="DE524" s="606">
        <v>0</v>
      </c>
      <c r="DF524" s="269">
        <f>'Detailed Budget'!$AC$147</f>
        <v>5913600671000</v>
      </c>
      <c r="DG524" s="269">
        <f t="shared" si="1419"/>
        <v>0</v>
      </c>
      <c r="DH524" s="269">
        <f>'Detailed Budget'!$AC$153</f>
        <v>226428026880.00003</v>
      </c>
      <c r="DI524" s="269"/>
      <c r="DJ524" s="269">
        <f>'Detailed Budget'!$AC$156</f>
        <v>27713070000</v>
      </c>
      <c r="DK524" s="269"/>
      <c r="DL524" s="269"/>
      <c r="DM524" s="196">
        <f>'Detailed Budget'!$AC$178</f>
        <v>5622683761.6229038</v>
      </c>
      <c r="DN524" s="269">
        <f t="shared" si="1414"/>
        <v>0</v>
      </c>
      <c r="DO524" s="196">
        <f>'Detailed Budget'!$AC$179</f>
        <v>26827890683.128094</v>
      </c>
      <c r="DP524" s="269">
        <f t="shared" si="1415"/>
        <v>0</v>
      </c>
      <c r="DQ524" s="269">
        <f t="shared" si="1388"/>
        <v>0</v>
      </c>
      <c r="DR524" s="269">
        <f>'Detailed Budget'!$AC$181</f>
        <v>50888946855.375237</v>
      </c>
      <c r="DS524" s="269">
        <f t="shared" si="1416"/>
        <v>0</v>
      </c>
      <c r="DT524" s="269">
        <f t="shared" si="1417"/>
        <v>0</v>
      </c>
      <c r="DU524" s="272">
        <f>'Detailed Budget'!$AC$192</f>
        <v>77498869683.252869</v>
      </c>
      <c r="DV524" s="269">
        <f t="shared" si="1321"/>
        <v>120510406.52453203</v>
      </c>
      <c r="DW524" s="140">
        <f>'Detailed Budget'!$AC$194</f>
        <v>2684962805.4134097</v>
      </c>
      <c r="DX524" s="269">
        <f t="shared" si="1322"/>
        <v>4175105.5274234414</v>
      </c>
      <c r="DY524" s="607">
        <f t="shared" si="1369"/>
        <v>124685512.05195548</v>
      </c>
      <c r="DZ524" s="196">
        <f>'Detailed Budget'!$AC$198</f>
        <v>18732540018.380611</v>
      </c>
      <c r="EA524" s="269">
        <f t="shared" si="1396"/>
        <v>25851365.638999403</v>
      </c>
      <c r="EB524" s="196">
        <f>'Detailed Budget'!$AC$200</f>
        <v>4683135004.5951529</v>
      </c>
      <c r="EC524" s="269">
        <f t="shared" si="1324"/>
        <v>6462841.4097498506</v>
      </c>
      <c r="ED524" s="269">
        <f t="shared" si="1370"/>
        <v>32314207.048749253</v>
      </c>
      <c r="EE524" s="196">
        <f>'Detailed Budget'!$AC$161</f>
        <v>251147290106.36197</v>
      </c>
      <c r="EF524" s="269">
        <f t="shared" si="1325"/>
        <v>390532947.79591572</v>
      </c>
      <c r="EG524" s="196">
        <f>'Detailed Budget'!$AC$163</f>
        <v>15696705631.647623</v>
      </c>
      <c r="EH524" s="269">
        <f t="shared" si="1326"/>
        <v>24408309.237244733</v>
      </c>
      <c r="EI524" s="269">
        <f t="shared" si="1371"/>
        <v>414941257.03316045</v>
      </c>
      <c r="EJ524" s="196">
        <f>'Detailed Budget'!$AC$204</f>
        <v>45012172507.531975</v>
      </c>
      <c r="EK524" s="269">
        <f t="shared" si="1327"/>
        <v>87256812.83019425</v>
      </c>
      <c r="EL524" s="201">
        <f>'Detailed Budget'!$AC$206</f>
        <v>11253043126.882994</v>
      </c>
      <c r="EM524" s="269">
        <f t="shared" si="1328"/>
        <v>21814203.207548562</v>
      </c>
      <c r="EN524" s="269">
        <f t="shared" si="1372"/>
        <v>109071016.03774281</v>
      </c>
      <c r="EO524" s="140">
        <f>'Detailed Budget'!$AC$209</f>
        <v>135789361677.54817</v>
      </c>
      <c r="EP524" s="269">
        <f t="shared" si="1329"/>
        <v>199059199.81840369</v>
      </c>
      <c r="EQ524" s="196">
        <f>'Detailed Budget'!$AC$211</f>
        <v>33947340419.387043</v>
      </c>
      <c r="ER524" s="269">
        <f t="shared" si="1330"/>
        <v>49764799.954600923</v>
      </c>
      <c r="ES524" s="269">
        <f t="shared" si="1373"/>
        <v>248823999.77300462</v>
      </c>
      <c r="ET524" s="196">
        <f>'Detailed Budget'!$AC$214</f>
        <v>22239745544.201103</v>
      </c>
      <c r="EU524" s="269">
        <f t="shared" si="1331"/>
        <v>31661852.033157457</v>
      </c>
      <c r="EV524" s="140">
        <f>'Detailed Budget'!$AC$217</f>
        <v>5559936386.0502758</v>
      </c>
      <c r="EW524" s="269">
        <f t="shared" si="1332"/>
        <v>7915463.0082893642</v>
      </c>
      <c r="EX524" s="269">
        <f t="shared" si="1374"/>
        <v>39577315.04144682</v>
      </c>
      <c r="EY524" s="196">
        <f>'Detailed Budget'!$AC$219</f>
        <v>372777004.58170313</v>
      </c>
      <c r="EZ524" s="269">
        <f t="shared" si="1333"/>
        <v>555573.65161615424</v>
      </c>
      <c r="FA524" s="196">
        <f>'Detailed Budget'!$AC$222</f>
        <v>93194251.145425782</v>
      </c>
      <c r="FB524" s="269">
        <f t="shared" si="1334"/>
        <v>138893.41290403856</v>
      </c>
      <c r="FC524" s="269">
        <f t="shared" si="1375"/>
        <v>694467.0645201928</v>
      </c>
      <c r="FD524" s="269"/>
      <c r="FE524" s="269">
        <f t="shared" si="1376"/>
        <v>398166797.91671443</v>
      </c>
      <c r="FF524" s="140">
        <f>'Detailed Budget'!$AC$165</f>
        <v>14927760000</v>
      </c>
      <c r="FG524" s="1087">
        <f t="shared" si="1420"/>
        <v>543125868.55305958</v>
      </c>
      <c r="FH524" s="269">
        <f t="shared" si="1397"/>
        <v>23746010.68060448</v>
      </c>
      <c r="FJ524" s="140">
        <f>'Detailed Budget'!$AC$235</f>
        <v>3623696172</v>
      </c>
      <c r="FK524" s="269">
        <f t="shared" si="1398"/>
        <v>4681778</v>
      </c>
      <c r="FL524" s="269">
        <f t="shared" si="1421"/>
        <v>4681778</v>
      </c>
      <c r="FO524" s="607"/>
      <c r="FP524" s="607"/>
      <c r="FQ524" s="607"/>
      <c r="FR524" s="269">
        <f>'Detailed Budget'!$AC$257</f>
        <v>13636439388</v>
      </c>
      <c r="FS524" s="269">
        <f t="shared" si="1399"/>
        <v>28980744</v>
      </c>
      <c r="FT524" s="269">
        <f t="shared" si="1422"/>
        <v>28980744</v>
      </c>
      <c r="FU524" s="269"/>
      <c r="FV524" s="269"/>
      <c r="FW524" s="269"/>
      <c r="FX524" s="140">
        <f>'Detailed Budget'!$AC$278</f>
        <v>1114560000</v>
      </c>
      <c r="FY524" s="269">
        <f t="shared" si="1400"/>
        <v>1440000</v>
      </c>
      <c r="FZ524" s="269">
        <f t="shared" si="1423"/>
        <v>1440000</v>
      </c>
      <c r="GB524" s="269">
        <f t="shared" si="1431"/>
        <v>1757550678.1450799</v>
      </c>
      <c r="GC524" s="887">
        <f t="shared" si="1377"/>
        <v>1098469.1738406748</v>
      </c>
      <c r="GD524" s="1078">
        <f t="shared" si="1432"/>
        <v>9.8621702920146195E-4</v>
      </c>
    </row>
    <row r="525" spans="1:186" hidden="1" outlineLevel="1">
      <c r="A525" s="211" t="s">
        <v>1170</v>
      </c>
      <c r="B525" s="212" t="s">
        <v>1171</v>
      </c>
      <c r="C525" s="213" t="s">
        <v>215</v>
      </c>
      <c r="D525" s="214"/>
      <c r="E525" s="213"/>
      <c r="F525" s="213"/>
      <c r="G525" s="213" t="s">
        <v>215</v>
      </c>
      <c r="H525" s="213" t="s">
        <v>215</v>
      </c>
      <c r="I525" s="214" t="s">
        <v>215</v>
      </c>
      <c r="J525" s="214"/>
      <c r="K525" s="213" t="s">
        <v>215</v>
      </c>
      <c r="L525" s="213"/>
      <c r="M525" s="214"/>
      <c r="N525" s="213"/>
      <c r="O525" s="214"/>
      <c r="P525" s="213"/>
      <c r="Q525" s="214"/>
      <c r="R525" s="214" t="s">
        <v>215</v>
      </c>
      <c r="S525" s="214"/>
      <c r="T525" s="214"/>
      <c r="U525" s="215">
        <f t="shared" si="1401"/>
        <v>6</v>
      </c>
      <c r="V525" s="845" t="s">
        <v>216</v>
      </c>
      <c r="W525" s="216">
        <v>148317</v>
      </c>
      <c r="X525" s="217">
        <v>2.82</v>
      </c>
      <c r="Y525" s="218">
        <f t="shared" si="1312"/>
        <v>1.0282</v>
      </c>
      <c r="Z525" s="196">
        <v>19</v>
      </c>
      <c r="AA525" s="218">
        <f t="shared" si="1313"/>
        <v>1.6961895806156848</v>
      </c>
      <c r="AB525" s="196">
        <f t="shared" si="1389"/>
        <v>251573.75002817652</v>
      </c>
      <c r="AC525">
        <v>14.9</v>
      </c>
      <c r="AD525" s="196">
        <f t="shared" si="1390"/>
        <v>37484.488754198304</v>
      </c>
      <c r="AE525" s="196">
        <f t="shared" si="1314"/>
        <v>35610.264316488385</v>
      </c>
      <c r="AF525" s="196">
        <f t="shared" si="1402"/>
        <v>0</v>
      </c>
      <c r="AG525" s="606">
        <f t="shared" si="1380"/>
        <v>1.6464622900048359E-3</v>
      </c>
      <c r="AH525" s="196">
        <f t="shared" si="1418"/>
        <v>12578.687501408827</v>
      </c>
      <c r="AI525" s="248">
        <f t="shared" si="1359"/>
        <v>9.7445186216100869E-4</v>
      </c>
      <c r="AJ525" s="196">
        <f t="shared" si="1360"/>
        <v>50063.176255607133</v>
      </c>
      <c r="AK525" s="196">
        <f t="shared" si="1391"/>
        <v>10062.950001127061</v>
      </c>
      <c r="AL525" s="196">
        <f t="shared" si="1392"/>
        <v>10062.950001127061</v>
      </c>
      <c r="AM525" s="196">
        <f t="shared" si="1361"/>
        <v>20125.900002254122</v>
      </c>
      <c r="AN525" s="627">
        <f t="shared" si="1362"/>
        <v>9.7445186216100869E-4</v>
      </c>
      <c r="AO525" s="196">
        <f t="shared" si="1363"/>
        <v>9559.8025010707079</v>
      </c>
      <c r="AP525" s="589">
        <f t="shared" si="1381"/>
        <v>9.7445186216100869E-4</v>
      </c>
      <c r="AQ525" s="196"/>
      <c r="AR525" s="589"/>
      <c r="AS525">
        <v>1</v>
      </c>
      <c r="AT525" s="589">
        <f t="shared" si="1382"/>
        <v>1.2919896640826874E-3</v>
      </c>
      <c r="AU525" s="196">
        <v>11</v>
      </c>
      <c r="AV525" s="245">
        <f t="shared" si="1364"/>
        <v>1.2498579706851495E-3</v>
      </c>
      <c r="AX525" s="245"/>
      <c r="AY525" s="245"/>
      <c r="AZ525" s="196">
        <v>37</v>
      </c>
      <c r="BA525" s="589">
        <f t="shared" si="1425"/>
        <v>1.3557583085999048E-3</v>
      </c>
      <c r="BI525" s="196">
        <v>0</v>
      </c>
      <c r="BK525" s="246">
        <f t="shared" si="1426"/>
        <v>0</v>
      </c>
      <c r="BL525" s="246"/>
      <c r="BM525" s="246">
        <f t="shared" si="1427"/>
        <v>0</v>
      </c>
      <c r="BN525" s="196">
        <v>1</v>
      </c>
      <c r="BO525" s="196">
        <f t="shared" si="1403"/>
        <v>13873.606384346691</v>
      </c>
      <c r="BP525" s="196">
        <f t="shared" si="1365"/>
        <v>13873.606384346691</v>
      </c>
      <c r="BQ525" s="248">
        <f t="shared" si="1428"/>
        <v>1.2978112713669669E-3</v>
      </c>
      <c r="BR525" s="248"/>
      <c r="BS525" s="248"/>
      <c r="BT525" s="276">
        <v>0</v>
      </c>
      <c r="BU525" s="196">
        <f t="shared" si="1404"/>
        <v>0</v>
      </c>
      <c r="BV525" s="264">
        <f t="shared" si="1429"/>
        <v>0</v>
      </c>
      <c r="BW525" s="196">
        <f t="shared" si="1405"/>
        <v>0</v>
      </c>
      <c r="BX525" s="247">
        <f t="shared" si="1430"/>
        <v>0</v>
      </c>
      <c r="BY525" s="196">
        <f t="shared" si="1406"/>
        <v>0</v>
      </c>
      <c r="BZ525" s="620">
        <v>1</v>
      </c>
      <c r="CA525" s="196">
        <f t="shared" si="1407"/>
        <v>76981.567508622014</v>
      </c>
      <c r="CB525" s="196">
        <f t="shared" si="1408"/>
        <v>153963.13501724403</v>
      </c>
      <c r="CC525" s="196">
        <f t="shared" si="1378"/>
        <v>230944.70252586604</v>
      </c>
      <c r="CD525" s="247">
        <f t="shared" si="1366"/>
        <v>9.7445186216100859E-4</v>
      </c>
      <c r="CE525" s="196">
        <f t="shared" si="1409"/>
        <v>20026.456520420274</v>
      </c>
      <c r="CF525" s="247">
        <f t="shared" si="1367"/>
        <v>8.6480467374341137E-4</v>
      </c>
      <c r="CG525" s="196">
        <f t="shared" si="1316"/>
        <v>38239.210004282832</v>
      </c>
      <c r="CH525" s="589">
        <f t="shared" si="1383"/>
        <v>9.7445186216100869E-4</v>
      </c>
      <c r="CI525" s="196">
        <f t="shared" si="1410"/>
        <v>73892.239937813341</v>
      </c>
      <c r="CJ525" s="248">
        <f t="shared" si="1384"/>
        <v>1.2147882370143475E-3</v>
      </c>
      <c r="CK525" s="196">
        <f t="shared" si="1411"/>
        <v>63904.824476731279</v>
      </c>
      <c r="CL525" s="589">
        <f t="shared" si="1385"/>
        <v>9.18644996514606E-4</v>
      </c>
      <c r="CM525" s="196">
        <f t="shared" si="1412"/>
        <v>6190.6959852599193</v>
      </c>
      <c r="CN525" s="589">
        <f t="shared" si="1386"/>
        <v>8.9214964657551325E-4</v>
      </c>
      <c r="CO525" s="196">
        <f t="shared" si="1413"/>
        <v>495.24205268094812</v>
      </c>
      <c r="CP525" s="589">
        <f t="shared" si="1387"/>
        <v>9.339502300372796E-4</v>
      </c>
      <c r="CQ525" s="196">
        <f>'Detailed Budget'!$AC$12</f>
        <v>292876014141.44696</v>
      </c>
      <c r="CR525" s="269">
        <f t="shared" si="1393"/>
        <v>0</v>
      </c>
      <c r="CS525" s="269">
        <f>'Detailed Budget'!$AC$16</f>
        <v>10488008800.000002</v>
      </c>
      <c r="CT525" s="607">
        <f t="shared" si="1318"/>
        <v>0</v>
      </c>
      <c r="CU525" s="269">
        <f>'Detailed Budget'!$AC$24</f>
        <v>30624985696</v>
      </c>
      <c r="CV525" s="269">
        <f t="shared" si="1424"/>
        <v>0</v>
      </c>
      <c r="CW525" s="269"/>
      <c r="CX525" s="269">
        <f t="shared" si="1379"/>
        <v>0</v>
      </c>
      <c r="CY525" s="196">
        <f>'Detailed Budget'!$AC$97</f>
        <v>74629165494.837845</v>
      </c>
      <c r="CZ525" s="269">
        <f t="shared" si="1319"/>
        <v>96854572.151911288</v>
      </c>
      <c r="DA525" s="269">
        <f>'Detailed Budget'!$AC$100</f>
        <v>14925833098.967569</v>
      </c>
      <c r="DB525" s="269">
        <f t="shared" si="1320"/>
        <v>19370914.430382255</v>
      </c>
      <c r="DC525" s="269">
        <f t="shared" si="1368"/>
        <v>116225486.58229354</v>
      </c>
      <c r="DD525" s="207">
        <v>0</v>
      </c>
      <c r="DE525" s="606">
        <v>0</v>
      </c>
      <c r="DF525" s="269">
        <f>'Detailed Budget'!$AC$147</f>
        <v>5913600671000</v>
      </c>
      <c r="DG525" s="269">
        <f t="shared" si="1419"/>
        <v>0</v>
      </c>
      <c r="DH525" s="269">
        <f>'Detailed Budget'!$AC$153</f>
        <v>226428026880.00003</v>
      </c>
      <c r="DI525" s="269"/>
      <c r="DJ525" s="269">
        <f>'Detailed Budget'!$AC$156</f>
        <v>27713070000</v>
      </c>
      <c r="DK525" s="269"/>
      <c r="DL525" s="269"/>
      <c r="DM525" s="196">
        <f>'Detailed Budget'!$AC$178</f>
        <v>5622683761.6229038</v>
      </c>
      <c r="DN525" s="269">
        <f t="shared" si="1414"/>
        <v>0</v>
      </c>
      <c r="DO525" s="196">
        <f>'Detailed Budget'!$AC$179</f>
        <v>26827890683.128094</v>
      </c>
      <c r="DP525" s="269">
        <f t="shared" si="1415"/>
        <v>0</v>
      </c>
      <c r="DQ525" s="269">
        <f t="shared" si="1388"/>
        <v>0</v>
      </c>
      <c r="DR525" s="269">
        <f>'Detailed Budget'!$AC$181</f>
        <v>50888946855.375237</v>
      </c>
      <c r="DS525" s="269">
        <f t="shared" si="1416"/>
        <v>0</v>
      </c>
      <c r="DT525" s="269">
        <f t="shared" si="1417"/>
        <v>0</v>
      </c>
      <c r="DU525" s="272">
        <f>'Detailed Budget'!$AC$192</f>
        <v>77498869683.252869</v>
      </c>
      <c r="DV525" s="269">
        <f t="shared" si="1321"/>
        <v>75518917.878219098</v>
      </c>
      <c r="DW525" s="140">
        <f>'Detailed Budget'!$AC$194</f>
        <v>2684962805.4134097</v>
      </c>
      <c r="DX525" s="269">
        <f t="shared" si="1322"/>
        <v>2616367.005568143</v>
      </c>
      <c r="DY525" s="607">
        <f t="shared" si="1369"/>
        <v>78135284.883787245</v>
      </c>
      <c r="DZ525" s="196">
        <f>'Detailed Budget'!$AC$198</f>
        <v>18732540018.380611</v>
      </c>
      <c r="EA525" s="269">
        <f t="shared" si="1396"/>
        <v>16199988.158981042</v>
      </c>
      <c r="EB525" s="196">
        <f>'Detailed Budget'!$AC$200</f>
        <v>4683135004.5951529</v>
      </c>
      <c r="EC525" s="269">
        <f t="shared" si="1324"/>
        <v>4049997.0397452605</v>
      </c>
      <c r="ED525" s="269">
        <f t="shared" si="1370"/>
        <v>20249985.198726304</v>
      </c>
      <c r="EE525" s="196">
        <f>'Detailed Budget'!$AC$161</f>
        <v>251147290106.36197</v>
      </c>
      <c r="EF525" s="269">
        <f t="shared" si="1325"/>
        <v>244730944.52083549</v>
      </c>
      <c r="EG525" s="196">
        <f>'Detailed Budget'!$AC$163</f>
        <v>15696705631.647623</v>
      </c>
      <c r="EH525" s="269">
        <f t="shared" si="1326"/>
        <v>15295684.032552218</v>
      </c>
      <c r="EI525" s="269">
        <f t="shared" si="1371"/>
        <v>260026628.5533877</v>
      </c>
      <c r="EJ525" s="196">
        <f>'Detailed Budget'!$AC$204</f>
        <v>45012172507.531975</v>
      </c>
      <c r="EK525" s="269">
        <f t="shared" si="1327"/>
        <v>54680257.684610449</v>
      </c>
      <c r="EL525" s="201">
        <f>'Detailed Budget'!$AC$206</f>
        <v>11253043126.882994</v>
      </c>
      <c r="EM525" s="269">
        <f t="shared" si="1328"/>
        <v>13670064.421152612</v>
      </c>
      <c r="EN525" s="269">
        <f t="shared" si="1372"/>
        <v>68350322.105763063</v>
      </c>
      <c r="EO525" s="140">
        <f>'Detailed Budget'!$AC$209</f>
        <v>135789361677.54817</v>
      </c>
      <c r="EP525" s="269">
        <f t="shared" si="1329"/>
        <v>124742217.68499182</v>
      </c>
      <c r="EQ525" s="196">
        <f>'Detailed Budget'!$AC$211</f>
        <v>33947340419.387043</v>
      </c>
      <c r="ER525" s="269">
        <f t="shared" si="1330"/>
        <v>31185554.421247955</v>
      </c>
      <c r="ES525" s="269">
        <f t="shared" si="1373"/>
        <v>155927772.10623977</v>
      </c>
      <c r="ET525" s="196">
        <f>'Detailed Budget'!$AC$214</f>
        <v>22239745544.201103</v>
      </c>
      <c r="EU525" s="269">
        <f t="shared" si="1331"/>
        <v>19841181.127188358</v>
      </c>
      <c r="EV525" s="140">
        <f>'Detailed Budget'!$AC$217</f>
        <v>5559936386.0502758</v>
      </c>
      <c r="EW525" s="269">
        <f t="shared" si="1332"/>
        <v>4960295.2817970896</v>
      </c>
      <c r="EX525" s="269">
        <f t="shared" si="1374"/>
        <v>24801476.408985447</v>
      </c>
      <c r="EY525" s="196">
        <f>'Detailed Budget'!$AC$219</f>
        <v>372777004.58170313</v>
      </c>
      <c r="EZ525" s="269">
        <f t="shared" si="1333"/>
        <v>348155.16918168968</v>
      </c>
      <c r="FA525" s="196">
        <f>'Detailed Budget'!$AC$222</f>
        <v>93194251.145425782</v>
      </c>
      <c r="FB525" s="269">
        <f t="shared" si="1334"/>
        <v>87038.79229542242</v>
      </c>
      <c r="FC525" s="269">
        <f t="shared" si="1375"/>
        <v>435193.96147711208</v>
      </c>
      <c r="FD525" s="269"/>
      <c r="FE525" s="269">
        <f t="shared" si="1376"/>
        <v>249514764.58246535</v>
      </c>
      <c r="FF525" s="140">
        <f>'Detailed Budget'!$AC$165</f>
        <v>14927760000</v>
      </c>
      <c r="FG525" s="1087">
        <f t="shared" si="1420"/>
        <v>340354655.23423761</v>
      </c>
      <c r="FH525" s="269">
        <f t="shared" si="1397"/>
        <v>18657579.820474949</v>
      </c>
      <c r="FJ525" s="140">
        <f>'Detailed Budget'!$AC$235</f>
        <v>3623696172</v>
      </c>
      <c r="FK525" s="269">
        <f t="shared" si="1398"/>
        <v>4681778</v>
      </c>
      <c r="FL525" s="269">
        <f t="shared" si="1421"/>
        <v>4681778</v>
      </c>
      <c r="FO525" s="607"/>
      <c r="FP525" s="607"/>
      <c r="FQ525" s="607"/>
      <c r="FR525" s="269">
        <f>'Detailed Budget'!$AC$257</f>
        <v>13636439388</v>
      </c>
      <c r="FS525" s="269">
        <f t="shared" si="1399"/>
        <v>18487716</v>
      </c>
      <c r="FT525" s="269">
        <f t="shared" si="1422"/>
        <v>18487716</v>
      </c>
      <c r="FU525" s="269"/>
      <c r="FV525" s="269"/>
      <c r="FW525" s="269"/>
      <c r="FX525" s="140">
        <f>'Detailed Budget'!$AC$278</f>
        <v>1114560000</v>
      </c>
      <c r="FY525" s="269">
        <f t="shared" si="1400"/>
        <v>1440000</v>
      </c>
      <c r="FZ525" s="269">
        <f t="shared" si="1423"/>
        <v>1440000</v>
      </c>
      <c r="GB525" s="269">
        <f t="shared" si="1431"/>
        <v>1107773878.8553727</v>
      </c>
      <c r="GC525" s="887">
        <f t="shared" si="1377"/>
        <v>692358.67428460787</v>
      </c>
      <c r="GD525" s="1078">
        <f t="shared" si="1432"/>
        <v>6.2160680623147484E-4</v>
      </c>
    </row>
    <row r="526" spans="1:186" hidden="1" outlineLevel="1">
      <c r="A526" s="211" t="s">
        <v>1172</v>
      </c>
      <c r="B526" s="212" t="s">
        <v>1173</v>
      </c>
      <c r="C526" s="213" t="s">
        <v>215</v>
      </c>
      <c r="D526" s="214"/>
      <c r="E526" s="213"/>
      <c r="F526" s="213"/>
      <c r="G526" s="213" t="s">
        <v>215</v>
      </c>
      <c r="H526" s="213" t="s">
        <v>215</v>
      </c>
      <c r="I526" s="214" t="s">
        <v>215</v>
      </c>
      <c r="J526" s="214"/>
      <c r="K526" s="213" t="s">
        <v>215</v>
      </c>
      <c r="L526" s="213"/>
      <c r="M526" s="214"/>
      <c r="N526" s="213"/>
      <c r="O526" s="214"/>
      <c r="P526" s="213"/>
      <c r="Q526" s="214"/>
      <c r="R526" s="214" t="s">
        <v>215</v>
      </c>
      <c r="S526" s="214"/>
      <c r="T526" s="214"/>
      <c r="U526" s="215">
        <f t="shared" si="1401"/>
        <v>6</v>
      </c>
      <c r="V526" s="845" t="s">
        <v>216</v>
      </c>
      <c r="W526" s="216">
        <v>195555</v>
      </c>
      <c r="X526" s="217">
        <v>2.82</v>
      </c>
      <c r="Y526" s="218">
        <f t="shared" si="1312"/>
        <v>1.0282</v>
      </c>
      <c r="Z526" s="196">
        <v>19</v>
      </c>
      <c r="AA526" s="218">
        <f t="shared" si="1313"/>
        <v>1.6961895806156848</v>
      </c>
      <c r="AB526" s="196">
        <f t="shared" si="1389"/>
        <v>331698.35343730025</v>
      </c>
      <c r="AC526">
        <v>14.9</v>
      </c>
      <c r="AD526" s="196">
        <f t="shared" si="1390"/>
        <v>49423.054662157738</v>
      </c>
      <c r="AE526" s="196">
        <f t="shared" si="1314"/>
        <v>46951.901929049847</v>
      </c>
      <c r="AF526" s="196">
        <f t="shared" si="1402"/>
        <v>0</v>
      </c>
      <c r="AG526" s="606">
        <f t="shared" si="1380"/>
        <v>2.1708498224876156E-3</v>
      </c>
      <c r="AH526" s="196">
        <f t="shared" si="1418"/>
        <v>16584.917671865012</v>
      </c>
      <c r="AI526" s="248">
        <f t="shared" si="1359"/>
        <v>1.2848084434346437E-3</v>
      </c>
      <c r="AJ526" s="196">
        <f t="shared" si="1360"/>
        <v>66007.97233402275</v>
      </c>
      <c r="AK526" s="196">
        <f t="shared" si="1391"/>
        <v>13267.93413749201</v>
      </c>
      <c r="AL526" s="196">
        <f t="shared" si="1392"/>
        <v>13267.93413749201</v>
      </c>
      <c r="AM526" s="196">
        <f t="shared" si="1361"/>
        <v>26535.868274984019</v>
      </c>
      <c r="AN526" s="627">
        <f t="shared" si="1362"/>
        <v>1.2848084434346437E-3</v>
      </c>
      <c r="AO526" s="196">
        <f t="shared" si="1363"/>
        <v>12604.537430617409</v>
      </c>
      <c r="AP526" s="589">
        <f t="shared" si="1381"/>
        <v>1.2848084434346437E-3</v>
      </c>
      <c r="AQ526" s="196"/>
      <c r="AR526" s="589"/>
      <c r="AS526">
        <v>1</v>
      </c>
      <c r="AT526" s="589">
        <f t="shared" si="1382"/>
        <v>1.2919896640826874E-3</v>
      </c>
      <c r="AU526" s="196">
        <v>15</v>
      </c>
      <c r="AV526" s="245">
        <f t="shared" si="1364"/>
        <v>1.7043517782070218E-3</v>
      </c>
      <c r="AX526" s="245"/>
      <c r="AY526" s="245"/>
      <c r="AZ526" s="196">
        <v>53</v>
      </c>
      <c r="BA526" s="589">
        <f t="shared" si="1425"/>
        <v>1.9420321717782418E-3</v>
      </c>
      <c r="BI526" s="196">
        <v>0</v>
      </c>
      <c r="BK526" s="246">
        <f t="shared" si="1426"/>
        <v>0</v>
      </c>
      <c r="BL526" s="246"/>
      <c r="BM526" s="246">
        <f t="shared" si="1427"/>
        <v>0</v>
      </c>
      <c r="BN526" s="196">
        <v>1</v>
      </c>
      <c r="BO526" s="196">
        <f t="shared" si="1403"/>
        <v>18292.259798208681</v>
      </c>
      <c r="BP526" s="196">
        <f t="shared" si="1365"/>
        <v>18292.259798208681</v>
      </c>
      <c r="BQ526" s="248">
        <f t="shared" si="1428"/>
        <v>1.7111557216783458E-3</v>
      </c>
      <c r="BR526" s="248"/>
      <c r="BS526" s="248"/>
      <c r="BT526" s="276">
        <v>0</v>
      </c>
      <c r="BU526" s="196">
        <f t="shared" si="1404"/>
        <v>0</v>
      </c>
      <c r="BV526" s="264">
        <f t="shared" si="1429"/>
        <v>0</v>
      </c>
      <c r="BW526" s="196">
        <f t="shared" si="1405"/>
        <v>0</v>
      </c>
      <c r="BX526" s="247">
        <f t="shared" si="1430"/>
        <v>0</v>
      </c>
      <c r="BY526" s="196">
        <f t="shared" si="1406"/>
        <v>0</v>
      </c>
      <c r="BZ526" s="620">
        <v>1</v>
      </c>
      <c r="CA526" s="196">
        <f t="shared" si="1407"/>
        <v>101499.69615181387</v>
      </c>
      <c r="CB526" s="196">
        <f t="shared" si="1408"/>
        <v>202999.39230362774</v>
      </c>
      <c r="CC526" s="196">
        <f t="shared" si="1378"/>
        <v>304499.08845544164</v>
      </c>
      <c r="CD526" s="247">
        <f t="shared" si="1366"/>
        <v>1.2848084434346437E-3</v>
      </c>
      <c r="CE526" s="196">
        <f t="shared" si="1409"/>
        <v>26404.752690863399</v>
      </c>
      <c r="CF526" s="247">
        <f t="shared" si="1367"/>
        <v>1.1402393385376783E-3</v>
      </c>
      <c r="CG526" s="196">
        <f t="shared" si="1316"/>
        <v>50418.149722469636</v>
      </c>
      <c r="CH526" s="589">
        <f t="shared" si="1383"/>
        <v>1.2848084434346437E-3</v>
      </c>
      <c r="CI526" s="196">
        <f t="shared" si="1410"/>
        <v>97426.437839486302</v>
      </c>
      <c r="CJ526" s="248">
        <f t="shared" si="1384"/>
        <v>1.6016903907801585E-3</v>
      </c>
      <c r="CK526" s="196">
        <f t="shared" si="1411"/>
        <v>84258.095501845281</v>
      </c>
      <c r="CL526" s="589">
        <f t="shared" si="1385"/>
        <v>1.2112274539898581E-3</v>
      </c>
      <c r="CM526" s="196">
        <f t="shared" si="1412"/>
        <v>8162.3923986967347</v>
      </c>
      <c r="CN526" s="589">
        <f t="shared" si="1386"/>
        <v>1.1762935073934512E-3</v>
      </c>
      <c r="CO526" s="196">
        <f t="shared" si="1413"/>
        <v>652.9734259189629</v>
      </c>
      <c r="CP526" s="589">
        <f t="shared" si="1387"/>
        <v>1.2314073048601323E-3</v>
      </c>
      <c r="CQ526" s="196">
        <f>'Detailed Budget'!$AC$12</f>
        <v>292876014141.44696</v>
      </c>
      <c r="CR526" s="269">
        <f t="shared" si="1393"/>
        <v>0</v>
      </c>
      <c r="CS526" s="269">
        <f>'Detailed Budget'!$AC$16</f>
        <v>10488008800.000002</v>
      </c>
      <c r="CT526" s="607">
        <f t="shared" si="1318"/>
        <v>0</v>
      </c>
      <c r="CU526" s="269">
        <f>'Detailed Budget'!$AC$24</f>
        <v>30624985696</v>
      </c>
      <c r="CV526" s="269">
        <f t="shared" si="1424"/>
        <v>0</v>
      </c>
      <c r="CW526" s="269"/>
      <c r="CX526" s="269">
        <f t="shared" si="1379"/>
        <v>0</v>
      </c>
      <c r="CY526" s="196">
        <f>'Detailed Budget'!$AC$97</f>
        <v>74629165494.837845</v>
      </c>
      <c r="CZ526" s="269">
        <f t="shared" si="1319"/>
        <v>127702123.54057196</v>
      </c>
      <c r="DA526" s="269">
        <f>'Detailed Budget'!$AC$100</f>
        <v>14925833098.967569</v>
      </c>
      <c r="DB526" s="269">
        <f t="shared" si="1320"/>
        <v>25540424.708114393</v>
      </c>
      <c r="DC526" s="269">
        <f t="shared" si="1368"/>
        <v>153242548.24868634</v>
      </c>
      <c r="DD526" s="207">
        <v>0</v>
      </c>
      <c r="DE526" s="606">
        <v>0</v>
      </c>
      <c r="DF526" s="269">
        <f>'Detailed Budget'!$AC$147</f>
        <v>5913600671000</v>
      </c>
      <c r="DG526" s="269">
        <f t="shared" si="1419"/>
        <v>0</v>
      </c>
      <c r="DH526" s="269">
        <f>'Detailed Budget'!$AC$153</f>
        <v>226428026880.00003</v>
      </c>
      <c r="DI526" s="269"/>
      <c r="DJ526" s="269">
        <f>'Detailed Budget'!$AC$156</f>
        <v>27713070000</v>
      </c>
      <c r="DK526" s="269"/>
      <c r="DL526" s="269"/>
      <c r="DM526" s="196">
        <f>'Detailed Budget'!$AC$178</f>
        <v>5622683761.6229038</v>
      </c>
      <c r="DN526" s="269">
        <f t="shared" si="1414"/>
        <v>0</v>
      </c>
      <c r="DO526" s="196">
        <f>'Detailed Budget'!$AC$179</f>
        <v>26827890683.128094</v>
      </c>
      <c r="DP526" s="269">
        <f t="shared" si="1415"/>
        <v>0</v>
      </c>
      <c r="DQ526" s="269">
        <f t="shared" si="1388"/>
        <v>0</v>
      </c>
      <c r="DR526" s="269">
        <f>'Detailed Budget'!$AC$181</f>
        <v>50888946855.375237</v>
      </c>
      <c r="DS526" s="269">
        <f t="shared" si="1416"/>
        <v>0</v>
      </c>
      <c r="DT526" s="269">
        <f t="shared" si="1417"/>
        <v>0</v>
      </c>
      <c r="DU526" s="272">
        <f>'Detailed Budget'!$AC$192</f>
        <v>77498869683.252869</v>
      </c>
      <c r="DV526" s="269">
        <f t="shared" si="1321"/>
        <v>99571202.125684425</v>
      </c>
      <c r="DW526" s="140">
        <f>'Detailed Budget'!$AC$194</f>
        <v>2684962805.4134097</v>
      </c>
      <c r="DX526" s="269">
        <f t="shared" si="1322"/>
        <v>3449662.8827031171</v>
      </c>
      <c r="DY526" s="607">
        <f t="shared" si="1369"/>
        <v>103020865.00838754</v>
      </c>
      <c r="DZ526" s="196">
        <f>'Detailed Budget'!$AC$198</f>
        <v>18732540018.380611</v>
      </c>
      <c r="EA526" s="269">
        <f t="shared" si="1396"/>
        <v>21359579.039688896</v>
      </c>
      <c r="EB526" s="196">
        <f>'Detailed Budget'!$AC$200</f>
        <v>4683135004.5951529</v>
      </c>
      <c r="EC526" s="269">
        <f t="shared" si="1324"/>
        <v>5339894.7599222241</v>
      </c>
      <c r="ED526" s="269">
        <f t="shared" si="1370"/>
        <v>26699473.799611121</v>
      </c>
      <c r="EE526" s="196">
        <f>'Detailed Budget'!$AC$161</f>
        <v>251147290106.36197</v>
      </c>
      <c r="EF526" s="269">
        <f t="shared" si="1325"/>
        <v>322676158.87438381</v>
      </c>
      <c r="EG526" s="196">
        <f>'Detailed Budget'!$AC$163</f>
        <v>15696705631.647623</v>
      </c>
      <c r="EH526" s="269">
        <f t="shared" si="1326"/>
        <v>20167259.929648988</v>
      </c>
      <c r="EI526" s="269">
        <f t="shared" si="1371"/>
        <v>342843418.8040328</v>
      </c>
      <c r="EJ526" s="196">
        <f>'Detailed Budget'!$AC$204</f>
        <v>45012172507.531975</v>
      </c>
      <c r="EK526" s="269">
        <f t="shared" si="1327"/>
        <v>72095564.173452795</v>
      </c>
      <c r="EL526" s="201">
        <f>'Detailed Budget'!$AC$206</f>
        <v>11253043126.882994</v>
      </c>
      <c r="EM526" s="269">
        <f t="shared" si="1328"/>
        <v>18023891.043363199</v>
      </c>
      <c r="EN526" s="269">
        <f t="shared" si="1372"/>
        <v>90119455.216815993</v>
      </c>
      <c r="EO526" s="140">
        <f>'Detailed Budget'!$AC$209</f>
        <v>135789361677.54817</v>
      </c>
      <c r="EP526" s="269">
        <f t="shared" si="1329"/>
        <v>164471802.82360467</v>
      </c>
      <c r="EQ526" s="196">
        <f>'Detailed Budget'!$AC$211</f>
        <v>33947340419.387043</v>
      </c>
      <c r="ER526" s="269">
        <f t="shared" si="1330"/>
        <v>41117950.705901168</v>
      </c>
      <c r="ES526" s="269">
        <f t="shared" si="1373"/>
        <v>205589753.52950585</v>
      </c>
      <c r="ET526" s="196">
        <f>'Detailed Budget'!$AC$214</f>
        <v>22239745544.201103</v>
      </c>
      <c r="EU526" s="269">
        <f t="shared" si="1331"/>
        <v>26160468.289726194</v>
      </c>
      <c r="EV526" s="140">
        <f>'Detailed Budget'!$AC$217</f>
        <v>5559936386.0502758</v>
      </c>
      <c r="EW526" s="269">
        <f t="shared" si="1332"/>
        <v>6540117.0724315485</v>
      </c>
      <c r="EX526" s="269">
        <f t="shared" si="1374"/>
        <v>32700585.362157743</v>
      </c>
      <c r="EY526" s="196">
        <f>'Detailed Budget'!$AC$219</f>
        <v>372777004.58170313</v>
      </c>
      <c r="EZ526" s="269">
        <f t="shared" si="1333"/>
        <v>459040.32652578823</v>
      </c>
      <c r="FA526" s="196">
        <f>'Detailed Budget'!$AC$222</f>
        <v>93194251.145425782</v>
      </c>
      <c r="FB526" s="269">
        <f t="shared" si="1334"/>
        <v>114760.08163144706</v>
      </c>
      <c r="FC526" s="269">
        <f t="shared" si="1375"/>
        <v>573800.40815723524</v>
      </c>
      <c r="FD526" s="269"/>
      <c r="FE526" s="269">
        <f t="shared" si="1376"/>
        <v>328983594.51663685</v>
      </c>
      <c r="FF526" s="140">
        <f>'Detailed Budget'!$AC$165</f>
        <v>14927760000</v>
      </c>
      <c r="FG526" s="1087">
        <f t="shared" si="1420"/>
        <v>448755399.61252826</v>
      </c>
      <c r="FH526" s="269">
        <f t="shared" si="1397"/>
        <v>25442154.300647654</v>
      </c>
      <c r="FJ526" s="140">
        <f>'Detailed Budget'!$AC$235</f>
        <v>3623696172</v>
      </c>
      <c r="FK526" s="269">
        <f t="shared" si="1398"/>
        <v>4681778</v>
      </c>
      <c r="FL526" s="269">
        <f t="shared" si="1421"/>
        <v>4681778</v>
      </c>
      <c r="FO526" s="607"/>
      <c r="FP526" s="607"/>
      <c r="FQ526" s="607"/>
      <c r="FR526" s="269">
        <f>'Detailed Budget'!$AC$257</f>
        <v>13636439388</v>
      </c>
      <c r="FS526" s="269">
        <f t="shared" si="1399"/>
        <v>26482404</v>
      </c>
      <c r="FT526" s="269">
        <f t="shared" si="1422"/>
        <v>26482404</v>
      </c>
      <c r="FU526" s="269"/>
      <c r="FV526" s="269"/>
      <c r="FW526" s="269"/>
      <c r="FX526" s="140">
        <f>'Detailed Budget'!$AC$278</f>
        <v>1114560000</v>
      </c>
      <c r="FY526" s="269">
        <f t="shared" si="1400"/>
        <v>1440000</v>
      </c>
      <c r="FZ526" s="269">
        <f t="shared" si="1423"/>
        <v>1440000</v>
      </c>
      <c r="GB526" s="269">
        <f t="shared" si="1431"/>
        <v>1461591636.2905307</v>
      </c>
      <c r="GC526" s="887">
        <f t="shared" si="1377"/>
        <v>913494.77268158167</v>
      </c>
      <c r="GD526" s="1078">
        <f t="shared" si="1432"/>
        <v>8.2014509133213412E-4</v>
      </c>
    </row>
    <row r="527" spans="1:186" hidden="1" outlineLevel="1">
      <c r="A527" s="211" t="s">
        <v>1174</v>
      </c>
      <c r="B527" s="212" t="s">
        <v>1175</v>
      </c>
      <c r="C527" s="213" t="s">
        <v>215</v>
      </c>
      <c r="D527" s="214"/>
      <c r="E527" s="213"/>
      <c r="F527" s="213"/>
      <c r="G527" s="213" t="s">
        <v>215</v>
      </c>
      <c r="H527" s="213" t="s">
        <v>215</v>
      </c>
      <c r="I527" s="214" t="s">
        <v>215</v>
      </c>
      <c r="J527" s="214"/>
      <c r="K527" s="213" t="s">
        <v>215</v>
      </c>
      <c r="L527" s="213"/>
      <c r="M527" s="214"/>
      <c r="N527" s="213"/>
      <c r="O527" s="214"/>
      <c r="P527" s="213"/>
      <c r="Q527" s="214"/>
      <c r="R527" s="214" t="s">
        <v>215</v>
      </c>
      <c r="S527" s="214"/>
      <c r="T527" s="214"/>
      <c r="U527" s="215">
        <f t="shared" si="1401"/>
        <v>6</v>
      </c>
      <c r="V527" s="845" t="s">
        <v>216</v>
      </c>
      <c r="W527" s="216">
        <v>236609</v>
      </c>
      <c r="X527" s="217">
        <v>2.82</v>
      </c>
      <c r="Y527" s="218">
        <f t="shared" si="1312"/>
        <v>1.0282</v>
      </c>
      <c r="Z527" s="196">
        <v>19</v>
      </c>
      <c r="AA527" s="218">
        <f t="shared" si="1313"/>
        <v>1.6961895806156848</v>
      </c>
      <c r="AB527" s="196">
        <f t="shared" si="1389"/>
        <v>401333.72047989658</v>
      </c>
      <c r="AC527">
        <v>14.9</v>
      </c>
      <c r="AD527" s="196">
        <f t="shared" si="1390"/>
        <v>59798.724351504592</v>
      </c>
      <c r="AE527" s="196">
        <f t="shared" si="1314"/>
        <v>56808.78813392936</v>
      </c>
      <c r="AF527" s="196">
        <f t="shared" si="1402"/>
        <v>0</v>
      </c>
      <c r="AG527" s="606">
        <f t="shared" si="1380"/>
        <v>2.626588968059995E-3</v>
      </c>
      <c r="AH527" s="196">
        <f t="shared" si="1418"/>
        <v>20066.686023994829</v>
      </c>
      <c r="AI527" s="248">
        <f t="shared" si="1359"/>
        <v>1.5545357622798069E-3</v>
      </c>
      <c r="AJ527" s="196">
        <f t="shared" si="1360"/>
        <v>79865.410375499428</v>
      </c>
      <c r="AK527" s="196">
        <f t="shared" si="1391"/>
        <v>16053.348819195864</v>
      </c>
      <c r="AL527" s="196">
        <f t="shared" si="1392"/>
        <v>16053.348819195864</v>
      </c>
      <c r="AM527" s="196">
        <f t="shared" si="1361"/>
        <v>32106.697638391728</v>
      </c>
      <c r="AN527" s="627">
        <f t="shared" si="1362"/>
        <v>1.5545357622798069E-3</v>
      </c>
      <c r="AO527" s="196">
        <f t="shared" si="1363"/>
        <v>15250.68137823607</v>
      </c>
      <c r="AP527" s="589">
        <f t="shared" si="1381"/>
        <v>1.5545357622798067E-3</v>
      </c>
      <c r="AQ527" s="196"/>
      <c r="AR527" s="589"/>
      <c r="AS527">
        <v>1</v>
      </c>
      <c r="AT527" s="589">
        <f t="shared" si="1382"/>
        <v>1.2919896640826874E-3</v>
      </c>
      <c r="AU527" s="196">
        <v>12</v>
      </c>
      <c r="AV527" s="245">
        <f t="shared" si="1364"/>
        <v>1.3634814225656176E-3</v>
      </c>
      <c r="AX527" s="245"/>
      <c r="AY527" s="245"/>
      <c r="AZ527" s="196">
        <v>43</v>
      </c>
      <c r="BA527" s="589">
        <f t="shared" si="1425"/>
        <v>1.5756110072917811E-3</v>
      </c>
      <c r="BI527" s="196">
        <v>0</v>
      </c>
      <c r="BK527" s="246">
        <f t="shared" si="1426"/>
        <v>0</v>
      </c>
      <c r="BL527" s="246"/>
      <c r="BM527" s="246">
        <f t="shared" si="1427"/>
        <v>0</v>
      </c>
      <c r="BN527" s="196">
        <v>1</v>
      </c>
      <c r="BO527" s="196">
        <f t="shared" si="1403"/>
        <v>22132.460425938269</v>
      </c>
      <c r="BP527" s="196">
        <f t="shared" si="1365"/>
        <v>22132.460425938269</v>
      </c>
      <c r="BQ527" s="248">
        <f t="shared" si="1428"/>
        <v>2.0703886075558882E-3</v>
      </c>
      <c r="BR527" s="248"/>
      <c r="BS527" s="248"/>
      <c r="BT527" s="276">
        <v>0</v>
      </c>
      <c r="BU527" s="196">
        <f t="shared" si="1404"/>
        <v>0</v>
      </c>
      <c r="BV527" s="264">
        <f t="shared" si="1429"/>
        <v>0</v>
      </c>
      <c r="BW527" s="196">
        <f t="shared" si="1405"/>
        <v>0</v>
      </c>
      <c r="BX527" s="247">
        <f t="shared" si="1430"/>
        <v>0</v>
      </c>
      <c r="BY527" s="196">
        <f t="shared" si="1406"/>
        <v>0</v>
      </c>
      <c r="BZ527" s="620">
        <v>1</v>
      </c>
      <c r="CA527" s="196">
        <f t="shared" si="1407"/>
        <v>122808.11846684835</v>
      </c>
      <c r="CB527" s="196">
        <f t="shared" si="1408"/>
        <v>245616.23693369669</v>
      </c>
      <c r="CC527" s="196">
        <f t="shared" si="1378"/>
        <v>368424.35540054506</v>
      </c>
      <c r="CD527" s="247">
        <f t="shared" si="1366"/>
        <v>1.5545357622798069E-3</v>
      </c>
      <c r="CE527" s="196">
        <f t="shared" si="1409"/>
        <v>31948.056196121281</v>
      </c>
      <c r="CF527" s="247">
        <f t="shared" si="1367"/>
        <v>1.3796164232674258E-3</v>
      </c>
      <c r="CG527" s="196">
        <f t="shared" si="1316"/>
        <v>61002.725512944278</v>
      </c>
      <c r="CH527" s="589">
        <f t="shared" si="1383"/>
        <v>1.5545357622798067E-3</v>
      </c>
      <c r="CI527" s="196">
        <f t="shared" si="1410"/>
        <v>117879.73731565551</v>
      </c>
      <c r="CJ527" s="248">
        <f t="shared" si="1384"/>
        <v>1.9379425822510419E-3</v>
      </c>
      <c r="CK527" s="196">
        <f t="shared" si="1411"/>
        <v>101946.88818284425</v>
      </c>
      <c r="CL527" s="589">
        <f t="shared" si="1385"/>
        <v>1.4655074872086437E-3</v>
      </c>
      <c r="CM527" s="196">
        <f t="shared" si="1412"/>
        <v>9875.9709701272568</v>
      </c>
      <c r="CN527" s="589">
        <f t="shared" si="1386"/>
        <v>1.4232396537590811E-3</v>
      </c>
      <c r="CO527" s="196">
        <f t="shared" si="1413"/>
        <v>790.05593993127195</v>
      </c>
      <c r="CP527" s="589">
        <f t="shared" si="1387"/>
        <v>1.489923811693135E-3</v>
      </c>
      <c r="CQ527" s="196">
        <f>'Detailed Budget'!$AC$12</f>
        <v>292876014141.44696</v>
      </c>
      <c r="CR527" s="269">
        <f t="shared" si="1393"/>
        <v>0</v>
      </c>
      <c r="CS527" s="269">
        <f>'Detailed Budget'!$AC$16</f>
        <v>10488008800.000002</v>
      </c>
      <c r="CT527" s="607">
        <f t="shared" si="1318"/>
        <v>0</v>
      </c>
      <c r="CU527" s="269">
        <f>'Detailed Budget'!$AC$24</f>
        <v>30624985696</v>
      </c>
      <c r="CV527" s="269">
        <f t="shared" si="1424"/>
        <v>0</v>
      </c>
      <c r="CW527" s="269"/>
      <c r="CX527" s="269">
        <f t="shared" si="1379"/>
        <v>0</v>
      </c>
      <c r="CY527" s="196">
        <f>'Detailed Budget'!$AC$97</f>
        <v>74629165494.837845</v>
      </c>
      <c r="CZ527" s="269">
        <f t="shared" si="1319"/>
        <v>154511374.03191528</v>
      </c>
      <c r="DA527" s="269">
        <f>'Detailed Budget'!$AC$100</f>
        <v>14925833098.967569</v>
      </c>
      <c r="DB527" s="269">
        <f t="shared" si="1320"/>
        <v>30902274.806383055</v>
      </c>
      <c r="DC527" s="269">
        <f t="shared" si="1368"/>
        <v>185413648.83829832</v>
      </c>
      <c r="DD527" s="207">
        <v>0</v>
      </c>
      <c r="DE527" s="606">
        <v>0</v>
      </c>
      <c r="DF527" s="269">
        <f>'Detailed Budget'!$AC$147</f>
        <v>5913600671000</v>
      </c>
      <c r="DG527" s="269">
        <f t="shared" si="1419"/>
        <v>0</v>
      </c>
      <c r="DH527" s="269">
        <f>'Detailed Budget'!$AC$153</f>
        <v>226428026880.00003</v>
      </c>
      <c r="DI527" s="269"/>
      <c r="DJ527" s="269">
        <f>'Detailed Budget'!$AC$156</f>
        <v>27713070000</v>
      </c>
      <c r="DK527" s="269"/>
      <c r="DL527" s="269"/>
      <c r="DM527" s="196">
        <f>'Detailed Budget'!$AC$178</f>
        <v>5622683761.6229038</v>
      </c>
      <c r="DN527" s="269">
        <f t="shared" si="1414"/>
        <v>0</v>
      </c>
      <c r="DO527" s="196">
        <f>'Detailed Budget'!$AC$179</f>
        <v>26827890683.128094</v>
      </c>
      <c r="DP527" s="269">
        <f t="shared" si="1415"/>
        <v>0</v>
      </c>
      <c r="DQ527" s="269">
        <f t="shared" si="1388"/>
        <v>0</v>
      </c>
      <c r="DR527" s="269">
        <f>'Detailed Budget'!$AC$181</f>
        <v>50888946855.375237</v>
      </c>
      <c r="DS527" s="269">
        <f t="shared" si="1416"/>
        <v>0</v>
      </c>
      <c r="DT527" s="269">
        <f t="shared" si="1417"/>
        <v>0</v>
      </c>
      <c r="DU527" s="272">
        <f>'Detailed Budget'!$AC$192</f>
        <v>77498869683.252869</v>
      </c>
      <c r="DV527" s="269">
        <f t="shared" si="1321"/>
        <v>120474764.45887892</v>
      </c>
      <c r="DW527" s="140">
        <f>'Detailed Budget'!$AC$194</f>
        <v>2684962805.4134097</v>
      </c>
      <c r="DX527" s="269">
        <f t="shared" si="1322"/>
        <v>4173870.7014062637</v>
      </c>
      <c r="DY527" s="607">
        <f t="shared" si="1369"/>
        <v>124648635.16028519</v>
      </c>
      <c r="DZ527" s="196">
        <f>'Detailed Budget'!$AC$198</f>
        <v>18732540018.380611</v>
      </c>
      <c r="EA527" s="269">
        <f t="shared" si="1396"/>
        <v>25843719.858872179</v>
      </c>
      <c r="EB527" s="196">
        <f>'Detailed Budget'!$AC$200</f>
        <v>4683135004.5951529</v>
      </c>
      <c r="EC527" s="269">
        <f t="shared" si="1324"/>
        <v>6460929.9647180447</v>
      </c>
      <c r="ED527" s="269">
        <f t="shared" si="1370"/>
        <v>32304649.823590223</v>
      </c>
      <c r="EE527" s="196">
        <f>'Detailed Budget'!$AC$161</f>
        <v>251147290106.36197</v>
      </c>
      <c r="EF527" s="269">
        <f t="shared" si="1325"/>
        <v>390417444.07000113</v>
      </c>
      <c r="EG527" s="196">
        <f>'Detailed Budget'!$AC$163</f>
        <v>15696705631.647623</v>
      </c>
      <c r="EH527" s="269">
        <f t="shared" si="1326"/>
        <v>24401090.25437507</v>
      </c>
      <c r="EI527" s="269">
        <f t="shared" si="1371"/>
        <v>414818534.32437623</v>
      </c>
      <c r="EJ527" s="196">
        <f>'Detailed Budget'!$AC$204</f>
        <v>45012172507.531975</v>
      </c>
      <c r="EK527" s="269">
        <f t="shared" si="1327"/>
        <v>87231005.821975872</v>
      </c>
      <c r="EL527" s="201">
        <f>'Detailed Budget'!$AC$206</f>
        <v>11253043126.882994</v>
      </c>
      <c r="EM527" s="269">
        <f t="shared" si="1328"/>
        <v>21807751.455493968</v>
      </c>
      <c r="EN527" s="269">
        <f t="shared" si="1372"/>
        <v>109038757.27746984</v>
      </c>
      <c r="EO527" s="140">
        <f>'Detailed Budget'!$AC$209</f>
        <v>135789361677.54817</v>
      </c>
      <c r="EP527" s="269">
        <f t="shared" si="1329"/>
        <v>199000326.22172931</v>
      </c>
      <c r="EQ527" s="196">
        <f>'Detailed Budget'!$AC$211</f>
        <v>33947340419.387043</v>
      </c>
      <c r="ER527" s="269">
        <f t="shared" si="1330"/>
        <v>49750081.555432327</v>
      </c>
      <c r="ES527" s="269">
        <f t="shared" si="1373"/>
        <v>248750407.77716163</v>
      </c>
      <c r="ET527" s="196">
        <f>'Detailed Budget'!$AC$214</f>
        <v>22239745544.201103</v>
      </c>
      <c r="EU527" s="269">
        <f t="shared" si="1331"/>
        <v>31652487.748018846</v>
      </c>
      <c r="EV527" s="140">
        <f>'Detailed Budget'!$AC$217</f>
        <v>5559936386.0502758</v>
      </c>
      <c r="EW527" s="269">
        <f t="shared" si="1332"/>
        <v>7913121.9370047115</v>
      </c>
      <c r="EX527" s="269">
        <f t="shared" si="1374"/>
        <v>39565609.685023561</v>
      </c>
      <c r="EY527" s="196">
        <f>'Detailed Budget'!$AC$219</f>
        <v>372777004.58170313</v>
      </c>
      <c r="EZ527" s="269">
        <f t="shared" si="1333"/>
        <v>555409.33557792043</v>
      </c>
      <c r="FA527" s="196">
        <f>'Detailed Budget'!$AC$222</f>
        <v>93194251.145425782</v>
      </c>
      <c r="FB527" s="269">
        <f t="shared" si="1334"/>
        <v>138852.33389448011</v>
      </c>
      <c r="FC527" s="269">
        <f t="shared" si="1375"/>
        <v>694261.66947240056</v>
      </c>
      <c r="FD527" s="269"/>
      <c r="FE527" s="269">
        <f t="shared" si="1376"/>
        <v>398049036.40912741</v>
      </c>
      <c r="FF527" s="140">
        <f>'Detailed Budget'!$AC$165</f>
        <v>14927760000</v>
      </c>
      <c r="FG527" s="1087">
        <f t="shared" si="1420"/>
        <v>542965234.06162298</v>
      </c>
      <c r="FH527" s="269">
        <f t="shared" si="1397"/>
        <v>20353723.440518126</v>
      </c>
      <c r="FJ527" s="140">
        <f>'Detailed Budget'!$AC$235</f>
        <v>3623696172</v>
      </c>
      <c r="FK527" s="269">
        <f t="shared" si="1398"/>
        <v>4681778</v>
      </c>
      <c r="FL527" s="269">
        <f t="shared" si="1421"/>
        <v>4681778</v>
      </c>
      <c r="FO527" s="607"/>
      <c r="FP527" s="607"/>
      <c r="FQ527" s="607"/>
      <c r="FR527" s="269">
        <f>'Detailed Budget'!$AC$257</f>
        <v>13636439388</v>
      </c>
      <c r="FS527" s="269">
        <f t="shared" si="1399"/>
        <v>21485724</v>
      </c>
      <c r="FT527" s="269">
        <f t="shared" si="1422"/>
        <v>21485724</v>
      </c>
      <c r="FU527" s="269"/>
      <c r="FV527" s="269"/>
      <c r="FW527" s="269"/>
      <c r="FX527" s="140">
        <f>'Detailed Budget'!$AC$278</f>
        <v>1114560000</v>
      </c>
      <c r="FY527" s="269">
        <f t="shared" si="1400"/>
        <v>1440000</v>
      </c>
      <c r="FZ527" s="269">
        <f t="shared" si="1423"/>
        <v>1440000</v>
      </c>
      <c r="GB527" s="269">
        <f t="shared" si="1431"/>
        <v>1746160964.0578187</v>
      </c>
      <c r="GC527" s="887">
        <f t="shared" si="1377"/>
        <v>1091350.6025361368</v>
      </c>
      <c r="GD527" s="1078">
        <f t="shared" si="1432"/>
        <v>9.7982590197522013E-4</v>
      </c>
    </row>
    <row r="528" spans="1:186" hidden="1" outlineLevel="1">
      <c r="A528" s="211"/>
      <c r="B528" s="212"/>
      <c r="C528" s="213"/>
      <c r="D528" s="214"/>
      <c r="E528" s="213"/>
      <c r="F528" s="213"/>
      <c r="G528" s="213"/>
      <c r="H528" s="213"/>
      <c r="I528" s="214"/>
      <c r="J528" s="214"/>
      <c r="K528" s="213"/>
      <c r="L528" s="213"/>
      <c r="M528" s="214"/>
      <c r="N528" s="213"/>
      <c r="O528" s="214"/>
      <c r="P528" s="213"/>
      <c r="Q528" s="214"/>
      <c r="R528" s="214"/>
      <c r="S528" s="214"/>
      <c r="T528" s="214"/>
      <c r="U528" s="215"/>
      <c r="V528" s="845"/>
      <c r="W528" s="216"/>
      <c r="X528" s="217"/>
      <c r="Y528" s="218"/>
      <c r="Z528" s="196"/>
      <c r="AA528" s="218"/>
      <c r="AG528" s="606"/>
      <c r="AJ528" s="196"/>
      <c r="AK528" s="196"/>
      <c r="AL528" s="196"/>
      <c r="AM528" s="196"/>
      <c r="AO528" s="196"/>
      <c r="AP528" s="589"/>
      <c r="AQ528" s="196"/>
      <c r="AR528" s="589"/>
      <c r="AS528"/>
      <c r="AT528" s="589"/>
      <c r="AV528" s="245"/>
      <c r="AX528" s="245"/>
      <c r="AY528" s="245"/>
      <c r="BA528" s="589">
        <f t="shared" si="1425"/>
        <v>0</v>
      </c>
      <c r="BK528" s="246">
        <f t="shared" si="1426"/>
        <v>0</v>
      </c>
      <c r="BL528" s="246"/>
      <c r="BM528" s="246">
        <f t="shared" si="1427"/>
        <v>0</v>
      </c>
      <c r="BN528" s="196"/>
      <c r="BQ528" s="248">
        <f t="shared" si="1428"/>
        <v>0</v>
      </c>
      <c r="BR528" s="248"/>
      <c r="BS528" s="248"/>
      <c r="BT528" s="276"/>
      <c r="BV528" s="264">
        <f t="shared" si="1429"/>
        <v>0</v>
      </c>
      <c r="BX528" s="247">
        <f t="shared" si="1430"/>
        <v>0</v>
      </c>
      <c r="BY528" s="196"/>
      <c r="BZ528" s="620"/>
      <c r="CA528" s="196"/>
      <c r="CB528" s="196"/>
      <c r="CC528" s="196"/>
      <c r="CD528" s="247"/>
      <c r="CF528" s="247"/>
      <c r="CG528" s="196"/>
      <c r="CH528" s="589"/>
      <c r="CI528" s="196"/>
      <c r="CJ528" s="248"/>
      <c r="CK528" s="196"/>
      <c r="CL528" s="589"/>
      <c r="CM528" s="196"/>
      <c r="CN528" s="589"/>
      <c r="CO528" s="196"/>
      <c r="CP528" s="589"/>
      <c r="CQ528" s="196"/>
      <c r="CR528" s="269">
        <f t="shared" si="1393"/>
        <v>0</v>
      </c>
      <c r="CS528" s="269"/>
      <c r="CT528" s="607"/>
      <c r="CU528" s="269">
        <f>'Detailed Budget'!$AC$24</f>
        <v>30624985696</v>
      </c>
      <c r="CV528" s="269">
        <f t="shared" si="1424"/>
        <v>0</v>
      </c>
      <c r="CW528" s="269"/>
      <c r="CX528" s="269"/>
      <c r="CY528" s="196"/>
      <c r="DC528" s="269"/>
      <c r="DD528" s="207"/>
      <c r="DE528" s="606">
        <v>0</v>
      </c>
      <c r="DF528" s="269">
        <f>'Detailed Budget'!$AC$147</f>
        <v>5913600671000</v>
      </c>
      <c r="DG528" s="269">
        <f t="shared" si="1419"/>
        <v>0</v>
      </c>
      <c r="DH528" s="269">
        <f>'Detailed Budget'!$AC$153</f>
        <v>226428026880.00003</v>
      </c>
      <c r="DI528" s="269"/>
      <c r="DJ528" s="269">
        <f>'Detailed Budget'!$AC$156</f>
        <v>27713070000</v>
      </c>
      <c r="DK528" s="269"/>
      <c r="DL528" s="269"/>
      <c r="DM528" s="196"/>
      <c r="DN528" s="269"/>
      <c r="DO528" s="196"/>
      <c r="DP528" s="269"/>
      <c r="DQ528" s="269"/>
      <c r="DR528" s="269"/>
      <c r="DS528" s="269"/>
      <c r="DT528" s="269"/>
      <c r="DU528" s="272"/>
      <c r="DV528" s="269"/>
      <c r="DW528" s="140"/>
      <c r="DX528" s="269"/>
      <c r="DY528" s="607"/>
      <c r="DZ528" s="196"/>
      <c r="EA528" s="269"/>
      <c r="EB528" s="196"/>
      <c r="ED528" s="269"/>
      <c r="EE528" s="196"/>
      <c r="EG528" s="196"/>
      <c r="EI528" s="269"/>
      <c r="EJ528" s="196"/>
      <c r="EL528" s="201"/>
      <c r="EN528" s="269"/>
      <c r="EO528" s="140"/>
      <c r="EQ528" s="196"/>
      <c r="ES528" s="269"/>
      <c r="ET528" s="196"/>
      <c r="EV528" s="140"/>
      <c r="EX528" s="269"/>
      <c r="EY528" s="196"/>
      <c r="FA528" s="196"/>
      <c r="FC528" s="269"/>
      <c r="FD528" s="269"/>
      <c r="FE528" s="269"/>
      <c r="FF528" s="140"/>
      <c r="FG528" s="1087">
        <f t="shared" si="1420"/>
        <v>0</v>
      </c>
      <c r="FJ528" s="140"/>
      <c r="FL528" s="269">
        <f t="shared" si="1421"/>
        <v>0</v>
      </c>
      <c r="FO528" s="607"/>
      <c r="FP528" s="607"/>
      <c r="FQ528" s="607"/>
      <c r="FT528" s="269">
        <f t="shared" si="1422"/>
        <v>0</v>
      </c>
      <c r="FU528" s="269"/>
      <c r="FV528" s="269"/>
      <c r="FW528" s="269"/>
      <c r="FX528" s="140">
        <f>'Detailed Budget'!$AC$278</f>
        <v>1114560000</v>
      </c>
      <c r="FY528" s="269"/>
      <c r="FZ528" s="269"/>
      <c r="GB528" s="269">
        <f t="shared" si="1431"/>
        <v>0</v>
      </c>
      <c r="GD528" s="1078">
        <f t="shared" si="1432"/>
        <v>0</v>
      </c>
    </row>
    <row r="529" spans="1:186" s="210" customFormat="1" collapsed="1">
      <c r="A529" s="203">
        <v>4.4000000000000004</v>
      </c>
      <c r="B529" s="204" t="s">
        <v>1176</v>
      </c>
      <c r="C529" s="205">
        <f>COUNTA(C530:C546)</f>
        <v>17</v>
      </c>
      <c r="D529" s="205">
        <f t="shared" ref="D529:T529" si="1433">COUNTA(D530:D546)</f>
        <v>0</v>
      </c>
      <c r="E529" s="205">
        <f t="shared" si="1433"/>
        <v>0</v>
      </c>
      <c r="F529" s="205">
        <f t="shared" si="1433"/>
        <v>0</v>
      </c>
      <c r="G529" s="205">
        <f t="shared" si="1433"/>
        <v>17</v>
      </c>
      <c r="H529" s="205">
        <f t="shared" si="1433"/>
        <v>17</v>
      </c>
      <c r="I529" s="205">
        <f t="shared" si="1433"/>
        <v>17</v>
      </c>
      <c r="J529" s="205">
        <f t="shared" si="1433"/>
        <v>0</v>
      </c>
      <c r="K529" s="205">
        <f t="shared" si="1433"/>
        <v>2</v>
      </c>
      <c r="L529" s="205">
        <f t="shared" si="1433"/>
        <v>0</v>
      </c>
      <c r="M529" s="205">
        <f t="shared" si="1433"/>
        <v>15</v>
      </c>
      <c r="N529" s="205">
        <f t="shared" si="1433"/>
        <v>0</v>
      </c>
      <c r="O529" s="205">
        <f t="shared" si="1433"/>
        <v>0</v>
      </c>
      <c r="P529" s="205">
        <f t="shared" si="1433"/>
        <v>0</v>
      </c>
      <c r="Q529" s="205">
        <f t="shared" si="1433"/>
        <v>4</v>
      </c>
      <c r="R529" s="205">
        <f t="shared" si="1433"/>
        <v>13</v>
      </c>
      <c r="S529" s="205">
        <f t="shared" si="1433"/>
        <v>0</v>
      </c>
      <c r="T529" s="205">
        <f t="shared" si="1433"/>
        <v>0</v>
      </c>
      <c r="U529" s="206">
        <f>SUM(C529:T529)</f>
        <v>102</v>
      </c>
      <c r="V529" s="844"/>
      <c r="W529" s="207">
        <f>SUM(W530:W546)</f>
        <v>3267837</v>
      </c>
      <c r="X529" s="208">
        <v>3</v>
      </c>
      <c r="Y529" s="209">
        <f t="shared" si="1312"/>
        <v>1.03</v>
      </c>
      <c r="Z529" s="207">
        <v>19</v>
      </c>
      <c r="AA529" s="209">
        <f t="shared" si="1313"/>
        <v>1.7535060530771003</v>
      </c>
      <c r="AB529" s="207">
        <f t="shared" si="1389"/>
        <v>5730171.959969312</v>
      </c>
      <c r="AC529" s="210">
        <v>11.8</v>
      </c>
      <c r="AD529" s="207">
        <f t="shared" si="1390"/>
        <v>676160.29127637879</v>
      </c>
      <c r="AE529" s="207">
        <f t="shared" si="1314"/>
        <v>642352.27671255986</v>
      </c>
      <c r="AF529" s="207">
        <f>SUM(AF530:AF546)</f>
        <v>0</v>
      </c>
      <c r="AG529" s="588">
        <f t="shared" si="1380"/>
        <v>2.9699549295855235E-2</v>
      </c>
      <c r="AH529" s="207">
        <f>SUM(AH530:AH546)</f>
        <v>286508.59799846559</v>
      </c>
      <c r="AI529" s="633">
        <f t="shared" si="1359"/>
        <v>2.2195386984013649E-2</v>
      </c>
      <c r="AJ529" s="207">
        <f>SUM(AJ530:AJ546)</f>
        <v>962668.88927484455</v>
      </c>
      <c r="AK529" s="207">
        <f t="shared" si="1391"/>
        <v>229206.87839877247</v>
      </c>
      <c r="AL529" s="207">
        <f t="shared" si="1392"/>
        <v>229206.87839877247</v>
      </c>
      <c r="AM529" s="207">
        <f t="shared" si="1361"/>
        <v>458413.75679754495</v>
      </c>
      <c r="AN529" s="632">
        <f t="shared" si="1362"/>
        <v>2.2195386984013649E-2</v>
      </c>
      <c r="AO529" s="207">
        <f t="shared" si="1363"/>
        <v>217746.53447883384</v>
      </c>
      <c r="AP529" s="588">
        <f t="shared" si="1381"/>
        <v>2.2195386984013649E-2</v>
      </c>
      <c r="AQ529" s="207">
        <v>1</v>
      </c>
      <c r="AR529" s="588">
        <f>AQ529/37</f>
        <v>2.7027027027027029E-2</v>
      </c>
      <c r="AS529" s="207">
        <f>SUM(AS530:AS546)</f>
        <v>17</v>
      </c>
      <c r="AT529" s="588">
        <f t="shared" si="1382"/>
        <v>2.1963824289405683E-2</v>
      </c>
      <c r="AU529" s="207">
        <f>SUM(AU530:AU546)</f>
        <v>259</v>
      </c>
      <c r="AV529" s="892">
        <f t="shared" si="1364"/>
        <v>2.9428474037041245E-2</v>
      </c>
      <c r="AW529" s="207">
        <v>12440</v>
      </c>
      <c r="AX529" s="208">
        <f>AW529*0.002</f>
        <v>24.88</v>
      </c>
      <c r="AY529" s="207">
        <f>AX529*100</f>
        <v>2488</v>
      </c>
      <c r="AZ529" s="207">
        <f>SUM(AZ530:AZ546)</f>
        <v>544</v>
      </c>
      <c r="BA529" s="588">
        <f t="shared" si="1425"/>
        <v>1.9933311348063466E-2</v>
      </c>
      <c r="BB529" s="207">
        <v>53</v>
      </c>
      <c r="BC529" s="207">
        <v>4</v>
      </c>
      <c r="BD529" s="207">
        <f>BB529+BC529</f>
        <v>57</v>
      </c>
      <c r="BE529" s="633">
        <f>BD529/1306</f>
        <v>4.3644716692189896E-2</v>
      </c>
      <c r="BF529" s="207">
        <f>AZ529+BD529</f>
        <v>601</v>
      </c>
      <c r="BG529" s="588">
        <f>BF529/28597</f>
        <v>2.1016190509494003E-2</v>
      </c>
      <c r="BH529" s="1084">
        <v>30.2</v>
      </c>
      <c r="BI529" s="207"/>
      <c r="BJ529" s="207"/>
      <c r="BK529" s="892">
        <f t="shared" si="1426"/>
        <v>0</v>
      </c>
      <c r="BL529" s="892"/>
      <c r="BM529" s="892">
        <f t="shared" si="1427"/>
        <v>0</v>
      </c>
      <c r="BN529" s="207"/>
      <c r="BO529" s="207">
        <f>SUM(BO530:BO546)</f>
        <v>302325.96522678784</v>
      </c>
      <c r="BP529" s="207">
        <f>SUM(BP530:BP546)</f>
        <v>302325.96522678784</v>
      </c>
      <c r="BQ529" s="633">
        <f t="shared" si="1428"/>
        <v>2.8281186191134636E-2</v>
      </c>
      <c r="BR529" s="207">
        <f>AY529*0.5*24</f>
        <v>29856</v>
      </c>
      <c r="BS529" s="633">
        <f>BR529/2211211</f>
        <v>1.3502103598435428E-2</v>
      </c>
      <c r="BT529" s="634"/>
      <c r="BU529" s="207">
        <f>AD529*BT529*0.18</f>
        <v>0</v>
      </c>
      <c r="BV529" s="264">
        <f t="shared" si="1429"/>
        <v>0</v>
      </c>
      <c r="BW529" s="207">
        <f>AD529*BT529*0.77</f>
        <v>0</v>
      </c>
      <c r="BX529" s="247">
        <f t="shared" si="1430"/>
        <v>0</v>
      </c>
      <c r="BY529" s="207">
        <f>SUM(BY530:BY546)</f>
        <v>0</v>
      </c>
      <c r="CA529" s="207">
        <f>SUM(CA530:CA546)</f>
        <v>1753432.6197506096</v>
      </c>
      <c r="CB529" s="207">
        <f>SUM(CB530:CB546)</f>
        <v>3506865.2395012192</v>
      </c>
      <c r="CC529" s="207">
        <f>SUM(CC530:CC546)</f>
        <v>5260297.8592518289</v>
      </c>
      <c r="CD529" s="633">
        <f t="shared" si="1366"/>
        <v>2.2195386984013653E-2</v>
      </c>
      <c r="CE529" s="207">
        <f>SUM(CE530:CE546)</f>
        <v>487297.31627088954</v>
      </c>
      <c r="CF529" s="633">
        <f t="shared" si="1367"/>
        <v>2.1043013584753873E-2</v>
      </c>
      <c r="CG529" s="207">
        <f t="shared" ref="CG529:CG575" si="1434">AO529*4</f>
        <v>870986.13791533536</v>
      </c>
      <c r="CH529" s="588">
        <f t="shared" si="1383"/>
        <v>2.2195386984013649E-2</v>
      </c>
      <c r="CI529" s="207">
        <f t="shared" ref="CI529:CO529" si="1435">SUM(CI530:CI546)</f>
        <v>566371.24398144521</v>
      </c>
      <c r="CJ529" s="633">
        <f t="shared" si="1384"/>
        <v>9.311141813414664E-3</v>
      </c>
      <c r="CK529" s="207">
        <f t="shared" si="1435"/>
        <v>1801825.7761906369</v>
      </c>
      <c r="CL529" s="588">
        <f t="shared" si="1385"/>
        <v>2.5901616152490526E-2</v>
      </c>
      <c r="CM529" s="207">
        <f t="shared" si="1435"/>
        <v>174552.07519355547</v>
      </c>
      <c r="CN529" s="588">
        <f t="shared" si="1386"/>
        <v>2.515493775881399E-2</v>
      </c>
      <c r="CO529" s="207">
        <f t="shared" si="1435"/>
        <v>13964.006015415514</v>
      </c>
      <c r="CP529" s="588">
        <f t="shared" si="1387"/>
        <v>2.6333964492189797E-2</v>
      </c>
      <c r="CQ529" s="207">
        <f>'Detailed Budget'!$AC$12</f>
        <v>292876014141.44696</v>
      </c>
      <c r="CR529" s="605">
        <f t="shared" si="1393"/>
        <v>0</v>
      </c>
      <c r="CS529" s="605">
        <f>'Detailed Budget'!$AC$16</f>
        <v>10488008800.000002</v>
      </c>
      <c r="CT529" s="605">
        <f t="shared" ref="CT529:CT575" si="1436">BM529*CS529</f>
        <v>0</v>
      </c>
      <c r="CU529" s="605">
        <f>'Detailed Budget'!$AC$24</f>
        <v>30624985696</v>
      </c>
      <c r="CV529" s="605">
        <f t="shared" si="1424"/>
        <v>0</v>
      </c>
      <c r="CW529" s="605"/>
      <c r="CX529" s="605">
        <f t="shared" si="1379"/>
        <v>0</v>
      </c>
      <c r="CY529" s="207">
        <f>'Detailed Budget'!$AC$97</f>
        <v>74629165494.837845</v>
      </c>
      <c r="CZ529" s="605">
        <f t="shared" ref="CZ529:CZ575" si="1437">BQ529*CY529</f>
        <v>2110601324.6485095</v>
      </c>
      <c r="DA529" s="605">
        <f>'Detailed Budget'!$AC$100</f>
        <v>14925833098.967569</v>
      </c>
      <c r="DB529" s="605">
        <f t="shared" ref="DB529:DB575" si="1438">BQ529*DA529</f>
        <v>422120264.92970192</v>
      </c>
      <c r="DC529" s="605">
        <f t="shared" si="1368"/>
        <v>2532721589.5782113</v>
      </c>
      <c r="DD529" s="207">
        <f>SUM(DD530:DD546)</f>
        <v>0</v>
      </c>
      <c r="DE529" s="606">
        <v>0</v>
      </c>
      <c r="DF529" s="605">
        <f>'Detailed Budget'!$AC$147</f>
        <v>5913600671000</v>
      </c>
      <c r="DG529" s="605">
        <f t="shared" si="1419"/>
        <v>0</v>
      </c>
      <c r="DH529" s="605">
        <f>'Detailed Budget'!$AC$153</f>
        <v>226428026880.00003</v>
      </c>
      <c r="DI529" s="605">
        <f>BS529*DH529</f>
        <v>3057254676.5230823</v>
      </c>
      <c r="DJ529" s="605">
        <f>'Detailed Budget'!$AC$156</f>
        <v>27713070000</v>
      </c>
      <c r="DK529" s="605">
        <f>AT529*DJ529</f>
        <v>608685000</v>
      </c>
      <c r="DL529" s="605">
        <f>DI529+DK529</f>
        <v>3665939676.5230823</v>
      </c>
      <c r="DM529" s="207">
        <f>'Detailed Budget'!$AC$178</f>
        <v>5622683761.6229038</v>
      </c>
      <c r="DN529" s="605">
        <f>SUM(DN530:DN546)</f>
        <v>0</v>
      </c>
      <c r="DO529" s="605">
        <f>'Detailed Budget'!$AC$179</f>
        <v>26827890683.128094</v>
      </c>
      <c r="DP529" s="605">
        <f>SUM(DP530:DP546)</f>
        <v>0</v>
      </c>
      <c r="DQ529" s="605">
        <f>SUM(DQ530:DQ546)</f>
        <v>0</v>
      </c>
      <c r="DR529" s="605">
        <f>'Detailed Budget'!$AC$181</f>
        <v>50888946855.375237</v>
      </c>
      <c r="DS529" s="605">
        <f>SUM(DS530:DS546)</f>
        <v>0</v>
      </c>
      <c r="DT529" s="605">
        <f>SUM(DT530:DT546)</f>
        <v>0</v>
      </c>
      <c r="DU529" s="634">
        <f>'Detailed Budget'!$AC$192</f>
        <v>77498869683.252869</v>
      </c>
      <c r="DV529" s="605">
        <f t="shared" ref="DV529:DV575" si="1439">BZ529*CD529*DU529</f>
        <v>0</v>
      </c>
      <c r="DW529" s="930">
        <f>'Detailed Budget'!$AC$194</f>
        <v>2684962805.4134097</v>
      </c>
      <c r="DX529" s="605">
        <f t="shared" ref="DX529:DX575" si="1440">BZ529*AN529*DW529</f>
        <v>0</v>
      </c>
      <c r="DY529" s="605">
        <f t="shared" si="1369"/>
        <v>0</v>
      </c>
      <c r="DZ529" s="207">
        <f>'Detailed Budget'!$AC$198</f>
        <v>18732540018.380611</v>
      </c>
      <c r="EA529" s="605">
        <f t="shared" ref="EA529:EA546" si="1441">CF529*DZ529</f>
        <v>394189094.08372879</v>
      </c>
      <c r="EB529" s="207">
        <f>'Detailed Budget'!$AC$200</f>
        <v>4683135004.5951529</v>
      </c>
      <c r="EC529" s="605">
        <f t="shared" ref="EC529:EC575" si="1442">CF529*EB529</f>
        <v>98547273.520932198</v>
      </c>
      <c r="ED529" s="605">
        <f t="shared" si="1370"/>
        <v>492736367.60466099</v>
      </c>
      <c r="EE529" s="207">
        <f>'Detailed Budget'!$AC$161</f>
        <v>251147290106.36197</v>
      </c>
      <c r="EF529" s="605">
        <f t="shared" ref="EF529:EF575" si="1443">CH529*EE529</f>
        <v>5574311293.8970461</v>
      </c>
      <c r="EG529" s="207">
        <f>'Detailed Budget'!$AC$163</f>
        <v>15696705631.647623</v>
      </c>
      <c r="EH529" s="605">
        <f t="shared" ref="EH529:EH575" si="1444">AP529*EG529</f>
        <v>348394455.86856538</v>
      </c>
      <c r="EI529" s="605">
        <f t="shared" si="1371"/>
        <v>5922705749.7656116</v>
      </c>
      <c r="EJ529" s="207">
        <f>'Detailed Budget'!$AC$204</f>
        <v>45012172507.531975</v>
      </c>
      <c r="EK529" s="605">
        <f t="shared" ref="EK529:EK575" si="1445">CJ529*EJ529</f>
        <v>419114721.54751498</v>
      </c>
      <c r="EL529" s="207">
        <f>'Detailed Budget'!$AC$206</f>
        <v>11253043126.882994</v>
      </c>
      <c r="EM529" s="605">
        <f t="shared" ref="EM529:EM575" si="1446">CJ529*EL529</f>
        <v>104778680.38687874</v>
      </c>
      <c r="EN529" s="605">
        <f t="shared" si="1372"/>
        <v>523893401.9343937</v>
      </c>
      <c r="EO529" s="930">
        <f>'Detailed Budget'!$AC$209</f>
        <v>135789361677.54817</v>
      </c>
      <c r="EP529" s="605">
        <f t="shared" ref="EP529:EP575" si="1447">CL529*EO529</f>
        <v>3517163923.7635598</v>
      </c>
      <c r="EQ529" s="207">
        <f>'Detailed Budget'!$AC$211</f>
        <v>33947340419.387043</v>
      </c>
      <c r="ER529" s="605">
        <f t="shared" ref="ER529:ER575" si="1448">CL529*EQ529</f>
        <v>879290980.94088995</v>
      </c>
      <c r="ES529" s="605">
        <f t="shared" si="1373"/>
        <v>4396454904.7044497</v>
      </c>
      <c r="ET529" s="207">
        <f>'Detailed Budget'!$AC$214</f>
        <v>22239745544.201103</v>
      </c>
      <c r="EU529" s="605">
        <f t="shared" ref="EU529:EU575" si="1449">CN529*ET529</f>
        <v>559439414.93623948</v>
      </c>
      <c r="EV529" s="930">
        <f>'Detailed Budget'!$AC$217</f>
        <v>5559936386.0502758</v>
      </c>
      <c r="EW529" s="605">
        <f t="shared" ref="EW529:EW575" si="1450">CN529*EV529</f>
        <v>139859853.73405987</v>
      </c>
      <c r="EX529" s="605">
        <f t="shared" si="1374"/>
        <v>699299268.67029929</v>
      </c>
      <c r="EY529" s="207">
        <f>'Detailed Budget'!$AC$219</f>
        <v>372777004.58170313</v>
      </c>
      <c r="EZ529" s="605">
        <f t="shared" ref="EZ529:EZ575" si="1451">CP529*EY529</f>
        <v>9816696.4021594431</v>
      </c>
      <c r="FA529" s="207">
        <f>'Detailed Budget'!$AC$222</f>
        <v>93194251.145425782</v>
      </c>
      <c r="FB529" s="605">
        <f t="shared" ref="FB529:FB575" si="1452">CP529*FA529</f>
        <v>2454174.1005398608</v>
      </c>
      <c r="FC529" s="605">
        <f t="shared" si="1375"/>
        <v>12270870.502699304</v>
      </c>
      <c r="FD529" s="605"/>
      <c r="FE529" s="605">
        <f t="shared" si="1376"/>
        <v>5631918445.811842</v>
      </c>
      <c r="FF529" s="930">
        <f>'Detailed Budget'!$AC$165</f>
        <v>14927760000</v>
      </c>
      <c r="FG529" s="1087">
        <f t="shared" si="1420"/>
        <v>7682309558.4714727</v>
      </c>
      <c r="FH529" s="605">
        <f t="shared" ref="FH529:FH546" si="1453">AV529*FF529</f>
        <v>439301197.59118283</v>
      </c>
      <c r="FI529" s="605"/>
      <c r="FJ529" s="930">
        <f>'Detailed Budget'!$AC$235</f>
        <v>3623696172</v>
      </c>
      <c r="FK529" s="605">
        <f t="shared" ref="FK529:FK546" si="1454">AT529*FJ529</f>
        <v>79590226</v>
      </c>
      <c r="FL529" s="605">
        <f t="shared" si="1421"/>
        <v>79590226</v>
      </c>
      <c r="FM529" s="605"/>
      <c r="FN529" s="605">
        <f>'Detailed Budget'!$AC$251</f>
        <v>1047595800</v>
      </c>
      <c r="FO529" s="605">
        <f>AR529*FN529</f>
        <v>28313400</v>
      </c>
      <c r="FP529" s="605">
        <f>'Detailed Budget'!$AB$254</f>
        <v>2773297530</v>
      </c>
      <c r="FQ529" s="605">
        <f>BE529*FP529</f>
        <v>121039785.00000001</v>
      </c>
      <c r="FR529" s="605">
        <f>'Detailed Budget'!$AC$257</f>
        <v>13636439388</v>
      </c>
      <c r="FS529" s="605">
        <f t="shared" ref="FS529:FS546" si="1455">BA529*FR529</f>
        <v>271819392</v>
      </c>
      <c r="FT529" s="605">
        <f t="shared" si="1422"/>
        <v>421172577</v>
      </c>
      <c r="FU529" s="605"/>
      <c r="FV529" s="605">
        <f>'Detailed Budget'!$AC$265</f>
        <v>6277805540</v>
      </c>
      <c r="FW529" s="605">
        <f>AR529*FV529</f>
        <v>169670420</v>
      </c>
      <c r="FX529" s="930">
        <f>'Detailed Budget'!$AC$278</f>
        <v>1114560000</v>
      </c>
      <c r="FY529" s="605">
        <f t="shared" ref="FY529:FY546" si="1456">AT529*FX529</f>
        <v>24480000</v>
      </c>
      <c r="FZ529" s="605">
        <f t="shared" si="1423"/>
        <v>194150420</v>
      </c>
      <c r="GB529" s="269">
        <f t="shared" si="1431"/>
        <v>27062545808.346066</v>
      </c>
      <c r="GC529" s="889">
        <f t="shared" si="1377"/>
        <v>16914091.130216289</v>
      </c>
      <c r="GD529" s="1078">
        <f t="shared" si="1432"/>
        <v>1.5185646628354236E-2</v>
      </c>
    </row>
    <row r="530" spans="1:186" hidden="1" outlineLevel="1">
      <c r="A530" s="211" t="s">
        <v>1177</v>
      </c>
      <c r="B530" s="212" t="s">
        <v>1178</v>
      </c>
      <c r="C530" s="213" t="s">
        <v>215</v>
      </c>
      <c r="D530" s="214"/>
      <c r="E530" s="213"/>
      <c r="F530" s="213"/>
      <c r="G530" s="213" t="s">
        <v>215</v>
      </c>
      <c r="H530" s="213" t="s">
        <v>215</v>
      </c>
      <c r="I530" s="214" t="s">
        <v>215</v>
      </c>
      <c r="J530" s="214"/>
      <c r="K530" s="213" t="s">
        <v>215</v>
      </c>
      <c r="L530" s="213"/>
      <c r="M530" s="214"/>
      <c r="N530" s="213"/>
      <c r="O530" s="214"/>
      <c r="P530" s="213"/>
      <c r="Q530" s="214"/>
      <c r="R530" s="214" t="s">
        <v>215</v>
      </c>
      <c r="S530" s="214"/>
      <c r="T530" s="214"/>
      <c r="U530" s="215">
        <f t="shared" ref="U530:U546" si="1457">COUNTA(C530:T530)</f>
        <v>6</v>
      </c>
      <c r="V530" s="845" t="s">
        <v>216</v>
      </c>
      <c r="W530" s="216">
        <v>136221</v>
      </c>
      <c r="X530" s="217">
        <v>3</v>
      </c>
      <c r="Y530" s="218">
        <f t="shared" si="1312"/>
        <v>1.03</v>
      </c>
      <c r="Z530" s="196">
        <v>19</v>
      </c>
      <c r="AA530" s="218">
        <f t="shared" si="1313"/>
        <v>1.7535060530771003</v>
      </c>
      <c r="AB530" s="196">
        <f t="shared" si="1389"/>
        <v>238864.34805621568</v>
      </c>
      <c r="AC530">
        <v>11.8</v>
      </c>
      <c r="AD530" s="196">
        <f t="shared" si="1390"/>
        <v>28185.993070633453</v>
      </c>
      <c r="AE530" s="196">
        <f t="shared" si="1314"/>
        <v>26776.693417101778</v>
      </c>
      <c r="AF530" s="196">
        <f t="shared" ref="AF530:AF547" si="1458">AE530*BT530</f>
        <v>0</v>
      </c>
      <c r="AG530" s="606">
        <f t="shared" si="1380"/>
        <v>1.2380367517200817E-3</v>
      </c>
      <c r="AH530" s="196">
        <f>AB530*0.05</f>
        <v>11943.217402810784</v>
      </c>
      <c r="AI530" s="248">
        <f t="shared" si="1359"/>
        <v>9.2522295645386333E-4</v>
      </c>
      <c r="AJ530" s="196">
        <f t="shared" si="1360"/>
        <v>40129.21047344424</v>
      </c>
      <c r="AK530" s="196">
        <f t="shared" si="1391"/>
        <v>9554.5739222486282</v>
      </c>
      <c r="AL530" s="196">
        <f t="shared" si="1392"/>
        <v>9554.5739222486282</v>
      </c>
      <c r="AM530" s="196">
        <f t="shared" si="1361"/>
        <v>19109.147844497256</v>
      </c>
      <c r="AN530" s="627">
        <f t="shared" si="1362"/>
        <v>9.2522295645386344E-4</v>
      </c>
      <c r="AO530" s="196">
        <f t="shared" si="1363"/>
        <v>9076.8452261361963</v>
      </c>
      <c r="AP530" s="589">
        <f t="shared" si="1381"/>
        <v>9.2522295645386344E-4</v>
      </c>
      <c r="AQ530" s="196"/>
      <c r="AR530" s="589"/>
      <c r="AS530">
        <v>1</v>
      </c>
      <c r="AT530" s="589">
        <f t="shared" si="1382"/>
        <v>1.2919896640826874E-3</v>
      </c>
      <c r="AU530" s="196">
        <v>10</v>
      </c>
      <c r="AV530" s="245">
        <f t="shared" si="1364"/>
        <v>1.1362345188046814E-3</v>
      </c>
      <c r="AX530" s="245"/>
      <c r="AY530" s="245"/>
      <c r="AZ530" s="196">
        <v>20</v>
      </c>
      <c r="BA530" s="589">
        <f t="shared" si="1425"/>
        <v>7.3284232897292143E-4</v>
      </c>
      <c r="BI530" s="196">
        <v>0</v>
      </c>
      <c r="BK530" s="246">
        <f t="shared" si="1426"/>
        <v>0</v>
      </c>
      <c r="BL530" s="246"/>
      <c r="BM530" s="246">
        <f t="shared" si="1427"/>
        <v>0</v>
      </c>
      <c r="BN530" s="196">
        <v>1</v>
      </c>
      <c r="BO530" s="196">
        <f t="shared" ref="BO530:BO546" si="1459">AJ530/962669*302326</f>
        <v>12602.570235038735</v>
      </c>
      <c r="BP530" s="196">
        <f t="shared" si="1365"/>
        <v>12602.570235038735</v>
      </c>
      <c r="BQ530" s="248">
        <f t="shared" si="1428"/>
        <v>1.178911758494243E-3</v>
      </c>
      <c r="BR530" s="248"/>
      <c r="BS530" s="248"/>
      <c r="BT530" s="276">
        <v>0</v>
      </c>
      <c r="BU530" s="196">
        <f t="shared" ref="BU530:BU546" si="1460">AD530*BT530*0.18*4</f>
        <v>0</v>
      </c>
      <c r="BV530" s="264">
        <f t="shared" si="1429"/>
        <v>0</v>
      </c>
      <c r="BW530" s="196">
        <f t="shared" ref="BW530:BW546" si="1461">AD530*BT530*0.77*4</f>
        <v>0</v>
      </c>
      <c r="BX530" s="247">
        <f t="shared" si="1430"/>
        <v>0</v>
      </c>
      <c r="BY530" s="196">
        <f t="shared" ref="BY530:BY546" si="1462">BU530+BW530</f>
        <v>0</v>
      </c>
      <c r="BZ530" s="620">
        <v>1</v>
      </c>
      <c r="CA530" s="196">
        <f t="shared" ref="CA530:CA547" si="1463">AK530*0.85*0.75*12</f>
        <v>73092.490505202004</v>
      </c>
      <c r="CB530" s="196">
        <f t="shared" ref="CB530:CB547" si="1464">AL530*0.85*0.75*2*12</f>
        <v>146184.98101040401</v>
      </c>
      <c r="CC530" s="196">
        <f t="shared" si="1378"/>
        <v>219277.47151560601</v>
      </c>
      <c r="CD530" s="247">
        <f t="shared" si="1366"/>
        <v>9.2522295645386344E-4</v>
      </c>
      <c r="CE530" s="196">
        <f t="shared" ref="CE530:CE546" si="1465">AH530/286509*487298</f>
        <v>20313.169757162563</v>
      </c>
      <c r="CF530" s="247">
        <f t="shared" si="1367"/>
        <v>8.7718584296853151E-4</v>
      </c>
      <c r="CG530" s="196">
        <f t="shared" si="1434"/>
        <v>36307.380904544785</v>
      </c>
      <c r="CH530" s="589">
        <f t="shared" si="1383"/>
        <v>9.2522295645386344E-4</v>
      </c>
      <c r="CI530" s="196">
        <f t="shared" ref="CI530:CI546" si="1466">AD530/676160*566371</f>
        <v>23609.395825555694</v>
      </c>
      <c r="CJ530" s="248">
        <f t="shared" si="1384"/>
        <v>3.8813840744356549E-4</v>
      </c>
      <c r="CK530" s="196">
        <f t="shared" ref="CK530:CK546" si="1467">AD530/676160*1801825</f>
        <v>75109.777219140611</v>
      </c>
      <c r="CL530" s="589">
        <f t="shared" si="1385"/>
        <v>1.0797184969471895E-3</v>
      </c>
      <c r="CM530" s="196">
        <f t="shared" ref="CM530:CM546" si="1468">AD530/676160*174552</f>
        <v>7276.2681354490214</v>
      </c>
      <c r="CN530" s="589">
        <f t="shared" si="1386"/>
        <v>1.048592930566427E-3</v>
      </c>
      <c r="CO530" s="196">
        <f t="shared" ref="CO530:CO546" si="1469">AD530/676160*13964</f>
        <v>582.09478117357651</v>
      </c>
      <c r="CP530" s="589">
        <f t="shared" si="1387"/>
        <v>1.0977410981914293E-3</v>
      </c>
      <c r="CQ530" s="196">
        <f>'Detailed Budget'!$AC$12</f>
        <v>292876014141.44696</v>
      </c>
      <c r="CR530" s="269">
        <f t="shared" si="1393"/>
        <v>0</v>
      </c>
      <c r="CS530" s="269">
        <f>'Detailed Budget'!$AC$16</f>
        <v>10488008800.000002</v>
      </c>
      <c r="CT530" s="607">
        <f t="shared" si="1436"/>
        <v>0</v>
      </c>
      <c r="CU530" s="269">
        <f>'Detailed Budget'!$AC$24</f>
        <v>30624985696</v>
      </c>
      <c r="CV530" s="269">
        <f t="shared" si="1424"/>
        <v>0</v>
      </c>
      <c r="CW530" s="269"/>
      <c r="CX530" s="269">
        <f t="shared" si="1379"/>
        <v>0</v>
      </c>
      <c r="CY530" s="196">
        <f>'Detailed Budget'!$AC$97</f>
        <v>74629165494.837845</v>
      </c>
      <c r="CZ530" s="269">
        <f t="shared" si="1437"/>
        <v>87981200.728477165</v>
      </c>
      <c r="DA530" s="269">
        <f>'Detailed Budget'!$AC$100</f>
        <v>14925833098.967569</v>
      </c>
      <c r="DB530" s="269">
        <f t="shared" si="1438"/>
        <v>17596240.145695433</v>
      </c>
      <c r="DC530" s="269">
        <f t="shared" si="1368"/>
        <v>105577440.8741726</v>
      </c>
      <c r="DD530" s="207">
        <v>0</v>
      </c>
      <c r="DE530" s="606">
        <v>0</v>
      </c>
      <c r="DF530" s="269">
        <f>'Detailed Budget'!$AC$147</f>
        <v>5913600671000</v>
      </c>
      <c r="DG530" s="269">
        <f t="shared" si="1419"/>
        <v>0</v>
      </c>
      <c r="DH530" s="269">
        <f>'Detailed Budget'!$AC$153</f>
        <v>226428026880.00003</v>
      </c>
      <c r="DI530" s="269"/>
      <c r="DJ530" s="269">
        <f>'Detailed Budget'!$AC$156</f>
        <v>27713070000</v>
      </c>
      <c r="DK530" s="269"/>
      <c r="DL530" s="269"/>
      <c r="DM530" s="196">
        <f>'Detailed Budget'!$AC$178</f>
        <v>5622683761.6229038</v>
      </c>
      <c r="DN530" s="269">
        <f t="shared" ref="DN530:DN546" si="1470">BT530*BV530*DM530</f>
        <v>0</v>
      </c>
      <c r="DO530" s="196">
        <f>'Detailed Budget'!$AC$179</f>
        <v>26827890683.128094</v>
      </c>
      <c r="DP530" s="269">
        <f t="shared" ref="DP530:DP546" si="1471">BT530*BX530*DO530</f>
        <v>0</v>
      </c>
      <c r="DQ530" s="269">
        <f t="shared" si="1388"/>
        <v>0</v>
      </c>
      <c r="DR530" s="269">
        <f>'Detailed Budget'!$AC$181</f>
        <v>50888946855.375237</v>
      </c>
      <c r="DS530" s="269">
        <f t="shared" ref="DS530:DS546" si="1472">BT530*AG530*DR530</f>
        <v>0</v>
      </c>
      <c r="DT530" s="269">
        <f t="shared" ref="DT530:DT546" si="1473">DQ530+DS530</f>
        <v>0</v>
      </c>
      <c r="DU530" s="272">
        <f>'Detailed Budget'!$AC$192</f>
        <v>77498869683.252869</v>
      </c>
      <c r="DV530" s="269">
        <f t="shared" si="1439"/>
        <v>71703733.330171913</v>
      </c>
      <c r="DW530" s="140">
        <f>'Detailed Budget'!$AC$194</f>
        <v>2684962805.4134097</v>
      </c>
      <c r="DX530" s="269">
        <f t="shared" si="1440"/>
        <v>2484189.2247932544</v>
      </c>
      <c r="DY530" s="607">
        <f t="shared" si="1369"/>
        <v>74187922.554965168</v>
      </c>
      <c r="DZ530" s="196">
        <f>'Detailed Budget'!$AC$198</f>
        <v>18732540018.380611</v>
      </c>
      <c r="EA530" s="269">
        <f t="shared" si="1441"/>
        <v>16431918.906964947</v>
      </c>
      <c r="EB530" s="196">
        <f>'Detailed Budget'!$AC$200</f>
        <v>4683135004.5951529</v>
      </c>
      <c r="EC530" s="269">
        <f t="shared" si="1442"/>
        <v>4107979.7267412366</v>
      </c>
      <c r="ED530" s="269">
        <f t="shared" si="1370"/>
        <v>20539898.633706182</v>
      </c>
      <c r="EE530" s="196">
        <f>'Detailed Budget'!$AC$161</f>
        <v>251147290106.36197</v>
      </c>
      <c r="EF530" s="269">
        <f t="shared" si="1443"/>
        <v>232367238.25758436</v>
      </c>
      <c r="EG530" s="196">
        <f>'Detailed Budget'!$AC$163</f>
        <v>15696705631.647623</v>
      </c>
      <c r="EH530" s="269">
        <f t="shared" si="1444"/>
        <v>14522952.391099023</v>
      </c>
      <c r="EI530" s="269">
        <f t="shared" si="1371"/>
        <v>246890190.6486834</v>
      </c>
      <c r="EJ530" s="196">
        <f>'Detailed Budget'!$AC$204</f>
        <v>45012172507.531975</v>
      </c>
      <c r="EK530" s="269">
        <f t="shared" si="1445"/>
        <v>17470952.952648502</v>
      </c>
      <c r="EL530" s="201">
        <f>'Detailed Budget'!$AC$206</f>
        <v>11253043126.882994</v>
      </c>
      <c r="EM530" s="269">
        <f t="shared" si="1446"/>
        <v>4367738.2381621255</v>
      </c>
      <c r="EN530" s="269">
        <f t="shared" si="1372"/>
        <v>21838691.190810628</v>
      </c>
      <c r="EO530" s="140">
        <f>'Detailed Budget'!$AC$209</f>
        <v>135789361677.54817</v>
      </c>
      <c r="EP530" s="269">
        <f t="shared" si="1447"/>
        <v>146614285.49190059</v>
      </c>
      <c r="EQ530" s="196">
        <f>'Detailed Budget'!$AC$211</f>
        <v>33947340419.387043</v>
      </c>
      <c r="ER530" s="269">
        <f t="shared" si="1448"/>
        <v>36653571.372975148</v>
      </c>
      <c r="ES530" s="269">
        <f t="shared" si="1373"/>
        <v>183267856.86487573</v>
      </c>
      <c r="ET530" s="196">
        <f>'Detailed Budget'!$AC$214</f>
        <v>22239745544.201103</v>
      </c>
      <c r="EU530" s="269">
        <f t="shared" si="1449"/>
        <v>23320439.955245472</v>
      </c>
      <c r="EV530" s="140">
        <f>'Detailed Budget'!$AC$217</f>
        <v>5559936386.0502758</v>
      </c>
      <c r="EW530" s="269">
        <f t="shared" si="1450"/>
        <v>5830109.9888113681</v>
      </c>
      <c r="EX530" s="269">
        <f t="shared" si="1374"/>
        <v>29150549.944056839</v>
      </c>
      <c r="EY530" s="196">
        <f>'Detailed Budget'!$AC$219</f>
        <v>372777004.58170313</v>
      </c>
      <c r="EZ530" s="269">
        <f t="shared" si="1451"/>
        <v>409212.63839003025</v>
      </c>
      <c r="FA530" s="196">
        <f>'Detailed Budget'!$AC$222</f>
        <v>93194251.145425782</v>
      </c>
      <c r="FB530" s="269">
        <f t="shared" si="1452"/>
        <v>102303.15959750756</v>
      </c>
      <c r="FC530" s="269">
        <f t="shared" si="1375"/>
        <v>511515.79798753781</v>
      </c>
      <c r="FD530" s="269"/>
      <c r="FE530" s="269">
        <f t="shared" si="1376"/>
        <v>234768613.79773074</v>
      </c>
      <c r="FF530" s="140">
        <f>'Detailed Budget'!$AC$165</f>
        <v>14927760000</v>
      </c>
      <c r="FG530" s="1087">
        <f t="shared" si="1420"/>
        <v>320239929.4593159</v>
      </c>
      <c r="FH530" s="269">
        <f t="shared" si="1453"/>
        <v>16961436.200431772</v>
      </c>
      <c r="FJ530" s="140">
        <f>'Detailed Budget'!$AC$235</f>
        <v>3623696172</v>
      </c>
      <c r="FK530" s="269">
        <f t="shared" si="1454"/>
        <v>4681778</v>
      </c>
      <c r="FL530" s="269">
        <f t="shared" si="1421"/>
        <v>4681778</v>
      </c>
      <c r="FO530" s="607"/>
      <c r="FP530" s="607"/>
      <c r="FQ530" s="607"/>
      <c r="FR530" s="269">
        <f>'Detailed Budget'!$AC$257</f>
        <v>13636439388</v>
      </c>
      <c r="FS530" s="269">
        <f t="shared" si="1455"/>
        <v>9993360</v>
      </c>
      <c r="FT530" s="269">
        <f t="shared" si="1422"/>
        <v>9993360</v>
      </c>
      <c r="FU530" s="269"/>
      <c r="FV530" s="269"/>
      <c r="FW530" s="269"/>
      <c r="FX530" s="140">
        <f>'Detailed Budget'!$AC$278</f>
        <v>1114560000</v>
      </c>
      <c r="FY530" s="269">
        <f t="shared" si="1456"/>
        <v>1440000</v>
      </c>
      <c r="FZ530" s="269">
        <f t="shared" si="1423"/>
        <v>1440000</v>
      </c>
      <c r="GB530" s="269">
        <f t="shared" si="1431"/>
        <v>1035280570.1690058</v>
      </c>
      <c r="GC530" s="887">
        <f t="shared" si="1377"/>
        <v>647050.35635562858</v>
      </c>
      <c r="GD530" s="1078">
        <f t="shared" si="1432"/>
        <v>5.8092852797829333E-4</v>
      </c>
    </row>
    <row r="531" spans="1:186" hidden="1" outlineLevel="1">
      <c r="A531" s="211" t="s">
        <v>1179</v>
      </c>
      <c r="B531" s="212" t="s">
        <v>1180</v>
      </c>
      <c r="C531" s="213" t="s">
        <v>215</v>
      </c>
      <c r="D531" s="214"/>
      <c r="E531" s="213"/>
      <c r="F531" s="213"/>
      <c r="G531" s="213" t="s">
        <v>215</v>
      </c>
      <c r="H531" s="213" t="s">
        <v>215</v>
      </c>
      <c r="I531" s="214" t="s">
        <v>215</v>
      </c>
      <c r="J531" s="214"/>
      <c r="K531" s="213"/>
      <c r="L531" s="213"/>
      <c r="M531" s="214" t="s">
        <v>215</v>
      </c>
      <c r="N531" s="213"/>
      <c r="O531" s="214"/>
      <c r="P531" s="213"/>
      <c r="Q531" s="214"/>
      <c r="R531" s="214" t="s">
        <v>215</v>
      </c>
      <c r="S531" s="214"/>
      <c r="T531" s="214"/>
      <c r="U531" s="215">
        <f t="shared" si="1457"/>
        <v>6</v>
      </c>
      <c r="V531" s="845" t="s">
        <v>216</v>
      </c>
      <c r="W531" s="216">
        <v>197292</v>
      </c>
      <c r="X531" s="217">
        <v>3</v>
      </c>
      <c r="Y531" s="218">
        <f t="shared" si="1312"/>
        <v>1.03</v>
      </c>
      <c r="Z531" s="196">
        <v>19</v>
      </c>
      <c r="AA531" s="218">
        <f t="shared" si="1313"/>
        <v>1.7535060530771003</v>
      </c>
      <c r="AB531" s="196">
        <f t="shared" si="1389"/>
        <v>345952.71622368728</v>
      </c>
      <c r="AC531">
        <v>11.8</v>
      </c>
      <c r="AD531" s="196">
        <f t="shared" si="1390"/>
        <v>40822.420514395104</v>
      </c>
      <c r="AE531" s="196">
        <f t="shared" si="1314"/>
        <v>38781.299488675344</v>
      </c>
      <c r="AF531" s="196">
        <f t="shared" si="1458"/>
        <v>0</v>
      </c>
      <c r="AG531" s="606">
        <f t="shared" si="1380"/>
        <v>1.7930770352615113E-3</v>
      </c>
      <c r="AH531" s="196">
        <f t="shared" ref="AH531:AH546" si="1474">AB531*0.05</f>
        <v>17297.635811184366</v>
      </c>
      <c r="AI531" s="248">
        <f t="shared" si="1359"/>
        <v>1.340021637814255E-3</v>
      </c>
      <c r="AJ531" s="196">
        <f t="shared" si="1360"/>
        <v>58120.05632557947</v>
      </c>
      <c r="AK531" s="196">
        <f t="shared" si="1391"/>
        <v>13838.108648947491</v>
      </c>
      <c r="AL531" s="196">
        <f t="shared" si="1392"/>
        <v>13838.108648947491</v>
      </c>
      <c r="AM531" s="196">
        <f t="shared" si="1361"/>
        <v>27676.217297894982</v>
      </c>
      <c r="AN531" s="627">
        <f t="shared" si="1362"/>
        <v>1.3400216378142548E-3</v>
      </c>
      <c r="AO531" s="196">
        <f t="shared" si="1363"/>
        <v>13146.203216500116</v>
      </c>
      <c r="AP531" s="589">
        <f t="shared" si="1381"/>
        <v>1.3400216378142548E-3</v>
      </c>
      <c r="AQ531" s="196"/>
      <c r="AR531" s="589"/>
      <c r="AS531">
        <v>1</v>
      </c>
      <c r="AT531" s="589">
        <f t="shared" si="1382"/>
        <v>1.2919896640826874E-3</v>
      </c>
      <c r="AU531" s="196">
        <v>11</v>
      </c>
      <c r="AV531" s="245">
        <f t="shared" si="1364"/>
        <v>1.2498579706851495E-3</v>
      </c>
      <c r="AX531" s="245"/>
      <c r="AY531" s="245"/>
      <c r="AZ531" s="196">
        <v>32</v>
      </c>
      <c r="BA531" s="589">
        <f t="shared" si="1425"/>
        <v>1.1725477263566744E-3</v>
      </c>
      <c r="BI531" s="196">
        <v>0</v>
      </c>
      <c r="BK531" s="246">
        <f t="shared" si="1426"/>
        <v>0</v>
      </c>
      <c r="BL531" s="246"/>
      <c r="BM531" s="246">
        <f t="shared" si="1427"/>
        <v>0</v>
      </c>
      <c r="BN531" s="196">
        <v>1</v>
      </c>
      <c r="BO531" s="196">
        <f t="shared" si="1459"/>
        <v>18252.591647479185</v>
      </c>
      <c r="BP531" s="196">
        <f t="shared" si="1365"/>
        <v>18252.591647479185</v>
      </c>
      <c r="BQ531" s="248">
        <f t="shared" si="1428"/>
        <v>1.7074449509021825E-3</v>
      </c>
      <c r="BR531" s="248"/>
      <c r="BS531" s="248"/>
      <c r="BT531" s="276">
        <v>0</v>
      </c>
      <c r="BU531" s="196">
        <f t="shared" si="1460"/>
        <v>0</v>
      </c>
      <c r="BV531" s="264">
        <f t="shared" si="1429"/>
        <v>0</v>
      </c>
      <c r="BW531" s="196">
        <f t="shared" si="1461"/>
        <v>0</v>
      </c>
      <c r="BX531" s="247">
        <f t="shared" si="1430"/>
        <v>0</v>
      </c>
      <c r="BY531" s="196">
        <f t="shared" si="1462"/>
        <v>0</v>
      </c>
      <c r="BZ531" s="620">
        <v>1</v>
      </c>
      <c r="CA531" s="196">
        <f t="shared" si="1463"/>
        <v>105861.5311644483</v>
      </c>
      <c r="CB531" s="196">
        <f t="shared" si="1464"/>
        <v>211723.0623288966</v>
      </c>
      <c r="CC531" s="196">
        <f t="shared" si="1378"/>
        <v>317584.5934933449</v>
      </c>
      <c r="CD531" s="247">
        <f t="shared" si="1366"/>
        <v>1.3400216378142548E-3</v>
      </c>
      <c r="CE531" s="196">
        <f t="shared" si="1465"/>
        <v>29420.029861255731</v>
      </c>
      <c r="CF531" s="247">
        <f t="shared" si="1367"/>
        <v>1.2704483841033873E-3</v>
      </c>
      <c r="CG531" s="196">
        <f t="shared" si="1434"/>
        <v>52584.812866000466</v>
      </c>
      <c r="CH531" s="589">
        <f t="shared" si="1383"/>
        <v>1.3400216378142548E-3</v>
      </c>
      <c r="CI531" s="196">
        <f t="shared" si="1466"/>
        <v>34194.029710657938</v>
      </c>
      <c r="CJ531" s="248">
        <f t="shared" si="1384"/>
        <v>5.6214976164729326E-4</v>
      </c>
      <c r="CK531" s="196">
        <f t="shared" si="1467"/>
        <v>108783.21380050573</v>
      </c>
      <c r="CL531" s="589">
        <f t="shared" si="1385"/>
        <v>1.5637810741347144E-3</v>
      </c>
      <c r="CM531" s="196">
        <f t="shared" si="1468"/>
        <v>10538.38610037372</v>
      </c>
      <c r="CN531" s="589">
        <f t="shared" si="1386"/>
        <v>1.5187012021443944E-3</v>
      </c>
      <c r="CO531" s="196">
        <f t="shared" si="1469"/>
        <v>843.06122820488235</v>
      </c>
      <c r="CP531" s="589">
        <f t="shared" si="1387"/>
        <v>1.5898836210597744E-3</v>
      </c>
      <c r="CQ531" s="196">
        <f>'Detailed Budget'!$AC$12</f>
        <v>292876014141.44696</v>
      </c>
      <c r="CR531" s="269">
        <f t="shared" si="1393"/>
        <v>0</v>
      </c>
      <c r="CS531" s="269">
        <f>'Detailed Budget'!$AC$16</f>
        <v>10488008800.000002</v>
      </c>
      <c r="CT531" s="607">
        <f t="shared" si="1436"/>
        <v>0</v>
      </c>
      <c r="CU531" s="269">
        <f>'Detailed Budget'!$AC$24</f>
        <v>30624985696</v>
      </c>
      <c r="CV531" s="269">
        <f t="shared" si="1424"/>
        <v>0</v>
      </c>
      <c r="CW531" s="269"/>
      <c r="CX531" s="269">
        <f t="shared" si="1379"/>
        <v>0</v>
      </c>
      <c r="CY531" s="196">
        <f>'Detailed Budget'!$AC$97</f>
        <v>74629165494.837845</v>
      </c>
      <c r="CZ531" s="269">
        <f t="shared" si="1437"/>
        <v>127425191.81420426</v>
      </c>
      <c r="DA531" s="269">
        <f>'Detailed Budget'!$AC$100</f>
        <v>14925833098.967569</v>
      </c>
      <c r="DB531" s="269">
        <f t="shared" si="1438"/>
        <v>25485038.362840854</v>
      </c>
      <c r="DC531" s="269">
        <f t="shared" si="1368"/>
        <v>152910230.17704511</v>
      </c>
      <c r="DD531" s="207">
        <v>0</v>
      </c>
      <c r="DE531" s="606">
        <v>0</v>
      </c>
      <c r="DF531" s="269">
        <f>'Detailed Budget'!$AC$147</f>
        <v>5913600671000</v>
      </c>
      <c r="DG531" s="269">
        <f t="shared" si="1419"/>
        <v>0</v>
      </c>
      <c r="DH531" s="269">
        <f>'Detailed Budget'!$AC$153</f>
        <v>226428026880.00003</v>
      </c>
      <c r="DI531" s="269"/>
      <c r="DJ531" s="269">
        <f>'Detailed Budget'!$AC$156</f>
        <v>27713070000</v>
      </c>
      <c r="DK531" s="269"/>
      <c r="DL531" s="269"/>
      <c r="DM531" s="196">
        <f>'Detailed Budget'!$AC$178</f>
        <v>5622683761.6229038</v>
      </c>
      <c r="DN531" s="269">
        <f t="shared" si="1470"/>
        <v>0</v>
      </c>
      <c r="DO531" s="196">
        <f>'Detailed Budget'!$AC$179</f>
        <v>26827890683.128094</v>
      </c>
      <c r="DP531" s="269">
        <f t="shared" si="1471"/>
        <v>0</v>
      </c>
      <c r="DQ531" s="269">
        <f t="shared" si="1388"/>
        <v>0</v>
      </c>
      <c r="DR531" s="269">
        <f>'Detailed Budget'!$AC$181</f>
        <v>50888946855.375237</v>
      </c>
      <c r="DS531" s="269">
        <f t="shared" si="1472"/>
        <v>0</v>
      </c>
      <c r="DT531" s="269">
        <f t="shared" si="1473"/>
        <v>0</v>
      </c>
      <c r="DU531" s="272">
        <f>'Detailed Budget'!$AC$192</f>
        <v>77498869683.252869</v>
      </c>
      <c r="DV531" s="269">
        <f t="shared" si="1439"/>
        <v>103850162.28170601</v>
      </c>
      <c r="DW531" s="140">
        <f>'Detailed Budget'!$AC$194</f>
        <v>2684962805.4134097</v>
      </c>
      <c r="DX531" s="269">
        <f t="shared" si="1440"/>
        <v>3597908.2559804334</v>
      </c>
      <c r="DY531" s="607">
        <f t="shared" si="1369"/>
        <v>107448070.53768644</v>
      </c>
      <c r="DZ531" s="196">
        <f>'Detailed Budget'!$AC$198</f>
        <v>18732540018.380611</v>
      </c>
      <c r="EA531" s="269">
        <f t="shared" si="1441"/>
        <v>23798725.196503684</v>
      </c>
      <c r="EB531" s="196">
        <f>'Detailed Budget'!$AC$200</f>
        <v>4683135004.5951529</v>
      </c>
      <c r="EC531" s="269">
        <f t="shared" si="1442"/>
        <v>5949681.299125921</v>
      </c>
      <c r="ED531" s="269">
        <f t="shared" si="1370"/>
        <v>29748406.495629605</v>
      </c>
      <c r="EE531" s="196">
        <f>'Detailed Budget'!$AC$161</f>
        <v>251147290106.36197</v>
      </c>
      <c r="EF531" s="269">
        <f t="shared" si="1443"/>
        <v>336542803.02093893</v>
      </c>
      <c r="EG531" s="196">
        <f>'Detailed Budget'!$AC$163</f>
        <v>15696705631.647623</v>
      </c>
      <c r="EH531" s="269">
        <f t="shared" si="1444"/>
        <v>21033925.188808683</v>
      </c>
      <c r="EI531" s="269">
        <f t="shared" si="1371"/>
        <v>357576728.20974761</v>
      </c>
      <c r="EJ531" s="196">
        <f>'Detailed Budget'!$AC$204</f>
        <v>45012172507.531975</v>
      </c>
      <c r="EK531" s="269">
        <f t="shared" si="1445"/>
        <v>25303582.046335947</v>
      </c>
      <c r="EL531" s="201">
        <f>'Detailed Budget'!$AC$206</f>
        <v>11253043126.882994</v>
      </c>
      <c r="EM531" s="269">
        <f t="shared" si="1446"/>
        <v>6325895.5115839867</v>
      </c>
      <c r="EN531" s="269">
        <f t="shared" si="1372"/>
        <v>31629477.557919934</v>
      </c>
      <c r="EO531" s="140">
        <f>'Detailed Budget'!$AC$209</f>
        <v>135789361677.54817</v>
      </c>
      <c r="EP531" s="269">
        <f t="shared" si="1447"/>
        <v>212344833.86018351</v>
      </c>
      <c r="EQ531" s="196">
        <f>'Detailed Budget'!$AC$211</f>
        <v>33947340419.387043</v>
      </c>
      <c r="ER531" s="269">
        <f t="shared" si="1448"/>
        <v>53086208.465045877</v>
      </c>
      <c r="ES531" s="269">
        <f t="shared" si="1373"/>
        <v>265431042.32522938</v>
      </c>
      <c r="ET531" s="196">
        <f>'Detailed Budget'!$AC$214</f>
        <v>22239745544.201103</v>
      </c>
      <c r="EU531" s="269">
        <f t="shared" si="1449"/>
        <v>33775528.293363653</v>
      </c>
      <c r="EV531" s="140">
        <f>'Detailed Budget'!$AC$217</f>
        <v>5559936386.0502758</v>
      </c>
      <c r="EW531" s="269">
        <f t="shared" si="1450"/>
        <v>8443882.0733409133</v>
      </c>
      <c r="EX531" s="269">
        <f t="shared" si="1374"/>
        <v>42219410.366704568</v>
      </c>
      <c r="EY531" s="196">
        <f>'Detailed Budget'!$AC$219</f>
        <v>372777004.58170313</v>
      </c>
      <c r="EZ531" s="269">
        <f t="shared" si="1451"/>
        <v>592672.05389217427</v>
      </c>
      <c r="FA531" s="196">
        <f>'Detailed Budget'!$AC$222</f>
        <v>93194251.145425782</v>
      </c>
      <c r="FB531" s="269">
        <f t="shared" si="1452"/>
        <v>148168.01347304357</v>
      </c>
      <c r="FC531" s="269">
        <f t="shared" si="1375"/>
        <v>740840.06736521784</v>
      </c>
      <c r="FD531" s="269"/>
      <c r="FE531" s="269">
        <f t="shared" si="1376"/>
        <v>340020770.31721914</v>
      </c>
      <c r="FF531" s="140">
        <f>'Detailed Budget'!$AC$165</f>
        <v>14927760000</v>
      </c>
      <c r="FG531" s="1087">
        <f t="shared" si="1420"/>
        <v>463810837.99771971</v>
      </c>
      <c r="FH531" s="269">
        <f t="shared" si="1453"/>
        <v>18657579.820474949</v>
      </c>
      <c r="FJ531" s="140">
        <f>'Detailed Budget'!$AC$235</f>
        <v>3623696172</v>
      </c>
      <c r="FK531" s="269">
        <f t="shared" si="1454"/>
        <v>4681778</v>
      </c>
      <c r="FL531" s="269">
        <f t="shared" si="1421"/>
        <v>4681778</v>
      </c>
      <c r="FO531" s="607"/>
      <c r="FP531" s="607"/>
      <c r="FQ531" s="607"/>
      <c r="FR531" s="269">
        <f>'Detailed Budget'!$AC$257</f>
        <v>13636439388</v>
      </c>
      <c r="FS531" s="269">
        <f t="shared" si="1455"/>
        <v>15989376</v>
      </c>
      <c r="FT531" s="269">
        <f t="shared" si="1422"/>
        <v>15989376</v>
      </c>
      <c r="FU531" s="269"/>
      <c r="FV531" s="269"/>
      <c r="FW531" s="269"/>
      <c r="FX531" s="140">
        <f>'Detailed Budget'!$AC$278</f>
        <v>1114560000</v>
      </c>
      <c r="FY531" s="269">
        <f t="shared" si="1456"/>
        <v>1440000</v>
      </c>
      <c r="FZ531" s="269">
        <f t="shared" si="1423"/>
        <v>1440000</v>
      </c>
      <c r="GB531" s="269">
        <f t="shared" si="1431"/>
        <v>1492283777.5555224</v>
      </c>
      <c r="GC531" s="887">
        <f t="shared" si="1377"/>
        <v>932677.36097220157</v>
      </c>
      <c r="GD531" s="1078">
        <f t="shared" si="1432"/>
        <v>8.3736741826391731E-4</v>
      </c>
    </row>
    <row r="532" spans="1:186" hidden="1" outlineLevel="1">
      <c r="A532" s="211" t="s">
        <v>1181</v>
      </c>
      <c r="B532" s="212" t="s">
        <v>1182</v>
      </c>
      <c r="C532" s="213" t="s">
        <v>215</v>
      </c>
      <c r="D532" s="214"/>
      <c r="E532" s="213"/>
      <c r="F532" s="213"/>
      <c r="G532" s="213" t="s">
        <v>215</v>
      </c>
      <c r="H532" s="213" t="s">
        <v>215</v>
      </c>
      <c r="I532" s="214" t="s">
        <v>215</v>
      </c>
      <c r="J532" s="214"/>
      <c r="K532" s="213"/>
      <c r="L532" s="213"/>
      <c r="M532" s="214" t="s">
        <v>215</v>
      </c>
      <c r="N532" s="213"/>
      <c r="O532" s="214"/>
      <c r="P532" s="213"/>
      <c r="Q532" s="214" t="s">
        <v>215</v>
      </c>
      <c r="R532" s="214"/>
      <c r="S532" s="214"/>
      <c r="T532" s="214"/>
      <c r="U532" s="215">
        <f t="shared" si="1457"/>
        <v>6</v>
      </c>
      <c r="V532" s="845" t="s">
        <v>1073</v>
      </c>
      <c r="W532" s="216">
        <v>277119</v>
      </c>
      <c r="X532" s="217">
        <v>3</v>
      </c>
      <c r="Y532" s="218">
        <f t="shared" si="1312"/>
        <v>1.03</v>
      </c>
      <c r="Z532" s="196">
        <v>19</v>
      </c>
      <c r="AA532" s="218">
        <f t="shared" si="1313"/>
        <v>1.7535060530771003</v>
      </c>
      <c r="AB532" s="196">
        <f t="shared" si="1389"/>
        <v>485929.84392267297</v>
      </c>
      <c r="AC532">
        <v>11.8</v>
      </c>
      <c r="AD532" s="196">
        <f t="shared" si="1390"/>
        <v>57339.721582875412</v>
      </c>
      <c r="AE532" s="196">
        <f t="shared" si="1314"/>
        <v>54472.735503731637</v>
      </c>
      <c r="AF532" s="196">
        <f t="shared" si="1458"/>
        <v>0</v>
      </c>
      <c r="AG532" s="606">
        <f t="shared" si="1380"/>
        <v>2.5185801499028582E-3</v>
      </c>
      <c r="AH532" s="196">
        <f t="shared" si="1474"/>
        <v>24296.492196133651</v>
      </c>
      <c r="AI532" s="248">
        <f t="shared" si="1359"/>
        <v>1.8822124376530653E-3</v>
      </c>
      <c r="AJ532" s="196">
        <f t="shared" si="1360"/>
        <v>81636.213779009064</v>
      </c>
      <c r="AK532" s="196">
        <f t="shared" si="1391"/>
        <v>19437.19375690692</v>
      </c>
      <c r="AL532" s="196">
        <f t="shared" si="1392"/>
        <v>19437.19375690692</v>
      </c>
      <c r="AM532" s="196">
        <f t="shared" si="1361"/>
        <v>38874.387513813839</v>
      </c>
      <c r="AN532" s="627">
        <f t="shared" si="1362"/>
        <v>1.8822124376530651E-3</v>
      </c>
      <c r="AO532" s="196">
        <f t="shared" si="1363"/>
        <v>18465.334069061573</v>
      </c>
      <c r="AP532" s="589">
        <f t="shared" si="1381"/>
        <v>1.8822124376530651E-3</v>
      </c>
      <c r="AQ532" s="196"/>
      <c r="AR532" s="589"/>
      <c r="AS532">
        <v>1</v>
      </c>
      <c r="AT532" s="589">
        <f t="shared" si="1382"/>
        <v>1.2919896640826874E-3</v>
      </c>
      <c r="AU532" s="196">
        <v>12</v>
      </c>
      <c r="AV532" s="245">
        <f t="shared" si="1364"/>
        <v>1.3634814225656176E-3</v>
      </c>
      <c r="AX532" s="245"/>
      <c r="AY532" s="245"/>
      <c r="AZ532" s="196">
        <v>24</v>
      </c>
      <c r="BA532" s="589">
        <f t="shared" si="1425"/>
        <v>8.7941079476750578E-4</v>
      </c>
      <c r="BI532" s="196">
        <v>0</v>
      </c>
      <c r="BK532" s="246">
        <f t="shared" si="1426"/>
        <v>0</v>
      </c>
      <c r="BL532" s="246"/>
      <c r="BM532" s="246">
        <f t="shared" si="1427"/>
        <v>0</v>
      </c>
      <c r="BN532" s="196">
        <v>1</v>
      </c>
      <c r="BO532" s="196">
        <f t="shared" si="1459"/>
        <v>25637.836023547756</v>
      </c>
      <c r="BP532" s="196">
        <f t="shared" si="1365"/>
        <v>25637.836023547756</v>
      </c>
      <c r="BQ532" s="248">
        <f t="shared" si="1428"/>
        <v>2.3983001710614822E-3</v>
      </c>
      <c r="BR532" s="248"/>
      <c r="BS532" s="248"/>
      <c r="BT532" s="276">
        <v>0</v>
      </c>
      <c r="BU532" s="196">
        <f t="shared" si="1460"/>
        <v>0</v>
      </c>
      <c r="BV532" s="264">
        <f t="shared" si="1429"/>
        <v>0</v>
      </c>
      <c r="BW532" s="196">
        <f t="shared" si="1461"/>
        <v>0</v>
      </c>
      <c r="BX532" s="247">
        <f t="shared" si="1430"/>
        <v>0</v>
      </c>
      <c r="BY532" s="196">
        <f t="shared" si="1462"/>
        <v>0</v>
      </c>
      <c r="BZ532" s="620">
        <v>1</v>
      </c>
      <c r="CA532" s="196">
        <f t="shared" si="1463"/>
        <v>148694.53224033793</v>
      </c>
      <c r="CB532" s="196">
        <f t="shared" si="1464"/>
        <v>297389.06448067585</v>
      </c>
      <c r="CC532" s="196">
        <f t="shared" si="1378"/>
        <v>446083.59672101378</v>
      </c>
      <c r="CD532" s="247">
        <f t="shared" si="1366"/>
        <v>1.8822124376530649E-3</v>
      </c>
      <c r="CE532" s="196">
        <f t="shared" si="1465"/>
        <v>41323.770123073045</v>
      </c>
      <c r="CF532" s="247">
        <f t="shared" si="1367"/>
        <v>1.7844889085940972E-3</v>
      </c>
      <c r="CG532" s="196">
        <f t="shared" si="1434"/>
        <v>73861.336276246293</v>
      </c>
      <c r="CH532" s="589">
        <f t="shared" si="1383"/>
        <v>1.8822124376530651E-3</v>
      </c>
      <c r="CI532" s="196">
        <f t="shared" si="1466"/>
        <v>48029.394599820647</v>
      </c>
      <c r="CJ532" s="248">
        <f t="shared" si="1384"/>
        <v>7.8960312530632895E-4</v>
      </c>
      <c r="CK532" s="196">
        <f t="shared" si="1467"/>
        <v>152798.36701529889</v>
      </c>
      <c r="CL532" s="589">
        <f t="shared" si="1385"/>
        <v>2.1965079551281245E-3</v>
      </c>
      <c r="CM532" s="196">
        <f t="shared" si="1468"/>
        <v>14802.359030013708</v>
      </c>
      <c r="CN532" s="589">
        <f t="shared" si="1386"/>
        <v>2.1331881598699001E-3</v>
      </c>
      <c r="CO532" s="196">
        <f t="shared" si="1469"/>
        <v>1184.1751540807979</v>
      </c>
      <c r="CP532" s="589">
        <f t="shared" si="1387"/>
        <v>2.2331719440446831E-3</v>
      </c>
      <c r="CQ532" s="196">
        <f>'Detailed Budget'!$AC$12</f>
        <v>292876014141.44696</v>
      </c>
      <c r="CR532" s="269">
        <f t="shared" si="1393"/>
        <v>0</v>
      </c>
      <c r="CS532" s="269">
        <f>'Detailed Budget'!$AC$16</f>
        <v>10488008800.000002</v>
      </c>
      <c r="CT532" s="607">
        <f t="shared" si="1436"/>
        <v>0</v>
      </c>
      <c r="CU532" s="269">
        <f>'Detailed Budget'!$AC$24</f>
        <v>30624985696</v>
      </c>
      <c r="CV532" s="269">
        <f t="shared" si="1424"/>
        <v>0</v>
      </c>
      <c r="CW532" s="269"/>
      <c r="CX532" s="269">
        <f t="shared" si="1379"/>
        <v>0</v>
      </c>
      <c r="CY532" s="196">
        <f>'Detailed Budget'!$AC$97</f>
        <v>74629165494.837845</v>
      </c>
      <c r="CZ532" s="269">
        <f t="shared" si="1437"/>
        <v>178983140.37244526</v>
      </c>
      <c r="DA532" s="269">
        <f>'Detailed Budget'!$AC$100</f>
        <v>14925833098.967569</v>
      </c>
      <c r="DB532" s="269">
        <f t="shared" si="1438"/>
        <v>35796628.074489057</v>
      </c>
      <c r="DC532" s="269">
        <f t="shared" si="1368"/>
        <v>214779768.44693431</v>
      </c>
      <c r="DD532" s="207">
        <v>0</v>
      </c>
      <c r="DE532" s="606">
        <v>0</v>
      </c>
      <c r="DF532" s="269">
        <f>'Detailed Budget'!$AC$147</f>
        <v>5913600671000</v>
      </c>
      <c r="DG532" s="269">
        <f t="shared" si="1419"/>
        <v>0</v>
      </c>
      <c r="DH532" s="269">
        <f>'Detailed Budget'!$AC$153</f>
        <v>226428026880.00003</v>
      </c>
      <c r="DI532" s="269"/>
      <c r="DJ532" s="269">
        <f>'Detailed Budget'!$AC$156</f>
        <v>27713070000</v>
      </c>
      <c r="DK532" s="269"/>
      <c r="DL532" s="269"/>
      <c r="DM532" s="196">
        <f>'Detailed Budget'!$AC$178</f>
        <v>5622683761.6229038</v>
      </c>
      <c r="DN532" s="269">
        <f t="shared" si="1470"/>
        <v>0</v>
      </c>
      <c r="DO532" s="196">
        <f>'Detailed Budget'!$AC$179</f>
        <v>26827890683.128094</v>
      </c>
      <c r="DP532" s="269">
        <f t="shared" si="1471"/>
        <v>0</v>
      </c>
      <c r="DQ532" s="269">
        <f t="shared" si="1388"/>
        <v>0</v>
      </c>
      <c r="DR532" s="269">
        <f>'Detailed Budget'!$AC$181</f>
        <v>50888946855.375237</v>
      </c>
      <c r="DS532" s="269">
        <f t="shared" si="1472"/>
        <v>0</v>
      </c>
      <c r="DT532" s="269">
        <f t="shared" si="1473"/>
        <v>0</v>
      </c>
      <c r="DU532" s="272">
        <f>'Detailed Budget'!$AC$192</f>
        <v>77498869683.252869</v>
      </c>
      <c r="DV532" s="269">
        <f t="shared" si="1439"/>
        <v>145869336.42187259</v>
      </c>
      <c r="DW532" s="140">
        <f>'Detailed Budget'!$AC$194</f>
        <v>2684962805.4134097</v>
      </c>
      <c r="DX532" s="269">
        <f t="shared" si="1440"/>
        <v>5053670.3869849863</v>
      </c>
      <c r="DY532" s="607">
        <f t="shared" si="1369"/>
        <v>150923006.80885756</v>
      </c>
      <c r="DZ532" s="196">
        <f>'Detailed Budget'!$AC$198</f>
        <v>18732540018.380611</v>
      </c>
      <c r="EA532" s="269">
        <f t="shared" si="1441"/>
        <v>33428009.892595265</v>
      </c>
      <c r="EB532" s="196">
        <f>'Detailed Budget'!$AC$200</f>
        <v>4683135004.5951529</v>
      </c>
      <c r="EC532" s="269">
        <f t="shared" si="1442"/>
        <v>8357002.4731488163</v>
      </c>
      <c r="ED532" s="269">
        <f t="shared" si="1370"/>
        <v>41785012.365744084</v>
      </c>
      <c r="EE532" s="196">
        <f>'Detailed Budget'!$AC$161</f>
        <v>251147290106.36197</v>
      </c>
      <c r="EF532" s="269">
        <f t="shared" si="1443"/>
        <v>472712553.12105709</v>
      </c>
      <c r="EG532" s="196">
        <f>'Detailed Budget'!$AC$163</f>
        <v>15696705631.647623</v>
      </c>
      <c r="EH532" s="269">
        <f t="shared" si="1444"/>
        <v>29544534.570066068</v>
      </c>
      <c r="EI532" s="269">
        <f t="shared" si="1371"/>
        <v>502257087.69112319</v>
      </c>
      <c r="EJ532" s="196">
        <f>'Detailed Budget'!$AC$204</f>
        <v>45012172507.531975</v>
      </c>
      <c r="EK532" s="269">
        <f t="shared" si="1445"/>
        <v>35541752.088774867</v>
      </c>
      <c r="EL532" s="201">
        <f>'Detailed Budget'!$AC$206</f>
        <v>11253043126.882994</v>
      </c>
      <c r="EM532" s="269">
        <f t="shared" si="1446"/>
        <v>8885438.0221937168</v>
      </c>
      <c r="EN532" s="269">
        <f t="shared" si="1372"/>
        <v>44427190.110968582</v>
      </c>
      <c r="EO532" s="140">
        <f>'Detailed Budget'!$AC$209</f>
        <v>135789361677.54817</v>
      </c>
      <c r="EP532" s="269">
        <f t="shared" si="1447"/>
        <v>298262413.14650464</v>
      </c>
      <c r="EQ532" s="196">
        <f>'Detailed Budget'!$AC$211</f>
        <v>33947340419.387043</v>
      </c>
      <c r="ER532" s="269">
        <f t="shared" si="1448"/>
        <v>74565603.28662616</v>
      </c>
      <c r="ES532" s="269">
        <f t="shared" si="1373"/>
        <v>372828016.4331308</v>
      </c>
      <c r="ET532" s="196">
        <f>'Detailed Budget'!$AC$214</f>
        <v>22239745544.201103</v>
      </c>
      <c r="EU532" s="269">
        <f t="shared" si="1449"/>
        <v>47441561.873409159</v>
      </c>
      <c r="EV532" s="140">
        <f>'Detailed Budget'!$AC$217</f>
        <v>5559936386.0502758</v>
      </c>
      <c r="EW532" s="269">
        <f t="shared" si="1450"/>
        <v>11860390.46835229</v>
      </c>
      <c r="EX532" s="269">
        <f t="shared" si="1374"/>
        <v>59301952.341761447</v>
      </c>
      <c r="EY532" s="196">
        <f>'Detailed Budget'!$AC$219</f>
        <v>372777004.58170313</v>
      </c>
      <c r="EZ532" s="269">
        <f t="shared" si="1451"/>
        <v>832475.14801687573</v>
      </c>
      <c r="FA532" s="196">
        <f>'Detailed Budget'!$AC$222</f>
        <v>93194251.145425782</v>
      </c>
      <c r="FB532" s="269">
        <f t="shared" si="1452"/>
        <v>208118.78700421893</v>
      </c>
      <c r="FC532" s="269">
        <f t="shared" si="1375"/>
        <v>1040593.9350210946</v>
      </c>
      <c r="FD532" s="269"/>
      <c r="FE532" s="269">
        <f t="shared" si="1376"/>
        <v>477597752.82088196</v>
      </c>
      <c r="FF532" s="140">
        <f>'Detailed Budget'!$AC$165</f>
        <v>14927760000</v>
      </c>
      <c r="FG532" s="1087">
        <f t="shared" si="1420"/>
        <v>651474948.8833307</v>
      </c>
      <c r="FH532" s="269">
        <f t="shared" si="1453"/>
        <v>20353723.440518126</v>
      </c>
      <c r="FJ532" s="140">
        <f>'Detailed Budget'!$AC$235</f>
        <v>3623696172</v>
      </c>
      <c r="FK532" s="269">
        <f t="shared" si="1454"/>
        <v>4681778</v>
      </c>
      <c r="FL532" s="269">
        <f t="shared" si="1421"/>
        <v>4681778</v>
      </c>
      <c r="FO532" s="607"/>
      <c r="FP532" s="607"/>
      <c r="FQ532" s="607"/>
      <c r="FR532" s="269">
        <f>'Detailed Budget'!$AC$257</f>
        <v>13636439388</v>
      </c>
      <c r="FS532" s="269">
        <f t="shared" si="1455"/>
        <v>11992032</v>
      </c>
      <c r="FT532" s="269">
        <f t="shared" si="1422"/>
        <v>11992032</v>
      </c>
      <c r="FU532" s="269"/>
      <c r="FV532" s="269"/>
      <c r="FW532" s="269"/>
      <c r="FX532" s="140">
        <f>'Detailed Budget'!$AC$278</f>
        <v>1114560000</v>
      </c>
      <c r="FY532" s="269">
        <f t="shared" si="1456"/>
        <v>1440000</v>
      </c>
      <c r="FZ532" s="269">
        <f t="shared" si="1423"/>
        <v>1440000</v>
      </c>
      <c r="GB532" s="269">
        <f t="shared" si="1431"/>
        <v>2077285110.4573901</v>
      </c>
      <c r="GC532" s="887">
        <f t="shared" si="1377"/>
        <v>1298303.1940358689</v>
      </c>
      <c r="GD532" s="1078">
        <f t="shared" si="1432"/>
        <v>1.1656300873223574E-3</v>
      </c>
    </row>
    <row r="533" spans="1:186" hidden="1" outlineLevel="1">
      <c r="A533" s="211" t="s">
        <v>1183</v>
      </c>
      <c r="B533" s="212" t="s">
        <v>1184</v>
      </c>
      <c r="C533" s="213" t="s">
        <v>215</v>
      </c>
      <c r="D533" s="214"/>
      <c r="E533" s="213"/>
      <c r="F533" s="213"/>
      <c r="G533" s="213" t="s">
        <v>215</v>
      </c>
      <c r="H533" s="213" t="s">
        <v>215</v>
      </c>
      <c r="I533" s="214" t="s">
        <v>215</v>
      </c>
      <c r="J533" s="214"/>
      <c r="K533" s="213"/>
      <c r="L533" s="213"/>
      <c r="M533" s="214" t="s">
        <v>215</v>
      </c>
      <c r="N533" s="213"/>
      <c r="O533" s="214"/>
      <c r="P533" s="213"/>
      <c r="Q533" s="214" t="s">
        <v>215</v>
      </c>
      <c r="R533" s="214"/>
      <c r="S533" s="214"/>
      <c r="T533" s="214"/>
      <c r="U533" s="215">
        <f t="shared" si="1457"/>
        <v>6</v>
      </c>
      <c r="V533" s="845" t="s">
        <v>1073</v>
      </c>
      <c r="W533" s="216">
        <v>242140</v>
      </c>
      <c r="X533" s="217">
        <v>3</v>
      </c>
      <c r="Y533" s="218">
        <f t="shared" si="1312"/>
        <v>1.03</v>
      </c>
      <c r="Z533" s="196">
        <v>19</v>
      </c>
      <c r="AA533" s="218">
        <f t="shared" si="1313"/>
        <v>1.7535060530771003</v>
      </c>
      <c r="AB533" s="196">
        <f t="shared" si="1389"/>
        <v>424593.95569208905</v>
      </c>
      <c r="AC533">
        <v>11.8</v>
      </c>
      <c r="AD533" s="196">
        <f t="shared" si="1390"/>
        <v>50102.086771666509</v>
      </c>
      <c r="AE533" s="196">
        <f t="shared" si="1314"/>
        <v>47596.982433083183</v>
      </c>
      <c r="AF533" s="196">
        <f t="shared" si="1458"/>
        <v>0</v>
      </c>
      <c r="AG533" s="606">
        <f t="shared" si="1380"/>
        <v>2.2006755130376415E-3</v>
      </c>
      <c r="AH533" s="196">
        <f t="shared" si="1474"/>
        <v>21229.697784604454</v>
      </c>
      <c r="AI533" s="248">
        <f t="shared" si="1359"/>
        <v>1.6446325212392985E-3</v>
      </c>
      <c r="AJ533" s="196">
        <f t="shared" si="1360"/>
        <v>71331.784556270955</v>
      </c>
      <c r="AK533" s="196">
        <f t="shared" si="1391"/>
        <v>16983.758227683564</v>
      </c>
      <c r="AL533" s="196">
        <f t="shared" si="1392"/>
        <v>16983.758227683564</v>
      </c>
      <c r="AM533" s="196">
        <f t="shared" si="1361"/>
        <v>33967.516455367127</v>
      </c>
      <c r="AN533" s="627">
        <f t="shared" si="1362"/>
        <v>1.6446325212392985E-3</v>
      </c>
      <c r="AO533" s="196">
        <f t="shared" si="1363"/>
        <v>16134.570316299383</v>
      </c>
      <c r="AP533" s="589">
        <f t="shared" si="1381"/>
        <v>1.6446325212392983E-3</v>
      </c>
      <c r="AQ533" s="196"/>
      <c r="AR533" s="589"/>
      <c r="AS533">
        <v>1</v>
      </c>
      <c r="AT533" s="589">
        <f t="shared" si="1382"/>
        <v>1.2919896640826874E-3</v>
      </c>
      <c r="AU533" s="196">
        <v>13</v>
      </c>
      <c r="AV533" s="245">
        <f t="shared" si="1364"/>
        <v>1.4771048744460858E-3</v>
      </c>
      <c r="AX533" s="245"/>
      <c r="AY533" s="245"/>
      <c r="AZ533" s="196">
        <v>22</v>
      </c>
      <c r="BA533" s="589">
        <f t="shared" si="1425"/>
        <v>8.0612656187021366E-4</v>
      </c>
      <c r="BI533" s="196">
        <v>0</v>
      </c>
      <c r="BK533" s="246">
        <f t="shared" si="1426"/>
        <v>0</v>
      </c>
      <c r="BL533" s="246"/>
      <c r="BM533" s="246">
        <f t="shared" si="1427"/>
        <v>0</v>
      </c>
      <c r="BN533" s="196">
        <v>1</v>
      </c>
      <c r="BO533" s="196">
        <f t="shared" si="1459"/>
        <v>22401.732161063846</v>
      </c>
      <c r="BP533" s="196">
        <f t="shared" si="1365"/>
        <v>22401.732161063846</v>
      </c>
      <c r="BQ533" s="248">
        <f t="shared" si="1428"/>
        <v>2.0955777244462742E-3</v>
      </c>
      <c r="BR533" s="248"/>
      <c r="BS533" s="248"/>
      <c r="BT533" s="276">
        <v>0</v>
      </c>
      <c r="BU533" s="196">
        <f t="shared" si="1460"/>
        <v>0</v>
      </c>
      <c r="BV533" s="264">
        <f t="shared" si="1429"/>
        <v>0</v>
      </c>
      <c r="BW533" s="196">
        <f t="shared" si="1461"/>
        <v>0</v>
      </c>
      <c r="BX533" s="247">
        <f t="shared" si="1430"/>
        <v>0</v>
      </c>
      <c r="BY533" s="196">
        <f t="shared" si="1462"/>
        <v>0</v>
      </c>
      <c r="BZ533" s="620">
        <v>1</v>
      </c>
      <c r="CA533" s="196">
        <f t="shared" si="1463"/>
        <v>129925.75044177927</v>
      </c>
      <c r="CB533" s="196">
        <f t="shared" si="1464"/>
        <v>259851.50088355853</v>
      </c>
      <c r="CC533" s="196">
        <f t="shared" si="1378"/>
        <v>389777.2513253378</v>
      </c>
      <c r="CD533" s="247">
        <f t="shared" si="1366"/>
        <v>1.6446325212392987E-3</v>
      </c>
      <c r="CE533" s="196">
        <f t="shared" si="1465"/>
        <v>36107.728800987687</v>
      </c>
      <c r="CF533" s="247">
        <f t="shared" si="1367"/>
        <v>1.5592440227013473E-3</v>
      </c>
      <c r="CG533" s="196">
        <f t="shared" si="1434"/>
        <v>64538.281265197533</v>
      </c>
      <c r="CH533" s="589">
        <f t="shared" si="1383"/>
        <v>1.6446325212392983E-3</v>
      </c>
      <c r="CI533" s="196">
        <f t="shared" si="1466"/>
        <v>41966.944195095144</v>
      </c>
      <c r="CJ533" s="248">
        <f t="shared" si="1384"/>
        <v>6.8993645604117535E-4</v>
      </c>
      <c r="CK533" s="196">
        <f t="shared" si="1467"/>
        <v>133511.58379282715</v>
      </c>
      <c r="CL533" s="589">
        <f t="shared" si="1385"/>
        <v>1.9192564791830368E-3</v>
      </c>
      <c r="CM533" s="196">
        <f t="shared" si="1468"/>
        <v>12933.9497310813</v>
      </c>
      <c r="CN533" s="589">
        <f t="shared" si="1386"/>
        <v>1.8639291460740607E-3</v>
      </c>
      <c r="CO533" s="196">
        <f t="shared" si="1469"/>
        <v>1034.7041228105052</v>
      </c>
      <c r="CP533" s="589">
        <f t="shared" si="1387"/>
        <v>1.9512926018460644E-3</v>
      </c>
      <c r="CQ533" s="196">
        <f>'Detailed Budget'!$AC$12</f>
        <v>292876014141.44696</v>
      </c>
      <c r="CR533" s="269">
        <f t="shared" si="1393"/>
        <v>0</v>
      </c>
      <c r="CS533" s="269">
        <f>'Detailed Budget'!$AC$16</f>
        <v>10488008800.000002</v>
      </c>
      <c r="CT533" s="607">
        <f t="shared" si="1436"/>
        <v>0</v>
      </c>
      <c r="CU533" s="269">
        <f>'Detailed Budget'!$AC$24</f>
        <v>30624985696</v>
      </c>
      <c r="CV533" s="269">
        <f t="shared" si="1424"/>
        <v>0</v>
      </c>
      <c r="CW533" s="269"/>
      <c r="CX533" s="269">
        <f t="shared" si="1379"/>
        <v>0</v>
      </c>
      <c r="CY533" s="196">
        <f>'Detailed Budget'!$AC$97</f>
        <v>74629165494.837845</v>
      </c>
      <c r="CZ533" s="269">
        <f t="shared" si="1437"/>
        <v>156391216.8049967</v>
      </c>
      <c r="DA533" s="269">
        <f>'Detailed Budget'!$AC$100</f>
        <v>14925833098.967569</v>
      </c>
      <c r="DB533" s="269">
        <f t="shared" si="1438"/>
        <v>31278243.360999338</v>
      </c>
      <c r="DC533" s="269">
        <f t="shared" si="1368"/>
        <v>187669460.16599604</v>
      </c>
      <c r="DD533" s="207">
        <v>0</v>
      </c>
      <c r="DE533" s="606">
        <v>0</v>
      </c>
      <c r="DF533" s="269">
        <f>'Detailed Budget'!$AC$147</f>
        <v>5913600671000</v>
      </c>
      <c r="DG533" s="269">
        <f t="shared" si="1419"/>
        <v>0</v>
      </c>
      <c r="DH533" s="269">
        <f>'Detailed Budget'!$AC$153</f>
        <v>226428026880.00003</v>
      </c>
      <c r="DI533" s="269"/>
      <c r="DJ533" s="269">
        <f>'Detailed Budget'!$AC$156</f>
        <v>27713070000</v>
      </c>
      <c r="DK533" s="269"/>
      <c r="DL533" s="269"/>
      <c r="DM533" s="196">
        <f>'Detailed Budget'!$AC$178</f>
        <v>5622683761.6229038</v>
      </c>
      <c r="DN533" s="269">
        <f t="shared" si="1470"/>
        <v>0</v>
      </c>
      <c r="DO533" s="196">
        <f>'Detailed Budget'!$AC$179</f>
        <v>26827890683.128094</v>
      </c>
      <c r="DP533" s="269">
        <f t="shared" si="1471"/>
        <v>0</v>
      </c>
      <c r="DQ533" s="269">
        <f t="shared" si="1388"/>
        <v>0</v>
      </c>
      <c r="DR533" s="269">
        <f>'Detailed Budget'!$AC$181</f>
        <v>50888946855.375237</v>
      </c>
      <c r="DS533" s="269">
        <f t="shared" si="1472"/>
        <v>0</v>
      </c>
      <c r="DT533" s="269">
        <f t="shared" si="1473"/>
        <v>0</v>
      </c>
      <c r="DU533" s="272">
        <f>'Detailed Budget'!$AC$192</f>
        <v>77498869683.252869</v>
      </c>
      <c r="DV533" s="269">
        <f t="shared" si="1439"/>
        <v>127457161.44036402</v>
      </c>
      <c r="DW533" s="140">
        <f>'Detailed Budget'!$AC$194</f>
        <v>2684962805.4134097</v>
      </c>
      <c r="DX533" s="269">
        <f t="shared" si="1440"/>
        <v>4415777.1481007962</v>
      </c>
      <c r="DY533" s="607">
        <f t="shared" si="1369"/>
        <v>131872938.58846481</v>
      </c>
      <c r="DZ533" s="196">
        <f>'Detailed Budget'!$AC$198</f>
        <v>18732540018.380611</v>
      </c>
      <c r="EA533" s="269">
        <f t="shared" si="1441"/>
        <v>29208601.053673755</v>
      </c>
      <c r="EB533" s="196">
        <f>'Detailed Budget'!$AC$200</f>
        <v>4683135004.5951529</v>
      </c>
      <c r="EC533" s="269">
        <f t="shared" si="1442"/>
        <v>7302150.2634184388</v>
      </c>
      <c r="ED533" s="269">
        <f t="shared" si="1370"/>
        <v>36510751.317092195</v>
      </c>
      <c r="EE533" s="196">
        <f>'Detailed Budget'!$AC$161</f>
        <v>251147290106.36197</v>
      </c>
      <c r="EF533" s="269">
        <f t="shared" si="1443"/>
        <v>413045000.93004358</v>
      </c>
      <c r="EG533" s="196">
        <f>'Detailed Budget'!$AC$163</f>
        <v>15696705631.647623</v>
      </c>
      <c r="EH533" s="269">
        <f t="shared" si="1444"/>
        <v>25815312.558127724</v>
      </c>
      <c r="EI533" s="269">
        <f t="shared" si="1371"/>
        <v>438860313.48817128</v>
      </c>
      <c r="EJ533" s="196">
        <f>'Detailed Budget'!$AC$204</f>
        <v>45012172507.531975</v>
      </c>
      <c r="EK533" s="269">
        <f t="shared" si="1445"/>
        <v>31055538.778560635</v>
      </c>
      <c r="EL533" s="201">
        <f>'Detailed Budget'!$AC$206</f>
        <v>11253043126.882994</v>
      </c>
      <c r="EM533" s="269">
        <f t="shared" si="1446"/>
        <v>7763884.6946401587</v>
      </c>
      <c r="EN533" s="269">
        <f t="shared" si="1372"/>
        <v>38819423.473200791</v>
      </c>
      <c r="EO533" s="140">
        <f>'Detailed Budget'!$AC$209</f>
        <v>135789361677.54817</v>
      </c>
      <c r="EP533" s="269">
        <f t="shared" si="1447"/>
        <v>260614612.2037631</v>
      </c>
      <c r="EQ533" s="196">
        <f>'Detailed Budget'!$AC$211</f>
        <v>33947340419.387043</v>
      </c>
      <c r="ER533" s="269">
        <f t="shared" si="1448"/>
        <v>65153653.050940774</v>
      </c>
      <c r="ES533" s="269">
        <f t="shared" si="1373"/>
        <v>325768265.25470388</v>
      </c>
      <c r="ET533" s="196">
        <f>'Detailed Budget'!$AC$214</f>
        <v>22239745544.201103</v>
      </c>
      <c r="EU533" s="269">
        <f t="shared" si="1449"/>
        <v>41453309.921107158</v>
      </c>
      <c r="EV533" s="140">
        <f>'Detailed Budget'!$AC$217</f>
        <v>5559936386.0502758</v>
      </c>
      <c r="EW533" s="269">
        <f t="shared" si="1450"/>
        <v>10363327.48027679</v>
      </c>
      <c r="EX533" s="269">
        <f t="shared" si="1374"/>
        <v>51816637.401383951</v>
      </c>
      <c r="EY533" s="196">
        <f>'Detailed Budget'!$AC$219</f>
        <v>372777004.58170313</v>
      </c>
      <c r="EZ533" s="269">
        <f t="shared" si="1451"/>
        <v>727397.01117861376</v>
      </c>
      <c r="FA533" s="196">
        <f>'Detailed Budget'!$AC$222</f>
        <v>93194251.145425782</v>
      </c>
      <c r="FB533" s="269">
        <f t="shared" si="1452"/>
        <v>181849.25279465344</v>
      </c>
      <c r="FC533" s="269">
        <f t="shared" si="1375"/>
        <v>909246.26397326717</v>
      </c>
      <c r="FD533" s="269"/>
      <c r="FE533" s="269">
        <f t="shared" si="1376"/>
        <v>417313572.39326191</v>
      </c>
      <c r="FF533" s="140">
        <f>'Detailed Budget'!$AC$165</f>
        <v>14927760000</v>
      </c>
      <c r="FG533" s="1087">
        <f t="shared" si="1420"/>
        <v>569243336.33785367</v>
      </c>
      <c r="FH533" s="269">
        <f t="shared" si="1453"/>
        <v>22049867.060561303</v>
      </c>
      <c r="FJ533" s="140">
        <f>'Detailed Budget'!$AC$235</f>
        <v>3623696172</v>
      </c>
      <c r="FK533" s="269">
        <f t="shared" si="1454"/>
        <v>4681778</v>
      </c>
      <c r="FL533" s="269">
        <f t="shared" si="1421"/>
        <v>4681778</v>
      </c>
      <c r="FO533" s="607"/>
      <c r="FP533" s="607"/>
      <c r="FQ533" s="607"/>
      <c r="FR533" s="269">
        <f>'Detailed Budget'!$AC$257</f>
        <v>13636439388</v>
      </c>
      <c r="FS533" s="269">
        <f t="shared" si="1455"/>
        <v>10992696</v>
      </c>
      <c r="FT533" s="269">
        <f t="shared" si="1422"/>
        <v>10992696</v>
      </c>
      <c r="FU533" s="269"/>
      <c r="FV533" s="269"/>
      <c r="FW533" s="269"/>
      <c r="FX533" s="140">
        <f>'Detailed Budget'!$AC$278</f>
        <v>1114560000</v>
      </c>
      <c r="FY533" s="269">
        <f t="shared" si="1456"/>
        <v>1440000</v>
      </c>
      <c r="FZ533" s="269">
        <f t="shared" si="1423"/>
        <v>1440000</v>
      </c>
      <c r="GB533" s="269">
        <f t="shared" si="1431"/>
        <v>1820634713.3514013</v>
      </c>
      <c r="GC533" s="887">
        <f t="shared" si="1377"/>
        <v>1137896.6958446258</v>
      </c>
      <c r="GD533" s="1078">
        <f t="shared" si="1432"/>
        <v>1.0216154678154086E-3</v>
      </c>
    </row>
    <row r="534" spans="1:186" hidden="1" outlineLevel="1">
      <c r="A534" s="211" t="s">
        <v>1185</v>
      </c>
      <c r="B534" s="212" t="s">
        <v>1186</v>
      </c>
      <c r="C534" s="213" t="s">
        <v>215</v>
      </c>
      <c r="D534" s="214"/>
      <c r="E534" s="213"/>
      <c r="F534" s="213"/>
      <c r="G534" s="213" t="s">
        <v>215</v>
      </c>
      <c r="H534" s="213" t="s">
        <v>215</v>
      </c>
      <c r="I534" s="214" t="s">
        <v>215</v>
      </c>
      <c r="J534" s="214"/>
      <c r="K534" s="213"/>
      <c r="L534" s="213"/>
      <c r="M534" s="214" t="s">
        <v>215</v>
      </c>
      <c r="N534" s="213"/>
      <c r="O534" s="214"/>
      <c r="P534" s="213"/>
      <c r="Q534" s="214" t="s">
        <v>215</v>
      </c>
      <c r="R534" s="214"/>
      <c r="S534" s="214"/>
      <c r="T534" s="214"/>
      <c r="U534" s="215">
        <f t="shared" si="1457"/>
        <v>6</v>
      </c>
      <c r="V534" s="845" t="s">
        <v>1073</v>
      </c>
      <c r="W534" s="216">
        <v>198032</v>
      </c>
      <c r="X534" s="217">
        <v>3</v>
      </c>
      <c r="Y534" s="218">
        <f t="shared" si="1312"/>
        <v>1.03</v>
      </c>
      <c r="Z534" s="196">
        <v>19</v>
      </c>
      <c r="AA534" s="218">
        <f t="shared" si="1313"/>
        <v>1.7535060530771003</v>
      </c>
      <c r="AB534" s="196">
        <f t="shared" si="1389"/>
        <v>347250.31070296431</v>
      </c>
      <c r="AC534">
        <v>11.8</v>
      </c>
      <c r="AD534" s="196">
        <f t="shared" si="1390"/>
        <v>40975.536662949788</v>
      </c>
      <c r="AE534" s="196">
        <f t="shared" si="1314"/>
        <v>38926.759829802293</v>
      </c>
      <c r="AF534" s="196">
        <f t="shared" si="1458"/>
        <v>0</v>
      </c>
      <c r="AG534" s="606">
        <f t="shared" si="1380"/>
        <v>1.7998024828523587E-3</v>
      </c>
      <c r="AH534" s="196">
        <f t="shared" si="1474"/>
        <v>17362.515535148217</v>
      </c>
      <c r="AI534" s="248">
        <f t="shared" si="1359"/>
        <v>1.3450477717273509E-3</v>
      </c>
      <c r="AJ534" s="196">
        <f t="shared" si="1360"/>
        <v>58338.052198098005</v>
      </c>
      <c r="AK534" s="196">
        <f t="shared" si="1391"/>
        <v>13890.012428118573</v>
      </c>
      <c r="AL534" s="196">
        <f t="shared" si="1392"/>
        <v>13890.012428118573</v>
      </c>
      <c r="AM534" s="196">
        <f t="shared" si="1361"/>
        <v>27780.024856237145</v>
      </c>
      <c r="AN534" s="627">
        <f t="shared" si="1362"/>
        <v>1.3450477717273509E-3</v>
      </c>
      <c r="AO534" s="196">
        <f t="shared" si="1363"/>
        <v>13195.511806712644</v>
      </c>
      <c r="AP534" s="589">
        <f t="shared" si="1381"/>
        <v>1.3450477717273509E-3</v>
      </c>
      <c r="AQ534" s="196"/>
      <c r="AR534" s="589"/>
      <c r="AS534">
        <v>1</v>
      </c>
      <c r="AT534" s="589">
        <f t="shared" si="1382"/>
        <v>1.2919896640826874E-3</v>
      </c>
      <c r="AU534" s="196">
        <v>13</v>
      </c>
      <c r="AV534" s="245">
        <f t="shared" si="1364"/>
        <v>1.4771048744460858E-3</v>
      </c>
      <c r="AX534" s="245"/>
      <c r="AY534" s="245"/>
      <c r="AZ534" s="196">
        <v>14</v>
      </c>
      <c r="BA534" s="589">
        <f t="shared" si="1425"/>
        <v>5.1298963028104507E-4</v>
      </c>
      <c r="BI534" s="196">
        <v>0</v>
      </c>
      <c r="BK534" s="246">
        <f t="shared" si="1426"/>
        <v>0</v>
      </c>
      <c r="BL534" s="246"/>
      <c r="BM534" s="246">
        <f t="shared" si="1427"/>
        <v>0</v>
      </c>
      <c r="BN534" s="196">
        <v>1</v>
      </c>
      <c r="BO534" s="196">
        <f t="shared" si="1459"/>
        <v>18321.053206078286</v>
      </c>
      <c r="BP534" s="196">
        <f t="shared" si="1365"/>
        <v>18321.053206078286</v>
      </c>
      <c r="BQ534" s="248">
        <f t="shared" si="1428"/>
        <v>1.713849210900903E-3</v>
      </c>
      <c r="BR534" s="248"/>
      <c r="BS534" s="248"/>
      <c r="BT534" s="276">
        <v>0</v>
      </c>
      <c r="BU534" s="196">
        <f t="shared" si="1460"/>
        <v>0</v>
      </c>
      <c r="BV534" s="264">
        <f t="shared" si="1429"/>
        <v>0</v>
      </c>
      <c r="BW534" s="196">
        <f t="shared" si="1461"/>
        <v>0</v>
      </c>
      <c r="BX534" s="247">
        <f t="shared" si="1430"/>
        <v>0</v>
      </c>
      <c r="BY534" s="196">
        <f t="shared" si="1462"/>
        <v>0</v>
      </c>
      <c r="BZ534" s="620">
        <v>1</v>
      </c>
      <c r="CA534" s="196">
        <f t="shared" si="1463"/>
        <v>106258.59507510708</v>
      </c>
      <c r="CB534" s="196">
        <f t="shared" si="1464"/>
        <v>212517.19015021416</v>
      </c>
      <c r="CC534" s="196">
        <f t="shared" si="1378"/>
        <v>318775.78522532125</v>
      </c>
      <c r="CD534" s="247">
        <f t="shared" si="1366"/>
        <v>1.3450477717273509E-3</v>
      </c>
      <c r="CE534" s="196">
        <f t="shared" si="1465"/>
        <v>29530.378086715096</v>
      </c>
      <c r="CF534" s="247">
        <f t="shared" si="1367"/>
        <v>1.2752135636557083E-3</v>
      </c>
      <c r="CG534" s="196">
        <f t="shared" si="1434"/>
        <v>52782.047226850576</v>
      </c>
      <c r="CH534" s="589">
        <f t="shared" si="1383"/>
        <v>1.3450477717273509E-3</v>
      </c>
      <c r="CI534" s="196">
        <f t="shared" si="1466"/>
        <v>34322.284186186014</v>
      </c>
      <c r="CJ534" s="248">
        <f t="shared" si="1384"/>
        <v>5.6425826489942194E-4</v>
      </c>
      <c r="CK534" s="196">
        <f t="shared" si="1467"/>
        <v>109191.23631643323</v>
      </c>
      <c r="CL534" s="589">
        <f t="shared" si="1385"/>
        <v>1.5696464817278233E-3</v>
      </c>
      <c r="CM534" s="196">
        <f t="shared" si="1468"/>
        <v>10577.913327601767</v>
      </c>
      <c r="CN534" s="589">
        <f t="shared" si="1386"/>
        <v>1.5243975248011E-3</v>
      </c>
      <c r="CO534" s="196">
        <f t="shared" si="1469"/>
        <v>846.22337015119319</v>
      </c>
      <c r="CP534" s="589">
        <f t="shared" si="1387"/>
        <v>1.5958469337109926E-3</v>
      </c>
      <c r="CQ534" s="196">
        <f>'Detailed Budget'!$AC$12</f>
        <v>292876014141.44696</v>
      </c>
      <c r="CR534" s="269">
        <f t="shared" si="1393"/>
        <v>0</v>
      </c>
      <c r="CS534" s="269">
        <f>'Detailed Budget'!$AC$16</f>
        <v>10488008800.000002</v>
      </c>
      <c r="CT534" s="607">
        <f t="shared" si="1436"/>
        <v>0</v>
      </c>
      <c r="CU534" s="269">
        <f>'Detailed Budget'!$AC$24</f>
        <v>30624985696</v>
      </c>
      <c r="CV534" s="269">
        <f t="shared" si="1424"/>
        <v>0</v>
      </c>
      <c r="CW534" s="269"/>
      <c r="CX534" s="269">
        <f t="shared" si="1379"/>
        <v>0</v>
      </c>
      <c r="CY534" s="196">
        <f>'Detailed Budget'!$AC$97</f>
        <v>74629165494.837845</v>
      </c>
      <c r="CZ534" s="269">
        <f t="shared" si="1437"/>
        <v>127903136.39352074</v>
      </c>
      <c r="DA534" s="269">
        <f>'Detailed Budget'!$AC$100</f>
        <v>14925833098.967569</v>
      </c>
      <c r="DB534" s="269">
        <f t="shared" si="1438"/>
        <v>25580627.278704148</v>
      </c>
      <c r="DC534" s="269">
        <f t="shared" si="1368"/>
        <v>153483763.67222488</v>
      </c>
      <c r="DD534" s="207">
        <v>0</v>
      </c>
      <c r="DE534" s="606">
        <v>0</v>
      </c>
      <c r="DF534" s="269">
        <f>'Detailed Budget'!$AC$147</f>
        <v>5913600671000</v>
      </c>
      <c r="DG534" s="269">
        <f t="shared" si="1419"/>
        <v>0</v>
      </c>
      <c r="DH534" s="269">
        <f>'Detailed Budget'!$AC$153</f>
        <v>226428026880.00003</v>
      </c>
      <c r="DI534" s="269"/>
      <c r="DJ534" s="269">
        <f>'Detailed Budget'!$AC$156</f>
        <v>27713070000</v>
      </c>
      <c r="DK534" s="269"/>
      <c r="DL534" s="269"/>
      <c r="DM534" s="196">
        <f>'Detailed Budget'!$AC$178</f>
        <v>5622683761.6229038</v>
      </c>
      <c r="DN534" s="269">
        <f t="shared" si="1470"/>
        <v>0</v>
      </c>
      <c r="DO534" s="196">
        <f>'Detailed Budget'!$AC$179</f>
        <v>26827890683.128094</v>
      </c>
      <c r="DP534" s="269">
        <f t="shared" si="1471"/>
        <v>0</v>
      </c>
      <c r="DQ534" s="269">
        <f t="shared" si="1388"/>
        <v>0</v>
      </c>
      <c r="DR534" s="269">
        <f>'Detailed Budget'!$AC$181</f>
        <v>50888946855.375237</v>
      </c>
      <c r="DS534" s="269">
        <f t="shared" si="1472"/>
        <v>0</v>
      </c>
      <c r="DT534" s="269">
        <f t="shared" si="1473"/>
        <v>0</v>
      </c>
      <c r="DU534" s="272">
        <f>'Detailed Budget'!$AC$192</f>
        <v>77498869683.252869</v>
      </c>
      <c r="DV534" s="269">
        <f t="shared" si="1439"/>
        <v>104239681.97884762</v>
      </c>
      <c r="DW534" s="140">
        <f>'Detailed Budget'!$AC$194</f>
        <v>2684962805.4134097</v>
      </c>
      <c r="DX534" s="269">
        <f t="shared" si="1440"/>
        <v>3611403.2385921236</v>
      </c>
      <c r="DY534" s="607">
        <f t="shared" si="1369"/>
        <v>107851085.21743974</v>
      </c>
      <c r="DZ534" s="196">
        <f>'Detailed Budget'!$AC$198</f>
        <v>18732540018.380611</v>
      </c>
      <c r="EA534" s="269">
        <f t="shared" si="1441"/>
        <v>23887989.113162309</v>
      </c>
      <c r="EB534" s="196">
        <f>'Detailed Budget'!$AC$200</f>
        <v>4683135004.5951529</v>
      </c>
      <c r="EC534" s="269">
        <f t="shared" si="1442"/>
        <v>5971997.2782905772</v>
      </c>
      <c r="ED534" s="269">
        <f t="shared" si="1370"/>
        <v>29859986.391452886</v>
      </c>
      <c r="EE534" s="196">
        <f>'Detailed Budget'!$AC$161</f>
        <v>251147290106.36197</v>
      </c>
      <c r="EF534" s="269">
        <f t="shared" si="1443"/>
        <v>337805102.93292475</v>
      </c>
      <c r="EG534" s="196">
        <f>'Detailed Budget'!$AC$163</f>
        <v>15696705631.647623</v>
      </c>
      <c r="EH534" s="269">
        <f t="shared" si="1444"/>
        <v>21112818.933307797</v>
      </c>
      <c r="EI534" s="269">
        <f t="shared" si="1371"/>
        <v>358917921.86623251</v>
      </c>
      <c r="EJ534" s="196">
        <f>'Detailed Budget'!$AC$204</f>
        <v>45012172507.531975</v>
      </c>
      <c r="EK534" s="269">
        <f t="shared" si="1445"/>
        <v>25398490.358453456</v>
      </c>
      <c r="EL534" s="201">
        <f>'Detailed Budget'!$AC$206</f>
        <v>11253043126.882994</v>
      </c>
      <c r="EM534" s="269">
        <f t="shared" si="1446"/>
        <v>6349622.5896133641</v>
      </c>
      <c r="EN534" s="269">
        <f t="shared" si="1372"/>
        <v>31748112.948066819</v>
      </c>
      <c r="EO534" s="140">
        <f>'Detailed Budget'!$AC$209</f>
        <v>135789361677.54817</v>
      </c>
      <c r="EP534" s="269">
        <f t="shared" si="1447"/>
        <v>213141293.8132304</v>
      </c>
      <c r="EQ534" s="196">
        <f>'Detailed Budget'!$AC$211</f>
        <v>33947340419.387043</v>
      </c>
      <c r="ER534" s="269">
        <f t="shared" si="1448"/>
        <v>53285323.453307599</v>
      </c>
      <c r="ES534" s="269">
        <f t="shared" si="1373"/>
        <v>266426617.26653799</v>
      </c>
      <c r="ET534" s="196">
        <f>'Detailed Budget'!$AC$214</f>
        <v>22239745544.201103</v>
      </c>
      <c r="EU534" s="269">
        <f t="shared" si="1449"/>
        <v>33902213.059786454</v>
      </c>
      <c r="EV534" s="140">
        <f>'Detailed Budget'!$AC$217</f>
        <v>5559936386.0502758</v>
      </c>
      <c r="EW534" s="269">
        <f t="shared" si="1450"/>
        <v>8475553.2649466135</v>
      </c>
      <c r="EX534" s="269">
        <f t="shared" si="1374"/>
        <v>42377766.324733064</v>
      </c>
      <c r="EY534" s="196">
        <f>'Detailed Budget'!$AC$219</f>
        <v>372777004.58170313</v>
      </c>
      <c r="EZ534" s="269">
        <f t="shared" si="1451"/>
        <v>594895.03971967951</v>
      </c>
      <c r="FA534" s="196">
        <f>'Detailed Budget'!$AC$222</f>
        <v>93194251.145425782</v>
      </c>
      <c r="FB534" s="269">
        <f t="shared" si="1452"/>
        <v>148723.75992991988</v>
      </c>
      <c r="FC534" s="269">
        <f t="shared" si="1375"/>
        <v>743618.79964959936</v>
      </c>
      <c r="FD534" s="269"/>
      <c r="FE534" s="269">
        <f t="shared" si="1376"/>
        <v>341296115.33898747</v>
      </c>
      <c r="FF534" s="140">
        <f>'Detailed Budget'!$AC$165</f>
        <v>14927760000</v>
      </c>
      <c r="FG534" s="1087">
        <f t="shared" si="1420"/>
        <v>465550493.02741319</v>
      </c>
      <c r="FH534" s="269">
        <f t="shared" si="1453"/>
        <v>22049867.060561303</v>
      </c>
      <c r="FJ534" s="140">
        <f>'Detailed Budget'!$AC$235</f>
        <v>3623696172</v>
      </c>
      <c r="FK534" s="269">
        <f t="shared" si="1454"/>
        <v>4681778</v>
      </c>
      <c r="FL534" s="269">
        <f t="shared" si="1421"/>
        <v>4681778</v>
      </c>
      <c r="FO534" s="607"/>
      <c r="FP534" s="607"/>
      <c r="FQ534" s="607"/>
      <c r="FR534" s="269">
        <f>'Detailed Budget'!$AC$257</f>
        <v>13636439388</v>
      </c>
      <c r="FS534" s="269">
        <f t="shared" si="1455"/>
        <v>6995352</v>
      </c>
      <c r="FT534" s="269">
        <f t="shared" si="1422"/>
        <v>6995352</v>
      </c>
      <c r="FU534" s="269"/>
      <c r="FV534" s="269"/>
      <c r="FW534" s="269"/>
      <c r="FX534" s="140">
        <f>'Detailed Budget'!$AC$278</f>
        <v>1114560000</v>
      </c>
      <c r="FY534" s="269">
        <f t="shared" si="1456"/>
        <v>1440000</v>
      </c>
      <c r="FZ534" s="269">
        <f t="shared" si="1423"/>
        <v>1440000</v>
      </c>
      <c r="GB534" s="269">
        <f t="shared" si="1431"/>
        <v>1492126362.5743122</v>
      </c>
      <c r="GC534" s="887">
        <f t="shared" si="1377"/>
        <v>932578.97660894517</v>
      </c>
      <c r="GD534" s="1078">
        <f t="shared" si="1432"/>
        <v>8.3727908776110374E-4</v>
      </c>
    </row>
    <row r="535" spans="1:186" hidden="1" outlineLevel="1">
      <c r="A535" s="211" t="s">
        <v>1187</v>
      </c>
      <c r="B535" s="212" t="s">
        <v>1188</v>
      </c>
      <c r="C535" s="213" t="s">
        <v>215</v>
      </c>
      <c r="D535" s="214"/>
      <c r="E535" s="213"/>
      <c r="F535" s="213"/>
      <c r="G535" s="213" t="s">
        <v>215</v>
      </c>
      <c r="H535" s="213" t="s">
        <v>215</v>
      </c>
      <c r="I535" s="214" t="s">
        <v>215</v>
      </c>
      <c r="J535" s="214"/>
      <c r="K535" s="213"/>
      <c r="L535" s="213"/>
      <c r="M535" s="214" t="s">
        <v>215</v>
      </c>
      <c r="N535" s="213"/>
      <c r="O535" s="214"/>
      <c r="P535" s="213"/>
      <c r="Q535" s="214"/>
      <c r="R535" s="214" t="s">
        <v>215</v>
      </c>
      <c r="S535" s="214"/>
      <c r="T535" s="214"/>
      <c r="U535" s="215">
        <f t="shared" si="1457"/>
        <v>6</v>
      </c>
      <c r="V535" s="845" t="s">
        <v>216</v>
      </c>
      <c r="W535" s="216">
        <v>170603</v>
      </c>
      <c r="X535" s="217">
        <v>3</v>
      </c>
      <c r="Y535" s="218">
        <f t="shared" si="1312"/>
        <v>1.03</v>
      </c>
      <c r="Z535" s="196">
        <v>19</v>
      </c>
      <c r="AA535" s="218">
        <f t="shared" si="1313"/>
        <v>1.7535060530771003</v>
      </c>
      <c r="AB535" s="196">
        <f t="shared" si="1389"/>
        <v>299153.39317311253</v>
      </c>
      <c r="AC535">
        <v>11.8</v>
      </c>
      <c r="AD535" s="196">
        <f t="shared" si="1390"/>
        <v>35300.100394427282</v>
      </c>
      <c r="AE535" s="196">
        <f t="shared" si="1314"/>
        <v>33535.095374705917</v>
      </c>
      <c r="AF535" s="196">
        <f t="shared" si="1458"/>
        <v>0</v>
      </c>
      <c r="AG535" s="606">
        <f t="shared" si="1380"/>
        <v>1.5505155882991689E-3</v>
      </c>
      <c r="AH535" s="196">
        <f t="shared" si="1474"/>
        <v>14957.669658655628</v>
      </c>
      <c r="AI535" s="248">
        <f t="shared" si="1359"/>
        <v>1.1587480053728753E-3</v>
      </c>
      <c r="AJ535" s="196">
        <f t="shared" si="1360"/>
        <v>50257.77005308291</v>
      </c>
      <c r="AK535" s="196">
        <f t="shared" si="1391"/>
        <v>11966.135726924502</v>
      </c>
      <c r="AL535" s="196">
        <f t="shared" si="1392"/>
        <v>11966.135726924502</v>
      </c>
      <c r="AM535" s="196">
        <f t="shared" si="1361"/>
        <v>23932.271453849004</v>
      </c>
      <c r="AN535" s="627">
        <f t="shared" si="1362"/>
        <v>1.1587480053728753E-3</v>
      </c>
      <c r="AO535" s="196">
        <f t="shared" si="1363"/>
        <v>11367.828940578276</v>
      </c>
      <c r="AP535" s="589">
        <f t="shared" si="1381"/>
        <v>1.1587480053728753E-3</v>
      </c>
      <c r="AQ535" s="196"/>
      <c r="AR535" s="589"/>
      <c r="AS535">
        <v>1</v>
      </c>
      <c r="AT535" s="589">
        <f t="shared" si="1382"/>
        <v>1.2919896640826874E-3</v>
      </c>
      <c r="AU535" s="196">
        <v>19</v>
      </c>
      <c r="AV535" s="245">
        <f t="shared" si="1364"/>
        <v>2.1588455857288946E-3</v>
      </c>
      <c r="AX535" s="245"/>
      <c r="AY535" s="245"/>
      <c r="AZ535" s="196">
        <v>38</v>
      </c>
      <c r="BA535" s="589">
        <f t="shared" si="1425"/>
        <v>1.3924004250485508E-3</v>
      </c>
      <c r="BI535" s="196">
        <v>0</v>
      </c>
      <c r="BK535" s="246">
        <f t="shared" si="1426"/>
        <v>0</v>
      </c>
      <c r="BL535" s="246"/>
      <c r="BM535" s="246">
        <f t="shared" si="1427"/>
        <v>0</v>
      </c>
      <c r="BN535" s="196">
        <v>1</v>
      </c>
      <c r="BO535" s="196">
        <f t="shared" si="1459"/>
        <v>15783.442272544709</v>
      </c>
      <c r="BP535" s="196">
        <f t="shared" si="1365"/>
        <v>15783.442272544709</v>
      </c>
      <c r="BQ535" s="248">
        <f t="shared" si="1428"/>
        <v>1.476467525083455E-3</v>
      </c>
      <c r="BR535" s="248"/>
      <c r="BS535" s="248"/>
      <c r="BT535" s="276">
        <v>0</v>
      </c>
      <c r="BU535" s="196">
        <f t="shared" si="1460"/>
        <v>0</v>
      </c>
      <c r="BV535" s="264">
        <f t="shared" si="1429"/>
        <v>0</v>
      </c>
      <c r="BW535" s="196">
        <f t="shared" si="1461"/>
        <v>0</v>
      </c>
      <c r="BX535" s="247">
        <f t="shared" si="1430"/>
        <v>0</v>
      </c>
      <c r="BY535" s="196">
        <f t="shared" si="1462"/>
        <v>0</v>
      </c>
      <c r="BZ535" s="620">
        <v>1</v>
      </c>
      <c r="CA535" s="196">
        <f t="shared" si="1463"/>
        <v>91540.938310972444</v>
      </c>
      <c r="CB535" s="196">
        <f t="shared" si="1464"/>
        <v>183081.87662194489</v>
      </c>
      <c r="CC535" s="196">
        <f t="shared" si="1378"/>
        <v>274622.81493291736</v>
      </c>
      <c r="CD535" s="247">
        <f t="shared" si="1366"/>
        <v>1.1587480053728756E-3</v>
      </c>
      <c r="CE535" s="196">
        <f t="shared" si="1465"/>
        <v>25440.18690276246</v>
      </c>
      <c r="CF535" s="247">
        <f t="shared" si="1367"/>
        <v>1.0985863880602872E-3</v>
      </c>
      <c r="CG535" s="196">
        <f t="shared" si="1434"/>
        <v>45471.315762313105</v>
      </c>
      <c r="CH535" s="589">
        <f t="shared" si="1383"/>
        <v>1.1587480053728753E-3</v>
      </c>
      <c r="CI535" s="196">
        <f t="shared" si="1466"/>
        <v>29568.376065564622</v>
      </c>
      <c r="CJ535" s="248">
        <f t="shared" si="1384"/>
        <v>4.8610402746342054E-4</v>
      </c>
      <c r="CK535" s="196">
        <f t="shared" si="1467"/>
        <v>94067.38551997891</v>
      </c>
      <c r="CL535" s="589">
        <f t="shared" si="1385"/>
        <v>1.3522380156854037E-3</v>
      </c>
      <c r="CM535" s="196">
        <f t="shared" si="1468"/>
        <v>9112.7885767393382</v>
      </c>
      <c r="CN535" s="589">
        <f t="shared" si="1386"/>
        <v>1.3132563975703023E-3</v>
      </c>
      <c r="CO535" s="196">
        <f t="shared" si="1469"/>
        <v>729.0147330628588</v>
      </c>
      <c r="CP535" s="589">
        <f t="shared" si="1387"/>
        <v>1.3748094976160244E-3</v>
      </c>
      <c r="CQ535" s="196">
        <f>'Detailed Budget'!$AC$12</f>
        <v>292876014141.44696</v>
      </c>
      <c r="CR535" s="269">
        <f t="shared" si="1393"/>
        <v>0</v>
      </c>
      <c r="CS535" s="269">
        <f>'Detailed Budget'!$AC$16</f>
        <v>10488008800.000002</v>
      </c>
      <c r="CT535" s="607">
        <f t="shared" si="1436"/>
        <v>0</v>
      </c>
      <c r="CU535" s="269">
        <f>'Detailed Budget'!$AC$24</f>
        <v>30624985696</v>
      </c>
      <c r="CV535" s="269">
        <f t="shared" si="1424"/>
        <v>0</v>
      </c>
      <c r="CW535" s="269"/>
      <c r="CX535" s="269">
        <f t="shared" si="1379"/>
        <v>0</v>
      </c>
      <c r="CY535" s="196">
        <f>'Detailed Budget'!$AC$97</f>
        <v>74629165494.837845</v>
      </c>
      <c r="CZ535" s="269">
        <f t="shared" si="1437"/>
        <v>110187539.27720681</v>
      </c>
      <c r="DA535" s="269">
        <f>'Detailed Budget'!$AC$100</f>
        <v>14925833098.967569</v>
      </c>
      <c r="DB535" s="269">
        <f t="shared" si="1438"/>
        <v>22037507.855441362</v>
      </c>
      <c r="DC535" s="269">
        <f t="shared" si="1368"/>
        <v>132225047.13264817</v>
      </c>
      <c r="DD535" s="207">
        <v>0</v>
      </c>
      <c r="DE535" s="606">
        <v>0</v>
      </c>
      <c r="DF535" s="269">
        <f>'Detailed Budget'!$AC$147</f>
        <v>5913600671000</v>
      </c>
      <c r="DG535" s="269">
        <f t="shared" si="1419"/>
        <v>0</v>
      </c>
      <c r="DH535" s="269">
        <f>'Detailed Budget'!$AC$153</f>
        <v>226428026880.00003</v>
      </c>
      <c r="DI535" s="269"/>
      <c r="DJ535" s="269">
        <f>'Detailed Budget'!$AC$156</f>
        <v>27713070000</v>
      </c>
      <c r="DK535" s="269"/>
      <c r="DL535" s="269"/>
      <c r="DM535" s="196">
        <f>'Detailed Budget'!$AC$178</f>
        <v>5622683761.6229038</v>
      </c>
      <c r="DN535" s="269">
        <f t="shared" si="1470"/>
        <v>0</v>
      </c>
      <c r="DO535" s="196">
        <f>'Detailed Budget'!$AC$179</f>
        <v>26827890683.128094</v>
      </c>
      <c r="DP535" s="269">
        <f t="shared" si="1471"/>
        <v>0</v>
      </c>
      <c r="DQ535" s="269">
        <f t="shared" si="1388"/>
        <v>0</v>
      </c>
      <c r="DR535" s="269">
        <f>'Detailed Budget'!$AC$181</f>
        <v>50888946855.375237</v>
      </c>
      <c r="DS535" s="269">
        <f t="shared" si="1472"/>
        <v>0</v>
      </c>
      <c r="DT535" s="269">
        <f t="shared" si="1473"/>
        <v>0</v>
      </c>
      <c r="DU535" s="272">
        <f>'Detailed Budget'!$AC$192</f>
        <v>77498869683.252869</v>
      </c>
      <c r="DV535" s="269">
        <f t="shared" si="1439"/>
        <v>89801660.664121673</v>
      </c>
      <c r="DW535" s="140">
        <f>'Detailed Budget'!$AC$194</f>
        <v>2684962805.4134097</v>
      </c>
      <c r="DX535" s="269">
        <f t="shared" si="1440"/>
        <v>3111195.295273148</v>
      </c>
      <c r="DY535" s="607">
        <f t="shared" si="1369"/>
        <v>92912855.959394827</v>
      </c>
      <c r="DZ535" s="196">
        <f>'Detailed Budget'!$AC$198</f>
        <v>18732540018.380611</v>
      </c>
      <c r="EA535" s="269">
        <f t="shared" si="1441"/>
        <v>20579313.477987543</v>
      </c>
      <c r="EB535" s="196">
        <f>'Detailed Budget'!$AC$200</f>
        <v>4683135004.5951529</v>
      </c>
      <c r="EC535" s="269">
        <f t="shared" si="1442"/>
        <v>5144828.3694968857</v>
      </c>
      <c r="ED535" s="269">
        <f t="shared" si="1370"/>
        <v>25724141.847484428</v>
      </c>
      <c r="EE535" s="196">
        <f>'Detailed Budget'!$AC$161</f>
        <v>251147290106.36197</v>
      </c>
      <c r="EF535" s="269">
        <f t="shared" si="1443"/>
        <v>291016421.46554983</v>
      </c>
      <c r="EG535" s="196">
        <f>'Detailed Budget'!$AC$163</f>
        <v>15696705631.647623</v>
      </c>
      <c r="EH535" s="269">
        <f t="shared" si="1444"/>
        <v>18188526.341596864</v>
      </c>
      <c r="EI535" s="269">
        <f t="shared" si="1371"/>
        <v>309204947.80714667</v>
      </c>
      <c r="EJ535" s="196">
        <f>'Detailed Budget'!$AC$204</f>
        <v>45012172507.531975</v>
      </c>
      <c r="EK535" s="269">
        <f t="shared" si="1445"/>
        <v>21880598.340789545</v>
      </c>
      <c r="EL535" s="201">
        <f>'Detailed Budget'!$AC$206</f>
        <v>11253043126.882994</v>
      </c>
      <c r="EM535" s="269">
        <f t="shared" si="1446"/>
        <v>5470149.5851973863</v>
      </c>
      <c r="EN535" s="269">
        <f t="shared" si="1372"/>
        <v>27350747.925986931</v>
      </c>
      <c r="EO535" s="140">
        <f>'Detailed Budget'!$AC$209</f>
        <v>135789361677.54817</v>
      </c>
      <c r="EP535" s="269">
        <f t="shared" si="1447"/>
        <v>183619536.98603535</v>
      </c>
      <c r="EQ535" s="196">
        <f>'Detailed Budget'!$AC$211</f>
        <v>33947340419.387043</v>
      </c>
      <c r="ER535" s="269">
        <f t="shared" si="1448"/>
        <v>45904884.246508837</v>
      </c>
      <c r="ES535" s="269">
        <f t="shared" si="1373"/>
        <v>229524421.23254418</v>
      </c>
      <c r="ET535" s="196">
        <f>'Detailed Budget'!$AC$214</f>
        <v>22239745544.201103</v>
      </c>
      <c r="EU535" s="269">
        <f t="shared" si="1449"/>
        <v>29206488.116257723</v>
      </c>
      <c r="EV535" s="140">
        <f>'Detailed Budget'!$AC$217</f>
        <v>5559936386.0502758</v>
      </c>
      <c r="EW535" s="269">
        <f t="shared" si="1450"/>
        <v>7301622.0290644309</v>
      </c>
      <c r="EX535" s="269">
        <f t="shared" si="1374"/>
        <v>36508110.145322151</v>
      </c>
      <c r="EY535" s="196">
        <f>'Detailed Budget'!$AC$219</f>
        <v>372777004.58170313</v>
      </c>
      <c r="EZ535" s="269">
        <f t="shared" si="1451"/>
        <v>512497.3663917777</v>
      </c>
      <c r="FA535" s="196">
        <f>'Detailed Budget'!$AC$222</f>
        <v>93194251.145425782</v>
      </c>
      <c r="FB535" s="269">
        <f t="shared" si="1452"/>
        <v>128124.34159794443</v>
      </c>
      <c r="FC535" s="269">
        <f t="shared" si="1375"/>
        <v>640621.70798972214</v>
      </c>
      <c r="FD535" s="269"/>
      <c r="FE535" s="269">
        <f t="shared" si="1376"/>
        <v>294023901.01184297</v>
      </c>
      <c r="FF535" s="140">
        <f>'Detailed Budget'!$AC$165</f>
        <v>14927760000</v>
      </c>
      <c r="FG535" s="1087">
        <f t="shared" si="1420"/>
        <v>401068063.55516165</v>
      </c>
      <c r="FH535" s="269">
        <f t="shared" si="1453"/>
        <v>32226728.780820362</v>
      </c>
      <c r="FJ535" s="140">
        <f>'Detailed Budget'!$AC$235</f>
        <v>3623696172</v>
      </c>
      <c r="FK535" s="269">
        <f t="shared" si="1454"/>
        <v>4681778</v>
      </c>
      <c r="FL535" s="269">
        <f t="shared" si="1421"/>
        <v>4681778</v>
      </c>
      <c r="FO535" s="607"/>
      <c r="FP535" s="607"/>
      <c r="FQ535" s="607"/>
      <c r="FR535" s="269">
        <f>'Detailed Budget'!$AC$257</f>
        <v>13636439388</v>
      </c>
      <c r="FS535" s="269">
        <f t="shared" si="1455"/>
        <v>18987384</v>
      </c>
      <c r="FT535" s="269">
        <f t="shared" si="1422"/>
        <v>18987384</v>
      </c>
      <c r="FU535" s="269"/>
      <c r="FV535" s="269"/>
      <c r="FW535" s="269"/>
      <c r="FX535" s="140">
        <f>'Detailed Budget'!$AC$278</f>
        <v>1114560000</v>
      </c>
      <c r="FY535" s="269">
        <f t="shared" si="1456"/>
        <v>1440000</v>
      </c>
      <c r="FZ535" s="269">
        <f t="shared" si="1423"/>
        <v>1440000</v>
      </c>
      <c r="GB535" s="269">
        <f t="shared" si="1431"/>
        <v>1312494848.0944991</v>
      </c>
      <c r="GC535" s="887">
        <f t="shared" si="1377"/>
        <v>820309.28005906194</v>
      </c>
      <c r="GD535" s="1078">
        <f t="shared" si="1432"/>
        <v>7.3648218855122661E-4</v>
      </c>
    </row>
    <row r="536" spans="1:186" hidden="1" outlineLevel="1">
      <c r="A536" s="211" t="s">
        <v>1189</v>
      </c>
      <c r="B536" s="212" t="s">
        <v>1190</v>
      </c>
      <c r="C536" s="213" t="s">
        <v>215</v>
      </c>
      <c r="D536" s="214"/>
      <c r="E536" s="213"/>
      <c r="F536" s="213"/>
      <c r="G536" s="213" t="s">
        <v>215</v>
      </c>
      <c r="H536" s="213" t="s">
        <v>215</v>
      </c>
      <c r="I536" s="214" t="s">
        <v>215</v>
      </c>
      <c r="J536" s="214"/>
      <c r="K536" s="213"/>
      <c r="L536" s="213"/>
      <c r="M536" s="214" t="s">
        <v>215</v>
      </c>
      <c r="N536" s="213"/>
      <c r="O536" s="214"/>
      <c r="P536" s="213"/>
      <c r="Q536" s="214"/>
      <c r="R536" s="214" t="s">
        <v>215</v>
      </c>
      <c r="S536" s="214"/>
      <c r="T536" s="214"/>
      <c r="U536" s="215">
        <f t="shared" si="1457"/>
        <v>6</v>
      </c>
      <c r="V536" s="845" t="s">
        <v>216</v>
      </c>
      <c r="W536" s="216">
        <v>208333</v>
      </c>
      <c r="X536" s="217">
        <v>3</v>
      </c>
      <c r="Y536" s="218">
        <f t="shared" si="1312"/>
        <v>1.03</v>
      </c>
      <c r="Z536" s="196">
        <v>19</v>
      </c>
      <c r="AA536" s="218">
        <f t="shared" si="1313"/>
        <v>1.7535060530771003</v>
      </c>
      <c r="AB536" s="196">
        <f t="shared" si="1389"/>
        <v>365313.17655571154</v>
      </c>
      <c r="AC536">
        <v>11.8</v>
      </c>
      <c r="AD536" s="196">
        <f t="shared" si="1390"/>
        <v>43106.954833573967</v>
      </c>
      <c r="AE536" s="196">
        <f t="shared" si="1314"/>
        <v>40951.607091895268</v>
      </c>
      <c r="AF536" s="196">
        <f t="shared" si="1458"/>
        <v>0</v>
      </c>
      <c r="AG536" s="606">
        <f t="shared" si="1380"/>
        <v>1.8934225310054968E-3</v>
      </c>
      <c r="AH536" s="196">
        <f t="shared" si="1474"/>
        <v>18265.658827785577</v>
      </c>
      <c r="AI536" s="248">
        <f t="shared" si="1359"/>
        <v>1.4150129142122194E-3</v>
      </c>
      <c r="AJ536" s="196">
        <f t="shared" si="1360"/>
        <v>61372.613661359544</v>
      </c>
      <c r="AK536" s="196">
        <f t="shared" si="1391"/>
        <v>14612.527062228462</v>
      </c>
      <c r="AL536" s="196">
        <f t="shared" si="1392"/>
        <v>14612.527062228462</v>
      </c>
      <c r="AM536" s="196">
        <f t="shared" si="1361"/>
        <v>29225.054124456925</v>
      </c>
      <c r="AN536" s="627">
        <f t="shared" si="1362"/>
        <v>1.4150129142122194E-3</v>
      </c>
      <c r="AO536" s="196">
        <f t="shared" si="1363"/>
        <v>13881.900709117039</v>
      </c>
      <c r="AP536" s="589">
        <f t="shared" si="1381"/>
        <v>1.4150129142122194E-3</v>
      </c>
      <c r="AQ536" s="196"/>
      <c r="AR536" s="589"/>
      <c r="AS536">
        <v>1</v>
      </c>
      <c r="AT536" s="589">
        <f t="shared" si="1382"/>
        <v>1.2919896640826874E-3</v>
      </c>
      <c r="AU536" s="196">
        <v>20</v>
      </c>
      <c r="AV536" s="245">
        <f t="shared" si="1364"/>
        <v>2.2724690376093627E-3</v>
      </c>
      <c r="AX536" s="245"/>
      <c r="AY536" s="245"/>
      <c r="AZ536" s="196">
        <v>46</v>
      </c>
      <c r="BA536" s="589">
        <f t="shared" si="1425"/>
        <v>1.6855373566377193E-3</v>
      </c>
      <c r="BI536" s="196">
        <v>0</v>
      </c>
      <c r="BK536" s="246">
        <f t="shared" si="1426"/>
        <v>0</v>
      </c>
      <c r="BL536" s="246"/>
      <c r="BM536" s="246">
        <f t="shared" si="1427"/>
        <v>0</v>
      </c>
      <c r="BN536" s="196">
        <v>1</v>
      </c>
      <c r="BO536" s="196">
        <f t="shared" si="1459"/>
        <v>19274.056604901776</v>
      </c>
      <c r="BP536" s="196">
        <f t="shared" si="1365"/>
        <v>19274.056604901776</v>
      </c>
      <c r="BQ536" s="248">
        <f t="shared" si="1428"/>
        <v>1.8029982409641771E-3</v>
      </c>
      <c r="BR536" s="248"/>
      <c r="BS536" s="248"/>
      <c r="BT536" s="276">
        <v>0</v>
      </c>
      <c r="BU536" s="196">
        <f t="shared" si="1460"/>
        <v>0</v>
      </c>
      <c r="BV536" s="264">
        <f t="shared" si="1429"/>
        <v>0</v>
      </c>
      <c r="BW536" s="196">
        <f t="shared" si="1461"/>
        <v>0</v>
      </c>
      <c r="BX536" s="247">
        <f t="shared" si="1430"/>
        <v>0</v>
      </c>
      <c r="BY536" s="196">
        <f t="shared" si="1462"/>
        <v>0</v>
      </c>
      <c r="BZ536" s="620">
        <v>1</v>
      </c>
      <c r="CA536" s="196">
        <f t="shared" si="1463"/>
        <v>111785.83202604773</v>
      </c>
      <c r="CB536" s="196">
        <f t="shared" si="1464"/>
        <v>223571.66405209547</v>
      </c>
      <c r="CC536" s="196">
        <f t="shared" si="1378"/>
        <v>335357.49607814319</v>
      </c>
      <c r="CD536" s="247">
        <f t="shared" si="1366"/>
        <v>1.4150129142122192E-3</v>
      </c>
      <c r="CE536" s="196">
        <f t="shared" si="1465"/>
        <v>31066.455208954187</v>
      </c>
      <c r="CF536" s="247">
        <f t="shared" si="1367"/>
        <v>1.3415461509103815E-3</v>
      </c>
      <c r="CG536" s="196">
        <f t="shared" si="1434"/>
        <v>55527.602836468155</v>
      </c>
      <c r="CH536" s="589">
        <f t="shared" si="1383"/>
        <v>1.4150129142122194E-3</v>
      </c>
      <c r="CI536" s="196">
        <f t="shared" si="1466"/>
        <v>36107.621148908722</v>
      </c>
      <c r="CJ536" s="248">
        <f t="shared" si="1384"/>
        <v>5.9360920003479888E-4</v>
      </c>
      <c r="CK536" s="196">
        <f t="shared" si="1467"/>
        <v>114871.02001450014</v>
      </c>
      <c r="CL536" s="589">
        <f t="shared" si="1385"/>
        <v>1.6512945406691984E-3</v>
      </c>
      <c r="CM536" s="196">
        <f t="shared" si="1468"/>
        <v>11128.143013650621</v>
      </c>
      <c r="CN536" s="589">
        <f t="shared" si="1386"/>
        <v>1.6036918757291129E-3</v>
      </c>
      <c r="CO536" s="196">
        <f t="shared" si="1469"/>
        <v>890.24124067680259</v>
      </c>
      <c r="CP536" s="589">
        <f t="shared" si="1387"/>
        <v>1.6788578575220787E-3</v>
      </c>
      <c r="CQ536" s="196">
        <f>'Detailed Budget'!$AC$12</f>
        <v>292876014141.44696</v>
      </c>
      <c r="CR536" s="269">
        <f t="shared" si="1393"/>
        <v>0</v>
      </c>
      <c r="CS536" s="269">
        <f>'Detailed Budget'!$AC$16</f>
        <v>10488008800.000002</v>
      </c>
      <c r="CT536" s="607">
        <f t="shared" si="1436"/>
        <v>0</v>
      </c>
      <c r="CU536" s="269">
        <f>'Detailed Budget'!$AC$24</f>
        <v>30624985696</v>
      </c>
      <c r="CV536" s="269">
        <f t="shared" si="1424"/>
        <v>0</v>
      </c>
      <c r="CW536" s="269"/>
      <c r="CX536" s="269">
        <f t="shared" si="1379"/>
        <v>0</v>
      </c>
      <c r="CY536" s="196">
        <f>'Detailed Budget'!$AC$97</f>
        <v>74629165494.837845</v>
      </c>
      <c r="CZ536" s="269">
        <f t="shared" si="1437"/>
        <v>134556254.11181709</v>
      </c>
      <c r="DA536" s="269">
        <f>'Detailed Budget'!$AC$100</f>
        <v>14925833098.967569</v>
      </c>
      <c r="DB536" s="269">
        <f t="shared" si="1438"/>
        <v>26911250.822363421</v>
      </c>
      <c r="DC536" s="269">
        <f t="shared" si="1368"/>
        <v>161467504.9341805</v>
      </c>
      <c r="DD536" s="207">
        <v>0</v>
      </c>
      <c r="DE536" s="606">
        <v>0</v>
      </c>
      <c r="DF536" s="269">
        <f>'Detailed Budget'!$AC$147</f>
        <v>5913600671000</v>
      </c>
      <c r="DG536" s="269">
        <f t="shared" si="1419"/>
        <v>0</v>
      </c>
      <c r="DH536" s="269">
        <f>'Detailed Budget'!$AC$153</f>
        <v>226428026880.00003</v>
      </c>
      <c r="DI536" s="269"/>
      <c r="DJ536" s="269">
        <f>'Detailed Budget'!$AC$156</f>
        <v>27713070000</v>
      </c>
      <c r="DK536" s="269"/>
      <c r="DL536" s="269"/>
      <c r="DM536" s="196">
        <f>'Detailed Budget'!$AC$178</f>
        <v>5622683761.6229038</v>
      </c>
      <c r="DN536" s="269">
        <f t="shared" si="1470"/>
        <v>0</v>
      </c>
      <c r="DO536" s="196">
        <f>'Detailed Budget'!$AC$179</f>
        <v>26827890683.128094</v>
      </c>
      <c r="DP536" s="269">
        <f t="shared" si="1471"/>
        <v>0</v>
      </c>
      <c r="DQ536" s="269">
        <f t="shared" si="1388"/>
        <v>0</v>
      </c>
      <c r="DR536" s="269">
        <f>'Detailed Budget'!$AC$181</f>
        <v>50888946855.375237</v>
      </c>
      <c r="DS536" s="269">
        <f t="shared" si="1472"/>
        <v>0</v>
      </c>
      <c r="DT536" s="269">
        <f t="shared" si="1473"/>
        <v>0</v>
      </c>
      <c r="DU536" s="272">
        <f>'Detailed Budget'!$AC$192</f>
        <v>77498869683.252869</v>
      </c>
      <c r="DV536" s="269">
        <f t="shared" si="1439"/>
        <v>109661901.43865265</v>
      </c>
      <c r="DW536" s="140">
        <f>'Detailed Budget'!$AC$194</f>
        <v>2684962805.4134097</v>
      </c>
      <c r="DX536" s="269">
        <f t="shared" si="1440"/>
        <v>3799257.0438394449</v>
      </c>
      <c r="DY536" s="607">
        <f t="shared" si="1369"/>
        <v>113461158.48249209</v>
      </c>
      <c r="DZ536" s="196">
        <f>'Detailed Budget'!$AC$198</f>
        <v>18732540018.380611</v>
      </c>
      <c r="EA536" s="269">
        <f t="shared" si="1441"/>
        <v>25130566.958433196</v>
      </c>
      <c r="EB536" s="196">
        <f>'Detailed Budget'!$AC$200</f>
        <v>4683135004.5951529</v>
      </c>
      <c r="EC536" s="269">
        <f t="shared" si="1442"/>
        <v>6282641.739608299</v>
      </c>
      <c r="ED536" s="269">
        <f t="shared" si="1370"/>
        <v>31413208.698041495</v>
      </c>
      <c r="EE536" s="196">
        <f>'Detailed Budget'!$AC$161</f>
        <v>251147290106.36197</v>
      </c>
      <c r="EF536" s="269">
        <f t="shared" si="1443"/>
        <v>355376658.86990494</v>
      </c>
      <c r="EG536" s="196">
        <f>'Detailed Budget'!$AC$163</f>
        <v>15696705631.647623</v>
      </c>
      <c r="EH536" s="269">
        <f t="shared" si="1444"/>
        <v>22211041.179369058</v>
      </c>
      <c r="EI536" s="269">
        <f t="shared" si="1371"/>
        <v>377587700.04927397</v>
      </c>
      <c r="EJ536" s="196">
        <f>'Detailed Budget'!$AC$204</f>
        <v>45012172507.531975</v>
      </c>
      <c r="EK536" s="269">
        <f t="shared" si="1445"/>
        <v>26719639.714024425</v>
      </c>
      <c r="EL536" s="201">
        <f>'Detailed Budget'!$AC$206</f>
        <v>11253043126.882994</v>
      </c>
      <c r="EM536" s="269">
        <f t="shared" si="1446"/>
        <v>6679909.9285061061</v>
      </c>
      <c r="EN536" s="269">
        <f t="shared" si="1372"/>
        <v>33399549.642530531</v>
      </c>
      <c r="EO536" s="140">
        <f>'Detailed Budget'!$AC$209</f>
        <v>135789361677.54817</v>
      </c>
      <c r="EP536" s="269">
        <f t="shared" si="1447"/>
        <v>224228231.61909056</v>
      </c>
      <c r="EQ536" s="196">
        <f>'Detailed Budget'!$AC$211</f>
        <v>33947340419.387043</v>
      </c>
      <c r="ER536" s="269">
        <f t="shared" si="1448"/>
        <v>56057057.904772639</v>
      </c>
      <c r="ES536" s="269">
        <f t="shared" si="1373"/>
        <v>280285289.5238632</v>
      </c>
      <c r="ET536" s="196">
        <f>'Detailed Budget'!$AC$214</f>
        <v>22239745544.201103</v>
      </c>
      <c r="EU536" s="269">
        <f t="shared" si="1449"/>
        <v>35665699.247518048</v>
      </c>
      <c r="EV536" s="140">
        <f>'Detailed Budget'!$AC$217</f>
        <v>5559936386.0502758</v>
      </c>
      <c r="EW536" s="269">
        <f t="shared" si="1450"/>
        <v>8916424.8118795119</v>
      </c>
      <c r="EX536" s="269">
        <f t="shared" si="1374"/>
        <v>44582124.059397563</v>
      </c>
      <c r="EY536" s="196">
        <f>'Detailed Budget'!$AC$219</f>
        <v>372777004.58170313</v>
      </c>
      <c r="EZ536" s="269">
        <f t="shared" si="1451"/>
        <v>625839.60324553621</v>
      </c>
      <c r="FA536" s="196">
        <f>'Detailed Budget'!$AC$222</f>
        <v>93194251.145425782</v>
      </c>
      <c r="FB536" s="269">
        <f t="shared" si="1452"/>
        <v>156459.90081138405</v>
      </c>
      <c r="FC536" s="269">
        <f t="shared" si="1375"/>
        <v>782299.5040569203</v>
      </c>
      <c r="FD536" s="269"/>
      <c r="FE536" s="269">
        <f t="shared" si="1376"/>
        <v>359049262.72984827</v>
      </c>
      <c r="FF536" s="140">
        <f>'Detailed Budget'!$AC$165</f>
        <v>14927760000</v>
      </c>
      <c r="FG536" s="1087">
        <f t="shared" si="1420"/>
        <v>489766961.21778351</v>
      </c>
      <c r="FH536" s="269">
        <f t="shared" si="1453"/>
        <v>33922872.400863543</v>
      </c>
      <c r="FJ536" s="140">
        <f>'Detailed Budget'!$AC$235</f>
        <v>3623696172</v>
      </c>
      <c r="FK536" s="269">
        <f t="shared" si="1454"/>
        <v>4681778</v>
      </c>
      <c r="FL536" s="269">
        <f t="shared" si="1421"/>
        <v>4681778</v>
      </c>
      <c r="FO536" s="607"/>
      <c r="FP536" s="607"/>
      <c r="FQ536" s="607"/>
      <c r="FR536" s="269">
        <f>'Detailed Budget'!$AC$257</f>
        <v>13636439388</v>
      </c>
      <c r="FS536" s="269">
        <f t="shared" si="1455"/>
        <v>22984728</v>
      </c>
      <c r="FT536" s="269">
        <f t="shared" si="1422"/>
        <v>22984728</v>
      </c>
      <c r="FU536" s="269"/>
      <c r="FV536" s="269"/>
      <c r="FW536" s="269"/>
      <c r="FX536" s="140">
        <f>'Detailed Budget'!$AC$278</f>
        <v>1114560000</v>
      </c>
      <c r="FY536" s="269">
        <f t="shared" si="1456"/>
        <v>1440000</v>
      </c>
      <c r="FZ536" s="269">
        <f t="shared" si="1423"/>
        <v>1440000</v>
      </c>
      <c r="GB536" s="269">
        <f t="shared" si="1431"/>
        <v>1595775174.5124836</v>
      </c>
      <c r="GC536" s="887">
        <f t="shared" si="1377"/>
        <v>997359.48407030222</v>
      </c>
      <c r="GD536" s="1078">
        <f t="shared" si="1432"/>
        <v>8.9543969994772222E-4</v>
      </c>
    </row>
    <row r="537" spans="1:186" hidden="1" outlineLevel="1">
      <c r="A537" s="211" t="s">
        <v>1191</v>
      </c>
      <c r="B537" s="212" t="s">
        <v>1192</v>
      </c>
      <c r="C537" s="213" t="s">
        <v>215</v>
      </c>
      <c r="D537" s="214"/>
      <c r="E537" s="213"/>
      <c r="F537" s="213"/>
      <c r="G537" s="213" t="s">
        <v>215</v>
      </c>
      <c r="H537" s="213" t="s">
        <v>215</v>
      </c>
      <c r="I537" s="214" t="s">
        <v>215</v>
      </c>
      <c r="J537" s="214"/>
      <c r="K537" s="213"/>
      <c r="L537" s="213"/>
      <c r="M537" s="214" t="s">
        <v>215</v>
      </c>
      <c r="N537" s="213"/>
      <c r="O537" s="214"/>
      <c r="P537" s="213"/>
      <c r="Q537" s="214"/>
      <c r="R537" s="214" t="s">
        <v>215</v>
      </c>
      <c r="S537" s="214"/>
      <c r="T537" s="214"/>
      <c r="U537" s="215">
        <f t="shared" si="1457"/>
        <v>6</v>
      </c>
      <c r="V537" s="845" t="s">
        <v>216</v>
      </c>
      <c r="W537" s="216">
        <v>258829</v>
      </c>
      <c r="X537" s="217">
        <v>3</v>
      </c>
      <c r="Y537" s="218">
        <f t="shared" si="1312"/>
        <v>1.03</v>
      </c>
      <c r="Z537" s="196">
        <v>19</v>
      </c>
      <c r="AA537" s="218">
        <f t="shared" si="1313"/>
        <v>1.7535060530771003</v>
      </c>
      <c r="AB537" s="196">
        <f t="shared" si="1389"/>
        <v>453858.21821189276</v>
      </c>
      <c r="AC537">
        <v>11.8</v>
      </c>
      <c r="AD537" s="196">
        <f t="shared" si="1390"/>
        <v>53555.269749003353</v>
      </c>
      <c r="AE537" s="196">
        <f t="shared" si="1314"/>
        <v>50877.506261553186</v>
      </c>
      <c r="AF537" s="196">
        <f t="shared" si="1458"/>
        <v>0</v>
      </c>
      <c r="AG537" s="606">
        <f t="shared" si="1380"/>
        <v>2.352352533096637E-3</v>
      </c>
      <c r="AH537" s="196">
        <f t="shared" si="1474"/>
        <v>22692.910910594641</v>
      </c>
      <c r="AI537" s="248">
        <f t="shared" si="1359"/>
        <v>1.7579854251253259E-3</v>
      </c>
      <c r="AJ537" s="196">
        <f t="shared" si="1360"/>
        <v>76248.180659598002</v>
      </c>
      <c r="AK537" s="196">
        <f t="shared" si="1391"/>
        <v>18154.32872847571</v>
      </c>
      <c r="AL537" s="196">
        <f t="shared" si="1392"/>
        <v>18154.32872847571</v>
      </c>
      <c r="AM537" s="196">
        <f t="shared" si="1361"/>
        <v>36308.65745695142</v>
      </c>
      <c r="AN537" s="627">
        <f t="shared" si="1362"/>
        <v>1.7579854251253257E-3</v>
      </c>
      <c r="AO537" s="196">
        <f t="shared" si="1363"/>
        <v>17246.612292051923</v>
      </c>
      <c r="AP537" s="589">
        <f t="shared" si="1381"/>
        <v>1.7579854251253255E-3</v>
      </c>
      <c r="AQ537" s="196"/>
      <c r="AR537" s="589"/>
      <c r="AS537">
        <v>1</v>
      </c>
      <c r="AT537" s="589">
        <f t="shared" si="1382"/>
        <v>1.2919896640826874E-3</v>
      </c>
      <c r="AU537" s="196">
        <v>20</v>
      </c>
      <c r="AV537" s="245">
        <f t="shared" si="1364"/>
        <v>2.2724690376093627E-3</v>
      </c>
      <c r="AX537" s="245"/>
      <c r="AY537" s="245"/>
      <c r="AZ537" s="196">
        <v>37</v>
      </c>
      <c r="BA537" s="589">
        <f t="shared" si="1425"/>
        <v>1.3557583085999048E-3</v>
      </c>
      <c r="BI537" s="196">
        <v>0</v>
      </c>
      <c r="BK537" s="246">
        <f t="shared" si="1426"/>
        <v>0</v>
      </c>
      <c r="BL537" s="246"/>
      <c r="BM537" s="246">
        <f t="shared" si="1427"/>
        <v>0</v>
      </c>
      <c r="BN537" s="196">
        <v>1</v>
      </c>
      <c r="BO537" s="196">
        <f t="shared" si="1459"/>
        <v>23945.725338713124</v>
      </c>
      <c r="BP537" s="196">
        <f t="shared" si="1365"/>
        <v>23945.725338713124</v>
      </c>
      <c r="BQ537" s="248">
        <f t="shared" si="1428"/>
        <v>2.2400110962282351E-3</v>
      </c>
      <c r="BR537" s="248"/>
      <c r="BS537" s="248"/>
      <c r="BT537" s="276">
        <v>0</v>
      </c>
      <c r="BU537" s="196">
        <f t="shared" si="1460"/>
        <v>0</v>
      </c>
      <c r="BV537" s="264">
        <f t="shared" si="1429"/>
        <v>0</v>
      </c>
      <c r="BW537" s="196">
        <f t="shared" si="1461"/>
        <v>0</v>
      </c>
      <c r="BX537" s="247">
        <f t="shared" si="1430"/>
        <v>0</v>
      </c>
      <c r="BY537" s="196">
        <f t="shared" si="1462"/>
        <v>0</v>
      </c>
      <c r="BZ537" s="620">
        <v>1</v>
      </c>
      <c r="CA537" s="196">
        <f t="shared" si="1463"/>
        <v>138880.61477283918</v>
      </c>
      <c r="CB537" s="196">
        <f t="shared" si="1464"/>
        <v>277761.22954567836</v>
      </c>
      <c r="CC537" s="196">
        <f t="shared" si="1378"/>
        <v>416641.84431851754</v>
      </c>
      <c r="CD537" s="247">
        <f t="shared" si="1366"/>
        <v>1.7579854251253257E-3</v>
      </c>
      <c r="CE537" s="196">
        <f t="shared" si="1465"/>
        <v>38596.379523543583</v>
      </c>
      <c r="CF537" s="247">
        <f t="shared" si="1367"/>
        <v>1.6667117004698401E-3</v>
      </c>
      <c r="CG537" s="196">
        <f t="shared" si="1434"/>
        <v>68986.449168207691</v>
      </c>
      <c r="CH537" s="589">
        <f t="shared" si="1383"/>
        <v>1.7579854251253255E-3</v>
      </c>
      <c r="CI537" s="196">
        <f t="shared" si="1466"/>
        <v>44859.429251971102</v>
      </c>
      <c r="CJ537" s="248">
        <f t="shared" si="1384"/>
        <v>7.374889030341183E-4</v>
      </c>
      <c r="CK537" s="196">
        <f t="shared" si="1467"/>
        <v>142713.59429054952</v>
      </c>
      <c r="CL537" s="589">
        <f t="shared" si="1385"/>
        <v>2.0515372728606021E-3</v>
      </c>
      <c r="CM537" s="196">
        <f t="shared" si="1468"/>
        <v>13825.395535417703</v>
      </c>
      <c r="CN537" s="589">
        <f t="shared" si="1386"/>
        <v>1.9923966174494223E-3</v>
      </c>
      <c r="CO537" s="196">
        <f t="shared" si="1469"/>
        <v>1106.0189700294056</v>
      </c>
      <c r="CP537" s="589">
        <f t="shared" si="1387"/>
        <v>2.0857814191922652E-3</v>
      </c>
      <c r="CQ537" s="196">
        <f>'Detailed Budget'!$AC$12</f>
        <v>292876014141.44696</v>
      </c>
      <c r="CR537" s="269">
        <f t="shared" si="1393"/>
        <v>0</v>
      </c>
      <c r="CS537" s="269">
        <f>'Detailed Budget'!$AC$16</f>
        <v>10488008800.000002</v>
      </c>
      <c r="CT537" s="607">
        <f t="shared" si="1436"/>
        <v>0</v>
      </c>
      <c r="CU537" s="269">
        <f>'Detailed Budget'!$AC$24</f>
        <v>30624985696</v>
      </c>
      <c r="CV537" s="269">
        <f t="shared" si="1424"/>
        <v>0</v>
      </c>
      <c r="CW537" s="269"/>
      <c r="CX537" s="269">
        <f t="shared" si="1379"/>
        <v>0</v>
      </c>
      <c r="CY537" s="196">
        <f>'Detailed Budget'!$AC$97</f>
        <v>74629165494.837845</v>
      </c>
      <c r="CZ537" s="269">
        <f t="shared" si="1437"/>
        <v>167170158.8106901</v>
      </c>
      <c r="DA537" s="269">
        <f>'Detailed Budget'!$AC$100</f>
        <v>14925833098.967569</v>
      </c>
      <c r="DB537" s="269">
        <f t="shared" si="1438"/>
        <v>33434031.76213802</v>
      </c>
      <c r="DC537" s="269">
        <f t="shared" si="1368"/>
        <v>200604190.57282811</v>
      </c>
      <c r="DD537" s="207">
        <v>0</v>
      </c>
      <c r="DE537" s="606">
        <v>0</v>
      </c>
      <c r="DF537" s="269">
        <f>'Detailed Budget'!$AC$147</f>
        <v>5913600671000</v>
      </c>
      <c r="DG537" s="269">
        <f t="shared" si="1419"/>
        <v>0</v>
      </c>
      <c r="DH537" s="269">
        <f>'Detailed Budget'!$AC$153</f>
        <v>226428026880.00003</v>
      </c>
      <c r="DI537" s="269"/>
      <c r="DJ537" s="269">
        <f>'Detailed Budget'!$AC$156</f>
        <v>27713070000</v>
      </c>
      <c r="DK537" s="269"/>
      <c r="DL537" s="269"/>
      <c r="DM537" s="196">
        <f>'Detailed Budget'!$AC$178</f>
        <v>5622683761.6229038</v>
      </c>
      <c r="DN537" s="269">
        <f t="shared" si="1470"/>
        <v>0</v>
      </c>
      <c r="DO537" s="196">
        <f>'Detailed Budget'!$AC$179</f>
        <v>26827890683.128094</v>
      </c>
      <c r="DP537" s="269">
        <f t="shared" si="1471"/>
        <v>0</v>
      </c>
      <c r="DQ537" s="269">
        <f t="shared" si="1388"/>
        <v>0</v>
      </c>
      <c r="DR537" s="269">
        <f>'Detailed Budget'!$AC$181</f>
        <v>50888946855.375237</v>
      </c>
      <c r="DS537" s="269">
        <f t="shared" si="1472"/>
        <v>0</v>
      </c>
      <c r="DT537" s="269">
        <f t="shared" si="1473"/>
        <v>0</v>
      </c>
      <c r="DU537" s="272">
        <f>'Detailed Budget'!$AC$192</f>
        <v>77498869683.252869</v>
      </c>
      <c r="DV537" s="269">
        <f t="shared" si="1439"/>
        <v>136241883.36684552</v>
      </c>
      <c r="DW537" s="140">
        <f>'Detailed Budget'!$AC$194</f>
        <v>2684962805.4134097</v>
      </c>
      <c r="DX537" s="269">
        <f t="shared" si="1440"/>
        <v>4720125.4789203806</v>
      </c>
      <c r="DY537" s="607">
        <f t="shared" si="1369"/>
        <v>140962008.84576589</v>
      </c>
      <c r="DZ537" s="196">
        <f>'Detailed Budget'!$AC$198</f>
        <v>18732540018.380611</v>
      </c>
      <c r="EA537" s="269">
        <f t="shared" si="1441"/>
        <v>31221743.628154479</v>
      </c>
      <c r="EB537" s="196">
        <f>'Detailed Budget'!$AC$200</f>
        <v>4683135004.5951529</v>
      </c>
      <c r="EC537" s="269">
        <f t="shared" si="1442"/>
        <v>7805435.9070386197</v>
      </c>
      <c r="ED537" s="269">
        <f t="shared" si="1370"/>
        <v>39027179.535193101</v>
      </c>
      <c r="EE537" s="196">
        <f>'Detailed Budget'!$AC$161</f>
        <v>251147290106.36197</v>
      </c>
      <c r="EF537" s="269">
        <f t="shared" si="1443"/>
        <v>441513275.56670618</v>
      </c>
      <c r="EG537" s="196">
        <f>'Detailed Budget'!$AC$163</f>
        <v>15696705631.647623</v>
      </c>
      <c r="EH537" s="269">
        <f t="shared" si="1444"/>
        <v>27594579.722919136</v>
      </c>
      <c r="EI537" s="269">
        <f t="shared" si="1371"/>
        <v>469107855.28962529</v>
      </c>
      <c r="EJ537" s="196">
        <f>'Detailed Budget'!$AC$204</f>
        <v>45012172507.531975</v>
      </c>
      <c r="EK537" s="269">
        <f t="shared" si="1445"/>
        <v>33195977.725762255</v>
      </c>
      <c r="EL537" s="201">
        <f>'Detailed Budget'!$AC$206</f>
        <v>11253043126.882994</v>
      </c>
      <c r="EM537" s="269">
        <f t="shared" si="1446"/>
        <v>8298994.4314405639</v>
      </c>
      <c r="EN537" s="269">
        <f t="shared" si="1372"/>
        <v>41494972.157202817</v>
      </c>
      <c r="EO537" s="140">
        <f>'Detailed Budget'!$AC$209</f>
        <v>135789361677.54817</v>
      </c>
      <c r="EP537" s="269">
        <f t="shared" si="1447"/>
        <v>278576936.73943913</v>
      </c>
      <c r="EQ537" s="196">
        <f>'Detailed Budget'!$AC$211</f>
        <v>33947340419.387043</v>
      </c>
      <c r="ER537" s="269">
        <f t="shared" si="1448"/>
        <v>69644234.184859782</v>
      </c>
      <c r="ES537" s="269">
        <f t="shared" si="1373"/>
        <v>348221170.92429888</v>
      </c>
      <c r="ET537" s="196">
        <f>'Detailed Budget'!$AC$214</f>
        <v>22239745544.201103</v>
      </c>
      <c r="EU537" s="269">
        <f t="shared" si="1449"/>
        <v>44310393.795202143</v>
      </c>
      <c r="EV537" s="140">
        <f>'Detailed Budget'!$AC$217</f>
        <v>5559936386.0502758</v>
      </c>
      <c r="EW537" s="269">
        <f t="shared" si="1450"/>
        <v>11077598.448800536</v>
      </c>
      <c r="EX537" s="269">
        <f t="shared" si="1374"/>
        <v>55387992.244002678</v>
      </c>
      <c r="EY537" s="196">
        <f>'Detailed Budget'!$AC$219</f>
        <v>372777004.58170313</v>
      </c>
      <c r="EZ537" s="269">
        <f t="shared" si="1451"/>
        <v>777531.34965866629</v>
      </c>
      <c r="FA537" s="196">
        <f>'Detailed Budget'!$AC$222</f>
        <v>93194251.145425782</v>
      </c>
      <c r="FB537" s="269">
        <f t="shared" si="1452"/>
        <v>194382.83741466657</v>
      </c>
      <c r="FC537" s="269">
        <f t="shared" si="1375"/>
        <v>971914.18707333284</v>
      </c>
      <c r="FD537" s="269"/>
      <c r="FE537" s="269">
        <f t="shared" si="1376"/>
        <v>446076049.51257777</v>
      </c>
      <c r="FF537" s="140">
        <f>'Detailed Budget'!$AC$165</f>
        <v>14927760000</v>
      </c>
      <c r="FG537" s="1087">
        <f t="shared" si="1420"/>
        <v>608477259.0277952</v>
      </c>
      <c r="FH537" s="269">
        <f t="shared" si="1453"/>
        <v>33922872.400863543</v>
      </c>
      <c r="FJ537" s="140">
        <f>'Detailed Budget'!$AC$235</f>
        <v>3623696172</v>
      </c>
      <c r="FK537" s="269">
        <f t="shared" si="1454"/>
        <v>4681778</v>
      </c>
      <c r="FL537" s="269">
        <f t="shared" si="1421"/>
        <v>4681778</v>
      </c>
      <c r="FO537" s="607"/>
      <c r="FP537" s="607"/>
      <c r="FQ537" s="607"/>
      <c r="FR537" s="269">
        <f>'Detailed Budget'!$AC$257</f>
        <v>13636439388</v>
      </c>
      <c r="FS537" s="269">
        <f t="shared" si="1455"/>
        <v>18487716</v>
      </c>
      <c r="FT537" s="269">
        <f t="shared" si="1422"/>
        <v>18487716</v>
      </c>
      <c r="FU537" s="269"/>
      <c r="FV537" s="269"/>
      <c r="FW537" s="269"/>
      <c r="FX537" s="140">
        <f>'Detailed Budget'!$AC$278</f>
        <v>1114560000</v>
      </c>
      <c r="FY537" s="269">
        <f t="shared" si="1456"/>
        <v>1440000</v>
      </c>
      <c r="FZ537" s="269">
        <f t="shared" si="1423"/>
        <v>1440000</v>
      </c>
      <c r="GB537" s="269">
        <f t="shared" si="1431"/>
        <v>1962786909.184649</v>
      </c>
      <c r="GC537" s="887">
        <f t="shared" si="1377"/>
        <v>1226741.8182404055</v>
      </c>
      <c r="GD537" s="1078">
        <f t="shared" si="1432"/>
        <v>1.1013815411425741E-3</v>
      </c>
    </row>
    <row r="538" spans="1:186" hidden="1" outlineLevel="1">
      <c r="A538" s="211" t="s">
        <v>1193</v>
      </c>
      <c r="B538" s="212" t="s">
        <v>1194</v>
      </c>
      <c r="C538" s="213" t="s">
        <v>215</v>
      </c>
      <c r="D538" s="214"/>
      <c r="E538" s="213"/>
      <c r="F538" s="213"/>
      <c r="G538" s="213" t="s">
        <v>215</v>
      </c>
      <c r="H538" s="213" t="s">
        <v>215</v>
      </c>
      <c r="I538" s="214" t="s">
        <v>215</v>
      </c>
      <c r="J538" s="214"/>
      <c r="K538" s="213"/>
      <c r="L538" s="213"/>
      <c r="M538" s="214" t="s">
        <v>215</v>
      </c>
      <c r="N538" s="213"/>
      <c r="O538" s="214"/>
      <c r="P538" s="213"/>
      <c r="Q538" s="214"/>
      <c r="R538" s="214" t="s">
        <v>215</v>
      </c>
      <c r="S538" s="214"/>
      <c r="T538" s="214"/>
      <c r="U538" s="215">
        <f t="shared" si="1457"/>
        <v>6</v>
      </c>
      <c r="V538" s="845" t="s">
        <v>216</v>
      </c>
      <c r="W538" s="216">
        <v>147364</v>
      </c>
      <c r="X538" s="217">
        <v>3</v>
      </c>
      <c r="Y538" s="218">
        <f t="shared" si="1312"/>
        <v>1.03</v>
      </c>
      <c r="Z538" s="196">
        <v>19</v>
      </c>
      <c r="AA538" s="218">
        <f t="shared" si="1313"/>
        <v>1.7535060530771003</v>
      </c>
      <c r="AB538" s="196">
        <f t="shared" si="1389"/>
        <v>258403.66600565379</v>
      </c>
      <c r="AC538">
        <v>11.8</v>
      </c>
      <c r="AD538" s="196">
        <f t="shared" si="1390"/>
        <v>30491.632588667148</v>
      </c>
      <c r="AE538" s="196">
        <f t="shared" si="1314"/>
        <v>28967.050959233788</v>
      </c>
      <c r="AF538" s="196">
        <f t="shared" si="1458"/>
        <v>0</v>
      </c>
      <c r="AG538" s="606">
        <f t="shared" si="1380"/>
        <v>1.3393092686184809E-3</v>
      </c>
      <c r="AH538" s="196">
        <f t="shared" si="1474"/>
        <v>12920.18330028269</v>
      </c>
      <c r="AI538" s="248">
        <f t="shared" si="1359"/>
        <v>1.0009070242830923E-3</v>
      </c>
      <c r="AJ538" s="196">
        <f t="shared" si="1360"/>
        <v>43411.815888949837</v>
      </c>
      <c r="AK538" s="196">
        <f t="shared" si="1391"/>
        <v>10336.146640226152</v>
      </c>
      <c r="AL538" s="196">
        <f t="shared" si="1392"/>
        <v>10336.146640226152</v>
      </c>
      <c r="AM538" s="196">
        <f t="shared" si="1361"/>
        <v>20672.293280452304</v>
      </c>
      <c r="AN538" s="627">
        <f t="shared" si="1362"/>
        <v>1.0009070242830923E-3</v>
      </c>
      <c r="AO538" s="196">
        <f t="shared" si="1363"/>
        <v>9819.3393082148432</v>
      </c>
      <c r="AP538" s="589">
        <f t="shared" si="1381"/>
        <v>1.0009070242830921E-3</v>
      </c>
      <c r="AQ538" s="196"/>
      <c r="AR538" s="589"/>
      <c r="AS538">
        <v>1</v>
      </c>
      <c r="AT538" s="589">
        <f t="shared" si="1382"/>
        <v>1.2919896640826874E-3</v>
      </c>
      <c r="AU538" s="196">
        <v>16</v>
      </c>
      <c r="AV538" s="245">
        <f t="shared" si="1364"/>
        <v>1.81797523008749E-3</v>
      </c>
      <c r="AX538" s="245"/>
      <c r="AY538" s="245"/>
      <c r="AZ538" s="196">
        <v>26</v>
      </c>
      <c r="BA538" s="589">
        <f t="shared" si="1425"/>
        <v>9.526950276647979E-4</v>
      </c>
      <c r="BI538" s="196">
        <v>0</v>
      </c>
      <c r="BK538" s="246">
        <f t="shared" si="1426"/>
        <v>0</v>
      </c>
      <c r="BL538" s="246"/>
      <c r="BM538" s="246">
        <f t="shared" si="1427"/>
        <v>0</v>
      </c>
      <c r="BN538" s="196">
        <v>1</v>
      </c>
      <c r="BO538" s="196">
        <f t="shared" si="1459"/>
        <v>13633.47178567363</v>
      </c>
      <c r="BP538" s="196">
        <f t="shared" si="1365"/>
        <v>13633.47178567363</v>
      </c>
      <c r="BQ538" s="248">
        <f t="shared" si="1428"/>
        <v>1.2753477979074123E-3</v>
      </c>
      <c r="BR538" s="248"/>
      <c r="BS538" s="248"/>
      <c r="BT538" s="276">
        <v>0</v>
      </c>
      <c r="BU538" s="196">
        <f t="shared" si="1460"/>
        <v>0</v>
      </c>
      <c r="BV538" s="264">
        <f t="shared" si="1429"/>
        <v>0</v>
      </c>
      <c r="BW538" s="196">
        <f t="shared" si="1461"/>
        <v>0</v>
      </c>
      <c r="BX538" s="247">
        <f t="shared" si="1430"/>
        <v>0</v>
      </c>
      <c r="BY538" s="196">
        <f t="shared" si="1462"/>
        <v>0</v>
      </c>
      <c r="BZ538" s="620">
        <v>1</v>
      </c>
      <c r="CA538" s="196">
        <f t="shared" si="1463"/>
        <v>79071.521797730064</v>
      </c>
      <c r="CB538" s="196">
        <f t="shared" si="1464"/>
        <v>158143.04359546013</v>
      </c>
      <c r="CC538" s="196">
        <f t="shared" si="1378"/>
        <v>237214.56539319019</v>
      </c>
      <c r="CD538" s="247">
        <f t="shared" si="1366"/>
        <v>1.0009070242830923E-3</v>
      </c>
      <c r="CE538" s="196">
        <f t="shared" si="1465"/>
        <v>21974.805265667583</v>
      </c>
      <c r="CF538" s="247">
        <f t="shared" si="1367"/>
        <v>9.4894043182192664E-4</v>
      </c>
      <c r="CG538" s="196">
        <f t="shared" si="1434"/>
        <v>39277.357232859373</v>
      </c>
      <c r="CH538" s="589">
        <f t="shared" si="1383"/>
        <v>1.0009070242830921E-3</v>
      </c>
      <c r="CI538" s="196">
        <f t="shared" si="1466"/>
        <v>25540.665583406299</v>
      </c>
      <c r="CJ538" s="248">
        <f t="shared" si="1384"/>
        <v>4.1988847736041865E-4</v>
      </c>
      <c r="CK538" s="196">
        <f t="shared" si="1467"/>
        <v>81253.824374519623</v>
      </c>
      <c r="CL538" s="589">
        <f t="shared" si="1385"/>
        <v>1.1680404385823451E-3</v>
      </c>
      <c r="CM538" s="196">
        <f t="shared" si="1468"/>
        <v>7871.4733962627606</v>
      </c>
      <c r="CN538" s="589">
        <f t="shared" si="1386"/>
        <v>1.1343687729497723E-3</v>
      </c>
      <c r="CO538" s="196">
        <f t="shared" si="1469"/>
        <v>629.7106564543127</v>
      </c>
      <c r="CP538" s="589">
        <f t="shared" si="1387"/>
        <v>1.1875373047759289E-3</v>
      </c>
      <c r="CQ538" s="196">
        <f>'Detailed Budget'!$AC$12</f>
        <v>292876014141.44696</v>
      </c>
      <c r="CR538" s="269">
        <f t="shared" si="1393"/>
        <v>0</v>
      </c>
      <c r="CS538" s="269">
        <f>'Detailed Budget'!$AC$16</f>
        <v>10488008800.000002</v>
      </c>
      <c r="CT538" s="607">
        <f t="shared" si="1436"/>
        <v>0</v>
      </c>
      <c r="CU538" s="269">
        <f>'Detailed Budget'!$AC$24</f>
        <v>30624985696</v>
      </c>
      <c r="CV538" s="269">
        <f t="shared" si="1424"/>
        <v>0</v>
      </c>
      <c r="CW538" s="269"/>
      <c r="CX538" s="269">
        <f t="shared" si="1379"/>
        <v>0</v>
      </c>
      <c r="CY538" s="196">
        <f>'Detailed Budget'!$AC$97</f>
        <v>74629165494.837845</v>
      </c>
      <c r="CZ538" s="269">
        <f t="shared" si="1437"/>
        <v>95178141.873509273</v>
      </c>
      <c r="DA538" s="269">
        <f>'Detailed Budget'!$AC$100</f>
        <v>14925833098.967569</v>
      </c>
      <c r="DB538" s="269">
        <f t="shared" si="1438"/>
        <v>19035628.374701858</v>
      </c>
      <c r="DC538" s="269">
        <f t="shared" si="1368"/>
        <v>114213770.24821113</v>
      </c>
      <c r="DD538" s="207">
        <v>0</v>
      </c>
      <c r="DE538" s="606">
        <v>0</v>
      </c>
      <c r="DF538" s="269">
        <f>'Detailed Budget'!$AC$147</f>
        <v>5913600671000</v>
      </c>
      <c r="DG538" s="269">
        <f t="shared" si="1419"/>
        <v>0</v>
      </c>
      <c r="DH538" s="269">
        <f>'Detailed Budget'!$AC$153</f>
        <v>226428026880.00003</v>
      </c>
      <c r="DI538" s="269"/>
      <c r="DJ538" s="269">
        <f>'Detailed Budget'!$AC$156</f>
        <v>27713070000</v>
      </c>
      <c r="DK538" s="269"/>
      <c r="DL538" s="269"/>
      <c r="DM538" s="196">
        <f>'Detailed Budget'!$AC$178</f>
        <v>5622683761.6229038</v>
      </c>
      <c r="DN538" s="269">
        <f t="shared" si="1470"/>
        <v>0</v>
      </c>
      <c r="DO538" s="196">
        <f>'Detailed Budget'!$AC$179</f>
        <v>26827890683.128094</v>
      </c>
      <c r="DP538" s="269">
        <f t="shared" si="1471"/>
        <v>0</v>
      </c>
      <c r="DQ538" s="269">
        <f t="shared" si="1388"/>
        <v>0</v>
      </c>
      <c r="DR538" s="269">
        <f>'Detailed Budget'!$AC$181</f>
        <v>50888946855.375237</v>
      </c>
      <c r="DS538" s="269">
        <f t="shared" si="1472"/>
        <v>0</v>
      </c>
      <c r="DT538" s="269">
        <f t="shared" si="1473"/>
        <v>0</v>
      </c>
      <c r="DU538" s="272">
        <f>'Detailed Budget'!$AC$192</f>
        <v>77498869683.252869</v>
      </c>
      <c r="DV538" s="269">
        <f t="shared" si="1439"/>
        <v>77569163.03996779</v>
      </c>
      <c r="DW538" s="140">
        <f>'Detailed Budget'!$AC$194</f>
        <v>2684962805.4134097</v>
      </c>
      <c r="DX538" s="269">
        <f t="shared" si="1440"/>
        <v>2687398.1318771197</v>
      </c>
      <c r="DY538" s="607">
        <f t="shared" si="1369"/>
        <v>80256561.171844915</v>
      </c>
      <c r="DZ538" s="196">
        <f>'Detailed Budget'!$AC$198</f>
        <v>18732540018.380611</v>
      </c>
      <c r="EA538" s="269">
        <f t="shared" si="1441"/>
        <v>17776064.614163619</v>
      </c>
      <c r="EB538" s="196">
        <f>'Detailed Budget'!$AC$200</f>
        <v>4683135004.5951529</v>
      </c>
      <c r="EC538" s="269">
        <f t="shared" si="1442"/>
        <v>4444016.1535409046</v>
      </c>
      <c r="ED538" s="269">
        <f t="shared" si="1370"/>
        <v>22220080.767704524</v>
      </c>
      <c r="EE538" s="196">
        <f>'Detailed Budget'!$AC$161</f>
        <v>251147290106.36197</v>
      </c>
      <c r="EF538" s="269">
        <f t="shared" si="1443"/>
        <v>251375086.79712123</v>
      </c>
      <c r="EG538" s="196">
        <f>'Detailed Budget'!$AC$163</f>
        <v>15696705631.647623</v>
      </c>
      <c r="EH538" s="269">
        <f t="shared" si="1444"/>
        <v>15710942.924820077</v>
      </c>
      <c r="EI538" s="269">
        <f t="shared" si="1371"/>
        <v>267086029.72194129</v>
      </c>
      <c r="EJ538" s="196">
        <f>'Detailed Budget'!$AC$204</f>
        <v>45012172507.531975</v>
      </c>
      <c r="EK538" s="269">
        <f t="shared" si="1445"/>
        <v>18900092.576872099</v>
      </c>
      <c r="EL538" s="201">
        <f>'Detailed Budget'!$AC$206</f>
        <v>11253043126.882994</v>
      </c>
      <c r="EM538" s="269">
        <f t="shared" si="1446"/>
        <v>4725023.1442180248</v>
      </c>
      <c r="EN538" s="269">
        <f t="shared" si="1372"/>
        <v>23625115.721090123</v>
      </c>
      <c r="EO538" s="140">
        <f>'Detailed Budget'!$AC$209</f>
        <v>135789361677.54817</v>
      </c>
      <c r="EP538" s="269">
        <f t="shared" si="1447"/>
        <v>158607465.56866005</v>
      </c>
      <c r="EQ538" s="196">
        <f>'Detailed Budget'!$AC$211</f>
        <v>33947340419.387043</v>
      </c>
      <c r="ER538" s="269">
        <f t="shared" si="1448"/>
        <v>39651866.392165013</v>
      </c>
      <c r="ES538" s="269">
        <f t="shared" si="1373"/>
        <v>198259331.96082506</v>
      </c>
      <c r="ET538" s="196">
        <f>'Detailed Budget'!$AC$214</f>
        <v>22239745544.201103</v>
      </c>
      <c r="EU538" s="269">
        <f t="shared" si="1449"/>
        <v>25228072.86369057</v>
      </c>
      <c r="EV538" s="140">
        <f>'Detailed Budget'!$AC$217</f>
        <v>5559936386.0502758</v>
      </c>
      <c r="EW538" s="269">
        <f t="shared" si="1450"/>
        <v>6307018.2159226425</v>
      </c>
      <c r="EX538" s="269">
        <f t="shared" si="1374"/>
        <v>31535091.079613212</v>
      </c>
      <c r="EY538" s="196">
        <f>'Detailed Budget'!$AC$219</f>
        <v>372777004.58170313</v>
      </c>
      <c r="EZ538" s="269">
        <f t="shared" si="1451"/>
        <v>442686.59930339985</v>
      </c>
      <c r="FA538" s="196">
        <f>'Detailed Budget'!$AC$222</f>
        <v>93194251.145425782</v>
      </c>
      <c r="FB538" s="269">
        <f t="shared" si="1452"/>
        <v>110671.64982584996</v>
      </c>
      <c r="FC538" s="269">
        <f t="shared" si="1375"/>
        <v>553358.24912924983</v>
      </c>
      <c r="FD538" s="269"/>
      <c r="FE538" s="269">
        <f t="shared" si="1376"/>
        <v>253972897.01065761</v>
      </c>
      <c r="FF538" s="140">
        <f>'Detailed Budget'!$AC$165</f>
        <v>14927760000</v>
      </c>
      <c r="FG538" s="1087">
        <f t="shared" si="1420"/>
        <v>346435842.96725637</v>
      </c>
      <c r="FH538" s="269">
        <f t="shared" si="1453"/>
        <v>27138297.920690831</v>
      </c>
      <c r="FJ538" s="140">
        <f>'Detailed Budget'!$AC$235</f>
        <v>3623696172</v>
      </c>
      <c r="FK538" s="269">
        <f t="shared" si="1454"/>
        <v>4681778</v>
      </c>
      <c r="FL538" s="269">
        <f t="shared" si="1421"/>
        <v>4681778</v>
      </c>
      <c r="FO538" s="607"/>
      <c r="FP538" s="607"/>
      <c r="FQ538" s="607"/>
      <c r="FR538" s="269">
        <f>'Detailed Budget'!$AC$257</f>
        <v>13636439388</v>
      </c>
      <c r="FS538" s="269">
        <f t="shared" si="1455"/>
        <v>12991368</v>
      </c>
      <c r="FT538" s="269">
        <f t="shared" si="1422"/>
        <v>12991368</v>
      </c>
      <c r="FU538" s="269"/>
      <c r="FV538" s="269"/>
      <c r="FW538" s="269"/>
      <c r="FX538" s="140">
        <f>'Detailed Budget'!$AC$278</f>
        <v>1114560000</v>
      </c>
      <c r="FY538" s="269">
        <f t="shared" si="1456"/>
        <v>1440000</v>
      </c>
      <c r="FZ538" s="269">
        <f t="shared" si="1423"/>
        <v>1440000</v>
      </c>
      <c r="GB538" s="269">
        <f t="shared" si="1431"/>
        <v>1130436625.8083065</v>
      </c>
      <c r="GC538" s="887">
        <f t="shared" si="1377"/>
        <v>706522.89113019151</v>
      </c>
      <c r="GD538" s="1078">
        <f t="shared" si="1432"/>
        <v>6.3432358717633805E-4</v>
      </c>
    </row>
    <row r="539" spans="1:186" hidden="1" outlineLevel="1">
      <c r="A539" s="211" t="s">
        <v>1195</v>
      </c>
      <c r="B539" s="212" t="s">
        <v>1196</v>
      </c>
      <c r="C539" s="213" t="s">
        <v>215</v>
      </c>
      <c r="D539" s="214"/>
      <c r="E539" s="213"/>
      <c r="F539" s="213"/>
      <c r="G539" s="213" t="s">
        <v>215</v>
      </c>
      <c r="H539" s="213" t="s">
        <v>215</v>
      </c>
      <c r="I539" s="214" t="s">
        <v>215</v>
      </c>
      <c r="J539" s="214"/>
      <c r="K539" s="213"/>
      <c r="L539" s="213"/>
      <c r="M539" s="214" t="s">
        <v>215</v>
      </c>
      <c r="N539" s="213"/>
      <c r="O539" s="214"/>
      <c r="P539" s="213"/>
      <c r="Q539" s="214"/>
      <c r="R539" s="214" t="s">
        <v>215</v>
      </c>
      <c r="S539" s="214"/>
      <c r="T539" s="214"/>
      <c r="U539" s="215">
        <f t="shared" si="1457"/>
        <v>6</v>
      </c>
      <c r="V539" s="845" t="s">
        <v>216</v>
      </c>
      <c r="W539" s="216">
        <v>148597</v>
      </c>
      <c r="X539" s="217">
        <v>3</v>
      </c>
      <c r="Y539" s="218">
        <f t="shared" si="1312"/>
        <v>1.03</v>
      </c>
      <c r="Z539" s="196">
        <v>19</v>
      </c>
      <c r="AA539" s="218">
        <f t="shared" si="1313"/>
        <v>1.7535060530771003</v>
      </c>
      <c r="AB539" s="196">
        <f t="shared" ref="AB539:AB571" si="1475">W539*AA539</f>
        <v>260565.73896909787</v>
      </c>
      <c r="AC539">
        <v>11.8</v>
      </c>
      <c r="AD539" s="196">
        <f t="shared" ref="AD539:AD571" si="1476">AB539*AC539/100</f>
        <v>30746.757198353549</v>
      </c>
      <c r="AE539" s="196">
        <f t="shared" si="1314"/>
        <v>29209.41933843587</v>
      </c>
      <c r="AF539" s="196">
        <f t="shared" si="1458"/>
        <v>0</v>
      </c>
      <c r="AG539" s="606">
        <f t="shared" si="1380"/>
        <v>1.3505153184556636E-3</v>
      </c>
      <c r="AH539" s="196">
        <f t="shared" si="1474"/>
        <v>13028.286948454894</v>
      </c>
      <c r="AI539" s="248">
        <f t="shared" si="1359"/>
        <v>1.0092816501139673E-3</v>
      </c>
      <c r="AJ539" s="196">
        <f t="shared" si="1360"/>
        <v>43775.044146808446</v>
      </c>
      <c r="AK539" s="196">
        <f t="shared" si="1391"/>
        <v>10422.629558763916</v>
      </c>
      <c r="AL539" s="196">
        <f t="shared" si="1392"/>
        <v>10422.629558763916</v>
      </c>
      <c r="AM539" s="196">
        <f t="shared" si="1361"/>
        <v>20845.259117527832</v>
      </c>
      <c r="AN539" s="627">
        <f t="shared" si="1362"/>
        <v>1.0092816501139673E-3</v>
      </c>
      <c r="AO539" s="196">
        <f t="shared" si="1363"/>
        <v>9901.4980808257187</v>
      </c>
      <c r="AP539" s="589">
        <f t="shared" si="1381"/>
        <v>1.0092816501139673E-3</v>
      </c>
      <c r="AQ539" s="196"/>
      <c r="AR539" s="589"/>
      <c r="AS539">
        <v>1</v>
      </c>
      <c r="AT539" s="589">
        <f t="shared" si="1382"/>
        <v>1.2919896640826874E-3</v>
      </c>
      <c r="AU539" s="196">
        <v>11</v>
      </c>
      <c r="AV539" s="245">
        <f t="shared" si="1364"/>
        <v>1.2498579706851495E-3</v>
      </c>
      <c r="AX539" s="245"/>
      <c r="AY539" s="245"/>
      <c r="AZ539" s="196">
        <v>41</v>
      </c>
      <c r="BA539" s="589">
        <f t="shared" si="1425"/>
        <v>1.5023267743944891E-3</v>
      </c>
      <c r="BI539" s="196">
        <v>0</v>
      </c>
      <c r="BK539" s="246">
        <f t="shared" si="1426"/>
        <v>0</v>
      </c>
      <c r="BL539" s="246"/>
      <c r="BM539" s="246">
        <f t="shared" si="1427"/>
        <v>0</v>
      </c>
      <c r="BN539" s="196">
        <v>1</v>
      </c>
      <c r="BO539" s="196">
        <f t="shared" si="1459"/>
        <v>13747.543544798898</v>
      </c>
      <c r="BP539" s="196">
        <f t="shared" si="1365"/>
        <v>13747.543544798898</v>
      </c>
      <c r="BQ539" s="248">
        <f t="shared" si="1428"/>
        <v>1.2860186797701459E-3</v>
      </c>
      <c r="BR539" s="248"/>
      <c r="BS539" s="248"/>
      <c r="BT539" s="276">
        <v>0</v>
      </c>
      <c r="BU539" s="196">
        <f t="shared" si="1460"/>
        <v>0</v>
      </c>
      <c r="BV539" s="264">
        <f t="shared" si="1429"/>
        <v>0</v>
      </c>
      <c r="BW539" s="196">
        <f t="shared" si="1461"/>
        <v>0</v>
      </c>
      <c r="BX539" s="247">
        <f t="shared" si="1430"/>
        <v>0</v>
      </c>
      <c r="BY539" s="196">
        <f t="shared" si="1462"/>
        <v>0</v>
      </c>
      <c r="BZ539" s="620">
        <v>1</v>
      </c>
      <c r="CA539" s="196">
        <f t="shared" si="1463"/>
        <v>79733.116124543943</v>
      </c>
      <c r="CB539" s="196">
        <f t="shared" si="1464"/>
        <v>159466.23224908789</v>
      </c>
      <c r="CC539" s="196">
        <f t="shared" si="1378"/>
        <v>239199.34837363183</v>
      </c>
      <c r="CD539" s="247">
        <f t="shared" si="1366"/>
        <v>1.0092816501139671E-3</v>
      </c>
      <c r="CE539" s="196">
        <f t="shared" si="1465"/>
        <v>22158.669268358666</v>
      </c>
      <c r="CF539" s="247">
        <f t="shared" si="1367"/>
        <v>9.5688025126518597E-4</v>
      </c>
      <c r="CG539" s="196">
        <f t="shared" si="1434"/>
        <v>39605.992323302875</v>
      </c>
      <c r="CH539" s="589">
        <f t="shared" si="1383"/>
        <v>1.0092816501139673E-3</v>
      </c>
      <c r="CI539" s="196">
        <f t="shared" si="1466"/>
        <v>25754.365270333499</v>
      </c>
      <c r="CJ539" s="248">
        <f t="shared" si="1384"/>
        <v>4.234016996710603E-4</v>
      </c>
      <c r="CK539" s="196">
        <f t="shared" si="1467"/>
        <v>81933.678107139407</v>
      </c>
      <c r="CL539" s="589">
        <f t="shared" si="1385"/>
        <v>1.1778134758287013E-3</v>
      </c>
      <c r="CM539" s="196">
        <f t="shared" si="1468"/>
        <v>7937.3343032522016</v>
      </c>
      <c r="CN539" s="589">
        <f t="shared" si="1386"/>
        <v>1.1438600781331759E-3</v>
      </c>
      <c r="CO539" s="196">
        <f t="shared" si="1469"/>
        <v>634.97946864323387</v>
      </c>
      <c r="CP539" s="589">
        <f t="shared" si="1387"/>
        <v>1.1974734730177568E-3</v>
      </c>
      <c r="CQ539" s="196">
        <f>'Detailed Budget'!$AC$12</f>
        <v>292876014141.44696</v>
      </c>
      <c r="CR539" s="269">
        <f t="shared" si="1393"/>
        <v>0</v>
      </c>
      <c r="CS539" s="269">
        <f>'Detailed Budget'!$AC$16</f>
        <v>10488008800.000002</v>
      </c>
      <c r="CT539" s="607">
        <f t="shared" si="1436"/>
        <v>0</v>
      </c>
      <c r="CU539" s="269">
        <f>'Detailed Budget'!$AC$24</f>
        <v>30624985696</v>
      </c>
      <c r="CV539" s="269">
        <f t="shared" si="1424"/>
        <v>0</v>
      </c>
      <c r="CW539" s="269"/>
      <c r="CX539" s="269">
        <f t="shared" si="1379"/>
        <v>0</v>
      </c>
      <c r="CY539" s="196">
        <f>'Detailed Budget'!$AC$97</f>
        <v>74629165494.837845</v>
      </c>
      <c r="CZ539" s="269">
        <f t="shared" si="1437"/>
        <v>95974500.882019088</v>
      </c>
      <c r="DA539" s="269">
        <f>'Detailed Budget'!$AC$100</f>
        <v>14925833098.967569</v>
      </c>
      <c r="DB539" s="269">
        <f t="shared" si="1438"/>
        <v>19194900.176403817</v>
      </c>
      <c r="DC539" s="269">
        <f t="shared" si="1368"/>
        <v>115169401.05842291</v>
      </c>
      <c r="DD539" s="207">
        <v>0</v>
      </c>
      <c r="DE539" s="606">
        <v>0</v>
      </c>
      <c r="DF539" s="269">
        <f>'Detailed Budget'!$AC$147</f>
        <v>5913600671000</v>
      </c>
      <c r="DG539" s="269">
        <f t="shared" si="1419"/>
        <v>0</v>
      </c>
      <c r="DH539" s="269">
        <f>'Detailed Budget'!$AC$153</f>
        <v>226428026880.00003</v>
      </c>
      <c r="DI539" s="269"/>
      <c r="DJ539" s="269">
        <f>'Detailed Budget'!$AC$156</f>
        <v>27713070000</v>
      </c>
      <c r="DK539" s="269"/>
      <c r="DL539" s="269"/>
      <c r="DM539" s="196">
        <f>'Detailed Budget'!$AC$178</f>
        <v>5622683761.6229038</v>
      </c>
      <c r="DN539" s="269">
        <f t="shared" si="1470"/>
        <v>0</v>
      </c>
      <c r="DO539" s="196">
        <f>'Detailed Budget'!$AC$179</f>
        <v>26827890683.128094</v>
      </c>
      <c r="DP539" s="269">
        <f t="shared" si="1471"/>
        <v>0</v>
      </c>
      <c r="DQ539" s="269">
        <f t="shared" si="1388"/>
        <v>0</v>
      </c>
      <c r="DR539" s="269">
        <f>'Detailed Budget'!$AC$181</f>
        <v>50888946855.375237</v>
      </c>
      <c r="DS539" s="269">
        <f t="shared" si="1472"/>
        <v>0</v>
      </c>
      <c r="DT539" s="269">
        <f t="shared" si="1473"/>
        <v>0</v>
      </c>
      <c r="DU539" s="272">
        <f>'Detailed Budget'!$AC$192</f>
        <v>77498869683.252869</v>
      </c>
      <c r="DV539" s="269">
        <f t="shared" si="1439"/>
        <v>78218187.075880751</v>
      </c>
      <c r="DW539" s="140">
        <f>'Detailed Budget'!$AC$194</f>
        <v>2684962805.4134097</v>
      </c>
      <c r="DX539" s="269">
        <f t="shared" si="1440"/>
        <v>2709883.6907422733</v>
      </c>
      <c r="DY539" s="607">
        <f t="shared" si="1369"/>
        <v>80928070.76662302</v>
      </c>
      <c r="DZ539" s="196">
        <f>'Detailed Budget'!$AC$198</f>
        <v>18732540018.380611</v>
      </c>
      <c r="EA539" s="269">
        <f t="shared" si="1441"/>
        <v>17924797.599623192</v>
      </c>
      <c r="EB539" s="196">
        <f>'Detailed Budget'!$AC$200</f>
        <v>4683135004.5951529</v>
      </c>
      <c r="EC539" s="269">
        <f t="shared" si="1442"/>
        <v>4481199.399905798</v>
      </c>
      <c r="ED539" s="269">
        <f t="shared" si="1370"/>
        <v>22405996.999528989</v>
      </c>
      <c r="EE539" s="196">
        <f>'Detailed Budget'!$AC$161</f>
        <v>251147290106.36197</v>
      </c>
      <c r="EF539" s="269">
        <f t="shared" si="1443"/>
        <v>253478351.38020027</v>
      </c>
      <c r="EG539" s="196">
        <f>'Detailed Budget'!$AC$163</f>
        <v>15696705631.647623</v>
      </c>
      <c r="EH539" s="269">
        <f t="shared" si="1444"/>
        <v>15842396.961262517</v>
      </c>
      <c r="EI539" s="269">
        <f t="shared" si="1371"/>
        <v>269320748.34146279</v>
      </c>
      <c r="EJ539" s="196">
        <f>'Detailed Budget'!$AC$204</f>
        <v>45012172507.531975</v>
      </c>
      <c r="EK539" s="269">
        <f t="shared" si="1445"/>
        <v>19058230.345576011</v>
      </c>
      <c r="EL539" s="201">
        <f>'Detailed Budget'!$AC$206</f>
        <v>11253043126.882994</v>
      </c>
      <c r="EM539" s="269">
        <f t="shared" si="1446"/>
        <v>4764557.5863940027</v>
      </c>
      <c r="EN539" s="269">
        <f t="shared" si="1372"/>
        <v>23822787.931970015</v>
      </c>
      <c r="EO539" s="140">
        <f>'Detailed Budget'!$AC$209</f>
        <v>135789361677.54817</v>
      </c>
      <c r="EP539" s="269">
        <f t="shared" si="1447"/>
        <v>159934540.05799365</v>
      </c>
      <c r="EQ539" s="196">
        <f>'Detailed Budget'!$AC$211</f>
        <v>33947340419.387043</v>
      </c>
      <c r="ER539" s="269">
        <f t="shared" si="1448"/>
        <v>39983635.014498413</v>
      </c>
      <c r="ES539" s="269">
        <f t="shared" si="1373"/>
        <v>199918175.07249206</v>
      </c>
      <c r="ET539" s="196">
        <f>'Detailed Budget'!$AC$214</f>
        <v>22239745544.201103</v>
      </c>
      <c r="EU539" s="269">
        <f t="shared" si="1449"/>
        <v>25439157.075851824</v>
      </c>
      <c r="EV539" s="140">
        <f>'Detailed Budget'!$AC$217</f>
        <v>5559936386.0502758</v>
      </c>
      <c r="EW539" s="269">
        <f t="shared" si="1450"/>
        <v>6359789.268962956</v>
      </c>
      <c r="EX539" s="269">
        <f t="shared" si="1374"/>
        <v>31798946.344814781</v>
      </c>
      <c r="EY539" s="196">
        <f>'Detailed Budget'!$AC$219</f>
        <v>372777004.58170313</v>
      </c>
      <c r="EZ539" s="269">
        <f t="shared" si="1451"/>
        <v>446390.5743376083</v>
      </c>
      <c r="FA539" s="196">
        <f>'Detailed Budget'!$AC$222</f>
        <v>93194251.145425782</v>
      </c>
      <c r="FB539" s="269">
        <f t="shared" si="1452"/>
        <v>111597.64358440207</v>
      </c>
      <c r="FC539" s="269">
        <f t="shared" si="1375"/>
        <v>557988.21792201034</v>
      </c>
      <c r="FD539" s="269"/>
      <c r="FE539" s="269">
        <f t="shared" si="1376"/>
        <v>256097897.56719884</v>
      </c>
      <c r="FF539" s="140">
        <f>'Detailed Budget'!$AC$165</f>
        <v>14927760000</v>
      </c>
      <c r="FG539" s="1087">
        <f t="shared" si="1420"/>
        <v>349334484.38835394</v>
      </c>
      <c r="FH539" s="269">
        <f t="shared" si="1453"/>
        <v>18657579.820474949</v>
      </c>
      <c r="FJ539" s="140">
        <f>'Detailed Budget'!$AC$235</f>
        <v>3623696172</v>
      </c>
      <c r="FK539" s="269">
        <f t="shared" si="1454"/>
        <v>4681778</v>
      </c>
      <c r="FL539" s="269">
        <f t="shared" si="1421"/>
        <v>4681778</v>
      </c>
      <c r="FO539" s="607"/>
      <c r="FP539" s="607"/>
      <c r="FQ539" s="607"/>
      <c r="FR539" s="269">
        <f>'Detailed Budget'!$AC$257</f>
        <v>13636439388</v>
      </c>
      <c r="FS539" s="269">
        <f t="shared" si="1455"/>
        <v>20486388</v>
      </c>
      <c r="FT539" s="269">
        <f t="shared" si="1422"/>
        <v>20486388</v>
      </c>
      <c r="FU539" s="269"/>
      <c r="FV539" s="269"/>
      <c r="FW539" s="269"/>
      <c r="FX539" s="140">
        <f>'Detailed Budget'!$AC$278</f>
        <v>1114560000</v>
      </c>
      <c r="FY539" s="269">
        <f t="shared" si="1456"/>
        <v>1440000</v>
      </c>
      <c r="FZ539" s="269">
        <f t="shared" si="1423"/>
        <v>1440000</v>
      </c>
      <c r="GB539" s="269">
        <f t="shared" si="1431"/>
        <v>1138522344.9420655</v>
      </c>
      <c r="GC539" s="887">
        <f t="shared" si="1377"/>
        <v>711576.46558879095</v>
      </c>
      <c r="GD539" s="1078">
        <f t="shared" si="1432"/>
        <v>6.3886073879433256E-4</v>
      </c>
    </row>
    <row r="540" spans="1:186" hidden="1" outlineLevel="1">
      <c r="A540" s="211" t="s">
        <v>1197</v>
      </c>
      <c r="B540" s="212" t="s">
        <v>1198</v>
      </c>
      <c r="C540" s="213" t="s">
        <v>215</v>
      </c>
      <c r="D540" s="214"/>
      <c r="E540" s="213"/>
      <c r="F540" s="213"/>
      <c r="G540" s="213" t="s">
        <v>215</v>
      </c>
      <c r="H540" s="213" t="s">
        <v>215</v>
      </c>
      <c r="I540" s="214" t="s">
        <v>215</v>
      </c>
      <c r="J540" s="214"/>
      <c r="K540" s="213" t="s">
        <v>215</v>
      </c>
      <c r="L540" s="213"/>
      <c r="M540" s="214"/>
      <c r="N540" s="213"/>
      <c r="O540" s="214"/>
      <c r="P540" s="213"/>
      <c r="Q540" s="214"/>
      <c r="R540" s="214" t="s">
        <v>215</v>
      </c>
      <c r="S540" s="214"/>
      <c r="T540" s="214"/>
      <c r="U540" s="215">
        <f t="shared" si="1457"/>
        <v>6</v>
      </c>
      <c r="V540" s="845" t="s">
        <v>216</v>
      </c>
      <c r="W540" s="216">
        <v>153591</v>
      </c>
      <c r="X540" s="217">
        <v>3</v>
      </c>
      <c r="Y540" s="218">
        <f t="shared" si="1312"/>
        <v>1.03</v>
      </c>
      <c r="Z540" s="196">
        <v>19</v>
      </c>
      <c r="AA540" s="218">
        <f t="shared" si="1313"/>
        <v>1.7535060530771003</v>
      </c>
      <c r="AB540" s="196">
        <f t="shared" si="1475"/>
        <v>269322.74819816492</v>
      </c>
      <c r="AC540">
        <v>11.8</v>
      </c>
      <c r="AD540" s="196">
        <f t="shared" si="1476"/>
        <v>31780.084287383463</v>
      </c>
      <c r="AE540" s="196">
        <f t="shared" si="1314"/>
        <v>30191.080073014287</v>
      </c>
      <c r="AF540" s="196">
        <f t="shared" si="1458"/>
        <v>0</v>
      </c>
      <c r="AG540" s="606">
        <f t="shared" si="1380"/>
        <v>1.3959030012511951E-3</v>
      </c>
      <c r="AH540" s="196">
        <f t="shared" si="1474"/>
        <v>13466.137409908246</v>
      </c>
      <c r="AI540" s="248">
        <f t="shared" si="1359"/>
        <v>1.0432012619545103E-3</v>
      </c>
      <c r="AJ540" s="196">
        <f t="shared" si="1360"/>
        <v>45246.221697291709</v>
      </c>
      <c r="AK540" s="196">
        <f t="shared" si="1391"/>
        <v>10772.909927926597</v>
      </c>
      <c r="AL540" s="196">
        <f t="shared" si="1392"/>
        <v>10772.909927926597</v>
      </c>
      <c r="AM540" s="196">
        <f t="shared" si="1361"/>
        <v>21545.819855853195</v>
      </c>
      <c r="AN540" s="627">
        <f t="shared" si="1362"/>
        <v>1.0432012619545103E-3</v>
      </c>
      <c r="AO540" s="196">
        <f t="shared" si="1363"/>
        <v>10234.264431530266</v>
      </c>
      <c r="AP540" s="589">
        <f t="shared" si="1381"/>
        <v>1.0432012619545101E-3</v>
      </c>
      <c r="AQ540" s="196"/>
      <c r="AR540" s="589"/>
      <c r="AS540">
        <v>1</v>
      </c>
      <c r="AT540" s="589">
        <f t="shared" si="1382"/>
        <v>1.2919896640826874E-3</v>
      </c>
      <c r="AU540" s="196">
        <v>14</v>
      </c>
      <c r="AV540" s="245">
        <f t="shared" si="1364"/>
        <v>1.5907283263265539E-3</v>
      </c>
      <c r="AX540" s="245"/>
      <c r="AY540" s="245"/>
      <c r="AZ540" s="196">
        <v>35</v>
      </c>
      <c r="BA540" s="589">
        <f t="shared" si="1425"/>
        <v>1.2824740757026126E-3</v>
      </c>
      <c r="BI540" s="196">
        <v>0</v>
      </c>
      <c r="BK540" s="246">
        <f t="shared" si="1426"/>
        <v>0</v>
      </c>
      <c r="BL540" s="246"/>
      <c r="BM540" s="246">
        <f t="shared" si="1427"/>
        <v>0</v>
      </c>
      <c r="BN540" s="196">
        <v>1</v>
      </c>
      <c r="BO540" s="196">
        <f t="shared" si="1459"/>
        <v>14209.566549723128</v>
      </c>
      <c r="BP540" s="196">
        <f t="shared" si="1365"/>
        <v>14209.566549723128</v>
      </c>
      <c r="BQ540" s="248">
        <f t="shared" si="1428"/>
        <v>1.3292387803561072E-3</v>
      </c>
      <c r="BR540" s="248"/>
      <c r="BS540" s="248"/>
      <c r="BT540" s="276">
        <v>0</v>
      </c>
      <c r="BU540" s="196">
        <f t="shared" si="1460"/>
        <v>0</v>
      </c>
      <c r="BV540" s="264">
        <f t="shared" si="1429"/>
        <v>0</v>
      </c>
      <c r="BW540" s="196">
        <f t="shared" si="1461"/>
        <v>0</v>
      </c>
      <c r="BX540" s="247">
        <f t="shared" si="1430"/>
        <v>0</v>
      </c>
      <c r="BY540" s="196">
        <f t="shared" si="1462"/>
        <v>0</v>
      </c>
      <c r="BZ540" s="620">
        <v>1</v>
      </c>
      <c r="CA540" s="196">
        <f t="shared" si="1463"/>
        <v>82412.760948638475</v>
      </c>
      <c r="CB540" s="196">
        <f t="shared" si="1464"/>
        <v>164825.52189727695</v>
      </c>
      <c r="CC540" s="196">
        <f t="shared" si="1378"/>
        <v>247238.28284591541</v>
      </c>
      <c r="CD540" s="247">
        <f t="shared" si="1366"/>
        <v>1.0432012619545103E-3</v>
      </c>
      <c r="CE540" s="196">
        <f t="shared" si="1465"/>
        <v>22903.370670985791</v>
      </c>
      <c r="CF540" s="247">
        <f t="shared" si="1367"/>
        <v>9.8903877381152487E-4</v>
      </c>
      <c r="CG540" s="196">
        <f t="shared" si="1434"/>
        <v>40937.057726121064</v>
      </c>
      <c r="CH540" s="589">
        <f t="shared" si="1383"/>
        <v>1.0432012619545101E-3</v>
      </c>
      <c r="CI540" s="196">
        <f t="shared" si="1466"/>
        <v>26619.909663289247</v>
      </c>
      <c r="CJ540" s="248">
        <f t="shared" si="1384"/>
        <v>4.3763124729421062E-4</v>
      </c>
      <c r="CK540" s="196">
        <f t="shared" si="1467"/>
        <v>84687.278707871956</v>
      </c>
      <c r="CL540" s="589">
        <f t="shared" si="1385"/>
        <v>1.2173970508557108E-3</v>
      </c>
      <c r="CM540" s="196">
        <f t="shared" si="1468"/>
        <v>8204.0896718696131</v>
      </c>
      <c r="CN540" s="589">
        <f t="shared" si="1386"/>
        <v>1.1823025583326218E-3</v>
      </c>
      <c r="CO540" s="196">
        <f t="shared" si="1469"/>
        <v>656.31965361604148</v>
      </c>
      <c r="CP540" s="589">
        <f t="shared" si="1387"/>
        <v>1.2377177748828729E-3</v>
      </c>
      <c r="CQ540" s="196">
        <f>'Detailed Budget'!$AC$12</f>
        <v>292876014141.44696</v>
      </c>
      <c r="CR540" s="269">
        <f t="shared" si="1393"/>
        <v>0</v>
      </c>
      <c r="CS540" s="269">
        <f>'Detailed Budget'!$AC$16</f>
        <v>10488008800.000002</v>
      </c>
      <c r="CT540" s="607">
        <f t="shared" si="1436"/>
        <v>0</v>
      </c>
      <c r="CU540" s="269">
        <f>'Detailed Budget'!$AC$24</f>
        <v>30624985696</v>
      </c>
      <c r="CV540" s="269">
        <f t="shared" si="1424"/>
        <v>0</v>
      </c>
      <c r="CW540" s="269"/>
      <c r="CX540" s="269">
        <f t="shared" si="1379"/>
        <v>0</v>
      </c>
      <c r="CY540" s="196">
        <f>'Detailed Budget'!$AC$97</f>
        <v>74629165494.837845</v>
      </c>
      <c r="CZ540" s="269">
        <f t="shared" si="1437"/>
        <v>99199980.921352327</v>
      </c>
      <c r="DA540" s="269">
        <f>'Detailed Budget'!$AC$100</f>
        <v>14925833098.967569</v>
      </c>
      <c r="DB540" s="269">
        <f t="shared" si="1438"/>
        <v>19839996.184270468</v>
      </c>
      <c r="DC540" s="269">
        <f t="shared" si="1368"/>
        <v>119039977.1056228</v>
      </c>
      <c r="DD540" s="207">
        <v>0</v>
      </c>
      <c r="DE540" s="606">
        <v>0</v>
      </c>
      <c r="DF540" s="269">
        <f>'Detailed Budget'!$AC$147</f>
        <v>5913600671000</v>
      </c>
      <c r="DG540" s="269">
        <f t="shared" si="1419"/>
        <v>0</v>
      </c>
      <c r="DH540" s="269">
        <f>'Detailed Budget'!$AC$153</f>
        <v>226428026880.00003</v>
      </c>
      <c r="DI540" s="269"/>
      <c r="DJ540" s="269">
        <f>'Detailed Budget'!$AC$156</f>
        <v>27713070000</v>
      </c>
      <c r="DK540" s="269"/>
      <c r="DL540" s="269"/>
      <c r="DM540" s="196">
        <f>'Detailed Budget'!$AC$178</f>
        <v>5622683761.6229038</v>
      </c>
      <c r="DN540" s="269">
        <f t="shared" si="1470"/>
        <v>0</v>
      </c>
      <c r="DO540" s="196">
        <f>'Detailed Budget'!$AC$179</f>
        <v>26827890683.128094</v>
      </c>
      <c r="DP540" s="269">
        <f t="shared" si="1471"/>
        <v>0</v>
      </c>
      <c r="DQ540" s="269">
        <f t="shared" si="1388"/>
        <v>0</v>
      </c>
      <c r="DR540" s="269">
        <f>'Detailed Budget'!$AC$181</f>
        <v>50888946855.375237</v>
      </c>
      <c r="DS540" s="269">
        <f t="shared" si="1472"/>
        <v>0</v>
      </c>
      <c r="DT540" s="269">
        <f t="shared" si="1473"/>
        <v>0</v>
      </c>
      <c r="DU540" s="272">
        <f>'Detailed Budget'!$AC$192</f>
        <v>77498869683.252869</v>
      </c>
      <c r="DV540" s="269">
        <f t="shared" si="1439"/>
        <v>80846918.653617531</v>
      </c>
      <c r="DW540" s="140">
        <f>'Detailed Budget'!$AC$194</f>
        <v>2684962805.4134097</v>
      </c>
      <c r="DX540" s="269">
        <f t="shared" si="1440"/>
        <v>2800956.5869081914</v>
      </c>
      <c r="DY540" s="607">
        <f t="shared" si="1369"/>
        <v>83647875.240525723</v>
      </c>
      <c r="DZ540" s="196">
        <f>'Detailed Budget'!$AC$198</f>
        <v>18732540018.380611</v>
      </c>
      <c r="EA540" s="269">
        <f t="shared" si="1441"/>
        <v>18527208.41015448</v>
      </c>
      <c r="EB540" s="196">
        <f>'Detailed Budget'!$AC$200</f>
        <v>4683135004.5951529</v>
      </c>
      <c r="EC540" s="269">
        <f t="shared" si="1442"/>
        <v>4631802.1025386201</v>
      </c>
      <c r="ED540" s="269">
        <f t="shared" si="1370"/>
        <v>23159010.5126931</v>
      </c>
      <c r="EE540" s="196">
        <f>'Detailed Budget'!$AC$161</f>
        <v>251147290106.36197</v>
      </c>
      <c r="EF540" s="269">
        <f t="shared" si="1443"/>
        <v>261997169.97541225</v>
      </c>
      <c r="EG540" s="196">
        <f>'Detailed Budget'!$AC$163</f>
        <v>15696705631.647623</v>
      </c>
      <c r="EH540" s="269">
        <f t="shared" si="1444"/>
        <v>16374823.123463266</v>
      </c>
      <c r="EI540" s="269">
        <f t="shared" si="1371"/>
        <v>278371993.09887552</v>
      </c>
      <c r="EJ540" s="196">
        <f>'Detailed Budget'!$AC$204</f>
        <v>45012172507.531975</v>
      </c>
      <c r="EK540" s="269">
        <f t="shared" si="1445"/>
        <v>19698733.197893396</v>
      </c>
      <c r="EL540" s="201">
        <f>'Detailed Budget'!$AC$206</f>
        <v>11253043126.882994</v>
      </c>
      <c r="EM540" s="269">
        <f t="shared" si="1446"/>
        <v>4924683.299473349</v>
      </c>
      <c r="EN540" s="269">
        <f t="shared" si="1372"/>
        <v>24623416.497366745</v>
      </c>
      <c r="EO540" s="140">
        <f>'Detailed Budget'!$AC$209</f>
        <v>135789361677.54817</v>
      </c>
      <c r="EP540" s="269">
        <f t="shared" si="1447"/>
        <v>165309568.44382662</v>
      </c>
      <c r="EQ540" s="196">
        <f>'Detailed Budget'!$AC$211</f>
        <v>33947340419.387043</v>
      </c>
      <c r="ER540" s="269">
        <f t="shared" si="1448"/>
        <v>41327392.110956654</v>
      </c>
      <c r="ES540" s="269">
        <f t="shared" si="1373"/>
        <v>206636960.55478328</v>
      </c>
      <c r="ET540" s="196">
        <f>'Detailed Budget'!$AC$214</f>
        <v>22239745544.201103</v>
      </c>
      <c r="EU540" s="269">
        <f t="shared" si="1449"/>
        <v>26294108.05357549</v>
      </c>
      <c r="EV540" s="140">
        <f>'Detailed Budget'!$AC$217</f>
        <v>5559936386.0502758</v>
      </c>
      <c r="EW540" s="269">
        <f t="shared" si="1450"/>
        <v>6573527.0133938724</v>
      </c>
      <c r="EX540" s="269">
        <f t="shared" si="1374"/>
        <v>32867635.066969361</v>
      </c>
      <c r="EY540" s="196">
        <f>'Detailed Budget'!$AC$219</f>
        <v>372777004.58170313</v>
      </c>
      <c r="EZ540" s="269">
        <f t="shared" si="1451"/>
        <v>461392.72463836812</v>
      </c>
      <c r="FA540" s="196">
        <f>'Detailed Budget'!$AC$222</f>
        <v>93194251.145425782</v>
      </c>
      <c r="FB540" s="269">
        <f t="shared" si="1452"/>
        <v>115348.18115959203</v>
      </c>
      <c r="FC540" s="269">
        <f t="shared" si="1375"/>
        <v>576740.90579796012</v>
      </c>
      <c r="FD540" s="269"/>
      <c r="FE540" s="269">
        <f t="shared" si="1376"/>
        <v>264704753.02491736</v>
      </c>
      <c r="FF540" s="140">
        <f>'Detailed Budget'!$AC$165</f>
        <v>14927760000</v>
      </c>
      <c r="FG540" s="1087">
        <f t="shared" si="1420"/>
        <v>361074804.95361066</v>
      </c>
      <c r="FH540" s="269">
        <f t="shared" si="1453"/>
        <v>23746010.68060448</v>
      </c>
      <c r="FJ540" s="140">
        <f>'Detailed Budget'!$AC$235</f>
        <v>3623696172</v>
      </c>
      <c r="FK540" s="269">
        <f t="shared" si="1454"/>
        <v>4681778</v>
      </c>
      <c r="FL540" s="269">
        <f t="shared" si="1421"/>
        <v>4681778</v>
      </c>
      <c r="FO540" s="607"/>
      <c r="FP540" s="607"/>
      <c r="FQ540" s="607"/>
      <c r="FR540" s="269">
        <f>'Detailed Budget'!$AC$257</f>
        <v>13636439388</v>
      </c>
      <c r="FS540" s="269">
        <f t="shared" si="1455"/>
        <v>17488380</v>
      </c>
      <c r="FT540" s="269">
        <f t="shared" si="1422"/>
        <v>17488380</v>
      </c>
      <c r="FU540" s="269"/>
      <c r="FV540" s="269"/>
      <c r="FW540" s="269"/>
      <c r="FX540" s="140">
        <f>'Detailed Budget'!$AC$278</f>
        <v>1114560000</v>
      </c>
      <c r="FY540" s="269">
        <f t="shared" si="1456"/>
        <v>1440000</v>
      </c>
      <c r="FZ540" s="269">
        <f t="shared" si="1423"/>
        <v>1440000</v>
      </c>
      <c r="GB540" s="269">
        <f t="shared" si="1431"/>
        <v>1177354582.6168497</v>
      </c>
      <c r="GC540" s="887">
        <f t="shared" si="1377"/>
        <v>735846.61413553101</v>
      </c>
      <c r="GD540" s="1078">
        <f t="shared" si="1432"/>
        <v>6.6065073014598419E-4</v>
      </c>
    </row>
    <row r="541" spans="1:186" hidden="1" outlineLevel="1">
      <c r="A541" s="211" t="s">
        <v>1199</v>
      </c>
      <c r="B541" s="212" t="s">
        <v>1200</v>
      </c>
      <c r="C541" s="213" t="s">
        <v>215</v>
      </c>
      <c r="D541" s="214"/>
      <c r="E541" s="213"/>
      <c r="F541" s="213"/>
      <c r="G541" s="213" t="s">
        <v>215</v>
      </c>
      <c r="H541" s="213" t="s">
        <v>215</v>
      </c>
      <c r="I541" s="214" t="s">
        <v>215</v>
      </c>
      <c r="J541" s="214"/>
      <c r="K541" s="213"/>
      <c r="L541" s="213"/>
      <c r="M541" s="214" t="s">
        <v>215</v>
      </c>
      <c r="N541" s="213"/>
      <c r="O541" s="214"/>
      <c r="P541" s="213"/>
      <c r="Q541" s="214"/>
      <c r="R541" s="214" t="s">
        <v>215</v>
      </c>
      <c r="S541" s="214"/>
      <c r="T541" s="214"/>
      <c r="U541" s="215">
        <f t="shared" si="1457"/>
        <v>6</v>
      </c>
      <c r="V541" s="845" t="s">
        <v>216</v>
      </c>
      <c r="W541" s="216">
        <v>147385</v>
      </c>
      <c r="X541" s="217">
        <v>3</v>
      </c>
      <c r="Y541" s="218">
        <f t="shared" si="1312"/>
        <v>1.03</v>
      </c>
      <c r="Z541" s="196">
        <v>19</v>
      </c>
      <c r="AA541" s="218">
        <f t="shared" si="1313"/>
        <v>1.7535060530771003</v>
      </c>
      <c r="AB541" s="196">
        <f t="shared" si="1475"/>
        <v>258440.48963276841</v>
      </c>
      <c r="AC541">
        <v>11.8</v>
      </c>
      <c r="AD541" s="196">
        <f t="shared" si="1476"/>
        <v>30495.977776666674</v>
      </c>
      <c r="AE541" s="196">
        <f t="shared" si="1314"/>
        <v>28971.178887833339</v>
      </c>
      <c r="AF541" s="196">
        <f t="shared" si="1458"/>
        <v>0</v>
      </c>
      <c r="AG541" s="606">
        <f t="shared" si="1380"/>
        <v>1.3395001259149779E-3</v>
      </c>
      <c r="AH541" s="196">
        <f t="shared" si="1474"/>
        <v>12922.024481638422</v>
      </c>
      <c r="AI541" s="248">
        <f t="shared" si="1359"/>
        <v>1.0010496578130585E-3</v>
      </c>
      <c r="AJ541" s="196">
        <f t="shared" si="1360"/>
        <v>43418.002258305096</v>
      </c>
      <c r="AK541" s="196">
        <f t="shared" si="1391"/>
        <v>10337.619585310737</v>
      </c>
      <c r="AL541" s="196">
        <f t="shared" si="1392"/>
        <v>10337.619585310737</v>
      </c>
      <c r="AM541" s="196">
        <f t="shared" si="1361"/>
        <v>20675.239170621473</v>
      </c>
      <c r="AN541" s="627">
        <f t="shared" si="1362"/>
        <v>1.0010496578130585E-3</v>
      </c>
      <c r="AO541" s="196">
        <f t="shared" si="1363"/>
        <v>9820.738606045199</v>
      </c>
      <c r="AP541" s="589">
        <f t="shared" si="1381"/>
        <v>1.0010496578130585E-3</v>
      </c>
      <c r="AQ541" s="196"/>
      <c r="AR541" s="589"/>
      <c r="AS541">
        <v>1</v>
      </c>
      <c r="AT541" s="589">
        <f t="shared" si="1382"/>
        <v>1.2919896640826874E-3</v>
      </c>
      <c r="AU541" s="196">
        <v>14</v>
      </c>
      <c r="AV541" s="245">
        <f t="shared" si="1364"/>
        <v>1.5907283263265539E-3</v>
      </c>
      <c r="AX541" s="245"/>
      <c r="AY541" s="245"/>
      <c r="AZ541" s="196">
        <v>27</v>
      </c>
      <c r="BA541" s="589">
        <f t="shared" si="1425"/>
        <v>9.8933714411344391E-4</v>
      </c>
      <c r="BI541" s="196">
        <v>0</v>
      </c>
      <c r="BK541" s="246">
        <f t="shared" si="1426"/>
        <v>0</v>
      </c>
      <c r="BL541" s="246"/>
      <c r="BM541" s="246">
        <f t="shared" si="1427"/>
        <v>0</v>
      </c>
      <c r="BN541" s="196">
        <v>1</v>
      </c>
      <c r="BO541" s="196">
        <f t="shared" si="1459"/>
        <v>13635.414613687932</v>
      </c>
      <c r="BP541" s="196">
        <f t="shared" si="1365"/>
        <v>13635.414613687932</v>
      </c>
      <c r="BQ541" s="248">
        <f t="shared" si="1428"/>
        <v>1.2755295404208898E-3</v>
      </c>
      <c r="BR541" s="248"/>
      <c r="BS541" s="248"/>
      <c r="BT541" s="276">
        <v>0</v>
      </c>
      <c r="BU541" s="196">
        <f t="shared" si="1460"/>
        <v>0</v>
      </c>
      <c r="BV541" s="264">
        <f t="shared" si="1429"/>
        <v>0</v>
      </c>
      <c r="BW541" s="196">
        <f t="shared" si="1461"/>
        <v>0</v>
      </c>
      <c r="BX541" s="247">
        <f t="shared" si="1430"/>
        <v>0</v>
      </c>
      <c r="BY541" s="196">
        <f t="shared" si="1462"/>
        <v>0</v>
      </c>
      <c r="BZ541" s="620">
        <v>1</v>
      </c>
      <c r="CA541" s="196">
        <f t="shared" si="1463"/>
        <v>79082.78982762713</v>
      </c>
      <c r="CB541" s="196">
        <f t="shared" si="1464"/>
        <v>158165.57965525426</v>
      </c>
      <c r="CC541" s="196">
        <f t="shared" si="1378"/>
        <v>237248.36948288139</v>
      </c>
      <c r="CD541" s="247">
        <f t="shared" si="1366"/>
        <v>1.0010496578130585E-3</v>
      </c>
      <c r="CE541" s="196">
        <f t="shared" si="1465"/>
        <v>21977.936769363056</v>
      </c>
      <c r="CF541" s="247">
        <f t="shared" si="1367"/>
        <v>9.490756598903035E-4</v>
      </c>
      <c r="CG541" s="196">
        <f t="shared" si="1434"/>
        <v>39282.954424180796</v>
      </c>
      <c r="CH541" s="589">
        <f t="shared" si="1383"/>
        <v>1.0010496578130585E-3</v>
      </c>
      <c r="CI541" s="196">
        <f t="shared" si="1466"/>
        <v>25544.305237441553</v>
      </c>
      <c r="CJ541" s="248">
        <f t="shared" si="1384"/>
        <v>4.1994831326351957E-4</v>
      </c>
      <c r="CK541" s="196">
        <f t="shared" si="1467"/>
        <v>81265.40339186351</v>
      </c>
      <c r="CL541" s="589">
        <f t="shared" si="1385"/>
        <v>1.1682068893383657E-3</v>
      </c>
      <c r="CM541" s="196">
        <f t="shared" si="1468"/>
        <v>7872.5951148732856</v>
      </c>
      <c r="CN541" s="589">
        <f t="shared" si="1386"/>
        <v>1.1345304253494897E-3</v>
      </c>
      <c r="CO541" s="196">
        <f t="shared" si="1469"/>
        <v>629.8003929149512</v>
      </c>
      <c r="CP541" s="589">
        <f t="shared" si="1387"/>
        <v>1.1877065339187336E-3</v>
      </c>
      <c r="CQ541" s="196">
        <f>'Detailed Budget'!$AC$12</f>
        <v>292876014141.44696</v>
      </c>
      <c r="CR541" s="269">
        <f t="shared" si="1393"/>
        <v>0</v>
      </c>
      <c r="CS541" s="269">
        <f>'Detailed Budget'!$AC$16</f>
        <v>10488008800.000002</v>
      </c>
      <c r="CT541" s="607">
        <f t="shared" si="1436"/>
        <v>0</v>
      </c>
      <c r="CU541" s="269">
        <f>'Detailed Budget'!$AC$24</f>
        <v>30624985696</v>
      </c>
      <c r="CV541" s="269">
        <f t="shared" si="1424"/>
        <v>0</v>
      </c>
      <c r="CW541" s="269"/>
      <c r="CX541" s="269">
        <f t="shared" si="1379"/>
        <v>0</v>
      </c>
      <c r="CY541" s="196">
        <f>'Detailed Budget'!$AC$97</f>
        <v>74629165494.837845</v>
      </c>
      <c r="CZ541" s="269">
        <f t="shared" si="1437"/>
        <v>95191705.165625036</v>
      </c>
      <c r="DA541" s="269">
        <f>'Detailed Budget'!$AC$100</f>
        <v>14925833098.967569</v>
      </c>
      <c r="DB541" s="269">
        <f t="shared" si="1438"/>
        <v>19038341.033125009</v>
      </c>
      <c r="DC541" s="269">
        <f t="shared" si="1368"/>
        <v>114230046.19875005</v>
      </c>
      <c r="DD541" s="207">
        <v>0</v>
      </c>
      <c r="DE541" s="606">
        <v>0</v>
      </c>
      <c r="DF541" s="269">
        <f>'Detailed Budget'!$AC$147</f>
        <v>5913600671000</v>
      </c>
      <c r="DG541" s="269">
        <f t="shared" si="1419"/>
        <v>0</v>
      </c>
      <c r="DH541" s="269">
        <f>'Detailed Budget'!$AC$153</f>
        <v>226428026880.00003</v>
      </c>
      <c r="DI541" s="269"/>
      <c r="DJ541" s="269">
        <f>'Detailed Budget'!$AC$156</f>
        <v>27713070000</v>
      </c>
      <c r="DK541" s="269"/>
      <c r="DL541" s="269"/>
      <c r="DM541" s="196">
        <f>'Detailed Budget'!$AC$178</f>
        <v>5622683761.6229038</v>
      </c>
      <c r="DN541" s="269">
        <f t="shared" si="1470"/>
        <v>0</v>
      </c>
      <c r="DO541" s="196">
        <f>'Detailed Budget'!$AC$179</f>
        <v>26827890683.128094</v>
      </c>
      <c r="DP541" s="269">
        <f t="shared" si="1471"/>
        <v>0</v>
      </c>
      <c r="DQ541" s="269">
        <f t="shared" si="1388"/>
        <v>0</v>
      </c>
      <c r="DR541" s="269">
        <f>'Detailed Budget'!$AC$181</f>
        <v>50888946855.375237</v>
      </c>
      <c r="DS541" s="269">
        <f t="shared" si="1472"/>
        <v>0</v>
      </c>
      <c r="DT541" s="269">
        <f t="shared" si="1473"/>
        <v>0</v>
      </c>
      <c r="DU541" s="272">
        <f>'Detailed Budget'!$AC$192</f>
        <v>77498869683.252869</v>
      </c>
      <c r="DV541" s="269">
        <f t="shared" si="1439"/>
        <v>77580216.977319106</v>
      </c>
      <c r="DW541" s="140">
        <f>'Detailed Budget'!$AC$194</f>
        <v>2684962805.4134097</v>
      </c>
      <c r="DX541" s="269">
        <f t="shared" si="1440"/>
        <v>2687781.0975998836</v>
      </c>
      <c r="DY541" s="607">
        <f t="shared" si="1369"/>
        <v>80267998.074918985</v>
      </c>
      <c r="DZ541" s="196">
        <f>'Detailed Budget'!$AC$198</f>
        <v>18732540018.380611</v>
      </c>
      <c r="EA541" s="269">
        <f t="shared" si="1441"/>
        <v>17778597.779366098</v>
      </c>
      <c r="EB541" s="196">
        <f>'Detailed Budget'!$AC$200</f>
        <v>4683135004.5951529</v>
      </c>
      <c r="EC541" s="269">
        <f t="shared" si="1442"/>
        <v>4444649.4448415246</v>
      </c>
      <c r="ED541" s="269">
        <f t="shared" si="1370"/>
        <v>22223247.224207625</v>
      </c>
      <c r="EE541" s="196">
        <f>'Detailed Budget'!$AC$161</f>
        <v>251147290106.36197</v>
      </c>
      <c r="EF541" s="269">
        <f t="shared" si="1443"/>
        <v>251410908.82165059</v>
      </c>
      <c r="EG541" s="196">
        <f>'Detailed Budget'!$AC$163</f>
        <v>15696705631.647623</v>
      </c>
      <c r="EH541" s="269">
        <f t="shared" si="1444"/>
        <v>15713181.801353162</v>
      </c>
      <c r="EI541" s="269">
        <f t="shared" si="1371"/>
        <v>267124090.62300375</v>
      </c>
      <c r="EJ541" s="196">
        <f>'Detailed Budget'!$AC$204</f>
        <v>45012172507.531975</v>
      </c>
      <c r="EK541" s="269">
        <f t="shared" si="1445"/>
        <v>18902785.920864619</v>
      </c>
      <c r="EL541" s="201">
        <f>'Detailed Budget'!$AC$206</f>
        <v>11253043126.882994</v>
      </c>
      <c r="EM541" s="269">
        <f t="shared" si="1446"/>
        <v>4725696.4802161548</v>
      </c>
      <c r="EN541" s="269">
        <f t="shared" si="1372"/>
        <v>23628482.401080772</v>
      </c>
      <c r="EO541" s="140">
        <f>'Detailed Budget'!$AC$209</f>
        <v>135789361677.54817</v>
      </c>
      <c r="EP541" s="269">
        <f t="shared" si="1447"/>
        <v>158630067.81057084</v>
      </c>
      <c r="EQ541" s="196">
        <f>'Detailed Budget'!$AC$211</f>
        <v>33947340419.387043</v>
      </c>
      <c r="ER541" s="269">
        <f t="shared" si="1448"/>
        <v>39657516.952642709</v>
      </c>
      <c r="ES541" s="269">
        <f t="shared" si="1373"/>
        <v>198287584.76321355</v>
      </c>
      <c r="ET541" s="196">
        <f>'Detailed Budget'!$AC$214</f>
        <v>22239745544.201103</v>
      </c>
      <c r="EU541" s="269">
        <f t="shared" si="1449"/>
        <v>25231667.971926898</v>
      </c>
      <c r="EV541" s="140">
        <f>'Detailed Budget'!$AC$217</f>
        <v>5559936386.0502758</v>
      </c>
      <c r="EW541" s="269">
        <f t="shared" si="1450"/>
        <v>6307916.9929817244</v>
      </c>
      <c r="EX541" s="269">
        <f t="shared" si="1374"/>
        <v>31539584.964908622</v>
      </c>
      <c r="EY541" s="196">
        <f>'Detailed Budget'!$AC$219</f>
        <v>372777004.58170313</v>
      </c>
      <c r="EZ541" s="269">
        <f t="shared" si="1451"/>
        <v>442749.68403634249</v>
      </c>
      <c r="FA541" s="196">
        <f>'Detailed Budget'!$AC$222</f>
        <v>93194251.145425782</v>
      </c>
      <c r="FB541" s="269">
        <f t="shared" si="1452"/>
        <v>110687.42100908562</v>
      </c>
      <c r="FC541" s="269">
        <f t="shared" si="1375"/>
        <v>553437.10504542815</v>
      </c>
      <c r="FD541" s="269"/>
      <c r="FE541" s="269">
        <f t="shared" si="1376"/>
        <v>254009089.23424837</v>
      </c>
      <c r="FF541" s="140">
        <f>'Detailed Budget'!$AC$165</f>
        <v>14927760000</v>
      </c>
      <c r="FG541" s="1087">
        <f t="shared" si="1420"/>
        <v>346485211.55593693</v>
      </c>
      <c r="FH541" s="269">
        <f t="shared" si="1453"/>
        <v>23746010.68060448</v>
      </c>
      <c r="FJ541" s="140">
        <f>'Detailed Budget'!$AC$235</f>
        <v>3623696172</v>
      </c>
      <c r="FK541" s="269">
        <f t="shared" si="1454"/>
        <v>4681778</v>
      </c>
      <c r="FL541" s="269">
        <f t="shared" si="1421"/>
        <v>4681778</v>
      </c>
      <c r="FO541" s="607"/>
      <c r="FP541" s="607"/>
      <c r="FQ541" s="607"/>
      <c r="FR541" s="269">
        <f>'Detailed Budget'!$AC$257</f>
        <v>13636439388</v>
      </c>
      <c r="FS541" s="269">
        <f t="shared" si="1455"/>
        <v>13491035.999999998</v>
      </c>
      <c r="FT541" s="269">
        <f t="shared" si="1422"/>
        <v>13491035.999999998</v>
      </c>
      <c r="FU541" s="269"/>
      <c r="FV541" s="269"/>
      <c r="FW541" s="269"/>
      <c r="FX541" s="140">
        <f>'Detailed Budget'!$AC$278</f>
        <v>1114560000</v>
      </c>
      <c r="FY541" s="269">
        <f t="shared" si="1456"/>
        <v>1440000</v>
      </c>
      <c r="FZ541" s="269">
        <f t="shared" si="1423"/>
        <v>1440000</v>
      </c>
      <c r="GB541" s="269">
        <f t="shared" si="1431"/>
        <v>1127698507.59167</v>
      </c>
      <c r="GC541" s="887">
        <f t="shared" si="1377"/>
        <v>704811.56724479375</v>
      </c>
      <c r="GD541" s="1078">
        <f t="shared" si="1432"/>
        <v>6.3278714282409695E-4</v>
      </c>
    </row>
    <row r="542" spans="1:186" hidden="1" outlineLevel="1">
      <c r="A542" s="211" t="s">
        <v>1201</v>
      </c>
      <c r="B542" s="212" t="s">
        <v>1202</v>
      </c>
      <c r="C542" s="213" t="s">
        <v>215</v>
      </c>
      <c r="D542" s="214"/>
      <c r="E542" s="213"/>
      <c r="F542" s="213"/>
      <c r="G542" s="213" t="s">
        <v>215</v>
      </c>
      <c r="H542" s="213" t="s">
        <v>215</v>
      </c>
      <c r="I542" s="214" t="s">
        <v>215</v>
      </c>
      <c r="J542" s="214"/>
      <c r="K542" s="213"/>
      <c r="L542" s="213"/>
      <c r="M542" s="214" t="s">
        <v>215</v>
      </c>
      <c r="N542" s="213"/>
      <c r="O542" s="214"/>
      <c r="P542" s="213"/>
      <c r="Q542" s="214" t="s">
        <v>215</v>
      </c>
      <c r="R542" s="214"/>
      <c r="S542" s="214"/>
      <c r="T542" s="214"/>
      <c r="U542" s="215">
        <f t="shared" si="1457"/>
        <v>6</v>
      </c>
      <c r="V542" s="845" t="s">
        <v>1073</v>
      </c>
      <c r="W542" s="216">
        <v>309448</v>
      </c>
      <c r="X542" s="217">
        <v>3</v>
      </c>
      <c r="Y542" s="218">
        <f t="shared" si="1312"/>
        <v>1.03</v>
      </c>
      <c r="Z542" s="196">
        <v>19</v>
      </c>
      <c r="AA542" s="218">
        <f t="shared" si="1313"/>
        <v>1.7535060530771003</v>
      </c>
      <c r="AB542" s="196">
        <f t="shared" si="1475"/>
        <v>542618.94111260248</v>
      </c>
      <c r="AC542">
        <v>11.8</v>
      </c>
      <c r="AD542" s="196">
        <f t="shared" si="1476"/>
        <v>64029.035051287094</v>
      </c>
      <c r="AE542" s="196">
        <f t="shared" si="1314"/>
        <v>60827.583298722733</v>
      </c>
      <c r="AF542" s="196">
        <f t="shared" si="1458"/>
        <v>0</v>
      </c>
      <c r="AG542" s="606">
        <f t="shared" si="1380"/>
        <v>2.812400413638688E-3</v>
      </c>
      <c r="AH542" s="196">
        <f t="shared" si="1474"/>
        <v>27130.947055630124</v>
      </c>
      <c r="AI542" s="248">
        <f t="shared" si="1359"/>
        <v>2.1017933609996631E-3</v>
      </c>
      <c r="AJ542" s="196">
        <f t="shared" si="1360"/>
        <v>91159.982106917218</v>
      </c>
      <c r="AK542" s="196">
        <f t="shared" si="1391"/>
        <v>21704.757644504101</v>
      </c>
      <c r="AL542" s="196">
        <f t="shared" si="1392"/>
        <v>21704.757644504101</v>
      </c>
      <c r="AM542" s="196">
        <f t="shared" si="1361"/>
        <v>43409.515289008203</v>
      </c>
      <c r="AN542" s="627">
        <f t="shared" si="1362"/>
        <v>2.1017933609996631E-3</v>
      </c>
      <c r="AO542" s="196">
        <f t="shared" si="1363"/>
        <v>20619.519762278895</v>
      </c>
      <c r="AP542" s="589">
        <f t="shared" si="1381"/>
        <v>2.1017933609996631E-3</v>
      </c>
      <c r="AQ542" s="196"/>
      <c r="AR542" s="589"/>
      <c r="AS542">
        <v>1</v>
      </c>
      <c r="AT542" s="589">
        <f t="shared" si="1382"/>
        <v>1.2919896640826874E-3</v>
      </c>
      <c r="AU542" s="196">
        <v>20</v>
      </c>
      <c r="AV542" s="245">
        <f t="shared" si="1364"/>
        <v>2.2724690376093627E-3</v>
      </c>
      <c r="AX542" s="245"/>
      <c r="AY542" s="245"/>
      <c r="AZ542" s="196">
        <v>39</v>
      </c>
      <c r="BA542" s="589">
        <f t="shared" si="1425"/>
        <v>1.4290425414971969E-3</v>
      </c>
      <c r="BI542" s="196">
        <v>0</v>
      </c>
      <c r="BK542" s="246">
        <f t="shared" si="1426"/>
        <v>0</v>
      </c>
      <c r="BL542" s="246"/>
      <c r="BM542" s="246">
        <f t="shared" si="1427"/>
        <v>0</v>
      </c>
      <c r="BN542" s="196">
        <v>1</v>
      </c>
      <c r="BO542" s="196">
        <f t="shared" si="1459"/>
        <v>28628.773493751076</v>
      </c>
      <c r="BP542" s="196">
        <f t="shared" si="1365"/>
        <v>28628.773493751076</v>
      </c>
      <c r="BQ542" s="248">
        <f t="shared" si="1428"/>
        <v>2.6780884433569453E-3</v>
      </c>
      <c r="BR542" s="248"/>
      <c r="BS542" s="248"/>
      <c r="BT542" s="276">
        <v>0</v>
      </c>
      <c r="BU542" s="196">
        <f t="shared" si="1460"/>
        <v>0</v>
      </c>
      <c r="BV542" s="264">
        <f t="shared" si="1429"/>
        <v>0</v>
      </c>
      <c r="BW542" s="196">
        <f t="shared" si="1461"/>
        <v>0</v>
      </c>
      <c r="BX542" s="247">
        <f t="shared" si="1430"/>
        <v>0</v>
      </c>
      <c r="BY542" s="196">
        <f t="shared" si="1462"/>
        <v>0</v>
      </c>
      <c r="BZ542" s="620">
        <v>1</v>
      </c>
      <c r="CA542" s="196">
        <f t="shared" si="1463"/>
        <v>166041.39598045638</v>
      </c>
      <c r="CB542" s="196">
        <f t="shared" si="1464"/>
        <v>332082.79196091276</v>
      </c>
      <c r="CC542" s="196">
        <f t="shared" si="1378"/>
        <v>498124.18794136913</v>
      </c>
      <c r="CD542" s="247">
        <f t="shared" si="1366"/>
        <v>2.1017933609996631E-3</v>
      </c>
      <c r="CE542" s="196">
        <f t="shared" si="1465"/>
        <v>46144.645502634994</v>
      </c>
      <c r="CF542" s="247">
        <f t="shared" si="1367"/>
        <v>1.9926693001440757E-3</v>
      </c>
      <c r="CG542" s="196">
        <f t="shared" si="1434"/>
        <v>82478.079049115579</v>
      </c>
      <c r="CH542" s="589">
        <f t="shared" si="1383"/>
        <v>2.1017933609996631E-3</v>
      </c>
      <c r="CI542" s="196">
        <f t="shared" si="1466"/>
        <v>53632.555328668539</v>
      </c>
      <c r="CJ542" s="248">
        <f t="shared" si="1384"/>
        <v>8.8171907346588582E-4</v>
      </c>
      <c r="CK542" s="196">
        <f t="shared" si="1467"/>
        <v>170623.98852532738</v>
      </c>
      <c r="CL542" s="589">
        <f t="shared" si="1385"/>
        <v>2.4527549309086988E-3</v>
      </c>
      <c r="CM542" s="196">
        <f t="shared" si="1468"/>
        <v>16529.218123332146</v>
      </c>
      <c r="CN542" s="589">
        <f t="shared" si="1386"/>
        <v>2.3820481803680758E-3</v>
      </c>
      <c r="CO542" s="196">
        <f t="shared" si="1469"/>
        <v>1322.3222986514625</v>
      </c>
      <c r="CP542" s="589">
        <f t="shared" si="1387"/>
        <v>2.49369618012745E-3</v>
      </c>
      <c r="CQ542" s="196">
        <f>'Detailed Budget'!$AC$12</f>
        <v>292876014141.44696</v>
      </c>
      <c r="CR542" s="269">
        <f t="shared" si="1393"/>
        <v>0</v>
      </c>
      <c r="CS542" s="269">
        <f>'Detailed Budget'!$AC$16</f>
        <v>10488008800.000002</v>
      </c>
      <c r="CT542" s="607">
        <f t="shared" si="1436"/>
        <v>0</v>
      </c>
      <c r="CU542" s="269">
        <f>'Detailed Budget'!$AC$24</f>
        <v>30624985696</v>
      </c>
      <c r="CV542" s="269">
        <f t="shared" si="1424"/>
        <v>0</v>
      </c>
      <c r="CW542" s="269"/>
      <c r="CX542" s="269">
        <f t="shared" si="1379"/>
        <v>0</v>
      </c>
      <c r="CY542" s="196">
        <f>'Detailed Budget'!$AC$97</f>
        <v>74629165494.837845</v>
      </c>
      <c r="CZ542" s="269">
        <f t="shared" si="1437"/>
        <v>199863505.64909813</v>
      </c>
      <c r="DA542" s="269">
        <f>'Detailed Budget'!$AC$100</f>
        <v>14925833098.967569</v>
      </c>
      <c r="DB542" s="269">
        <f t="shared" si="1438"/>
        <v>39972701.129819632</v>
      </c>
      <c r="DC542" s="269">
        <f t="shared" si="1368"/>
        <v>239836206.77891776</v>
      </c>
      <c r="DD542" s="207">
        <v>0</v>
      </c>
      <c r="DE542" s="606">
        <v>0</v>
      </c>
      <c r="DF542" s="269">
        <f>'Detailed Budget'!$AC$147</f>
        <v>5913600671000</v>
      </c>
      <c r="DG542" s="269">
        <f t="shared" si="1419"/>
        <v>0</v>
      </c>
      <c r="DH542" s="269">
        <f>'Detailed Budget'!$AC$153</f>
        <v>226428026880.00003</v>
      </c>
      <c r="DI542" s="269"/>
      <c r="DJ542" s="269">
        <f>'Detailed Budget'!$AC$156</f>
        <v>27713070000</v>
      </c>
      <c r="DK542" s="269"/>
      <c r="DL542" s="269"/>
      <c r="DM542" s="196">
        <f>'Detailed Budget'!$AC$178</f>
        <v>5622683761.6229038</v>
      </c>
      <c r="DN542" s="269">
        <f t="shared" si="1470"/>
        <v>0</v>
      </c>
      <c r="DO542" s="196">
        <f>'Detailed Budget'!$AC$179</f>
        <v>26827890683.128094</v>
      </c>
      <c r="DP542" s="269">
        <f t="shared" si="1471"/>
        <v>0</v>
      </c>
      <c r="DQ542" s="269">
        <f t="shared" si="1388"/>
        <v>0</v>
      </c>
      <c r="DR542" s="269">
        <f>'Detailed Budget'!$AC$181</f>
        <v>50888946855.375237</v>
      </c>
      <c r="DS542" s="269">
        <f t="shared" si="1472"/>
        <v>0</v>
      </c>
      <c r="DT542" s="269">
        <f t="shared" si="1473"/>
        <v>0</v>
      </c>
      <c r="DU542" s="272">
        <f>'Detailed Budget'!$AC$192</f>
        <v>77498869683.252869</v>
      </c>
      <c r="DV542" s="269">
        <f t="shared" si="1439"/>
        <v>162886609.78523895</v>
      </c>
      <c r="DW542" s="140">
        <f>'Detailed Budget'!$AC$194</f>
        <v>2684962805.4134097</v>
      </c>
      <c r="DX542" s="269">
        <f t="shared" si="1440"/>
        <v>5643236.9989489345</v>
      </c>
      <c r="DY542" s="607">
        <f t="shared" si="1369"/>
        <v>168529846.78418788</v>
      </c>
      <c r="DZ542" s="196">
        <f>'Detailed Budget'!$AC$198</f>
        <v>18732540018.380611</v>
      </c>
      <c r="EA542" s="269">
        <f t="shared" si="1441"/>
        <v>37327757.408347383</v>
      </c>
      <c r="EB542" s="196">
        <f>'Detailed Budget'!$AC$200</f>
        <v>4683135004.5951529</v>
      </c>
      <c r="EC542" s="269">
        <f t="shared" si="1442"/>
        <v>9331939.3520868458</v>
      </c>
      <c r="ED542" s="269">
        <f t="shared" si="1370"/>
        <v>46659696.760434225</v>
      </c>
      <c r="EE542" s="196">
        <f>'Detailed Budget'!$AC$161</f>
        <v>251147290106.36197</v>
      </c>
      <c r="EF542" s="269">
        <f t="shared" si="1443"/>
        <v>527859706.97860795</v>
      </c>
      <c r="EG542" s="196">
        <f>'Detailed Budget'!$AC$163</f>
        <v>15696705631.647623</v>
      </c>
      <c r="EH542" s="269">
        <f t="shared" si="1444"/>
        <v>32991231.686162997</v>
      </c>
      <c r="EI542" s="269">
        <f t="shared" si="1371"/>
        <v>560850938.66477096</v>
      </c>
      <c r="EJ542" s="196">
        <f>'Detailed Budget'!$AC$204</f>
        <v>45012172507.531975</v>
      </c>
      <c r="EK542" s="269">
        <f t="shared" si="1445"/>
        <v>39688091.038027711</v>
      </c>
      <c r="EL542" s="201">
        <f>'Detailed Budget'!$AC$206</f>
        <v>11253043126.882994</v>
      </c>
      <c r="EM542" s="269">
        <f t="shared" si="1446"/>
        <v>9922022.7595069278</v>
      </c>
      <c r="EN542" s="269">
        <f t="shared" si="1372"/>
        <v>49610113.797534637</v>
      </c>
      <c r="EO542" s="140">
        <f>'Detailed Budget'!$AC$209</f>
        <v>135789361677.54817</v>
      </c>
      <c r="EP542" s="269">
        <f t="shared" si="1447"/>
        <v>333058026.41955096</v>
      </c>
      <c r="EQ542" s="196">
        <f>'Detailed Budget'!$AC$211</f>
        <v>33947340419.387043</v>
      </c>
      <c r="ER542" s="269">
        <f t="shared" si="1448"/>
        <v>83264506.604887739</v>
      </c>
      <c r="ES542" s="269">
        <f t="shared" si="1373"/>
        <v>416322533.02443868</v>
      </c>
      <c r="ET542" s="196">
        <f>'Detailed Budget'!$AC$214</f>
        <v>22239745544.201103</v>
      </c>
      <c r="EU542" s="269">
        <f t="shared" si="1449"/>
        <v>52976145.405413263</v>
      </c>
      <c r="EV542" s="140">
        <f>'Detailed Budget'!$AC$217</f>
        <v>5559936386.0502758</v>
      </c>
      <c r="EW542" s="269">
        <f t="shared" si="1450"/>
        <v>13244036.351353316</v>
      </c>
      <c r="EX542" s="269">
        <f t="shared" si="1374"/>
        <v>66220181.75676658</v>
      </c>
      <c r="EY542" s="196">
        <f>'Detailed Budget'!$AC$219</f>
        <v>372777004.58170313</v>
      </c>
      <c r="EZ542" s="269">
        <f t="shared" si="1451"/>
        <v>929592.59236474603</v>
      </c>
      <c r="FA542" s="196">
        <f>'Detailed Budget'!$AC$222</f>
        <v>93194251.145425782</v>
      </c>
      <c r="FB542" s="269">
        <f t="shared" si="1452"/>
        <v>232398.14809118651</v>
      </c>
      <c r="FC542" s="269">
        <f t="shared" si="1375"/>
        <v>1161990.7404559324</v>
      </c>
      <c r="FD542" s="269"/>
      <c r="FE542" s="269">
        <f t="shared" si="1376"/>
        <v>533314819.31919581</v>
      </c>
      <c r="FF542" s="140">
        <f>'Detailed Budget'!$AC$165</f>
        <v>14927760000</v>
      </c>
      <c r="FG542" s="1087">
        <f t="shared" si="1420"/>
        <v>727476715.71436393</v>
      </c>
      <c r="FH542" s="269">
        <f t="shared" si="1453"/>
        <v>33922872.400863543</v>
      </c>
      <c r="FJ542" s="140">
        <f>'Detailed Budget'!$AC$235</f>
        <v>3623696172</v>
      </c>
      <c r="FK542" s="269">
        <f t="shared" si="1454"/>
        <v>4681778</v>
      </c>
      <c r="FL542" s="269">
        <f t="shared" si="1421"/>
        <v>4681778</v>
      </c>
      <c r="FO542" s="607"/>
      <c r="FP542" s="607"/>
      <c r="FQ542" s="607"/>
      <c r="FR542" s="269">
        <f>'Detailed Budget'!$AC$257</f>
        <v>13636439388</v>
      </c>
      <c r="FS542" s="269">
        <f t="shared" si="1455"/>
        <v>19487052</v>
      </c>
      <c r="FT542" s="269">
        <f t="shared" si="1422"/>
        <v>19487052</v>
      </c>
      <c r="FU542" s="269"/>
      <c r="FV542" s="269"/>
      <c r="FW542" s="269"/>
      <c r="FX542" s="140">
        <f>'Detailed Budget'!$AC$278</f>
        <v>1114560000</v>
      </c>
      <c r="FY542" s="269">
        <f t="shared" si="1456"/>
        <v>1440000</v>
      </c>
      <c r="FZ542" s="269">
        <f t="shared" si="1423"/>
        <v>1440000</v>
      </c>
      <c r="GB542" s="269">
        <f t="shared" si="1431"/>
        <v>2336199926.4227343</v>
      </c>
      <c r="GC542" s="887">
        <f t="shared" si="1377"/>
        <v>1460124.9540142089</v>
      </c>
      <c r="GD542" s="1078">
        <f t="shared" si="1432"/>
        <v>1.3109153435558092E-3</v>
      </c>
    </row>
    <row r="543" spans="1:186" hidden="1" outlineLevel="1">
      <c r="A543" s="211" t="s">
        <v>1203</v>
      </c>
      <c r="B543" s="212" t="s">
        <v>1204</v>
      </c>
      <c r="C543" s="213" t="s">
        <v>215</v>
      </c>
      <c r="D543" s="214"/>
      <c r="E543" s="213"/>
      <c r="F543" s="213"/>
      <c r="G543" s="213" t="s">
        <v>215</v>
      </c>
      <c r="H543" s="213" t="s">
        <v>215</v>
      </c>
      <c r="I543" s="214" t="s">
        <v>215</v>
      </c>
      <c r="J543" s="214"/>
      <c r="K543" s="213"/>
      <c r="L543" s="213"/>
      <c r="M543" s="214" t="s">
        <v>215</v>
      </c>
      <c r="N543" s="213"/>
      <c r="O543" s="214"/>
      <c r="P543" s="213"/>
      <c r="Q543" s="214"/>
      <c r="R543" s="214" t="s">
        <v>215</v>
      </c>
      <c r="S543" s="214"/>
      <c r="T543" s="214"/>
      <c r="U543" s="215">
        <f t="shared" si="1457"/>
        <v>6</v>
      </c>
      <c r="V543" s="845" t="s">
        <v>216</v>
      </c>
      <c r="W543" s="216">
        <v>128741</v>
      </c>
      <c r="X543" s="217">
        <v>3</v>
      </c>
      <c r="Y543" s="218">
        <f t="shared" ref="Y543:Y607" si="1477">1+X543/100</f>
        <v>1.03</v>
      </c>
      <c r="Z543" s="196">
        <v>19</v>
      </c>
      <c r="AA543" s="218">
        <f t="shared" ref="AA543:AA607" si="1478">POWER(Y543,Z543)</f>
        <v>1.7535060530771003</v>
      </c>
      <c r="AB543" s="196">
        <f t="shared" si="1475"/>
        <v>225748.12277919898</v>
      </c>
      <c r="AC543">
        <v>11.8</v>
      </c>
      <c r="AD543" s="196">
        <f t="shared" si="1476"/>
        <v>26638.278487945485</v>
      </c>
      <c r="AE543" s="196">
        <f t="shared" ref="AE543:AE607" si="1479">AD543*0.95</f>
        <v>25306.36456354821</v>
      </c>
      <c r="AF543" s="196">
        <f t="shared" si="1458"/>
        <v>0</v>
      </c>
      <c r="AG543" s="606">
        <f t="shared" si="1380"/>
        <v>1.1700552003963782E-3</v>
      </c>
      <c r="AH543" s="196">
        <f t="shared" si="1474"/>
        <v>11287.40613895995</v>
      </c>
      <c r="AI543" s="248">
        <f t="shared" si="1359"/>
        <v>8.7441825149446009E-4</v>
      </c>
      <c r="AJ543" s="196">
        <f t="shared" si="1360"/>
        <v>37925.684626905437</v>
      </c>
      <c r="AK543" s="196">
        <f t="shared" si="1391"/>
        <v>9029.9249111679601</v>
      </c>
      <c r="AL543" s="196">
        <f t="shared" si="1392"/>
        <v>9029.9249111679601</v>
      </c>
      <c r="AM543" s="196">
        <f t="shared" si="1361"/>
        <v>18059.84982233592</v>
      </c>
      <c r="AN543" s="627">
        <f t="shared" si="1362"/>
        <v>8.7441825149446009E-4</v>
      </c>
      <c r="AO543" s="196">
        <f t="shared" si="1363"/>
        <v>8578.428665609561</v>
      </c>
      <c r="AP543" s="589">
        <f t="shared" si="1381"/>
        <v>8.7441825149445998E-4</v>
      </c>
      <c r="AQ543" s="196"/>
      <c r="AR543" s="589"/>
      <c r="AS543">
        <v>1</v>
      </c>
      <c r="AT543" s="589">
        <f t="shared" si="1382"/>
        <v>1.2919896640826874E-3</v>
      </c>
      <c r="AU543" s="196">
        <v>20</v>
      </c>
      <c r="AV543" s="245">
        <f t="shared" si="1364"/>
        <v>2.2724690376093627E-3</v>
      </c>
      <c r="AX543" s="245"/>
      <c r="AY543" s="245"/>
      <c r="AZ543" s="196">
        <v>41</v>
      </c>
      <c r="BA543" s="589">
        <f t="shared" si="1425"/>
        <v>1.5023267743944891E-3</v>
      </c>
      <c r="BI543" s="196">
        <v>0</v>
      </c>
      <c r="BK543" s="246">
        <f t="shared" si="1426"/>
        <v>0</v>
      </c>
      <c r="BL543" s="246"/>
      <c r="BM543" s="246">
        <f t="shared" si="1427"/>
        <v>0</v>
      </c>
      <c r="BN543" s="196">
        <v>1</v>
      </c>
      <c r="BO543" s="196">
        <f t="shared" si="1459"/>
        <v>11910.553399469407</v>
      </c>
      <c r="BP543" s="196">
        <f t="shared" si="1365"/>
        <v>11910.553399469407</v>
      </c>
      <c r="BQ543" s="248">
        <f t="shared" si="1428"/>
        <v>1.1141768060747416E-3</v>
      </c>
      <c r="BR543" s="248"/>
      <c r="BS543" s="248"/>
      <c r="BT543" s="276">
        <v>0</v>
      </c>
      <c r="BU543" s="196">
        <f t="shared" si="1460"/>
        <v>0</v>
      </c>
      <c r="BV543" s="264">
        <f t="shared" si="1429"/>
        <v>0</v>
      </c>
      <c r="BW543" s="196">
        <f t="shared" si="1461"/>
        <v>0</v>
      </c>
      <c r="BX543" s="247">
        <f t="shared" si="1430"/>
        <v>0</v>
      </c>
      <c r="BY543" s="196">
        <f t="shared" si="1462"/>
        <v>0</v>
      </c>
      <c r="BZ543" s="620">
        <v>1</v>
      </c>
      <c r="CA543" s="196">
        <f t="shared" si="1463"/>
        <v>69078.925570434891</v>
      </c>
      <c r="CB543" s="196">
        <f t="shared" si="1464"/>
        <v>138157.85114086978</v>
      </c>
      <c r="CC543" s="196">
        <f t="shared" si="1378"/>
        <v>207236.77671130467</v>
      </c>
      <c r="CD543" s="247">
        <f t="shared" si="1366"/>
        <v>8.7441825149445998E-4</v>
      </c>
      <c r="CE543" s="196">
        <f t="shared" si="1465"/>
        <v>19197.757964681408</v>
      </c>
      <c r="CF543" s="247">
        <f t="shared" si="1367"/>
        <v>8.2901889289912524E-4</v>
      </c>
      <c r="CG543" s="196">
        <f t="shared" si="1434"/>
        <v>34313.714662438244</v>
      </c>
      <c r="CH543" s="589">
        <f t="shared" si="1383"/>
        <v>8.7441825149445998E-4</v>
      </c>
      <c r="CI543" s="196">
        <f t="shared" si="1466"/>
        <v>22312.985721569115</v>
      </c>
      <c r="CJ543" s="248">
        <f t="shared" si="1384"/>
        <v>3.668254286247501E-4</v>
      </c>
      <c r="CK543" s="196">
        <f t="shared" si="1467"/>
        <v>70985.4415176029</v>
      </c>
      <c r="CL543" s="589">
        <f t="shared" si="1385"/>
        <v>1.0204303228979244E-3</v>
      </c>
      <c r="CM543" s="196">
        <f t="shared" si="1468"/>
        <v>6876.7226494141332</v>
      </c>
      <c r="CN543" s="589">
        <f t="shared" si="1386"/>
        <v>9.9101388533377678E-4</v>
      </c>
      <c r="CO543" s="196">
        <f t="shared" si="1469"/>
        <v>550.13150852708054</v>
      </c>
      <c r="CP543" s="589">
        <f t="shared" si="1387"/>
        <v>1.0374632892304627E-3</v>
      </c>
      <c r="CQ543" s="196">
        <f>'Detailed Budget'!$AC$12</f>
        <v>292876014141.44696</v>
      </c>
      <c r="CR543" s="269">
        <f t="shared" si="1393"/>
        <v>0</v>
      </c>
      <c r="CS543" s="269">
        <f>'Detailed Budget'!$AC$16</f>
        <v>10488008800.000002</v>
      </c>
      <c r="CT543" s="607">
        <f t="shared" si="1436"/>
        <v>0</v>
      </c>
      <c r="CU543" s="269">
        <f>'Detailed Budget'!$AC$24</f>
        <v>30624985696</v>
      </c>
      <c r="CV543" s="269">
        <f t="shared" si="1424"/>
        <v>0</v>
      </c>
      <c r="CW543" s="269"/>
      <c r="CX543" s="269">
        <f t="shared" si="1379"/>
        <v>0</v>
      </c>
      <c r="CY543" s="196">
        <f>'Detailed Budget'!$AC$97</f>
        <v>74629165494.837845</v>
      </c>
      <c r="CZ543" s="269">
        <f t="shared" si="1437"/>
        <v>83150085.251061738</v>
      </c>
      <c r="DA543" s="269">
        <f>'Detailed Budget'!$AC$100</f>
        <v>14925833098.967569</v>
      </c>
      <c r="DB543" s="269">
        <f t="shared" si="1438"/>
        <v>16630017.05021235</v>
      </c>
      <c r="DC543" s="269">
        <f t="shared" si="1368"/>
        <v>99780102.301274091</v>
      </c>
      <c r="DD543" s="207">
        <v>0</v>
      </c>
      <c r="DE543" s="606">
        <v>0</v>
      </c>
      <c r="DF543" s="269">
        <f>'Detailed Budget'!$AC$147</f>
        <v>5913600671000</v>
      </c>
      <c r="DG543" s="269">
        <f t="shared" si="1419"/>
        <v>0</v>
      </c>
      <c r="DH543" s="269">
        <f>'Detailed Budget'!$AC$153</f>
        <v>226428026880.00003</v>
      </c>
      <c r="DI543" s="269"/>
      <c r="DJ543" s="269">
        <f>'Detailed Budget'!$AC$156</f>
        <v>27713070000</v>
      </c>
      <c r="DK543" s="269"/>
      <c r="DL543" s="269"/>
      <c r="DM543" s="196">
        <f>'Detailed Budget'!$AC$178</f>
        <v>5622683761.6229038</v>
      </c>
      <c r="DN543" s="269">
        <f t="shared" si="1470"/>
        <v>0</v>
      </c>
      <c r="DO543" s="196">
        <f>'Detailed Budget'!$AC$179</f>
        <v>26827890683.128094</v>
      </c>
      <c r="DP543" s="269">
        <f t="shared" si="1471"/>
        <v>0</v>
      </c>
      <c r="DQ543" s="269">
        <f t="shared" si="1388"/>
        <v>0</v>
      </c>
      <c r="DR543" s="269">
        <f>'Detailed Budget'!$AC$181</f>
        <v>50888946855.375237</v>
      </c>
      <c r="DS543" s="269">
        <f t="shared" si="1472"/>
        <v>0</v>
      </c>
      <c r="DT543" s="269">
        <f t="shared" si="1473"/>
        <v>0</v>
      </c>
      <c r="DU543" s="272">
        <f>'Detailed Budget'!$AC$192</f>
        <v>77498869683.252869</v>
      </c>
      <c r="DV543" s="269">
        <f t="shared" si="1439"/>
        <v>67766426.121226981</v>
      </c>
      <c r="DW543" s="140">
        <f>'Detailed Budget'!$AC$194</f>
        <v>2684962805.4134097</v>
      </c>
      <c r="DX543" s="269">
        <f t="shared" si="1440"/>
        <v>2347780.4816372539</v>
      </c>
      <c r="DY543" s="607">
        <f t="shared" si="1369"/>
        <v>70114206.602864236</v>
      </c>
      <c r="DZ543" s="196">
        <f>'Detailed Budget'!$AC$198</f>
        <v>18732540018.380611</v>
      </c>
      <c r="EA543" s="269">
        <f t="shared" si="1441"/>
        <v>15529629.587226454</v>
      </c>
      <c r="EB543" s="196">
        <f>'Detailed Budget'!$AC$200</f>
        <v>4683135004.5951529</v>
      </c>
      <c r="EC543" s="269">
        <f t="shared" si="1442"/>
        <v>3882407.3968066135</v>
      </c>
      <c r="ED543" s="269">
        <f t="shared" si="1370"/>
        <v>19412036.984033067</v>
      </c>
      <c r="EE543" s="196">
        <f>'Detailed Budget'!$AC$161</f>
        <v>251147290106.36197</v>
      </c>
      <c r="EF543" s="269">
        <f t="shared" si="1443"/>
        <v>219607774.28237692</v>
      </c>
      <c r="EG543" s="196">
        <f>'Detailed Budget'!$AC$163</f>
        <v>15696705631.647623</v>
      </c>
      <c r="EH543" s="269">
        <f t="shared" si="1444"/>
        <v>13725485.892648557</v>
      </c>
      <c r="EI543" s="269">
        <f t="shared" si="1371"/>
        <v>233333260.17502546</v>
      </c>
      <c r="EJ543" s="196">
        <f>'Detailed Budget'!$AC$204</f>
        <v>45012172507.531975</v>
      </c>
      <c r="EK543" s="269">
        <f t="shared" si="1445"/>
        <v>16511609.473406609</v>
      </c>
      <c r="EL543" s="201">
        <f>'Detailed Budget'!$AC$206</f>
        <v>11253043126.882994</v>
      </c>
      <c r="EM543" s="269">
        <f t="shared" si="1446"/>
        <v>4127902.3683516523</v>
      </c>
      <c r="EN543" s="269">
        <f t="shared" si="1372"/>
        <v>20639511.841758262</v>
      </c>
      <c r="EO543" s="140">
        <f>'Detailed Budget'!$AC$209</f>
        <v>135789361677.54817</v>
      </c>
      <c r="EP543" s="269">
        <f t="shared" si="1447"/>
        <v>138563582.18272352</v>
      </c>
      <c r="EQ543" s="196">
        <f>'Detailed Budget'!$AC$211</f>
        <v>33947340419.387043</v>
      </c>
      <c r="ER543" s="269">
        <f t="shared" si="1448"/>
        <v>34640895.545680881</v>
      </c>
      <c r="ES543" s="269">
        <f t="shared" si="1373"/>
        <v>173204477.7284044</v>
      </c>
      <c r="ET543" s="196">
        <f>'Detailed Budget'!$AC$214</f>
        <v>22239745544.201103</v>
      </c>
      <c r="EU543" s="269">
        <f t="shared" si="1449"/>
        <v>22039896.640593287</v>
      </c>
      <c r="EV543" s="140">
        <f>'Detailed Budget'!$AC$217</f>
        <v>5559936386.0502758</v>
      </c>
      <c r="EW543" s="269">
        <f t="shared" si="1450"/>
        <v>5509974.1601483217</v>
      </c>
      <c r="EX543" s="269">
        <f t="shared" si="1374"/>
        <v>27549870.800741609</v>
      </c>
      <c r="EY543" s="196">
        <f>'Detailed Budget'!$AC$219</f>
        <v>372777004.58170313</v>
      </c>
      <c r="EZ543" s="269">
        <f t="shared" si="1451"/>
        <v>386742.45732281299</v>
      </c>
      <c r="FA543" s="196">
        <f>'Detailed Budget'!$AC$222</f>
        <v>93194251.145425782</v>
      </c>
      <c r="FB543" s="269">
        <f t="shared" si="1452"/>
        <v>96685.614330703247</v>
      </c>
      <c r="FC543" s="269">
        <f t="shared" si="1375"/>
        <v>483428.07165351626</v>
      </c>
      <c r="FD543" s="269"/>
      <c r="FE543" s="269">
        <f t="shared" si="1376"/>
        <v>221877288.44255778</v>
      </c>
      <c r="FF543" s="140">
        <f>'Detailed Budget'!$AC$165</f>
        <v>14927760000</v>
      </c>
      <c r="FG543" s="1087">
        <f t="shared" si="1420"/>
        <v>302655308.34835893</v>
      </c>
      <c r="FH543" s="269">
        <f t="shared" si="1453"/>
        <v>33922872.400863543</v>
      </c>
      <c r="FJ543" s="140">
        <f>'Detailed Budget'!$AC$235</f>
        <v>3623696172</v>
      </c>
      <c r="FK543" s="269">
        <f t="shared" si="1454"/>
        <v>4681778</v>
      </c>
      <c r="FL543" s="269">
        <f t="shared" si="1421"/>
        <v>4681778</v>
      </c>
      <c r="FO543" s="607"/>
      <c r="FP543" s="607"/>
      <c r="FQ543" s="607"/>
      <c r="FR543" s="269">
        <f>'Detailed Budget'!$AC$257</f>
        <v>13636439388</v>
      </c>
      <c r="FS543" s="269">
        <f t="shared" si="1455"/>
        <v>20486388</v>
      </c>
      <c r="FT543" s="269">
        <f t="shared" si="1422"/>
        <v>20486388</v>
      </c>
      <c r="FU543" s="269"/>
      <c r="FV543" s="269"/>
      <c r="FW543" s="269"/>
      <c r="FX543" s="140">
        <f>'Detailed Budget'!$AC$278</f>
        <v>1114560000</v>
      </c>
      <c r="FY543" s="269">
        <f t="shared" si="1456"/>
        <v>1440000</v>
      </c>
      <c r="FZ543" s="269">
        <f t="shared" si="1423"/>
        <v>1440000</v>
      </c>
      <c r="GB543" s="269">
        <f t="shared" si="1431"/>
        <v>1007703241.2549771</v>
      </c>
      <c r="GC543" s="887">
        <f t="shared" si="1377"/>
        <v>629814.52578436071</v>
      </c>
      <c r="GD543" s="1078">
        <f t="shared" si="1432"/>
        <v>5.6545402033928241E-4</v>
      </c>
    </row>
    <row r="544" spans="1:186" hidden="1" outlineLevel="1">
      <c r="A544" s="211" t="s">
        <v>1205</v>
      </c>
      <c r="B544" s="212" t="s">
        <v>1206</v>
      </c>
      <c r="C544" s="213" t="s">
        <v>215</v>
      </c>
      <c r="D544" s="214"/>
      <c r="E544" s="213"/>
      <c r="F544" s="213"/>
      <c r="G544" s="213" t="s">
        <v>215</v>
      </c>
      <c r="H544" s="213" t="s">
        <v>215</v>
      </c>
      <c r="I544" s="214" t="s">
        <v>215</v>
      </c>
      <c r="J544" s="214"/>
      <c r="K544" s="213"/>
      <c r="L544" s="213"/>
      <c r="M544" s="214" t="s">
        <v>215</v>
      </c>
      <c r="N544" s="213"/>
      <c r="O544" s="214"/>
      <c r="P544" s="213"/>
      <c r="Q544" s="214"/>
      <c r="R544" s="214" t="s">
        <v>215</v>
      </c>
      <c r="S544" s="214"/>
      <c r="T544" s="214"/>
      <c r="U544" s="215">
        <f t="shared" si="1457"/>
        <v>6</v>
      </c>
      <c r="V544" s="845" t="s">
        <v>216</v>
      </c>
      <c r="W544" s="216">
        <v>178687</v>
      </c>
      <c r="X544" s="217">
        <v>3</v>
      </c>
      <c r="Y544" s="218">
        <f t="shared" si="1477"/>
        <v>1.03</v>
      </c>
      <c r="Z544" s="196">
        <v>19</v>
      </c>
      <c r="AA544" s="218">
        <f t="shared" si="1478"/>
        <v>1.7535060530771003</v>
      </c>
      <c r="AB544" s="196">
        <f t="shared" si="1475"/>
        <v>313328.7361061878</v>
      </c>
      <c r="AC544">
        <v>11.8</v>
      </c>
      <c r="AD544" s="196">
        <f t="shared" si="1476"/>
        <v>36972.790860530164</v>
      </c>
      <c r="AE544" s="196">
        <f t="shared" si="1479"/>
        <v>35124.151317503653</v>
      </c>
      <c r="AF544" s="196">
        <f t="shared" si="1458"/>
        <v>0</v>
      </c>
      <c r="AG544" s="606">
        <f t="shared" si="1380"/>
        <v>1.6239865590078344E-3</v>
      </c>
      <c r="AH544" s="196">
        <f t="shared" si="1474"/>
        <v>15666.436805309391</v>
      </c>
      <c r="AI544" s="248">
        <f t="shared" si="1359"/>
        <v>1.2136551223370221E-3</v>
      </c>
      <c r="AJ544" s="196">
        <f t="shared" si="1360"/>
        <v>52639.227665839557</v>
      </c>
      <c r="AK544" s="196">
        <f t="shared" si="1391"/>
        <v>12533.149444247512</v>
      </c>
      <c r="AL544" s="196">
        <f t="shared" si="1392"/>
        <v>12533.149444247512</v>
      </c>
      <c r="AM544" s="196">
        <f t="shared" si="1361"/>
        <v>25066.298888495025</v>
      </c>
      <c r="AN544" s="627">
        <f t="shared" si="1362"/>
        <v>1.2136551223370219E-3</v>
      </c>
      <c r="AO544" s="196">
        <f t="shared" si="1363"/>
        <v>11906.491972035135</v>
      </c>
      <c r="AP544" s="589">
        <f t="shared" si="1381"/>
        <v>1.2136551223370219E-3</v>
      </c>
      <c r="AQ544" s="196"/>
      <c r="AR544" s="589"/>
      <c r="AS544">
        <v>1</v>
      </c>
      <c r="AT544" s="589">
        <f t="shared" si="1382"/>
        <v>1.2919896640826874E-3</v>
      </c>
      <c r="AU544" s="196">
        <v>10</v>
      </c>
      <c r="AV544" s="245">
        <f t="shared" si="1364"/>
        <v>1.1362345188046814E-3</v>
      </c>
      <c r="AX544" s="245"/>
      <c r="AY544" s="245"/>
      <c r="AZ544" s="196">
        <v>34</v>
      </c>
      <c r="BA544" s="589">
        <f t="shared" si="1425"/>
        <v>1.2458319592539666E-3</v>
      </c>
      <c r="BI544" s="196">
        <v>0</v>
      </c>
      <c r="BK544" s="246">
        <f t="shared" si="1426"/>
        <v>0</v>
      </c>
      <c r="BL544" s="246"/>
      <c r="BM544" s="246">
        <f t="shared" si="1427"/>
        <v>0</v>
      </c>
      <c r="BN544" s="196">
        <v>1</v>
      </c>
      <c r="BO544" s="196">
        <f t="shared" si="1459"/>
        <v>16531.338542430069</v>
      </c>
      <c r="BP544" s="196">
        <f t="shared" si="1365"/>
        <v>16531.338542430069</v>
      </c>
      <c r="BQ544" s="248">
        <f t="shared" si="1428"/>
        <v>1.5464297383667776E-3</v>
      </c>
      <c r="BR544" s="248"/>
      <c r="BS544" s="248"/>
      <c r="BT544" s="276">
        <v>0</v>
      </c>
      <c r="BU544" s="196">
        <f t="shared" si="1460"/>
        <v>0</v>
      </c>
      <c r="BV544" s="264">
        <f t="shared" si="1429"/>
        <v>0</v>
      </c>
      <c r="BW544" s="196">
        <f t="shared" si="1461"/>
        <v>0</v>
      </c>
      <c r="BX544" s="247">
        <f t="shared" si="1430"/>
        <v>0</v>
      </c>
      <c r="BY544" s="196">
        <f t="shared" si="1462"/>
        <v>0</v>
      </c>
      <c r="BZ544" s="620">
        <v>1</v>
      </c>
      <c r="CA544" s="196">
        <f t="shared" si="1463"/>
        <v>95878.593248493475</v>
      </c>
      <c r="CB544" s="196">
        <f t="shared" si="1464"/>
        <v>191757.18649698695</v>
      </c>
      <c r="CC544" s="196">
        <f t="shared" si="1378"/>
        <v>287635.77974548039</v>
      </c>
      <c r="CD544" s="247">
        <f t="shared" si="1366"/>
        <v>1.2136551223370219E-3</v>
      </c>
      <c r="CE544" s="196">
        <f t="shared" si="1465"/>
        <v>26645.666706294236</v>
      </c>
      <c r="CF544" s="247">
        <f t="shared" si="1367"/>
        <v>1.1506427549534801E-3</v>
      </c>
      <c r="CG544" s="196">
        <f t="shared" si="1434"/>
        <v>47625.967888140542</v>
      </c>
      <c r="CH544" s="589">
        <f t="shared" si="1383"/>
        <v>1.2136551223370219E-3</v>
      </c>
      <c r="CI544" s="196">
        <f t="shared" si="1466"/>
        <v>30969.469552279534</v>
      </c>
      <c r="CJ544" s="248">
        <f t="shared" si="1384"/>
        <v>5.0913800082856824E-4</v>
      </c>
      <c r="CK544" s="196">
        <f t="shared" si="1467"/>
        <v>98524.755815598037</v>
      </c>
      <c r="CL544" s="589">
        <f t="shared" si="1385"/>
        <v>1.4163136305268826E-3</v>
      </c>
      <c r="CM544" s="196">
        <f t="shared" si="1468"/>
        <v>9544.5968266198252</v>
      </c>
      <c r="CN544" s="589">
        <f t="shared" si="1386"/>
        <v>1.375484873728156E-3</v>
      </c>
      <c r="CO544" s="196">
        <f t="shared" si="1469"/>
        <v>763.55899724391156</v>
      </c>
      <c r="CP544" s="589">
        <f t="shared" si="1387"/>
        <v>1.4399546590652835E-3</v>
      </c>
      <c r="CQ544" s="196">
        <f>'Detailed Budget'!$AC$12</f>
        <v>292876014141.44696</v>
      </c>
      <c r="CR544" s="269">
        <f t="shared" si="1393"/>
        <v>0</v>
      </c>
      <c r="CS544" s="269">
        <f>'Detailed Budget'!$AC$16</f>
        <v>10488008800.000002</v>
      </c>
      <c r="CT544" s="607">
        <f t="shared" si="1436"/>
        <v>0</v>
      </c>
      <c r="CU544" s="269">
        <f>'Detailed Budget'!$AC$24</f>
        <v>30624985696</v>
      </c>
      <c r="CV544" s="269">
        <f t="shared" si="1424"/>
        <v>0</v>
      </c>
      <c r="CW544" s="269"/>
      <c r="CX544" s="269">
        <f t="shared" si="1379"/>
        <v>0</v>
      </c>
      <c r="CY544" s="196">
        <f>'Detailed Budget'!$AC$97</f>
        <v>74629165494.837845</v>
      </c>
      <c r="CZ544" s="269">
        <f t="shared" si="1437"/>
        <v>115408760.87071304</v>
      </c>
      <c r="DA544" s="269">
        <f>'Detailed Budget'!$AC$100</f>
        <v>14925833098.967569</v>
      </c>
      <c r="DB544" s="269">
        <f t="shared" si="1438"/>
        <v>23081752.174142607</v>
      </c>
      <c r="DC544" s="269">
        <f t="shared" si="1368"/>
        <v>138490513.04485565</v>
      </c>
      <c r="DD544" s="207">
        <v>0</v>
      </c>
      <c r="DE544" s="606">
        <v>0</v>
      </c>
      <c r="DF544" s="269">
        <f>'Detailed Budget'!$AC$147</f>
        <v>5913600671000</v>
      </c>
      <c r="DG544" s="269">
        <f t="shared" si="1419"/>
        <v>0</v>
      </c>
      <c r="DH544" s="269">
        <f>'Detailed Budget'!$AC$153</f>
        <v>226428026880.00003</v>
      </c>
      <c r="DI544" s="269"/>
      <c r="DJ544" s="269">
        <f>'Detailed Budget'!$AC$156</f>
        <v>27713070000</v>
      </c>
      <c r="DK544" s="269"/>
      <c r="DL544" s="269"/>
      <c r="DM544" s="196">
        <f>'Detailed Budget'!$AC$178</f>
        <v>5622683761.6229038</v>
      </c>
      <c r="DN544" s="269">
        <f t="shared" si="1470"/>
        <v>0</v>
      </c>
      <c r="DO544" s="196">
        <f>'Detailed Budget'!$AC$179</f>
        <v>26827890683.128094</v>
      </c>
      <c r="DP544" s="269">
        <f t="shared" si="1471"/>
        <v>0</v>
      </c>
      <c r="DQ544" s="269">
        <f t="shared" si="1388"/>
        <v>0</v>
      </c>
      <c r="DR544" s="269">
        <f>'Detailed Budget'!$AC$181</f>
        <v>50888946855.375237</v>
      </c>
      <c r="DS544" s="269">
        <f t="shared" si="1472"/>
        <v>0</v>
      </c>
      <c r="DT544" s="269">
        <f t="shared" si="1473"/>
        <v>0</v>
      </c>
      <c r="DU544" s="272">
        <f>'Detailed Budget'!$AC$192</f>
        <v>77498869683.252869</v>
      </c>
      <c r="DV544" s="269">
        <f t="shared" si="1439"/>
        <v>94056900.16640918</v>
      </c>
      <c r="DW544" s="140">
        <f>'Detailed Budget'!$AC$194</f>
        <v>2684962805.4134097</v>
      </c>
      <c r="DX544" s="269">
        <f t="shared" si="1440"/>
        <v>3258618.8620743654</v>
      </c>
      <c r="DY544" s="607">
        <f t="shared" si="1369"/>
        <v>97315519.02848354</v>
      </c>
      <c r="DZ544" s="196">
        <f>'Detailed Budget'!$AC$198</f>
        <v>18732540018.380611</v>
      </c>
      <c r="EA544" s="269">
        <f t="shared" si="1441"/>
        <v>21554461.454025779</v>
      </c>
      <c r="EB544" s="196">
        <f>'Detailed Budget'!$AC$200</f>
        <v>4683135004.5951529</v>
      </c>
      <c r="EC544" s="269">
        <f t="shared" si="1442"/>
        <v>5388615.3635064447</v>
      </c>
      <c r="ED544" s="269">
        <f t="shared" si="1370"/>
        <v>26943076.817532223</v>
      </c>
      <c r="EE544" s="196">
        <f>'Detailed Budget'!$AC$161</f>
        <v>251147290106.36197</v>
      </c>
      <c r="EF544" s="269">
        <f t="shared" si="1443"/>
        <v>304806195.09864825</v>
      </c>
      <c r="EG544" s="196">
        <f>'Detailed Budget'!$AC$163</f>
        <v>15696705631.647623</v>
      </c>
      <c r="EH544" s="269">
        <f t="shared" si="1444"/>
        <v>19050387.193665516</v>
      </c>
      <c r="EI544" s="269">
        <f t="shared" si="1371"/>
        <v>323856582.29231375</v>
      </c>
      <c r="EJ544" s="196">
        <f>'Detailed Budget'!$AC$204</f>
        <v>45012172507.531975</v>
      </c>
      <c r="EK544" s="269">
        <f t="shared" si="1445"/>
        <v>22917407.52343547</v>
      </c>
      <c r="EL544" s="201">
        <f>'Detailed Budget'!$AC$206</f>
        <v>11253043126.882994</v>
      </c>
      <c r="EM544" s="269">
        <f t="shared" si="1446"/>
        <v>5729351.8808588674</v>
      </c>
      <c r="EN544" s="269">
        <f t="shared" si="1372"/>
        <v>28646759.404294338</v>
      </c>
      <c r="EO544" s="140">
        <f>'Detailed Budget'!$AC$209</f>
        <v>135789361677.54817</v>
      </c>
      <c r="EP544" s="269">
        <f t="shared" si="1447"/>
        <v>192320323.82445619</v>
      </c>
      <c r="EQ544" s="196">
        <f>'Detailed Budget'!$AC$211</f>
        <v>33947340419.387043</v>
      </c>
      <c r="ER544" s="269">
        <f t="shared" si="1448"/>
        <v>48080080.956114046</v>
      </c>
      <c r="ES544" s="269">
        <f t="shared" si="1373"/>
        <v>240400404.78057024</v>
      </c>
      <c r="ET544" s="196">
        <f>'Detailed Budget'!$AC$214</f>
        <v>22239745544.201103</v>
      </c>
      <c r="EU544" s="269">
        <f t="shared" si="1449"/>
        <v>30590433.591611773</v>
      </c>
      <c r="EV544" s="140">
        <f>'Detailed Budget'!$AC$217</f>
        <v>5559936386.0502758</v>
      </c>
      <c r="EW544" s="269">
        <f t="shared" si="1450"/>
        <v>7647608.3979029432</v>
      </c>
      <c r="EX544" s="269">
        <f t="shared" si="1374"/>
        <v>38238041.989514716</v>
      </c>
      <c r="EY544" s="196">
        <f>'Detailed Budget'!$AC$219</f>
        <v>372777004.58170313</v>
      </c>
      <c r="EZ544" s="269">
        <f t="shared" si="1451"/>
        <v>536781.98453982396</v>
      </c>
      <c r="FA544" s="196">
        <f>'Detailed Budget'!$AC$222</f>
        <v>93194251.145425782</v>
      </c>
      <c r="FB544" s="269">
        <f t="shared" si="1452"/>
        <v>134195.49613495599</v>
      </c>
      <c r="FC544" s="269">
        <f t="shared" si="1375"/>
        <v>670977.48067477997</v>
      </c>
      <c r="FD544" s="269"/>
      <c r="FE544" s="269">
        <f t="shared" si="1376"/>
        <v>307956183.65505409</v>
      </c>
      <c r="FF544" s="140">
        <f>'Detailed Budget'!$AC$165</f>
        <v>14927760000</v>
      </c>
      <c r="FG544" s="1087">
        <f t="shared" si="1420"/>
        <v>420072619.31197685</v>
      </c>
      <c r="FH544" s="269">
        <f t="shared" si="1453"/>
        <v>16961436.200431772</v>
      </c>
      <c r="FJ544" s="140">
        <f>'Detailed Budget'!$AC$235</f>
        <v>3623696172</v>
      </c>
      <c r="FK544" s="269">
        <f t="shared" si="1454"/>
        <v>4681778</v>
      </c>
      <c r="FL544" s="269">
        <f t="shared" si="1421"/>
        <v>4681778</v>
      </c>
      <c r="FO544" s="607"/>
      <c r="FP544" s="607"/>
      <c r="FQ544" s="607"/>
      <c r="FR544" s="269">
        <f>'Detailed Budget'!$AC$257</f>
        <v>13636439388</v>
      </c>
      <c r="FS544" s="269">
        <f t="shared" si="1455"/>
        <v>16988712</v>
      </c>
      <c r="FT544" s="269">
        <f t="shared" si="1422"/>
        <v>16988712</v>
      </c>
      <c r="FU544" s="269"/>
      <c r="FV544" s="269"/>
      <c r="FW544" s="269"/>
      <c r="FX544" s="140">
        <f>'Detailed Budget'!$AC$278</f>
        <v>1114560000</v>
      </c>
      <c r="FY544" s="269">
        <f t="shared" si="1456"/>
        <v>1440000</v>
      </c>
      <c r="FZ544" s="269">
        <f t="shared" si="1423"/>
        <v>1440000</v>
      </c>
      <c r="GB544" s="269">
        <f t="shared" si="1431"/>
        <v>1354706420.3506479</v>
      </c>
      <c r="GC544" s="887">
        <f t="shared" si="1377"/>
        <v>846691.51271915494</v>
      </c>
      <c r="GD544" s="1078">
        <f t="shared" si="1432"/>
        <v>7.6016843094869652E-4</v>
      </c>
    </row>
    <row r="545" spans="1:186" hidden="1" outlineLevel="1">
      <c r="A545" s="211" t="s">
        <v>1207</v>
      </c>
      <c r="B545" s="212" t="s">
        <v>1208</v>
      </c>
      <c r="C545" s="213" t="s">
        <v>215</v>
      </c>
      <c r="D545" s="214"/>
      <c r="E545" s="213"/>
      <c r="F545" s="213"/>
      <c r="G545" s="213" t="s">
        <v>215</v>
      </c>
      <c r="H545" s="213" t="s">
        <v>215</v>
      </c>
      <c r="I545" s="214" t="s">
        <v>215</v>
      </c>
      <c r="J545" s="214"/>
      <c r="K545" s="213"/>
      <c r="L545" s="213"/>
      <c r="M545" s="214" t="s">
        <v>215</v>
      </c>
      <c r="N545" s="213"/>
      <c r="O545" s="214"/>
      <c r="P545" s="213"/>
      <c r="Q545" s="214"/>
      <c r="R545" s="214" t="s">
        <v>215</v>
      </c>
      <c r="S545" s="214"/>
      <c r="T545" s="214"/>
      <c r="U545" s="215">
        <f t="shared" si="1457"/>
        <v>6</v>
      </c>
      <c r="V545" s="845" t="s">
        <v>216</v>
      </c>
      <c r="W545" s="216">
        <v>238305</v>
      </c>
      <c r="X545" s="217">
        <v>3</v>
      </c>
      <c r="Y545" s="218">
        <f t="shared" si="1477"/>
        <v>1.03</v>
      </c>
      <c r="Z545" s="196">
        <v>19</v>
      </c>
      <c r="AA545" s="218">
        <f t="shared" si="1478"/>
        <v>1.7535060530771003</v>
      </c>
      <c r="AB545" s="196">
        <f t="shared" si="1475"/>
        <v>417869.25997853838</v>
      </c>
      <c r="AC545">
        <v>11.8</v>
      </c>
      <c r="AD545" s="196">
        <f t="shared" si="1476"/>
        <v>49308.572677467528</v>
      </c>
      <c r="AE545" s="196">
        <f t="shared" si="1479"/>
        <v>46843.144043594148</v>
      </c>
      <c r="AF545" s="196">
        <f t="shared" si="1458"/>
        <v>0</v>
      </c>
      <c r="AG545" s="606">
        <f t="shared" si="1380"/>
        <v>2.1658213353202074E-3</v>
      </c>
      <c r="AH545" s="196">
        <f t="shared" si="1474"/>
        <v>20893.46299892692</v>
      </c>
      <c r="AI545" s="248">
        <f t="shared" si="1359"/>
        <v>1.6185849218383209E-3</v>
      </c>
      <c r="AJ545" s="196">
        <f t="shared" si="1360"/>
        <v>70202.035676394444</v>
      </c>
      <c r="AK545" s="196">
        <f t="shared" si="1391"/>
        <v>16714.770399141536</v>
      </c>
      <c r="AL545" s="196">
        <f t="shared" si="1392"/>
        <v>16714.770399141536</v>
      </c>
      <c r="AM545" s="196">
        <f t="shared" si="1361"/>
        <v>33429.540798283073</v>
      </c>
      <c r="AN545" s="627">
        <f t="shared" si="1362"/>
        <v>1.6185849218383209E-3</v>
      </c>
      <c r="AO545" s="196">
        <f t="shared" si="1363"/>
        <v>15879.031879184458</v>
      </c>
      <c r="AP545" s="589">
        <f t="shared" si="1381"/>
        <v>1.6185849218383209E-3</v>
      </c>
      <c r="AQ545" s="196"/>
      <c r="AR545" s="589"/>
      <c r="AS545">
        <v>1</v>
      </c>
      <c r="AT545" s="589">
        <f t="shared" si="1382"/>
        <v>1.2919896640826874E-3</v>
      </c>
      <c r="AU545" s="196">
        <v>20</v>
      </c>
      <c r="AV545" s="245">
        <f t="shared" si="1364"/>
        <v>2.2724690376093627E-3</v>
      </c>
      <c r="AX545" s="245"/>
      <c r="AY545" s="245"/>
      <c r="AZ545" s="196">
        <v>37</v>
      </c>
      <c r="BA545" s="589">
        <f t="shared" si="1425"/>
        <v>1.3557583085999048E-3</v>
      </c>
      <c r="BI545" s="196">
        <v>0</v>
      </c>
      <c r="BK545" s="246">
        <f t="shared" si="1426"/>
        <v>0</v>
      </c>
      <c r="BL545" s="246"/>
      <c r="BM545" s="246">
        <f t="shared" si="1427"/>
        <v>0</v>
      </c>
      <c r="BN545" s="196">
        <v>1</v>
      </c>
      <c r="BO545" s="196">
        <f t="shared" si="1459"/>
        <v>22046.934759404972</v>
      </c>
      <c r="BP545" s="196">
        <f t="shared" si="1365"/>
        <v>22046.934759404972</v>
      </c>
      <c r="BQ545" s="248">
        <f t="shared" si="1428"/>
        <v>2.0623880797231743E-3</v>
      </c>
      <c r="BR545" s="248"/>
      <c r="BS545" s="248"/>
      <c r="BT545" s="276">
        <v>0</v>
      </c>
      <c r="BU545" s="196">
        <f t="shared" si="1460"/>
        <v>0</v>
      </c>
      <c r="BV545" s="264">
        <f t="shared" si="1429"/>
        <v>0</v>
      </c>
      <c r="BW545" s="196">
        <f t="shared" si="1461"/>
        <v>0</v>
      </c>
      <c r="BX545" s="247">
        <f t="shared" si="1430"/>
        <v>0</v>
      </c>
      <c r="BY545" s="196">
        <f t="shared" si="1462"/>
        <v>0</v>
      </c>
      <c r="BZ545" s="620">
        <v>1</v>
      </c>
      <c r="CA545" s="196">
        <f t="shared" si="1463"/>
        <v>127867.99355343275</v>
      </c>
      <c r="CB545" s="196">
        <f t="shared" si="1464"/>
        <v>255735.9871068655</v>
      </c>
      <c r="CC545" s="196">
        <f t="shared" si="1378"/>
        <v>383603.98066029826</v>
      </c>
      <c r="CD545" s="247">
        <f t="shared" si="1366"/>
        <v>1.6185849218383209E-3</v>
      </c>
      <c r="CE545" s="196">
        <f t="shared" si="1465"/>
        <v>35535.856578505707</v>
      </c>
      <c r="CF545" s="247">
        <f t="shared" si="1367"/>
        <v>1.5345488016430355E-3</v>
      </c>
      <c r="CG545" s="196">
        <f t="shared" si="1434"/>
        <v>63516.127516737834</v>
      </c>
      <c r="CH545" s="589">
        <f t="shared" si="1383"/>
        <v>1.6185849218383209E-3</v>
      </c>
      <c r="CI545" s="196">
        <f t="shared" si="1466"/>
        <v>41302.274041513781</v>
      </c>
      <c r="CJ545" s="248">
        <f t="shared" si="1384"/>
        <v>6.7900928040345366E-4</v>
      </c>
      <c r="CK545" s="196">
        <f t="shared" si="1467"/>
        <v>131397.03467312164</v>
      </c>
      <c r="CL545" s="589">
        <f t="shared" si="1385"/>
        <v>1.8888594006430726E-3</v>
      </c>
      <c r="CM545" s="196">
        <f t="shared" si="1468"/>
        <v>12729.102546730524</v>
      </c>
      <c r="CN545" s="589">
        <f t="shared" si="1386"/>
        <v>1.8344083387923473E-3</v>
      </c>
      <c r="CO545" s="196">
        <f t="shared" si="1469"/>
        <v>1018.3165358319873</v>
      </c>
      <c r="CP545" s="589">
        <f t="shared" si="1387"/>
        <v>1.9203881369576539E-3</v>
      </c>
      <c r="CQ545" s="196">
        <f>'Detailed Budget'!$AC$12</f>
        <v>292876014141.44696</v>
      </c>
      <c r="CR545" s="269">
        <f t="shared" si="1393"/>
        <v>0</v>
      </c>
      <c r="CS545" s="269">
        <f>'Detailed Budget'!$AC$16</f>
        <v>10488008800.000002</v>
      </c>
      <c r="CT545" s="607">
        <f t="shared" si="1436"/>
        <v>0</v>
      </c>
      <c r="CU545" s="269">
        <f>'Detailed Budget'!$AC$24</f>
        <v>30624985696</v>
      </c>
      <c r="CV545" s="269">
        <f t="shared" si="1424"/>
        <v>0</v>
      </c>
      <c r="CW545" s="269"/>
      <c r="CX545" s="269">
        <f t="shared" si="1379"/>
        <v>0</v>
      </c>
      <c r="CY545" s="196">
        <f>'Detailed Budget'!$AC$97</f>
        <v>74629165494.837845</v>
      </c>
      <c r="CZ545" s="269">
        <f t="shared" si="1437"/>
        <v>153914301.31624159</v>
      </c>
      <c r="DA545" s="269">
        <f>'Detailed Budget'!$AC$100</f>
        <v>14925833098.967569</v>
      </c>
      <c r="DB545" s="269">
        <f t="shared" si="1438"/>
        <v>30782860.263248321</v>
      </c>
      <c r="DC545" s="269">
        <f t="shared" si="1368"/>
        <v>184697161.57948992</v>
      </c>
      <c r="DD545" s="207">
        <v>0</v>
      </c>
      <c r="DE545" s="606">
        <v>0</v>
      </c>
      <c r="DF545" s="269">
        <f>'Detailed Budget'!$AC$147</f>
        <v>5913600671000</v>
      </c>
      <c r="DG545" s="269">
        <f t="shared" si="1419"/>
        <v>0</v>
      </c>
      <c r="DH545" s="269">
        <f>'Detailed Budget'!$AC$153</f>
        <v>226428026880.00003</v>
      </c>
      <c r="DI545" s="269"/>
      <c r="DJ545" s="269">
        <f>'Detailed Budget'!$AC$156</f>
        <v>27713070000</v>
      </c>
      <c r="DK545" s="269"/>
      <c r="DL545" s="269"/>
      <c r="DM545" s="196">
        <f>'Detailed Budget'!$AC$178</f>
        <v>5622683761.6229038</v>
      </c>
      <c r="DN545" s="269">
        <f t="shared" si="1470"/>
        <v>0</v>
      </c>
      <c r="DO545" s="196">
        <f>'Detailed Budget'!$AC$179</f>
        <v>26827890683.128094</v>
      </c>
      <c r="DP545" s="269">
        <f t="shared" si="1471"/>
        <v>0</v>
      </c>
      <c r="DQ545" s="269">
        <f t="shared" si="1388"/>
        <v>0</v>
      </c>
      <c r="DR545" s="269">
        <f>'Detailed Budget'!$AC$181</f>
        <v>50888946855.375237</v>
      </c>
      <c r="DS545" s="269">
        <f t="shared" si="1472"/>
        <v>0</v>
      </c>
      <c r="DT545" s="269">
        <f t="shared" si="1473"/>
        <v>0</v>
      </c>
      <c r="DU545" s="272">
        <f>'Detailed Budget'!$AC$192</f>
        <v>77498869683.252869</v>
      </c>
      <c r="DV545" s="269">
        <f t="shared" si="1439"/>
        <v>125438501.92882606</v>
      </c>
      <c r="DW545" s="140">
        <f>'Detailed Budget'!$AC$194</f>
        <v>2684962805.4134097</v>
      </c>
      <c r="DX545" s="269">
        <f t="shared" si="1440"/>
        <v>4345840.3125388622</v>
      </c>
      <c r="DY545" s="607">
        <f t="shared" si="1369"/>
        <v>129784342.24136493</v>
      </c>
      <c r="DZ545" s="196">
        <f>'Detailed Budget'!$AC$198</f>
        <v>18732540018.380611</v>
      </c>
      <c r="EA545" s="269">
        <f t="shared" si="1441"/>
        <v>28745996.836936176</v>
      </c>
      <c r="EB545" s="196">
        <f>'Detailed Budget'!$AC$200</f>
        <v>4683135004.5951529</v>
      </c>
      <c r="EC545" s="269">
        <f t="shared" si="1442"/>
        <v>7186499.209234044</v>
      </c>
      <c r="ED545" s="269">
        <f t="shared" si="1370"/>
        <v>35932496.04617022</v>
      </c>
      <c r="EE545" s="196">
        <f>'Detailed Budget'!$AC$161</f>
        <v>251147290106.36197</v>
      </c>
      <c r="EF545" s="269">
        <f t="shared" si="1443"/>
        <v>406503216.92671198</v>
      </c>
      <c r="EG545" s="196">
        <f>'Detailed Budget'!$AC$163</f>
        <v>15696705631.647623</v>
      </c>
      <c r="EH545" s="269">
        <f t="shared" si="1444"/>
        <v>25406451.057919499</v>
      </c>
      <c r="EI545" s="269">
        <f t="shared" si="1371"/>
        <v>431909667.98463148</v>
      </c>
      <c r="EJ545" s="196">
        <f>'Detailed Budget'!$AC$204</f>
        <v>45012172507.531975</v>
      </c>
      <c r="EK545" s="269">
        <f t="shared" si="1445"/>
        <v>30563682.863735408</v>
      </c>
      <c r="EL545" s="201">
        <f>'Detailed Budget'!$AC$206</f>
        <v>11253043126.882994</v>
      </c>
      <c r="EM545" s="269">
        <f t="shared" si="1446"/>
        <v>7640920.7159338519</v>
      </c>
      <c r="EN545" s="269">
        <f t="shared" si="1372"/>
        <v>38204603.579669259</v>
      </c>
      <c r="EO545" s="140">
        <f>'Detailed Budget'!$AC$209</f>
        <v>135789361677.54817</v>
      </c>
      <c r="EP545" s="269">
        <f t="shared" si="1447"/>
        <v>256487012.31195906</v>
      </c>
      <c r="EQ545" s="196">
        <f>'Detailed Budget'!$AC$211</f>
        <v>33947340419.387043</v>
      </c>
      <c r="ER545" s="269">
        <f t="shared" si="1448"/>
        <v>64121753.077989765</v>
      </c>
      <c r="ES545" s="269">
        <f t="shared" si="1373"/>
        <v>320608765.38994884</v>
      </c>
      <c r="ET545" s="196">
        <f>'Detailed Budget'!$AC$214</f>
        <v>22239745544.201103</v>
      </c>
      <c r="EU545" s="269">
        <f t="shared" si="1449"/>
        <v>40796774.678902455</v>
      </c>
      <c r="EV545" s="140">
        <f>'Detailed Budget'!$AC$217</f>
        <v>5559936386.0502758</v>
      </c>
      <c r="EW545" s="269">
        <f t="shared" si="1450"/>
        <v>10199193.669725614</v>
      </c>
      <c r="EX545" s="269">
        <f t="shared" si="1374"/>
        <v>50995968.348628066</v>
      </c>
      <c r="EY545" s="196">
        <f>'Detailed Budget'!$AC$219</f>
        <v>372777004.58170313</v>
      </c>
      <c r="EZ545" s="269">
        <f t="shared" si="1451"/>
        <v>715876.53732931172</v>
      </c>
      <c r="FA545" s="196">
        <f>'Detailed Budget'!$AC$222</f>
        <v>93194251.145425782</v>
      </c>
      <c r="FB545" s="269">
        <f t="shared" si="1452"/>
        <v>178969.13433232793</v>
      </c>
      <c r="FC545" s="269">
        <f t="shared" si="1375"/>
        <v>894845.67166163959</v>
      </c>
      <c r="FD545" s="269"/>
      <c r="FE545" s="269">
        <f t="shared" si="1376"/>
        <v>410704182.98990774</v>
      </c>
      <c r="FF545" s="140">
        <f>'Detailed Budget'!$AC$165</f>
        <v>14927760000</v>
      </c>
      <c r="FG545" s="1087">
        <f t="shared" si="1420"/>
        <v>560227691.69072521</v>
      </c>
      <c r="FH545" s="269">
        <f t="shared" si="1453"/>
        <v>33922872.400863543</v>
      </c>
      <c r="FJ545" s="140">
        <f>'Detailed Budget'!$AC$235</f>
        <v>3623696172</v>
      </c>
      <c r="FK545" s="269">
        <f t="shared" si="1454"/>
        <v>4681778</v>
      </c>
      <c r="FL545" s="269">
        <f t="shared" si="1421"/>
        <v>4681778</v>
      </c>
      <c r="FO545" s="607"/>
      <c r="FP545" s="607"/>
      <c r="FQ545" s="607"/>
      <c r="FR545" s="269">
        <f>'Detailed Budget'!$AC$257</f>
        <v>13636439388</v>
      </c>
      <c r="FS545" s="269">
        <f t="shared" si="1455"/>
        <v>18487716</v>
      </c>
      <c r="FT545" s="269">
        <f t="shared" si="1422"/>
        <v>18487716</v>
      </c>
      <c r="FU545" s="269"/>
      <c r="FV545" s="269"/>
      <c r="FW545" s="269"/>
      <c r="FX545" s="140">
        <f>'Detailed Budget'!$AC$278</f>
        <v>1114560000</v>
      </c>
      <c r="FY545" s="269">
        <f t="shared" si="1456"/>
        <v>1440000</v>
      </c>
      <c r="FZ545" s="269">
        <f t="shared" si="1423"/>
        <v>1440000</v>
      </c>
      <c r="GB545" s="269">
        <f t="shared" si="1431"/>
        <v>1811787908.9331532</v>
      </c>
      <c r="GC545" s="887">
        <f t="shared" si="1377"/>
        <v>1132367.4430832206</v>
      </c>
      <c r="GD545" s="1078">
        <f t="shared" si="1432"/>
        <v>1.0166512472783943E-3</v>
      </c>
    </row>
    <row r="546" spans="1:186" hidden="1" outlineLevel="1">
      <c r="A546" s="211" t="s">
        <v>1209</v>
      </c>
      <c r="B546" s="212" t="s">
        <v>1210</v>
      </c>
      <c r="C546" s="213" t="s">
        <v>215</v>
      </c>
      <c r="D546" s="214"/>
      <c r="E546" s="213"/>
      <c r="F546" s="213"/>
      <c r="G546" s="213" t="s">
        <v>215</v>
      </c>
      <c r="H546" s="213" t="s">
        <v>215</v>
      </c>
      <c r="I546" s="214" t="s">
        <v>215</v>
      </c>
      <c r="J546" s="214"/>
      <c r="K546" s="213"/>
      <c r="L546" s="213"/>
      <c r="M546" s="214" t="s">
        <v>215</v>
      </c>
      <c r="N546" s="213"/>
      <c r="O546" s="214"/>
      <c r="P546" s="213"/>
      <c r="Q546" s="214"/>
      <c r="R546" s="214" t="s">
        <v>215</v>
      </c>
      <c r="S546" s="214"/>
      <c r="T546" s="214"/>
      <c r="U546" s="215">
        <f t="shared" si="1457"/>
        <v>6</v>
      </c>
      <c r="V546" s="845" t="s">
        <v>216</v>
      </c>
      <c r="W546" s="216">
        <v>127150</v>
      </c>
      <c r="X546" s="217">
        <v>3</v>
      </c>
      <c r="Y546" s="218">
        <f t="shared" si="1477"/>
        <v>1.03</v>
      </c>
      <c r="Z546" s="196">
        <v>19</v>
      </c>
      <c r="AA546" s="218">
        <f t="shared" si="1478"/>
        <v>1.7535060530771003</v>
      </c>
      <c r="AB546" s="196">
        <f t="shared" si="1475"/>
        <v>222958.2946487533</v>
      </c>
      <c r="AC546">
        <v>11.8</v>
      </c>
      <c r="AD546" s="196">
        <f t="shared" si="1476"/>
        <v>26309.078768552892</v>
      </c>
      <c r="AE546" s="196">
        <f t="shared" si="1479"/>
        <v>24993.624830125245</v>
      </c>
      <c r="AF546" s="196">
        <f t="shared" si="1458"/>
        <v>0</v>
      </c>
      <c r="AG546" s="606">
        <f t="shared" si="1380"/>
        <v>1.1555954880760556E-3</v>
      </c>
      <c r="AH546" s="196">
        <f t="shared" si="1474"/>
        <v>11147.914732437666</v>
      </c>
      <c r="AI546" s="248">
        <f t="shared" si="1359"/>
        <v>8.6361206358130346E-4</v>
      </c>
      <c r="AJ546" s="196">
        <f t="shared" si="1360"/>
        <v>37456.99350099056</v>
      </c>
      <c r="AK546" s="196">
        <f t="shared" si="1391"/>
        <v>8918.3317859501331</v>
      </c>
      <c r="AL546" s="196">
        <f t="shared" si="1392"/>
        <v>8918.3317859501331</v>
      </c>
      <c r="AM546" s="196">
        <f t="shared" si="1361"/>
        <v>17836.663571900266</v>
      </c>
      <c r="AN546" s="627">
        <f t="shared" si="1362"/>
        <v>8.6361206358130346E-4</v>
      </c>
      <c r="AO546" s="196">
        <f t="shared" si="1363"/>
        <v>8472.415196652626</v>
      </c>
      <c r="AP546" s="589">
        <f t="shared" si="1381"/>
        <v>8.6361206358130346E-4</v>
      </c>
      <c r="AQ546" s="196"/>
      <c r="AR546" s="589"/>
      <c r="AS546">
        <v>1</v>
      </c>
      <c r="AT546" s="589">
        <f t="shared" si="1382"/>
        <v>1.2919896640826874E-3</v>
      </c>
      <c r="AU546" s="196">
        <v>16</v>
      </c>
      <c r="AV546" s="245">
        <f t="shared" si="1364"/>
        <v>1.81797523008749E-3</v>
      </c>
      <c r="AX546" s="245"/>
      <c r="AY546" s="245"/>
      <c r="AZ546" s="196">
        <v>31</v>
      </c>
      <c r="BA546" s="589">
        <f t="shared" si="1425"/>
        <v>1.1359056099080284E-3</v>
      </c>
      <c r="BI546" s="196">
        <v>0</v>
      </c>
      <c r="BK546" s="246">
        <f t="shared" si="1426"/>
        <v>0</v>
      </c>
      <c r="BL546" s="246"/>
      <c r="BM546" s="246">
        <f t="shared" si="1427"/>
        <v>0</v>
      </c>
      <c r="BN546" s="196">
        <v>1</v>
      </c>
      <c r="BO546" s="196">
        <f t="shared" si="1459"/>
        <v>11763.361048481329</v>
      </c>
      <c r="BP546" s="196">
        <f t="shared" si="1365"/>
        <v>11763.361048481329</v>
      </c>
      <c r="BQ546" s="248">
        <f t="shared" si="1428"/>
        <v>1.1004076470774919E-3</v>
      </c>
      <c r="BR546" s="248"/>
      <c r="BS546" s="248"/>
      <c r="BT546" s="276">
        <v>0</v>
      </c>
      <c r="BU546" s="196">
        <f t="shared" si="1460"/>
        <v>0</v>
      </c>
      <c r="BV546" s="264">
        <f t="shared" si="1429"/>
        <v>0</v>
      </c>
      <c r="BW546" s="196">
        <f t="shared" si="1461"/>
        <v>0</v>
      </c>
      <c r="BX546" s="247">
        <f t="shared" si="1430"/>
        <v>0</v>
      </c>
      <c r="BY546" s="196">
        <f t="shared" si="1462"/>
        <v>0</v>
      </c>
      <c r="BZ546" s="620">
        <v>1</v>
      </c>
      <c r="CA546" s="196">
        <f t="shared" si="1463"/>
        <v>68225.238162518523</v>
      </c>
      <c r="CB546" s="196">
        <f t="shared" si="1464"/>
        <v>136450.47632503705</v>
      </c>
      <c r="CC546" s="196">
        <f t="shared" si="1378"/>
        <v>204675.71448755555</v>
      </c>
      <c r="CD546" s="247">
        <f t="shared" si="1366"/>
        <v>8.6361206358130346E-4</v>
      </c>
      <c r="CE546" s="196">
        <f t="shared" si="1465"/>
        <v>18960.509279943773</v>
      </c>
      <c r="CF546" s="247">
        <f t="shared" si="1367"/>
        <v>8.1877375686163528E-4</v>
      </c>
      <c r="CG546" s="196">
        <f t="shared" si="1434"/>
        <v>33889.660786610504</v>
      </c>
      <c r="CH546" s="589">
        <f t="shared" si="1383"/>
        <v>8.6361206358130346E-4</v>
      </c>
      <c r="CI546" s="196">
        <f t="shared" si="1466"/>
        <v>22037.238599183729</v>
      </c>
      <c r="CJ546" s="248">
        <f t="shared" si="1384"/>
        <v>3.6229214663267308E-4</v>
      </c>
      <c r="CK546" s="196">
        <f t="shared" si="1467"/>
        <v>70108.193108358697</v>
      </c>
      <c r="CL546" s="589">
        <f t="shared" si="1385"/>
        <v>1.0078196965727397E-3</v>
      </c>
      <c r="CM546" s="196">
        <f t="shared" si="1468"/>
        <v>6791.7391108738238</v>
      </c>
      <c r="CN546" s="589">
        <f t="shared" si="1386"/>
        <v>9.7876679162185861E-4</v>
      </c>
      <c r="CO546" s="196">
        <f t="shared" si="1469"/>
        <v>543.33290334251149</v>
      </c>
      <c r="CP546" s="589">
        <f t="shared" si="1387"/>
        <v>1.0246421670303423E-3</v>
      </c>
      <c r="CQ546" s="196">
        <f>'Detailed Budget'!$AC$12</f>
        <v>292876014141.44696</v>
      </c>
      <c r="CR546" s="269">
        <f t="shared" si="1393"/>
        <v>0</v>
      </c>
      <c r="CS546" s="269">
        <f>'Detailed Budget'!$AC$16</f>
        <v>10488008800.000002</v>
      </c>
      <c r="CT546" s="607">
        <f t="shared" si="1436"/>
        <v>0</v>
      </c>
      <c r="CU546" s="269">
        <f>'Detailed Budget'!$AC$24</f>
        <v>30624985696</v>
      </c>
      <c r="CV546" s="269">
        <f t="shared" si="1424"/>
        <v>0</v>
      </c>
      <c r="CW546" s="269"/>
      <c r="CX546" s="269">
        <f t="shared" si="1379"/>
        <v>0</v>
      </c>
      <c r="CY546" s="196">
        <f>'Detailed Budget'!$AC$97</f>
        <v>74629165494.837845</v>
      </c>
      <c r="CZ546" s="269">
        <f t="shared" si="1437"/>
        <v>82122504.405531257</v>
      </c>
      <c r="DA546" s="269">
        <f>'Detailed Budget'!$AC$100</f>
        <v>14925833098.967569</v>
      </c>
      <c r="DB546" s="269">
        <f t="shared" si="1438"/>
        <v>16424500.881106252</v>
      </c>
      <c r="DC546" s="269">
        <f t="shared" si="1368"/>
        <v>98547005.286637515</v>
      </c>
      <c r="DD546" s="207">
        <v>0</v>
      </c>
      <c r="DE546" s="606">
        <v>0</v>
      </c>
      <c r="DF546" s="269">
        <f>'Detailed Budget'!$AC$147</f>
        <v>5913600671000</v>
      </c>
      <c r="DG546" s="269">
        <f t="shared" si="1419"/>
        <v>0</v>
      </c>
      <c r="DH546" s="269">
        <f>'Detailed Budget'!$AC$153</f>
        <v>226428026880.00003</v>
      </c>
      <c r="DI546" s="269"/>
      <c r="DJ546" s="269">
        <f>'Detailed Budget'!$AC$156</f>
        <v>27713070000</v>
      </c>
      <c r="DK546" s="269"/>
      <c r="DL546" s="269"/>
      <c r="DM546" s="196">
        <f>'Detailed Budget'!$AC$178</f>
        <v>5622683761.6229038</v>
      </c>
      <c r="DN546" s="269">
        <f t="shared" si="1470"/>
        <v>0</v>
      </c>
      <c r="DO546" s="196">
        <f>'Detailed Budget'!$AC$179</f>
        <v>26827890683.128094</v>
      </c>
      <c r="DP546" s="269">
        <f t="shared" si="1471"/>
        <v>0</v>
      </c>
      <c r="DQ546" s="269">
        <f t="shared" si="1388"/>
        <v>0</v>
      </c>
      <c r="DR546" s="269">
        <f>'Detailed Budget'!$AC$181</f>
        <v>50888946855.375237</v>
      </c>
      <c r="DS546" s="269">
        <f t="shared" si="1472"/>
        <v>0</v>
      </c>
      <c r="DT546" s="269">
        <f t="shared" si="1473"/>
        <v>0</v>
      </c>
      <c r="DU546" s="272">
        <f>'Detailed Budget'!$AC$192</f>
        <v>77498869683.252869</v>
      </c>
      <c r="DV546" s="269">
        <f t="shared" si="1439"/>
        <v>66928958.772372529</v>
      </c>
      <c r="DW546" s="140">
        <f>'Detailed Budget'!$AC$194</f>
        <v>2684962805.4134097</v>
      </c>
      <c r="DX546" s="269">
        <f t="shared" si="1440"/>
        <v>2318766.2690221206</v>
      </c>
      <c r="DY546" s="607">
        <f t="shared" si="1369"/>
        <v>69247725.041394651</v>
      </c>
      <c r="DZ546" s="196">
        <f>'Detailed Budget'!$AC$198</f>
        <v>18732540018.380611</v>
      </c>
      <c r="EA546" s="269">
        <f t="shared" si="1441"/>
        <v>15337712.16641042</v>
      </c>
      <c r="EB546" s="196">
        <f>'Detailed Budget'!$AC$200</f>
        <v>4683135004.5951529</v>
      </c>
      <c r="EC546" s="269">
        <f t="shared" si="1442"/>
        <v>3834428.041602605</v>
      </c>
      <c r="ED546" s="269">
        <f t="shared" si="1370"/>
        <v>19172140.208013024</v>
      </c>
      <c r="EE546" s="196">
        <f>'Detailed Budget'!$AC$161</f>
        <v>251147290106.36197</v>
      </c>
      <c r="EF546" s="269">
        <f t="shared" si="1443"/>
        <v>216893829.47160754</v>
      </c>
      <c r="EG546" s="196">
        <f>'Detailed Budget'!$AC$163</f>
        <v>15696705631.647623</v>
      </c>
      <c r="EH546" s="269">
        <f t="shared" si="1444"/>
        <v>13555864.341975471</v>
      </c>
      <c r="EI546" s="269">
        <f t="shared" si="1371"/>
        <v>230449693.81358302</v>
      </c>
      <c r="EJ546" s="196">
        <f>'Detailed Budget'!$AC$204</f>
        <v>45012172507.531975</v>
      </c>
      <c r="EK546" s="269">
        <f t="shared" si="1445"/>
        <v>16307556.602353951</v>
      </c>
      <c r="EL546" s="201">
        <f>'Detailed Budget'!$AC$206</f>
        <v>11253043126.882994</v>
      </c>
      <c r="EM546" s="269">
        <f t="shared" si="1446"/>
        <v>4076889.1505884877</v>
      </c>
      <c r="EN546" s="269">
        <f t="shared" si="1372"/>
        <v>20384445.752942439</v>
      </c>
      <c r="EO546" s="140">
        <f>'Detailed Budget'!$AC$209</f>
        <v>135789361677.54817</v>
      </c>
      <c r="EP546" s="269">
        <f t="shared" si="1447"/>
        <v>136851193.2836726</v>
      </c>
      <c r="EQ546" s="196">
        <f>'Detailed Budget'!$AC$211</f>
        <v>33947340419.387043</v>
      </c>
      <c r="ER546" s="269">
        <f t="shared" si="1448"/>
        <v>34212798.32091815</v>
      </c>
      <c r="ES546" s="269">
        <f t="shared" si="1373"/>
        <v>171063991.60459074</v>
      </c>
      <c r="ET546" s="196">
        <f>'Detailed Budget'!$AC$214</f>
        <v>22239745544.201103</v>
      </c>
      <c r="EU546" s="269">
        <f t="shared" si="1449"/>
        <v>21767524.392784242</v>
      </c>
      <c r="EV546" s="140">
        <f>'Detailed Budget'!$AC$217</f>
        <v>5559936386.0502758</v>
      </c>
      <c r="EW546" s="269">
        <f t="shared" si="1450"/>
        <v>5441881.0981960604</v>
      </c>
      <c r="EX546" s="269">
        <f t="shared" si="1374"/>
        <v>27209405.490980301</v>
      </c>
      <c r="EY546" s="196">
        <f>'Detailed Budget'!$AC$219</f>
        <v>372777004.58170313</v>
      </c>
      <c r="EZ546" s="269">
        <f t="shared" si="1451"/>
        <v>381963.03779367614</v>
      </c>
      <c r="FA546" s="196">
        <f>'Detailed Budget'!$AC$222</f>
        <v>93194251.145425782</v>
      </c>
      <c r="FB546" s="269">
        <f t="shared" si="1452"/>
        <v>95490.759448419034</v>
      </c>
      <c r="FC546" s="269">
        <f t="shared" si="1375"/>
        <v>477453.79724209517</v>
      </c>
      <c r="FD546" s="269"/>
      <c r="FE546" s="269">
        <f t="shared" si="1376"/>
        <v>219135296.64575559</v>
      </c>
      <c r="FF546" s="140">
        <f>'Detailed Budget'!$AC$165</f>
        <v>14927760000</v>
      </c>
      <c r="FG546" s="1087">
        <f t="shared" si="1420"/>
        <v>298915050.03451765</v>
      </c>
      <c r="FH546" s="269">
        <f t="shared" si="1453"/>
        <v>27138297.920690831</v>
      </c>
      <c r="FJ546" s="140">
        <f>'Detailed Budget'!$AC$235</f>
        <v>3623696172</v>
      </c>
      <c r="FK546" s="269">
        <f t="shared" si="1454"/>
        <v>4681778</v>
      </c>
      <c r="FL546" s="269">
        <f t="shared" si="1421"/>
        <v>4681778</v>
      </c>
      <c r="FO546" s="607"/>
      <c r="FP546" s="607"/>
      <c r="FQ546" s="607"/>
      <c r="FR546" s="269">
        <f>'Detailed Budget'!$AC$257</f>
        <v>13636439388</v>
      </c>
      <c r="FS546" s="269">
        <f t="shared" si="1455"/>
        <v>15489708.000000002</v>
      </c>
      <c r="FT546" s="269">
        <f t="shared" si="1422"/>
        <v>15489708.000000002</v>
      </c>
      <c r="FU546" s="269"/>
      <c r="FV546" s="269"/>
      <c r="FW546" s="269"/>
      <c r="FX546" s="140">
        <f>'Detailed Budget'!$AC$278</f>
        <v>1114560000</v>
      </c>
      <c r="FY546" s="269">
        <f t="shared" si="1456"/>
        <v>1440000</v>
      </c>
      <c r="FZ546" s="269">
        <f t="shared" si="1423"/>
        <v>1440000</v>
      </c>
      <c r="GB546" s="269">
        <f t="shared" si="1431"/>
        <v>984216694.95059216</v>
      </c>
      <c r="GC546" s="887">
        <f t="shared" si="1377"/>
        <v>615135.43434412009</v>
      </c>
      <c r="GD546" s="1078">
        <f t="shared" si="1432"/>
        <v>5.5227497963761729E-4</v>
      </c>
    </row>
    <row r="547" spans="1:186" hidden="1" outlineLevel="1">
      <c r="A547" s="211"/>
      <c r="B547" s="212"/>
      <c r="C547" s="213"/>
      <c r="D547" s="214"/>
      <c r="E547" s="213"/>
      <c r="F547" s="213"/>
      <c r="G547" s="213"/>
      <c r="H547" s="213"/>
      <c r="I547" s="214"/>
      <c r="J547" s="214"/>
      <c r="K547" s="213"/>
      <c r="L547" s="213"/>
      <c r="M547" s="214"/>
      <c r="N547" s="213"/>
      <c r="O547" s="214"/>
      <c r="P547" s="213"/>
      <c r="Q547" s="214"/>
      <c r="R547" s="214"/>
      <c r="S547" s="214"/>
      <c r="T547" s="214"/>
      <c r="U547" s="215"/>
      <c r="V547" s="845"/>
      <c r="W547" s="216"/>
      <c r="X547" s="217"/>
      <c r="Y547" s="218"/>
      <c r="Z547" s="196"/>
      <c r="AA547" s="218"/>
      <c r="AF547" s="196">
        <f t="shared" si="1458"/>
        <v>0</v>
      </c>
      <c r="AG547" s="606">
        <f t="shared" si="1380"/>
        <v>0</v>
      </c>
      <c r="AJ547" s="196"/>
      <c r="AK547" s="196"/>
      <c r="AL547" s="196"/>
      <c r="AM547" s="196"/>
      <c r="AO547" s="196"/>
      <c r="AP547" s="589">
        <f t="shared" si="1381"/>
        <v>0</v>
      </c>
      <c r="AQ547" s="196"/>
      <c r="AR547" s="589"/>
      <c r="AS547"/>
      <c r="AT547" s="589">
        <f t="shared" si="1382"/>
        <v>0</v>
      </c>
      <c r="AV547" s="245">
        <f t="shared" si="1364"/>
        <v>0</v>
      </c>
      <c r="AX547" s="245"/>
      <c r="AY547" s="245"/>
      <c r="BA547" s="589">
        <f t="shared" si="1425"/>
        <v>0</v>
      </c>
      <c r="BK547" s="246">
        <f t="shared" si="1426"/>
        <v>0</v>
      </c>
      <c r="BL547" s="246"/>
      <c r="BM547" s="246">
        <f t="shared" si="1427"/>
        <v>0</v>
      </c>
      <c r="BN547" s="196"/>
      <c r="BQ547" s="248">
        <f t="shared" si="1428"/>
        <v>0</v>
      </c>
      <c r="BR547" s="248"/>
      <c r="BS547" s="248"/>
      <c r="BT547" s="276"/>
      <c r="BV547" s="264">
        <f t="shared" si="1429"/>
        <v>0</v>
      </c>
      <c r="BX547" s="247">
        <f t="shared" si="1430"/>
        <v>0</v>
      </c>
      <c r="BY547" s="196"/>
      <c r="BZ547" s="620"/>
      <c r="CA547" s="196">
        <f t="shared" si="1463"/>
        <v>0</v>
      </c>
      <c r="CB547" s="196">
        <f t="shared" si="1464"/>
        <v>0</v>
      </c>
      <c r="CC547" s="196">
        <f t="shared" si="1378"/>
        <v>0</v>
      </c>
      <c r="CD547" s="247">
        <f t="shared" si="1366"/>
        <v>0</v>
      </c>
      <c r="CF547" s="247">
        <f t="shared" si="1367"/>
        <v>0</v>
      </c>
      <c r="CG547" s="196">
        <f t="shared" si="1434"/>
        <v>0</v>
      </c>
      <c r="CH547" s="589">
        <f t="shared" si="1383"/>
        <v>0</v>
      </c>
      <c r="CI547" s="196"/>
      <c r="CJ547" s="248">
        <f t="shared" si="1384"/>
        <v>0</v>
      </c>
      <c r="CK547" s="196"/>
      <c r="CL547" s="589">
        <f t="shared" si="1385"/>
        <v>0</v>
      </c>
      <c r="CM547" s="196"/>
      <c r="CN547" s="589">
        <f t="shared" si="1386"/>
        <v>0</v>
      </c>
      <c r="CO547" s="196"/>
      <c r="CP547" s="589">
        <f t="shared" si="1387"/>
        <v>0</v>
      </c>
      <c r="CQ547" s="196"/>
      <c r="CR547" s="269">
        <f t="shared" si="1393"/>
        <v>0</v>
      </c>
      <c r="CS547" s="269">
        <f>'Detailed Budget'!$AC$16</f>
        <v>10488008800.000002</v>
      </c>
      <c r="CT547" s="607">
        <f t="shared" si="1436"/>
        <v>0</v>
      </c>
      <c r="CU547" s="269">
        <f>'Detailed Budget'!$AC$24</f>
        <v>30624985696</v>
      </c>
      <c r="CV547" s="269">
        <f t="shared" si="1424"/>
        <v>0</v>
      </c>
      <c r="CW547" s="269"/>
      <c r="CX547" s="269">
        <f t="shared" si="1379"/>
        <v>0</v>
      </c>
      <c r="CY547" s="196">
        <f>'Detailed Budget'!$AC$97</f>
        <v>74629165494.837845</v>
      </c>
      <c r="CZ547" s="269">
        <f t="shared" si="1437"/>
        <v>0</v>
      </c>
      <c r="DA547" s="269">
        <f>'Detailed Budget'!$AC$100</f>
        <v>14925833098.967569</v>
      </c>
      <c r="DB547" s="269">
        <f t="shared" si="1438"/>
        <v>0</v>
      </c>
      <c r="DC547" s="269"/>
      <c r="DD547" s="207"/>
      <c r="DE547" s="606">
        <v>0</v>
      </c>
      <c r="DF547" s="269">
        <f>'Detailed Budget'!$AC$147</f>
        <v>5913600671000</v>
      </c>
      <c r="DG547" s="269">
        <f t="shared" si="1419"/>
        <v>0</v>
      </c>
      <c r="DH547" s="269">
        <f>'Detailed Budget'!$AC$153</f>
        <v>226428026880.00003</v>
      </c>
      <c r="DI547" s="269"/>
      <c r="DJ547" s="269">
        <f>'Detailed Budget'!$AC$156</f>
        <v>27713070000</v>
      </c>
      <c r="DK547" s="269"/>
      <c r="DL547" s="269"/>
      <c r="DM547" s="196"/>
      <c r="DN547" s="269"/>
      <c r="DO547" s="196"/>
      <c r="DP547" s="269"/>
      <c r="DQ547" s="269"/>
      <c r="DR547" s="269"/>
      <c r="DS547" s="269"/>
      <c r="DT547" s="269"/>
      <c r="DU547" s="272">
        <f>'Detailed Budget'!$AC$192</f>
        <v>77498869683.252869</v>
      </c>
      <c r="DV547" s="269">
        <f t="shared" si="1439"/>
        <v>0</v>
      </c>
      <c r="DW547" s="140">
        <f>'Detailed Budget'!$AC$194</f>
        <v>2684962805.4134097</v>
      </c>
      <c r="DX547" s="269">
        <f t="shared" si="1440"/>
        <v>0</v>
      </c>
      <c r="DY547" s="607">
        <f t="shared" si="1369"/>
        <v>0</v>
      </c>
      <c r="DZ547" s="196"/>
      <c r="EA547" s="269"/>
      <c r="EB547" s="196">
        <f>'Detailed Budget'!$AC$200</f>
        <v>4683135004.5951529</v>
      </c>
      <c r="EC547" s="269">
        <f t="shared" si="1442"/>
        <v>0</v>
      </c>
      <c r="ED547" s="269">
        <f t="shared" si="1370"/>
        <v>0</v>
      </c>
      <c r="EE547" s="196">
        <f>'Detailed Budget'!$AC$161</f>
        <v>251147290106.36197</v>
      </c>
      <c r="EF547" s="269">
        <f t="shared" si="1443"/>
        <v>0</v>
      </c>
      <c r="EG547" s="196">
        <f>'Detailed Budget'!$AC$163</f>
        <v>15696705631.647623</v>
      </c>
      <c r="EH547" s="269">
        <f t="shared" si="1444"/>
        <v>0</v>
      </c>
      <c r="EI547" s="269">
        <f t="shared" si="1371"/>
        <v>0</v>
      </c>
      <c r="EJ547" s="196">
        <f>'Detailed Budget'!$AC$204</f>
        <v>45012172507.531975</v>
      </c>
      <c r="EK547" s="269">
        <f t="shared" si="1445"/>
        <v>0</v>
      </c>
      <c r="EL547" s="201">
        <f>'Detailed Budget'!$AC$206</f>
        <v>11253043126.882994</v>
      </c>
      <c r="EM547" s="269">
        <f t="shared" si="1446"/>
        <v>0</v>
      </c>
      <c r="EN547" s="269">
        <f t="shared" si="1372"/>
        <v>0</v>
      </c>
      <c r="EO547" s="140">
        <f>'Detailed Budget'!$AC$209</f>
        <v>135789361677.54817</v>
      </c>
      <c r="EP547" s="269">
        <f t="shared" si="1447"/>
        <v>0</v>
      </c>
      <c r="EQ547" s="196">
        <f>'Detailed Budget'!$AC$211</f>
        <v>33947340419.387043</v>
      </c>
      <c r="ER547" s="269">
        <f t="shared" si="1448"/>
        <v>0</v>
      </c>
      <c r="ES547" s="269">
        <f t="shared" si="1373"/>
        <v>0</v>
      </c>
      <c r="ET547" s="196">
        <f>'Detailed Budget'!$AC$214</f>
        <v>22239745544.201103</v>
      </c>
      <c r="EU547" s="269">
        <f t="shared" si="1449"/>
        <v>0</v>
      </c>
      <c r="EV547" s="140">
        <f>'Detailed Budget'!$AC$217</f>
        <v>5559936386.0502758</v>
      </c>
      <c r="EW547" s="269">
        <f t="shared" si="1450"/>
        <v>0</v>
      </c>
      <c r="EX547" s="269">
        <f t="shared" si="1374"/>
        <v>0</v>
      </c>
      <c r="EY547" s="196">
        <f>'Detailed Budget'!$AC$219</f>
        <v>372777004.58170313</v>
      </c>
      <c r="EZ547" s="269">
        <f t="shared" si="1451"/>
        <v>0</v>
      </c>
      <c r="FA547" s="196">
        <f>'Detailed Budget'!$AC$222</f>
        <v>93194251.145425782</v>
      </c>
      <c r="FB547" s="269">
        <f t="shared" si="1452"/>
        <v>0</v>
      </c>
      <c r="FC547" s="269">
        <f t="shared" si="1375"/>
        <v>0</v>
      </c>
      <c r="FD547" s="269"/>
      <c r="FE547" s="269"/>
      <c r="FF547" s="140"/>
      <c r="FG547" s="1087">
        <f t="shared" si="1420"/>
        <v>0</v>
      </c>
      <c r="FJ547" s="140"/>
      <c r="FL547" s="269">
        <f t="shared" si="1421"/>
        <v>0</v>
      </c>
      <c r="FO547" s="607"/>
      <c r="FP547" s="607"/>
      <c r="FQ547" s="607"/>
      <c r="FT547" s="269">
        <f t="shared" si="1422"/>
        <v>0</v>
      </c>
      <c r="FU547" s="269"/>
      <c r="FV547" s="269"/>
      <c r="FW547" s="269"/>
      <c r="FX547" s="140">
        <f>'Detailed Budget'!$AC$278</f>
        <v>1114560000</v>
      </c>
      <c r="FY547" s="269"/>
      <c r="FZ547" s="269"/>
      <c r="GB547" s="269">
        <f t="shared" si="1431"/>
        <v>0</v>
      </c>
      <c r="GD547" s="1078">
        <f t="shared" si="1432"/>
        <v>0</v>
      </c>
    </row>
    <row r="548" spans="1:186" s="210" customFormat="1" collapsed="1">
      <c r="A548" s="203">
        <v>4.5</v>
      </c>
      <c r="B548" s="204" t="s">
        <v>1211</v>
      </c>
      <c r="C548" s="205">
        <f t="shared" ref="C548:T548" si="1480">COUNTA(C549:C575)</f>
        <v>27</v>
      </c>
      <c r="D548" s="205">
        <f t="shared" si="1480"/>
        <v>0</v>
      </c>
      <c r="E548" s="205">
        <f t="shared" si="1480"/>
        <v>0</v>
      </c>
      <c r="F548" s="205">
        <f t="shared" si="1480"/>
        <v>0</v>
      </c>
      <c r="G548" s="205">
        <f t="shared" si="1480"/>
        <v>27</v>
      </c>
      <c r="H548" s="205">
        <f t="shared" si="1480"/>
        <v>27</v>
      </c>
      <c r="I548" s="205">
        <f t="shared" si="1480"/>
        <v>27</v>
      </c>
      <c r="J548" s="205">
        <f t="shared" si="1480"/>
        <v>0</v>
      </c>
      <c r="K548" s="205">
        <f t="shared" si="1480"/>
        <v>0</v>
      </c>
      <c r="L548" s="205">
        <f t="shared" si="1480"/>
        <v>0</v>
      </c>
      <c r="M548" s="205">
        <f t="shared" si="1480"/>
        <v>27</v>
      </c>
      <c r="N548" s="205">
        <f t="shared" si="1480"/>
        <v>0</v>
      </c>
      <c r="O548" s="205">
        <f t="shared" si="1480"/>
        <v>0</v>
      </c>
      <c r="P548" s="205">
        <f t="shared" si="1480"/>
        <v>0</v>
      </c>
      <c r="Q548" s="205">
        <f t="shared" si="1480"/>
        <v>3</v>
      </c>
      <c r="R548" s="205">
        <f t="shared" si="1480"/>
        <v>24</v>
      </c>
      <c r="S548" s="205">
        <f t="shared" si="1480"/>
        <v>0</v>
      </c>
      <c r="T548" s="205">
        <f t="shared" si="1480"/>
        <v>0</v>
      </c>
      <c r="U548" s="206">
        <f>SUM(C548:T548)</f>
        <v>162</v>
      </c>
      <c r="V548" s="844"/>
      <c r="W548" s="207">
        <f>SUM(W549:W575)</f>
        <v>3927563</v>
      </c>
      <c r="X548" s="208">
        <v>3.19</v>
      </c>
      <c r="Y548" s="209">
        <f t="shared" si="1477"/>
        <v>1.0319</v>
      </c>
      <c r="Z548" s="207">
        <v>19</v>
      </c>
      <c r="AA548" s="209">
        <f t="shared" si="1478"/>
        <v>1.8159949505681734</v>
      </c>
      <c r="AB548" s="207">
        <f t="shared" si="1475"/>
        <v>7132434.5760383867</v>
      </c>
      <c r="AC548" s="210">
        <v>11.8</v>
      </c>
      <c r="AD548" s="207">
        <f t="shared" si="1476"/>
        <v>841627.27997252974</v>
      </c>
      <c r="AE548" s="207">
        <f t="shared" si="1479"/>
        <v>799545.91597390326</v>
      </c>
      <c r="AF548" s="207">
        <f>SUM(AF549:AF575)</f>
        <v>0</v>
      </c>
      <c r="AG548" s="588">
        <f t="shared" si="1380"/>
        <v>3.6967493082292927E-2</v>
      </c>
      <c r="AH548" s="207">
        <f>SUM(AH549:AH575)</f>
        <v>356621.72880191932</v>
      </c>
      <c r="AI548" s="633">
        <f t="shared" si="1359"/>
        <v>2.7626944995587731E-2</v>
      </c>
      <c r="AJ548" s="207">
        <f>SUM(AJ549:AJ575)</f>
        <v>1198249.0087744487</v>
      </c>
      <c r="AK548" s="207">
        <f t="shared" si="1391"/>
        <v>285297.38304153545</v>
      </c>
      <c r="AL548" s="207">
        <f t="shared" si="1392"/>
        <v>285297.38304153545</v>
      </c>
      <c r="AM548" s="207">
        <f t="shared" si="1361"/>
        <v>570594.76608307089</v>
      </c>
      <c r="AN548" s="632">
        <f t="shared" si="1362"/>
        <v>2.7626944995587727E-2</v>
      </c>
      <c r="AO548" s="207">
        <f t="shared" si="1363"/>
        <v>271032.51388945867</v>
      </c>
      <c r="AP548" s="588">
        <f t="shared" si="1381"/>
        <v>2.7626944995587727E-2</v>
      </c>
      <c r="AQ548" s="207">
        <v>1</v>
      </c>
      <c r="AR548" s="588">
        <f>AQ548/37</f>
        <v>2.7027027027027029E-2</v>
      </c>
      <c r="AS548" s="207">
        <f>SUM(AS549:AS575)</f>
        <v>27</v>
      </c>
      <c r="AT548" s="588">
        <f t="shared" si="1382"/>
        <v>3.4883720930232558E-2</v>
      </c>
      <c r="AU548" s="207">
        <f>SUM(AU549:AU575)</f>
        <v>305</v>
      </c>
      <c r="AV548" s="892">
        <f t="shared" si="1364"/>
        <v>3.4655152823542777E-2</v>
      </c>
      <c r="AW548" s="207">
        <v>5430</v>
      </c>
      <c r="AX548" s="208">
        <f>AW548*0.002</f>
        <v>10.86</v>
      </c>
      <c r="AY548" s="207">
        <f>AX548*100</f>
        <v>1086</v>
      </c>
      <c r="AZ548" s="207">
        <f>SUM(AZ549:AZ575)</f>
        <v>653</v>
      </c>
      <c r="BA548" s="588">
        <f t="shared" si="1425"/>
        <v>2.3927302040965888E-2</v>
      </c>
      <c r="BB548" s="207">
        <v>28</v>
      </c>
      <c r="BC548" s="207">
        <v>2</v>
      </c>
      <c r="BD548" s="207">
        <f>BB548+BC548</f>
        <v>30</v>
      </c>
      <c r="BE548" s="633">
        <f>BD548/1306</f>
        <v>2.2970903522205207E-2</v>
      </c>
      <c r="BF548" s="207">
        <f>AZ548+BD548</f>
        <v>683</v>
      </c>
      <c r="BG548" s="588">
        <f>BF548/28597</f>
        <v>2.388362415638004E-2</v>
      </c>
      <c r="BH548" s="1084">
        <v>15.6</v>
      </c>
      <c r="BI548" s="207"/>
      <c r="BJ548" s="207"/>
      <c r="BK548" s="892">
        <f t="shared" si="1426"/>
        <v>0</v>
      </c>
      <c r="BL548" s="892"/>
      <c r="BM548" s="892">
        <f t="shared" si="1427"/>
        <v>0</v>
      </c>
      <c r="BN548" s="207"/>
      <c r="BO548" s="207">
        <v>368770</v>
      </c>
      <c r="BP548" s="207">
        <f>SUM(BP549:BP575)</f>
        <v>368770.00270040159</v>
      </c>
      <c r="BQ548" s="633">
        <f t="shared" si="1428"/>
        <v>3.4496716483653149E-2</v>
      </c>
      <c r="BR548" s="207">
        <f>AY548*0.5*24</f>
        <v>13032</v>
      </c>
      <c r="BS548" s="633">
        <f>BR548/2211211</f>
        <v>5.8936030980308984E-3</v>
      </c>
      <c r="BT548" s="634"/>
      <c r="BU548" s="207">
        <f>AD548*BT548*0.18</f>
        <v>0</v>
      </c>
      <c r="BV548" s="264">
        <f t="shared" si="1429"/>
        <v>0</v>
      </c>
      <c r="BW548" s="207">
        <f>AD548*BT548*0.77</f>
        <v>0</v>
      </c>
      <c r="BX548" s="247">
        <f t="shared" si="1430"/>
        <v>0</v>
      </c>
      <c r="BY548" s="207">
        <f>SUM(BY549:BY575)</f>
        <v>0</v>
      </c>
      <c r="CA548" s="207">
        <f>SUM(CA549:CA575)</f>
        <v>2182524.9802677464</v>
      </c>
      <c r="CB548" s="207">
        <f>SUM(CB549:CB575)</f>
        <v>4365049.9605354927</v>
      </c>
      <c r="CC548" s="207">
        <f>SUM(CC549:CC575)</f>
        <v>6547574.9408032401</v>
      </c>
      <c r="CD548" s="633">
        <f t="shared" si="1366"/>
        <v>2.7626944995587734E-2</v>
      </c>
      <c r="CE548" s="207">
        <f>SUM(CE549:CE575)</f>
        <v>633957.51789796236</v>
      </c>
      <c r="CF548" s="633">
        <f t="shared" si="1367"/>
        <v>2.7376257196269321E-2</v>
      </c>
      <c r="CG548" s="207">
        <f t="shared" si="1434"/>
        <v>1084130.0555578347</v>
      </c>
      <c r="CH548" s="588">
        <f t="shared" si="1383"/>
        <v>2.7626944995587727E-2</v>
      </c>
      <c r="CI548" s="207">
        <f>SUM(CI549:CI575)</f>
        <v>952372.31681255228</v>
      </c>
      <c r="CJ548" s="633">
        <f t="shared" si="1384"/>
        <v>1.5656998470957795E-2</v>
      </c>
      <c r="CK548" s="207">
        <f>SUM(CK549:CK575)</f>
        <v>1308531.4352910898</v>
      </c>
      <c r="CL548" s="588">
        <f t="shared" si="1385"/>
        <v>1.8810408535742552E-2</v>
      </c>
      <c r="CM548" s="207">
        <f>SUM(CM549:CM575)</f>
        <v>126764.04216884411</v>
      </c>
      <c r="CN548" s="588">
        <f t="shared" si="1386"/>
        <v>1.8268139105633935E-2</v>
      </c>
      <c r="CO548" s="207">
        <f>SUM(CO549:CO575)</f>
        <v>10141.003373467611</v>
      </c>
      <c r="CP548" s="588">
        <f t="shared" si="1387"/>
        <v>1.9124370360286368E-2</v>
      </c>
      <c r="CQ548" s="207">
        <f>'Detailed Budget'!$AC$12</f>
        <v>292876014141.44696</v>
      </c>
      <c r="CR548" s="605">
        <f t="shared" si="1393"/>
        <v>0</v>
      </c>
      <c r="CS548" s="605">
        <f>'Detailed Budget'!$AC$16</f>
        <v>10488008800.000002</v>
      </c>
      <c r="CT548" s="605">
        <f t="shared" si="1436"/>
        <v>0</v>
      </c>
      <c r="CU548" s="605">
        <f>'Detailed Budget'!$AC$24</f>
        <v>30624985696</v>
      </c>
      <c r="CV548" s="605">
        <f t="shared" si="1424"/>
        <v>0</v>
      </c>
      <c r="CW548" s="605"/>
      <c r="CX548" s="605">
        <f t="shared" si="1379"/>
        <v>0</v>
      </c>
      <c r="CY548" s="207">
        <f>'Detailed Budget'!$AC$97</f>
        <v>74629165494.837845</v>
      </c>
      <c r="CZ548" s="605">
        <f t="shared" si="1437"/>
        <v>2574461163.4870515</v>
      </c>
      <c r="DA548" s="605">
        <f>'Detailed Budget'!$AC$100</f>
        <v>14925833098.967569</v>
      </c>
      <c r="DB548" s="605">
        <f t="shared" si="1438"/>
        <v>514892232.69741029</v>
      </c>
      <c r="DC548" s="605">
        <f t="shared" si="1368"/>
        <v>3089353396.1844616</v>
      </c>
      <c r="DD548" s="207">
        <f>SUM(DD549:DD575)</f>
        <v>0</v>
      </c>
      <c r="DE548" s="606">
        <v>0</v>
      </c>
      <c r="DF548" s="605">
        <f>'Detailed Budget'!$AC$147</f>
        <v>5913600671000</v>
      </c>
      <c r="DG548" s="605">
        <f t="shared" si="1419"/>
        <v>0</v>
      </c>
      <c r="DH548" s="605">
        <f>'Detailed Budget'!$AC$153</f>
        <v>226428026880.00003</v>
      </c>
      <c r="DI548" s="605">
        <f>BS548*DH548</f>
        <v>1334476920.7009916</v>
      </c>
      <c r="DJ548" s="605">
        <f>'Detailed Budget'!$AC$156</f>
        <v>27713070000</v>
      </c>
      <c r="DK548" s="605">
        <f>AT548*DJ548</f>
        <v>966735000</v>
      </c>
      <c r="DL548" s="605">
        <f>DI548+DK548</f>
        <v>2301211920.7009916</v>
      </c>
      <c r="DM548" s="207">
        <f>'Detailed Budget'!$AC$178</f>
        <v>5622683761.6229038</v>
      </c>
      <c r="DN548" s="605">
        <f>SUM(DN549:DN575)</f>
        <v>0</v>
      </c>
      <c r="DO548" s="605">
        <f>'Detailed Budget'!$AC$179</f>
        <v>26827890683.128094</v>
      </c>
      <c r="DP548" s="605">
        <f>SUM(DP549:DP575)</f>
        <v>0</v>
      </c>
      <c r="DQ548" s="605">
        <f>SUM(DQ549:DQ575)</f>
        <v>0</v>
      </c>
      <c r="DR548" s="605">
        <f>'Detailed Budget'!$AC$181</f>
        <v>50888946855.375237</v>
      </c>
      <c r="DS548" s="605">
        <f>SUM(DS549:DS575)</f>
        <v>0</v>
      </c>
      <c r="DT548" s="605">
        <f>SUM(DT549:DT575)</f>
        <v>0</v>
      </c>
      <c r="DU548" s="634">
        <f>'Detailed Budget'!$AC$192</f>
        <v>77498869683.252869</v>
      </c>
      <c r="DV548" s="605">
        <f t="shared" si="1439"/>
        <v>0</v>
      </c>
      <c r="DW548" s="930">
        <f>'Detailed Budget'!$AC$194</f>
        <v>2684962805.4134097</v>
      </c>
      <c r="DX548" s="605">
        <f t="shared" si="1440"/>
        <v>0</v>
      </c>
      <c r="DY548" s="605">
        <f t="shared" si="1369"/>
        <v>0</v>
      </c>
      <c r="DZ548" s="207">
        <f>'Detailed Budget'!$AC$198</f>
        <v>18732540018.380611</v>
      </c>
      <c r="EA548" s="605">
        <f t="shared" ref="EA548:EA575" si="1481">CF548*DZ548</f>
        <v>512826833.48259526</v>
      </c>
      <c r="EB548" s="207">
        <f>'Detailed Budget'!$AC$200</f>
        <v>4683135004.5951529</v>
      </c>
      <c r="EC548" s="605">
        <f t="shared" si="1442"/>
        <v>128206708.37064882</v>
      </c>
      <c r="ED548" s="605">
        <f t="shared" si="1370"/>
        <v>641033541.85324407</v>
      </c>
      <c r="EE548" s="207">
        <f>'Detailed Budget'!$AC$161</f>
        <v>251147290106.36197</v>
      </c>
      <c r="EF548" s="605">
        <f t="shared" si="1443"/>
        <v>6938432369.5593758</v>
      </c>
      <c r="EG548" s="207">
        <f>'Detailed Budget'!$AC$163</f>
        <v>15696705631.647623</v>
      </c>
      <c r="EH548" s="605">
        <f t="shared" si="1444"/>
        <v>433652023.09746099</v>
      </c>
      <c r="EI548" s="605">
        <f t="shared" si="1371"/>
        <v>7372084392.6568365</v>
      </c>
      <c r="EJ548" s="207">
        <f>'Detailed Budget'!$AC$204</f>
        <v>45012172507.531975</v>
      </c>
      <c r="EK548" s="605">
        <f t="shared" si="1445"/>
        <v>704755516.12491667</v>
      </c>
      <c r="EL548" s="207">
        <f>'Detailed Budget'!$AC$206</f>
        <v>11253043126.882994</v>
      </c>
      <c r="EM548" s="605">
        <f t="shared" si="1446"/>
        <v>176188879.03122917</v>
      </c>
      <c r="EN548" s="605">
        <f t="shared" si="1372"/>
        <v>880944395.15614581</v>
      </c>
      <c r="EO548" s="930">
        <f>'Detailed Budget'!$AC$209</f>
        <v>135789361677.54817</v>
      </c>
      <c r="EP548" s="605">
        <f t="shared" si="1447"/>
        <v>2554253367.9623847</v>
      </c>
      <c r="EQ548" s="207">
        <f>'Detailed Budget'!$AC$211</f>
        <v>33947340419.387043</v>
      </c>
      <c r="ER548" s="605">
        <f t="shared" si="1448"/>
        <v>638563341.99059618</v>
      </c>
      <c r="ES548" s="605">
        <f t="shared" si="1373"/>
        <v>3192816709.952981</v>
      </c>
      <c r="ET548" s="207">
        <f>'Detailed Budget'!$AC$214</f>
        <v>22239745544.201103</v>
      </c>
      <c r="EU548" s="605">
        <f t="shared" si="1449"/>
        <v>406278765.27536821</v>
      </c>
      <c r="EV548" s="930">
        <f>'Detailed Budget'!$AC$217</f>
        <v>5559936386.0502758</v>
      </c>
      <c r="EW548" s="605">
        <f t="shared" si="1450"/>
        <v>101569691.31884205</v>
      </c>
      <c r="EX548" s="605">
        <f t="shared" si="1374"/>
        <v>507848456.59421027</v>
      </c>
      <c r="EY548" s="207">
        <f>'Detailed Budget'!$AC$219</f>
        <v>372777004.58170313</v>
      </c>
      <c r="EZ548" s="605">
        <f t="shared" si="1451"/>
        <v>7129125.4974186588</v>
      </c>
      <c r="FA548" s="207">
        <f>'Detailed Budget'!$AC$222</f>
        <v>93194251.145425782</v>
      </c>
      <c r="FB548" s="605">
        <f t="shared" si="1452"/>
        <v>1782281.3743546647</v>
      </c>
      <c r="FC548" s="605">
        <f t="shared" si="1375"/>
        <v>8911406.871773323</v>
      </c>
      <c r="FD548" s="605"/>
      <c r="FE548" s="605">
        <f t="shared" si="1376"/>
        <v>4590520968.5751114</v>
      </c>
      <c r="FF548" s="930">
        <f>'Detailed Budget'!$AC$165</f>
        <v>14927760000</v>
      </c>
      <c r="FG548" s="1087">
        <f t="shared" si="1420"/>
        <v>6261774465.4086027</v>
      </c>
      <c r="FH548" s="605">
        <f>AV548*FF548</f>
        <v>517323804.11316895</v>
      </c>
      <c r="FI548" s="605"/>
      <c r="FJ548" s="930">
        <f>'Detailed Budget'!$AC$235</f>
        <v>3623696172</v>
      </c>
      <c r="FK548" s="605">
        <f t="shared" ref="FK548:FK575" si="1482">AT548*FJ548</f>
        <v>126408006</v>
      </c>
      <c r="FL548" s="605">
        <f t="shared" si="1421"/>
        <v>126408006</v>
      </c>
      <c r="FM548" s="605"/>
      <c r="FN548" s="605">
        <f>'Detailed Budget'!$AC$251</f>
        <v>1047595800</v>
      </c>
      <c r="FO548" s="605">
        <f>AR548*FN548</f>
        <v>28313400</v>
      </c>
      <c r="FP548" s="605">
        <f>'Detailed Budget'!$AB$254</f>
        <v>2773297530</v>
      </c>
      <c r="FQ548" s="605">
        <f>BE548*FP548</f>
        <v>63705150</v>
      </c>
      <c r="FR548" s="605">
        <f>'Detailed Budget'!$AC$257</f>
        <v>13636439388</v>
      </c>
      <c r="FS548" s="605">
        <f t="shared" ref="FS548:FS575" si="1483">BA548*FR548</f>
        <v>326283204</v>
      </c>
      <c r="FT548" s="605">
        <f t="shared" si="1422"/>
        <v>418301754</v>
      </c>
      <c r="FU548" s="605"/>
      <c r="FV548" s="605">
        <f>'Detailed Budget'!$AC$265</f>
        <v>6277805540</v>
      </c>
      <c r="FW548" s="605">
        <f>AR548*FV548</f>
        <v>169670420</v>
      </c>
      <c r="FX548" s="930">
        <f>'Detailed Budget'!$AC$278</f>
        <v>1114560000</v>
      </c>
      <c r="FY548" s="605">
        <f t="shared" ref="FY548:FY575" si="1484">AT548*FX548</f>
        <v>38880000</v>
      </c>
      <c r="FZ548" s="605">
        <f t="shared" si="1423"/>
        <v>208550420</v>
      </c>
      <c r="GB548" s="269">
        <f t="shared" si="1431"/>
        <v>25526562669.49242</v>
      </c>
      <c r="GC548" s="889">
        <f t="shared" si="1377"/>
        <v>15954101.668432763</v>
      </c>
      <c r="GD548" s="1078">
        <f t="shared" si="1432"/>
        <v>1.4323758122412255E-2</v>
      </c>
    </row>
    <row r="549" spans="1:186" hidden="1" outlineLevel="1">
      <c r="A549" s="211" t="s">
        <v>1212</v>
      </c>
      <c r="B549" s="212" t="s">
        <v>1213</v>
      </c>
      <c r="C549" s="213" t="s">
        <v>215</v>
      </c>
      <c r="D549" s="214"/>
      <c r="E549" s="213"/>
      <c r="F549" s="213"/>
      <c r="G549" s="213" t="s">
        <v>215</v>
      </c>
      <c r="H549" s="213" t="s">
        <v>215</v>
      </c>
      <c r="I549" s="214" t="s">
        <v>215</v>
      </c>
      <c r="J549" s="214"/>
      <c r="K549" s="213"/>
      <c r="L549" s="213"/>
      <c r="M549" s="214" t="s">
        <v>215</v>
      </c>
      <c r="N549" s="213"/>
      <c r="O549" s="214"/>
      <c r="P549" s="213"/>
      <c r="Q549" s="214"/>
      <c r="R549" s="214" t="s">
        <v>215</v>
      </c>
      <c r="S549" s="214"/>
      <c r="T549" s="214"/>
      <c r="U549" s="215">
        <f>COUNTA(C549:T549)</f>
        <v>6</v>
      </c>
      <c r="V549" s="845" t="s">
        <v>216</v>
      </c>
      <c r="W549" s="216">
        <v>194779</v>
      </c>
      <c r="X549" s="217">
        <v>3.19</v>
      </c>
      <c r="Y549" s="218">
        <f t="shared" si="1477"/>
        <v>1.0319</v>
      </c>
      <c r="Z549" s="196">
        <v>19</v>
      </c>
      <c r="AA549" s="218">
        <f t="shared" si="1478"/>
        <v>1.8159949505681734</v>
      </c>
      <c r="AB549" s="196">
        <f t="shared" si="1475"/>
        <v>353717.68047671823</v>
      </c>
      <c r="AC549">
        <v>11.8</v>
      </c>
      <c r="AD549" s="196">
        <f t="shared" si="1476"/>
        <v>41738.686296252752</v>
      </c>
      <c r="AE549" s="196">
        <f t="shared" si="1479"/>
        <v>39651.751981440109</v>
      </c>
      <c r="AF549" s="196">
        <f t="shared" ref="AF549:AF575" si="1485">AE549*BT549</f>
        <v>0</v>
      </c>
      <c r="AG549" s="606">
        <f t="shared" si="1380"/>
        <v>1.833322937168909E-3</v>
      </c>
      <c r="AH549" s="196">
        <f>AB549*0.05</f>
        <v>17685.884023835912</v>
      </c>
      <c r="AI549" s="248">
        <f t="shared" si="1359"/>
        <v>1.3700986385948698E-3</v>
      </c>
      <c r="AJ549" s="196">
        <f t="shared" si="1360"/>
        <v>59424.570320088664</v>
      </c>
      <c r="AK549" s="196">
        <f t="shared" si="1391"/>
        <v>14148.70721906873</v>
      </c>
      <c r="AL549" s="196">
        <f t="shared" si="1392"/>
        <v>14148.70721906873</v>
      </c>
      <c r="AM549" s="196">
        <f t="shared" si="1361"/>
        <v>28297.414438137461</v>
      </c>
      <c r="AN549" s="627">
        <f t="shared" si="1362"/>
        <v>1.3700986385948698E-3</v>
      </c>
      <c r="AO549" s="196">
        <f t="shared" si="1363"/>
        <v>13441.271858115293</v>
      </c>
      <c r="AP549" s="589">
        <f t="shared" si="1381"/>
        <v>1.3700986385948698E-3</v>
      </c>
      <c r="AQ549" s="196"/>
      <c r="AR549" s="589"/>
      <c r="AS549">
        <v>1</v>
      </c>
      <c r="AT549" s="589">
        <f t="shared" si="1382"/>
        <v>1.2919896640826874E-3</v>
      </c>
      <c r="AU549" s="196">
        <v>12</v>
      </c>
      <c r="AV549" s="245"/>
      <c r="AX549" s="245"/>
      <c r="AY549" s="245"/>
      <c r="AZ549" s="196">
        <v>28</v>
      </c>
      <c r="BA549" s="589">
        <f t="shared" si="1425"/>
        <v>1.0259792605620901E-3</v>
      </c>
      <c r="BI549" s="196">
        <v>0</v>
      </c>
      <c r="BK549" s="246">
        <f t="shared" si="1426"/>
        <v>0</v>
      </c>
      <c r="BL549" s="246"/>
      <c r="BM549" s="246">
        <f t="shared" si="1427"/>
        <v>0</v>
      </c>
      <c r="BN549" s="196">
        <v>1</v>
      </c>
      <c r="BO549" s="196">
        <f t="shared" ref="BO549:BO575" si="1486">AJ549/1198249*368770</f>
        <v>18288.351416891728</v>
      </c>
      <c r="BP549" s="196">
        <f t="shared" si="1365"/>
        <v>18288.351416891728</v>
      </c>
      <c r="BQ549" s="248">
        <f t="shared" si="1428"/>
        <v>1.7107901108064916E-3</v>
      </c>
      <c r="BR549" s="248"/>
      <c r="BS549" s="248"/>
      <c r="BT549" s="276">
        <v>0</v>
      </c>
      <c r="BU549" s="196">
        <f t="shared" ref="BU549:BU575" si="1487">AD549*BT549*0.18*4</f>
        <v>0</v>
      </c>
      <c r="BV549" s="264">
        <f t="shared" si="1429"/>
        <v>0</v>
      </c>
      <c r="BW549" s="196">
        <f t="shared" ref="BW549:BW575" si="1488">AD549*BT549*0.77*4</f>
        <v>0</v>
      </c>
      <c r="BX549" s="247">
        <f t="shared" si="1430"/>
        <v>0</v>
      </c>
      <c r="BY549" s="196">
        <f t="shared" ref="BY549:BY575" si="1489">BU549+BW549</f>
        <v>0</v>
      </c>
      <c r="BZ549" s="620">
        <v>1</v>
      </c>
      <c r="CA549" s="196">
        <f t="shared" ref="CA549:CA575" si="1490">AK549*0.85*0.75*12</f>
        <v>108237.61022587577</v>
      </c>
      <c r="CB549" s="196">
        <f t="shared" ref="CB549:CB575" si="1491">AL549*0.85*0.75*2*12</f>
        <v>216475.22045175155</v>
      </c>
      <c r="CC549" s="196">
        <f t="shared" si="1378"/>
        <v>324712.83067762735</v>
      </c>
      <c r="CD549" s="247">
        <f t="shared" si="1366"/>
        <v>1.3700986385948698E-3</v>
      </c>
      <c r="CE549" s="196">
        <f t="shared" ref="CE549:CE575" si="1492">AH549/356622*633958</f>
        <v>31439.753195212204</v>
      </c>
      <c r="CF549" s="247">
        <f t="shared" si="1367"/>
        <v>1.3576663188934572E-3</v>
      </c>
      <c r="CG549" s="196">
        <f t="shared" si="1434"/>
        <v>53765.087432461172</v>
      </c>
      <c r="CH549" s="589">
        <f t="shared" si="1383"/>
        <v>1.3700986385948698E-3</v>
      </c>
      <c r="CI549" s="196">
        <f t="shared" ref="CI549:CI575" si="1493">AD549/841627*952372</f>
        <v>47230.847091805306</v>
      </c>
      <c r="CJ549" s="248">
        <f t="shared" si="1384"/>
        <v>7.7647500630153828E-4</v>
      </c>
      <c r="CK549" s="196">
        <f t="shared" ref="CK549:CK575" si="1494">AD549/841627*1308531</f>
        <v>64893.788956297634</v>
      </c>
      <c r="CL549" s="589">
        <f t="shared" si="1385"/>
        <v>9.3286156432968715E-4</v>
      </c>
      <c r="CM549" s="196">
        <f t="shared" ref="CM549:CM575" si="1495">AD549/841627*126764</f>
        <v>6286.5887497171361</v>
      </c>
      <c r="CN549" s="589">
        <f t="shared" si="1386"/>
        <v>9.0596888372160332E-4</v>
      </c>
      <c r="CO549" s="196">
        <f t="shared" ref="CO549:CO575" si="1496">AD549/841627*10141</f>
        <v>502.92114883469657</v>
      </c>
      <c r="CP549" s="589">
        <f t="shared" si="1387"/>
        <v>9.4843182258469634E-4</v>
      </c>
      <c r="CQ549" s="196">
        <f>'Detailed Budget'!$AC$12</f>
        <v>292876014141.44696</v>
      </c>
      <c r="CR549" s="269">
        <f t="shared" si="1393"/>
        <v>0</v>
      </c>
      <c r="CS549" s="269">
        <f>'Detailed Budget'!$AC$16</f>
        <v>10488008800.000002</v>
      </c>
      <c r="CT549" s="607">
        <f t="shared" si="1436"/>
        <v>0</v>
      </c>
      <c r="CU549" s="269">
        <f>'Detailed Budget'!$AC$24</f>
        <v>30624985696</v>
      </c>
      <c r="CV549" s="269">
        <f t="shared" si="1424"/>
        <v>0</v>
      </c>
      <c r="CW549" s="269"/>
      <c r="CX549" s="269">
        <f t="shared" si="1379"/>
        <v>0</v>
      </c>
      <c r="CY549" s="196">
        <f>'Detailed Budget'!$AC$97</f>
        <v>74629165494.837845</v>
      </c>
      <c r="CZ549" s="269">
        <f t="shared" si="1437"/>
        <v>127674838.30630964</v>
      </c>
      <c r="DA549" s="269">
        <f>'Detailed Budget'!$AC$100</f>
        <v>14925833098.967569</v>
      </c>
      <c r="DB549" s="269">
        <f t="shared" si="1438"/>
        <v>25534967.661261927</v>
      </c>
      <c r="DC549" s="269">
        <f t="shared" si="1368"/>
        <v>153209805.96757156</v>
      </c>
      <c r="DD549" s="207">
        <v>0</v>
      </c>
      <c r="DE549" s="606">
        <v>0</v>
      </c>
      <c r="DF549" s="269">
        <f>'Detailed Budget'!$AC$147</f>
        <v>5913600671000</v>
      </c>
      <c r="DG549" s="269">
        <f t="shared" si="1419"/>
        <v>0</v>
      </c>
      <c r="DH549" s="269">
        <f>'Detailed Budget'!$AC$153</f>
        <v>226428026880.00003</v>
      </c>
      <c r="DI549" s="269"/>
      <c r="DJ549" s="269">
        <f>'Detailed Budget'!$AC$156</f>
        <v>27713070000</v>
      </c>
      <c r="DK549" s="269"/>
      <c r="DL549" s="269"/>
      <c r="DM549" s="196">
        <f>'Detailed Budget'!$AC$178</f>
        <v>5622683761.6229038</v>
      </c>
      <c r="DN549" s="269">
        <f t="shared" ref="DN549:DN575" si="1497">BT549*BV549*DM549</f>
        <v>0</v>
      </c>
      <c r="DO549" s="196">
        <f>'Detailed Budget'!$AC$179</f>
        <v>26827890683.128094</v>
      </c>
      <c r="DP549" s="269">
        <f t="shared" ref="DP549:DP575" si="1498">BT549*BX549*DO549</f>
        <v>0</v>
      </c>
      <c r="DQ549" s="269">
        <f t="shared" si="1388"/>
        <v>0</v>
      </c>
      <c r="DR549" s="269">
        <f>'Detailed Budget'!$AC$181</f>
        <v>50888946855.375237</v>
      </c>
      <c r="DS549" s="269">
        <f t="shared" ref="DS549:DS575" si="1499">BT549*AG549*DR549</f>
        <v>0</v>
      </c>
      <c r="DT549" s="269">
        <f t="shared" ref="DT549:DT575" si="1500">DQ549+DS549</f>
        <v>0</v>
      </c>
      <c r="DU549" s="272">
        <f>'Detailed Budget'!$AC$192</f>
        <v>77498869683.252869</v>
      </c>
      <c r="DV549" s="269">
        <f t="shared" si="1439"/>
        <v>106181095.84566599</v>
      </c>
      <c r="DW549" s="140">
        <f>'Detailed Budget'!$AC$194</f>
        <v>2684962805.4134097</v>
      </c>
      <c r="DX549" s="269">
        <f t="shared" si="1440"/>
        <v>3678663.884374775</v>
      </c>
      <c r="DY549" s="607">
        <f t="shared" si="1369"/>
        <v>109859759.73004076</v>
      </c>
      <c r="DZ549" s="196">
        <f>'Detailed Budget'!$AC$198</f>
        <v>18732540018.380611</v>
      </c>
      <c r="EA549" s="269">
        <f t="shared" si="1481"/>
        <v>25432538.650279179</v>
      </c>
      <c r="EB549" s="196">
        <f>'Detailed Budget'!$AC$200</f>
        <v>4683135004.5951529</v>
      </c>
      <c r="EC549" s="269">
        <f t="shared" si="1442"/>
        <v>6358134.6625697948</v>
      </c>
      <c r="ED549" s="269">
        <f t="shared" si="1370"/>
        <v>31790673.312848974</v>
      </c>
      <c r="EE549" s="196">
        <f>'Detailed Budget'!$AC$161</f>
        <v>251147290106.36197</v>
      </c>
      <c r="EF549" s="269">
        <f t="shared" si="1443"/>
        <v>344096560.26151735</v>
      </c>
      <c r="EG549" s="196">
        <f>'Detailed Budget'!$AC$163</f>
        <v>15696705631.647623</v>
      </c>
      <c r="EH549" s="269">
        <f t="shared" si="1444"/>
        <v>21506035.016344834</v>
      </c>
      <c r="EI549" s="269">
        <f t="shared" si="1371"/>
        <v>365602595.27786219</v>
      </c>
      <c r="EJ549" s="196">
        <f>'Detailed Budget'!$AC$204</f>
        <v>45012172507.531975</v>
      </c>
      <c r="EK549" s="269">
        <f t="shared" si="1445"/>
        <v>34950826.931431815</v>
      </c>
      <c r="EL549" s="201">
        <f>'Detailed Budget'!$AC$206</f>
        <v>11253043126.882994</v>
      </c>
      <c r="EM549" s="269">
        <f t="shared" si="1446"/>
        <v>8737706.7328579538</v>
      </c>
      <c r="EN549" s="269">
        <f t="shared" si="1372"/>
        <v>43688533.664289773</v>
      </c>
      <c r="EO549" s="140">
        <f>'Detailed Budget'!$AC$209</f>
        <v>135789361677.54817</v>
      </c>
      <c r="EP549" s="269">
        <f t="shared" si="1447"/>
        <v>126672676.35384727</v>
      </c>
      <c r="EQ549" s="196">
        <f>'Detailed Budget'!$AC$211</f>
        <v>33947340419.387043</v>
      </c>
      <c r="ER549" s="269">
        <f t="shared" si="1448"/>
        <v>31668169.088461816</v>
      </c>
      <c r="ES549" s="269">
        <f t="shared" si="1373"/>
        <v>158340845.44230908</v>
      </c>
      <c r="ET549" s="196">
        <f>'Detailed Budget'!$AC$214</f>
        <v>22239745544.201103</v>
      </c>
      <c r="EU549" s="269">
        <f t="shared" si="1449"/>
        <v>20148517.444932375</v>
      </c>
      <c r="EV549" s="140">
        <f>'Detailed Budget'!$AC$217</f>
        <v>5559936386.0502758</v>
      </c>
      <c r="EW549" s="269">
        <f t="shared" si="1450"/>
        <v>5037129.3612330938</v>
      </c>
      <c r="EX549" s="269">
        <f t="shared" si="1374"/>
        <v>25185646.806165468</v>
      </c>
      <c r="EY549" s="196">
        <f>'Detailed Budget'!$AC$219</f>
        <v>372777004.58170313</v>
      </c>
      <c r="EZ549" s="269">
        <f t="shared" si="1451"/>
        <v>353553.5738730884</v>
      </c>
      <c r="FA549" s="196">
        <f>'Detailed Budget'!$AC$222</f>
        <v>93194251.145425782</v>
      </c>
      <c r="FB549" s="269">
        <f t="shared" si="1452"/>
        <v>88388.393468272101</v>
      </c>
      <c r="FC549" s="269">
        <f t="shared" si="1375"/>
        <v>441941.96734136052</v>
      </c>
      <c r="FD549" s="269"/>
      <c r="FE549" s="269">
        <f t="shared" si="1376"/>
        <v>227656967.88010567</v>
      </c>
      <c r="FF549" s="140"/>
      <c r="FG549" s="1087">
        <f t="shared" si="1420"/>
        <v>310539173.68042785</v>
      </c>
      <c r="FJ549" s="140">
        <f>'Detailed Budget'!$AC$235</f>
        <v>3623696172</v>
      </c>
      <c r="FK549" s="269">
        <f t="shared" si="1482"/>
        <v>4681778</v>
      </c>
      <c r="FL549" s="269">
        <f t="shared" si="1421"/>
        <v>4681778</v>
      </c>
      <c r="FO549" s="607"/>
      <c r="FP549" s="607"/>
      <c r="FQ549" s="607"/>
      <c r="FR549" s="269">
        <f>'Detailed Budget'!$AC$257</f>
        <v>13636439388</v>
      </c>
      <c r="FS549" s="269">
        <f t="shared" si="1483"/>
        <v>13990704</v>
      </c>
      <c r="FT549" s="269">
        <f t="shared" si="1422"/>
        <v>13990704</v>
      </c>
      <c r="FU549" s="269"/>
      <c r="FV549" s="269"/>
      <c r="FW549" s="269"/>
      <c r="FX549" s="140">
        <f>'Detailed Budget'!$AC$278</f>
        <v>1114560000</v>
      </c>
      <c r="FY549" s="269">
        <f t="shared" si="1484"/>
        <v>1440000</v>
      </c>
      <c r="FZ549" s="269">
        <f t="shared" si="1423"/>
        <v>1440000</v>
      </c>
      <c r="GB549" s="269">
        <f t="shared" si="1431"/>
        <v>1218771457.8488569</v>
      </c>
      <c r="GC549" s="887">
        <f t="shared" si="1377"/>
        <v>761732.16115553561</v>
      </c>
      <c r="GD549" s="1078">
        <f t="shared" si="1432"/>
        <v>6.8389104301891184E-4</v>
      </c>
    </row>
    <row r="550" spans="1:186" hidden="1" outlineLevel="1">
      <c r="A550" s="211" t="s">
        <v>1214</v>
      </c>
      <c r="B550" s="212" t="s">
        <v>1215</v>
      </c>
      <c r="C550" s="213" t="s">
        <v>215</v>
      </c>
      <c r="D550" s="214"/>
      <c r="E550" s="213"/>
      <c r="F550" s="213"/>
      <c r="G550" s="213" t="s">
        <v>215</v>
      </c>
      <c r="H550" s="213" t="s">
        <v>215</v>
      </c>
      <c r="I550" s="214" t="s">
        <v>215</v>
      </c>
      <c r="J550" s="214"/>
      <c r="K550" s="213"/>
      <c r="L550" s="213"/>
      <c r="M550" s="214" t="s">
        <v>215</v>
      </c>
      <c r="N550" s="213"/>
      <c r="O550" s="214"/>
      <c r="P550" s="213"/>
      <c r="Q550" s="214"/>
      <c r="R550" s="214" t="s">
        <v>215</v>
      </c>
      <c r="S550" s="214"/>
      <c r="T550" s="214"/>
      <c r="U550" s="215">
        <f>COUNTA(C550:T550)</f>
        <v>6</v>
      </c>
      <c r="V550" s="845" t="s">
        <v>216</v>
      </c>
      <c r="W550" s="216">
        <v>170824</v>
      </c>
      <c r="X550" s="217">
        <v>3.19</v>
      </c>
      <c r="Y550" s="218">
        <f t="shared" si="1477"/>
        <v>1.0319</v>
      </c>
      <c r="Z550" s="196">
        <v>19</v>
      </c>
      <c r="AA550" s="218">
        <f t="shared" si="1478"/>
        <v>1.8159949505681734</v>
      </c>
      <c r="AB550" s="196">
        <f t="shared" si="1475"/>
        <v>310215.52143585763</v>
      </c>
      <c r="AC550">
        <v>11.8</v>
      </c>
      <c r="AD550" s="196">
        <f t="shared" si="1476"/>
        <v>36605.431529431204</v>
      </c>
      <c r="AE550" s="196">
        <f t="shared" si="1479"/>
        <v>34775.159952959642</v>
      </c>
      <c r="AF550" s="196">
        <f t="shared" si="1485"/>
        <v>0</v>
      </c>
      <c r="AG550" s="606">
        <f t="shared" si="1380"/>
        <v>1.6078507304121172E-3</v>
      </c>
      <c r="AH550" s="196">
        <f t="shared" ref="AH550:AH575" si="1501">AB550*0.05</f>
        <v>15510.776071792883</v>
      </c>
      <c r="AI550" s="248">
        <f t="shared" si="1359"/>
        <v>1.2015963211605464E-3</v>
      </c>
      <c r="AJ550" s="196">
        <f t="shared" si="1360"/>
        <v>52116.207601224087</v>
      </c>
      <c r="AK550" s="196">
        <f t="shared" si="1391"/>
        <v>12408.620857434305</v>
      </c>
      <c r="AL550" s="196">
        <f t="shared" si="1392"/>
        <v>12408.620857434305</v>
      </c>
      <c r="AM550" s="196">
        <f t="shared" si="1361"/>
        <v>24817.241714868611</v>
      </c>
      <c r="AN550" s="627">
        <f t="shared" si="1362"/>
        <v>1.2015963211605462E-3</v>
      </c>
      <c r="AO550" s="196">
        <f t="shared" si="1363"/>
        <v>11788.189814562589</v>
      </c>
      <c r="AP550" s="589">
        <f t="shared" si="1381"/>
        <v>1.2015963211605462E-3</v>
      </c>
      <c r="AQ550" s="196"/>
      <c r="AR550" s="589"/>
      <c r="AS550">
        <v>1</v>
      </c>
      <c r="AT550" s="589">
        <f t="shared" si="1382"/>
        <v>1.2919896640826874E-3</v>
      </c>
      <c r="AU550" s="196">
        <v>12</v>
      </c>
      <c r="AV550" s="245"/>
      <c r="AX550" s="245"/>
      <c r="AY550" s="245"/>
      <c r="AZ550" s="196">
        <v>21</v>
      </c>
      <c r="BA550" s="589">
        <f t="shared" si="1425"/>
        <v>7.6948444542156754E-4</v>
      </c>
      <c r="BI550" s="196">
        <v>0</v>
      </c>
      <c r="BK550" s="246">
        <f t="shared" si="1426"/>
        <v>0</v>
      </c>
      <c r="BL550" s="246"/>
      <c r="BM550" s="246">
        <f t="shared" si="1427"/>
        <v>0</v>
      </c>
      <c r="BN550" s="196">
        <v>1</v>
      </c>
      <c r="BO550" s="196">
        <f t="shared" si="1486"/>
        <v>16039.148688714455</v>
      </c>
      <c r="BP550" s="196">
        <f t="shared" si="1365"/>
        <v>16039.148688714455</v>
      </c>
      <c r="BQ550" s="248">
        <f t="shared" si="1428"/>
        <v>1.5003876695557949E-3</v>
      </c>
      <c r="BR550" s="248"/>
      <c r="BS550" s="248"/>
      <c r="BT550" s="276">
        <v>0</v>
      </c>
      <c r="BU550" s="196">
        <f t="shared" si="1487"/>
        <v>0</v>
      </c>
      <c r="BV550" s="264">
        <f t="shared" si="1429"/>
        <v>0</v>
      </c>
      <c r="BW550" s="196">
        <f t="shared" si="1488"/>
        <v>0</v>
      </c>
      <c r="BX550" s="247">
        <f t="shared" si="1430"/>
        <v>0</v>
      </c>
      <c r="BY550" s="196">
        <f t="shared" si="1489"/>
        <v>0</v>
      </c>
      <c r="BZ550" s="620">
        <v>1</v>
      </c>
      <c r="CA550" s="196">
        <f t="shared" si="1490"/>
        <v>94925.949559372413</v>
      </c>
      <c r="CB550" s="196">
        <f t="shared" si="1491"/>
        <v>189851.89911874483</v>
      </c>
      <c r="CC550" s="196">
        <f t="shared" si="1378"/>
        <v>284777.84867811727</v>
      </c>
      <c r="CD550" s="247">
        <f t="shared" si="1366"/>
        <v>1.2015963211605459E-3</v>
      </c>
      <c r="CE550" s="196">
        <f t="shared" si="1492"/>
        <v>27573.118251037999</v>
      </c>
      <c r="CF550" s="247">
        <f t="shared" si="1367"/>
        <v>1.1906929969794278E-3</v>
      </c>
      <c r="CG550" s="196">
        <f t="shared" si="1434"/>
        <v>47152.759258250357</v>
      </c>
      <c r="CH550" s="589">
        <f t="shared" si="1383"/>
        <v>1.2015963211605462E-3</v>
      </c>
      <c r="CI550" s="196">
        <f t="shared" si="1493"/>
        <v>41422.135977751968</v>
      </c>
      <c r="CJ550" s="248">
        <f t="shared" si="1384"/>
        <v>6.8097981033095963E-4</v>
      </c>
      <c r="CK550" s="196">
        <f t="shared" si="1494"/>
        <v>56912.791443998518</v>
      </c>
      <c r="CL550" s="589">
        <f t="shared" si="1385"/>
        <v>8.1813308346923681E-4</v>
      </c>
      <c r="CM550" s="196">
        <f t="shared" si="1495"/>
        <v>5513.4292535729219</v>
      </c>
      <c r="CN550" s="589">
        <f t="shared" si="1386"/>
        <v>7.9454781363935125E-4</v>
      </c>
      <c r="CO550" s="196">
        <f t="shared" si="1496"/>
        <v>441.06912104763967</v>
      </c>
      <c r="CP550" s="589">
        <f t="shared" si="1387"/>
        <v>8.3178842514443634E-4</v>
      </c>
      <c r="CQ550" s="196">
        <f>'Detailed Budget'!$AC$12</f>
        <v>292876014141.44696</v>
      </c>
      <c r="CR550" s="269">
        <f t="shared" si="1393"/>
        <v>0</v>
      </c>
      <c r="CS550" s="269">
        <f>'Detailed Budget'!$AC$16</f>
        <v>10488008800.000002</v>
      </c>
      <c r="CT550" s="607">
        <f t="shared" si="1436"/>
        <v>0</v>
      </c>
      <c r="CU550" s="269">
        <f>'Detailed Budget'!$AC$24</f>
        <v>30624985696</v>
      </c>
      <c r="CV550" s="269">
        <f t="shared" si="1424"/>
        <v>0</v>
      </c>
      <c r="CW550" s="269"/>
      <c r="CX550" s="269">
        <f t="shared" si="1379"/>
        <v>0</v>
      </c>
      <c r="CY550" s="196">
        <f>'Detailed Budget'!$AC$97</f>
        <v>74629165494.837845</v>
      </c>
      <c r="CZ550" s="269">
        <f t="shared" si="1437"/>
        <v>111972679.6976935</v>
      </c>
      <c r="DA550" s="269">
        <f>'Detailed Budget'!$AC$100</f>
        <v>14925833098.967569</v>
      </c>
      <c r="DB550" s="269">
        <f t="shared" si="1438"/>
        <v>22394535.939538699</v>
      </c>
      <c r="DC550" s="269">
        <f t="shared" si="1368"/>
        <v>134367215.63723218</v>
      </c>
      <c r="DD550" s="207">
        <v>0</v>
      </c>
      <c r="DE550" s="606">
        <v>0</v>
      </c>
      <c r="DF550" s="269">
        <f>'Detailed Budget'!$AC$147</f>
        <v>5913600671000</v>
      </c>
      <c r="DG550" s="269">
        <f t="shared" si="1419"/>
        <v>0</v>
      </c>
      <c r="DH550" s="269">
        <f>'Detailed Budget'!$AC$153</f>
        <v>226428026880.00003</v>
      </c>
      <c r="DI550" s="269"/>
      <c r="DJ550" s="269">
        <f>'Detailed Budget'!$AC$156</f>
        <v>27713070000</v>
      </c>
      <c r="DK550" s="269"/>
      <c r="DL550" s="269"/>
      <c r="DM550" s="196">
        <f>'Detailed Budget'!$AC$178</f>
        <v>5622683761.6229038</v>
      </c>
      <c r="DN550" s="269">
        <f t="shared" si="1497"/>
        <v>0</v>
      </c>
      <c r="DO550" s="196">
        <f>'Detailed Budget'!$AC$179</f>
        <v>26827890683.128094</v>
      </c>
      <c r="DP550" s="269">
        <f t="shared" si="1498"/>
        <v>0</v>
      </c>
      <c r="DQ550" s="269">
        <f t="shared" si="1388"/>
        <v>0</v>
      </c>
      <c r="DR550" s="269">
        <f>'Detailed Budget'!$AC$181</f>
        <v>50888946855.375237</v>
      </c>
      <c r="DS550" s="269">
        <f t="shared" si="1499"/>
        <v>0</v>
      </c>
      <c r="DT550" s="269">
        <f t="shared" si="1500"/>
        <v>0</v>
      </c>
      <c r="DU550" s="272">
        <f>'Detailed Budget'!$AC$192</f>
        <v>77498869683.252869</v>
      </c>
      <c r="DV550" s="269">
        <f t="shared" si="1439"/>
        <v>93122356.705497205</v>
      </c>
      <c r="DW550" s="140">
        <f>'Detailed Budget'!$AC$194</f>
        <v>2684962805.4134097</v>
      </c>
      <c r="DX550" s="269">
        <f t="shared" si="1440"/>
        <v>3226241.4294376527</v>
      </c>
      <c r="DY550" s="607">
        <f t="shared" si="1369"/>
        <v>96348598.134934857</v>
      </c>
      <c r="DZ550" s="196">
        <f>'Detailed Budget'!$AC$198</f>
        <v>18732540018.380611</v>
      </c>
      <c r="EA550" s="269">
        <f t="shared" si="1481"/>
        <v>22304704.215522677</v>
      </c>
      <c r="EB550" s="196">
        <f>'Detailed Budget'!$AC$200</f>
        <v>4683135004.5951529</v>
      </c>
      <c r="EC550" s="269">
        <f t="shared" si="1442"/>
        <v>5576176.0538806692</v>
      </c>
      <c r="ED550" s="269">
        <f t="shared" si="1370"/>
        <v>27880880.269403346</v>
      </c>
      <c r="EE550" s="196">
        <f>'Detailed Budget'!$AC$161</f>
        <v>251147290106.36197</v>
      </c>
      <c r="EF550" s="269">
        <f t="shared" si="1443"/>
        <v>301777659.86124498</v>
      </c>
      <c r="EG550" s="196">
        <f>'Detailed Budget'!$AC$163</f>
        <v>15696705631.647623</v>
      </c>
      <c r="EH550" s="269">
        <f t="shared" si="1444"/>
        <v>18861103.741327811</v>
      </c>
      <c r="EI550" s="269">
        <f t="shared" si="1371"/>
        <v>320638763.6025728</v>
      </c>
      <c r="EJ550" s="196">
        <f>'Detailed Budget'!$AC$204</f>
        <v>45012172507.531975</v>
      </c>
      <c r="EK550" s="269">
        <f t="shared" si="1445"/>
        <v>30652380.69676356</v>
      </c>
      <c r="EL550" s="201">
        <f>'Detailed Budget'!$AC$206</f>
        <v>11253043126.882994</v>
      </c>
      <c r="EM550" s="269">
        <f t="shared" si="1446"/>
        <v>7663095.17419089</v>
      </c>
      <c r="EN550" s="269">
        <f t="shared" si="1372"/>
        <v>38315475.870954454</v>
      </c>
      <c r="EO550" s="140">
        <f>'Detailed Budget'!$AC$209</f>
        <v>135789361677.54817</v>
      </c>
      <c r="EP550" s="269">
        <f t="shared" si="1447"/>
        <v>111093769.17157191</v>
      </c>
      <c r="EQ550" s="196">
        <f>'Detailed Budget'!$AC$211</f>
        <v>33947340419.387043</v>
      </c>
      <c r="ER550" s="269">
        <f t="shared" si="1448"/>
        <v>27773442.292892978</v>
      </c>
      <c r="ES550" s="269">
        <f t="shared" si="1373"/>
        <v>138867211.4644649</v>
      </c>
      <c r="ET550" s="196">
        <f>'Detailed Budget'!$AC$214</f>
        <v>22239745544.201103</v>
      </c>
      <c r="EU550" s="269">
        <f t="shared" si="1449"/>
        <v>17670541.198040489</v>
      </c>
      <c r="EV550" s="140">
        <f>'Detailed Budget'!$AC$217</f>
        <v>5559936386.0502758</v>
      </c>
      <c r="EW550" s="269">
        <f t="shared" si="1450"/>
        <v>4417635.2995101223</v>
      </c>
      <c r="EX550" s="269">
        <f t="shared" si="1374"/>
        <v>22088176.49755061</v>
      </c>
      <c r="EY550" s="196">
        <f>'Detailed Budget'!$AC$219</f>
        <v>372777004.58170313</v>
      </c>
      <c r="EZ550" s="269">
        <f t="shared" si="1451"/>
        <v>310071.5975710752</v>
      </c>
      <c r="FA550" s="196">
        <f>'Detailed Budget'!$AC$222</f>
        <v>93194251.145425782</v>
      </c>
      <c r="FB550" s="269">
        <f t="shared" si="1452"/>
        <v>77517.899392768799</v>
      </c>
      <c r="FC550" s="269">
        <f t="shared" si="1375"/>
        <v>387589.49696384399</v>
      </c>
      <c r="FD550" s="269"/>
      <c r="FE550" s="269">
        <f t="shared" si="1376"/>
        <v>199658453.32993382</v>
      </c>
      <c r="FF550" s="140"/>
      <c r="FG550" s="1087">
        <f t="shared" si="1420"/>
        <v>272347346.50442511</v>
      </c>
      <c r="FJ550" s="140">
        <f>'Detailed Budget'!$AC$235</f>
        <v>3623696172</v>
      </c>
      <c r="FK550" s="269">
        <f t="shared" si="1482"/>
        <v>4681778</v>
      </c>
      <c r="FL550" s="269">
        <f t="shared" si="1421"/>
        <v>4681778</v>
      </c>
      <c r="FO550" s="607"/>
      <c r="FP550" s="607"/>
      <c r="FQ550" s="607"/>
      <c r="FR550" s="269">
        <f>'Detailed Budget'!$AC$257</f>
        <v>13636439388</v>
      </c>
      <c r="FS550" s="269">
        <f t="shared" si="1483"/>
        <v>10493028</v>
      </c>
      <c r="FT550" s="269">
        <f t="shared" si="1422"/>
        <v>10493028</v>
      </c>
      <c r="FU550" s="269"/>
      <c r="FV550" s="269"/>
      <c r="FW550" s="269"/>
      <c r="FX550" s="140">
        <f>'Detailed Budget'!$AC$278</f>
        <v>1114560000</v>
      </c>
      <c r="FY550" s="269">
        <f t="shared" si="1484"/>
        <v>1440000</v>
      </c>
      <c r="FZ550" s="269">
        <f t="shared" si="1423"/>
        <v>1440000</v>
      </c>
      <c r="GB550" s="269">
        <f t="shared" si="1431"/>
        <v>1067856063.478502</v>
      </c>
      <c r="GC550" s="887">
        <f t="shared" si="1377"/>
        <v>667410.0396740638</v>
      </c>
      <c r="GD550" s="1078">
        <f t="shared" si="1432"/>
        <v>5.9920766304731447E-4</v>
      </c>
    </row>
    <row r="551" spans="1:186" hidden="1" outlineLevel="1">
      <c r="A551" s="211" t="s">
        <v>1216</v>
      </c>
      <c r="B551" s="212" t="s">
        <v>1217</v>
      </c>
      <c r="C551" s="213" t="s">
        <v>215</v>
      </c>
      <c r="D551" s="214"/>
      <c r="E551" s="213"/>
      <c r="F551" s="213"/>
      <c r="G551" s="213" t="s">
        <v>215</v>
      </c>
      <c r="H551" s="213" t="s">
        <v>215</v>
      </c>
      <c r="I551" s="214" t="s">
        <v>215</v>
      </c>
      <c r="J551" s="214"/>
      <c r="K551" s="213"/>
      <c r="L551" s="213"/>
      <c r="M551" s="214" t="s">
        <v>215</v>
      </c>
      <c r="N551" s="213"/>
      <c r="O551" s="214"/>
      <c r="P551" s="213"/>
      <c r="Q551" s="214"/>
      <c r="R551" s="214" t="s">
        <v>215</v>
      </c>
      <c r="S551" s="214"/>
      <c r="T551" s="214"/>
      <c r="U551" s="215">
        <f>COUNTA(C551:T551)</f>
        <v>6</v>
      </c>
      <c r="V551" s="845" t="s">
        <v>216</v>
      </c>
      <c r="W551" s="216">
        <v>130575</v>
      </c>
      <c r="X551" s="217">
        <v>3.19</v>
      </c>
      <c r="Y551" s="218">
        <f t="shared" si="1477"/>
        <v>1.0319</v>
      </c>
      <c r="Z551" s="196">
        <v>19</v>
      </c>
      <c r="AA551" s="218">
        <f t="shared" si="1478"/>
        <v>1.8159949505681734</v>
      </c>
      <c r="AB551" s="196">
        <f t="shared" si="1475"/>
        <v>237123.54067043925</v>
      </c>
      <c r="AC551">
        <v>11.8</v>
      </c>
      <c r="AD551" s="196">
        <f t="shared" si="1476"/>
        <v>27980.577799111834</v>
      </c>
      <c r="AE551" s="196">
        <f t="shared" si="1479"/>
        <v>26581.548909156241</v>
      </c>
      <c r="AF551" s="196">
        <f t="shared" si="1485"/>
        <v>0</v>
      </c>
      <c r="AG551" s="606">
        <f t="shared" si="1380"/>
        <v>1.2290141263731221E-3</v>
      </c>
      <c r="AH551" s="196">
        <f t="shared" si="1501"/>
        <v>11856.177033521963</v>
      </c>
      <c r="AI551" s="248">
        <f t="shared" si="1359"/>
        <v>9.1848007092409933E-4</v>
      </c>
      <c r="AJ551" s="196">
        <f t="shared" si="1360"/>
        <v>39836.7548326338</v>
      </c>
      <c r="AK551" s="196">
        <f t="shared" si="1391"/>
        <v>9484.9416268175701</v>
      </c>
      <c r="AL551" s="196">
        <f t="shared" si="1392"/>
        <v>9484.9416268175701</v>
      </c>
      <c r="AM551" s="196">
        <f t="shared" si="1361"/>
        <v>18969.88325363514</v>
      </c>
      <c r="AN551" s="627">
        <f t="shared" si="1362"/>
        <v>9.1848007092409933E-4</v>
      </c>
      <c r="AO551" s="196">
        <f t="shared" si="1363"/>
        <v>9010.6945454766919</v>
      </c>
      <c r="AP551" s="589">
        <f t="shared" si="1381"/>
        <v>9.1848007092409933E-4</v>
      </c>
      <c r="AQ551" s="196"/>
      <c r="AR551" s="589"/>
      <c r="AS551">
        <v>1</v>
      </c>
      <c r="AT551" s="589">
        <f t="shared" si="1382"/>
        <v>1.2919896640826874E-3</v>
      </c>
      <c r="AU551" s="196">
        <v>11</v>
      </c>
      <c r="AV551" s="245"/>
      <c r="AX551" s="245"/>
      <c r="AY551" s="245"/>
      <c r="AZ551" s="196">
        <v>25</v>
      </c>
      <c r="BA551" s="589">
        <f t="shared" si="1425"/>
        <v>9.1605291121615189E-4</v>
      </c>
      <c r="BI551" s="196">
        <v>0</v>
      </c>
      <c r="BK551" s="246">
        <f t="shared" si="1426"/>
        <v>0</v>
      </c>
      <c r="BL551" s="246"/>
      <c r="BM551" s="246">
        <f t="shared" si="1427"/>
        <v>0</v>
      </c>
      <c r="BN551" s="196">
        <v>1</v>
      </c>
      <c r="BO551" s="196">
        <f t="shared" si="1486"/>
        <v>12260.056198361413</v>
      </c>
      <c r="BP551" s="196">
        <f t="shared" si="1365"/>
        <v>12260.056198361413</v>
      </c>
      <c r="BQ551" s="248">
        <f t="shared" si="1428"/>
        <v>1.1468711653646322E-3</v>
      </c>
      <c r="BR551" s="248"/>
      <c r="BS551" s="248"/>
      <c r="BT551" s="276">
        <v>0</v>
      </c>
      <c r="BU551" s="196">
        <f t="shared" si="1487"/>
        <v>0</v>
      </c>
      <c r="BV551" s="264">
        <f t="shared" si="1429"/>
        <v>0</v>
      </c>
      <c r="BW551" s="196">
        <f t="shared" si="1488"/>
        <v>0</v>
      </c>
      <c r="BX551" s="247">
        <f t="shared" si="1430"/>
        <v>0</v>
      </c>
      <c r="BY551" s="196">
        <f t="shared" si="1489"/>
        <v>0</v>
      </c>
      <c r="BZ551" s="620">
        <v>1</v>
      </c>
      <c r="CA551" s="196">
        <f t="shared" si="1490"/>
        <v>72559.803445154423</v>
      </c>
      <c r="CB551" s="196">
        <f t="shared" si="1491"/>
        <v>145119.60689030885</v>
      </c>
      <c r="CC551" s="196">
        <f t="shared" si="1378"/>
        <v>217679.41033546327</v>
      </c>
      <c r="CD551" s="247">
        <f t="shared" si="1366"/>
        <v>9.1848007092409944E-4</v>
      </c>
      <c r="CE551" s="196">
        <f t="shared" si="1492"/>
        <v>21076.42904761208</v>
      </c>
      <c r="CF551" s="247">
        <f t="shared" si="1367"/>
        <v>9.1014575282506412E-4</v>
      </c>
      <c r="CG551" s="196">
        <f t="shared" si="1434"/>
        <v>36042.778181906768</v>
      </c>
      <c r="CH551" s="589">
        <f t="shared" si="1383"/>
        <v>9.1848007092409933E-4</v>
      </c>
      <c r="CI551" s="196">
        <f t="shared" si="1493"/>
        <v>31662.385878418507</v>
      </c>
      <c r="CJ551" s="248">
        <f t="shared" si="1384"/>
        <v>5.2052954347143869E-4</v>
      </c>
      <c r="CK551" s="196">
        <f t="shared" si="1494"/>
        <v>43503.183058587245</v>
      </c>
      <c r="CL551" s="589">
        <f t="shared" si="1385"/>
        <v>6.2536720469018173E-4</v>
      </c>
      <c r="CM551" s="196">
        <f t="shared" si="1495"/>
        <v>4214.3728327710642</v>
      </c>
      <c r="CN551" s="589">
        <f t="shared" si="1386"/>
        <v>6.0733902007890157E-4</v>
      </c>
      <c r="CO551" s="196">
        <f t="shared" si="1496"/>
        <v>337.14583712356318</v>
      </c>
      <c r="CP551" s="589">
        <f t="shared" si="1387"/>
        <v>6.358051187961574E-4</v>
      </c>
      <c r="CQ551" s="196">
        <f>'Detailed Budget'!$AC$12</f>
        <v>292876014141.44696</v>
      </c>
      <c r="CR551" s="269">
        <f t="shared" si="1393"/>
        <v>0</v>
      </c>
      <c r="CS551" s="269">
        <f>'Detailed Budget'!$AC$16</f>
        <v>10488008800.000002</v>
      </c>
      <c r="CT551" s="607">
        <f t="shared" si="1436"/>
        <v>0</v>
      </c>
      <c r="CU551" s="269">
        <f>'Detailed Budget'!$AC$24</f>
        <v>30624985696</v>
      </c>
      <c r="CV551" s="269">
        <f t="shared" si="1424"/>
        <v>0</v>
      </c>
      <c r="CW551" s="269"/>
      <c r="CX551" s="269">
        <f t="shared" si="1379"/>
        <v>0</v>
      </c>
      <c r="CY551" s="196">
        <f>'Detailed Budget'!$AC$97</f>
        <v>74629165494.837845</v>
      </c>
      <c r="CZ551" s="269">
        <f t="shared" si="1437"/>
        <v>85590038.001254678</v>
      </c>
      <c r="DA551" s="269">
        <f>'Detailed Budget'!$AC$100</f>
        <v>14925833098.967569</v>
      </c>
      <c r="DB551" s="269">
        <f t="shared" si="1438"/>
        <v>17118007.600250937</v>
      </c>
      <c r="DC551" s="269">
        <f t="shared" si="1368"/>
        <v>102708045.60150561</v>
      </c>
      <c r="DD551" s="207">
        <v>0</v>
      </c>
      <c r="DE551" s="606">
        <v>0</v>
      </c>
      <c r="DF551" s="269">
        <f>'Detailed Budget'!$AC$147</f>
        <v>5913600671000</v>
      </c>
      <c r="DG551" s="269">
        <f t="shared" si="1419"/>
        <v>0</v>
      </c>
      <c r="DH551" s="269">
        <f>'Detailed Budget'!$AC$153</f>
        <v>226428026880.00003</v>
      </c>
      <c r="DI551" s="269"/>
      <c r="DJ551" s="269">
        <f>'Detailed Budget'!$AC$156</f>
        <v>27713070000</v>
      </c>
      <c r="DK551" s="269"/>
      <c r="DL551" s="269"/>
      <c r="DM551" s="196">
        <f>'Detailed Budget'!$AC$178</f>
        <v>5622683761.6229038</v>
      </c>
      <c r="DN551" s="269">
        <f t="shared" si="1497"/>
        <v>0</v>
      </c>
      <c r="DO551" s="196">
        <f>'Detailed Budget'!$AC$179</f>
        <v>26827890683.128094</v>
      </c>
      <c r="DP551" s="269">
        <f t="shared" si="1498"/>
        <v>0</v>
      </c>
      <c r="DQ551" s="269">
        <f t="shared" si="1388"/>
        <v>0</v>
      </c>
      <c r="DR551" s="269">
        <f>'Detailed Budget'!$AC$181</f>
        <v>50888946855.375237</v>
      </c>
      <c r="DS551" s="269">
        <f t="shared" si="1499"/>
        <v>0</v>
      </c>
      <c r="DT551" s="269">
        <f t="shared" si="1500"/>
        <v>0</v>
      </c>
      <c r="DU551" s="272">
        <f>'Detailed Budget'!$AC$192</f>
        <v>77498869683.252869</v>
      </c>
      <c r="DV551" s="269">
        <f t="shared" si="1439"/>
        <v>71181167.32321164</v>
      </c>
      <c r="DW551" s="140">
        <f>'Detailed Budget'!$AC$194</f>
        <v>2684962805.4134097</v>
      </c>
      <c r="DX551" s="269">
        <f t="shared" si="1440"/>
        <v>2466084.8279446773</v>
      </c>
      <c r="DY551" s="607">
        <f t="shared" si="1369"/>
        <v>73647252.151156321</v>
      </c>
      <c r="DZ551" s="196">
        <f>'Detailed Budget'!$AC$198</f>
        <v>18732540018.380611</v>
      </c>
      <c r="EA551" s="269">
        <f t="shared" si="1481"/>
        <v>17049341.737354662</v>
      </c>
      <c r="EB551" s="196">
        <f>'Detailed Budget'!$AC$200</f>
        <v>4683135004.5951529</v>
      </c>
      <c r="EC551" s="269">
        <f t="shared" si="1442"/>
        <v>4262335.4343386656</v>
      </c>
      <c r="ED551" s="269">
        <f t="shared" si="1370"/>
        <v>21311677.171693329</v>
      </c>
      <c r="EE551" s="196">
        <f>'Detailed Budget'!$AC$161</f>
        <v>251147290106.36197</v>
      </c>
      <c r="EF551" s="269">
        <f t="shared" si="1443"/>
        <v>230673780.82928669</v>
      </c>
      <c r="EG551" s="196">
        <f>'Detailed Budget'!$AC$163</f>
        <v>15696705631.647623</v>
      </c>
      <c r="EH551" s="269">
        <f t="shared" si="1444"/>
        <v>14417111.301830418</v>
      </c>
      <c r="EI551" s="269">
        <f t="shared" si="1371"/>
        <v>245090892.13111711</v>
      </c>
      <c r="EJ551" s="196">
        <f>'Detailed Budget'!$AC$204</f>
        <v>45012172507.531975</v>
      </c>
      <c r="EK551" s="269">
        <f t="shared" si="1445"/>
        <v>23430165.606003262</v>
      </c>
      <c r="EL551" s="201">
        <f>'Detailed Budget'!$AC$206</f>
        <v>11253043126.882994</v>
      </c>
      <c r="EM551" s="269">
        <f t="shared" si="1446"/>
        <v>5857541.4015008155</v>
      </c>
      <c r="EN551" s="269">
        <f t="shared" si="1372"/>
        <v>29287707.007504076</v>
      </c>
      <c r="EO551" s="140">
        <f>'Detailed Budget'!$AC$209</f>
        <v>135789361677.54817</v>
      </c>
      <c r="EP551" s="269">
        <f t="shared" si="1447"/>
        <v>84918213.53895238</v>
      </c>
      <c r="EQ551" s="196">
        <f>'Detailed Budget'!$AC$211</f>
        <v>33947340419.387043</v>
      </c>
      <c r="ER551" s="269">
        <f t="shared" si="1448"/>
        <v>21229553.384738095</v>
      </c>
      <c r="ES551" s="269">
        <f t="shared" si="1373"/>
        <v>106147766.92369047</v>
      </c>
      <c r="ET551" s="196">
        <f>'Detailed Budget'!$AC$214</f>
        <v>22239745544.201103</v>
      </c>
      <c r="EU551" s="269">
        <f t="shared" si="1449"/>
        <v>13507065.265619216</v>
      </c>
      <c r="EV551" s="140">
        <f>'Detailed Budget'!$AC$217</f>
        <v>5559936386.0502758</v>
      </c>
      <c r="EW551" s="269">
        <f t="shared" si="1450"/>
        <v>3376766.3164048041</v>
      </c>
      <c r="EX551" s="269">
        <f t="shared" si="1374"/>
        <v>16883831.582024019</v>
      </c>
      <c r="EY551" s="196">
        <f>'Detailed Budget'!$AC$219</f>
        <v>372777004.58170313</v>
      </c>
      <c r="EZ551" s="269">
        <f t="shared" si="1451"/>
        <v>237013.52768254548</v>
      </c>
      <c r="FA551" s="196">
        <f>'Detailed Budget'!$AC$222</f>
        <v>93194251.145425782</v>
      </c>
      <c r="FB551" s="269">
        <f t="shared" si="1452"/>
        <v>59253.38192063637</v>
      </c>
      <c r="FC551" s="269">
        <f t="shared" si="1375"/>
        <v>296266.90960318188</v>
      </c>
      <c r="FD551" s="269"/>
      <c r="FE551" s="269">
        <f t="shared" si="1376"/>
        <v>152615572.42282173</v>
      </c>
      <c r="FF551" s="140"/>
      <c r="FG551" s="1087">
        <f t="shared" si="1420"/>
        <v>208177742.99756062</v>
      </c>
      <c r="FJ551" s="140">
        <f>'Detailed Budget'!$AC$235</f>
        <v>3623696172</v>
      </c>
      <c r="FK551" s="269">
        <f t="shared" si="1482"/>
        <v>4681778</v>
      </c>
      <c r="FL551" s="269">
        <f t="shared" si="1421"/>
        <v>4681778</v>
      </c>
      <c r="FO551" s="607"/>
      <c r="FP551" s="607"/>
      <c r="FQ551" s="607"/>
      <c r="FR551" s="269">
        <f>'Detailed Budget'!$AC$257</f>
        <v>13636439388</v>
      </c>
      <c r="FS551" s="269">
        <f t="shared" si="1483"/>
        <v>12491700</v>
      </c>
      <c r="FT551" s="269">
        <f t="shared" si="1422"/>
        <v>12491700</v>
      </c>
      <c r="FU551" s="269"/>
      <c r="FV551" s="269"/>
      <c r="FW551" s="269"/>
      <c r="FX551" s="140">
        <f>'Detailed Budget'!$AC$278</f>
        <v>1114560000</v>
      </c>
      <c r="FY551" s="269">
        <f t="shared" si="1484"/>
        <v>1440000</v>
      </c>
      <c r="FZ551" s="269">
        <f t="shared" si="1423"/>
        <v>1440000</v>
      </c>
      <c r="GB551" s="269">
        <f t="shared" si="1431"/>
        <v>822164660.47585475</v>
      </c>
      <c r="GC551" s="887">
        <f t="shared" si="1377"/>
        <v>513852.91279740923</v>
      </c>
      <c r="GD551" s="1078">
        <f t="shared" si="1432"/>
        <v>4.6134248022064407E-4</v>
      </c>
    </row>
    <row r="552" spans="1:186" hidden="1" outlineLevel="1">
      <c r="A552" s="211" t="s">
        <v>1218</v>
      </c>
      <c r="B552" s="212" t="s">
        <v>1219</v>
      </c>
      <c r="C552" s="213" t="s">
        <v>215</v>
      </c>
      <c r="D552" s="214"/>
      <c r="E552" s="213"/>
      <c r="F552" s="213"/>
      <c r="G552" s="213" t="s">
        <v>215</v>
      </c>
      <c r="H552" s="213" t="s">
        <v>215</v>
      </c>
      <c r="I552" s="214" t="s">
        <v>215</v>
      </c>
      <c r="J552" s="214"/>
      <c r="K552" s="213"/>
      <c r="L552" s="213"/>
      <c r="M552" s="214" t="s">
        <v>215</v>
      </c>
      <c r="N552" s="213"/>
      <c r="O552" s="214"/>
      <c r="P552" s="213"/>
      <c r="Q552" s="214"/>
      <c r="R552" s="214" t="s">
        <v>215</v>
      </c>
      <c r="S552" s="214"/>
      <c r="T552" s="214"/>
      <c r="U552" s="215">
        <f>COUNTA(C552:T552)</f>
        <v>6</v>
      </c>
      <c r="V552" s="845" t="s">
        <v>216</v>
      </c>
      <c r="W552" s="216">
        <v>168767</v>
      </c>
      <c r="X552" s="217">
        <v>3.19</v>
      </c>
      <c r="Y552" s="218">
        <f t="shared" si="1477"/>
        <v>1.0319</v>
      </c>
      <c r="Z552" s="196">
        <v>19</v>
      </c>
      <c r="AA552" s="218">
        <f t="shared" si="1478"/>
        <v>1.8159949505681734</v>
      </c>
      <c r="AB552" s="196">
        <f t="shared" si="1475"/>
        <v>306480.01982253895</v>
      </c>
      <c r="AC552">
        <v>11.8</v>
      </c>
      <c r="AD552" s="196">
        <f t="shared" si="1476"/>
        <v>36164.642339059596</v>
      </c>
      <c r="AE552" s="196">
        <f t="shared" si="1479"/>
        <v>34356.410222106613</v>
      </c>
      <c r="AF552" s="196">
        <f t="shared" si="1485"/>
        <v>0</v>
      </c>
      <c r="AG552" s="606">
        <f t="shared" si="1380"/>
        <v>1.588489581203237E-3</v>
      </c>
      <c r="AH552" s="196">
        <f t="shared" si="1501"/>
        <v>15324.000991126948</v>
      </c>
      <c r="AI552" s="248">
        <f t="shared" si="1359"/>
        <v>1.1871271386532452E-3</v>
      </c>
      <c r="AJ552" s="196">
        <f t="shared" si="1360"/>
        <v>51488.643330186547</v>
      </c>
      <c r="AK552" s="196">
        <f t="shared" si="1391"/>
        <v>12259.200792901558</v>
      </c>
      <c r="AL552" s="196">
        <f t="shared" si="1392"/>
        <v>12259.200792901558</v>
      </c>
      <c r="AM552" s="196">
        <f t="shared" si="1361"/>
        <v>24518.401585803116</v>
      </c>
      <c r="AN552" s="627">
        <f t="shared" si="1362"/>
        <v>1.187127138653245E-3</v>
      </c>
      <c r="AO552" s="196">
        <f t="shared" si="1363"/>
        <v>11646.240753256479</v>
      </c>
      <c r="AP552" s="589">
        <f t="shared" si="1381"/>
        <v>1.187127138653245E-3</v>
      </c>
      <c r="AQ552" s="196"/>
      <c r="AR552" s="589"/>
      <c r="AS552">
        <v>1</v>
      </c>
      <c r="AT552" s="589">
        <f t="shared" si="1382"/>
        <v>1.2919896640826874E-3</v>
      </c>
      <c r="AU552" s="196">
        <v>12</v>
      </c>
      <c r="AV552" s="245"/>
      <c r="AX552" s="245"/>
      <c r="AY552" s="245"/>
      <c r="AZ552" s="196">
        <v>21</v>
      </c>
      <c r="BA552" s="589">
        <f t="shared" si="1425"/>
        <v>7.6948444542156754E-4</v>
      </c>
      <c r="BI552" s="196">
        <v>0</v>
      </c>
      <c r="BK552" s="246">
        <f t="shared" si="1426"/>
        <v>0</v>
      </c>
      <c r="BL552" s="246"/>
      <c r="BM552" s="246">
        <f t="shared" si="1427"/>
        <v>0</v>
      </c>
      <c r="BN552" s="196">
        <v>1</v>
      </c>
      <c r="BO552" s="196">
        <f t="shared" si="1486"/>
        <v>15846.01113864722</v>
      </c>
      <c r="BP552" s="196">
        <f t="shared" si="1365"/>
        <v>15846.01113864722</v>
      </c>
      <c r="BQ552" s="248">
        <f t="shared" si="1428"/>
        <v>1.4823205511399033E-3</v>
      </c>
      <c r="BR552" s="248"/>
      <c r="BS552" s="248"/>
      <c r="BT552" s="276">
        <v>0</v>
      </c>
      <c r="BU552" s="196">
        <f t="shared" si="1487"/>
        <v>0</v>
      </c>
      <c r="BV552" s="264">
        <f t="shared" si="1429"/>
        <v>0</v>
      </c>
      <c r="BW552" s="196">
        <f t="shared" si="1488"/>
        <v>0</v>
      </c>
      <c r="BX552" s="247">
        <f t="shared" si="1430"/>
        <v>0</v>
      </c>
      <c r="BY552" s="196">
        <f t="shared" si="1489"/>
        <v>0</v>
      </c>
      <c r="BZ552" s="620">
        <v>1</v>
      </c>
      <c r="CA552" s="196">
        <f t="shared" si="1490"/>
        <v>93782.886065696919</v>
      </c>
      <c r="CB552" s="196">
        <f t="shared" si="1491"/>
        <v>187565.77213139384</v>
      </c>
      <c r="CC552" s="196">
        <f t="shared" si="1378"/>
        <v>281348.65819709073</v>
      </c>
      <c r="CD552" s="247">
        <f t="shared" si="1366"/>
        <v>1.187127138653245E-3</v>
      </c>
      <c r="CE552" s="196">
        <f t="shared" si="1492"/>
        <v>27241.092866768897</v>
      </c>
      <c r="CF552" s="247">
        <f t="shared" si="1367"/>
        <v>1.176355108305783E-3</v>
      </c>
      <c r="CG552" s="196">
        <f t="shared" si="1434"/>
        <v>46584.963013025917</v>
      </c>
      <c r="CH552" s="589">
        <f t="shared" si="1383"/>
        <v>1.187127138653245E-3</v>
      </c>
      <c r="CI552" s="196">
        <f t="shared" si="1493"/>
        <v>40923.345797764166</v>
      </c>
      <c r="CJ552" s="248">
        <f t="shared" si="1384"/>
        <v>6.7277970103805701E-4</v>
      </c>
      <c r="CK552" s="196">
        <f t="shared" si="1494"/>
        <v>56227.468468302453</v>
      </c>
      <c r="CL552" s="589">
        <f t="shared" si="1385"/>
        <v>8.0828142472868386E-4</v>
      </c>
      <c r="CM552" s="196">
        <f t="shared" si="1495"/>
        <v>5447.0385592056227</v>
      </c>
      <c r="CN552" s="589">
        <f t="shared" si="1386"/>
        <v>7.8498016007394966E-4</v>
      </c>
      <c r="CO552" s="196">
        <f t="shared" si="1496"/>
        <v>435.75792834640924</v>
      </c>
      <c r="CP552" s="589">
        <f t="shared" si="1387"/>
        <v>8.2177233378419366E-4</v>
      </c>
      <c r="CQ552" s="196">
        <f>'Detailed Budget'!$AC$12</f>
        <v>292876014141.44696</v>
      </c>
      <c r="CR552" s="269">
        <f t="shared" si="1393"/>
        <v>0</v>
      </c>
      <c r="CS552" s="269">
        <f>'Detailed Budget'!$AC$16</f>
        <v>10488008800.000002</v>
      </c>
      <c r="CT552" s="607">
        <f t="shared" si="1436"/>
        <v>0</v>
      </c>
      <c r="CU552" s="269">
        <f>'Detailed Budget'!$AC$24</f>
        <v>30624985696</v>
      </c>
      <c r="CV552" s="269">
        <f t="shared" si="1424"/>
        <v>0</v>
      </c>
      <c r="CW552" s="269"/>
      <c r="CX552" s="269">
        <f t="shared" si="1379"/>
        <v>0</v>
      </c>
      <c r="CY552" s="196">
        <f>'Detailed Budget'!$AC$97</f>
        <v>74629165494.837845</v>
      </c>
      <c r="CZ552" s="269">
        <f t="shared" si="1437"/>
        <v>110624345.72741909</v>
      </c>
      <c r="DA552" s="269">
        <f>'Detailed Budget'!$AC$100</f>
        <v>14925833098.967569</v>
      </c>
      <c r="DB552" s="269">
        <f t="shared" si="1438"/>
        <v>22124869.145483818</v>
      </c>
      <c r="DC552" s="269">
        <f t="shared" si="1368"/>
        <v>132749214.87290291</v>
      </c>
      <c r="DD552" s="207">
        <v>0</v>
      </c>
      <c r="DE552" s="606">
        <v>0</v>
      </c>
      <c r="DF552" s="269">
        <f>'Detailed Budget'!$AC$147</f>
        <v>5913600671000</v>
      </c>
      <c r="DG552" s="269">
        <f t="shared" si="1419"/>
        <v>0</v>
      </c>
      <c r="DH552" s="269">
        <f>'Detailed Budget'!$AC$153</f>
        <v>226428026880.00003</v>
      </c>
      <c r="DI552" s="269"/>
      <c r="DJ552" s="269">
        <f>'Detailed Budget'!$AC$156</f>
        <v>27713070000</v>
      </c>
      <c r="DK552" s="269"/>
      <c r="DL552" s="269"/>
      <c r="DM552" s="196">
        <f>'Detailed Budget'!$AC$178</f>
        <v>5622683761.6229038</v>
      </c>
      <c r="DN552" s="269">
        <f t="shared" si="1497"/>
        <v>0</v>
      </c>
      <c r="DO552" s="196">
        <f>'Detailed Budget'!$AC$179</f>
        <v>26827890683.128094</v>
      </c>
      <c r="DP552" s="269">
        <f t="shared" si="1498"/>
        <v>0</v>
      </c>
      <c r="DQ552" s="269">
        <f t="shared" si="1388"/>
        <v>0</v>
      </c>
      <c r="DR552" s="269">
        <f>'Detailed Budget'!$AC$181</f>
        <v>50888946855.375237</v>
      </c>
      <c r="DS552" s="269">
        <f t="shared" si="1499"/>
        <v>0</v>
      </c>
      <c r="DT552" s="269">
        <f t="shared" si="1500"/>
        <v>0</v>
      </c>
      <c r="DU552" s="272">
        <f>'Detailed Budget'!$AC$192</f>
        <v>77498869683.252869</v>
      </c>
      <c r="DV552" s="269">
        <f t="shared" si="1439"/>
        <v>92001011.415940687</v>
      </c>
      <c r="DW552" s="140">
        <f>'Detailed Budget'!$AC$194</f>
        <v>2684962805.4134097</v>
      </c>
      <c r="DX552" s="269">
        <f t="shared" si="1440"/>
        <v>3187392.2125808103</v>
      </c>
      <c r="DY552" s="607">
        <f t="shared" si="1369"/>
        <v>95188403.628521502</v>
      </c>
      <c r="DZ552" s="196">
        <f>'Detailed Budget'!$AC$198</f>
        <v>18732540018.380611</v>
      </c>
      <c r="EA552" s="269">
        <f t="shared" si="1481"/>
        <v>22036119.14216454</v>
      </c>
      <c r="EB552" s="196">
        <f>'Detailed Budget'!$AC$200</f>
        <v>4683135004.5951529</v>
      </c>
      <c r="EC552" s="269">
        <f t="shared" si="1442"/>
        <v>5509029.7855411349</v>
      </c>
      <c r="ED552" s="269">
        <f t="shared" si="1370"/>
        <v>27545148.927705675</v>
      </c>
      <c r="EE552" s="196">
        <f>'Detailed Budget'!$AC$161</f>
        <v>251147290106.36197</v>
      </c>
      <c r="EF552" s="269">
        <f t="shared" si="1443"/>
        <v>298143763.88448191</v>
      </c>
      <c r="EG552" s="196">
        <f>'Detailed Budget'!$AC$163</f>
        <v>15696705631.647623</v>
      </c>
      <c r="EH552" s="269">
        <f t="shared" si="1444"/>
        <v>18633985.242780119</v>
      </c>
      <c r="EI552" s="269">
        <f t="shared" si="1371"/>
        <v>316777749.127262</v>
      </c>
      <c r="EJ552" s="196">
        <f>'Detailed Budget'!$AC$204</f>
        <v>45012172507.531975</v>
      </c>
      <c r="EK552" s="269">
        <f t="shared" si="1445"/>
        <v>30283275.962690812</v>
      </c>
      <c r="EL552" s="201">
        <f>'Detailed Budget'!$AC$206</f>
        <v>11253043126.882994</v>
      </c>
      <c r="EM552" s="269">
        <f t="shared" si="1446"/>
        <v>7570818.9906727029</v>
      </c>
      <c r="EN552" s="269">
        <f t="shared" si="1372"/>
        <v>37854094.953363515</v>
      </c>
      <c r="EO552" s="140">
        <f>'Detailed Budget'!$AC$209</f>
        <v>135789361677.54817</v>
      </c>
      <c r="EP552" s="269">
        <f t="shared" si="1447"/>
        <v>109756018.71972719</v>
      </c>
      <c r="EQ552" s="196">
        <f>'Detailed Budget'!$AC$211</f>
        <v>33947340419.387043</v>
      </c>
      <c r="ER552" s="269">
        <f t="shared" si="1448"/>
        <v>27439004.679931797</v>
      </c>
      <c r="ES552" s="269">
        <f t="shared" si="1373"/>
        <v>137195023.39965898</v>
      </c>
      <c r="ET552" s="196">
        <f>'Detailed Budget'!$AC$214</f>
        <v>22239745544.201103</v>
      </c>
      <c r="EU552" s="269">
        <f t="shared" si="1449"/>
        <v>17457759.01729089</v>
      </c>
      <c r="EV552" s="140">
        <f>'Detailed Budget'!$AC$217</f>
        <v>5559936386.0502758</v>
      </c>
      <c r="EW552" s="269">
        <f t="shared" si="1450"/>
        <v>4364439.7543227226</v>
      </c>
      <c r="EX552" s="269">
        <f t="shared" si="1374"/>
        <v>21822198.771613613</v>
      </c>
      <c r="EY552" s="196">
        <f>'Detailed Budget'!$AC$219</f>
        <v>372777004.58170313</v>
      </c>
      <c r="EZ552" s="269">
        <f t="shared" si="1451"/>
        <v>306337.82903618721</v>
      </c>
      <c r="FA552" s="196">
        <f>'Detailed Budget'!$AC$222</f>
        <v>93194251.145425782</v>
      </c>
      <c r="FB552" s="269">
        <f t="shared" si="1452"/>
        <v>76584.457259046801</v>
      </c>
      <c r="FC552" s="269">
        <f t="shared" si="1375"/>
        <v>382922.28629523399</v>
      </c>
      <c r="FD552" s="269"/>
      <c r="FE552" s="269">
        <f t="shared" si="1376"/>
        <v>197254239.41093135</v>
      </c>
      <c r="FF552" s="140"/>
      <c r="FG552" s="1087">
        <f t="shared" si="1420"/>
        <v>269067839.57472193</v>
      </c>
      <c r="FJ552" s="140">
        <f>'Detailed Budget'!$AC$235</f>
        <v>3623696172</v>
      </c>
      <c r="FK552" s="269">
        <f t="shared" si="1482"/>
        <v>4681778</v>
      </c>
      <c r="FL552" s="269">
        <f t="shared" si="1421"/>
        <v>4681778</v>
      </c>
      <c r="FO552" s="607"/>
      <c r="FP552" s="607"/>
      <c r="FQ552" s="607"/>
      <c r="FR552" s="269">
        <f>'Detailed Budget'!$AC$257</f>
        <v>13636439388</v>
      </c>
      <c r="FS552" s="269">
        <f t="shared" si="1483"/>
        <v>10493028</v>
      </c>
      <c r="FT552" s="269">
        <f t="shared" si="1422"/>
        <v>10493028</v>
      </c>
      <c r="FU552" s="269"/>
      <c r="FV552" s="269"/>
      <c r="FW552" s="269"/>
      <c r="FX552" s="140">
        <f>'Detailed Budget'!$AC$278</f>
        <v>1114560000</v>
      </c>
      <c r="FY552" s="269">
        <f t="shared" si="1484"/>
        <v>1440000</v>
      </c>
      <c r="FZ552" s="269">
        <f t="shared" si="1423"/>
        <v>1440000</v>
      </c>
      <c r="GB552" s="269">
        <f t="shared" si="1431"/>
        <v>1055197401.5420454</v>
      </c>
      <c r="GC552" s="887">
        <f t="shared" si="1377"/>
        <v>659498.37596377835</v>
      </c>
      <c r="GD552" s="1078">
        <f t="shared" si="1432"/>
        <v>5.9210448922485961E-4</v>
      </c>
    </row>
    <row r="553" spans="1:186" hidden="1" outlineLevel="1">
      <c r="A553" s="211" t="s">
        <v>1220</v>
      </c>
      <c r="B553" s="212" t="s">
        <v>1221</v>
      </c>
      <c r="C553" s="213" t="s">
        <v>215</v>
      </c>
      <c r="D553" s="214"/>
      <c r="E553" s="213"/>
      <c r="F553" s="213"/>
      <c r="G553" s="213" t="s">
        <v>215</v>
      </c>
      <c r="H553" s="213" t="s">
        <v>215</v>
      </c>
      <c r="I553" s="214" t="s">
        <v>215</v>
      </c>
      <c r="J553" s="214"/>
      <c r="K553" s="213"/>
      <c r="L553" s="213"/>
      <c r="M553" s="214" t="s">
        <v>215</v>
      </c>
      <c r="N553" s="213"/>
      <c r="O553" s="214"/>
      <c r="P553" s="213"/>
      <c r="Q553" s="214"/>
      <c r="R553" s="214" t="s">
        <v>215</v>
      </c>
      <c r="S553" s="214"/>
      <c r="T553" s="214"/>
      <c r="U553" s="215">
        <f t="shared" ref="U553:U575" si="1502">COUNTA(C553:T553)</f>
        <v>6</v>
      </c>
      <c r="V553" s="845" t="s">
        <v>216</v>
      </c>
      <c r="W553" s="216">
        <v>156161</v>
      </c>
      <c r="X553" s="217">
        <v>3.19</v>
      </c>
      <c r="Y553" s="218">
        <f t="shared" si="1477"/>
        <v>1.0319</v>
      </c>
      <c r="Z553" s="196">
        <v>19</v>
      </c>
      <c r="AA553" s="218">
        <f t="shared" si="1478"/>
        <v>1.8159949505681734</v>
      </c>
      <c r="AB553" s="196">
        <f t="shared" si="1475"/>
        <v>283587.5874756765</v>
      </c>
      <c r="AC553">
        <v>11.8</v>
      </c>
      <c r="AD553" s="196">
        <f t="shared" si="1476"/>
        <v>33463.335322129831</v>
      </c>
      <c r="AE553" s="196">
        <f t="shared" si="1479"/>
        <v>31790.168556023338</v>
      </c>
      <c r="AF553" s="196">
        <f t="shared" si="1485"/>
        <v>0</v>
      </c>
      <c r="AG553" s="606">
        <f t="shared" si="1380"/>
        <v>1.469837832575555E-3</v>
      </c>
      <c r="AH553" s="196">
        <f t="shared" si="1501"/>
        <v>14179.379373783826</v>
      </c>
      <c r="AI553" s="248">
        <f t="shared" si="1359"/>
        <v>1.0984550362288206E-3</v>
      </c>
      <c r="AJ553" s="196">
        <f t="shared" si="1360"/>
        <v>47642.714695913659</v>
      </c>
      <c r="AK553" s="196">
        <f t="shared" si="1391"/>
        <v>11343.50349902706</v>
      </c>
      <c r="AL553" s="196">
        <f t="shared" si="1392"/>
        <v>11343.50349902706</v>
      </c>
      <c r="AM553" s="196">
        <f t="shared" si="1361"/>
        <v>22687.006998054119</v>
      </c>
      <c r="AN553" s="627">
        <f t="shared" si="1362"/>
        <v>1.0984550362288206E-3</v>
      </c>
      <c r="AO553" s="196">
        <f t="shared" si="1363"/>
        <v>10776.328324075706</v>
      </c>
      <c r="AP553" s="589">
        <f t="shared" si="1381"/>
        <v>1.0984550362288206E-3</v>
      </c>
      <c r="AQ553" s="196"/>
      <c r="AR553" s="589"/>
      <c r="AS553">
        <v>1</v>
      </c>
      <c r="AT553" s="589">
        <f t="shared" si="1382"/>
        <v>1.2919896640826874E-3</v>
      </c>
      <c r="AU553" s="196">
        <v>14</v>
      </c>
      <c r="AV553" s="245"/>
      <c r="AX553" s="245"/>
      <c r="AY553" s="245"/>
      <c r="AZ553" s="196">
        <v>21</v>
      </c>
      <c r="BA553" s="589">
        <f t="shared" si="1425"/>
        <v>7.6948444542156754E-4</v>
      </c>
      <c r="BI553" s="196">
        <v>0</v>
      </c>
      <c r="BK553" s="246">
        <f t="shared" si="1426"/>
        <v>0</v>
      </c>
      <c r="BL553" s="246"/>
      <c r="BM553" s="246">
        <f t="shared" si="1427"/>
        <v>0</v>
      </c>
      <c r="BN553" s="196">
        <v>1</v>
      </c>
      <c r="BO553" s="196">
        <f t="shared" si="1486"/>
        <v>14662.398131283298</v>
      </c>
      <c r="BP553" s="196">
        <f t="shared" si="1365"/>
        <v>14662.398131283298</v>
      </c>
      <c r="BQ553" s="248">
        <f t="shared" si="1428"/>
        <v>1.3715990660885032E-3</v>
      </c>
      <c r="BR553" s="248"/>
      <c r="BS553" s="248"/>
      <c r="BT553" s="276">
        <v>0</v>
      </c>
      <c r="BU553" s="196">
        <f t="shared" si="1487"/>
        <v>0</v>
      </c>
      <c r="BV553" s="264">
        <f t="shared" si="1429"/>
        <v>0</v>
      </c>
      <c r="BW553" s="196">
        <f t="shared" si="1488"/>
        <v>0</v>
      </c>
      <c r="BX553" s="247">
        <f t="shared" si="1430"/>
        <v>0</v>
      </c>
      <c r="BY553" s="196">
        <f t="shared" si="1489"/>
        <v>0</v>
      </c>
      <c r="BZ553" s="620">
        <v>1</v>
      </c>
      <c r="CA553" s="196">
        <f t="shared" si="1490"/>
        <v>86777.801767556986</v>
      </c>
      <c r="CB553" s="196">
        <f t="shared" si="1491"/>
        <v>173555.60353511397</v>
      </c>
      <c r="CC553" s="196">
        <f t="shared" si="1378"/>
        <v>260333.40530267096</v>
      </c>
      <c r="CD553" s="247">
        <f t="shared" si="1366"/>
        <v>1.0984550362288202E-3</v>
      </c>
      <c r="CE553" s="196">
        <f t="shared" si="1492"/>
        <v>25206.327677611716</v>
      </c>
      <c r="CF553" s="247">
        <f t="shared" si="1367"/>
        <v>1.0884876194287945E-3</v>
      </c>
      <c r="CG553" s="196">
        <f t="shared" si="1434"/>
        <v>43105.313296302826</v>
      </c>
      <c r="CH553" s="589">
        <f t="shared" si="1383"/>
        <v>1.0984550362288206E-3</v>
      </c>
      <c r="CI553" s="196">
        <f t="shared" si="1493"/>
        <v>37866.588865860329</v>
      </c>
      <c r="CJ553" s="248">
        <f t="shared" si="1384"/>
        <v>6.2252662483663294E-4</v>
      </c>
      <c r="CK553" s="196">
        <f t="shared" si="1494"/>
        <v>52027.57472419714</v>
      </c>
      <c r="CL553" s="589">
        <f t="shared" si="1385"/>
        <v>7.4790708827588326E-4</v>
      </c>
      <c r="CM553" s="196">
        <f t="shared" si="1495"/>
        <v>5040.1736621739392</v>
      </c>
      <c r="CN553" s="589">
        <f t="shared" si="1386"/>
        <v>7.2634630453410941E-4</v>
      </c>
      <c r="CO553" s="196">
        <f t="shared" si="1496"/>
        <v>403.20912173886842</v>
      </c>
      <c r="CP553" s="589">
        <f t="shared" si="1387"/>
        <v>7.6039029796152958E-4</v>
      </c>
      <c r="CQ553" s="196">
        <f>'Detailed Budget'!$AC$12</f>
        <v>292876014141.44696</v>
      </c>
      <c r="CR553" s="269">
        <f t="shared" si="1393"/>
        <v>0</v>
      </c>
      <c r="CS553" s="269">
        <f>'Detailed Budget'!$AC$16</f>
        <v>10488008800.000002</v>
      </c>
      <c r="CT553" s="607">
        <f t="shared" si="1436"/>
        <v>0</v>
      </c>
      <c r="CU553" s="269">
        <f>'Detailed Budget'!$AC$24</f>
        <v>30624985696</v>
      </c>
      <c r="CV553" s="269">
        <f t="shared" si="1424"/>
        <v>0</v>
      </c>
      <c r="CW553" s="269"/>
      <c r="CX553" s="269">
        <f t="shared" si="1379"/>
        <v>0</v>
      </c>
      <c r="CY553" s="196">
        <f>'Detailed Budget'!$AC$97</f>
        <v>74629165494.837845</v>
      </c>
      <c r="CZ553" s="269">
        <f t="shared" si="1437"/>
        <v>102361293.69568394</v>
      </c>
      <c r="DA553" s="269">
        <f>'Detailed Budget'!$AC$100</f>
        <v>14925833098.967569</v>
      </c>
      <c r="DB553" s="269">
        <f t="shared" si="1438"/>
        <v>20472258.739136789</v>
      </c>
      <c r="DC553" s="269">
        <f t="shared" si="1368"/>
        <v>122833552.43482073</v>
      </c>
      <c r="DD553" s="207">
        <v>0</v>
      </c>
      <c r="DE553" s="606">
        <v>0</v>
      </c>
      <c r="DF553" s="269">
        <f>'Detailed Budget'!$AC$147</f>
        <v>5913600671000</v>
      </c>
      <c r="DG553" s="269">
        <f t="shared" si="1419"/>
        <v>0</v>
      </c>
      <c r="DH553" s="269">
        <f>'Detailed Budget'!$AC$153</f>
        <v>226428026880.00003</v>
      </c>
      <c r="DI553" s="269"/>
      <c r="DJ553" s="269">
        <f>'Detailed Budget'!$AC$156</f>
        <v>27713070000</v>
      </c>
      <c r="DK553" s="269"/>
      <c r="DL553" s="269"/>
      <c r="DM553" s="196">
        <f>'Detailed Budget'!$AC$178</f>
        <v>5622683761.6229038</v>
      </c>
      <c r="DN553" s="269">
        <f t="shared" si="1497"/>
        <v>0</v>
      </c>
      <c r="DO553" s="196">
        <f>'Detailed Budget'!$AC$179</f>
        <v>26827890683.128094</v>
      </c>
      <c r="DP553" s="269">
        <f t="shared" si="1498"/>
        <v>0</v>
      </c>
      <c r="DQ553" s="269">
        <f t="shared" si="1388"/>
        <v>0</v>
      </c>
      <c r="DR553" s="269">
        <f>'Detailed Budget'!$AC$181</f>
        <v>50888946855.375237</v>
      </c>
      <c r="DS553" s="269">
        <f t="shared" si="1499"/>
        <v>0</v>
      </c>
      <c r="DT553" s="269">
        <f t="shared" si="1500"/>
        <v>0</v>
      </c>
      <c r="DU553" s="272">
        <f>'Detailed Budget'!$AC$192</f>
        <v>77498869683.252869</v>
      </c>
      <c r="DV553" s="269">
        <f t="shared" si="1439"/>
        <v>85129023.705610141</v>
      </c>
      <c r="DW553" s="140">
        <f>'Detailed Budget'!$AC$194</f>
        <v>2684962805.4134097</v>
      </c>
      <c r="DX553" s="269">
        <f t="shared" si="1440"/>
        <v>2949310.9156934228</v>
      </c>
      <c r="DY553" s="607">
        <f t="shared" si="1369"/>
        <v>88078334.621303558</v>
      </c>
      <c r="DZ553" s="196">
        <f>'Detailed Budget'!$AC$198</f>
        <v>18732540018.380611</v>
      </c>
      <c r="EA553" s="269">
        <f t="shared" si="1481"/>
        <v>20390137.890461739</v>
      </c>
      <c r="EB553" s="196">
        <f>'Detailed Budget'!$AC$200</f>
        <v>4683135004.5951529</v>
      </c>
      <c r="EC553" s="269">
        <f t="shared" si="1442"/>
        <v>5097534.4726154348</v>
      </c>
      <c r="ED553" s="269">
        <f t="shared" si="1370"/>
        <v>25487672.363077175</v>
      </c>
      <c r="EE553" s="196">
        <f>'Detailed Budget'!$AC$161</f>
        <v>251147290106.36197</v>
      </c>
      <c r="EF553" s="269">
        <f t="shared" si="1443"/>
        <v>275874005.65255398</v>
      </c>
      <c r="EG553" s="196">
        <f>'Detailed Budget'!$AC$163</f>
        <v>15696705631.647623</v>
      </c>
      <c r="EH553" s="269">
        <f t="shared" si="1444"/>
        <v>17242125.353284623</v>
      </c>
      <c r="EI553" s="269">
        <f t="shared" si="1371"/>
        <v>293116131.00583857</v>
      </c>
      <c r="EJ553" s="196">
        <f>'Detailed Budget'!$AC$204</f>
        <v>45012172507.531975</v>
      </c>
      <c r="EK553" s="269">
        <f t="shared" si="1445"/>
        <v>28021275.827678163</v>
      </c>
      <c r="EL553" s="201">
        <f>'Detailed Budget'!$AC$206</f>
        <v>11253043126.882994</v>
      </c>
      <c r="EM553" s="269">
        <f t="shared" si="1446"/>
        <v>7005318.9569195407</v>
      </c>
      <c r="EN553" s="269">
        <f t="shared" si="1372"/>
        <v>35026594.784597702</v>
      </c>
      <c r="EO553" s="140">
        <f>'Detailed Budget'!$AC$209</f>
        <v>135789361677.54817</v>
      </c>
      <c r="EP553" s="269">
        <f t="shared" si="1447"/>
        <v>101557826.11109586</v>
      </c>
      <c r="EQ553" s="196">
        <f>'Detailed Budget'!$AC$211</f>
        <v>33947340419.387043</v>
      </c>
      <c r="ER553" s="269">
        <f t="shared" si="1448"/>
        <v>25389456.527773965</v>
      </c>
      <c r="ES553" s="269">
        <f t="shared" si="1373"/>
        <v>126947282.63886982</v>
      </c>
      <c r="ET553" s="196">
        <f>'Detailed Budget'!$AC$214</f>
        <v>22239745544.201103</v>
      </c>
      <c r="EU553" s="269">
        <f t="shared" si="1449"/>
        <v>16153756.989809398</v>
      </c>
      <c r="EV553" s="140">
        <f>'Detailed Budget'!$AC$217</f>
        <v>5559936386.0502758</v>
      </c>
      <c r="EW553" s="269">
        <f t="shared" si="1450"/>
        <v>4038439.2474523494</v>
      </c>
      <c r="EX553" s="269">
        <f t="shared" si="1374"/>
        <v>20192196.237261746</v>
      </c>
      <c r="EY553" s="196">
        <f>'Detailed Budget'!$AC$219</f>
        <v>372777004.58170313</v>
      </c>
      <c r="EZ553" s="269">
        <f t="shared" si="1451"/>
        <v>283456.0175870877</v>
      </c>
      <c r="FA553" s="196">
        <f>'Detailed Budget'!$AC$222</f>
        <v>93194251.145425782</v>
      </c>
      <c r="FB553" s="269">
        <f t="shared" si="1452"/>
        <v>70864.004396771925</v>
      </c>
      <c r="FC553" s="269">
        <f t="shared" si="1375"/>
        <v>354320.02198385959</v>
      </c>
      <c r="FD553" s="269"/>
      <c r="FE553" s="269">
        <f t="shared" si="1376"/>
        <v>182520393.68271312</v>
      </c>
      <c r="FF553" s="140"/>
      <c r="FG553" s="1087">
        <f t="shared" si="1420"/>
        <v>248969898.71140772</v>
      </c>
      <c r="FJ553" s="140">
        <f>'Detailed Budget'!$AC$235</f>
        <v>3623696172</v>
      </c>
      <c r="FK553" s="269">
        <f t="shared" si="1482"/>
        <v>4681778</v>
      </c>
      <c r="FL553" s="269">
        <f t="shared" si="1421"/>
        <v>4681778</v>
      </c>
      <c r="FO553" s="607"/>
      <c r="FP553" s="607"/>
      <c r="FQ553" s="607"/>
      <c r="FR553" s="269">
        <f>'Detailed Budget'!$AC$257</f>
        <v>13636439388</v>
      </c>
      <c r="FS553" s="269">
        <f t="shared" si="1483"/>
        <v>10493028</v>
      </c>
      <c r="FT553" s="269">
        <f t="shared" si="1422"/>
        <v>10493028</v>
      </c>
      <c r="FU553" s="269"/>
      <c r="FV553" s="269"/>
      <c r="FW553" s="269"/>
      <c r="FX553" s="140">
        <f>'Detailed Budget'!$AC$278</f>
        <v>1114560000</v>
      </c>
      <c r="FY553" s="269">
        <f t="shared" si="1484"/>
        <v>1440000</v>
      </c>
      <c r="FZ553" s="269">
        <f t="shared" si="1423"/>
        <v>1440000</v>
      </c>
      <c r="GB553" s="269">
        <f t="shared" si="1431"/>
        <v>977620788.81916094</v>
      </c>
      <c r="GC553" s="887">
        <f t="shared" si="1377"/>
        <v>611012.99301197554</v>
      </c>
      <c r="GD553" s="1078">
        <f t="shared" si="1432"/>
        <v>5.4857380900810401E-4</v>
      </c>
    </row>
    <row r="554" spans="1:186" hidden="1" outlineLevel="1">
      <c r="A554" s="211" t="s">
        <v>1222</v>
      </c>
      <c r="B554" s="212" t="s">
        <v>1223</v>
      </c>
      <c r="C554" s="213" t="s">
        <v>215</v>
      </c>
      <c r="D554" s="214"/>
      <c r="E554" s="213"/>
      <c r="F554" s="213"/>
      <c r="G554" s="213" t="s">
        <v>215</v>
      </c>
      <c r="H554" s="213" t="s">
        <v>215</v>
      </c>
      <c r="I554" s="214" t="s">
        <v>215</v>
      </c>
      <c r="J554" s="214"/>
      <c r="K554" s="213"/>
      <c r="L554" s="213"/>
      <c r="M554" s="214" t="s">
        <v>215</v>
      </c>
      <c r="N554" s="213"/>
      <c r="O554" s="214"/>
      <c r="P554" s="213"/>
      <c r="Q554" s="214"/>
      <c r="R554" s="214" t="s">
        <v>215</v>
      </c>
      <c r="S554" s="214"/>
      <c r="T554" s="214"/>
      <c r="U554" s="215">
        <f t="shared" si="1502"/>
        <v>6</v>
      </c>
      <c r="V554" s="845" t="s">
        <v>216</v>
      </c>
      <c r="W554" s="216">
        <v>159654</v>
      </c>
      <c r="X554" s="217">
        <v>3.19</v>
      </c>
      <c r="Y554" s="218">
        <f t="shared" si="1477"/>
        <v>1.0319</v>
      </c>
      <c r="Z554" s="196">
        <v>19</v>
      </c>
      <c r="AA554" s="218">
        <f t="shared" si="1478"/>
        <v>1.8159949505681734</v>
      </c>
      <c r="AB554" s="196">
        <f t="shared" si="1475"/>
        <v>289930.85783801117</v>
      </c>
      <c r="AC554">
        <v>11.8</v>
      </c>
      <c r="AD554" s="196">
        <f t="shared" si="1476"/>
        <v>34211.84122488532</v>
      </c>
      <c r="AE554" s="196">
        <f t="shared" si="1479"/>
        <v>32501.249163641052</v>
      </c>
      <c r="AF554" s="196">
        <f t="shared" si="1485"/>
        <v>0</v>
      </c>
      <c r="AG554" s="606">
        <f t="shared" si="1380"/>
        <v>1.5027150781694385E-3</v>
      </c>
      <c r="AH554" s="196">
        <f t="shared" si="1501"/>
        <v>14496.542891900559</v>
      </c>
      <c r="AI554" s="248">
        <f t="shared" si="1359"/>
        <v>1.1230252134276557E-3</v>
      </c>
      <c r="AJ554" s="196">
        <f t="shared" si="1360"/>
        <v>48708.384116785877</v>
      </c>
      <c r="AK554" s="196">
        <f t="shared" si="1391"/>
        <v>11597.234313520446</v>
      </c>
      <c r="AL554" s="196">
        <f t="shared" si="1392"/>
        <v>11597.234313520446</v>
      </c>
      <c r="AM554" s="196">
        <f t="shared" si="1361"/>
        <v>23194.468627040893</v>
      </c>
      <c r="AN554" s="627">
        <f t="shared" si="1362"/>
        <v>1.1230252134276557E-3</v>
      </c>
      <c r="AO554" s="196">
        <f t="shared" si="1363"/>
        <v>11017.372597844424</v>
      </c>
      <c r="AP554" s="589">
        <f t="shared" si="1381"/>
        <v>1.1230252134276557E-3</v>
      </c>
      <c r="AQ554" s="196"/>
      <c r="AR554" s="589"/>
      <c r="AS554">
        <v>1</v>
      </c>
      <c r="AT554" s="589">
        <f t="shared" si="1382"/>
        <v>1.2919896640826874E-3</v>
      </c>
      <c r="AU554" s="196">
        <v>13</v>
      </c>
      <c r="AV554" s="245"/>
      <c r="AX554" s="245"/>
      <c r="AY554" s="245"/>
      <c r="AZ554" s="196">
        <v>18</v>
      </c>
      <c r="BA554" s="589">
        <f t="shared" si="1425"/>
        <v>6.5955809607562931E-4</v>
      </c>
      <c r="BI554" s="196">
        <v>0</v>
      </c>
      <c r="BK554" s="246">
        <f t="shared" si="1426"/>
        <v>0</v>
      </c>
      <c r="BL554" s="246"/>
      <c r="BM554" s="246">
        <f t="shared" si="1427"/>
        <v>0</v>
      </c>
      <c r="BN554" s="196">
        <v>1</v>
      </c>
      <c r="BO554" s="196">
        <f t="shared" si="1486"/>
        <v>14990.365784362957</v>
      </c>
      <c r="BP554" s="196">
        <f t="shared" si="1365"/>
        <v>14990.365784362957</v>
      </c>
      <c r="BQ554" s="248">
        <f t="shared" si="1428"/>
        <v>1.4022789127713957E-3</v>
      </c>
      <c r="BR554" s="248"/>
      <c r="BS554" s="248"/>
      <c r="BT554" s="276">
        <v>0</v>
      </c>
      <c r="BU554" s="196">
        <f t="shared" si="1487"/>
        <v>0</v>
      </c>
      <c r="BV554" s="264">
        <f t="shared" si="1429"/>
        <v>0</v>
      </c>
      <c r="BW554" s="196">
        <f t="shared" si="1488"/>
        <v>0</v>
      </c>
      <c r="BX554" s="247">
        <f t="shared" si="1430"/>
        <v>0</v>
      </c>
      <c r="BY554" s="196">
        <f t="shared" si="1489"/>
        <v>0</v>
      </c>
      <c r="BZ554" s="620">
        <v>1</v>
      </c>
      <c r="CA554" s="196">
        <f t="shared" si="1490"/>
        <v>88718.842498431419</v>
      </c>
      <c r="CB554" s="196">
        <f t="shared" si="1491"/>
        <v>177437.68499686284</v>
      </c>
      <c r="CC554" s="196">
        <f t="shared" si="1378"/>
        <v>266156.52749529423</v>
      </c>
      <c r="CD554" s="247">
        <f t="shared" si="1366"/>
        <v>1.1230252134276557E-3</v>
      </c>
      <c r="CE554" s="196">
        <f t="shared" si="1492"/>
        <v>25770.141322362317</v>
      </c>
      <c r="CF554" s="247">
        <f t="shared" si="1367"/>
        <v>1.1128348460389262E-3</v>
      </c>
      <c r="CG554" s="196">
        <f t="shared" si="1434"/>
        <v>44069.490391377694</v>
      </c>
      <c r="CH554" s="589">
        <f t="shared" si="1383"/>
        <v>1.1230252134276557E-3</v>
      </c>
      <c r="CI554" s="196">
        <f t="shared" si="1493"/>
        <v>38713.586483117208</v>
      </c>
      <c r="CJ554" s="248">
        <f t="shared" si="1384"/>
        <v>6.3645126351437179E-4</v>
      </c>
      <c r="CK554" s="196">
        <f t="shared" si="1494"/>
        <v>53191.324434506518</v>
      </c>
      <c r="CL554" s="589">
        <f t="shared" si="1385"/>
        <v>7.6463622973468339E-4</v>
      </c>
      <c r="CM554" s="196">
        <f t="shared" si="1495"/>
        <v>5152.9119681656639</v>
      </c>
      <c r="CN554" s="589">
        <f t="shared" si="1386"/>
        <v>7.4259317565902329E-4</v>
      </c>
      <c r="CO554" s="196">
        <f t="shared" si="1496"/>
        <v>412.22807949550344</v>
      </c>
      <c r="CP554" s="589">
        <f t="shared" si="1387"/>
        <v>7.7739866311531093E-4</v>
      </c>
      <c r="CQ554" s="196">
        <f>'Detailed Budget'!$AC$12</f>
        <v>292876014141.44696</v>
      </c>
      <c r="CR554" s="269">
        <f t="shared" si="1393"/>
        <v>0</v>
      </c>
      <c r="CS554" s="269">
        <f>'Detailed Budget'!$AC$16</f>
        <v>10488008800.000002</v>
      </c>
      <c r="CT554" s="607">
        <f t="shared" si="1436"/>
        <v>0</v>
      </c>
      <c r="CU554" s="269">
        <f>'Detailed Budget'!$AC$24</f>
        <v>30624985696</v>
      </c>
      <c r="CV554" s="269">
        <f t="shared" si="1424"/>
        <v>0</v>
      </c>
      <c r="CW554" s="269"/>
      <c r="CX554" s="269">
        <f t="shared" si="1379"/>
        <v>0</v>
      </c>
      <c r="CY554" s="196">
        <f>'Detailed Budget'!$AC$97</f>
        <v>74629165494.837845</v>
      </c>
      <c r="CZ554" s="269">
        <f t="shared" si="1437"/>
        <v>104650905.05113778</v>
      </c>
      <c r="DA554" s="269">
        <f>'Detailed Budget'!$AC$100</f>
        <v>14925833098.967569</v>
      </c>
      <c r="DB554" s="269">
        <f t="shared" si="1438"/>
        <v>20930181.010227554</v>
      </c>
      <c r="DC554" s="269">
        <f t="shared" si="1368"/>
        <v>125581086.06136534</v>
      </c>
      <c r="DD554" s="207">
        <v>0</v>
      </c>
      <c r="DE554" s="606">
        <v>0</v>
      </c>
      <c r="DF554" s="269">
        <f>'Detailed Budget'!$AC$147</f>
        <v>5913600671000</v>
      </c>
      <c r="DG554" s="269">
        <f t="shared" si="1419"/>
        <v>0</v>
      </c>
      <c r="DH554" s="269">
        <f>'Detailed Budget'!$AC$153</f>
        <v>226428026880.00003</v>
      </c>
      <c r="DI554" s="269"/>
      <c r="DJ554" s="269">
        <f>'Detailed Budget'!$AC$156</f>
        <v>27713070000</v>
      </c>
      <c r="DK554" s="269"/>
      <c r="DL554" s="269"/>
      <c r="DM554" s="196">
        <f>'Detailed Budget'!$AC$178</f>
        <v>5622683761.6229038</v>
      </c>
      <c r="DN554" s="269">
        <f t="shared" si="1497"/>
        <v>0</v>
      </c>
      <c r="DO554" s="196">
        <f>'Detailed Budget'!$AC$179</f>
        <v>26827890683.128094</v>
      </c>
      <c r="DP554" s="269">
        <f t="shared" si="1498"/>
        <v>0</v>
      </c>
      <c r="DQ554" s="269">
        <f t="shared" si="1388"/>
        <v>0</v>
      </c>
      <c r="DR554" s="269">
        <f>'Detailed Budget'!$AC$181</f>
        <v>50888946855.375237</v>
      </c>
      <c r="DS554" s="269">
        <f t="shared" si="1499"/>
        <v>0</v>
      </c>
      <c r="DT554" s="269">
        <f t="shared" si="1500"/>
        <v>0</v>
      </c>
      <c r="DU554" s="272">
        <f>'Detailed Budget'!$AC$192</f>
        <v>77498869683.252869</v>
      </c>
      <c r="DV554" s="269">
        <f t="shared" si="1439"/>
        <v>87033184.666437134</v>
      </c>
      <c r="DW554" s="140">
        <f>'Detailed Budget'!$AC$194</f>
        <v>2684962805.4134097</v>
      </c>
      <c r="DX554" s="269">
        <f t="shared" si="1440"/>
        <v>3015280.9275947115</v>
      </c>
      <c r="DY554" s="607">
        <f t="shared" si="1369"/>
        <v>90048465.594031841</v>
      </c>
      <c r="DZ554" s="196">
        <f>'Detailed Budget'!$AC$198</f>
        <v>18732540018.380611</v>
      </c>
      <c r="EA554" s="269">
        <f t="shared" si="1481"/>
        <v>20846223.287272613</v>
      </c>
      <c r="EB554" s="196">
        <f>'Detailed Budget'!$AC$200</f>
        <v>4683135004.5951529</v>
      </c>
      <c r="EC554" s="269">
        <f t="shared" si="1442"/>
        <v>5211555.8218181534</v>
      </c>
      <c r="ED554" s="269">
        <f t="shared" si="1370"/>
        <v>26057779.109090768</v>
      </c>
      <c r="EE554" s="196">
        <f>'Detailed Budget'!$AC$161</f>
        <v>251147290106.36197</v>
      </c>
      <c r="EF554" s="269">
        <f t="shared" si="1443"/>
        <v>282044739.07347453</v>
      </c>
      <c r="EG554" s="196">
        <f>'Detailed Budget'!$AC$163</f>
        <v>15696705631.647623</v>
      </c>
      <c r="EH554" s="269">
        <f t="shared" si="1444"/>
        <v>17627796.192092158</v>
      </c>
      <c r="EI554" s="269">
        <f t="shared" si="1371"/>
        <v>299672535.26556671</v>
      </c>
      <c r="EJ554" s="196">
        <f>'Detailed Budget'!$AC$204</f>
        <v>45012172507.531975</v>
      </c>
      <c r="EK554" s="269">
        <f t="shared" si="1445"/>
        <v>28648054.065945596</v>
      </c>
      <c r="EL554" s="201">
        <f>'Detailed Budget'!$AC$206</f>
        <v>11253043126.882994</v>
      </c>
      <c r="EM554" s="269">
        <f t="shared" si="1446"/>
        <v>7162013.5164863989</v>
      </c>
      <c r="EN554" s="269">
        <f t="shared" si="1372"/>
        <v>35810067.582431994</v>
      </c>
      <c r="EO554" s="140">
        <f>'Detailed Budget'!$AC$209</f>
        <v>135789361677.54817</v>
      </c>
      <c r="EP554" s="269">
        <f t="shared" si="1447"/>
        <v>103829465.55119973</v>
      </c>
      <c r="EQ554" s="196">
        <f>'Detailed Budget'!$AC$211</f>
        <v>33947340419.387043</v>
      </c>
      <c r="ER554" s="269">
        <f t="shared" si="1448"/>
        <v>25957366.387799934</v>
      </c>
      <c r="ES554" s="269">
        <f t="shared" si="1373"/>
        <v>129786831.93899967</v>
      </c>
      <c r="ET554" s="196">
        <f>'Detailed Budget'!$AC$214</f>
        <v>22239745544.201103</v>
      </c>
      <c r="EU554" s="269">
        <f t="shared" si="1449"/>
        <v>16515083.269516911</v>
      </c>
      <c r="EV554" s="140">
        <f>'Detailed Budget'!$AC$217</f>
        <v>5559936386.0502758</v>
      </c>
      <c r="EW554" s="269">
        <f t="shared" si="1450"/>
        <v>4128770.8173792278</v>
      </c>
      <c r="EX554" s="269">
        <f t="shared" si="1374"/>
        <v>20643854.08689614</v>
      </c>
      <c r="EY554" s="196">
        <f>'Detailed Budget'!$AC$219</f>
        <v>372777004.58170313</v>
      </c>
      <c r="EZ554" s="269">
        <f t="shared" si="1451"/>
        <v>289796.34500194615</v>
      </c>
      <c r="FA554" s="196">
        <f>'Detailed Budget'!$AC$222</f>
        <v>93194251.145425782</v>
      </c>
      <c r="FB554" s="269">
        <f t="shared" si="1452"/>
        <v>72449.086250486536</v>
      </c>
      <c r="FC554" s="269">
        <f t="shared" si="1375"/>
        <v>362245.4312524327</v>
      </c>
      <c r="FD554" s="269"/>
      <c r="FE554" s="269">
        <f t="shared" si="1376"/>
        <v>186602999.03958023</v>
      </c>
      <c r="FF554" s="140"/>
      <c r="FG554" s="1087">
        <f t="shared" si="1420"/>
        <v>254538842.66155502</v>
      </c>
      <c r="FJ554" s="140">
        <f>'Detailed Budget'!$AC$235</f>
        <v>3623696172</v>
      </c>
      <c r="FK554" s="269">
        <f t="shared" si="1482"/>
        <v>4681778</v>
      </c>
      <c r="FL554" s="269">
        <f t="shared" si="1421"/>
        <v>4681778</v>
      </c>
      <c r="FO554" s="607"/>
      <c r="FP554" s="607"/>
      <c r="FQ554" s="607"/>
      <c r="FR554" s="269">
        <f>'Detailed Budget'!$AC$257</f>
        <v>13636439388</v>
      </c>
      <c r="FS554" s="269">
        <f t="shared" si="1483"/>
        <v>8994024</v>
      </c>
      <c r="FT554" s="269">
        <f t="shared" si="1422"/>
        <v>8994024</v>
      </c>
      <c r="FU554" s="269"/>
      <c r="FV554" s="269"/>
      <c r="FW554" s="269"/>
      <c r="FX554" s="140">
        <f>'Detailed Budget'!$AC$278</f>
        <v>1114560000</v>
      </c>
      <c r="FY554" s="269">
        <f t="shared" si="1484"/>
        <v>1440000</v>
      </c>
      <c r="FZ554" s="269">
        <f t="shared" si="1423"/>
        <v>1440000</v>
      </c>
      <c r="GB554" s="269">
        <f t="shared" si="1431"/>
        <v>997617509.73118997</v>
      </c>
      <c r="GC554" s="887">
        <f t="shared" si="1377"/>
        <v>623510.94358199369</v>
      </c>
      <c r="GD554" s="1078">
        <f t="shared" si="1432"/>
        <v>5.5979459879064713E-4</v>
      </c>
    </row>
    <row r="555" spans="1:186" hidden="1" outlineLevel="1">
      <c r="A555" s="211" t="s">
        <v>1224</v>
      </c>
      <c r="B555" s="212" t="s">
        <v>1225</v>
      </c>
      <c r="C555" s="213" t="s">
        <v>215</v>
      </c>
      <c r="D555" s="214"/>
      <c r="E555" s="213"/>
      <c r="F555" s="213"/>
      <c r="G555" s="213" t="s">
        <v>215</v>
      </c>
      <c r="H555" s="213" t="s">
        <v>215</v>
      </c>
      <c r="I555" s="214" t="s">
        <v>215</v>
      </c>
      <c r="J555" s="214"/>
      <c r="K555" s="213"/>
      <c r="L555" s="213"/>
      <c r="M555" s="214" t="s">
        <v>215</v>
      </c>
      <c r="N555" s="213"/>
      <c r="O555" s="214"/>
      <c r="P555" s="213"/>
      <c r="Q555" s="214"/>
      <c r="R555" s="214" t="s">
        <v>215</v>
      </c>
      <c r="S555" s="214"/>
      <c r="T555" s="214"/>
      <c r="U555" s="215">
        <f t="shared" si="1502"/>
        <v>6</v>
      </c>
      <c r="V555" s="845" t="s">
        <v>216</v>
      </c>
      <c r="W555" s="216">
        <v>119419</v>
      </c>
      <c r="X555" s="217">
        <v>3.19</v>
      </c>
      <c r="Y555" s="218">
        <f t="shared" si="1477"/>
        <v>1.0319</v>
      </c>
      <c r="Z555" s="196">
        <v>19</v>
      </c>
      <c r="AA555" s="218">
        <f t="shared" si="1478"/>
        <v>1.8159949505681734</v>
      </c>
      <c r="AB555" s="196">
        <f t="shared" si="1475"/>
        <v>216864.30100190069</v>
      </c>
      <c r="AC555">
        <v>11.8</v>
      </c>
      <c r="AD555" s="196">
        <f t="shared" si="1476"/>
        <v>25589.987518224283</v>
      </c>
      <c r="AE555" s="196">
        <f t="shared" si="1479"/>
        <v>24310.488142313068</v>
      </c>
      <c r="AF555" s="196">
        <f t="shared" si="1485"/>
        <v>0</v>
      </c>
      <c r="AG555" s="606">
        <f t="shared" si="1380"/>
        <v>1.1240102466578738E-3</v>
      </c>
      <c r="AH555" s="196">
        <f t="shared" si="1501"/>
        <v>10843.215050095036</v>
      </c>
      <c r="AI555" s="248">
        <f t="shared" si="1359"/>
        <v>8.4000744085533231E-4</v>
      </c>
      <c r="AJ555" s="196">
        <f t="shared" si="1360"/>
        <v>36433.202568319321</v>
      </c>
      <c r="AK555" s="196">
        <f t="shared" si="1391"/>
        <v>8674.5720400760274</v>
      </c>
      <c r="AL555" s="196">
        <f t="shared" si="1392"/>
        <v>8674.5720400760274</v>
      </c>
      <c r="AM555" s="196">
        <f t="shared" si="1361"/>
        <v>17349.144080152055</v>
      </c>
      <c r="AN555" s="627">
        <f t="shared" si="1362"/>
        <v>8.400074408553322E-4</v>
      </c>
      <c r="AO555" s="196">
        <f t="shared" si="1363"/>
        <v>8240.8434380722265</v>
      </c>
      <c r="AP555" s="589">
        <f t="shared" si="1381"/>
        <v>8.400074408553322E-4</v>
      </c>
      <c r="AQ555" s="196"/>
      <c r="AR555" s="589"/>
      <c r="AS555">
        <v>1</v>
      </c>
      <c r="AT555" s="589">
        <f t="shared" si="1382"/>
        <v>1.2919896640826874E-3</v>
      </c>
      <c r="AU555" s="196">
        <v>10</v>
      </c>
      <c r="AV555" s="245"/>
      <c r="AX555" s="245"/>
      <c r="AY555" s="245"/>
      <c r="AZ555" s="196">
        <v>19</v>
      </c>
      <c r="BA555" s="589">
        <f t="shared" si="1425"/>
        <v>6.9620021252427542E-4</v>
      </c>
      <c r="BI555" s="196">
        <v>0</v>
      </c>
      <c r="BK555" s="246">
        <f t="shared" si="1426"/>
        <v>0</v>
      </c>
      <c r="BL555" s="246"/>
      <c r="BM555" s="246">
        <f t="shared" si="1427"/>
        <v>0</v>
      </c>
      <c r="BN555" s="196">
        <v>1</v>
      </c>
      <c r="BO555" s="196">
        <f t="shared" si="1486"/>
        <v>11212.587793621455</v>
      </c>
      <c r="BP555" s="196">
        <f t="shared" si="1365"/>
        <v>11212.587793621455</v>
      </c>
      <c r="BQ555" s="248">
        <f t="shared" si="1428"/>
        <v>1.0488853738975989E-3</v>
      </c>
      <c r="BR555" s="248"/>
      <c r="BS555" s="248"/>
      <c r="BT555" s="276">
        <v>0</v>
      </c>
      <c r="BU555" s="196">
        <f t="shared" si="1487"/>
        <v>0</v>
      </c>
      <c r="BV555" s="264">
        <f t="shared" si="1429"/>
        <v>0</v>
      </c>
      <c r="BW555" s="196">
        <f t="shared" si="1488"/>
        <v>0</v>
      </c>
      <c r="BX555" s="247">
        <f t="shared" si="1430"/>
        <v>0</v>
      </c>
      <c r="BY555" s="196">
        <f t="shared" si="1489"/>
        <v>0</v>
      </c>
      <c r="BZ555" s="620">
        <v>1</v>
      </c>
      <c r="CA555" s="196">
        <f t="shared" si="1490"/>
        <v>66360.476106581598</v>
      </c>
      <c r="CB555" s="196">
        <f t="shared" si="1491"/>
        <v>132720.9522131632</v>
      </c>
      <c r="CC555" s="196">
        <f t="shared" si="1378"/>
        <v>199081.42831974479</v>
      </c>
      <c r="CD555" s="247">
        <f t="shared" si="1366"/>
        <v>8.4000744085533209E-4</v>
      </c>
      <c r="CE555" s="196">
        <f t="shared" si="1492"/>
        <v>19275.711893063661</v>
      </c>
      <c r="CF555" s="247">
        <f t="shared" si="1367"/>
        <v>8.3238518595915264E-4</v>
      </c>
      <c r="CG555" s="196">
        <f t="shared" si="1434"/>
        <v>32963.373752288906</v>
      </c>
      <c r="CH555" s="589">
        <f t="shared" si="1383"/>
        <v>8.400074408553322E-4</v>
      </c>
      <c r="CI555" s="196">
        <f t="shared" si="1493"/>
        <v>28957.231163812823</v>
      </c>
      <c r="CJ555" s="248">
        <f t="shared" si="1384"/>
        <v>4.7605680682991184E-4</v>
      </c>
      <c r="CK555" s="196">
        <f t="shared" si="1494"/>
        <v>39786.380376591456</v>
      </c>
      <c r="CL555" s="589">
        <f t="shared" si="1385"/>
        <v>5.7193740162279764E-4</v>
      </c>
      <c r="CM555" s="196">
        <f t="shared" si="1495"/>
        <v>3854.3074043016477</v>
      </c>
      <c r="CN555" s="589">
        <f t="shared" si="1386"/>
        <v>5.5544949981851304E-4</v>
      </c>
      <c r="CO555" s="196">
        <f t="shared" si="1496"/>
        <v>308.34094369870792</v>
      </c>
      <c r="CP555" s="589">
        <f t="shared" si="1387"/>
        <v>5.8148352656724721E-4</v>
      </c>
      <c r="CQ555" s="196">
        <f>'Detailed Budget'!$AC$12</f>
        <v>292876014141.44696</v>
      </c>
      <c r="CR555" s="269">
        <f t="shared" si="1393"/>
        <v>0</v>
      </c>
      <c r="CS555" s="269">
        <f>'Detailed Budget'!$AC$16</f>
        <v>10488008800.000002</v>
      </c>
      <c r="CT555" s="607">
        <f t="shared" si="1436"/>
        <v>0</v>
      </c>
      <c r="CU555" s="269">
        <f>'Detailed Budget'!$AC$24</f>
        <v>30624985696</v>
      </c>
      <c r="CV555" s="269">
        <f t="shared" si="1424"/>
        <v>0</v>
      </c>
      <c r="CW555" s="269"/>
      <c r="CX555" s="269">
        <f t="shared" si="1379"/>
        <v>0</v>
      </c>
      <c r="CY555" s="196">
        <f>'Detailed Budget'!$AC$97</f>
        <v>74629165494.837845</v>
      </c>
      <c r="CZ555" s="269">
        <f t="shared" si="1437"/>
        <v>78277440.153718784</v>
      </c>
      <c r="DA555" s="269">
        <f>'Detailed Budget'!$AC$100</f>
        <v>14925833098.967569</v>
      </c>
      <c r="DB555" s="269">
        <f t="shared" si="1438"/>
        <v>15655488.030743757</v>
      </c>
      <c r="DC555" s="269">
        <f t="shared" si="1368"/>
        <v>93932928.184462547</v>
      </c>
      <c r="DD555" s="207">
        <v>0</v>
      </c>
      <c r="DE555" s="606">
        <v>0</v>
      </c>
      <c r="DF555" s="269">
        <f>'Detailed Budget'!$AC$147</f>
        <v>5913600671000</v>
      </c>
      <c r="DG555" s="269">
        <f t="shared" si="1419"/>
        <v>0</v>
      </c>
      <c r="DH555" s="269">
        <f>'Detailed Budget'!$AC$153</f>
        <v>226428026880.00003</v>
      </c>
      <c r="DI555" s="269"/>
      <c r="DJ555" s="269">
        <f>'Detailed Budget'!$AC$156</f>
        <v>27713070000</v>
      </c>
      <c r="DK555" s="269"/>
      <c r="DL555" s="269"/>
      <c r="DM555" s="196">
        <f>'Detailed Budget'!$AC$178</f>
        <v>5622683761.6229038</v>
      </c>
      <c r="DN555" s="269">
        <f t="shared" si="1497"/>
        <v>0</v>
      </c>
      <c r="DO555" s="196">
        <f>'Detailed Budget'!$AC$179</f>
        <v>26827890683.128094</v>
      </c>
      <c r="DP555" s="269">
        <f t="shared" si="1498"/>
        <v>0</v>
      </c>
      <c r="DQ555" s="269">
        <f t="shared" si="1388"/>
        <v>0</v>
      </c>
      <c r="DR555" s="269">
        <f>'Detailed Budget'!$AC$181</f>
        <v>50888946855.375237</v>
      </c>
      <c r="DS555" s="269">
        <f t="shared" si="1499"/>
        <v>0</v>
      </c>
      <c r="DT555" s="269">
        <f t="shared" si="1500"/>
        <v>0</v>
      </c>
      <c r="DU555" s="272">
        <f>'Detailed Budget'!$AC$192</f>
        <v>77498869683.252869</v>
      </c>
      <c r="DV555" s="269">
        <f t="shared" si="1439"/>
        <v>65099627.191810124</v>
      </c>
      <c r="DW555" s="140">
        <f>'Detailed Budget'!$AC$194</f>
        <v>2684962805.4134097</v>
      </c>
      <c r="DX555" s="269">
        <f t="shared" si="1440"/>
        <v>2255388.7349670716</v>
      </c>
      <c r="DY555" s="607">
        <f t="shared" si="1369"/>
        <v>67355015.926777199</v>
      </c>
      <c r="DZ555" s="196">
        <f>'Detailed Budget'!$AC$198</f>
        <v>18732540018.380611</v>
      </c>
      <c r="EA555" s="269">
        <f t="shared" si="1481"/>
        <v>15592688.806687014</v>
      </c>
      <c r="EB555" s="196">
        <f>'Detailed Budget'!$AC$200</f>
        <v>4683135004.5951529</v>
      </c>
      <c r="EC555" s="269">
        <f t="shared" si="1442"/>
        <v>3898172.2016717535</v>
      </c>
      <c r="ED555" s="269">
        <f t="shared" si="1370"/>
        <v>19490861.008358769</v>
      </c>
      <c r="EE555" s="196">
        <f>'Detailed Budget'!$AC$161</f>
        <v>251147290106.36197</v>
      </c>
      <c r="EF555" s="269">
        <f t="shared" si="1443"/>
        <v>210965592.43999681</v>
      </c>
      <c r="EG555" s="196">
        <f>'Detailed Budget'!$AC$163</f>
        <v>15696705631.647623</v>
      </c>
      <c r="EH555" s="269">
        <f t="shared" si="1444"/>
        <v>13185349.527499801</v>
      </c>
      <c r="EI555" s="269">
        <f t="shared" si="1371"/>
        <v>224150941.9674966</v>
      </c>
      <c r="EJ555" s="196">
        <f>'Detailed Budget'!$AC$204</f>
        <v>45012172507.531975</v>
      </c>
      <c r="EK555" s="269">
        <f t="shared" si="1445"/>
        <v>21428351.112412818</v>
      </c>
      <c r="EL555" s="201">
        <f>'Detailed Budget'!$AC$206</f>
        <v>11253043126.882994</v>
      </c>
      <c r="EM555" s="269">
        <f t="shared" si="1446"/>
        <v>5357087.7781032044</v>
      </c>
      <c r="EN555" s="269">
        <f t="shared" si="1372"/>
        <v>26785438.89051602</v>
      </c>
      <c r="EO555" s="140">
        <f>'Detailed Budget'!$AC$209</f>
        <v>135789361677.54817</v>
      </c>
      <c r="EP555" s="269">
        <f t="shared" si="1447"/>
        <v>77663014.685875192</v>
      </c>
      <c r="EQ555" s="196">
        <f>'Detailed Budget'!$AC$211</f>
        <v>33947340419.387043</v>
      </c>
      <c r="ER555" s="269">
        <f t="shared" si="1448"/>
        <v>19415753.671468798</v>
      </c>
      <c r="ES555" s="269">
        <f t="shared" si="1373"/>
        <v>97078768.357343987</v>
      </c>
      <c r="ET555" s="196">
        <f>'Detailed Budget'!$AC$214</f>
        <v>22239745544.201103</v>
      </c>
      <c r="EU555" s="269">
        <f t="shared" si="1449"/>
        <v>12353055.538617507</v>
      </c>
      <c r="EV555" s="140">
        <f>'Detailed Budget'!$AC$217</f>
        <v>5559936386.0502758</v>
      </c>
      <c r="EW555" s="269">
        <f t="shared" si="1450"/>
        <v>3088263.8846543767</v>
      </c>
      <c r="EX555" s="269">
        <f t="shared" si="1374"/>
        <v>15441319.423271883</v>
      </c>
      <c r="EY555" s="196">
        <f>'Detailed Budget'!$AC$219</f>
        <v>372777004.58170313</v>
      </c>
      <c r="EZ555" s="269">
        <f t="shared" si="1451"/>
        <v>216763.68724734359</v>
      </c>
      <c r="FA555" s="196">
        <f>'Detailed Budget'!$AC$222</f>
        <v>93194251.145425782</v>
      </c>
      <c r="FB555" s="269">
        <f t="shared" si="1452"/>
        <v>54190.921811835899</v>
      </c>
      <c r="FC555" s="269">
        <f t="shared" si="1375"/>
        <v>270954.60905917949</v>
      </c>
      <c r="FD555" s="269"/>
      <c r="FE555" s="269">
        <f t="shared" si="1376"/>
        <v>139576481.28019109</v>
      </c>
      <c r="FF555" s="140"/>
      <c r="FG555" s="1087">
        <f t="shared" si="1420"/>
        <v>190391559.57132447</v>
      </c>
      <c r="FJ555" s="140">
        <f>'Detailed Budget'!$AC$235</f>
        <v>3623696172</v>
      </c>
      <c r="FK555" s="269">
        <f t="shared" si="1482"/>
        <v>4681778</v>
      </c>
      <c r="FL555" s="269">
        <f t="shared" si="1421"/>
        <v>4681778</v>
      </c>
      <c r="FO555" s="607"/>
      <c r="FP555" s="607"/>
      <c r="FQ555" s="607"/>
      <c r="FR555" s="269">
        <f>'Detailed Budget'!$AC$257</f>
        <v>13636439388</v>
      </c>
      <c r="FS555" s="269">
        <f t="shared" si="1483"/>
        <v>9493692</v>
      </c>
      <c r="FT555" s="269">
        <f t="shared" si="1422"/>
        <v>9493692</v>
      </c>
      <c r="FU555" s="269"/>
      <c r="FV555" s="269"/>
      <c r="FW555" s="269"/>
      <c r="FX555" s="140">
        <f>'Detailed Budget'!$AC$278</f>
        <v>1114560000</v>
      </c>
      <c r="FY555" s="269">
        <f t="shared" si="1484"/>
        <v>1440000</v>
      </c>
      <c r="FZ555" s="269">
        <f t="shared" si="1423"/>
        <v>1440000</v>
      </c>
      <c r="GB555" s="269">
        <f t="shared" si="1431"/>
        <v>750513257.93861067</v>
      </c>
      <c r="GC555" s="887">
        <f t="shared" si="1377"/>
        <v>469070.78621163167</v>
      </c>
      <c r="GD555" s="1078">
        <f t="shared" si="1432"/>
        <v>4.2113662201860488E-4</v>
      </c>
    </row>
    <row r="556" spans="1:186" hidden="1" outlineLevel="1">
      <c r="A556" s="211" t="s">
        <v>1226</v>
      </c>
      <c r="B556" s="212" t="s">
        <v>1227</v>
      </c>
      <c r="C556" s="213" t="s">
        <v>215</v>
      </c>
      <c r="D556" s="214"/>
      <c r="E556" s="213"/>
      <c r="F556" s="213"/>
      <c r="G556" s="213" t="s">
        <v>215</v>
      </c>
      <c r="H556" s="213" t="s">
        <v>215</v>
      </c>
      <c r="I556" s="214" t="s">
        <v>215</v>
      </c>
      <c r="J556" s="214"/>
      <c r="K556" s="213"/>
      <c r="L556" s="213"/>
      <c r="M556" s="214" t="s">
        <v>215</v>
      </c>
      <c r="N556" s="213"/>
      <c r="O556" s="214"/>
      <c r="P556" s="213"/>
      <c r="Q556" s="214"/>
      <c r="R556" s="214" t="s">
        <v>215</v>
      </c>
      <c r="S556" s="214"/>
      <c r="T556" s="214"/>
      <c r="U556" s="215">
        <f t="shared" si="1502"/>
        <v>6</v>
      </c>
      <c r="V556" s="845" t="s">
        <v>216</v>
      </c>
      <c r="W556" s="216">
        <v>149737</v>
      </c>
      <c r="X556" s="217">
        <v>3.19</v>
      </c>
      <c r="Y556" s="218">
        <f t="shared" si="1477"/>
        <v>1.0319</v>
      </c>
      <c r="Z556" s="196">
        <v>19</v>
      </c>
      <c r="AA556" s="218">
        <f t="shared" si="1478"/>
        <v>1.8159949505681734</v>
      </c>
      <c r="AB556" s="196">
        <f t="shared" si="1475"/>
        <v>271921.63591322658</v>
      </c>
      <c r="AC556">
        <v>11.8</v>
      </c>
      <c r="AD556" s="196">
        <f t="shared" si="1476"/>
        <v>32086.753037760736</v>
      </c>
      <c r="AE556" s="196">
        <f t="shared" si="1479"/>
        <v>30482.415385872697</v>
      </c>
      <c r="AF556" s="196">
        <f t="shared" si="1485"/>
        <v>0</v>
      </c>
      <c r="AG556" s="606">
        <f t="shared" si="1380"/>
        <v>1.4093730671317797E-3</v>
      </c>
      <c r="AH556" s="196">
        <f t="shared" si="1501"/>
        <v>13596.08179566133</v>
      </c>
      <c r="AI556" s="248">
        <f t="shared" si="1359"/>
        <v>1.0532678566338262E-3</v>
      </c>
      <c r="AJ556" s="196">
        <f t="shared" si="1360"/>
        <v>45682.834833422065</v>
      </c>
      <c r="AK556" s="196">
        <f t="shared" si="1391"/>
        <v>10876.865436529064</v>
      </c>
      <c r="AL556" s="196">
        <f t="shared" si="1392"/>
        <v>10876.865436529064</v>
      </c>
      <c r="AM556" s="196">
        <f t="shared" si="1361"/>
        <v>21753.730873058128</v>
      </c>
      <c r="AN556" s="627">
        <f t="shared" si="1362"/>
        <v>1.0532678566338262E-3</v>
      </c>
      <c r="AO556" s="196">
        <f t="shared" si="1363"/>
        <v>10333.02216470261</v>
      </c>
      <c r="AP556" s="589">
        <f t="shared" si="1381"/>
        <v>1.0532678566338262E-3</v>
      </c>
      <c r="AQ556" s="196"/>
      <c r="AR556" s="589"/>
      <c r="AS556">
        <v>1</v>
      </c>
      <c r="AT556" s="589">
        <f t="shared" si="1382"/>
        <v>1.2919896640826874E-3</v>
      </c>
      <c r="AU556" s="196">
        <v>12</v>
      </c>
      <c r="AV556" s="245"/>
      <c r="AX556" s="245"/>
      <c r="AY556" s="245"/>
      <c r="AZ556" s="196">
        <v>37</v>
      </c>
      <c r="BA556" s="589">
        <f t="shared" si="1425"/>
        <v>1.3557583085999048E-3</v>
      </c>
      <c r="BI556" s="196">
        <v>0</v>
      </c>
      <c r="BK556" s="246">
        <f t="shared" si="1426"/>
        <v>0</v>
      </c>
      <c r="BL556" s="246"/>
      <c r="BM556" s="246">
        <f t="shared" si="1427"/>
        <v>0</v>
      </c>
      <c r="BN556" s="196">
        <v>1</v>
      </c>
      <c r="BO556" s="196">
        <f t="shared" si="1486"/>
        <v>14059.23059524444</v>
      </c>
      <c r="BP556" s="196">
        <f t="shared" si="1365"/>
        <v>14059.23059524444</v>
      </c>
      <c r="BQ556" s="248">
        <f t="shared" si="1428"/>
        <v>1.3151755518912801E-3</v>
      </c>
      <c r="BR556" s="248"/>
      <c r="BS556" s="248"/>
      <c r="BT556" s="276">
        <v>0</v>
      </c>
      <c r="BU556" s="196">
        <f t="shared" si="1487"/>
        <v>0</v>
      </c>
      <c r="BV556" s="264">
        <f t="shared" si="1429"/>
        <v>0</v>
      </c>
      <c r="BW556" s="196">
        <f t="shared" si="1488"/>
        <v>0</v>
      </c>
      <c r="BX556" s="247">
        <f t="shared" si="1430"/>
        <v>0</v>
      </c>
      <c r="BY556" s="196">
        <f t="shared" si="1489"/>
        <v>0</v>
      </c>
      <c r="BZ556" s="620">
        <v>1</v>
      </c>
      <c r="CA556" s="196">
        <f t="shared" si="1490"/>
        <v>83208.020589447333</v>
      </c>
      <c r="CB556" s="196">
        <f t="shared" si="1491"/>
        <v>166416.04117889467</v>
      </c>
      <c r="CC556" s="196">
        <f t="shared" si="1378"/>
        <v>249624.06176834198</v>
      </c>
      <c r="CD556" s="247">
        <f t="shared" si="1366"/>
        <v>1.053267856633826E-3</v>
      </c>
      <c r="CE556" s="196">
        <f t="shared" si="1492"/>
        <v>24169.414178076131</v>
      </c>
      <c r="CF556" s="247">
        <f t="shared" si="1367"/>
        <v>1.0437104697742037E-3</v>
      </c>
      <c r="CG556" s="196">
        <f t="shared" si="1434"/>
        <v>41332.08865881044</v>
      </c>
      <c r="CH556" s="589">
        <f t="shared" si="1383"/>
        <v>1.0532678566338262E-3</v>
      </c>
      <c r="CI556" s="196">
        <f t="shared" si="1493"/>
        <v>36308.869801085595</v>
      </c>
      <c r="CJ556" s="248">
        <f t="shared" si="1384"/>
        <v>5.9691772736575007E-4</v>
      </c>
      <c r="CK556" s="196">
        <f t="shared" si="1494"/>
        <v>49887.314735927066</v>
      </c>
      <c r="CL556" s="589">
        <f t="shared" si="1385"/>
        <v>7.1714041071180333E-4</v>
      </c>
      <c r="CM556" s="196">
        <f t="shared" si="1495"/>
        <v>4832.8358786953149</v>
      </c>
      <c r="CN556" s="589">
        <f t="shared" si="1386"/>
        <v>6.9646657361328336E-4</v>
      </c>
      <c r="CO556" s="196">
        <f t="shared" si="1496"/>
        <v>386.62229533502563</v>
      </c>
      <c r="CP556" s="589">
        <f t="shared" si="1387"/>
        <v>7.2911009820547732E-4</v>
      </c>
      <c r="CQ556" s="196">
        <f>'Detailed Budget'!$AC$12</f>
        <v>292876014141.44696</v>
      </c>
      <c r="CR556" s="269">
        <f t="shared" si="1393"/>
        <v>0</v>
      </c>
      <c r="CS556" s="269">
        <f>'Detailed Budget'!$AC$16</f>
        <v>10488008800.000002</v>
      </c>
      <c r="CT556" s="607">
        <f t="shared" si="1436"/>
        <v>0</v>
      </c>
      <c r="CU556" s="269">
        <f>'Detailed Budget'!$AC$24</f>
        <v>30624985696</v>
      </c>
      <c r="CV556" s="269">
        <f t="shared" si="1424"/>
        <v>0</v>
      </c>
      <c r="CW556" s="269"/>
      <c r="CX556" s="269">
        <f t="shared" si="1379"/>
        <v>0</v>
      </c>
      <c r="CY556" s="196">
        <f>'Detailed Budget'!$AC$97</f>
        <v>74629165494.837845</v>
      </c>
      <c r="CZ556" s="269">
        <f t="shared" si="1437"/>
        <v>98150453.916859046</v>
      </c>
      <c r="DA556" s="269">
        <f>'Detailed Budget'!$AC$100</f>
        <v>14925833098.967569</v>
      </c>
      <c r="DB556" s="269">
        <f t="shared" si="1438"/>
        <v>19630090.78337181</v>
      </c>
      <c r="DC556" s="269">
        <f t="shared" si="1368"/>
        <v>117780544.70023085</v>
      </c>
      <c r="DD556" s="207">
        <v>0</v>
      </c>
      <c r="DE556" s="606">
        <v>0</v>
      </c>
      <c r="DF556" s="269">
        <f>'Detailed Budget'!$AC$147</f>
        <v>5913600671000</v>
      </c>
      <c r="DG556" s="269">
        <f t="shared" si="1419"/>
        <v>0</v>
      </c>
      <c r="DH556" s="269">
        <f>'Detailed Budget'!$AC$153</f>
        <v>226428026880.00003</v>
      </c>
      <c r="DI556" s="269"/>
      <c r="DJ556" s="269">
        <f>'Detailed Budget'!$AC$156</f>
        <v>27713070000</v>
      </c>
      <c r="DK556" s="269"/>
      <c r="DL556" s="269"/>
      <c r="DM556" s="196">
        <f>'Detailed Budget'!$AC$178</f>
        <v>5622683761.6229038</v>
      </c>
      <c r="DN556" s="269">
        <f t="shared" si="1497"/>
        <v>0</v>
      </c>
      <c r="DO556" s="196">
        <f>'Detailed Budget'!$AC$179</f>
        <v>26827890683.128094</v>
      </c>
      <c r="DP556" s="269">
        <f t="shared" si="1498"/>
        <v>0</v>
      </c>
      <c r="DQ556" s="269">
        <f t="shared" si="1388"/>
        <v>0</v>
      </c>
      <c r="DR556" s="269">
        <f>'Detailed Budget'!$AC$181</f>
        <v>50888946855.375237</v>
      </c>
      <c r="DS556" s="269">
        <f t="shared" si="1499"/>
        <v>0</v>
      </c>
      <c r="DT556" s="269">
        <f t="shared" si="1500"/>
        <v>0</v>
      </c>
      <c r="DU556" s="272">
        <f>'Detailed Budget'!$AC$192</f>
        <v>77498869683.252869</v>
      </c>
      <c r="DV556" s="269">
        <f t="shared" si="1439"/>
        <v>81627068.362823948</v>
      </c>
      <c r="DW556" s="140">
        <f>'Detailed Budget'!$AC$194</f>
        <v>2684962805.4134097</v>
      </c>
      <c r="DX556" s="269">
        <f t="shared" si="1440"/>
        <v>2827985.0191993271</v>
      </c>
      <c r="DY556" s="607">
        <f t="shared" si="1369"/>
        <v>84455053.382023275</v>
      </c>
      <c r="DZ556" s="196">
        <f>'Detailed Budget'!$AC$198</f>
        <v>18732540018.380611</v>
      </c>
      <c r="EA556" s="269">
        <f t="shared" si="1481"/>
        <v>19551348.142648097</v>
      </c>
      <c r="EB556" s="196">
        <f>'Detailed Budget'!$AC$200</f>
        <v>4683135004.5951529</v>
      </c>
      <c r="EC556" s="269">
        <f t="shared" si="1442"/>
        <v>4887837.0356620243</v>
      </c>
      <c r="ED556" s="269">
        <f t="shared" si="1370"/>
        <v>24439185.178310122</v>
      </c>
      <c r="EE556" s="196">
        <f>'Detailed Budget'!$AC$161</f>
        <v>251147290106.36197</v>
      </c>
      <c r="EF556" s="269">
        <f t="shared" si="1443"/>
        <v>264525367.94972163</v>
      </c>
      <c r="EG556" s="196">
        <f>'Detailed Budget'!$AC$163</f>
        <v>15696705631.647623</v>
      </c>
      <c r="EH556" s="269">
        <f t="shared" si="1444"/>
        <v>16532835.496857602</v>
      </c>
      <c r="EI556" s="269">
        <f t="shared" si="1371"/>
        <v>281058203.44657922</v>
      </c>
      <c r="EJ556" s="196">
        <f>'Detailed Budget'!$AC$204</f>
        <v>45012172507.531975</v>
      </c>
      <c r="EK556" s="269">
        <f t="shared" si="1445"/>
        <v>26868563.716991082</v>
      </c>
      <c r="EL556" s="201">
        <f>'Detailed Budget'!$AC$206</f>
        <v>11253043126.882994</v>
      </c>
      <c r="EM556" s="269">
        <f t="shared" si="1446"/>
        <v>6717140.9292477705</v>
      </c>
      <c r="EN556" s="269">
        <f t="shared" si="1372"/>
        <v>33585704.646238849</v>
      </c>
      <c r="EO556" s="140">
        <f>'Detailed Budget'!$AC$209</f>
        <v>135789361677.54817</v>
      </c>
      <c r="EP556" s="269">
        <f t="shared" si="1447"/>
        <v>97380038.6037305</v>
      </c>
      <c r="EQ556" s="196">
        <f>'Detailed Budget'!$AC$211</f>
        <v>33947340419.387043</v>
      </c>
      <c r="ER556" s="269">
        <f t="shared" si="1448"/>
        <v>24345009.650932625</v>
      </c>
      <c r="ES556" s="269">
        <f t="shared" si="1373"/>
        <v>121725048.25466312</v>
      </c>
      <c r="ET556" s="196">
        <f>'Detailed Budget'!$AC$214</f>
        <v>22239745544.201103</v>
      </c>
      <c r="EU556" s="269">
        <f t="shared" si="1449"/>
        <v>15489239.377201028</v>
      </c>
      <c r="EV556" s="140">
        <f>'Detailed Budget'!$AC$217</f>
        <v>5559936386.0502758</v>
      </c>
      <c r="EW556" s="269">
        <f t="shared" si="1450"/>
        <v>3872309.844300257</v>
      </c>
      <c r="EX556" s="269">
        <f t="shared" si="1374"/>
        <v>19361549.221501283</v>
      </c>
      <c r="EY556" s="196">
        <f>'Detailed Budget'!$AC$219</f>
        <v>372777004.58170313</v>
      </c>
      <c r="EZ556" s="269">
        <f t="shared" si="1451"/>
        <v>271795.47841930925</v>
      </c>
      <c r="FA556" s="196">
        <f>'Detailed Budget'!$AC$222</f>
        <v>93194251.145425782</v>
      </c>
      <c r="FB556" s="269">
        <f t="shared" si="1452"/>
        <v>67948.869604827312</v>
      </c>
      <c r="FC556" s="269">
        <f t="shared" si="1375"/>
        <v>339744.34802413656</v>
      </c>
      <c r="FD556" s="269"/>
      <c r="FE556" s="269">
        <f t="shared" si="1376"/>
        <v>175012046.47042739</v>
      </c>
      <c r="FF556" s="140"/>
      <c r="FG556" s="1087">
        <f t="shared" si="1420"/>
        <v>238728016.10741511</v>
      </c>
      <c r="FJ556" s="140">
        <f>'Detailed Budget'!$AC$235</f>
        <v>3623696172</v>
      </c>
      <c r="FK556" s="269">
        <f t="shared" si="1482"/>
        <v>4681778</v>
      </c>
      <c r="FL556" s="269">
        <f t="shared" si="1421"/>
        <v>4681778</v>
      </c>
      <c r="FO556" s="607"/>
      <c r="FP556" s="607"/>
      <c r="FQ556" s="607"/>
      <c r="FR556" s="269">
        <f>'Detailed Budget'!$AC$257</f>
        <v>13636439388</v>
      </c>
      <c r="FS556" s="269">
        <f t="shared" si="1483"/>
        <v>18487716</v>
      </c>
      <c r="FT556" s="269">
        <f t="shared" si="1422"/>
        <v>18487716</v>
      </c>
      <c r="FU556" s="269"/>
      <c r="FV556" s="269"/>
      <c r="FW556" s="269"/>
      <c r="FX556" s="140">
        <f>'Detailed Budget'!$AC$278</f>
        <v>1114560000</v>
      </c>
      <c r="FY556" s="269">
        <f t="shared" si="1484"/>
        <v>1440000</v>
      </c>
      <c r="FZ556" s="269">
        <f t="shared" si="1423"/>
        <v>1440000</v>
      </c>
      <c r="GB556" s="269">
        <f t="shared" si="1431"/>
        <v>946082543.2849859</v>
      </c>
      <c r="GC556" s="887">
        <f t="shared" si="1377"/>
        <v>591301.58955311624</v>
      </c>
      <c r="GD556" s="1078">
        <f t="shared" si="1432"/>
        <v>5.3087670632781764E-4</v>
      </c>
    </row>
    <row r="557" spans="1:186" hidden="1" outlineLevel="1">
      <c r="A557" s="211" t="s">
        <v>1228</v>
      </c>
      <c r="B557" s="212" t="s">
        <v>1229</v>
      </c>
      <c r="C557" s="213" t="s">
        <v>215</v>
      </c>
      <c r="D557" s="214"/>
      <c r="E557" s="213"/>
      <c r="F557" s="213"/>
      <c r="G557" s="213" t="s">
        <v>215</v>
      </c>
      <c r="H557" s="213" t="s">
        <v>215</v>
      </c>
      <c r="I557" s="214" t="s">
        <v>215</v>
      </c>
      <c r="J557" s="214"/>
      <c r="K557" s="213"/>
      <c r="L557" s="213"/>
      <c r="M557" s="214" t="s">
        <v>215</v>
      </c>
      <c r="N557" s="213"/>
      <c r="O557" s="214"/>
      <c r="P557" s="213"/>
      <c r="Q557" s="214"/>
      <c r="R557" s="214" t="s">
        <v>215</v>
      </c>
      <c r="S557" s="214"/>
      <c r="T557" s="214"/>
      <c r="U557" s="215">
        <f t="shared" si="1502"/>
        <v>6</v>
      </c>
      <c r="V557" s="845" t="s">
        <v>216</v>
      </c>
      <c r="W557" s="216">
        <v>197921</v>
      </c>
      <c r="X557" s="217">
        <v>3.19</v>
      </c>
      <c r="Y557" s="218">
        <f t="shared" si="1477"/>
        <v>1.0319</v>
      </c>
      <c r="Z557" s="196">
        <v>19</v>
      </c>
      <c r="AA557" s="218">
        <f t="shared" si="1478"/>
        <v>1.8159949505681734</v>
      </c>
      <c r="AB557" s="196">
        <f t="shared" si="1475"/>
        <v>359423.53661140346</v>
      </c>
      <c r="AC557">
        <v>11.8</v>
      </c>
      <c r="AD557" s="196">
        <f t="shared" si="1476"/>
        <v>42411.977320145612</v>
      </c>
      <c r="AE557" s="196">
        <f t="shared" si="1479"/>
        <v>40291.378454138328</v>
      </c>
      <c r="AF557" s="196">
        <f t="shared" si="1485"/>
        <v>0</v>
      </c>
      <c r="AG557" s="606">
        <f t="shared" si="1380"/>
        <v>1.8628964572536448E-3</v>
      </c>
      <c r="AH557" s="196">
        <f t="shared" si="1501"/>
        <v>17971.176830570173</v>
      </c>
      <c r="AI557" s="248">
        <f t="shared" ref="AI557:AI618" si="1503">AH557/12908475</f>
        <v>1.3921998400717494E-3</v>
      </c>
      <c r="AJ557" s="196">
        <f t="shared" si="1360"/>
        <v>60383.154150715782</v>
      </c>
      <c r="AK557" s="196">
        <f t="shared" si="1391"/>
        <v>14376.941464456138</v>
      </c>
      <c r="AL557" s="196">
        <f t="shared" si="1392"/>
        <v>14376.941464456138</v>
      </c>
      <c r="AM557" s="196">
        <f t="shared" si="1361"/>
        <v>28753.882928912277</v>
      </c>
      <c r="AN557" s="627">
        <f t="shared" si="1362"/>
        <v>1.3921998400717491E-3</v>
      </c>
      <c r="AO557" s="196">
        <f t="shared" si="1363"/>
        <v>13658.094391233331</v>
      </c>
      <c r="AP557" s="589">
        <f t="shared" si="1381"/>
        <v>1.3921998400717491E-3</v>
      </c>
      <c r="AQ557" s="196"/>
      <c r="AR557" s="589"/>
      <c r="AS557">
        <v>1</v>
      </c>
      <c r="AT557" s="589">
        <f t="shared" si="1382"/>
        <v>1.2919896640826874E-3</v>
      </c>
      <c r="AU557" s="196">
        <v>12</v>
      </c>
      <c r="AV557" s="245"/>
      <c r="AX557" s="245"/>
      <c r="AY557" s="245"/>
      <c r="AZ557" s="196">
        <v>36</v>
      </c>
      <c r="BA557" s="589">
        <f t="shared" si="1425"/>
        <v>1.3191161921512586E-3</v>
      </c>
      <c r="BI557" s="196">
        <v>0</v>
      </c>
      <c r="BK557" s="246">
        <f t="shared" si="1426"/>
        <v>0</v>
      </c>
      <c r="BL557" s="246"/>
      <c r="BM557" s="246">
        <f t="shared" si="1427"/>
        <v>0</v>
      </c>
      <c r="BN557" s="196">
        <v>1</v>
      </c>
      <c r="BO557" s="196">
        <f t="shared" si="1486"/>
        <v>18583.362686853452</v>
      </c>
      <c r="BP557" s="196">
        <f t="shared" si="1365"/>
        <v>18583.362686853452</v>
      </c>
      <c r="BQ557" s="248">
        <f t="shared" si="1428"/>
        <v>1.738387041318272E-3</v>
      </c>
      <c r="BR557" s="248"/>
      <c r="BS557" s="248"/>
      <c r="BT557" s="276">
        <v>0</v>
      </c>
      <c r="BU557" s="196">
        <f t="shared" si="1487"/>
        <v>0</v>
      </c>
      <c r="BV557" s="264">
        <f t="shared" si="1429"/>
        <v>0</v>
      </c>
      <c r="BW557" s="196">
        <f t="shared" si="1488"/>
        <v>0</v>
      </c>
      <c r="BX557" s="247">
        <f t="shared" si="1430"/>
        <v>0</v>
      </c>
      <c r="BY557" s="196">
        <f t="shared" si="1489"/>
        <v>0</v>
      </c>
      <c r="BZ557" s="620">
        <v>1</v>
      </c>
      <c r="CA557" s="196">
        <f t="shared" si="1490"/>
        <v>109983.60220308947</v>
      </c>
      <c r="CB557" s="196">
        <f t="shared" si="1491"/>
        <v>219967.20440617893</v>
      </c>
      <c r="CC557" s="196">
        <f t="shared" si="1378"/>
        <v>329950.80660926842</v>
      </c>
      <c r="CD557" s="247">
        <f t="shared" si="1366"/>
        <v>1.3921998400717494E-3</v>
      </c>
      <c r="CE557" s="196">
        <f t="shared" si="1492"/>
        <v>31946.91107434372</v>
      </c>
      <c r="CF557" s="247">
        <f t="shared" si="1367"/>
        <v>1.3795669733478043E-3</v>
      </c>
      <c r="CG557" s="196">
        <f t="shared" si="1434"/>
        <v>54632.377564933326</v>
      </c>
      <c r="CH557" s="589">
        <f t="shared" si="1383"/>
        <v>1.3921998400717491E-3</v>
      </c>
      <c r="CI557" s="196">
        <f t="shared" si="1493"/>
        <v>47992.732724047251</v>
      </c>
      <c r="CJ557" s="248">
        <f t="shared" si="1384"/>
        <v>7.8900040416167438E-4</v>
      </c>
      <c r="CK557" s="196">
        <f t="shared" si="1494"/>
        <v>65940.597312951533</v>
      </c>
      <c r="CL557" s="589">
        <f t="shared" si="1385"/>
        <v>9.4790964977587951E-4</v>
      </c>
      <c r="CM557" s="196">
        <f t="shared" si="1495"/>
        <v>6387.9983567672361</v>
      </c>
      <c r="CN557" s="589">
        <f t="shared" si="1386"/>
        <v>9.2058316058231892E-4</v>
      </c>
      <c r="CO557" s="196">
        <f t="shared" si="1496"/>
        <v>511.0338214002125</v>
      </c>
      <c r="CP557" s="589">
        <f t="shared" si="1387"/>
        <v>9.6373107346164476E-4</v>
      </c>
      <c r="CQ557" s="196">
        <f>'Detailed Budget'!$AC$12</f>
        <v>292876014141.44696</v>
      </c>
      <c r="CR557" s="269">
        <f t="shared" si="1393"/>
        <v>0</v>
      </c>
      <c r="CS557" s="269">
        <f>'Detailed Budget'!$AC$16</f>
        <v>10488008800.000002</v>
      </c>
      <c r="CT557" s="607">
        <f t="shared" si="1436"/>
        <v>0</v>
      </c>
      <c r="CU557" s="269">
        <f>'Detailed Budget'!$AC$24</f>
        <v>30624985696</v>
      </c>
      <c r="CV557" s="269">
        <f t="shared" si="1424"/>
        <v>0</v>
      </c>
      <c r="CW557" s="269"/>
      <c r="CX557" s="269">
        <f t="shared" si="1379"/>
        <v>0</v>
      </c>
      <c r="CY557" s="196">
        <f>'Detailed Budget'!$AC$97</f>
        <v>74629165494.837845</v>
      </c>
      <c r="CZ557" s="269">
        <f t="shared" si="1437"/>
        <v>129734374.20062284</v>
      </c>
      <c r="DA557" s="269">
        <f>'Detailed Budget'!$AC$100</f>
        <v>14925833098.967569</v>
      </c>
      <c r="DB557" s="269">
        <f t="shared" si="1438"/>
        <v>25946874.84012457</v>
      </c>
      <c r="DC557" s="269">
        <f t="shared" si="1368"/>
        <v>155681249.0407474</v>
      </c>
      <c r="DD557" s="207">
        <v>0</v>
      </c>
      <c r="DE557" s="606">
        <v>0</v>
      </c>
      <c r="DF557" s="269">
        <f>'Detailed Budget'!$AC$147</f>
        <v>5913600671000</v>
      </c>
      <c r="DG557" s="269">
        <f t="shared" si="1419"/>
        <v>0</v>
      </c>
      <c r="DH557" s="269">
        <f>'Detailed Budget'!$AC$153</f>
        <v>226428026880.00003</v>
      </c>
      <c r="DI557" s="269"/>
      <c r="DJ557" s="269">
        <f>'Detailed Budget'!$AC$156</f>
        <v>27713070000</v>
      </c>
      <c r="DK557" s="269"/>
      <c r="DL557" s="269"/>
      <c r="DM557" s="196">
        <f>'Detailed Budget'!$AC$178</f>
        <v>5622683761.6229038</v>
      </c>
      <c r="DN557" s="269">
        <f t="shared" si="1497"/>
        <v>0</v>
      </c>
      <c r="DO557" s="196">
        <f>'Detailed Budget'!$AC$179</f>
        <v>26827890683.128094</v>
      </c>
      <c r="DP557" s="269">
        <f t="shared" si="1498"/>
        <v>0</v>
      </c>
      <c r="DQ557" s="269">
        <f t="shared" si="1388"/>
        <v>0</v>
      </c>
      <c r="DR557" s="269">
        <f>'Detailed Budget'!$AC$181</f>
        <v>50888946855.375237</v>
      </c>
      <c r="DS557" s="269">
        <f t="shared" si="1499"/>
        <v>0</v>
      </c>
      <c r="DT557" s="269">
        <f t="shared" si="1500"/>
        <v>0</v>
      </c>
      <c r="DU557" s="272">
        <f>'Detailed Budget'!$AC$192</f>
        <v>77498869683.252869</v>
      </c>
      <c r="DV557" s="269">
        <f t="shared" si="1439"/>
        <v>107893913.97876599</v>
      </c>
      <c r="DW557" s="140">
        <f>'Detailed Budget'!$AC$194</f>
        <v>2684962805.4134097</v>
      </c>
      <c r="DX557" s="269">
        <f t="shared" si="1440"/>
        <v>3738004.7882951437</v>
      </c>
      <c r="DY557" s="607">
        <f t="shared" si="1369"/>
        <v>111631918.76706114</v>
      </c>
      <c r="DZ557" s="196">
        <f>'Detailed Budget'!$AC$198</f>
        <v>18732540018.380611</v>
      </c>
      <c r="EA557" s="269">
        <f t="shared" si="1481"/>
        <v>25842793.536273964</v>
      </c>
      <c r="EB557" s="196">
        <f>'Detailed Budget'!$AC$200</f>
        <v>4683135004.5951529</v>
      </c>
      <c r="EC557" s="269">
        <f t="shared" si="1442"/>
        <v>6460698.3840684909</v>
      </c>
      <c r="ED557" s="269">
        <f t="shared" si="1370"/>
        <v>32303491.920342453</v>
      </c>
      <c r="EE557" s="196">
        <f>'Detailed Budget'!$AC$161</f>
        <v>251147290106.36197</v>
      </c>
      <c r="EF557" s="269">
        <f t="shared" si="1443"/>
        <v>349647217.12053031</v>
      </c>
      <c r="EG557" s="196">
        <f>'Detailed Budget'!$AC$163</f>
        <v>15696705631.647623</v>
      </c>
      <c r="EH557" s="269">
        <f t="shared" si="1444"/>
        <v>21852951.070033144</v>
      </c>
      <c r="EI557" s="269">
        <f t="shared" si="1371"/>
        <v>371500168.19056344</v>
      </c>
      <c r="EJ557" s="196">
        <f>'Detailed Budget'!$AC$204</f>
        <v>45012172507.531975</v>
      </c>
      <c r="EK557" s="269">
        <f t="shared" si="1445"/>
        <v>35514622.300637737</v>
      </c>
      <c r="EL557" s="201">
        <f>'Detailed Budget'!$AC$206</f>
        <v>11253043126.882994</v>
      </c>
      <c r="EM557" s="269">
        <f t="shared" si="1446"/>
        <v>8878655.5751594342</v>
      </c>
      <c r="EN557" s="269">
        <f t="shared" si="1372"/>
        <v>44393277.875797167</v>
      </c>
      <c r="EO557" s="140">
        <f>'Detailed Budget'!$AC$209</f>
        <v>135789361677.54817</v>
      </c>
      <c r="EP557" s="269">
        <f t="shared" si="1447"/>
        <v>128716046.27105492</v>
      </c>
      <c r="EQ557" s="196">
        <f>'Detailed Budget'!$AC$211</f>
        <v>33947340419.387043</v>
      </c>
      <c r="ER557" s="269">
        <f t="shared" si="1448"/>
        <v>32179011.567763731</v>
      </c>
      <c r="ES557" s="269">
        <f t="shared" si="1373"/>
        <v>160895057.83881867</v>
      </c>
      <c r="ET557" s="196">
        <f>'Detailed Budget'!$AC$214</f>
        <v>22239745544.201103</v>
      </c>
      <c r="EU557" s="269">
        <f t="shared" si="1449"/>
        <v>20473535.243627194</v>
      </c>
      <c r="EV557" s="140">
        <f>'Detailed Budget'!$AC$217</f>
        <v>5559936386.0502758</v>
      </c>
      <c r="EW557" s="269">
        <f t="shared" si="1450"/>
        <v>5118383.8109067986</v>
      </c>
      <c r="EX557" s="269">
        <f t="shared" si="1374"/>
        <v>25591919.054533992</v>
      </c>
      <c r="EY557" s="196">
        <f>'Detailed Budget'!$AC$219</f>
        <v>372777004.58170313</v>
      </c>
      <c r="EZ557" s="269">
        <f t="shared" si="1451"/>
        <v>359256.78278734122</v>
      </c>
      <c r="FA557" s="196">
        <f>'Detailed Budget'!$AC$222</f>
        <v>93194251.145425782</v>
      </c>
      <c r="FB557" s="269">
        <f t="shared" si="1452"/>
        <v>89814.195696835304</v>
      </c>
      <c r="FC557" s="269">
        <f t="shared" si="1375"/>
        <v>449070.97848417651</v>
      </c>
      <c r="FD557" s="269"/>
      <c r="FE557" s="269">
        <f t="shared" si="1376"/>
        <v>231329325.74763399</v>
      </c>
      <c r="FF557" s="140"/>
      <c r="FG557" s="1087">
        <f t="shared" si="1420"/>
        <v>315548512.89925486</v>
      </c>
      <c r="FJ557" s="140">
        <f>'Detailed Budget'!$AC$235</f>
        <v>3623696172</v>
      </c>
      <c r="FK557" s="269">
        <f t="shared" si="1482"/>
        <v>4681778</v>
      </c>
      <c r="FL557" s="269">
        <f t="shared" si="1421"/>
        <v>4681778</v>
      </c>
      <c r="FO557" s="607"/>
      <c r="FP557" s="607"/>
      <c r="FQ557" s="607"/>
      <c r="FR557" s="269">
        <f>'Detailed Budget'!$AC$257</f>
        <v>13636439388</v>
      </c>
      <c r="FS557" s="269">
        <f t="shared" si="1483"/>
        <v>17988048</v>
      </c>
      <c r="FT557" s="269">
        <f t="shared" si="1422"/>
        <v>17988048</v>
      </c>
      <c r="FU557" s="269"/>
      <c r="FV557" s="269"/>
      <c r="FW557" s="269"/>
      <c r="FX557" s="140">
        <f>'Detailed Budget'!$AC$278</f>
        <v>1114560000</v>
      </c>
      <c r="FY557" s="269">
        <f t="shared" si="1484"/>
        <v>1440000</v>
      </c>
      <c r="FZ557" s="269">
        <f t="shared" si="1423"/>
        <v>1440000</v>
      </c>
      <c r="GB557" s="269">
        <f t="shared" si="1431"/>
        <v>1242104492.5656033</v>
      </c>
      <c r="GC557" s="887">
        <f t="shared" si="1377"/>
        <v>776315.30785350199</v>
      </c>
      <c r="GD557" s="1078">
        <f t="shared" si="1432"/>
        <v>6.969839435348107E-4</v>
      </c>
    </row>
    <row r="558" spans="1:186" hidden="1" outlineLevel="1">
      <c r="A558" s="211" t="s">
        <v>1230</v>
      </c>
      <c r="B558" s="212" t="s">
        <v>1231</v>
      </c>
      <c r="C558" s="213" t="s">
        <v>215</v>
      </c>
      <c r="D558" s="214"/>
      <c r="E558" s="213"/>
      <c r="F558" s="213"/>
      <c r="G558" s="213" t="s">
        <v>215</v>
      </c>
      <c r="H558" s="213" t="s">
        <v>215</v>
      </c>
      <c r="I558" s="214" t="s">
        <v>215</v>
      </c>
      <c r="J558" s="214"/>
      <c r="K558" s="213"/>
      <c r="L558" s="213"/>
      <c r="M558" s="214" t="s">
        <v>215</v>
      </c>
      <c r="N558" s="213"/>
      <c r="O558" s="214"/>
      <c r="P558" s="213"/>
      <c r="Q558" s="214"/>
      <c r="R558" s="214" t="s">
        <v>215</v>
      </c>
      <c r="S558" s="214"/>
      <c r="T558" s="214"/>
      <c r="U558" s="215">
        <f t="shared" si="1502"/>
        <v>6</v>
      </c>
      <c r="V558" s="845" t="s">
        <v>216</v>
      </c>
      <c r="W558" s="216">
        <v>164328</v>
      </c>
      <c r="X558" s="217">
        <v>3.19</v>
      </c>
      <c r="Y558" s="218">
        <f t="shared" si="1477"/>
        <v>1.0319</v>
      </c>
      <c r="Z558" s="196">
        <v>19</v>
      </c>
      <c r="AA558" s="218">
        <f t="shared" si="1478"/>
        <v>1.8159949505681734</v>
      </c>
      <c r="AB558" s="196">
        <f t="shared" si="1475"/>
        <v>298418.81823696679</v>
      </c>
      <c r="AC558">
        <v>11.8</v>
      </c>
      <c r="AD558" s="196">
        <f t="shared" si="1476"/>
        <v>35213.420551962081</v>
      </c>
      <c r="AE558" s="196">
        <f t="shared" si="1479"/>
        <v>33452.749524363979</v>
      </c>
      <c r="AF558" s="196">
        <f t="shared" si="1485"/>
        <v>0</v>
      </c>
      <c r="AG558" s="606">
        <f t="shared" si="1380"/>
        <v>1.5467082776844142E-3</v>
      </c>
      <c r="AH558" s="196">
        <f t="shared" si="1501"/>
        <v>14920.94091184834</v>
      </c>
      <c r="AI558" s="248">
        <f t="shared" si="1503"/>
        <v>1.1559026850072019E-3</v>
      </c>
      <c r="AJ558" s="196">
        <f t="shared" ref="AJ558:AJ619" si="1504">AD558+AH558</f>
        <v>50134.361463810419</v>
      </c>
      <c r="AK558" s="196">
        <f t="shared" si="1391"/>
        <v>11936.752729478672</v>
      </c>
      <c r="AL558" s="196">
        <f t="shared" si="1392"/>
        <v>11936.752729478672</v>
      </c>
      <c r="AM558" s="196">
        <f t="shared" ref="AM558:AM619" si="1505">AK558+AL558</f>
        <v>23873.505458957345</v>
      </c>
      <c r="AN558" s="627">
        <f t="shared" ref="AN558:AN619" si="1506">AM558/20653560</f>
        <v>1.1559026850072019E-3</v>
      </c>
      <c r="AO558" s="196">
        <f t="shared" ref="AO558:AO619" si="1507">AB558*0.038</f>
        <v>11339.915093004738</v>
      </c>
      <c r="AP558" s="589">
        <f t="shared" si="1381"/>
        <v>1.1559026850072019E-3</v>
      </c>
      <c r="AQ558" s="196"/>
      <c r="AR558" s="589"/>
      <c r="AS558">
        <v>1</v>
      </c>
      <c r="AT558" s="589">
        <f t="shared" si="1382"/>
        <v>1.2919896640826874E-3</v>
      </c>
      <c r="AU558" s="196">
        <v>11</v>
      </c>
      <c r="AV558" s="245"/>
      <c r="AX558" s="245"/>
      <c r="AY558" s="245"/>
      <c r="AZ558" s="196">
        <v>23</v>
      </c>
      <c r="BA558" s="589">
        <f t="shared" si="1425"/>
        <v>8.4276867831885966E-4</v>
      </c>
      <c r="BI558" s="196">
        <v>0</v>
      </c>
      <c r="BK558" s="246">
        <f t="shared" si="1426"/>
        <v>0</v>
      </c>
      <c r="BL558" s="246"/>
      <c r="BM558" s="246">
        <f t="shared" si="1427"/>
        <v>0</v>
      </c>
      <c r="BN558" s="196">
        <v>1</v>
      </c>
      <c r="BO558" s="196">
        <f t="shared" si="1486"/>
        <v>15429.220868959095</v>
      </c>
      <c r="BP558" s="196">
        <f t="shared" ref="BP558:BP619" si="1508">BN558*BO558</f>
        <v>15429.220868959095</v>
      </c>
      <c r="BQ558" s="248">
        <f t="shared" si="1428"/>
        <v>1.4433317622978305E-3</v>
      </c>
      <c r="BR558" s="248"/>
      <c r="BS558" s="248"/>
      <c r="BT558" s="276">
        <v>0</v>
      </c>
      <c r="BU558" s="196">
        <f t="shared" si="1487"/>
        <v>0</v>
      </c>
      <c r="BV558" s="264">
        <f t="shared" si="1429"/>
        <v>0</v>
      </c>
      <c r="BW558" s="196">
        <f t="shared" si="1488"/>
        <v>0</v>
      </c>
      <c r="BX558" s="247">
        <f t="shared" si="1430"/>
        <v>0</v>
      </c>
      <c r="BY558" s="196">
        <f t="shared" si="1489"/>
        <v>0</v>
      </c>
      <c r="BZ558" s="620">
        <v>1</v>
      </c>
      <c r="CA558" s="196">
        <f t="shared" si="1490"/>
        <v>91316.158380511843</v>
      </c>
      <c r="CB558" s="196">
        <f t="shared" si="1491"/>
        <v>182632.31676102369</v>
      </c>
      <c r="CC558" s="196">
        <f t="shared" si="1378"/>
        <v>273948.47514153551</v>
      </c>
      <c r="CD558" s="247">
        <f t="shared" ref="CD558:CD619" si="1509">CC558/236999601</f>
        <v>1.1559026850072019E-3</v>
      </c>
      <c r="CE558" s="196">
        <f t="shared" si="1492"/>
        <v>26524.583055990795</v>
      </c>
      <c r="CF558" s="247">
        <f t="shared" ref="CF558:CF619" si="1510">CE558/23157202</f>
        <v>1.1454139863698038E-3</v>
      </c>
      <c r="CG558" s="196">
        <f t="shared" si="1434"/>
        <v>45359.660372018952</v>
      </c>
      <c r="CH558" s="589">
        <f t="shared" si="1383"/>
        <v>1.1559026850072019E-3</v>
      </c>
      <c r="CI558" s="196">
        <f t="shared" si="1493"/>
        <v>39846.958044256222</v>
      </c>
      <c r="CJ558" s="248">
        <f t="shared" si="1384"/>
        <v>6.5508388910261986E-4</v>
      </c>
      <c r="CK558" s="196">
        <f t="shared" si="1494"/>
        <v>54748.543485747832</v>
      </c>
      <c r="CL558" s="589">
        <f t="shared" si="1385"/>
        <v>7.870215739025707E-4</v>
      </c>
      <c r="CM558" s="196">
        <f t="shared" si="1495"/>
        <v>5303.7676344139636</v>
      </c>
      <c r="CN558" s="589">
        <f t="shared" si="1386"/>
        <v>7.6433319158740736E-4</v>
      </c>
      <c r="CO558" s="196">
        <f t="shared" si="1496"/>
        <v>424.29638998920836</v>
      </c>
      <c r="CP558" s="589">
        <f t="shared" si="1387"/>
        <v>8.0015763784441836E-4</v>
      </c>
      <c r="CQ558" s="196">
        <f>'Detailed Budget'!$AC$12</f>
        <v>292876014141.44696</v>
      </c>
      <c r="CR558" s="269">
        <f t="shared" si="1393"/>
        <v>0</v>
      </c>
      <c r="CS558" s="269">
        <f>'Detailed Budget'!$AC$16</f>
        <v>10488008800.000002</v>
      </c>
      <c r="CT558" s="607">
        <f t="shared" si="1436"/>
        <v>0</v>
      </c>
      <c r="CU558" s="269">
        <f>'Detailed Budget'!$AC$24</f>
        <v>30624985696</v>
      </c>
      <c r="CV558" s="269">
        <f t="shared" si="1424"/>
        <v>0</v>
      </c>
      <c r="CW558" s="269"/>
      <c r="CX558" s="269">
        <f t="shared" si="1379"/>
        <v>0</v>
      </c>
      <c r="CY558" s="196">
        <f>'Detailed Budget'!$AC$97</f>
        <v>74629165494.837845</v>
      </c>
      <c r="CZ558" s="269">
        <f t="shared" si="1437"/>
        <v>107714644.95248075</v>
      </c>
      <c r="DA558" s="269">
        <f>'Detailed Budget'!$AC$100</f>
        <v>14925833098.967569</v>
      </c>
      <c r="DB558" s="269">
        <f t="shared" si="1438"/>
        <v>21542928.990496151</v>
      </c>
      <c r="DC558" s="269">
        <f t="shared" ref="DC558:DC619" si="1511">CZ558+DB558</f>
        <v>129257573.94297689</v>
      </c>
      <c r="DD558" s="207">
        <v>0</v>
      </c>
      <c r="DE558" s="606">
        <v>0</v>
      </c>
      <c r="DF558" s="269">
        <f>'Detailed Budget'!$AC$147</f>
        <v>5913600671000</v>
      </c>
      <c r="DG558" s="269">
        <f t="shared" si="1419"/>
        <v>0</v>
      </c>
      <c r="DH558" s="269">
        <f>'Detailed Budget'!$AC$153</f>
        <v>226428026880.00003</v>
      </c>
      <c r="DI558" s="269"/>
      <c r="DJ558" s="269">
        <f>'Detailed Budget'!$AC$156</f>
        <v>27713070000</v>
      </c>
      <c r="DK558" s="269"/>
      <c r="DL558" s="269"/>
      <c r="DM558" s="196">
        <f>'Detailed Budget'!$AC$178</f>
        <v>5622683761.6229038</v>
      </c>
      <c r="DN558" s="269">
        <f t="shared" si="1497"/>
        <v>0</v>
      </c>
      <c r="DO558" s="196">
        <f>'Detailed Budget'!$AC$179</f>
        <v>26827890683.128094</v>
      </c>
      <c r="DP558" s="269">
        <f t="shared" si="1498"/>
        <v>0</v>
      </c>
      <c r="DQ558" s="269">
        <f t="shared" si="1388"/>
        <v>0</v>
      </c>
      <c r="DR558" s="269">
        <f>'Detailed Budget'!$AC$181</f>
        <v>50888946855.375237</v>
      </c>
      <c r="DS558" s="269">
        <f t="shared" si="1499"/>
        <v>0</v>
      </c>
      <c r="DT558" s="269">
        <f t="shared" si="1500"/>
        <v>0</v>
      </c>
      <c r="DU558" s="272">
        <f>'Detailed Budget'!$AC$192</f>
        <v>77498869683.252869</v>
      </c>
      <c r="DV558" s="269">
        <f t="shared" si="1439"/>
        <v>89581151.551895231</v>
      </c>
      <c r="DW558" s="140">
        <f>'Detailed Budget'!$AC$194</f>
        <v>2684962805.4134097</v>
      </c>
      <c r="DX558" s="269">
        <f t="shared" si="1440"/>
        <v>3103555.7159218295</v>
      </c>
      <c r="DY558" s="607">
        <f t="shared" ref="DY558:DY619" si="1512">DV558+DX558</f>
        <v>92684707.267817065</v>
      </c>
      <c r="DZ558" s="196">
        <f>'Detailed Budget'!$AC$198</f>
        <v>18732540018.380611</v>
      </c>
      <c r="EA558" s="269">
        <f t="shared" si="1481"/>
        <v>21456513.337285213</v>
      </c>
      <c r="EB558" s="196">
        <f>'Detailed Budget'!$AC$200</f>
        <v>4683135004.5951529</v>
      </c>
      <c r="EC558" s="269">
        <f t="shared" si="1442"/>
        <v>5364128.3343213033</v>
      </c>
      <c r="ED558" s="269">
        <f t="shared" ref="ED558:ED619" si="1513">EA558+EC558</f>
        <v>26820641.671606518</v>
      </c>
      <c r="EE558" s="196">
        <f>'Detailed Budget'!$AC$161</f>
        <v>251147290106.36197</v>
      </c>
      <c r="EF558" s="269">
        <f t="shared" si="1443"/>
        <v>290301826.96622646</v>
      </c>
      <c r="EG558" s="196">
        <f>'Detailed Budget'!$AC$163</f>
        <v>15696705631.647623</v>
      </c>
      <c r="EH558" s="269">
        <f t="shared" si="1444"/>
        <v>18143864.185389154</v>
      </c>
      <c r="EI558" s="269">
        <f t="shared" ref="EI558:EI619" si="1514">EF558+EH558</f>
        <v>308445691.15161562</v>
      </c>
      <c r="EJ558" s="196">
        <f>'Detailed Budget'!$AC$204</f>
        <v>45012172507.531975</v>
      </c>
      <c r="EK558" s="269">
        <f t="shared" si="1445"/>
        <v>29486749.02319207</v>
      </c>
      <c r="EL558" s="201">
        <f>'Detailed Budget'!$AC$206</f>
        <v>11253043126.882994</v>
      </c>
      <c r="EM558" s="269">
        <f t="shared" si="1446"/>
        <v>7371687.2557980176</v>
      </c>
      <c r="EN558" s="269">
        <f t="shared" ref="EN558:EN619" si="1515">EK558+EM558</f>
        <v>36858436.27899009</v>
      </c>
      <c r="EO558" s="140">
        <f>'Detailed Budget'!$AC$209</f>
        <v>135789361677.54817</v>
      </c>
      <c r="EP558" s="269">
        <f t="shared" si="1447"/>
        <v>106869157.14668939</v>
      </c>
      <c r="EQ558" s="196">
        <f>'Detailed Budget'!$AC$211</f>
        <v>33947340419.387043</v>
      </c>
      <c r="ER558" s="269">
        <f t="shared" si="1448"/>
        <v>26717289.286672346</v>
      </c>
      <c r="ES558" s="269">
        <f t="shared" ref="ES558:ES619" si="1516">EP558+ER558</f>
        <v>133586446.43336174</v>
      </c>
      <c r="ET558" s="196">
        <f>'Detailed Budget'!$AC$214</f>
        <v>22239745544.201103</v>
      </c>
      <c r="EU558" s="269">
        <f t="shared" si="1449"/>
        <v>16998575.691891052</v>
      </c>
      <c r="EV558" s="140">
        <f>'Detailed Budget'!$AC$217</f>
        <v>5559936386.0502758</v>
      </c>
      <c r="EW558" s="269">
        <f t="shared" si="1450"/>
        <v>4249643.922972763</v>
      </c>
      <c r="EX558" s="269">
        <f t="shared" ref="EX558:EX619" si="1517">EU558+EW558</f>
        <v>21248219.614863813</v>
      </c>
      <c r="EY558" s="196">
        <f>'Detailed Budget'!$AC$219</f>
        <v>372777004.58170313</v>
      </c>
      <c r="EZ558" s="269">
        <f t="shared" si="1451"/>
        <v>298280.36742881348</v>
      </c>
      <c r="FA558" s="196">
        <f>'Detailed Budget'!$AC$222</f>
        <v>93194251.145425782</v>
      </c>
      <c r="FB558" s="269">
        <f t="shared" si="1452"/>
        <v>74570.09185720337</v>
      </c>
      <c r="FC558" s="269">
        <f t="shared" ref="FC558:FC619" si="1518">EZ558+FB558</f>
        <v>372850.45928601688</v>
      </c>
      <c r="FD558" s="269"/>
      <c r="FE558" s="269">
        <f t="shared" ref="FE558:FE619" si="1519">EN558+ES558+EX558+FC558</f>
        <v>192065952.78650165</v>
      </c>
      <c r="FF558" s="140"/>
      <c r="FG558" s="1087">
        <f t="shared" si="1420"/>
        <v>261990673.18631545</v>
      </c>
      <c r="FJ558" s="140">
        <f>'Detailed Budget'!$AC$235</f>
        <v>3623696172</v>
      </c>
      <c r="FK558" s="269">
        <f t="shared" si="1482"/>
        <v>4681778</v>
      </c>
      <c r="FL558" s="269">
        <f t="shared" si="1421"/>
        <v>4681778</v>
      </c>
      <c r="FO558" s="607"/>
      <c r="FP558" s="607"/>
      <c r="FQ558" s="607"/>
      <c r="FR558" s="269">
        <f>'Detailed Budget'!$AC$257</f>
        <v>13636439388</v>
      </c>
      <c r="FS558" s="269">
        <f t="shared" si="1483"/>
        <v>11492364</v>
      </c>
      <c r="FT558" s="269">
        <f t="shared" si="1422"/>
        <v>11492364</v>
      </c>
      <c r="FU558" s="269"/>
      <c r="FV558" s="269"/>
      <c r="FW558" s="269"/>
      <c r="FX558" s="140">
        <f>'Detailed Budget'!$AC$278</f>
        <v>1114560000</v>
      </c>
      <c r="FY558" s="269">
        <f t="shared" si="1484"/>
        <v>1440000</v>
      </c>
      <c r="FZ558" s="269">
        <f t="shared" si="1423"/>
        <v>1440000</v>
      </c>
      <c r="GB558" s="269">
        <f t="shared" si="1431"/>
        <v>1028879382.0068332</v>
      </c>
      <c r="GC558" s="887">
        <f t="shared" ref="GC558:GC619" si="1520">GB558/1600</f>
        <v>643049.61375427071</v>
      </c>
      <c r="GD558" s="1078">
        <f t="shared" si="1432"/>
        <v>5.773366197328253E-4</v>
      </c>
    </row>
    <row r="559" spans="1:186" hidden="1" outlineLevel="1">
      <c r="A559" s="211" t="s">
        <v>1232</v>
      </c>
      <c r="B559" s="212" t="s">
        <v>1233</v>
      </c>
      <c r="C559" s="213" t="s">
        <v>215</v>
      </c>
      <c r="D559" s="214"/>
      <c r="E559" s="213"/>
      <c r="F559" s="213"/>
      <c r="G559" s="213" t="s">
        <v>215</v>
      </c>
      <c r="H559" s="213" t="s">
        <v>215</v>
      </c>
      <c r="I559" s="214" t="s">
        <v>215</v>
      </c>
      <c r="J559" s="214"/>
      <c r="K559" s="213"/>
      <c r="L559" s="213"/>
      <c r="M559" s="214" t="s">
        <v>215</v>
      </c>
      <c r="N559" s="213"/>
      <c r="O559" s="214"/>
      <c r="P559" s="213"/>
      <c r="Q559" s="214"/>
      <c r="R559" s="214" t="s">
        <v>215</v>
      </c>
      <c r="S559" s="214"/>
      <c r="T559" s="214"/>
      <c r="U559" s="215">
        <f t="shared" si="1502"/>
        <v>6</v>
      </c>
      <c r="V559" s="845" t="s">
        <v>216</v>
      </c>
      <c r="W559" s="216">
        <v>237474</v>
      </c>
      <c r="X559" s="217">
        <v>3.19</v>
      </c>
      <c r="Y559" s="218">
        <f t="shared" si="1477"/>
        <v>1.0319</v>
      </c>
      <c r="Z559" s="196">
        <v>19</v>
      </c>
      <c r="AA559" s="218">
        <f t="shared" si="1478"/>
        <v>1.8159949505681734</v>
      </c>
      <c r="AB559" s="196">
        <f t="shared" si="1475"/>
        <v>431251.58489122643</v>
      </c>
      <c r="AC559">
        <v>11.8</v>
      </c>
      <c r="AD559" s="196">
        <f t="shared" si="1476"/>
        <v>50887.687017164724</v>
      </c>
      <c r="AE559" s="196">
        <f t="shared" si="1479"/>
        <v>48343.302666306488</v>
      </c>
      <c r="AF559" s="196">
        <f t="shared" si="1485"/>
        <v>0</v>
      </c>
      <c r="AG559" s="606">
        <f t="shared" si="1380"/>
        <v>2.2351820842146722E-3</v>
      </c>
      <c r="AH559" s="196">
        <f t="shared" si="1501"/>
        <v>21562.579244561322</v>
      </c>
      <c r="AI559" s="248">
        <f t="shared" si="1503"/>
        <v>1.6704203435774809E-3</v>
      </c>
      <c r="AJ559" s="196">
        <f t="shared" si="1504"/>
        <v>72450.26626172605</v>
      </c>
      <c r="AK559" s="196">
        <f t="shared" si="1391"/>
        <v>17250.063395649056</v>
      </c>
      <c r="AL559" s="196">
        <f t="shared" si="1392"/>
        <v>17250.063395649056</v>
      </c>
      <c r="AM559" s="196">
        <f t="shared" si="1505"/>
        <v>34500.126791298113</v>
      </c>
      <c r="AN559" s="627">
        <f t="shared" si="1506"/>
        <v>1.6704203435774806E-3</v>
      </c>
      <c r="AO559" s="196">
        <f t="shared" si="1507"/>
        <v>16387.560225866604</v>
      </c>
      <c r="AP559" s="589">
        <f t="shared" si="1381"/>
        <v>1.6704203435774809E-3</v>
      </c>
      <c r="AQ559" s="196"/>
      <c r="AR559" s="589"/>
      <c r="AS559">
        <v>1</v>
      </c>
      <c r="AT559" s="589">
        <f t="shared" si="1382"/>
        <v>1.2919896640826874E-3</v>
      </c>
      <c r="AU559" s="196">
        <v>12</v>
      </c>
      <c r="AV559" s="245"/>
      <c r="AX559" s="245"/>
      <c r="AY559" s="245"/>
      <c r="AZ559" s="196">
        <v>22</v>
      </c>
      <c r="BA559" s="589">
        <f t="shared" si="1425"/>
        <v>8.0612656187021366E-4</v>
      </c>
      <c r="BI559" s="196">
        <v>0</v>
      </c>
      <c r="BK559" s="246">
        <f t="shared" si="1426"/>
        <v>0</v>
      </c>
      <c r="BL559" s="246"/>
      <c r="BM559" s="246">
        <f t="shared" si="1427"/>
        <v>0</v>
      </c>
      <c r="BN559" s="196">
        <v>1</v>
      </c>
      <c r="BO559" s="196">
        <f t="shared" si="1486"/>
        <v>22297.105767946992</v>
      </c>
      <c r="BP559" s="196">
        <f t="shared" si="1508"/>
        <v>22297.105767946992</v>
      </c>
      <c r="BQ559" s="248">
        <f t="shared" si="1428"/>
        <v>2.0857904125889388E-3</v>
      </c>
      <c r="BR559" s="248"/>
      <c r="BS559" s="248"/>
      <c r="BT559" s="276">
        <v>0</v>
      </c>
      <c r="BU559" s="196">
        <f t="shared" si="1487"/>
        <v>0</v>
      </c>
      <c r="BV559" s="264">
        <f t="shared" si="1429"/>
        <v>0</v>
      </c>
      <c r="BW559" s="196">
        <f t="shared" si="1488"/>
        <v>0</v>
      </c>
      <c r="BX559" s="247">
        <f t="shared" si="1430"/>
        <v>0</v>
      </c>
      <c r="BY559" s="196">
        <f t="shared" si="1489"/>
        <v>0</v>
      </c>
      <c r="BZ559" s="620">
        <v>1</v>
      </c>
      <c r="CA559" s="196">
        <f t="shared" si="1490"/>
        <v>131962.98497671526</v>
      </c>
      <c r="CB559" s="196">
        <f t="shared" si="1491"/>
        <v>263925.96995343053</v>
      </c>
      <c r="CC559" s="196">
        <f t="shared" ref="CC559:CC620" si="1521">CA559+CB559</f>
        <v>395888.95493014576</v>
      </c>
      <c r="CD559" s="247">
        <f t="shared" si="1509"/>
        <v>1.6704203435774804E-3</v>
      </c>
      <c r="CE559" s="196">
        <f t="shared" si="1492"/>
        <v>38331.257221157437</v>
      </c>
      <c r="CF559" s="247">
        <f t="shared" si="1510"/>
        <v>1.655262894936851E-3</v>
      </c>
      <c r="CG559" s="196">
        <f t="shared" si="1434"/>
        <v>65550.240903466416</v>
      </c>
      <c r="CH559" s="589">
        <f t="shared" si="1383"/>
        <v>1.6704203435774809E-3</v>
      </c>
      <c r="CI559" s="196">
        <f t="shared" si="1493"/>
        <v>57583.713759077596</v>
      </c>
      <c r="CJ559" s="248">
        <f t="shared" si="1384"/>
        <v>9.4667610803244456E-4</v>
      </c>
      <c r="CK559" s="196">
        <f t="shared" si="1494"/>
        <v>79118.321988550233</v>
      </c>
      <c r="CL559" s="589">
        <f t="shared" si="1385"/>
        <v>1.1373421525299346E-3</v>
      </c>
      <c r="CM559" s="196">
        <f t="shared" si="1495"/>
        <v>7664.5910326592048</v>
      </c>
      <c r="CN559" s="589">
        <f t="shared" si="1386"/>
        <v>1.1045546732086316E-3</v>
      </c>
      <c r="CO559" s="196">
        <f t="shared" si="1496"/>
        <v>613.16002699659998</v>
      </c>
      <c r="CP559" s="589">
        <f t="shared" si="1387"/>
        <v>1.1563253668849219E-3</v>
      </c>
      <c r="CQ559" s="196">
        <f>'Detailed Budget'!$AC$12</f>
        <v>292876014141.44696</v>
      </c>
      <c r="CR559" s="269">
        <f t="shared" si="1393"/>
        <v>0</v>
      </c>
      <c r="CS559" s="269">
        <f>'Detailed Budget'!$AC$16</f>
        <v>10488008800.000002</v>
      </c>
      <c r="CT559" s="607">
        <f t="shared" si="1436"/>
        <v>0</v>
      </c>
      <c r="CU559" s="269">
        <f>'Detailed Budget'!$AC$24</f>
        <v>30624985696</v>
      </c>
      <c r="CV559" s="269">
        <f t="shared" si="1424"/>
        <v>0</v>
      </c>
      <c r="CW559" s="269"/>
      <c r="CX559" s="269">
        <f t="shared" ref="CX559:CX620" si="1522">CR559+CT559+CV559+CW559</f>
        <v>0</v>
      </c>
      <c r="CY559" s="196">
        <f>'Detailed Budget'!$AC$97</f>
        <v>74629165494.837845</v>
      </c>
      <c r="CZ559" s="269">
        <f t="shared" si="1437"/>
        <v>155660797.88864604</v>
      </c>
      <c r="DA559" s="269">
        <f>'Detailed Budget'!$AC$100</f>
        <v>14925833098.967569</v>
      </c>
      <c r="DB559" s="269">
        <f t="shared" si="1438"/>
        <v>31132159.577729207</v>
      </c>
      <c r="DC559" s="269">
        <f t="shared" si="1511"/>
        <v>186792957.46637523</v>
      </c>
      <c r="DD559" s="207">
        <v>0</v>
      </c>
      <c r="DE559" s="606">
        <v>0</v>
      </c>
      <c r="DF559" s="269">
        <f>'Detailed Budget'!$AC$147</f>
        <v>5913600671000</v>
      </c>
      <c r="DG559" s="269">
        <f t="shared" si="1419"/>
        <v>0</v>
      </c>
      <c r="DH559" s="269">
        <f>'Detailed Budget'!$AC$153</f>
        <v>226428026880.00003</v>
      </c>
      <c r="DI559" s="269"/>
      <c r="DJ559" s="269">
        <f>'Detailed Budget'!$AC$156</f>
        <v>27713070000</v>
      </c>
      <c r="DK559" s="269"/>
      <c r="DL559" s="269"/>
      <c r="DM559" s="196">
        <f>'Detailed Budget'!$AC$178</f>
        <v>5622683761.6229038</v>
      </c>
      <c r="DN559" s="269">
        <f t="shared" si="1497"/>
        <v>0</v>
      </c>
      <c r="DO559" s="196">
        <f>'Detailed Budget'!$AC$179</f>
        <v>26827890683.128094</v>
      </c>
      <c r="DP559" s="269">
        <f t="shared" si="1498"/>
        <v>0</v>
      </c>
      <c r="DQ559" s="269">
        <f t="shared" si="1388"/>
        <v>0</v>
      </c>
      <c r="DR559" s="269">
        <f>'Detailed Budget'!$AC$181</f>
        <v>50888946855.375237</v>
      </c>
      <c r="DS559" s="269">
        <f t="shared" si="1499"/>
        <v>0</v>
      </c>
      <c r="DT559" s="269">
        <f t="shared" si="1500"/>
        <v>0</v>
      </c>
      <c r="DU559" s="272">
        <f>'Detailed Budget'!$AC$192</f>
        <v>77498869683.252869</v>
      </c>
      <c r="DV559" s="269">
        <f t="shared" si="1439"/>
        <v>129455688.52316564</v>
      </c>
      <c r="DW559" s="140">
        <f>'Detailed Budget'!$AC$194</f>
        <v>2684962805.4134097</v>
      </c>
      <c r="DX559" s="269">
        <f t="shared" si="1440"/>
        <v>4485016.4919114243</v>
      </c>
      <c r="DY559" s="607">
        <f t="shared" si="1512"/>
        <v>133940705.01507707</v>
      </c>
      <c r="DZ559" s="196">
        <f>'Detailed Budget'!$AC$198</f>
        <v>18732540018.380611</v>
      </c>
      <c r="EA559" s="269">
        <f t="shared" si="1481"/>
        <v>31007278.420345102</v>
      </c>
      <c r="EB559" s="196">
        <f>'Detailed Budget'!$AC$200</f>
        <v>4683135004.5951529</v>
      </c>
      <c r="EC559" s="269">
        <f t="shared" si="1442"/>
        <v>7751819.6050862754</v>
      </c>
      <c r="ED559" s="269">
        <f t="shared" si="1513"/>
        <v>38759098.02543138</v>
      </c>
      <c r="EE559" s="196">
        <f>'Detailed Budget'!$AC$161</f>
        <v>251147290106.36197</v>
      </c>
      <c r="EF559" s="269">
        <f t="shared" si="1443"/>
        <v>419521542.62802243</v>
      </c>
      <c r="EG559" s="196">
        <f>'Detailed Budget'!$AC$163</f>
        <v>15696705631.647623</v>
      </c>
      <c r="EH559" s="269">
        <f t="shared" si="1444"/>
        <v>26220096.414251402</v>
      </c>
      <c r="EI559" s="269">
        <f t="shared" si="1514"/>
        <v>445741639.04227382</v>
      </c>
      <c r="EJ559" s="196">
        <f>'Detailed Budget'!$AC$204</f>
        <v>45012172507.531975</v>
      </c>
      <c r="EK559" s="269">
        <f t="shared" si="1445"/>
        <v>42611948.283515371</v>
      </c>
      <c r="EL559" s="201">
        <f>'Detailed Budget'!$AC$206</f>
        <v>11253043126.882994</v>
      </c>
      <c r="EM559" s="269">
        <f t="shared" si="1446"/>
        <v>10652987.070878843</v>
      </c>
      <c r="EN559" s="269">
        <f t="shared" si="1515"/>
        <v>53264935.354394212</v>
      </c>
      <c r="EO559" s="140">
        <f>'Detailed Budget'!$AC$209</f>
        <v>135789361677.54817</v>
      </c>
      <c r="EP559" s="269">
        <f t="shared" si="1447"/>
        <v>154438964.90100846</v>
      </c>
      <c r="EQ559" s="196">
        <f>'Detailed Budget'!$AC$211</f>
        <v>33947340419.387043</v>
      </c>
      <c r="ER559" s="269">
        <f t="shared" si="1448"/>
        <v>38609741.225252114</v>
      </c>
      <c r="ES559" s="269">
        <f t="shared" si="1516"/>
        <v>193048706.12626058</v>
      </c>
      <c r="ET559" s="196">
        <f>'Detailed Budget'!$AC$214</f>
        <v>22239745544.201103</v>
      </c>
      <c r="EU559" s="269">
        <f t="shared" si="1449"/>
        <v>24565014.87181817</v>
      </c>
      <c r="EV559" s="140">
        <f>'Detailed Budget'!$AC$217</f>
        <v>5559936386.0502758</v>
      </c>
      <c r="EW559" s="269">
        <f t="shared" si="1450"/>
        <v>6141253.7179545425</v>
      </c>
      <c r="EX559" s="269">
        <f t="shared" si="1517"/>
        <v>30706268.589772712</v>
      </c>
      <c r="EY559" s="196">
        <f>'Detailed Budget'!$AC$219</f>
        <v>372777004.58170313</v>
      </c>
      <c r="EZ559" s="269">
        <f t="shared" si="1451"/>
        <v>431051.50658920006</v>
      </c>
      <c r="FA559" s="196">
        <f>'Detailed Budget'!$AC$222</f>
        <v>93194251.145425782</v>
      </c>
      <c r="FB559" s="269">
        <f t="shared" si="1452"/>
        <v>107762.87664730001</v>
      </c>
      <c r="FC559" s="269">
        <f t="shared" si="1518"/>
        <v>538814.38323650009</v>
      </c>
      <c r="FD559" s="269"/>
      <c r="FE559" s="269">
        <f t="shared" si="1519"/>
        <v>277558724.453664</v>
      </c>
      <c r="FF559" s="140"/>
      <c r="FG559" s="1087">
        <f t="shared" si="1420"/>
        <v>378608472.83632183</v>
      </c>
      <c r="FJ559" s="140">
        <f>'Detailed Budget'!$AC$235</f>
        <v>3623696172</v>
      </c>
      <c r="FK559" s="269">
        <f t="shared" si="1482"/>
        <v>4681778</v>
      </c>
      <c r="FL559" s="269">
        <f t="shared" si="1421"/>
        <v>4681778</v>
      </c>
      <c r="FO559" s="607"/>
      <c r="FP559" s="607"/>
      <c r="FQ559" s="607"/>
      <c r="FR559" s="269">
        <f>'Detailed Budget'!$AC$257</f>
        <v>13636439388</v>
      </c>
      <c r="FS559" s="269">
        <f t="shared" si="1483"/>
        <v>10992696</v>
      </c>
      <c r="FT559" s="269">
        <f t="shared" si="1422"/>
        <v>10992696</v>
      </c>
      <c r="FU559" s="269"/>
      <c r="FV559" s="269"/>
      <c r="FW559" s="269"/>
      <c r="FX559" s="140">
        <f>'Detailed Budget'!$AC$278</f>
        <v>1114560000</v>
      </c>
      <c r="FY559" s="269">
        <f t="shared" si="1484"/>
        <v>1440000</v>
      </c>
      <c r="FZ559" s="269">
        <f t="shared" si="1423"/>
        <v>1440000</v>
      </c>
      <c r="GB559" s="269">
        <f t="shared" si="1431"/>
        <v>1478516070.8391433</v>
      </c>
      <c r="GC559" s="887">
        <f t="shared" si="1520"/>
        <v>924072.5442744646</v>
      </c>
      <c r="GD559" s="1078">
        <f t="shared" si="1432"/>
        <v>8.2964192449262264E-4</v>
      </c>
    </row>
    <row r="560" spans="1:186" hidden="1" outlineLevel="1">
      <c r="A560" s="211" t="s">
        <v>1234</v>
      </c>
      <c r="B560" s="212" t="s">
        <v>1235</v>
      </c>
      <c r="C560" s="213" t="s">
        <v>215</v>
      </c>
      <c r="D560" s="214"/>
      <c r="E560" s="213"/>
      <c r="F560" s="213"/>
      <c r="G560" s="213" t="s">
        <v>215</v>
      </c>
      <c r="H560" s="213" t="s">
        <v>215</v>
      </c>
      <c r="I560" s="214" t="s">
        <v>215</v>
      </c>
      <c r="J560" s="214"/>
      <c r="K560" s="213"/>
      <c r="L560" s="213"/>
      <c r="M560" s="214" t="s">
        <v>215</v>
      </c>
      <c r="N560" s="213"/>
      <c r="O560" s="214"/>
      <c r="P560" s="213"/>
      <c r="Q560" s="214"/>
      <c r="R560" s="214" t="s">
        <v>215</v>
      </c>
      <c r="S560" s="214"/>
      <c r="T560" s="214"/>
      <c r="U560" s="215">
        <f t="shared" si="1502"/>
        <v>6</v>
      </c>
      <c r="V560" s="845" t="s">
        <v>216</v>
      </c>
      <c r="W560" s="216">
        <v>157858</v>
      </c>
      <c r="X560" s="217">
        <v>3.19</v>
      </c>
      <c r="Y560" s="218">
        <f t="shared" si="1477"/>
        <v>1.0319</v>
      </c>
      <c r="Z560" s="196">
        <v>19</v>
      </c>
      <c r="AA560" s="218">
        <f t="shared" si="1478"/>
        <v>1.8159949505681734</v>
      </c>
      <c r="AB560" s="196">
        <f t="shared" si="1475"/>
        <v>286669.33090679074</v>
      </c>
      <c r="AC560">
        <v>11.8</v>
      </c>
      <c r="AD560" s="196">
        <f t="shared" si="1476"/>
        <v>33826.981047001311</v>
      </c>
      <c r="AE560" s="196">
        <f t="shared" si="1479"/>
        <v>32135.631994651245</v>
      </c>
      <c r="AF560" s="196">
        <f t="shared" si="1485"/>
        <v>0</v>
      </c>
      <c r="AG560" s="606">
        <f t="shared" ref="AG560:AG621" si="1523">AE560/21628351</f>
        <v>1.4858105453647967E-3</v>
      </c>
      <c r="AH560" s="196">
        <f t="shared" si="1501"/>
        <v>14333.466545339537</v>
      </c>
      <c r="AI560" s="248">
        <f t="shared" si="1503"/>
        <v>1.1103919359443729E-3</v>
      </c>
      <c r="AJ560" s="196">
        <f t="shared" si="1504"/>
        <v>48160.447592340846</v>
      </c>
      <c r="AK560" s="196">
        <f t="shared" si="1391"/>
        <v>11466.773236271631</v>
      </c>
      <c r="AL560" s="196">
        <f t="shared" si="1392"/>
        <v>11466.773236271631</v>
      </c>
      <c r="AM560" s="196">
        <f t="shared" si="1505"/>
        <v>22933.546472543261</v>
      </c>
      <c r="AN560" s="627">
        <f t="shared" si="1506"/>
        <v>1.1103919359443729E-3</v>
      </c>
      <c r="AO560" s="196">
        <f t="shared" si="1507"/>
        <v>10893.434574458048</v>
      </c>
      <c r="AP560" s="589">
        <f t="shared" ref="AP560:AP621" si="1524">AO560/9810441</f>
        <v>1.1103919359443726E-3</v>
      </c>
      <c r="AQ560" s="196"/>
      <c r="AR560" s="589"/>
      <c r="AS560">
        <v>1</v>
      </c>
      <c r="AT560" s="589">
        <f t="shared" ref="AT560:AT621" si="1525">AS560/774</f>
        <v>1.2919896640826874E-3</v>
      </c>
      <c r="AU560" s="196">
        <v>11</v>
      </c>
      <c r="AV560" s="245"/>
      <c r="AX560" s="245"/>
      <c r="AY560" s="245"/>
      <c r="AZ560" s="196">
        <v>28</v>
      </c>
      <c r="BA560" s="589">
        <f t="shared" si="1425"/>
        <v>1.0259792605620901E-3</v>
      </c>
      <c r="BI560" s="196">
        <v>0</v>
      </c>
      <c r="BK560" s="246">
        <f t="shared" si="1426"/>
        <v>0</v>
      </c>
      <c r="BL560" s="246"/>
      <c r="BM560" s="246">
        <f t="shared" si="1427"/>
        <v>0</v>
      </c>
      <c r="BN560" s="196">
        <v>1</v>
      </c>
      <c r="BO560" s="196">
        <f t="shared" si="1486"/>
        <v>14821.734262768034</v>
      </c>
      <c r="BP560" s="196">
        <f t="shared" si="1508"/>
        <v>14821.734262768034</v>
      </c>
      <c r="BQ560" s="248">
        <f t="shared" si="1428"/>
        <v>1.3865042192006899E-3</v>
      </c>
      <c r="BR560" s="248"/>
      <c r="BS560" s="248"/>
      <c r="BT560" s="276">
        <v>0</v>
      </c>
      <c r="BU560" s="196">
        <f t="shared" si="1487"/>
        <v>0</v>
      </c>
      <c r="BV560" s="264">
        <f t="shared" si="1429"/>
        <v>0</v>
      </c>
      <c r="BW560" s="196">
        <f t="shared" si="1488"/>
        <v>0</v>
      </c>
      <c r="BX560" s="247">
        <f t="shared" si="1430"/>
        <v>0</v>
      </c>
      <c r="BY560" s="196">
        <f t="shared" si="1489"/>
        <v>0</v>
      </c>
      <c r="BZ560" s="620">
        <v>1</v>
      </c>
      <c r="CA560" s="196">
        <f t="shared" si="1490"/>
        <v>87720.815257477967</v>
      </c>
      <c r="CB560" s="196">
        <f t="shared" si="1491"/>
        <v>175441.63051495593</v>
      </c>
      <c r="CC560" s="196">
        <f t="shared" si="1521"/>
        <v>263162.44577243389</v>
      </c>
      <c r="CD560" s="247">
        <f t="shared" si="1509"/>
        <v>1.1103919359443726E-3</v>
      </c>
      <c r="CE560" s="196">
        <f t="shared" si="1492"/>
        <v>25480.244584322791</v>
      </c>
      <c r="CF560" s="247">
        <f t="shared" si="1510"/>
        <v>1.1003162033272754E-3</v>
      </c>
      <c r="CG560" s="196">
        <f t="shared" si="1434"/>
        <v>43573.738297832191</v>
      </c>
      <c r="CH560" s="589">
        <f t="shared" ref="CH560:CH621" si="1526">CG560/39241764</f>
        <v>1.1103919359443726E-3</v>
      </c>
      <c r="CI560" s="196">
        <f t="shared" si="1493"/>
        <v>38278.084702243075</v>
      </c>
      <c r="CJ560" s="248">
        <f t="shared" ref="CJ560:CJ621" si="1527">CI560/60827260</f>
        <v>6.2929161534225071E-4</v>
      </c>
      <c r="CK560" s="196">
        <f t="shared" si="1494"/>
        <v>52592.957849990162</v>
      </c>
      <c r="CL560" s="589">
        <f t="shared" ref="CL560:CL621" si="1528">CK560/69564222</f>
        <v>7.5603458700350531E-4</v>
      </c>
      <c r="CM560" s="196">
        <f t="shared" si="1495"/>
        <v>5094.9451781395728</v>
      </c>
      <c r="CN560" s="589">
        <f t="shared" ref="CN560:CN621" si="1529">CM560/6939078</f>
        <v>7.3423950244392308E-4</v>
      </c>
      <c r="CO560" s="196">
        <f t="shared" si="1496"/>
        <v>407.59079116715634</v>
      </c>
      <c r="CP560" s="589">
        <f t="shared" ref="CP560:CP621" si="1530">CO560/530266</f>
        <v>7.6865345160194378E-4</v>
      </c>
      <c r="CQ560" s="196">
        <f>'Detailed Budget'!$AC$12</f>
        <v>292876014141.44696</v>
      </c>
      <c r="CR560" s="269">
        <f t="shared" si="1393"/>
        <v>0</v>
      </c>
      <c r="CS560" s="269">
        <f>'Detailed Budget'!$AC$16</f>
        <v>10488008800.000002</v>
      </c>
      <c r="CT560" s="607">
        <f t="shared" si="1436"/>
        <v>0</v>
      </c>
      <c r="CU560" s="269">
        <f>'Detailed Budget'!$AC$24</f>
        <v>30624985696</v>
      </c>
      <c r="CV560" s="269">
        <f t="shared" si="1424"/>
        <v>0</v>
      </c>
      <c r="CW560" s="269"/>
      <c r="CX560" s="269">
        <f t="shared" si="1522"/>
        <v>0</v>
      </c>
      <c r="CY560" s="196">
        <f>'Detailed Budget'!$AC$97</f>
        <v>74629165494.837845</v>
      </c>
      <c r="CZ560" s="269">
        <f t="shared" si="1437"/>
        <v>103473652.83401921</v>
      </c>
      <c r="DA560" s="269">
        <f>'Detailed Budget'!$AC$100</f>
        <v>14925833098.967569</v>
      </c>
      <c r="DB560" s="269">
        <f t="shared" si="1438"/>
        <v>20694730.566803843</v>
      </c>
      <c r="DC560" s="269">
        <f t="shared" si="1511"/>
        <v>124168383.40082306</v>
      </c>
      <c r="DD560" s="207">
        <v>0</v>
      </c>
      <c r="DE560" s="606">
        <v>0</v>
      </c>
      <c r="DF560" s="269">
        <f>'Detailed Budget'!$AC$147</f>
        <v>5913600671000</v>
      </c>
      <c r="DG560" s="269">
        <f t="shared" si="1419"/>
        <v>0</v>
      </c>
      <c r="DH560" s="269">
        <f>'Detailed Budget'!$AC$153</f>
        <v>226428026880.00003</v>
      </c>
      <c r="DI560" s="269"/>
      <c r="DJ560" s="269">
        <f>'Detailed Budget'!$AC$156</f>
        <v>27713070000</v>
      </c>
      <c r="DK560" s="269"/>
      <c r="DL560" s="269"/>
      <c r="DM560" s="196">
        <f>'Detailed Budget'!$AC$178</f>
        <v>5622683761.6229038</v>
      </c>
      <c r="DN560" s="269">
        <f t="shared" si="1497"/>
        <v>0</v>
      </c>
      <c r="DO560" s="196">
        <f>'Detailed Budget'!$AC$179</f>
        <v>26827890683.128094</v>
      </c>
      <c r="DP560" s="269">
        <f t="shared" si="1498"/>
        <v>0</v>
      </c>
      <c r="DQ560" s="269">
        <f t="shared" si="1388"/>
        <v>0</v>
      </c>
      <c r="DR560" s="269">
        <f>'Detailed Budget'!$AC$181</f>
        <v>50888946855.375237</v>
      </c>
      <c r="DS560" s="269">
        <f t="shared" si="1499"/>
        <v>0</v>
      </c>
      <c r="DT560" s="269">
        <f t="shared" si="1500"/>
        <v>0</v>
      </c>
      <c r="DU560" s="272">
        <f>'Detailed Budget'!$AC$192</f>
        <v>77498869683.252869</v>
      </c>
      <c r="DV560" s="269">
        <f t="shared" si="1439"/>
        <v>86054119.941087797</v>
      </c>
      <c r="DW560" s="140">
        <f>'Detailed Budget'!$AC$194</f>
        <v>2684962805.4134097</v>
      </c>
      <c r="DX560" s="269">
        <f t="shared" si="1440"/>
        <v>2981361.0474416306</v>
      </c>
      <c r="DY560" s="607">
        <f t="shared" si="1512"/>
        <v>89035480.988529429</v>
      </c>
      <c r="DZ560" s="196">
        <f>'Detailed Budget'!$AC$198</f>
        <v>18732540018.380611</v>
      </c>
      <c r="EA560" s="269">
        <f t="shared" si="1481"/>
        <v>20611717.311700806</v>
      </c>
      <c r="EB560" s="196">
        <f>'Detailed Budget'!$AC$200</f>
        <v>4683135004.5951529</v>
      </c>
      <c r="EC560" s="269">
        <f t="shared" si="1442"/>
        <v>5152929.3279252015</v>
      </c>
      <c r="ED560" s="269">
        <f t="shared" si="1513"/>
        <v>25764646.639626008</v>
      </c>
      <c r="EE560" s="196">
        <f>'Detailed Budget'!$AC$161</f>
        <v>251147290106.36197</v>
      </c>
      <c r="EF560" s="269">
        <f t="shared" si="1443"/>
        <v>278871925.66838628</v>
      </c>
      <c r="EG560" s="196">
        <f>'Detailed Budget'!$AC$163</f>
        <v>15696705631.647623</v>
      </c>
      <c r="EH560" s="269">
        <f t="shared" si="1444"/>
        <v>17429495.354274143</v>
      </c>
      <c r="EI560" s="269">
        <f t="shared" si="1514"/>
        <v>296301421.02266043</v>
      </c>
      <c r="EJ560" s="196">
        <f>'Detailed Budget'!$AC$204</f>
        <v>45012172507.531975</v>
      </c>
      <c r="EK560" s="269">
        <f t="shared" si="1445"/>
        <v>28325782.747328844</v>
      </c>
      <c r="EL560" s="201">
        <f>'Detailed Budget'!$AC$206</f>
        <v>11253043126.882994</v>
      </c>
      <c r="EM560" s="269">
        <f t="shared" si="1446"/>
        <v>7081445.686832211</v>
      </c>
      <c r="EN560" s="269">
        <f t="shared" si="1515"/>
        <v>35407228.434161052</v>
      </c>
      <c r="EO560" s="140">
        <f>'Detailed Budget'!$AC$209</f>
        <v>135789361677.54817</v>
      </c>
      <c r="EP560" s="269">
        <f t="shared" si="1447"/>
        <v>102661453.97535475</v>
      </c>
      <c r="EQ560" s="196">
        <f>'Detailed Budget'!$AC$211</f>
        <v>33947340419.387043</v>
      </c>
      <c r="ER560" s="269">
        <f t="shared" si="1448"/>
        <v>25665363.493838686</v>
      </c>
      <c r="ES560" s="269">
        <f t="shared" si="1516"/>
        <v>128326817.46919343</v>
      </c>
      <c r="ET560" s="196">
        <f>'Detailed Budget'!$AC$214</f>
        <v>22239745544.201103</v>
      </c>
      <c r="EU560" s="269">
        <f t="shared" si="1449"/>
        <v>16329299.702853674</v>
      </c>
      <c r="EV560" s="140">
        <f>'Detailed Budget'!$AC$217</f>
        <v>5559936386.0502758</v>
      </c>
      <c r="EW560" s="269">
        <f t="shared" si="1450"/>
        <v>4082324.9257134185</v>
      </c>
      <c r="EX560" s="269">
        <f t="shared" si="1517"/>
        <v>20411624.628567092</v>
      </c>
      <c r="EY560" s="196">
        <f>'Detailed Budget'!$AC$219</f>
        <v>372777004.58170313</v>
      </c>
      <c r="EZ560" s="269">
        <f t="shared" si="1451"/>
        <v>286536.33124955971</v>
      </c>
      <c r="FA560" s="196">
        <f>'Detailed Budget'!$AC$222</f>
        <v>93194251.145425782</v>
      </c>
      <c r="FB560" s="269">
        <f t="shared" si="1452"/>
        <v>71634.082812389926</v>
      </c>
      <c r="FC560" s="269">
        <f t="shared" si="1518"/>
        <v>358170.41406194965</v>
      </c>
      <c r="FD560" s="269"/>
      <c r="FE560" s="269">
        <f t="shared" si="1519"/>
        <v>184503840.94598353</v>
      </c>
      <c r="FF560" s="140"/>
      <c r="FG560" s="1087">
        <f t="shared" si="1420"/>
        <v>251675452.07052597</v>
      </c>
      <c r="FJ560" s="140">
        <f>'Detailed Budget'!$AC$235</f>
        <v>3623696172</v>
      </c>
      <c r="FK560" s="269">
        <f t="shared" si="1482"/>
        <v>4681778</v>
      </c>
      <c r="FL560" s="269">
        <f t="shared" si="1421"/>
        <v>4681778</v>
      </c>
      <c r="FO560" s="607"/>
      <c r="FP560" s="607"/>
      <c r="FQ560" s="607"/>
      <c r="FR560" s="269">
        <f>'Detailed Budget'!$AC$257</f>
        <v>13636439388</v>
      </c>
      <c r="FS560" s="269">
        <f t="shared" si="1483"/>
        <v>13990704</v>
      </c>
      <c r="FT560" s="269">
        <f t="shared" si="1422"/>
        <v>13990704</v>
      </c>
      <c r="FU560" s="269"/>
      <c r="FV560" s="269"/>
      <c r="FW560" s="269"/>
      <c r="FX560" s="140">
        <f>'Detailed Budget'!$AC$278</f>
        <v>1114560000</v>
      </c>
      <c r="FY560" s="269">
        <f t="shared" si="1484"/>
        <v>1440000</v>
      </c>
      <c r="FZ560" s="269">
        <f t="shared" si="1423"/>
        <v>1440000</v>
      </c>
      <c r="GB560" s="269">
        <f t="shared" si="1431"/>
        <v>991561707.06814849</v>
      </c>
      <c r="GC560" s="887">
        <f t="shared" si="1520"/>
        <v>619726.06691759278</v>
      </c>
      <c r="GD560" s="1078">
        <f t="shared" si="1432"/>
        <v>5.5639649722462098E-4</v>
      </c>
    </row>
    <row r="561" spans="1:186" hidden="1" outlineLevel="1">
      <c r="A561" s="211" t="s">
        <v>1236</v>
      </c>
      <c r="B561" s="212" t="s">
        <v>1237</v>
      </c>
      <c r="C561" s="213" t="s">
        <v>215</v>
      </c>
      <c r="D561" s="214"/>
      <c r="E561" s="213"/>
      <c r="F561" s="213"/>
      <c r="G561" s="213" t="s">
        <v>215</v>
      </c>
      <c r="H561" s="213" t="s">
        <v>215</v>
      </c>
      <c r="I561" s="214" t="s">
        <v>215</v>
      </c>
      <c r="J561" s="214"/>
      <c r="K561" s="213"/>
      <c r="L561" s="213"/>
      <c r="M561" s="214" t="s">
        <v>215</v>
      </c>
      <c r="N561" s="213"/>
      <c r="O561" s="214"/>
      <c r="P561" s="213"/>
      <c r="Q561" s="214"/>
      <c r="R561" s="214" t="s">
        <v>215</v>
      </c>
      <c r="S561" s="214"/>
      <c r="T561" s="214"/>
      <c r="U561" s="215">
        <f t="shared" si="1502"/>
        <v>6</v>
      </c>
      <c r="V561" s="845" t="s">
        <v>216</v>
      </c>
      <c r="W561" s="216">
        <v>143485</v>
      </c>
      <c r="X561" s="217">
        <v>3.19</v>
      </c>
      <c r="Y561" s="218">
        <f t="shared" si="1477"/>
        <v>1.0319</v>
      </c>
      <c r="Z561" s="196">
        <v>19</v>
      </c>
      <c r="AA561" s="218">
        <f t="shared" si="1478"/>
        <v>1.8159949505681734</v>
      </c>
      <c r="AB561" s="196">
        <f t="shared" si="1475"/>
        <v>260568.03548227437</v>
      </c>
      <c r="AC561">
        <v>11.8</v>
      </c>
      <c r="AD561" s="196">
        <f t="shared" si="1476"/>
        <v>30747.028186908377</v>
      </c>
      <c r="AE561" s="196">
        <f t="shared" si="1479"/>
        <v>29209.676777562956</v>
      </c>
      <c r="AF561" s="196">
        <f t="shared" si="1485"/>
        <v>0</v>
      </c>
      <c r="AG561" s="606">
        <f t="shared" si="1523"/>
        <v>1.3505272213107211E-3</v>
      </c>
      <c r="AH561" s="196">
        <f t="shared" si="1501"/>
        <v>13028.40177411372</v>
      </c>
      <c r="AI561" s="248">
        <f t="shared" si="1503"/>
        <v>1.0092905454837787E-3</v>
      </c>
      <c r="AJ561" s="196">
        <f t="shared" si="1504"/>
        <v>43775.429961022099</v>
      </c>
      <c r="AK561" s="196">
        <f t="shared" si="1391"/>
        <v>10422.721419290974</v>
      </c>
      <c r="AL561" s="196">
        <f t="shared" si="1392"/>
        <v>10422.721419290974</v>
      </c>
      <c r="AM561" s="196">
        <f t="shared" si="1505"/>
        <v>20845.442838581948</v>
      </c>
      <c r="AN561" s="627">
        <f t="shared" si="1506"/>
        <v>1.0092905454837785E-3</v>
      </c>
      <c r="AO561" s="196">
        <f t="shared" si="1507"/>
        <v>9901.5853483264254</v>
      </c>
      <c r="AP561" s="589">
        <f t="shared" si="1524"/>
        <v>1.0092905454837785E-3</v>
      </c>
      <c r="AQ561" s="196"/>
      <c r="AR561" s="589"/>
      <c r="AS561">
        <v>1</v>
      </c>
      <c r="AT561" s="589">
        <f t="shared" si="1525"/>
        <v>1.2919896640826874E-3</v>
      </c>
      <c r="AU561" s="196">
        <v>11</v>
      </c>
      <c r="AV561" s="245"/>
      <c r="AX561" s="245"/>
      <c r="AY561" s="245"/>
      <c r="AZ561" s="196">
        <v>15</v>
      </c>
      <c r="BA561" s="589">
        <f t="shared" si="1425"/>
        <v>5.4963174672969107E-4</v>
      </c>
      <c r="BI561" s="196">
        <v>0</v>
      </c>
      <c r="BK561" s="246">
        <f t="shared" si="1426"/>
        <v>0</v>
      </c>
      <c r="BL561" s="246"/>
      <c r="BM561" s="246">
        <f t="shared" si="1427"/>
        <v>0</v>
      </c>
      <c r="BN561" s="196">
        <v>1</v>
      </c>
      <c r="BO561" s="196">
        <f t="shared" si="1486"/>
        <v>13472.212625861668</v>
      </c>
      <c r="BP561" s="196">
        <f t="shared" si="1508"/>
        <v>13472.212625861668</v>
      </c>
      <c r="BQ561" s="248">
        <f t="shared" si="1428"/>
        <v>1.2602627544502716E-3</v>
      </c>
      <c r="BR561" s="248"/>
      <c r="BS561" s="248"/>
      <c r="BT561" s="276">
        <v>0</v>
      </c>
      <c r="BU561" s="196">
        <f t="shared" si="1487"/>
        <v>0</v>
      </c>
      <c r="BV561" s="264">
        <f t="shared" si="1429"/>
        <v>0</v>
      </c>
      <c r="BW561" s="196">
        <f t="shared" si="1488"/>
        <v>0</v>
      </c>
      <c r="BX561" s="247">
        <f t="shared" si="1430"/>
        <v>0</v>
      </c>
      <c r="BY561" s="196">
        <f t="shared" si="1489"/>
        <v>0</v>
      </c>
      <c r="BZ561" s="620">
        <v>1</v>
      </c>
      <c r="CA561" s="196">
        <f t="shared" si="1490"/>
        <v>79733.818857575956</v>
      </c>
      <c r="CB561" s="196">
        <f t="shared" si="1491"/>
        <v>159467.63771515191</v>
      </c>
      <c r="CC561" s="196">
        <f t="shared" si="1521"/>
        <v>239201.45657272788</v>
      </c>
      <c r="CD561" s="247">
        <f t="shared" si="1509"/>
        <v>1.0092905454837785E-3</v>
      </c>
      <c r="CE561" s="196">
        <f t="shared" si="1492"/>
        <v>23160.263617818266</v>
      </c>
      <c r="CF561" s="247">
        <f t="shared" si="1510"/>
        <v>1.0001322101788578E-3</v>
      </c>
      <c r="CG561" s="196">
        <f t="shared" si="1434"/>
        <v>39606.341393305702</v>
      </c>
      <c r="CH561" s="589">
        <f t="shared" si="1526"/>
        <v>1.0092905454837785E-3</v>
      </c>
      <c r="CI561" s="196">
        <f t="shared" si="1493"/>
        <v>34792.858033811062</v>
      </c>
      <c r="CJ561" s="248">
        <f t="shared" si="1527"/>
        <v>5.7199449775990343E-4</v>
      </c>
      <c r="CK561" s="196">
        <f t="shared" si="1494"/>
        <v>47804.359342610689</v>
      </c>
      <c r="CL561" s="589">
        <f t="shared" si="1528"/>
        <v>6.8719749848723517E-4</v>
      </c>
      <c r="CM561" s="196">
        <f t="shared" si="1495"/>
        <v>4631.0494804530435</v>
      </c>
      <c r="CN561" s="589">
        <f t="shared" si="1529"/>
        <v>6.6738686039457163E-4</v>
      </c>
      <c r="CO561" s="196">
        <f t="shared" si="1496"/>
        <v>370.47957449492213</v>
      </c>
      <c r="CP561" s="589">
        <f t="shared" si="1530"/>
        <v>6.9866741313778769E-4</v>
      </c>
      <c r="CQ561" s="196">
        <f>'Detailed Budget'!$AC$12</f>
        <v>292876014141.44696</v>
      </c>
      <c r="CR561" s="269">
        <f t="shared" si="1393"/>
        <v>0</v>
      </c>
      <c r="CS561" s="269">
        <f>'Detailed Budget'!$AC$16</f>
        <v>10488008800.000002</v>
      </c>
      <c r="CT561" s="607">
        <f t="shared" si="1436"/>
        <v>0</v>
      </c>
      <c r="CU561" s="269">
        <f>'Detailed Budget'!$AC$24</f>
        <v>30624985696</v>
      </c>
      <c r="CV561" s="269">
        <f t="shared" si="1424"/>
        <v>0</v>
      </c>
      <c r="CW561" s="269"/>
      <c r="CX561" s="269">
        <f t="shared" si="1522"/>
        <v>0</v>
      </c>
      <c r="CY561" s="196">
        <f>'Detailed Budget'!$AC$97</f>
        <v>74629165494.837845</v>
      </c>
      <c r="CZ561" s="269">
        <f t="shared" si="1437"/>
        <v>94052357.668849513</v>
      </c>
      <c r="DA561" s="269">
        <f>'Detailed Budget'!$AC$100</f>
        <v>14925833098.967569</v>
      </c>
      <c r="DB561" s="269">
        <f t="shared" si="1438"/>
        <v>18810471.533769902</v>
      </c>
      <c r="DC561" s="269">
        <f t="shared" si="1511"/>
        <v>112862829.20261942</v>
      </c>
      <c r="DD561" s="207">
        <v>0</v>
      </c>
      <c r="DE561" s="606">
        <v>0</v>
      </c>
      <c r="DF561" s="269">
        <f>'Detailed Budget'!$AC$147</f>
        <v>5913600671000</v>
      </c>
      <c r="DG561" s="269">
        <f t="shared" si="1419"/>
        <v>0</v>
      </c>
      <c r="DH561" s="269">
        <f>'Detailed Budget'!$AC$153</f>
        <v>226428026880.00003</v>
      </c>
      <c r="DI561" s="269"/>
      <c r="DJ561" s="269">
        <f>'Detailed Budget'!$AC$156</f>
        <v>27713070000</v>
      </c>
      <c r="DK561" s="269"/>
      <c r="DL561" s="269"/>
      <c r="DM561" s="196">
        <f>'Detailed Budget'!$AC$178</f>
        <v>5622683761.6229038</v>
      </c>
      <c r="DN561" s="269">
        <f t="shared" si="1497"/>
        <v>0</v>
      </c>
      <c r="DO561" s="196">
        <f>'Detailed Budget'!$AC$179</f>
        <v>26827890683.128094</v>
      </c>
      <c r="DP561" s="269">
        <f t="shared" si="1498"/>
        <v>0</v>
      </c>
      <c r="DQ561" s="269">
        <f t="shared" si="1388"/>
        <v>0</v>
      </c>
      <c r="DR561" s="269">
        <f>'Detailed Budget'!$AC$181</f>
        <v>50888946855.375237</v>
      </c>
      <c r="DS561" s="269">
        <f t="shared" si="1499"/>
        <v>0</v>
      </c>
      <c r="DT561" s="269">
        <f t="shared" si="1500"/>
        <v>0</v>
      </c>
      <c r="DU561" s="272">
        <f>'Detailed Budget'!$AC$192</f>
        <v>77498869683.252869</v>
      </c>
      <c r="DV561" s="269">
        <f t="shared" si="1439"/>
        <v>78218876.456986547</v>
      </c>
      <c r="DW561" s="140">
        <f>'Detailed Budget'!$AC$194</f>
        <v>2684962805.4134097</v>
      </c>
      <c r="DX561" s="269">
        <f t="shared" si="1440"/>
        <v>2709907.5744793564</v>
      </c>
      <c r="DY561" s="607">
        <f t="shared" si="1512"/>
        <v>80928784.031465903</v>
      </c>
      <c r="DZ561" s="196">
        <f>'Detailed Budget'!$AC$198</f>
        <v>18732540018.380611</v>
      </c>
      <c r="EA561" s="269">
        <f t="shared" si="1481"/>
        <v>18735016.650846902</v>
      </c>
      <c r="EB561" s="196">
        <f>'Detailed Budget'!$AC$200</f>
        <v>4683135004.5951529</v>
      </c>
      <c r="EC561" s="269">
        <f t="shared" si="1442"/>
        <v>4683754.1627117256</v>
      </c>
      <c r="ED561" s="269">
        <f t="shared" si="1513"/>
        <v>23418770.813558627</v>
      </c>
      <c r="EE561" s="196">
        <f>'Detailed Budget'!$AC$161</f>
        <v>251147290106.36197</v>
      </c>
      <c r="EF561" s="269">
        <f t="shared" si="1443"/>
        <v>253480585.42822284</v>
      </c>
      <c r="EG561" s="196">
        <f>'Detailed Budget'!$AC$163</f>
        <v>15696705631.647623</v>
      </c>
      <c r="EH561" s="269">
        <f t="shared" si="1444"/>
        <v>15842536.589263927</v>
      </c>
      <c r="EI561" s="269">
        <f t="shared" si="1514"/>
        <v>269323122.01748675</v>
      </c>
      <c r="EJ561" s="196">
        <f>'Detailed Budget'!$AC$204</f>
        <v>45012172507.531975</v>
      </c>
      <c r="EK561" s="269">
        <f t="shared" si="1445"/>
        <v>25746715.006527886</v>
      </c>
      <c r="EL561" s="201">
        <f>'Detailed Budget'!$AC$206</f>
        <v>11253043126.882994</v>
      </c>
      <c r="EM561" s="269">
        <f t="shared" si="1446"/>
        <v>6436678.7516319714</v>
      </c>
      <c r="EN561" s="269">
        <f t="shared" si="1515"/>
        <v>32183393.758159857</v>
      </c>
      <c r="EO561" s="140">
        <f>'Detailed Budget'!$AC$209</f>
        <v>135789361677.54817</v>
      </c>
      <c r="EP561" s="269">
        <f t="shared" si="1447"/>
        <v>93314109.665989533</v>
      </c>
      <c r="EQ561" s="196">
        <f>'Detailed Budget'!$AC$211</f>
        <v>33947340419.387043</v>
      </c>
      <c r="ER561" s="269">
        <f t="shared" si="1448"/>
        <v>23328527.416497383</v>
      </c>
      <c r="ES561" s="269">
        <f t="shared" si="1516"/>
        <v>116642637.08248691</v>
      </c>
      <c r="ET561" s="196">
        <f>'Detailed Budget'!$AC$214</f>
        <v>22239745544.201103</v>
      </c>
      <c r="EU561" s="269">
        <f t="shared" si="1449"/>
        <v>14842513.954718538</v>
      </c>
      <c r="EV561" s="140">
        <f>'Detailed Budget'!$AC$217</f>
        <v>5559936386.0502758</v>
      </c>
      <c r="EW561" s="269">
        <f t="shared" si="1450"/>
        <v>3710628.4886796344</v>
      </c>
      <c r="EX561" s="269">
        <f t="shared" si="1517"/>
        <v>18553142.44339817</v>
      </c>
      <c r="EY561" s="196">
        <f>'Detailed Budget'!$AC$219</f>
        <v>372777004.58170313</v>
      </c>
      <c r="EZ561" s="269">
        <f t="shared" si="1451"/>
        <v>260447.14546835175</v>
      </c>
      <c r="FA561" s="196">
        <f>'Detailed Budget'!$AC$222</f>
        <v>93194251.145425782</v>
      </c>
      <c r="FB561" s="269">
        <f t="shared" si="1452"/>
        <v>65111.786367087938</v>
      </c>
      <c r="FC561" s="269">
        <f t="shared" si="1518"/>
        <v>325558.9318354397</v>
      </c>
      <c r="FD561" s="269"/>
      <c r="FE561" s="269">
        <f t="shared" si="1519"/>
        <v>167704732.21588039</v>
      </c>
      <c r="FF561" s="140"/>
      <c r="FG561" s="1087">
        <f t="shared" si="1420"/>
        <v>228760355.76492432</v>
      </c>
      <c r="FJ561" s="140">
        <f>'Detailed Budget'!$AC$235</f>
        <v>3623696172</v>
      </c>
      <c r="FK561" s="269">
        <f t="shared" si="1482"/>
        <v>4681778</v>
      </c>
      <c r="FL561" s="269">
        <f t="shared" si="1421"/>
        <v>4681778</v>
      </c>
      <c r="FO561" s="607"/>
      <c r="FP561" s="607"/>
      <c r="FQ561" s="607"/>
      <c r="FR561" s="269">
        <f>'Detailed Budget'!$AC$257</f>
        <v>13636439388</v>
      </c>
      <c r="FS561" s="269">
        <f t="shared" si="1483"/>
        <v>7495019.9999999991</v>
      </c>
      <c r="FT561" s="269">
        <f t="shared" si="1422"/>
        <v>7495019.9999999991</v>
      </c>
      <c r="FU561" s="269"/>
      <c r="FV561" s="269"/>
      <c r="FW561" s="269"/>
      <c r="FX561" s="140">
        <f>'Detailed Budget'!$AC$278</f>
        <v>1114560000</v>
      </c>
      <c r="FY561" s="269">
        <f t="shared" si="1484"/>
        <v>1440000</v>
      </c>
      <c r="FZ561" s="269">
        <f t="shared" si="1423"/>
        <v>1440000</v>
      </c>
      <c r="GB561" s="269">
        <f t="shared" si="1431"/>
        <v>896615392.04593539</v>
      </c>
      <c r="GC561" s="887">
        <f t="shared" si="1520"/>
        <v>560384.62002870964</v>
      </c>
      <c r="GD561" s="1078">
        <f t="shared" si="1432"/>
        <v>5.0311913009136802E-4</v>
      </c>
    </row>
    <row r="562" spans="1:186" hidden="1" outlineLevel="1">
      <c r="A562" s="211" t="s">
        <v>1238</v>
      </c>
      <c r="B562" s="212" t="s">
        <v>1239</v>
      </c>
      <c r="C562" s="213" t="s">
        <v>215</v>
      </c>
      <c r="D562" s="214"/>
      <c r="E562" s="213"/>
      <c r="F562" s="213"/>
      <c r="G562" s="213" t="s">
        <v>215</v>
      </c>
      <c r="H562" s="213" t="s">
        <v>215</v>
      </c>
      <c r="I562" s="214" t="s">
        <v>215</v>
      </c>
      <c r="J562" s="214"/>
      <c r="K562" s="213"/>
      <c r="L562" s="213"/>
      <c r="M562" s="214" t="s">
        <v>215</v>
      </c>
      <c r="N562" s="213"/>
      <c r="O562" s="214"/>
      <c r="P562" s="213"/>
      <c r="Q562" s="214"/>
      <c r="R562" s="214" t="s">
        <v>215</v>
      </c>
      <c r="S562" s="214"/>
      <c r="T562" s="214"/>
      <c r="U562" s="215">
        <f t="shared" si="1502"/>
        <v>6</v>
      </c>
      <c r="V562" s="845" t="s">
        <v>216</v>
      </c>
      <c r="W562" s="216">
        <v>80270</v>
      </c>
      <c r="X562" s="217">
        <v>3.19</v>
      </c>
      <c r="Y562" s="218">
        <f t="shared" si="1477"/>
        <v>1.0319</v>
      </c>
      <c r="Z562" s="196">
        <v>19</v>
      </c>
      <c r="AA562" s="218">
        <f t="shared" si="1478"/>
        <v>1.8159949505681734</v>
      </c>
      <c r="AB562" s="196">
        <f t="shared" si="1475"/>
        <v>145769.91468210728</v>
      </c>
      <c r="AC562">
        <v>11.8</v>
      </c>
      <c r="AD562" s="196">
        <f t="shared" si="1476"/>
        <v>17200.849932488658</v>
      </c>
      <c r="AE562" s="196">
        <f t="shared" si="1479"/>
        <v>16340.807435864224</v>
      </c>
      <c r="AF562" s="196">
        <f t="shared" si="1485"/>
        <v>0</v>
      </c>
      <c r="AG562" s="606">
        <f t="shared" si="1523"/>
        <v>7.5552719834555231E-4</v>
      </c>
      <c r="AH562" s="196">
        <f t="shared" si="1501"/>
        <v>7288.4957341053641</v>
      </c>
      <c r="AI562" s="248">
        <f t="shared" si="1503"/>
        <v>5.6462872137145277E-4</v>
      </c>
      <c r="AJ562" s="196">
        <f t="shared" si="1504"/>
        <v>24489.345666594021</v>
      </c>
      <c r="AK562" s="196">
        <f t="shared" si="1391"/>
        <v>5830.7965872842915</v>
      </c>
      <c r="AL562" s="196">
        <f t="shared" si="1392"/>
        <v>5830.7965872842915</v>
      </c>
      <c r="AM562" s="196">
        <f t="shared" si="1505"/>
        <v>11661.593174568583</v>
      </c>
      <c r="AN562" s="627">
        <f t="shared" si="1506"/>
        <v>5.6462872137145277E-4</v>
      </c>
      <c r="AO562" s="196">
        <f t="shared" si="1507"/>
        <v>5539.2567579200768</v>
      </c>
      <c r="AP562" s="589">
        <f t="shared" si="1524"/>
        <v>5.6462872137145277E-4</v>
      </c>
      <c r="AQ562" s="196"/>
      <c r="AR562" s="589"/>
      <c r="AS562">
        <v>1</v>
      </c>
      <c r="AT562" s="589">
        <f t="shared" si="1525"/>
        <v>1.2919896640826874E-3</v>
      </c>
      <c r="AU562" s="196">
        <v>10</v>
      </c>
      <c r="AV562" s="245"/>
      <c r="AX562" s="245"/>
      <c r="AY562" s="245"/>
      <c r="AZ562" s="196">
        <v>16</v>
      </c>
      <c r="BA562" s="589">
        <f t="shared" si="1425"/>
        <v>5.8627386317833719E-4</v>
      </c>
      <c r="BI562" s="196">
        <v>0</v>
      </c>
      <c r="BK562" s="246">
        <f t="shared" si="1426"/>
        <v>0</v>
      </c>
      <c r="BL562" s="246"/>
      <c r="BM562" s="246">
        <f t="shared" si="1427"/>
        <v>0</v>
      </c>
      <c r="BN562" s="196">
        <v>1</v>
      </c>
      <c r="BO562" s="196">
        <f t="shared" si="1486"/>
        <v>7536.7774156038331</v>
      </c>
      <c r="BP562" s="196">
        <f t="shared" si="1508"/>
        <v>7536.7774156038331</v>
      </c>
      <c r="BQ562" s="248">
        <f t="shared" si="1428"/>
        <v>7.0503043035664566E-4</v>
      </c>
      <c r="BR562" s="248"/>
      <c r="BS562" s="248"/>
      <c r="BT562" s="276">
        <v>0</v>
      </c>
      <c r="BU562" s="196">
        <f t="shared" si="1487"/>
        <v>0</v>
      </c>
      <c r="BV562" s="264">
        <f t="shared" si="1429"/>
        <v>0</v>
      </c>
      <c r="BW562" s="196">
        <f t="shared" si="1488"/>
        <v>0</v>
      </c>
      <c r="BX562" s="247">
        <f t="shared" si="1430"/>
        <v>0</v>
      </c>
      <c r="BY562" s="196">
        <f t="shared" si="1489"/>
        <v>0</v>
      </c>
      <c r="BZ562" s="620">
        <v>1</v>
      </c>
      <c r="CA562" s="196">
        <f t="shared" si="1490"/>
        <v>44605.593892724828</v>
      </c>
      <c r="CB562" s="196">
        <f t="shared" si="1491"/>
        <v>89211.187785449656</v>
      </c>
      <c r="CC562" s="196">
        <f t="shared" si="1521"/>
        <v>133816.78167817448</v>
      </c>
      <c r="CD562" s="247">
        <f t="shared" si="1509"/>
        <v>5.6462872137145277E-4</v>
      </c>
      <c r="CE562" s="196">
        <f t="shared" si="1492"/>
        <v>12956.576371065074</v>
      </c>
      <c r="CF562" s="247">
        <f t="shared" si="1510"/>
        <v>5.5950526195112319E-4</v>
      </c>
      <c r="CG562" s="196">
        <f t="shared" si="1434"/>
        <v>22157.027031680307</v>
      </c>
      <c r="CH562" s="589">
        <f t="shared" si="1526"/>
        <v>5.6462872137145277E-4</v>
      </c>
      <c r="CI562" s="196">
        <f t="shared" si="1493"/>
        <v>19464.213781050381</v>
      </c>
      <c r="CJ562" s="248">
        <f t="shared" si="1527"/>
        <v>3.1999162515376132E-4</v>
      </c>
      <c r="CK562" s="196">
        <f t="shared" si="1494"/>
        <v>26743.254865883955</v>
      </c>
      <c r="CL562" s="589">
        <f t="shared" si="1528"/>
        <v>3.844397895499206E-4</v>
      </c>
      <c r="CM562" s="196">
        <f t="shared" si="1495"/>
        <v>2590.7540286159929</v>
      </c>
      <c r="CN562" s="589">
        <f t="shared" si="1529"/>
        <v>3.7335709853902676E-4</v>
      </c>
      <c r="CO562" s="196">
        <f t="shared" si="1496"/>
        <v>207.25786977528938</v>
      </c>
      <c r="CP562" s="589">
        <f t="shared" si="1530"/>
        <v>3.9085641880733324E-4</v>
      </c>
      <c r="CQ562" s="196">
        <f>'Detailed Budget'!$AC$12</f>
        <v>292876014141.44696</v>
      </c>
      <c r="CR562" s="269">
        <f t="shared" si="1393"/>
        <v>0</v>
      </c>
      <c r="CS562" s="269">
        <f>'Detailed Budget'!$AC$16</f>
        <v>10488008800.000002</v>
      </c>
      <c r="CT562" s="607">
        <f t="shared" si="1436"/>
        <v>0</v>
      </c>
      <c r="CU562" s="269">
        <f>'Detailed Budget'!$AC$24</f>
        <v>30624985696</v>
      </c>
      <c r="CV562" s="269">
        <f t="shared" si="1424"/>
        <v>0</v>
      </c>
      <c r="CW562" s="269"/>
      <c r="CX562" s="269">
        <f t="shared" si="1522"/>
        <v>0</v>
      </c>
      <c r="CY562" s="196">
        <f>'Detailed Budget'!$AC$97</f>
        <v>74629165494.837845</v>
      </c>
      <c r="CZ562" s="269">
        <f t="shared" si="1437"/>
        <v>52615832.665982857</v>
      </c>
      <c r="DA562" s="269">
        <f>'Detailed Budget'!$AC$100</f>
        <v>14925833098.967569</v>
      </c>
      <c r="DB562" s="269">
        <f t="shared" si="1438"/>
        <v>10523166.533196572</v>
      </c>
      <c r="DC562" s="269">
        <f t="shared" si="1511"/>
        <v>63138999.199179426</v>
      </c>
      <c r="DD562" s="207">
        <v>0</v>
      </c>
      <c r="DE562" s="606">
        <v>0</v>
      </c>
      <c r="DF562" s="269">
        <f>'Detailed Budget'!$AC$147</f>
        <v>5913600671000</v>
      </c>
      <c r="DG562" s="269">
        <f t="shared" si="1419"/>
        <v>0</v>
      </c>
      <c r="DH562" s="269">
        <f>'Detailed Budget'!$AC$153</f>
        <v>226428026880.00003</v>
      </c>
      <c r="DI562" s="269"/>
      <c r="DJ562" s="269">
        <f>'Detailed Budget'!$AC$156</f>
        <v>27713070000</v>
      </c>
      <c r="DK562" s="269"/>
      <c r="DL562" s="269"/>
      <c r="DM562" s="196">
        <f>'Detailed Budget'!$AC$178</f>
        <v>5622683761.6229038</v>
      </c>
      <c r="DN562" s="269">
        <f t="shared" si="1497"/>
        <v>0</v>
      </c>
      <c r="DO562" s="196">
        <f>'Detailed Budget'!$AC$179</f>
        <v>26827890683.128094</v>
      </c>
      <c r="DP562" s="269">
        <f t="shared" si="1498"/>
        <v>0</v>
      </c>
      <c r="DQ562" s="269">
        <f t="shared" si="1388"/>
        <v>0</v>
      </c>
      <c r="DR562" s="269">
        <f>'Detailed Budget'!$AC$181</f>
        <v>50888946855.375237</v>
      </c>
      <c r="DS562" s="269">
        <f t="shared" si="1499"/>
        <v>0</v>
      </c>
      <c r="DT562" s="269">
        <f t="shared" si="1500"/>
        <v>0</v>
      </c>
      <c r="DU562" s="272">
        <f>'Detailed Budget'!$AC$192</f>
        <v>77498869683.252869</v>
      </c>
      <c r="DV562" s="269">
        <f t="shared" si="1439"/>
        <v>43758087.696987912</v>
      </c>
      <c r="DW562" s="140">
        <f>'Detailed Budget'!$AC$194</f>
        <v>2684962805.4134097</v>
      </c>
      <c r="DX562" s="269">
        <f t="shared" si="1440"/>
        <v>1516007.1157504823</v>
      </c>
      <c r="DY562" s="607">
        <f t="shared" si="1512"/>
        <v>45274094.812738396</v>
      </c>
      <c r="DZ562" s="196">
        <f>'Detailed Budget'!$AC$198</f>
        <v>18732540018.380611</v>
      </c>
      <c r="EA562" s="269">
        <f t="shared" si="1481"/>
        <v>10480954.709993942</v>
      </c>
      <c r="EB562" s="196">
        <f>'Detailed Budget'!$AC$200</f>
        <v>4683135004.5951529</v>
      </c>
      <c r="EC562" s="269">
        <f t="shared" si="1442"/>
        <v>2620238.6774984854</v>
      </c>
      <c r="ED562" s="269">
        <f t="shared" si="1513"/>
        <v>13101193.387492428</v>
      </c>
      <c r="EE562" s="196">
        <f>'Detailed Budget'!$AC$161</f>
        <v>251147290106.36197</v>
      </c>
      <c r="EF562" s="269">
        <f t="shared" si="1443"/>
        <v>141804973.28866047</v>
      </c>
      <c r="EG562" s="196">
        <f>'Detailed Budget'!$AC$163</f>
        <v>15696705631.647623</v>
      </c>
      <c r="EH562" s="269">
        <f t="shared" si="1444"/>
        <v>8862810.8305412792</v>
      </c>
      <c r="EI562" s="269">
        <f t="shared" si="1514"/>
        <v>150667784.11920175</v>
      </c>
      <c r="EJ562" s="196">
        <f>'Detailed Budget'!$AC$204</f>
        <v>45012172507.531975</v>
      </c>
      <c r="EK562" s="269">
        <f t="shared" si="1445"/>
        <v>14403518.232386613</v>
      </c>
      <c r="EL562" s="201">
        <f>'Detailed Budget'!$AC$206</f>
        <v>11253043126.882994</v>
      </c>
      <c r="EM562" s="269">
        <f t="shared" si="1446"/>
        <v>3600879.5580966533</v>
      </c>
      <c r="EN562" s="269">
        <f t="shared" si="1515"/>
        <v>18004397.790483266</v>
      </c>
      <c r="EO562" s="140">
        <f>'Detailed Budget'!$AC$209</f>
        <v>135789361677.54817</v>
      </c>
      <c r="EP562" s="269">
        <f t="shared" si="1447"/>
        <v>52202833.626434669</v>
      </c>
      <c r="EQ562" s="196">
        <f>'Detailed Budget'!$AC$211</f>
        <v>33947340419.387043</v>
      </c>
      <c r="ER562" s="269">
        <f t="shared" si="1448"/>
        <v>13050708.406608667</v>
      </c>
      <c r="ES562" s="269">
        <f t="shared" si="1516"/>
        <v>65253542.03304334</v>
      </c>
      <c r="ET562" s="196">
        <f>'Detailed Budget'!$AC$214</f>
        <v>22239745544.201103</v>
      </c>
      <c r="EU562" s="269">
        <f t="shared" si="1449"/>
        <v>8303366.8686291724</v>
      </c>
      <c r="EV562" s="140">
        <f>'Detailed Budget'!$AC$217</f>
        <v>5559936386.0502758</v>
      </c>
      <c r="EW562" s="269">
        <f t="shared" si="1450"/>
        <v>2075841.7171572931</v>
      </c>
      <c r="EX562" s="269">
        <f t="shared" si="1517"/>
        <v>10379208.585786466</v>
      </c>
      <c r="EY562" s="196">
        <f>'Detailed Budget'!$AC$219</f>
        <v>372777004.58170313</v>
      </c>
      <c r="EZ562" s="269">
        <f t="shared" si="1451"/>
        <v>145702.28502452935</v>
      </c>
      <c r="FA562" s="196">
        <f>'Detailed Budget'!$AC$222</f>
        <v>93194251.145425782</v>
      </c>
      <c r="FB562" s="269">
        <f t="shared" si="1452"/>
        <v>36425.571256132338</v>
      </c>
      <c r="FC562" s="269">
        <f t="shared" si="1518"/>
        <v>182127.85628066168</v>
      </c>
      <c r="FD562" s="269"/>
      <c r="FE562" s="269">
        <f t="shared" si="1519"/>
        <v>93819276.265593722</v>
      </c>
      <c r="FF562" s="140"/>
      <c r="FG562" s="1087">
        <f t="shared" si="1420"/>
        <v>127975703.08569166</v>
      </c>
      <c r="FJ562" s="140">
        <f>'Detailed Budget'!$AC$235</f>
        <v>3623696172</v>
      </c>
      <c r="FK562" s="269">
        <f t="shared" si="1482"/>
        <v>4681778</v>
      </c>
      <c r="FL562" s="269">
        <f t="shared" si="1421"/>
        <v>4681778</v>
      </c>
      <c r="FO562" s="607"/>
      <c r="FP562" s="607"/>
      <c r="FQ562" s="607"/>
      <c r="FR562" s="269">
        <f>'Detailed Budget'!$AC$257</f>
        <v>13636439388</v>
      </c>
      <c r="FS562" s="269">
        <f t="shared" si="1483"/>
        <v>7994688</v>
      </c>
      <c r="FT562" s="269">
        <f t="shared" si="1422"/>
        <v>7994688</v>
      </c>
      <c r="FU562" s="269"/>
      <c r="FV562" s="269"/>
      <c r="FW562" s="269"/>
      <c r="FX562" s="140">
        <f>'Detailed Budget'!$AC$278</f>
        <v>1114560000</v>
      </c>
      <c r="FY562" s="269">
        <f t="shared" si="1484"/>
        <v>1440000</v>
      </c>
      <c r="FZ562" s="269">
        <f t="shared" si="1423"/>
        <v>1440000</v>
      </c>
      <c r="GB562" s="269">
        <f t="shared" si="1431"/>
        <v>508093516.86989737</v>
      </c>
      <c r="GC562" s="887">
        <f t="shared" si="1520"/>
        <v>317558.44804368587</v>
      </c>
      <c r="GD562" s="1078">
        <f t="shared" si="1432"/>
        <v>2.8510727172476432E-4</v>
      </c>
    </row>
    <row r="563" spans="1:186" hidden="1" outlineLevel="1">
      <c r="A563" s="211" t="s">
        <v>1240</v>
      </c>
      <c r="B563" s="212" t="s">
        <v>1241</v>
      </c>
      <c r="C563" s="213" t="s">
        <v>215</v>
      </c>
      <c r="D563" s="214"/>
      <c r="E563" s="213"/>
      <c r="F563" s="213"/>
      <c r="G563" s="213" t="s">
        <v>215</v>
      </c>
      <c r="H563" s="213" t="s">
        <v>215</v>
      </c>
      <c r="I563" s="214" t="s">
        <v>215</v>
      </c>
      <c r="J563" s="214"/>
      <c r="K563" s="213"/>
      <c r="L563" s="213"/>
      <c r="M563" s="214" t="s">
        <v>215</v>
      </c>
      <c r="N563" s="213"/>
      <c r="O563" s="214"/>
      <c r="P563" s="213"/>
      <c r="Q563" s="214"/>
      <c r="R563" s="214" t="s">
        <v>215</v>
      </c>
      <c r="S563" s="214"/>
      <c r="T563" s="214"/>
      <c r="U563" s="215">
        <f t="shared" si="1502"/>
        <v>6</v>
      </c>
      <c r="V563" s="845" t="s">
        <v>216</v>
      </c>
      <c r="W563" s="216">
        <v>127691</v>
      </c>
      <c r="X563" s="217">
        <v>3.19</v>
      </c>
      <c r="Y563" s="218">
        <f t="shared" si="1477"/>
        <v>1.0319</v>
      </c>
      <c r="Z563" s="196">
        <v>19</v>
      </c>
      <c r="AA563" s="218">
        <f t="shared" si="1478"/>
        <v>1.8159949505681734</v>
      </c>
      <c r="AB563" s="196">
        <f t="shared" si="1475"/>
        <v>231886.21123300062</v>
      </c>
      <c r="AC563">
        <v>11.8</v>
      </c>
      <c r="AD563" s="196">
        <f t="shared" si="1476"/>
        <v>27362.572925494074</v>
      </c>
      <c r="AE563" s="196">
        <f t="shared" si="1479"/>
        <v>25994.444279219369</v>
      </c>
      <c r="AF563" s="196">
        <f t="shared" si="1485"/>
        <v>0</v>
      </c>
      <c r="AG563" s="606">
        <f t="shared" si="1523"/>
        <v>1.2018689857224607E-3</v>
      </c>
      <c r="AH563" s="196">
        <f t="shared" si="1501"/>
        <v>11594.310561650032</v>
      </c>
      <c r="AI563" s="248">
        <f t="shared" si="1503"/>
        <v>8.9819367211464035E-4</v>
      </c>
      <c r="AJ563" s="196">
        <f t="shared" si="1504"/>
        <v>38956.883487144107</v>
      </c>
      <c r="AK563" s="196">
        <f t="shared" si="1391"/>
        <v>9275.4484493200252</v>
      </c>
      <c r="AL563" s="196">
        <f t="shared" si="1392"/>
        <v>9275.4484493200252</v>
      </c>
      <c r="AM563" s="196">
        <f t="shared" si="1505"/>
        <v>18550.89689864005</v>
      </c>
      <c r="AN563" s="627">
        <f t="shared" si="1506"/>
        <v>8.9819367211464035E-4</v>
      </c>
      <c r="AO563" s="196">
        <f t="shared" si="1507"/>
        <v>8811.6760268540238</v>
      </c>
      <c r="AP563" s="589">
        <f t="shared" si="1524"/>
        <v>8.9819367211464024E-4</v>
      </c>
      <c r="AQ563" s="196"/>
      <c r="AR563" s="589"/>
      <c r="AS563">
        <v>1</v>
      </c>
      <c r="AT563" s="589">
        <f t="shared" si="1525"/>
        <v>1.2919896640826874E-3</v>
      </c>
      <c r="AU563" s="196">
        <v>11</v>
      </c>
      <c r="AV563" s="245"/>
      <c r="AX563" s="245"/>
      <c r="AY563" s="245"/>
      <c r="AZ563" s="196">
        <v>19</v>
      </c>
      <c r="BA563" s="589">
        <f t="shared" si="1425"/>
        <v>6.9620021252427542E-4</v>
      </c>
      <c r="BI563" s="196">
        <v>0</v>
      </c>
      <c r="BK563" s="246">
        <f t="shared" si="1426"/>
        <v>0</v>
      </c>
      <c r="BL563" s="246"/>
      <c r="BM563" s="246">
        <f t="shared" si="1427"/>
        <v>0</v>
      </c>
      <c r="BN563" s="196">
        <v>1</v>
      </c>
      <c r="BO563" s="196">
        <f t="shared" si="1486"/>
        <v>11989.269278383819</v>
      </c>
      <c r="BP563" s="196">
        <f t="shared" si="1508"/>
        <v>11989.269278383819</v>
      </c>
      <c r="BQ563" s="248">
        <f t="shared" si="1428"/>
        <v>1.121540309987174E-3</v>
      </c>
      <c r="BR563" s="248"/>
      <c r="BS563" s="248"/>
      <c r="BT563" s="276">
        <v>0</v>
      </c>
      <c r="BU563" s="196">
        <f t="shared" si="1487"/>
        <v>0</v>
      </c>
      <c r="BV563" s="264">
        <f t="shared" si="1429"/>
        <v>0</v>
      </c>
      <c r="BW563" s="196">
        <f t="shared" si="1488"/>
        <v>0</v>
      </c>
      <c r="BX563" s="247">
        <f t="shared" si="1430"/>
        <v>0</v>
      </c>
      <c r="BY563" s="196">
        <f t="shared" si="1489"/>
        <v>0</v>
      </c>
      <c r="BZ563" s="620">
        <v>1</v>
      </c>
      <c r="CA563" s="196">
        <f t="shared" si="1490"/>
        <v>70957.180637298181</v>
      </c>
      <c r="CB563" s="196">
        <f t="shared" si="1491"/>
        <v>141914.36127459636</v>
      </c>
      <c r="CC563" s="196">
        <f t="shared" si="1521"/>
        <v>212871.54191189454</v>
      </c>
      <c r="CD563" s="247">
        <f t="shared" si="1509"/>
        <v>8.9819367211464013E-4</v>
      </c>
      <c r="CE563" s="196">
        <f t="shared" si="1492"/>
        <v>20610.915577397162</v>
      </c>
      <c r="CF563" s="247">
        <f t="shared" si="1510"/>
        <v>8.9004343345958472E-4</v>
      </c>
      <c r="CG563" s="196">
        <f t="shared" si="1434"/>
        <v>35246.704107416095</v>
      </c>
      <c r="CH563" s="589">
        <f t="shared" si="1526"/>
        <v>8.9819367211464024E-4</v>
      </c>
      <c r="CI563" s="196">
        <f t="shared" si="1493"/>
        <v>30963.06119242686</v>
      </c>
      <c r="CJ563" s="248">
        <f t="shared" si="1527"/>
        <v>5.0903264740885686E-4</v>
      </c>
      <c r="CK563" s="196">
        <f t="shared" si="1494"/>
        <v>42542.331594363874</v>
      </c>
      <c r="CL563" s="589">
        <f t="shared" si="1528"/>
        <v>6.1155476725325664E-4</v>
      </c>
      <c r="CM563" s="196">
        <f t="shared" si="1495"/>
        <v>4121.2903035754916</v>
      </c>
      <c r="CN563" s="589">
        <f t="shared" si="1529"/>
        <v>5.9392476977135746E-4</v>
      </c>
      <c r="CO563" s="196">
        <f t="shared" si="1496"/>
        <v>329.69932290365614</v>
      </c>
      <c r="CP563" s="589">
        <f t="shared" si="1530"/>
        <v>6.2176213995175276E-4</v>
      </c>
      <c r="CQ563" s="196">
        <f>'Detailed Budget'!$AC$12</f>
        <v>292876014141.44696</v>
      </c>
      <c r="CR563" s="269">
        <f t="shared" si="1393"/>
        <v>0</v>
      </c>
      <c r="CS563" s="269">
        <f>'Detailed Budget'!$AC$16</f>
        <v>10488008800.000002</v>
      </c>
      <c r="CT563" s="607">
        <f t="shared" si="1436"/>
        <v>0</v>
      </c>
      <c r="CU563" s="269">
        <f>'Detailed Budget'!$AC$24</f>
        <v>30624985696</v>
      </c>
      <c r="CV563" s="269">
        <f t="shared" si="1424"/>
        <v>0</v>
      </c>
      <c r="CW563" s="269"/>
      <c r="CX563" s="269">
        <f t="shared" si="1522"/>
        <v>0</v>
      </c>
      <c r="CY563" s="196">
        <f>'Detailed Budget'!$AC$97</f>
        <v>74629165494.837845</v>
      </c>
      <c r="CZ563" s="269">
        <f t="shared" si="1437"/>
        <v>83699617.403164551</v>
      </c>
      <c r="DA563" s="269">
        <f>'Detailed Budget'!$AC$100</f>
        <v>14925833098.967569</v>
      </c>
      <c r="DB563" s="269">
        <f t="shared" si="1438"/>
        <v>16739923.480632911</v>
      </c>
      <c r="DC563" s="269">
        <f t="shared" si="1511"/>
        <v>100439540.88379747</v>
      </c>
      <c r="DD563" s="207">
        <v>0</v>
      </c>
      <c r="DE563" s="606">
        <v>0</v>
      </c>
      <c r="DF563" s="269">
        <f>'Detailed Budget'!$AC$147</f>
        <v>5913600671000</v>
      </c>
      <c r="DG563" s="269">
        <f t="shared" si="1419"/>
        <v>0</v>
      </c>
      <c r="DH563" s="269">
        <f>'Detailed Budget'!$AC$153</f>
        <v>226428026880.00003</v>
      </c>
      <c r="DI563" s="269"/>
      <c r="DJ563" s="269">
        <f>'Detailed Budget'!$AC$156</f>
        <v>27713070000</v>
      </c>
      <c r="DK563" s="269"/>
      <c r="DL563" s="269"/>
      <c r="DM563" s="196">
        <f>'Detailed Budget'!$AC$178</f>
        <v>5622683761.6229038</v>
      </c>
      <c r="DN563" s="269">
        <f t="shared" si="1497"/>
        <v>0</v>
      </c>
      <c r="DO563" s="196">
        <f>'Detailed Budget'!$AC$179</f>
        <v>26827890683.128094</v>
      </c>
      <c r="DP563" s="269">
        <f t="shared" si="1498"/>
        <v>0</v>
      </c>
      <c r="DQ563" s="269">
        <f t="shared" si="1388"/>
        <v>0</v>
      </c>
      <c r="DR563" s="269">
        <f>'Detailed Budget'!$AC$181</f>
        <v>50888946855.375237</v>
      </c>
      <c r="DS563" s="269">
        <f t="shared" si="1499"/>
        <v>0</v>
      </c>
      <c r="DT563" s="269">
        <f t="shared" si="1500"/>
        <v>0</v>
      </c>
      <c r="DU563" s="272">
        <f>'Detailed Budget'!$AC$192</f>
        <v>77498869683.252869</v>
      </c>
      <c r="DV563" s="269">
        <f t="shared" si="1439"/>
        <v>69608994.345534846</v>
      </c>
      <c r="DW563" s="140">
        <f>'Detailed Budget'!$AC$194</f>
        <v>2684962805.4134097</v>
      </c>
      <c r="DX563" s="269">
        <f t="shared" si="1440"/>
        <v>2411616.601685497</v>
      </c>
      <c r="DY563" s="607">
        <f t="shared" si="1512"/>
        <v>72020610.94722034</v>
      </c>
      <c r="DZ563" s="196">
        <f>'Detailed Budget'!$AC$198</f>
        <v>18732540018.380611</v>
      </c>
      <c r="EA563" s="269">
        <f t="shared" si="1481"/>
        <v>16672774.235378552</v>
      </c>
      <c r="EB563" s="196">
        <f>'Detailed Budget'!$AC$200</f>
        <v>4683135004.5951529</v>
      </c>
      <c r="EC563" s="269">
        <f t="shared" si="1442"/>
        <v>4168193.5588446381</v>
      </c>
      <c r="ED563" s="269">
        <f t="shared" si="1513"/>
        <v>20840967.794223189</v>
      </c>
      <c r="EE563" s="196">
        <f>'Detailed Budget'!$AC$161</f>
        <v>251147290106.36197</v>
      </c>
      <c r="EF563" s="269">
        <f t="shared" si="1443"/>
        <v>225578906.74227411</v>
      </c>
      <c r="EG563" s="196">
        <f>'Detailed Budget'!$AC$163</f>
        <v>15696705631.647623</v>
      </c>
      <c r="EH563" s="269">
        <f t="shared" si="1444"/>
        <v>14098681.671392132</v>
      </c>
      <c r="EI563" s="269">
        <f t="shared" si="1514"/>
        <v>239677588.41366625</v>
      </c>
      <c r="EJ563" s="196">
        <f>'Detailed Budget'!$AC$204</f>
        <v>45012172507.531975</v>
      </c>
      <c r="EK563" s="269">
        <f t="shared" si="1445"/>
        <v>22912665.337133165</v>
      </c>
      <c r="EL563" s="201">
        <f>'Detailed Budget'!$AC$206</f>
        <v>11253043126.882994</v>
      </c>
      <c r="EM563" s="269">
        <f t="shared" si="1446"/>
        <v>5728166.3342832914</v>
      </c>
      <c r="EN563" s="269">
        <f t="shared" si="1515"/>
        <v>28640831.671416458</v>
      </c>
      <c r="EO563" s="140">
        <f>'Detailed Budget'!$AC$209</f>
        <v>135789361677.54817</v>
      </c>
      <c r="EP563" s="269">
        <f t="shared" si="1447"/>
        <v>83042631.476181254</v>
      </c>
      <c r="EQ563" s="196">
        <f>'Detailed Budget'!$AC$211</f>
        <v>33947340419.387043</v>
      </c>
      <c r="ER563" s="269">
        <f t="shared" si="1448"/>
        <v>20760657.869045313</v>
      </c>
      <c r="ES563" s="269">
        <f t="shared" si="1516"/>
        <v>103803289.34522657</v>
      </c>
      <c r="ET563" s="196">
        <f>'Detailed Budget'!$AC$214</f>
        <v>22239745544.201103</v>
      </c>
      <c r="EU563" s="269">
        <f t="shared" si="1449"/>
        <v>13208735.752113214</v>
      </c>
      <c r="EV563" s="140">
        <f>'Detailed Budget'!$AC$217</f>
        <v>5559936386.0502758</v>
      </c>
      <c r="EW563" s="269">
        <f t="shared" si="1450"/>
        <v>3302183.9380283034</v>
      </c>
      <c r="EX563" s="269">
        <f t="shared" si="1517"/>
        <v>16510919.690141518</v>
      </c>
      <c r="EY563" s="196">
        <f>'Detailed Budget'!$AC$219</f>
        <v>372777004.58170313</v>
      </c>
      <c r="EZ563" s="269">
        <f t="shared" si="1451"/>
        <v>231778.62809352408</v>
      </c>
      <c r="FA563" s="196">
        <f>'Detailed Budget'!$AC$222</f>
        <v>93194251.145425782</v>
      </c>
      <c r="FB563" s="269">
        <f t="shared" si="1452"/>
        <v>57944.65702338102</v>
      </c>
      <c r="FC563" s="269">
        <f t="shared" si="1518"/>
        <v>289723.28511690511</v>
      </c>
      <c r="FD563" s="269"/>
      <c r="FE563" s="269">
        <f t="shared" si="1519"/>
        <v>149244763.99190146</v>
      </c>
      <c r="FF563" s="140"/>
      <c r="FG563" s="1087">
        <f t="shared" si="1420"/>
        <v>203579737.17098615</v>
      </c>
      <c r="FJ563" s="140">
        <f>'Detailed Budget'!$AC$235</f>
        <v>3623696172</v>
      </c>
      <c r="FK563" s="269">
        <f t="shared" si="1482"/>
        <v>4681778</v>
      </c>
      <c r="FL563" s="269">
        <f t="shared" si="1421"/>
        <v>4681778</v>
      </c>
      <c r="FO563" s="607"/>
      <c r="FP563" s="607"/>
      <c r="FQ563" s="607"/>
      <c r="FR563" s="269">
        <f>'Detailed Budget'!$AC$257</f>
        <v>13636439388</v>
      </c>
      <c r="FS563" s="269">
        <f t="shared" si="1483"/>
        <v>9493692</v>
      </c>
      <c r="FT563" s="269">
        <f t="shared" si="1422"/>
        <v>9493692</v>
      </c>
      <c r="FU563" s="269"/>
      <c r="FV563" s="269"/>
      <c r="FW563" s="269"/>
      <c r="FX563" s="140">
        <f>'Detailed Budget'!$AC$278</f>
        <v>1114560000</v>
      </c>
      <c r="FY563" s="269">
        <f t="shared" si="1484"/>
        <v>1440000</v>
      </c>
      <c r="FZ563" s="269">
        <f t="shared" si="1423"/>
        <v>1440000</v>
      </c>
      <c r="GB563" s="269">
        <f t="shared" si="1431"/>
        <v>801418679.20179486</v>
      </c>
      <c r="GC563" s="887">
        <f t="shared" si="1520"/>
        <v>500886.6745011218</v>
      </c>
      <c r="GD563" s="1078">
        <f t="shared" si="1432"/>
        <v>4.4970125685542874E-4</v>
      </c>
    </row>
    <row r="564" spans="1:186" hidden="1" outlineLevel="1">
      <c r="A564" s="211" t="s">
        <v>1242</v>
      </c>
      <c r="B564" s="212" t="s">
        <v>1243</v>
      </c>
      <c r="C564" s="213" t="s">
        <v>215</v>
      </c>
      <c r="D564" s="214"/>
      <c r="E564" s="213"/>
      <c r="F564" s="213"/>
      <c r="G564" s="213" t="s">
        <v>215</v>
      </c>
      <c r="H564" s="213" t="s">
        <v>215</v>
      </c>
      <c r="I564" s="214" t="s">
        <v>215</v>
      </c>
      <c r="J564" s="214"/>
      <c r="K564" s="213"/>
      <c r="L564" s="213"/>
      <c r="M564" s="214" t="s">
        <v>215</v>
      </c>
      <c r="N564" s="213"/>
      <c r="O564" s="214"/>
      <c r="P564" s="213"/>
      <c r="Q564" s="214"/>
      <c r="R564" s="214" t="s">
        <v>215</v>
      </c>
      <c r="S564" s="214"/>
      <c r="T564" s="214"/>
      <c r="U564" s="215">
        <f t="shared" si="1502"/>
        <v>6</v>
      </c>
      <c r="V564" s="845" t="s">
        <v>216</v>
      </c>
      <c r="W564" s="216">
        <v>117432</v>
      </c>
      <c r="X564" s="217">
        <v>3.19</v>
      </c>
      <c r="Y564" s="218">
        <f t="shared" si="1477"/>
        <v>1.0319</v>
      </c>
      <c r="Z564" s="196">
        <v>19</v>
      </c>
      <c r="AA564" s="218">
        <f t="shared" si="1478"/>
        <v>1.8159949505681734</v>
      </c>
      <c r="AB564" s="196">
        <f t="shared" si="1475"/>
        <v>213255.91903512174</v>
      </c>
      <c r="AC564">
        <v>11.8</v>
      </c>
      <c r="AD564" s="196">
        <f t="shared" si="1476"/>
        <v>25164.198446144368</v>
      </c>
      <c r="AE564" s="196">
        <f t="shared" si="1479"/>
        <v>23905.98852383715</v>
      </c>
      <c r="AF564" s="196">
        <f t="shared" si="1485"/>
        <v>0</v>
      </c>
      <c r="AG564" s="606">
        <f t="shared" si="1523"/>
        <v>1.1053079600861458E-3</v>
      </c>
      <c r="AH564" s="196">
        <f t="shared" si="1501"/>
        <v>10662.795951756088</v>
      </c>
      <c r="AI564" s="248">
        <f t="shared" si="1503"/>
        <v>8.2603064666864892E-4</v>
      </c>
      <c r="AJ564" s="196">
        <f t="shared" si="1504"/>
        <v>35826.99439790046</v>
      </c>
      <c r="AK564" s="196">
        <f t="shared" si="1391"/>
        <v>8530.236761404869</v>
      </c>
      <c r="AL564" s="196">
        <f t="shared" si="1392"/>
        <v>8530.236761404869</v>
      </c>
      <c r="AM564" s="196">
        <f t="shared" si="1505"/>
        <v>17060.473522809738</v>
      </c>
      <c r="AN564" s="627">
        <f t="shared" si="1506"/>
        <v>8.2603064666864881E-4</v>
      </c>
      <c r="AO564" s="196">
        <f t="shared" si="1507"/>
        <v>8103.7249233346256</v>
      </c>
      <c r="AP564" s="589">
        <f t="shared" si="1524"/>
        <v>8.2603064666864881E-4</v>
      </c>
      <c r="AQ564" s="196"/>
      <c r="AR564" s="589"/>
      <c r="AS564">
        <v>1</v>
      </c>
      <c r="AT564" s="589">
        <f t="shared" si="1525"/>
        <v>1.2919896640826874E-3</v>
      </c>
      <c r="AU564" s="196">
        <v>10</v>
      </c>
      <c r="AV564" s="245"/>
      <c r="AX564" s="245"/>
      <c r="AY564" s="245"/>
      <c r="AZ564" s="196">
        <v>31</v>
      </c>
      <c r="BA564" s="589">
        <f t="shared" si="1425"/>
        <v>1.1359056099080284E-3</v>
      </c>
      <c r="BI564" s="196">
        <v>0</v>
      </c>
      <c r="BK564" s="246">
        <f t="shared" si="1426"/>
        <v>0</v>
      </c>
      <c r="BL564" s="246"/>
      <c r="BM564" s="246">
        <f t="shared" si="1427"/>
        <v>0</v>
      </c>
      <c r="BN564" s="196">
        <v>1</v>
      </c>
      <c r="BO564" s="196">
        <f t="shared" si="1486"/>
        <v>11026.022741611929</v>
      </c>
      <c r="BP564" s="196">
        <f t="shared" si="1508"/>
        <v>11026.022741611929</v>
      </c>
      <c r="BQ564" s="248">
        <f t="shared" si="1428"/>
        <v>1.031433082068539E-3</v>
      </c>
      <c r="BR564" s="248"/>
      <c r="BS564" s="248"/>
      <c r="BT564" s="276">
        <v>0</v>
      </c>
      <c r="BU564" s="196">
        <f t="shared" si="1487"/>
        <v>0</v>
      </c>
      <c r="BV564" s="264">
        <f t="shared" si="1429"/>
        <v>0</v>
      </c>
      <c r="BW564" s="196">
        <f t="shared" si="1488"/>
        <v>0</v>
      </c>
      <c r="BX564" s="247">
        <f t="shared" si="1430"/>
        <v>0</v>
      </c>
      <c r="BY564" s="196">
        <f t="shared" si="1489"/>
        <v>0</v>
      </c>
      <c r="BZ564" s="620">
        <v>1</v>
      </c>
      <c r="CA564" s="196">
        <f t="shared" si="1490"/>
        <v>65256.311224747245</v>
      </c>
      <c r="CB564" s="196">
        <f t="shared" si="1491"/>
        <v>130512.62244949449</v>
      </c>
      <c r="CC564" s="196">
        <f t="shared" si="1521"/>
        <v>195768.93367424174</v>
      </c>
      <c r="CD564" s="247">
        <f t="shared" si="1509"/>
        <v>8.2603064666864881E-4</v>
      </c>
      <c r="CE564" s="196">
        <f t="shared" si="1492"/>
        <v>18954.985379430844</v>
      </c>
      <c r="CF564" s="247">
        <f t="shared" si="1510"/>
        <v>8.1853521765845648E-4</v>
      </c>
      <c r="CG564" s="196">
        <f t="shared" si="1434"/>
        <v>32414.899693338502</v>
      </c>
      <c r="CH564" s="589">
        <f t="shared" si="1526"/>
        <v>8.2603064666864881E-4</v>
      </c>
      <c r="CI564" s="196">
        <f t="shared" si="1493"/>
        <v>28475.414883970458</v>
      </c>
      <c r="CJ564" s="248">
        <f t="shared" si="1527"/>
        <v>4.6813574841231476E-4</v>
      </c>
      <c r="CK564" s="196">
        <f t="shared" si="1494"/>
        <v>39124.379038376544</v>
      </c>
      <c r="CL564" s="589">
        <f t="shared" si="1528"/>
        <v>5.624209962180925E-4</v>
      </c>
      <c r="CM564" s="196">
        <f t="shared" si="1495"/>
        <v>3790.175994623562</v>
      </c>
      <c r="CN564" s="589">
        <f t="shared" si="1529"/>
        <v>5.462074348528093E-4</v>
      </c>
      <c r="CO564" s="196">
        <f t="shared" si="1496"/>
        <v>303.21049163388301</v>
      </c>
      <c r="CP564" s="589">
        <f t="shared" si="1530"/>
        <v>5.7180828420808235E-4</v>
      </c>
      <c r="CQ564" s="196">
        <f>'Detailed Budget'!$AC$12</f>
        <v>292876014141.44696</v>
      </c>
      <c r="CR564" s="269">
        <f t="shared" si="1393"/>
        <v>0</v>
      </c>
      <c r="CS564" s="269">
        <f>'Detailed Budget'!$AC$16</f>
        <v>10488008800.000002</v>
      </c>
      <c r="CT564" s="607">
        <f t="shared" si="1436"/>
        <v>0</v>
      </c>
      <c r="CU564" s="269">
        <f>'Detailed Budget'!$AC$24</f>
        <v>30624985696</v>
      </c>
      <c r="CV564" s="269">
        <f t="shared" si="1424"/>
        <v>0</v>
      </c>
      <c r="CW564" s="269"/>
      <c r="CX564" s="269">
        <f t="shared" si="1522"/>
        <v>0</v>
      </c>
      <c r="CY564" s="196">
        <f>'Detailed Budget'!$AC$97</f>
        <v>74629165494.837845</v>
      </c>
      <c r="CZ564" s="269">
        <f t="shared" si="1437"/>
        <v>76974990.178543657</v>
      </c>
      <c r="DA564" s="269">
        <f>'Detailed Budget'!$AC$100</f>
        <v>14925833098.967569</v>
      </c>
      <c r="DB564" s="269">
        <f t="shared" si="1438"/>
        <v>15394998.035708733</v>
      </c>
      <c r="DC564" s="269">
        <f t="shared" si="1511"/>
        <v>92369988.214252383</v>
      </c>
      <c r="DD564" s="207">
        <v>0</v>
      </c>
      <c r="DE564" s="606">
        <v>0</v>
      </c>
      <c r="DF564" s="269">
        <f>'Detailed Budget'!$AC$147</f>
        <v>5913600671000</v>
      </c>
      <c r="DG564" s="269">
        <f t="shared" si="1419"/>
        <v>0</v>
      </c>
      <c r="DH564" s="269">
        <f>'Detailed Budget'!$AC$153</f>
        <v>226428026880.00003</v>
      </c>
      <c r="DI564" s="269"/>
      <c r="DJ564" s="269">
        <f>'Detailed Budget'!$AC$156</f>
        <v>27713070000</v>
      </c>
      <c r="DK564" s="269"/>
      <c r="DL564" s="269"/>
      <c r="DM564" s="196">
        <f>'Detailed Budget'!$AC$178</f>
        <v>5622683761.6229038</v>
      </c>
      <c r="DN564" s="269">
        <f t="shared" si="1497"/>
        <v>0</v>
      </c>
      <c r="DO564" s="196">
        <f>'Detailed Budget'!$AC$179</f>
        <v>26827890683.128094</v>
      </c>
      <c r="DP564" s="269">
        <f t="shared" si="1498"/>
        <v>0</v>
      </c>
      <c r="DQ564" s="269">
        <f t="shared" si="1388"/>
        <v>0</v>
      </c>
      <c r="DR564" s="269">
        <f>'Detailed Budget'!$AC$181</f>
        <v>50888946855.375237</v>
      </c>
      <c r="DS564" s="269">
        <f t="shared" si="1499"/>
        <v>0</v>
      </c>
      <c r="DT564" s="269">
        <f t="shared" si="1500"/>
        <v>0</v>
      </c>
      <c r="DU564" s="272">
        <f>'Detailed Budget'!$AC$192</f>
        <v>77498869683.252869</v>
      </c>
      <c r="DV564" s="269">
        <f t="shared" si="1439"/>
        <v>64016441.440546706</v>
      </c>
      <c r="DW564" s="140">
        <f>'Detailed Budget'!$AC$194</f>
        <v>2684962805.4134097</v>
      </c>
      <c r="DX564" s="269">
        <f t="shared" si="1440"/>
        <v>2217861.5624369085</v>
      </c>
      <c r="DY564" s="607">
        <f t="shared" si="1512"/>
        <v>66234303.002983615</v>
      </c>
      <c r="DZ564" s="196">
        <f>'Detailed Budget'!$AC$198</f>
        <v>18732540018.380611</v>
      </c>
      <c r="EA564" s="269">
        <f t="shared" si="1481"/>
        <v>15333243.721240921</v>
      </c>
      <c r="EB564" s="196">
        <f>'Detailed Budget'!$AC$200</f>
        <v>4683135004.5951529</v>
      </c>
      <c r="EC564" s="269">
        <f t="shared" si="1442"/>
        <v>3833310.9303102302</v>
      </c>
      <c r="ED564" s="269">
        <f t="shared" si="1513"/>
        <v>19166554.65155115</v>
      </c>
      <c r="EE564" s="196">
        <f>'Detailed Budget'!$AC$161</f>
        <v>251147290106.36197</v>
      </c>
      <c r="EF564" s="269">
        <f t="shared" si="1443"/>
        <v>207455358.45563692</v>
      </c>
      <c r="EG564" s="196">
        <f>'Detailed Budget'!$AC$163</f>
        <v>15696705631.647623</v>
      </c>
      <c r="EH564" s="269">
        <f t="shared" si="1444"/>
        <v>12965959.903477307</v>
      </c>
      <c r="EI564" s="269">
        <f t="shared" si="1514"/>
        <v>220421318.35911423</v>
      </c>
      <c r="EJ564" s="196">
        <f>'Detailed Budget'!$AC$204</f>
        <v>45012172507.531975</v>
      </c>
      <c r="EK564" s="269">
        <f t="shared" si="1445"/>
        <v>21071807.064477701</v>
      </c>
      <c r="EL564" s="201">
        <f>'Detailed Budget'!$AC$206</f>
        <v>11253043126.882994</v>
      </c>
      <c r="EM564" s="269">
        <f t="shared" si="1446"/>
        <v>5267951.7661194252</v>
      </c>
      <c r="EN564" s="269">
        <f t="shared" si="1515"/>
        <v>26339758.830597125</v>
      </c>
      <c r="EO564" s="140">
        <f>'Detailed Budget'!$AC$209</f>
        <v>135789361677.54817</v>
      </c>
      <c r="EP564" s="269">
        <f t="shared" si="1447"/>
        <v>76370788.070505515</v>
      </c>
      <c r="EQ564" s="196">
        <f>'Detailed Budget'!$AC$211</f>
        <v>33947340419.387043</v>
      </c>
      <c r="ER564" s="269">
        <f t="shared" si="1448"/>
        <v>19092697.017626379</v>
      </c>
      <c r="ES564" s="269">
        <f t="shared" si="1516"/>
        <v>95463485.08813189</v>
      </c>
      <c r="ET564" s="196">
        <f>'Detailed Budget'!$AC$214</f>
        <v>22239745544.201103</v>
      </c>
      <c r="EU564" s="269">
        <f t="shared" si="1449"/>
        <v>12147514.365477281</v>
      </c>
      <c r="EV564" s="140">
        <f>'Detailed Budget'!$AC$217</f>
        <v>5559936386.0502758</v>
      </c>
      <c r="EW564" s="269">
        <f t="shared" si="1450"/>
        <v>3036878.5913693202</v>
      </c>
      <c r="EX564" s="269">
        <f t="shared" si="1517"/>
        <v>15184392.9568466</v>
      </c>
      <c r="EY564" s="196">
        <f>'Detailed Budget'!$AC$219</f>
        <v>372777004.58170313</v>
      </c>
      <c r="EZ564" s="269">
        <f t="shared" si="1451"/>
        <v>213156.9793820921</v>
      </c>
      <c r="FA564" s="196">
        <f>'Detailed Budget'!$AC$222</f>
        <v>93194251.145425782</v>
      </c>
      <c r="FB564" s="269">
        <f t="shared" si="1452"/>
        <v>53289.244845523026</v>
      </c>
      <c r="FC564" s="269">
        <f t="shared" si="1518"/>
        <v>266446.22422761511</v>
      </c>
      <c r="FD564" s="269"/>
      <c r="FE564" s="269">
        <f t="shared" si="1519"/>
        <v>137254083.09980321</v>
      </c>
      <c r="FF564" s="140"/>
      <c r="FG564" s="1087">
        <f t="shared" si="1420"/>
        <v>187223654.72479066</v>
      </c>
      <c r="FJ564" s="140">
        <f>'Detailed Budget'!$AC$235</f>
        <v>3623696172</v>
      </c>
      <c r="FK564" s="269">
        <f t="shared" si="1482"/>
        <v>4681778</v>
      </c>
      <c r="FL564" s="269">
        <f t="shared" si="1421"/>
        <v>4681778</v>
      </c>
      <c r="FO564" s="607"/>
      <c r="FP564" s="607"/>
      <c r="FQ564" s="607"/>
      <c r="FR564" s="269">
        <f>'Detailed Budget'!$AC$257</f>
        <v>13636439388</v>
      </c>
      <c r="FS564" s="269">
        <f t="shared" si="1483"/>
        <v>15489708.000000002</v>
      </c>
      <c r="FT564" s="269">
        <f t="shared" si="1422"/>
        <v>15489708.000000002</v>
      </c>
      <c r="FU564" s="269"/>
      <c r="FV564" s="269"/>
      <c r="FW564" s="269"/>
      <c r="FX564" s="140">
        <f>'Detailed Budget'!$AC$278</f>
        <v>1114560000</v>
      </c>
      <c r="FY564" s="269">
        <f t="shared" si="1484"/>
        <v>1440000</v>
      </c>
      <c r="FZ564" s="269">
        <f t="shared" si="1423"/>
        <v>1440000</v>
      </c>
      <c r="GB564" s="269">
        <f t="shared" si="1431"/>
        <v>744281388.05249524</v>
      </c>
      <c r="GC564" s="887">
        <f t="shared" si="1520"/>
        <v>465175.8675328095</v>
      </c>
      <c r="GD564" s="1078">
        <f t="shared" si="1432"/>
        <v>4.1763972358951305E-4</v>
      </c>
    </row>
    <row r="565" spans="1:186" hidden="1" outlineLevel="1">
      <c r="A565" s="211" t="s">
        <v>1244</v>
      </c>
      <c r="B565" s="212" t="s">
        <v>1245</v>
      </c>
      <c r="C565" s="213" t="s">
        <v>215</v>
      </c>
      <c r="D565" s="214"/>
      <c r="E565" s="213"/>
      <c r="F565" s="213"/>
      <c r="G565" s="213" t="s">
        <v>215</v>
      </c>
      <c r="H565" s="213" t="s">
        <v>215</v>
      </c>
      <c r="I565" s="214" t="s">
        <v>215</v>
      </c>
      <c r="J565" s="214"/>
      <c r="K565" s="213"/>
      <c r="L565" s="213"/>
      <c r="M565" s="214" t="s">
        <v>215</v>
      </c>
      <c r="N565" s="213"/>
      <c r="O565" s="214"/>
      <c r="P565" s="213"/>
      <c r="Q565" s="214"/>
      <c r="R565" s="214" t="s">
        <v>215</v>
      </c>
      <c r="S565" s="214"/>
      <c r="T565" s="214"/>
      <c r="U565" s="215">
        <f t="shared" si="1502"/>
        <v>6</v>
      </c>
      <c r="V565" s="845" t="s">
        <v>216</v>
      </c>
      <c r="W565" s="216">
        <v>142340</v>
      </c>
      <c r="X565" s="217">
        <v>3.19</v>
      </c>
      <c r="Y565" s="218">
        <f t="shared" si="1477"/>
        <v>1.0319</v>
      </c>
      <c r="Z565" s="196">
        <v>19</v>
      </c>
      <c r="AA565" s="218">
        <f t="shared" si="1478"/>
        <v>1.8159949505681734</v>
      </c>
      <c r="AB565" s="196">
        <f t="shared" si="1475"/>
        <v>258488.7212638738</v>
      </c>
      <c r="AC565">
        <v>11.8</v>
      </c>
      <c r="AD565" s="196">
        <f t="shared" si="1476"/>
        <v>30501.66910913711</v>
      </c>
      <c r="AE565" s="196">
        <f t="shared" si="1479"/>
        <v>28976.585653680253</v>
      </c>
      <c r="AF565" s="196">
        <f t="shared" si="1485"/>
        <v>0</v>
      </c>
      <c r="AG565" s="606">
        <f t="shared" si="1523"/>
        <v>1.3397501110315924E-3</v>
      </c>
      <c r="AH565" s="196">
        <f t="shared" si="1501"/>
        <v>12924.436063193691</v>
      </c>
      <c r="AI565" s="248">
        <f t="shared" si="1503"/>
        <v>1.0012364793822424E-3</v>
      </c>
      <c r="AJ565" s="196">
        <f t="shared" si="1504"/>
        <v>43426.105172330805</v>
      </c>
      <c r="AK565" s="196">
        <f t="shared" si="1391"/>
        <v>10339.548850554953</v>
      </c>
      <c r="AL565" s="196">
        <f t="shared" si="1392"/>
        <v>10339.548850554953</v>
      </c>
      <c r="AM565" s="196">
        <f t="shared" si="1505"/>
        <v>20679.097701109906</v>
      </c>
      <c r="AN565" s="627">
        <f t="shared" si="1506"/>
        <v>1.0012364793822424E-3</v>
      </c>
      <c r="AO565" s="196">
        <f t="shared" si="1507"/>
        <v>9822.5714080272046</v>
      </c>
      <c r="AP565" s="589">
        <f t="shared" si="1524"/>
        <v>1.0012364793822422E-3</v>
      </c>
      <c r="AQ565" s="196"/>
      <c r="AR565" s="589"/>
      <c r="AS565">
        <v>1</v>
      </c>
      <c r="AT565" s="589">
        <f t="shared" si="1525"/>
        <v>1.2919896640826874E-3</v>
      </c>
      <c r="AU565" s="196">
        <v>11</v>
      </c>
      <c r="AV565" s="245"/>
      <c r="AX565" s="245"/>
      <c r="AY565" s="245"/>
      <c r="AZ565" s="196">
        <v>25</v>
      </c>
      <c r="BA565" s="589">
        <f t="shared" si="1425"/>
        <v>9.1605291121615189E-4</v>
      </c>
      <c r="BI565" s="196">
        <v>0</v>
      </c>
      <c r="BK565" s="246">
        <f t="shared" si="1426"/>
        <v>0</v>
      </c>
      <c r="BL565" s="246"/>
      <c r="BM565" s="246">
        <f t="shared" si="1427"/>
        <v>0</v>
      </c>
      <c r="BN565" s="196">
        <v>1</v>
      </c>
      <c r="BO565" s="196">
        <f t="shared" si="1486"/>
        <v>13364.705336203435</v>
      </c>
      <c r="BP565" s="196">
        <f t="shared" si="1508"/>
        <v>13364.705336203435</v>
      </c>
      <c r="BQ565" s="248">
        <f t="shared" si="1428"/>
        <v>1.2502059481370991E-3</v>
      </c>
      <c r="BR565" s="248"/>
      <c r="BS565" s="248"/>
      <c r="BT565" s="276">
        <v>0</v>
      </c>
      <c r="BU565" s="196">
        <f t="shared" si="1487"/>
        <v>0</v>
      </c>
      <c r="BV565" s="264">
        <f t="shared" si="1429"/>
        <v>0</v>
      </c>
      <c r="BW565" s="196">
        <f t="shared" si="1488"/>
        <v>0</v>
      </c>
      <c r="BX565" s="247">
        <f t="shared" si="1430"/>
        <v>0</v>
      </c>
      <c r="BY565" s="196">
        <f t="shared" si="1489"/>
        <v>0</v>
      </c>
      <c r="BZ565" s="620">
        <v>1</v>
      </c>
      <c r="CA565" s="196">
        <f t="shared" si="1490"/>
        <v>79097.548706745394</v>
      </c>
      <c r="CB565" s="196">
        <f t="shared" si="1491"/>
        <v>158195.09741349079</v>
      </c>
      <c r="CC565" s="196">
        <f t="shared" si="1521"/>
        <v>237292.6461202362</v>
      </c>
      <c r="CD565" s="247">
        <f t="shared" si="1509"/>
        <v>1.0012364793822424E-3</v>
      </c>
      <c r="CE565" s="196">
        <f t="shared" si="1492"/>
        <v>22975.446376696182</v>
      </c>
      <c r="CF565" s="247">
        <f t="shared" si="1510"/>
        <v>9.921512269356282E-4</v>
      </c>
      <c r="CG565" s="196">
        <f t="shared" si="1434"/>
        <v>39290.285632108818</v>
      </c>
      <c r="CH565" s="589">
        <f t="shared" si="1526"/>
        <v>1.0012364793822422E-3</v>
      </c>
      <c r="CI565" s="196">
        <f t="shared" si="1493"/>
        <v>34515.213524289415</v>
      </c>
      <c r="CJ565" s="248">
        <f t="shared" si="1527"/>
        <v>5.6743002272812251E-4</v>
      </c>
      <c r="CK565" s="196">
        <f t="shared" si="1494"/>
        <v>47422.883986669025</v>
      </c>
      <c r="CL565" s="589">
        <f t="shared" si="1528"/>
        <v>6.8171371177944064E-4</v>
      </c>
      <c r="CM565" s="196">
        <f t="shared" si="1495"/>
        <v>4594.0940380366319</v>
      </c>
      <c r="CN565" s="589">
        <f t="shared" si="1529"/>
        <v>6.6206116115665966E-4</v>
      </c>
      <c r="CO565" s="196">
        <f t="shared" si="1496"/>
        <v>367.52317408514631</v>
      </c>
      <c r="CP565" s="589">
        <f t="shared" si="1530"/>
        <v>6.9309209733444408E-4</v>
      </c>
      <c r="CQ565" s="196">
        <f>'Detailed Budget'!$AC$12</f>
        <v>292876014141.44696</v>
      </c>
      <c r="CR565" s="269">
        <f t="shared" si="1393"/>
        <v>0</v>
      </c>
      <c r="CS565" s="269">
        <f>'Detailed Budget'!$AC$16</f>
        <v>10488008800.000002</v>
      </c>
      <c r="CT565" s="607">
        <f t="shared" si="1436"/>
        <v>0</v>
      </c>
      <c r="CU565" s="269">
        <f>'Detailed Budget'!$AC$24</f>
        <v>30624985696</v>
      </c>
      <c r="CV565" s="269">
        <f t="shared" si="1424"/>
        <v>0</v>
      </c>
      <c r="CW565" s="269"/>
      <c r="CX565" s="269">
        <f t="shared" si="1522"/>
        <v>0</v>
      </c>
      <c r="CY565" s="196">
        <f>'Detailed Budget'!$AC$97</f>
        <v>74629165494.837845</v>
      </c>
      <c r="CZ565" s="269">
        <f t="shared" si="1437"/>
        <v>93301826.606154233</v>
      </c>
      <c r="DA565" s="269">
        <f>'Detailed Budget'!$AC$100</f>
        <v>14925833098.967569</v>
      </c>
      <c r="DB565" s="269">
        <f t="shared" si="1438"/>
        <v>18660365.321230847</v>
      </c>
      <c r="DC565" s="269">
        <f t="shared" si="1511"/>
        <v>111962191.92738508</v>
      </c>
      <c r="DD565" s="207">
        <v>0</v>
      </c>
      <c r="DE565" s="606">
        <v>0</v>
      </c>
      <c r="DF565" s="269">
        <f>'Detailed Budget'!$AC$147</f>
        <v>5913600671000</v>
      </c>
      <c r="DG565" s="269">
        <f t="shared" si="1419"/>
        <v>0</v>
      </c>
      <c r="DH565" s="269">
        <f>'Detailed Budget'!$AC$153</f>
        <v>226428026880.00003</v>
      </c>
      <c r="DI565" s="269"/>
      <c r="DJ565" s="269">
        <f>'Detailed Budget'!$AC$156</f>
        <v>27713070000</v>
      </c>
      <c r="DK565" s="269"/>
      <c r="DL565" s="269"/>
      <c r="DM565" s="196">
        <f>'Detailed Budget'!$AC$178</f>
        <v>5622683761.6229038</v>
      </c>
      <c r="DN565" s="269">
        <f t="shared" si="1497"/>
        <v>0</v>
      </c>
      <c r="DO565" s="196">
        <f>'Detailed Budget'!$AC$179</f>
        <v>26827890683.128094</v>
      </c>
      <c r="DP565" s="269">
        <f t="shared" si="1498"/>
        <v>0</v>
      </c>
      <c r="DQ565" s="269">
        <f t="shared" si="1388"/>
        <v>0</v>
      </c>
      <c r="DR565" s="269">
        <f>'Detailed Budget'!$AC$181</f>
        <v>50888946855.375237</v>
      </c>
      <c r="DS565" s="269">
        <f t="shared" si="1499"/>
        <v>0</v>
      </c>
      <c r="DT565" s="269">
        <f t="shared" si="1500"/>
        <v>0</v>
      </c>
      <c r="DU565" s="272">
        <f>'Detailed Budget'!$AC$192</f>
        <v>77498869683.252869</v>
      </c>
      <c r="DV565" s="269">
        <f t="shared" si="1439"/>
        <v>77594695.437763304</v>
      </c>
      <c r="DW565" s="140">
        <f>'Detailed Budget'!$AC$194</f>
        <v>2684962805.4134097</v>
      </c>
      <c r="DX565" s="269">
        <f t="shared" si="1440"/>
        <v>2688282.706564391</v>
      </c>
      <c r="DY565" s="607">
        <f t="shared" si="1512"/>
        <v>80282978.1443277</v>
      </c>
      <c r="DZ565" s="196">
        <f>'Detailed Budget'!$AC$198</f>
        <v>18732540018.380611</v>
      </c>
      <c r="EA565" s="269">
        <f t="shared" si="1481"/>
        <v>18585512.56285708</v>
      </c>
      <c r="EB565" s="196">
        <f>'Detailed Budget'!$AC$200</f>
        <v>4683135004.5951529</v>
      </c>
      <c r="EC565" s="269">
        <f t="shared" si="1442"/>
        <v>4646378.1407142701</v>
      </c>
      <c r="ED565" s="269">
        <f t="shared" si="1513"/>
        <v>23231890.703571349</v>
      </c>
      <c r="EE565" s="196">
        <f>'Detailed Budget'!$AC$161</f>
        <v>251147290106.36197</v>
      </c>
      <c r="EF565" s="269">
        <f t="shared" si="1443"/>
        <v>251457828.55248448</v>
      </c>
      <c r="EG565" s="196">
        <f>'Detailed Budget'!$AC$163</f>
        <v>15696705631.647623</v>
      </c>
      <c r="EH565" s="269">
        <f t="shared" si="1444"/>
        <v>15716114.28453028</v>
      </c>
      <c r="EI565" s="269">
        <f t="shared" si="1514"/>
        <v>267173942.83701476</v>
      </c>
      <c r="EJ565" s="196">
        <f>'Detailed Budget'!$AC$204</f>
        <v>45012172507.531975</v>
      </c>
      <c r="EK565" s="269">
        <f t="shared" si="1445"/>
        <v>25541258.068991039</v>
      </c>
      <c r="EL565" s="201">
        <f>'Detailed Budget'!$AC$206</f>
        <v>11253043126.882994</v>
      </c>
      <c r="EM565" s="269">
        <f t="shared" si="1446"/>
        <v>6385314.5172477597</v>
      </c>
      <c r="EN565" s="269">
        <f t="shared" si="1515"/>
        <v>31926572.586238798</v>
      </c>
      <c r="EO565" s="140">
        <f>'Detailed Budget'!$AC$209</f>
        <v>135789361677.54817</v>
      </c>
      <c r="EP565" s="269">
        <f t="shared" si="1447"/>
        <v>92569469.769362301</v>
      </c>
      <c r="EQ565" s="196">
        <f>'Detailed Budget'!$AC$211</f>
        <v>33947340419.387043</v>
      </c>
      <c r="ER565" s="269">
        <f t="shared" si="1448"/>
        <v>23142367.442340575</v>
      </c>
      <c r="ES565" s="269">
        <f t="shared" si="1516"/>
        <v>115711837.21170288</v>
      </c>
      <c r="ET565" s="196">
        <f>'Detailed Budget'!$AC$214</f>
        <v>22239745544.201103</v>
      </c>
      <c r="EU565" s="269">
        <f t="shared" si="1449"/>
        <v>14724071.75882243</v>
      </c>
      <c r="EV565" s="140">
        <f>'Detailed Budget'!$AC$217</f>
        <v>5559936386.0502758</v>
      </c>
      <c r="EW565" s="269">
        <f t="shared" si="1450"/>
        <v>3681017.9397056075</v>
      </c>
      <c r="EX565" s="269">
        <f t="shared" si="1517"/>
        <v>18405089.698528036</v>
      </c>
      <c r="EY565" s="196">
        <f>'Detailed Budget'!$AC$219</f>
        <v>372777004.58170313</v>
      </c>
      <c r="EZ565" s="269">
        <f t="shared" si="1451"/>
        <v>258368.79594358429</v>
      </c>
      <c r="FA565" s="196">
        <f>'Detailed Budget'!$AC$222</f>
        <v>93194251.145425782</v>
      </c>
      <c r="FB565" s="269">
        <f t="shared" si="1452"/>
        <v>64592.198985896073</v>
      </c>
      <c r="FC565" s="269">
        <f t="shared" si="1518"/>
        <v>322960.99492948037</v>
      </c>
      <c r="FD565" s="269"/>
      <c r="FE565" s="269">
        <f t="shared" si="1519"/>
        <v>166366460.49139923</v>
      </c>
      <c r="FF565" s="140"/>
      <c r="FG565" s="1087">
        <f t="shared" si="1420"/>
        <v>226934864.54736963</v>
      </c>
      <c r="FJ565" s="140">
        <f>'Detailed Budget'!$AC$235</f>
        <v>3623696172</v>
      </c>
      <c r="FK565" s="269">
        <f t="shared" si="1482"/>
        <v>4681778</v>
      </c>
      <c r="FL565" s="269">
        <f t="shared" si="1421"/>
        <v>4681778</v>
      </c>
      <c r="FO565" s="607"/>
      <c r="FP565" s="607"/>
      <c r="FQ565" s="607"/>
      <c r="FR565" s="269">
        <f>'Detailed Budget'!$AC$257</f>
        <v>13636439388</v>
      </c>
      <c r="FS565" s="269">
        <f t="shared" si="1483"/>
        <v>12491700</v>
      </c>
      <c r="FT565" s="269">
        <f t="shared" si="1422"/>
        <v>12491700</v>
      </c>
      <c r="FU565" s="269"/>
      <c r="FV565" s="269"/>
      <c r="FW565" s="269"/>
      <c r="FX565" s="140">
        <f>'Detailed Budget'!$AC$278</f>
        <v>1114560000</v>
      </c>
      <c r="FY565" s="269">
        <f t="shared" si="1484"/>
        <v>1440000</v>
      </c>
      <c r="FZ565" s="269">
        <f t="shared" si="1423"/>
        <v>1440000</v>
      </c>
      <c r="GB565" s="269">
        <f t="shared" si="1431"/>
        <v>894565806.65106773</v>
      </c>
      <c r="GC565" s="887">
        <f t="shared" si="1520"/>
        <v>559103.62915691733</v>
      </c>
      <c r="GD565" s="1078">
        <f t="shared" si="1432"/>
        <v>5.0196904318670227E-4</v>
      </c>
    </row>
    <row r="566" spans="1:186" hidden="1" outlineLevel="1">
      <c r="A566" s="211" t="s">
        <v>1246</v>
      </c>
      <c r="B566" s="212" t="s">
        <v>1247</v>
      </c>
      <c r="C566" s="213" t="s">
        <v>215</v>
      </c>
      <c r="D566" s="214"/>
      <c r="E566" s="213"/>
      <c r="F566" s="213"/>
      <c r="G566" s="213" t="s">
        <v>215</v>
      </c>
      <c r="H566" s="213" t="s">
        <v>215</v>
      </c>
      <c r="I566" s="214" t="s">
        <v>215</v>
      </c>
      <c r="J566" s="214"/>
      <c r="K566" s="213"/>
      <c r="L566" s="213"/>
      <c r="M566" s="214" t="s">
        <v>215</v>
      </c>
      <c r="N566" s="213"/>
      <c r="O566" s="214"/>
      <c r="P566" s="213"/>
      <c r="Q566" s="214"/>
      <c r="R566" s="214" t="s">
        <v>215</v>
      </c>
      <c r="S566" s="214"/>
      <c r="T566" s="214"/>
      <c r="U566" s="215">
        <f t="shared" si="1502"/>
        <v>6</v>
      </c>
      <c r="V566" s="845" t="s">
        <v>216</v>
      </c>
      <c r="W566" s="216">
        <v>182891</v>
      </c>
      <c r="X566" s="217">
        <v>3.19</v>
      </c>
      <c r="Y566" s="218">
        <f t="shared" si="1477"/>
        <v>1.0319</v>
      </c>
      <c r="Z566" s="196">
        <v>19</v>
      </c>
      <c r="AA566" s="218">
        <f t="shared" si="1478"/>
        <v>1.8159949505681734</v>
      </c>
      <c r="AB566" s="196">
        <f t="shared" si="1475"/>
        <v>332129.13250436378</v>
      </c>
      <c r="AC566">
        <v>11.8</v>
      </c>
      <c r="AD566" s="196">
        <f t="shared" si="1476"/>
        <v>39191.237635514924</v>
      </c>
      <c r="AE566" s="196">
        <f t="shared" si="1479"/>
        <v>37231.675753739175</v>
      </c>
      <c r="AF566" s="196">
        <f t="shared" si="1485"/>
        <v>0</v>
      </c>
      <c r="AG566" s="606">
        <f t="shared" si="1523"/>
        <v>1.7214292367337286E-3</v>
      </c>
      <c r="AH566" s="196">
        <f t="shared" si="1501"/>
        <v>16606.45662521819</v>
      </c>
      <c r="AI566" s="248">
        <f t="shared" si="1503"/>
        <v>1.2864770335162124E-3</v>
      </c>
      <c r="AJ566" s="196">
        <f t="shared" si="1504"/>
        <v>55797.694260733115</v>
      </c>
      <c r="AK566" s="196">
        <f t="shared" si="1391"/>
        <v>13285.165300174551</v>
      </c>
      <c r="AL566" s="196">
        <f t="shared" si="1392"/>
        <v>13285.165300174551</v>
      </c>
      <c r="AM566" s="196">
        <f t="shared" si="1505"/>
        <v>26570.330600349102</v>
      </c>
      <c r="AN566" s="627">
        <f t="shared" si="1506"/>
        <v>1.2864770335162122E-3</v>
      </c>
      <c r="AO566" s="196">
        <f t="shared" si="1507"/>
        <v>12620.907035165823</v>
      </c>
      <c r="AP566" s="589">
        <f t="shared" si="1524"/>
        <v>1.2864770335162122E-3</v>
      </c>
      <c r="AQ566" s="196"/>
      <c r="AR566" s="589"/>
      <c r="AS566">
        <v>1</v>
      </c>
      <c r="AT566" s="589">
        <f t="shared" si="1525"/>
        <v>1.2919896640826874E-3</v>
      </c>
      <c r="AU566" s="196">
        <v>12</v>
      </c>
      <c r="AV566" s="245"/>
      <c r="AX566" s="245"/>
      <c r="AY566" s="245"/>
      <c r="AZ566" s="196">
        <v>25</v>
      </c>
      <c r="BA566" s="589">
        <f t="shared" si="1425"/>
        <v>9.1605291121615189E-4</v>
      </c>
      <c r="BI566" s="196">
        <v>0</v>
      </c>
      <c r="BK566" s="246">
        <f t="shared" si="1426"/>
        <v>0</v>
      </c>
      <c r="BL566" s="246"/>
      <c r="BM566" s="246">
        <f t="shared" si="1427"/>
        <v>0</v>
      </c>
      <c r="BN566" s="196">
        <v>1</v>
      </c>
      <c r="BO566" s="196">
        <f t="shared" si="1486"/>
        <v>17172.153461034017</v>
      </c>
      <c r="BP566" s="196">
        <f t="shared" si="1508"/>
        <v>17172.153461034017</v>
      </c>
      <c r="BQ566" s="248">
        <f t="shared" si="1428"/>
        <v>1.6063749898885919E-3</v>
      </c>
      <c r="BR566" s="248"/>
      <c r="BS566" s="248"/>
      <c r="BT566" s="276">
        <v>0</v>
      </c>
      <c r="BU566" s="196">
        <f t="shared" si="1487"/>
        <v>0</v>
      </c>
      <c r="BV566" s="264">
        <f t="shared" si="1429"/>
        <v>0</v>
      </c>
      <c r="BW566" s="196">
        <f t="shared" si="1488"/>
        <v>0</v>
      </c>
      <c r="BX566" s="247">
        <f t="shared" si="1430"/>
        <v>0</v>
      </c>
      <c r="BY566" s="196">
        <f t="shared" si="1489"/>
        <v>0</v>
      </c>
      <c r="BZ566" s="620">
        <v>1</v>
      </c>
      <c r="CA566" s="196">
        <f t="shared" si="1490"/>
        <v>101631.5145463353</v>
      </c>
      <c r="CB566" s="196">
        <f t="shared" si="1491"/>
        <v>203263.02909267059</v>
      </c>
      <c r="CC566" s="196">
        <f t="shared" si="1521"/>
        <v>304894.54363900586</v>
      </c>
      <c r="CD566" s="247">
        <f t="shared" si="1509"/>
        <v>1.286477033516212E-3</v>
      </c>
      <c r="CE566" s="196">
        <f t="shared" si="1492"/>
        <v>29520.882136295779</v>
      </c>
      <c r="CF566" s="247">
        <f t="shared" si="1510"/>
        <v>1.2748034989847124E-3</v>
      </c>
      <c r="CG566" s="196">
        <f t="shared" si="1434"/>
        <v>50483.628140663292</v>
      </c>
      <c r="CH566" s="589">
        <f t="shared" si="1526"/>
        <v>1.2864770335162122E-3</v>
      </c>
      <c r="CI566" s="196">
        <f t="shared" si="1493"/>
        <v>44348.193878536003</v>
      </c>
      <c r="CJ566" s="248">
        <f t="shared" si="1527"/>
        <v>7.2908419479253222E-4</v>
      </c>
      <c r="CK566" s="196">
        <f t="shared" si="1494"/>
        <v>60933.10857949897</v>
      </c>
      <c r="CL566" s="589">
        <f t="shared" si="1528"/>
        <v>8.7592596923600997E-4</v>
      </c>
      <c r="CM566" s="196">
        <f t="shared" si="1495"/>
        <v>5902.8976584976645</v>
      </c>
      <c r="CN566" s="589">
        <f t="shared" si="1529"/>
        <v>8.5067463696151917E-4</v>
      </c>
      <c r="CO566" s="196">
        <f t="shared" si="1496"/>
        <v>472.22622475485798</v>
      </c>
      <c r="CP566" s="589">
        <f t="shared" si="1530"/>
        <v>8.9054592365880143E-4</v>
      </c>
      <c r="CQ566" s="196">
        <f>'Detailed Budget'!$AC$12</f>
        <v>292876014141.44696</v>
      </c>
      <c r="CR566" s="269">
        <f t="shared" si="1393"/>
        <v>0</v>
      </c>
      <c r="CS566" s="269">
        <f>'Detailed Budget'!$AC$16</f>
        <v>10488008800.000002</v>
      </c>
      <c r="CT566" s="607">
        <f t="shared" si="1436"/>
        <v>0</v>
      </c>
      <c r="CU566" s="269">
        <f>'Detailed Budget'!$AC$24</f>
        <v>30624985696</v>
      </c>
      <c r="CV566" s="269">
        <f t="shared" si="1424"/>
        <v>0</v>
      </c>
      <c r="CW566" s="269"/>
      <c r="CX566" s="269">
        <f t="shared" si="1522"/>
        <v>0</v>
      </c>
      <c r="CY566" s="196">
        <f>'Detailed Budget'!$AC$97</f>
        <v>74629165494.837845</v>
      </c>
      <c r="CZ566" s="269">
        <f t="shared" si="1437"/>
        <v>119882424.9671642</v>
      </c>
      <c r="DA566" s="269">
        <f>'Detailed Budget'!$AC$100</f>
        <v>14925833098.967569</v>
      </c>
      <c r="DB566" s="269">
        <f t="shared" si="1438"/>
        <v>23976484.993432838</v>
      </c>
      <c r="DC566" s="269">
        <f t="shared" si="1511"/>
        <v>143858909.96059704</v>
      </c>
      <c r="DD566" s="207">
        <v>0</v>
      </c>
      <c r="DE566" s="606">
        <v>0</v>
      </c>
      <c r="DF566" s="269">
        <f>'Detailed Budget'!$AC$147</f>
        <v>5913600671000</v>
      </c>
      <c r="DG566" s="269">
        <f t="shared" si="1419"/>
        <v>0</v>
      </c>
      <c r="DH566" s="269">
        <f>'Detailed Budget'!$AC$153</f>
        <v>226428026880.00003</v>
      </c>
      <c r="DI566" s="269"/>
      <c r="DJ566" s="269">
        <f>'Detailed Budget'!$AC$156</f>
        <v>27713070000</v>
      </c>
      <c r="DK566" s="269"/>
      <c r="DL566" s="269"/>
      <c r="DM566" s="196">
        <f>'Detailed Budget'!$AC$178</f>
        <v>5622683761.6229038</v>
      </c>
      <c r="DN566" s="269">
        <f t="shared" si="1497"/>
        <v>0</v>
      </c>
      <c r="DO566" s="196">
        <f>'Detailed Budget'!$AC$179</f>
        <v>26827890683.128094</v>
      </c>
      <c r="DP566" s="269">
        <f t="shared" si="1498"/>
        <v>0</v>
      </c>
      <c r="DQ566" s="269">
        <f t="shared" ref="DQ566:DQ631" si="1531">DN566+DP566</f>
        <v>0</v>
      </c>
      <c r="DR566" s="269">
        <f>'Detailed Budget'!$AC$181</f>
        <v>50888946855.375237</v>
      </c>
      <c r="DS566" s="269">
        <f t="shared" si="1499"/>
        <v>0</v>
      </c>
      <c r="DT566" s="269">
        <f t="shared" si="1500"/>
        <v>0</v>
      </c>
      <c r="DU566" s="272">
        <f>'Detailed Budget'!$AC$192</f>
        <v>77498869683.252869</v>
      </c>
      <c r="DV566" s="269">
        <f t="shared" si="1439"/>
        <v>99700515.970970646</v>
      </c>
      <c r="DW566" s="140">
        <f>'Detailed Budget'!$AC$194</f>
        <v>2684962805.4134097</v>
      </c>
      <c r="DX566" s="269">
        <f t="shared" si="1440"/>
        <v>3454142.9850096102</v>
      </c>
      <c r="DY566" s="607">
        <f t="shared" si="1512"/>
        <v>103154658.95598026</v>
      </c>
      <c r="DZ566" s="196">
        <f>'Detailed Budget'!$AC$198</f>
        <v>18732540018.380611</v>
      </c>
      <c r="EA566" s="269">
        <f t="shared" si="1481"/>
        <v>23880307.560302753</v>
      </c>
      <c r="EB566" s="196">
        <f>'Detailed Budget'!$AC$200</f>
        <v>4683135004.5951529</v>
      </c>
      <c r="EC566" s="269">
        <f t="shared" si="1442"/>
        <v>5970076.8900756883</v>
      </c>
      <c r="ED566" s="269">
        <f t="shared" si="1513"/>
        <v>29850384.45037844</v>
      </c>
      <c r="EE566" s="196">
        <f>'Detailed Budget'!$AC$161</f>
        <v>251147290106.36197</v>
      </c>
      <c r="EF566" s="269">
        <f t="shared" si="1443"/>
        <v>323095220.7516681</v>
      </c>
      <c r="EG566" s="196">
        <f>'Detailed Budget'!$AC$163</f>
        <v>15696705631.647623</v>
      </c>
      <c r="EH566" s="269">
        <f t="shared" si="1444"/>
        <v>20193451.296979256</v>
      </c>
      <c r="EI566" s="269">
        <f t="shared" si="1514"/>
        <v>343288672.04864734</v>
      </c>
      <c r="EJ566" s="196">
        <f>'Detailed Budget'!$AC$204</f>
        <v>45012172507.531975</v>
      </c>
      <c r="EK566" s="269">
        <f t="shared" si="1445"/>
        <v>32817663.548516504</v>
      </c>
      <c r="EL566" s="201">
        <f>'Detailed Budget'!$AC$206</f>
        <v>11253043126.882994</v>
      </c>
      <c r="EM566" s="269">
        <f t="shared" si="1446"/>
        <v>8204415.8871291261</v>
      </c>
      <c r="EN566" s="269">
        <f t="shared" si="1515"/>
        <v>41022079.435645632</v>
      </c>
      <c r="EO566" s="140">
        <f>'Detailed Budget'!$AC$209</f>
        <v>135789361677.54817</v>
      </c>
      <c r="EP566" s="269">
        <f t="shared" si="1447"/>
        <v>118941428.23934549</v>
      </c>
      <c r="EQ566" s="196">
        <f>'Detailed Budget'!$AC$211</f>
        <v>33947340419.387043</v>
      </c>
      <c r="ER566" s="269">
        <f t="shared" si="1448"/>
        <v>29735357.059836373</v>
      </c>
      <c r="ES566" s="269">
        <f t="shared" si="1516"/>
        <v>148676785.29918188</v>
      </c>
      <c r="ET566" s="196">
        <f>'Detailed Budget'!$AC$214</f>
        <v>22239745544.201103</v>
      </c>
      <c r="EU566" s="269">
        <f t="shared" si="1449"/>
        <v>18918787.466929838</v>
      </c>
      <c r="EV566" s="140">
        <f>'Detailed Budget'!$AC$217</f>
        <v>5559936386.0502758</v>
      </c>
      <c r="EW566" s="269">
        <f t="shared" si="1450"/>
        <v>4729696.8667324595</v>
      </c>
      <c r="EX566" s="269">
        <f t="shared" si="1517"/>
        <v>23648484.333662298</v>
      </c>
      <c r="EY566" s="196">
        <f>'Detailed Budget'!$AC$219</f>
        <v>372777004.58170313</v>
      </c>
      <c r="EZ566" s="269">
        <f t="shared" si="1451"/>
        <v>331975.04186397407</v>
      </c>
      <c r="FA566" s="196">
        <f>'Detailed Budget'!$AC$222</f>
        <v>93194251.145425782</v>
      </c>
      <c r="FB566" s="269">
        <f t="shared" si="1452"/>
        <v>82993.760465993517</v>
      </c>
      <c r="FC566" s="269">
        <f t="shared" si="1518"/>
        <v>414968.80232996761</v>
      </c>
      <c r="FD566" s="269"/>
      <c r="FE566" s="269">
        <f t="shared" si="1519"/>
        <v>213762317.87081978</v>
      </c>
      <c r="FF566" s="140"/>
      <c r="FG566" s="1087">
        <f t="shared" si="1420"/>
        <v>291585951.32733572</v>
      </c>
      <c r="FJ566" s="140">
        <f>'Detailed Budget'!$AC$235</f>
        <v>3623696172</v>
      </c>
      <c r="FK566" s="269">
        <f t="shared" si="1482"/>
        <v>4681778</v>
      </c>
      <c r="FL566" s="269">
        <f t="shared" si="1421"/>
        <v>4681778</v>
      </c>
      <c r="FO566" s="607"/>
      <c r="FP566" s="607"/>
      <c r="FQ566" s="607"/>
      <c r="FR566" s="269">
        <f>'Detailed Budget'!$AC$257</f>
        <v>13636439388</v>
      </c>
      <c r="FS566" s="269">
        <f t="shared" si="1483"/>
        <v>12491700</v>
      </c>
      <c r="FT566" s="269">
        <f t="shared" si="1422"/>
        <v>12491700</v>
      </c>
      <c r="FU566" s="269"/>
      <c r="FV566" s="269"/>
      <c r="FW566" s="269"/>
      <c r="FX566" s="140">
        <f>'Detailed Budget'!$AC$278</f>
        <v>1114560000</v>
      </c>
      <c r="FY566" s="269">
        <f t="shared" si="1484"/>
        <v>1440000</v>
      </c>
      <c r="FZ566" s="269">
        <f t="shared" si="1423"/>
        <v>1440000</v>
      </c>
      <c r="GB566" s="269">
        <f t="shared" si="1431"/>
        <v>1144114372.6137586</v>
      </c>
      <c r="GC566" s="887">
        <f t="shared" si="1520"/>
        <v>715071.48288359912</v>
      </c>
      <c r="GD566" s="1078">
        <f t="shared" si="1432"/>
        <v>6.419986016088546E-4</v>
      </c>
    </row>
    <row r="567" spans="1:186" hidden="1" outlineLevel="1">
      <c r="A567" s="211" t="s">
        <v>1248</v>
      </c>
      <c r="B567" s="212" t="s">
        <v>1249</v>
      </c>
      <c r="C567" s="213" t="s">
        <v>215</v>
      </c>
      <c r="D567" s="214"/>
      <c r="E567" s="213"/>
      <c r="F567" s="213"/>
      <c r="G567" s="213" t="s">
        <v>215</v>
      </c>
      <c r="H567" s="213" t="s">
        <v>215</v>
      </c>
      <c r="I567" s="214" t="s">
        <v>215</v>
      </c>
      <c r="J567" s="214"/>
      <c r="K567" s="213"/>
      <c r="L567" s="213"/>
      <c r="M567" s="214" t="s">
        <v>215</v>
      </c>
      <c r="N567" s="213"/>
      <c r="O567" s="214"/>
      <c r="P567" s="213"/>
      <c r="Q567" s="214"/>
      <c r="R567" s="214" t="s">
        <v>215</v>
      </c>
      <c r="S567" s="214"/>
      <c r="T567" s="214"/>
      <c r="U567" s="215">
        <f t="shared" si="1502"/>
        <v>6</v>
      </c>
      <c r="V567" s="845" t="s">
        <v>216</v>
      </c>
      <c r="W567" s="216">
        <v>132701</v>
      </c>
      <c r="X567" s="217">
        <v>3.19</v>
      </c>
      <c r="Y567" s="218">
        <f t="shared" si="1477"/>
        <v>1.0319</v>
      </c>
      <c r="Z567" s="196">
        <v>19</v>
      </c>
      <c r="AA567" s="218">
        <f t="shared" si="1478"/>
        <v>1.8159949505681734</v>
      </c>
      <c r="AB567" s="196">
        <f t="shared" si="1475"/>
        <v>240984.34593534717</v>
      </c>
      <c r="AC567">
        <v>11.8</v>
      </c>
      <c r="AD567" s="196">
        <f t="shared" si="1476"/>
        <v>28436.152820370964</v>
      </c>
      <c r="AE567" s="196">
        <f t="shared" si="1479"/>
        <v>27014.345179352415</v>
      </c>
      <c r="AF567" s="196">
        <f t="shared" si="1485"/>
        <v>0</v>
      </c>
      <c r="AG567" s="606">
        <f t="shared" si="1523"/>
        <v>1.2490247258957659E-3</v>
      </c>
      <c r="AH567" s="196">
        <f t="shared" si="1501"/>
        <v>12049.21729676736</v>
      </c>
      <c r="AI567" s="248">
        <f t="shared" si="1503"/>
        <v>9.3343460763315258E-4</v>
      </c>
      <c r="AJ567" s="196">
        <f t="shared" si="1504"/>
        <v>40485.370117138322</v>
      </c>
      <c r="AK567" s="196">
        <f t="shared" si="1391"/>
        <v>9639.3738374138866</v>
      </c>
      <c r="AL567" s="196">
        <f t="shared" si="1392"/>
        <v>9639.3738374138866</v>
      </c>
      <c r="AM567" s="196">
        <f t="shared" si="1505"/>
        <v>19278.747674827773</v>
      </c>
      <c r="AN567" s="627">
        <f t="shared" si="1506"/>
        <v>9.3343460763315247E-4</v>
      </c>
      <c r="AO567" s="196">
        <f t="shared" si="1507"/>
        <v>9157.4051455431927</v>
      </c>
      <c r="AP567" s="589">
        <f t="shared" si="1524"/>
        <v>9.3343460763315258E-4</v>
      </c>
      <c r="AQ567" s="196"/>
      <c r="AR567" s="589"/>
      <c r="AS567">
        <v>1</v>
      </c>
      <c r="AT567" s="589">
        <f t="shared" si="1525"/>
        <v>1.2919896640826874E-3</v>
      </c>
      <c r="AU567" s="196">
        <v>11</v>
      </c>
      <c r="AV567" s="245"/>
      <c r="AX567" s="245"/>
      <c r="AY567" s="245"/>
      <c r="AZ567" s="196">
        <v>25</v>
      </c>
      <c r="BA567" s="589">
        <f t="shared" si="1425"/>
        <v>9.1605291121615189E-4</v>
      </c>
      <c r="BI567" s="196">
        <v>0</v>
      </c>
      <c r="BK567" s="246">
        <f t="shared" si="1426"/>
        <v>0</v>
      </c>
      <c r="BL567" s="246"/>
      <c r="BM567" s="246">
        <f t="shared" si="1427"/>
        <v>0</v>
      </c>
      <c r="BN567" s="196">
        <v>1</v>
      </c>
      <c r="BO567" s="196">
        <f t="shared" si="1486"/>
        <v>12459.672353656959</v>
      </c>
      <c r="BP567" s="196">
        <f t="shared" si="1508"/>
        <v>12459.672353656959</v>
      </c>
      <c r="BQ567" s="248">
        <f t="shared" si="1428"/>
        <v>1.1655443271304002E-3</v>
      </c>
      <c r="BR567" s="248"/>
      <c r="BS567" s="248"/>
      <c r="BT567" s="276">
        <v>0</v>
      </c>
      <c r="BU567" s="196">
        <f t="shared" si="1487"/>
        <v>0</v>
      </c>
      <c r="BV567" s="264">
        <f t="shared" si="1429"/>
        <v>0</v>
      </c>
      <c r="BW567" s="196">
        <f t="shared" si="1488"/>
        <v>0</v>
      </c>
      <c r="BX567" s="247">
        <f t="shared" si="1430"/>
        <v>0</v>
      </c>
      <c r="BY567" s="196">
        <f t="shared" si="1489"/>
        <v>0</v>
      </c>
      <c r="BZ567" s="620">
        <v>1</v>
      </c>
      <c r="CA567" s="196">
        <f t="shared" si="1490"/>
        <v>73741.209856216228</v>
      </c>
      <c r="CB567" s="196">
        <f t="shared" si="1491"/>
        <v>147482.41971243246</v>
      </c>
      <c r="CC567" s="196">
        <f t="shared" si="1521"/>
        <v>221223.6295686487</v>
      </c>
      <c r="CD567" s="247">
        <f t="shared" si="1509"/>
        <v>9.3343460763315247E-4</v>
      </c>
      <c r="CE567" s="196">
        <f t="shared" si="1492"/>
        <v>21419.591890079806</v>
      </c>
      <c r="CF567" s="247">
        <f t="shared" si="1510"/>
        <v>9.2496459158061524E-4</v>
      </c>
      <c r="CG567" s="196">
        <f t="shared" si="1434"/>
        <v>36629.620582172771</v>
      </c>
      <c r="CH567" s="589">
        <f t="shared" si="1526"/>
        <v>9.3343460763315258E-4</v>
      </c>
      <c r="CI567" s="196">
        <f t="shared" si="1493"/>
        <v>32177.907474263942</v>
      </c>
      <c r="CJ567" s="248">
        <f t="shared" si="1527"/>
        <v>5.2900471719857084E-4</v>
      </c>
      <c r="CK567" s="196">
        <f t="shared" si="1494"/>
        <v>44211.494505514725</v>
      </c>
      <c r="CL567" s="589">
        <f t="shared" si="1528"/>
        <v>6.3554932743321304E-4</v>
      </c>
      <c r="CM567" s="196">
        <f t="shared" si="1495"/>
        <v>4282.9905363320158</v>
      </c>
      <c r="CN567" s="589">
        <f t="shared" si="1529"/>
        <v>6.1722761097829078E-4</v>
      </c>
      <c r="CO567" s="196">
        <f t="shared" si="1496"/>
        <v>342.63518845210763</v>
      </c>
      <c r="CP567" s="589">
        <f t="shared" si="1530"/>
        <v>6.4615718988603383E-4</v>
      </c>
      <c r="CQ567" s="196">
        <f>'Detailed Budget'!$AC$12</f>
        <v>292876014141.44696</v>
      </c>
      <c r="CR567" s="269">
        <f t="shared" si="1393"/>
        <v>0</v>
      </c>
      <c r="CS567" s="269">
        <f>'Detailed Budget'!$AC$16</f>
        <v>10488008800.000002</v>
      </c>
      <c r="CT567" s="607">
        <f t="shared" si="1436"/>
        <v>0</v>
      </c>
      <c r="CU567" s="269">
        <f>'Detailed Budget'!$AC$24</f>
        <v>30624985696</v>
      </c>
      <c r="CV567" s="269">
        <f t="shared" si="1424"/>
        <v>0</v>
      </c>
      <c r="CW567" s="269"/>
      <c r="CX567" s="269">
        <f t="shared" si="1522"/>
        <v>0</v>
      </c>
      <c r="CY567" s="196">
        <f>'Detailed Budget'!$AC$97</f>
        <v>74629165494.837845</v>
      </c>
      <c r="CZ567" s="269">
        <f t="shared" si="1437"/>
        <v>86983600.480984047</v>
      </c>
      <c r="DA567" s="269">
        <f>'Detailed Budget'!$AC$100</f>
        <v>14925833098.967569</v>
      </c>
      <c r="DB567" s="269">
        <f t="shared" si="1438"/>
        <v>17396720.096196812</v>
      </c>
      <c r="DC567" s="269">
        <f t="shared" si="1511"/>
        <v>104380320.57718086</v>
      </c>
      <c r="DD567" s="207">
        <v>0</v>
      </c>
      <c r="DE567" s="606">
        <v>0</v>
      </c>
      <c r="DF567" s="269">
        <f>'Detailed Budget'!$AC$147</f>
        <v>5913600671000</v>
      </c>
      <c r="DG567" s="269">
        <f t="shared" si="1419"/>
        <v>0</v>
      </c>
      <c r="DH567" s="269">
        <f>'Detailed Budget'!$AC$153</f>
        <v>226428026880.00003</v>
      </c>
      <c r="DI567" s="269"/>
      <c r="DJ567" s="269">
        <f>'Detailed Budget'!$AC$156</f>
        <v>27713070000</v>
      </c>
      <c r="DK567" s="269"/>
      <c r="DL567" s="269"/>
      <c r="DM567" s="196">
        <f>'Detailed Budget'!$AC$178</f>
        <v>5622683761.6229038</v>
      </c>
      <c r="DN567" s="269">
        <f t="shared" si="1497"/>
        <v>0</v>
      </c>
      <c r="DO567" s="196">
        <f>'Detailed Budget'!$AC$179</f>
        <v>26827890683.128094</v>
      </c>
      <c r="DP567" s="269">
        <f t="shared" si="1498"/>
        <v>0</v>
      </c>
      <c r="DQ567" s="269">
        <f t="shared" si="1531"/>
        <v>0</v>
      </c>
      <c r="DR567" s="269">
        <f>'Detailed Budget'!$AC$181</f>
        <v>50888946855.375237</v>
      </c>
      <c r="DS567" s="269">
        <f t="shared" si="1499"/>
        <v>0</v>
      </c>
      <c r="DT567" s="269">
        <f t="shared" si="1500"/>
        <v>0</v>
      </c>
      <c r="DU567" s="272">
        <f>'Detailed Budget'!$AC$192</f>
        <v>77498869683.252869</v>
      </c>
      <c r="DV567" s="269">
        <f t="shared" si="1439"/>
        <v>72340127.014799953</v>
      </c>
      <c r="DW567" s="140">
        <f>'Detailed Budget'!$AC$194</f>
        <v>2684962805.4134097</v>
      </c>
      <c r="DX567" s="269">
        <f t="shared" si="1440"/>
        <v>2506237.2027806742</v>
      </c>
      <c r="DY567" s="607">
        <f t="shared" si="1512"/>
        <v>74846364.217580631</v>
      </c>
      <c r="DZ567" s="196">
        <f>'Detailed Budget'!$AC$198</f>
        <v>18732540018.380611</v>
      </c>
      <c r="EA567" s="269">
        <f t="shared" si="1481"/>
        <v>17326936.227368955</v>
      </c>
      <c r="EB567" s="196">
        <f>'Detailed Budget'!$AC$200</f>
        <v>4683135004.5951529</v>
      </c>
      <c r="EC567" s="269">
        <f t="shared" si="1442"/>
        <v>4331734.0568422386</v>
      </c>
      <c r="ED567" s="269">
        <f t="shared" si="1513"/>
        <v>21658670.284211192</v>
      </c>
      <c r="EE567" s="196">
        <f>'Detailed Budget'!$AC$161</f>
        <v>251147290106.36197</v>
      </c>
      <c r="EF567" s="269">
        <f t="shared" si="1443"/>
        <v>234429572.19856152</v>
      </c>
      <c r="EG567" s="196">
        <f>'Detailed Budget'!$AC$163</f>
        <v>15696705631.647623</v>
      </c>
      <c r="EH567" s="269">
        <f t="shared" si="1444"/>
        <v>14651848.262410095</v>
      </c>
      <c r="EI567" s="269">
        <f t="shared" si="1514"/>
        <v>249081420.46097162</v>
      </c>
      <c r="EJ567" s="196">
        <f>'Detailed Budget'!$AC$204</f>
        <v>45012172507.531975</v>
      </c>
      <c r="EK567" s="269">
        <f t="shared" si="1445"/>
        <v>23811651.587840237</v>
      </c>
      <c r="EL567" s="201">
        <f>'Detailed Budget'!$AC$206</f>
        <v>11253043126.882994</v>
      </c>
      <c r="EM567" s="269">
        <f t="shared" si="1446"/>
        <v>5952912.8969600592</v>
      </c>
      <c r="EN567" s="269">
        <f t="shared" si="1515"/>
        <v>29764564.484800294</v>
      </c>
      <c r="EO567" s="140">
        <f>'Detailed Budget'!$AC$209</f>
        <v>135789361677.54817</v>
      </c>
      <c r="EP567" s="269">
        <f t="shared" si="1447"/>
        <v>86300837.48675105</v>
      </c>
      <c r="EQ567" s="196">
        <f>'Detailed Budget'!$AC$211</f>
        <v>33947340419.387043</v>
      </c>
      <c r="ER567" s="269">
        <f t="shared" si="1448"/>
        <v>21575209.371687762</v>
      </c>
      <c r="ES567" s="269">
        <f t="shared" si="1516"/>
        <v>107876046.85843882</v>
      </c>
      <c r="ET567" s="196">
        <f>'Detailed Budget'!$AC$214</f>
        <v>22239745544.201103</v>
      </c>
      <c r="EU567" s="269">
        <f t="shared" si="1449"/>
        <v>13726985.011012334</v>
      </c>
      <c r="EV567" s="140">
        <f>'Detailed Budget'!$AC$217</f>
        <v>5559936386.0502758</v>
      </c>
      <c r="EW567" s="269">
        <f t="shared" si="1450"/>
        <v>3431746.2527530836</v>
      </c>
      <c r="EX567" s="269">
        <f t="shared" si="1517"/>
        <v>17158731.263765417</v>
      </c>
      <c r="EY567" s="196">
        <f>'Detailed Budget'!$AC$219</f>
        <v>372777004.58170313</v>
      </c>
      <c r="EZ567" s="269">
        <f t="shared" si="1451"/>
        <v>240872.54173464645</v>
      </c>
      <c r="FA567" s="196">
        <f>'Detailed Budget'!$AC$222</f>
        <v>93194251.145425782</v>
      </c>
      <c r="FB567" s="269">
        <f t="shared" si="1452"/>
        <v>60218.135433661613</v>
      </c>
      <c r="FC567" s="269">
        <f t="shared" si="1518"/>
        <v>301090.67716830806</v>
      </c>
      <c r="FD567" s="269"/>
      <c r="FE567" s="269">
        <f t="shared" si="1519"/>
        <v>155100433.28417286</v>
      </c>
      <c r="FF567" s="140"/>
      <c r="FG567" s="1087">
        <f t="shared" si="1420"/>
        <v>211567257.69495919</v>
      </c>
      <c r="FJ567" s="140">
        <f>'Detailed Budget'!$AC$235</f>
        <v>3623696172</v>
      </c>
      <c r="FK567" s="269">
        <f t="shared" si="1482"/>
        <v>4681778</v>
      </c>
      <c r="FL567" s="269">
        <f t="shared" si="1421"/>
        <v>4681778</v>
      </c>
      <c r="FO567" s="607"/>
      <c r="FP567" s="607"/>
      <c r="FQ567" s="607"/>
      <c r="FR567" s="269">
        <f>'Detailed Budget'!$AC$257</f>
        <v>13636439388</v>
      </c>
      <c r="FS567" s="269">
        <f t="shared" si="1483"/>
        <v>12491700</v>
      </c>
      <c r="FT567" s="269">
        <f t="shared" si="1422"/>
        <v>12491700</v>
      </c>
      <c r="FU567" s="269"/>
      <c r="FV567" s="269"/>
      <c r="FW567" s="269"/>
      <c r="FX567" s="140">
        <f>'Detailed Budget'!$AC$278</f>
        <v>1114560000</v>
      </c>
      <c r="FY567" s="269">
        <f t="shared" si="1484"/>
        <v>1440000</v>
      </c>
      <c r="FZ567" s="269">
        <f t="shared" si="1423"/>
        <v>1440000</v>
      </c>
      <c r="GB567" s="269">
        <f t="shared" si="1431"/>
        <v>835247944.51907635</v>
      </c>
      <c r="GC567" s="887">
        <f t="shared" si="1520"/>
        <v>522029.96532442269</v>
      </c>
      <c r="GD567" s="1078">
        <f t="shared" si="1432"/>
        <v>4.6868392287817396E-4</v>
      </c>
    </row>
    <row r="568" spans="1:186" hidden="1" outlineLevel="1">
      <c r="A568" s="211" t="s">
        <v>1250</v>
      </c>
      <c r="B568" s="212" t="s">
        <v>1251</v>
      </c>
      <c r="C568" s="213" t="s">
        <v>215</v>
      </c>
      <c r="D568" s="214"/>
      <c r="E568" s="213"/>
      <c r="F568" s="213"/>
      <c r="G568" s="213" t="s">
        <v>215</v>
      </c>
      <c r="H568" s="213" t="s">
        <v>215</v>
      </c>
      <c r="I568" s="214" t="s">
        <v>215</v>
      </c>
      <c r="J568" s="214"/>
      <c r="K568" s="213"/>
      <c r="L568" s="213"/>
      <c r="M568" s="214" t="s">
        <v>215</v>
      </c>
      <c r="N568" s="213"/>
      <c r="O568" s="214"/>
      <c r="P568" s="213"/>
      <c r="Q568" s="214"/>
      <c r="R568" s="214" t="s">
        <v>215</v>
      </c>
      <c r="S568" s="214"/>
      <c r="T568" s="214"/>
      <c r="U568" s="215">
        <f t="shared" si="1502"/>
        <v>6</v>
      </c>
      <c r="V568" s="845" t="s">
        <v>216</v>
      </c>
      <c r="W568" s="216">
        <v>142792</v>
      </c>
      <c r="X568" s="217">
        <v>3.19</v>
      </c>
      <c r="Y568" s="218">
        <f t="shared" si="1477"/>
        <v>1.0319</v>
      </c>
      <c r="Z568" s="196">
        <v>19</v>
      </c>
      <c r="AA568" s="218">
        <f t="shared" si="1478"/>
        <v>1.8159949505681734</v>
      </c>
      <c r="AB568" s="196">
        <f t="shared" si="1475"/>
        <v>259309.55098153063</v>
      </c>
      <c r="AC568">
        <v>11.8</v>
      </c>
      <c r="AD568" s="196">
        <f t="shared" si="1476"/>
        <v>30598.527015820615</v>
      </c>
      <c r="AE568" s="196">
        <f t="shared" si="1479"/>
        <v>29068.600665029582</v>
      </c>
      <c r="AF568" s="196">
        <f t="shared" si="1485"/>
        <v>0</v>
      </c>
      <c r="AG568" s="606">
        <f t="shared" si="1523"/>
        <v>1.3440044812029167E-3</v>
      </c>
      <c r="AH568" s="196">
        <f t="shared" si="1501"/>
        <v>12965.477549076531</v>
      </c>
      <c r="AI568" s="248">
        <f t="shared" si="1503"/>
        <v>1.0044159011096611E-3</v>
      </c>
      <c r="AJ568" s="196">
        <f t="shared" si="1504"/>
        <v>43564.004564897143</v>
      </c>
      <c r="AK568" s="196">
        <f t="shared" ref="AK568:AK628" si="1532">AB568*0.04</f>
        <v>10372.382039261225</v>
      </c>
      <c r="AL568" s="196">
        <f t="shared" ref="AL568:AL628" si="1533">AB568*0.04</f>
        <v>10372.382039261225</v>
      </c>
      <c r="AM568" s="196">
        <f t="shared" si="1505"/>
        <v>20744.76407852245</v>
      </c>
      <c r="AN568" s="627">
        <f t="shared" si="1506"/>
        <v>1.0044159011096611E-3</v>
      </c>
      <c r="AO568" s="196">
        <f t="shared" si="1507"/>
        <v>9853.7629372981628</v>
      </c>
      <c r="AP568" s="589">
        <f t="shared" si="1524"/>
        <v>1.0044159011096609E-3</v>
      </c>
      <c r="AQ568" s="196"/>
      <c r="AR568" s="589"/>
      <c r="AS568">
        <v>1</v>
      </c>
      <c r="AT568" s="589">
        <f t="shared" si="1525"/>
        <v>1.2919896640826874E-3</v>
      </c>
      <c r="AU568" s="196">
        <v>13</v>
      </c>
      <c r="AV568" s="245"/>
      <c r="AX568" s="245"/>
      <c r="AY568" s="245"/>
      <c r="AZ568" s="196">
        <v>24</v>
      </c>
      <c r="BA568" s="589">
        <f t="shared" si="1425"/>
        <v>8.7941079476750578E-4</v>
      </c>
      <c r="BI568" s="196">
        <v>0</v>
      </c>
      <c r="BK568" s="246">
        <f t="shared" si="1426"/>
        <v>0</v>
      </c>
      <c r="BL568" s="246"/>
      <c r="BM568" s="246">
        <f t="shared" si="1427"/>
        <v>0</v>
      </c>
      <c r="BN568" s="196">
        <v>1</v>
      </c>
      <c r="BO568" s="196">
        <f t="shared" si="1486"/>
        <v>13407.144895090352</v>
      </c>
      <c r="BP568" s="196">
        <f t="shared" si="1508"/>
        <v>13407.144895090352</v>
      </c>
      <c r="BQ568" s="248">
        <f t="shared" si="1428"/>
        <v>1.2541759712406397E-3</v>
      </c>
      <c r="BR568" s="248"/>
      <c r="BS568" s="248"/>
      <c r="BT568" s="276">
        <v>0</v>
      </c>
      <c r="BU568" s="196">
        <f t="shared" si="1487"/>
        <v>0</v>
      </c>
      <c r="BV568" s="264">
        <f t="shared" si="1429"/>
        <v>0</v>
      </c>
      <c r="BW568" s="196">
        <f t="shared" si="1488"/>
        <v>0</v>
      </c>
      <c r="BX568" s="247">
        <f t="shared" si="1430"/>
        <v>0</v>
      </c>
      <c r="BY568" s="196">
        <f t="shared" si="1489"/>
        <v>0</v>
      </c>
      <c r="BZ568" s="620">
        <v>1</v>
      </c>
      <c r="CA568" s="196">
        <f t="shared" si="1490"/>
        <v>79348.722600348381</v>
      </c>
      <c r="CB568" s="196">
        <f t="shared" si="1491"/>
        <v>158697.44520069676</v>
      </c>
      <c r="CC568" s="196">
        <f t="shared" si="1521"/>
        <v>238046.16780104514</v>
      </c>
      <c r="CD568" s="247">
        <f t="shared" si="1509"/>
        <v>1.0044159011096611E-3</v>
      </c>
      <c r="CE568" s="196">
        <f t="shared" si="1492"/>
        <v>23048.404798519048</v>
      </c>
      <c r="CF568" s="247">
        <f t="shared" si="1510"/>
        <v>9.9530179848666728E-4</v>
      </c>
      <c r="CG568" s="196">
        <f t="shared" si="1434"/>
        <v>39415.051749192651</v>
      </c>
      <c r="CH568" s="589">
        <f t="shared" si="1526"/>
        <v>1.0044159011096609E-3</v>
      </c>
      <c r="CI568" s="196">
        <f t="shared" si="1493"/>
        <v>34624.816422371325</v>
      </c>
      <c r="CJ568" s="248">
        <f t="shared" si="1527"/>
        <v>5.6923189409438014E-4</v>
      </c>
      <c r="CK568" s="196">
        <f t="shared" si="1494"/>
        <v>47573.475131547311</v>
      </c>
      <c r="CL568" s="589">
        <f t="shared" si="1528"/>
        <v>6.8387849046234301E-4</v>
      </c>
      <c r="CM568" s="196">
        <f t="shared" si="1495"/>
        <v>4608.6825620298359</v>
      </c>
      <c r="CN568" s="589">
        <f t="shared" si="1529"/>
        <v>6.6416353325756479E-4</v>
      </c>
      <c r="CO568" s="196">
        <f t="shared" si="1496"/>
        <v>368.69024219450762</v>
      </c>
      <c r="CP568" s="589">
        <f t="shared" si="1530"/>
        <v>6.9529300802711775E-4</v>
      </c>
      <c r="CQ568" s="196">
        <f>'Detailed Budget'!$AC$12</f>
        <v>292876014141.44696</v>
      </c>
      <c r="CR568" s="269">
        <f t="shared" si="1393"/>
        <v>0</v>
      </c>
      <c r="CS568" s="269">
        <f>'Detailed Budget'!$AC$16</f>
        <v>10488008800.000002</v>
      </c>
      <c r="CT568" s="607">
        <f t="shared" si="1436"/>
        <v>0</v>
      </c>
      <c r="CU568" s="269">
        <f>'Detailed Budget'!$AC$24</f>
        <v>30624985696</v>
      </c>
      <c r="CV568" s="269">
        <f t="shared" si="1424"/>
        <v>0</v>
      </c>
      <c r="CW568" s="269"/>
      <c r="CX568" s="269">
        <f t="shared" si="1522"/>
        <v>0</v>
      </c>
      <c r="CY568" s="196">
        <f>'Detailed Budget'!$AC$97</f>
        <v>74629165494.837845</v>
      </c>
      <c r="CZ568" s="269">
        <f t="shared" si="1437"/>
        <v>93598106.117366686</v>
      </c>
      <c r="DA568" s="269">
        <f>'Detailed Budget'!$AC$100</f>
        <v>14925833098.967569</v>
      </c>
      <c r="DB568" s="269">
        <f t="shared" si="1438"/>
        <v>18719621.22347334</v>
      </c>
      <c r="DC568" s="269">
        <f t="shared" si="1511"/>
        <v>112317727.34084003</v>
      </c>
      <c r="DD568" s="207">
        <v>0</v>
      </c>
      <c r="DE568" s="606">
        <v>0</v>
      </c>
      <c r="DF568" s="269">
        <f>'Detailed Budget'!$AC$147</f>
        <v>5913600671000</v>
      </c>
      <c r="DG568" s="269">
        <f t="shared" si="1419"/>
        <v>0</v>
      </c>
      <c r="DH568" s="269">
        <f>'Detailed Budget'!$AC$153</f>
        <v>226428026880.00003</v>
      </c>
      <c r="DI568" s="269"/>
      <c r="DJ568" s="269">
        <f>'Detailed Budget'!$AC$156</f>
        <v>27713070000</v>
      </c>
      <c r="DK568" s="269"/>
      <c r="DL568" s="269"/>
      <c r="DM568" s="196">
        <f>'Detailed Budget'!$AC$178</f>
        <v>5622683761.6229038</v>
      </c>
      <c r="DN568" s="269">
        <f t="shared" si="1497"/>
        <v>0</v>
      </c>
      <c r="DO568" s="196">
        <f>'Detailed Budget'!$AC$179</f>
        <v>26827890683.128094</v>
      </c>
      <c r="DP568" s="269">
        <f t="shared" si="1498"/>
        <v>0</v>
      </c>
      <c r="DQ568" s="269">
        <f t="shared" si="1531"/>
        <v>0</v>
      </c>
      <c r="DR568" s="269">
        <f>'Detailed Budget'!$AC$181</f>
        <v>50888946855.375237</v>
      </c>
      <c r="DS568" s="269">
        <f t="shared" si="1499"/>
        <v>0</v>
      </c>
      <c r="DT568" s="269">
        <f t="shared" si="1500"/>
        <v>0</v>
      </c>
      <c r="DU568" s="272">
        <f>'Detailed Budget'!$AC$192</f>
        <v>77498869683.252869</v>
      </c>
      <c r="DV568" s="269">
        <f t="shared" si="1439"/>
        <v>77841097.027884632</v>
      </c>
      <c r="DW568" s="140">
        <f>'Detailed Budget'!$AC$194</f>
        <v>2684962805.4134097</v>
      </c>
      <c r="DX568" s="269">
        <f t="shared" si="1440"/>
        <v>2696819.3356452337</v>
      </c>
      <c r="DY568" s="607">
        <f t="shared" si="1512"/>
        <v>80537916.363529861</v>
      </c>
      <c r="DZ568" s="196">
        <f>'Detailed Budget'!$AC$198</f>
        <v>18732540018.380611</v>
      </c>
      <c r="EA568" s="269">
        <f t="shared" si="1481"/>
        <v>18644530.770517688</v>
      </c>
      <c r="EB568" s="196">
        <f>'Detailed Budget'!$AC$200</f>
        <v>4683135004.5951529</v>
      </c>
      <c r="EC568" s="269">
        <f t="shared" si="1442"/>
        <v>4661132.6926294221</v>
      </c>
      <c r="ED568" s="269">
        <f t="shared" si="1513"/>
        <v>23305663.463147111</v>
      </c>
      <c r="EE568" s="196">
        <f>'Detailed Budget'!$AC$161</f>
        <v>251147290106.36197</v>
      </c>
      <c r="EF568" s="269">
        <f t="shared" si="1443"/>
        <v>252256331.70343098</v>
      </c>
      <c r="EG568" s="196">
        <f>'Detailed Budget'!$AC$163</f>
        <v>15696705631.647623</v>
      </c>
      <c r="EH568" s="269">
        <f t="shared" si="1444"/>
        <v>15766020.731464436</v>
      </c>
      <c r="EI568" s="269">
        <f t="shared" si="1514"/>
        <v>268022352.43489543</v>
      </c>
      <c r="EJ568" s="196">
        <f>'Detailed Budget'!$AC$204</f>
        <v>45012172507.531975</v>
      </c>
      <c r="EK568" s="269">
        <f t="shared" si="1445"/>
        <v>25622364.213765409</v>
      </c>
      <c r="EL568" s="201">
        <f>'Detailed Budget'!$AC$206</f>
        <v>11253043126.882994</v>
      </c>
      <c r="EM568" s="269">
        <f t="shared" si="1446"/>
        <v>6405591.0534413522</v>
      </c>
      <c r="EN568" s="269">
        <f t="shared" si="1515"/>
        <v>32027955.267206762</v>
      </c>
      <c r="EO568" s="140">
        <f>'Detailed Budget'!$AC$209</f>
        <v>135789361677.54817</v>
      </c>
      <c r="EP568" s="269">
        <f t="shared" si="1447"/>
        <v>92863423.684886768</v>
      </c>
      <c r="EQ568" s="196">
        <f>'Detailed Budget'!$AC$211</f>
        <v>33947340419.387043</v>
      </c>
      <c r="ER568" s="269">
        <f t="shared" si="1448"/>
        <v>23215855.921221692</v>
      </c>
      <c r="ES568" s="269">
        <f t="shared" si="1516"/>
        <v>116079279.60610846</v>
      </c>
      <c r="ET568" s="196">
        <f>'Detailed Budget'!$AC$214</f>
        <v>22239745544.201103</v>
      </c>
      <c r="EU568" s="269">
        <f t="shared" si="1449"/>
        <v>14770827.979385788</v>
      </c>
      <c r="EV568" s="140">
        <f>'Detailed Budget'!$AC$217</f>
        <v>5559936386.0502758</v>
      </c>
      <c r="EW568" s="269">
        <f t="shared" si="1450"/>
        <v>3692706.9948464469</v>
      </c>
      <c r="EX568" s="269">
        <f t="shared" si="1517"/>
        <v>18463534.974232234</v>
      </c>
      <c r="EY568" s="196">
        <f>'Detailed Budget'!$AC$219</f>
        <v>372777004.58170313</v>
      </c>
      <c r="EZ568" s="269">
        <f t="shared" si="1451"/>
        <v>259189.24483895101</v>
      </c>
      <c r="FA568" s="196">
        <f>'Detailed Budget'!$AC$222</f>
        <v>93194251.145425782</v>
      </c>
      <c r="FB568" s="269">
        <f t="shared" si="1452"/>
        <v>64797.311209737753</v>
      </c>
      <c r="FC568" s="269">
        <f t="shared" si="1518"/>
        <v>323986.55604868877</v>
      </c>
      <c r="FD568" s="269"/>
      <c r="FE568" s="269">
        <f t="shared" si="1519"/>
        <v>166894756.40359613</v>
      </c>
      <c r="FF568" s="140"/>
      <c r="FG568" s="1087">
        <f t="shared" si="1420"/>
        <v>227655495.1415484</v>
      </c>
      <c r="FJ568" s="140">
        <f>'Detailed Budget'!$AC$235</f>
        <v>3623696172</v>
      </c>
      <c r="FK568" s="269">
        <f t="shared" si="1482"/>
        <v>4681778</v>
      </c>
      <c r="FL568" s="269">
        <f t="shared" si="1421"/>
        <v>4681778</v>
      </c>
      <c r="FO568" s="607"/>
      <c r="FP568" s="607"/>
      <c r="FQ568" s="607"/>
      <c r="FR568" s="269">
        <f>'Detailed Budget'!$AC$257</f>
        <v>13636439388</v>
      </c>
      <c r="FS568" s="269">
        <f t="shared" si="1483"/>
        <v>11992032</v>
      </c>
      <c r="FT568" s="269">
        <f t="shared" si="1422"/>
        <v>11992032</v>
      </c>
      <c r="FU568" s="269"/>
      <c r="FV568" s="269"/>
      <c r="FW568" s="269"/>
      <c r="FX568" s="140">
        <f>'Detailed Budget'!$AC$278</f>
        <v>1114560000</v>
      </c>
      <c r="FY568" s="269">
        <f t="shared" si="1484"/>
        <v>1440000</v>
      </c>
      <c r="FZ568" s="269">
        <f t="shared" si="1423"/>
        <v>1440000</v>
      </c>
      <c r="GB568" s="269">
        <f t="shared" si="1431"/>
        <v>896847721.14755702</v>
      </c>
      <c r="GC568" s="887">
        <f t="shared" si="1520"/>
        <v>560529.82571722311</v>
      </c>
      <c r="GD568" s="1078">
        <f t="shared" si="1432"/>
        <v>5.0324949726612291E-4</v>
      </c>
    </row>
    <row r="569" spans="1:186" hidden="1" outlineLevel="1">
      <c r="A569" s="211" t="s">
        <v>1252</v>
      </c>
      <c r="B569" s="212" t="s">
        <v>1253</v>
      </c>
      <c r="C569" s="213" t="s">
        <v>215</v>
      </c>
      <c r="D569" s="214"/>
      <c r="E569" s="213"/>
      <c r="F569" s="213"/>
      <c r="G569" s="213" t="s">
        <v>215</v>
      </c>
      <c r="H569" s="213" t="s">
        <v>215</v>
      </c>
      <c r="I569" s="214" t="s">
        <v>215</v>
      </c>
      <c r="J569" s="214"/>
      <c r="K569" s="213"/>
      <c r="L569" s="213"/>
      <c r="M569" s="214" t="s">
        <v>215</v>
      </c>
      <c r="N569" s="213"/>
      <c r="O569" s="214"/>
      <c r="P569" s="213"/>
      <c r="Q569" s="214"/>
      <c r="R569" s="214" t="s">
        <v>215</v>
      </c>
      <c r="S569" s="214"/>
      <c r="T569" s="214"/>
      <c r="U569" s="215">
        <f t="shared" si="1502"/>
        <v>6</v>
      </c>
      <c r="V569" s="845" t="s">
        <v>216</v>
      </c>
      <c r="W569" s="216">
        <v>120224</v>
      </c>
      <c r="X569" s="217">
        <v>3.19</v>
      </c>
      <c r="Y569" s="218">
        <f t="shared" si="1477"/>
        <v>1.0319</v>
      </c>
      <c r="Z569" s="196">
        <v>19</v>
      </c>
      <c r="AA569" s="218">
        <f t="shared" si="1478"/>
        <v>1.8159949505681734</v>
      </c>
      <c r="AB569" s="196">
        <f t="shared" si="1475"/>
        <v>218326.17693710807</v>
      </c>
      <c r="AC569">
        <v>11.8</v>
      </c>
      <c r="AD569" s="196">
        <f t="shared" si="1476"/>
        <v>25762.488878578752</v>
      </c>
      <c r="AE569" s="196">
        <f t="shared" si="1479"/>
        <v>24474.364434649811</v>
      </c>
      <c r="AF569" s="196">
        <f t="shared" si="1485"/>
        <v>0</v>
      </c>
      <c r="AG569" s="606">
        <f t="shared" si="1523"/>
        <v>1.1315871669851211E-3</v>
      </c>
      <c r="AH569" s="196">
        <f t="shared" si="1501"/>
        <v>10916.308846855405</v>
      </c>
      <c r="AI569" s="248">
        <f t="shared" si="1503"/>
        <v>8.4566990654243862E-4</v>
      </c>
      <c r="AJ569" s="196">
        <f t="shared" si="1504"/>
        <v>36678.797725434153</v>
      </c>
      <c r="AK569" s="196">
        <f t="shared" si="1532"/>
        <v>8733.0470774843234</v>
      </c>
      <c r="AL569" s="196">
        <f t="shared" si="1533"/>
        <v>8733.0470774843234</v>
      </c>
      <c r="AM569" s="196">
        <f t="shared" si="1505"/>
        <v>17466.094154968647</v>
      </c>
      <c r="AN569" s="627">
        <f t="shared" si="1506"/>
        <v>8.4566990654243851E-4</v>
      </c>
      <c r="AO569" s="196">
        <f t="shared" si="1507"/>
        <v>8296.3947236101067</v>
      </c>
      <c r="AP569" s="589">
        <f t="shared" si="1524"/>
        <v>8.4566990654243851E-4</v>
      </c>
      <c r="AQ569" s="196"/>
      <c r="AR569" s="589"/>
      <c r="AS569">
        <v>1</v>
      </c>
      <c r="AT569" s="589">
        <f t="shared" si="1525"/>
        <v>1.2919896640826874E-3</v>
      </c>
      <c r="AU569" s="196">
        <v>11</v>
      </c>
      <c r="AV569" s="245"/>
      <c r="AX569" s="245"/>
      <c r="AY569" s="245"/>
      <c r="AZ569" s="196">
        <v>31</v>
      </c>
      <c r="BA569" s="589">
        <f t="shared" si="1425"/>
        <v>1.1359056099080284E-3</v>
      </c>
      <c r="BI569" s="196">
        <v>0</v>
      </c>
      <c r="BK569" s="246">
        <f t="shared" si="1426"/>
        <v>0</v>
      </c>
      <c r="BL569" s="246"/>
      <c r="BM569" s="246">
        <f t="shared" si="1427"/>
        <v>0</v>
      </c>
      <c r="BN569" s="196">
        <v>1</v>
      </c>
      <c r="BO569" s="196">
        <f t="shared" si="1486"/>
        <v>11288.171521285101</v>
      </c>
      <c r="BP569" s="196">
        <f t="shared" si="1508"/>
        <v>11288.171521285101</v>
      </c>
      <c r="BQ569" s="248">
        <f t="shared" si="1428"/>
        <v>1.0559558796461612E-3</v>
      </c>
      <c r="BR569" s="248"/>
      <c r="BS569" s="248"/>
      <c r="BT569" s="276">
        <v>0</v>
      </c>
      <c r="BU569" s="196">
        <f t="shared" si="1487"/>
        <v>0</v>
      </c>
      <c r="BV569" s="264">
        <f t="shared" si="1429"/>
        <v>0</v>
      </c>
      <c r="BW569" s="196">
        <f t="shared" si="1488"/>
        <v>0</v>
      </c>
      <c r="BX569" s="247">
        <f t="shared" si="1430"/>
        <v>0</v>
      </c>
      <c r="BY569" s="196">
        <f t="shared" si="1489"/>
        <v>0</v>
      </c>
      <c r="BZ569" s="620">
        <v>1</v>
      </c>
      <c r="CA569" s="196">
        <f t="shared" si="1490"/>
        <v>66807.810142755072</v>
      </c>
      <c r="CB569" s="196">
        <f t="shared" si="1491"/>
        <v>133615.62028551014</v>
      </c>
      <c r="CC569" s="196">
        <f t="shared" si="1521"/>
        <v>200423.43042826522</v>
      </c>
      <c r="CD569" s="247">
        <f t="shared" si="1509"/>
        <v>8.4566990654243851E-4</v>
      </c>
      <c r="CE569" s="196">
        <f t="shared" si="1492"/>
        <v>19405.648905380931</v>
      </c>
      <c r="CF569" s="247">
        <f t="shared" si="1510"/>
        <v>8.3799627024806062E-4</v>
      </c>
      <c r="CG569" s="196">
        <f t="shared" si="1434"/>
        <v>33185.578894440427</v>
      </c>
      <c r="CH569" s="589">
        <f t="shared" si="1526"/>
        <v>8.4566990654243851E-4</v>
      </c>
      <c r="CI569" s="196">
        <f t="shared" si="1493"/>
        <v>29152.431015485246</v>
      </c>
      <c r="CJ569" s="248">
        <f t="shared" si="1527"/>
        <v>4.7926589189592375E-4</v>
      </c>
      <c r="CK569" s="196">
        <f t="shared" si="1494"/>
        <v>40054.579207624673</v>
      </c>
      <c r="CL569" s="589">
        <f t="shared" si="1528"/>
        <v>5.7579281498504613E-4</v>
      </c>
      <c r="CM569" s="196">
        <f t="shared" si="1495"/>
        <v>3880.289178227596</v>
      </c>
      <c r="CN569" s="589">
        <f t="shared" si="1529"/>
        <v>5.5919376871503622E-4</v>
      </c>
      <c r="CO569" s="196">
        <f t="shared" si="1496"/>
        <v>310.41946101737125</v>
      </c>
      <c r="CP569" s="589">
        <f t="shared" si="1530"/>
        <v>5.8540329007964159E-4</v>
      </c>
      <c r="CQ569" s="196">
        <f>'Detailed Budget'!$AC$12</f>
        <v>292876014141.44696</v>
      </c>
      <c r="CR569" s="269">
        <f t="shared" si="1393"/>
        <v>0</v>
      </c>
      <c r="CS569" s="269">
        <f>'Detailed Budget'!$AC$16</f>
        <v>10488008800.000002</v>
      </c>
      <c r="CT569" s="607">
        <f t="shared" si="1436"/>
        <v>0</v>
      </c>
      <c r="CU569" s="269">
        <f>'Detailed Budget'!$AC$24</f>
        <v>30624985696</v>
      </c>
      <c r="CV569" s="269">
        <f t="shared" si="1424"/>
        <v>0</v>
      </c>
      <c r="CW569" s="269"/>
      <c r="CX569" s="269">
        <f t="shared" si="1522"/>
        <v>0</v>
      </c>
      <c r="CY569" s="196">
        <f>'Detailed Budget'!$AC$97</f>
        <v>74629165494.837845</v>
      </c>
      <c r="CZ569" s="269">
        <f t="shared" si="1437"/>
        <v>78805106.097360432</v>
      </c>
      <c r="DA569" s="269">
        <f>'Detailed Budget'!$AC$100</f>
        <v>14925833098.967569</v>
      </c>
      <c r="DB569" s="269">
        <f t="shared" si="1438"/>
        <v>15761021.219472088</v>
      </c>
      <c r="DC569" s="269">
        <f t="shared" si="1511"/>
        <v>94566127.316832513</v>
      </c>
      <c r="DD569" s="207">
        <v>0</v>
      </c>
      <c r="DE569" s="606">
        <v>0</v>
      </c>
      <c r="DF569" s="269">
        <f>'Detailed Budget'!$AC$147</f>
        <v>5913600671000</v>
      </c>
      <c r="DG569" s="269">
        <f t="shared" si="1419"/>
        <v>0</v>
      </c>
      <c r="DH569" s="269">
        <f>'Detailed Budget'!$AC$153</f>
        <v>226428026880.00003</v>
      </c>
      <c r="DI569" s="269"/>
      <c r="DJ569" s="269">
        <f>'Detailed Budget'!$AC$156</f>
        <v>27713070000</v>
      </c>
      <c r="DK569" s="269"/>
      <c r="DL569" s="269"/>
      <c r="DM569" s="196">
        <f>'Detailed Budget'!$AC$178</f>
        <v>5622683761.6229038</v>
      </c>
      <c r="DN569" s="269">
        <f t="shared" si="1497"/>
        <v>0</v>
      </c>
      <c r="DO569" s="196">
        <f>'Detailed Budget'!$AC$179</f>
        <v>26827890683.128094</v>
      </c>
      <c r="DP569" s="269">
        <f t="shared" si="1498"/>
        <v>0</v>
      </c>
      <c r="DQ569" s="269">
        <f t="shared" si="1531"/>
        <v>0</v>
      </c>
      <c r="DR569" s="269">
        <f>'Detailed Budget'!$AC$181</f>
        <v>50888946855.375237</v>
      </c>
      <c r="DS569" s="269">
        <f t="shared" si="1499"/>
        <v>0</v>
      </c>
      <c r="DT569" s="269">
        <f t="shared" si="1500"/>
        <v>0</v>
      </c>
      <c r="DU569" s="272">
        <f>'Detailed Budget'!$AC$192</f>
        <v>77498869683.252869</v>
      </c>
      <c r="DV569" s="269">
        <f t="shared" si="1439"/>
        <v>65538461.882181078</v>
      </c>
      <c r="DW569" s="140">
        <f>'Detailed Budget'!$AC$194</f>
        <v>2684962805.4134097</v>
      </c>
      <c r="DX569" s="269">
        <f t="shared" si="1440"/>
        <v>2270592.2447238816</v>
      </c>
      <c r="DY569" s="607">
        <f t="shared" si="1512"/>
        <v>67809054.126904964</v>
      </c>
      <c r="DZ569" s="196">
        <f>'Detailed Budget'!$AC$198</f>
        <v>18732540018.380611</v>
      </c>
      <c r="EA569" s="269">
        <f t="shared" si="1481"/>
        <v>15697798.66767549</v>
      </c>
      <c r="EB569" s="196">
        <f>'Detailed Budget'!$AC$200</f>
        <v>4683135004.5951529</v>
      </c>
      <c r="EC569" s="269">
        <f t="shared" si="1442"/>
        <v>3924449.6669188724</v>
      </c>
      <c r="ED569" s="269">
        <f t="shared" si="1513"/>
        <v>19622248.334594361</v>
      </c>
      <c r="EE569" s="196">
        <f>'Detailed Budget'!$AC$161</f>
        <v>251147290106.36197</v>
      </c>
      <c r="EF569" s="269">
        <f t="shared" si="1443"/>
        <v>212387705.3526338</v>
      </c>
      <c r="EG569" s="196">
        <f>'Detailed Budget'!$AC$163</f>
        <v>15696705631.647623</v>
      </c>
      <c r="EH569" s="269">
        <f t="shared" si="1444"/>
        <v>13274231.584539613</v>
      </c>
      <c r="EI569" s="269">
        <f t="shared" si="1514"/>
        <v>225661936.93717343</v>
      </c>
      <c r="EJ569" s="196">
        <f>'Detailed Budget'!$AC$204</f>
        <v>45012172507.531975</v>
      </c>
      <c r="EK569" s="269">
        <f t="shared" si="1445"/>
        <v>21572799.002995491</v>
      </c>
      <c r="EL569" s="201">
        <f>'Detailed Budget'!$AC$206</f>
        <v>11253043126.882994</v>
      </c>
      <c r="EM569" s="269">
        <f t="shared" si="1446"/>
        <v>5393199.7507488728</v>
      </c>
      <c r="EN569" s="269">
        <f t="shared" si="1515"/>
        <v>26965998.753744364</v>
      </c>
      <c r="EO569" s="140">
        <f>'Detailed Budget'!$AC$209</f>
        <v>135789361677.54817</v>
      </c>
      <c r="EP569" s="269">
        <f t="shared" si="1447"/>
        <v>78186538.80533801</v>
      </c>
      <c r="EQ569" s="196">
        <f>'Detailed Budget'!$AC$211</f>
        <v>33947340419.387043</v>
      </c>
      <c r="ER569" s="269">
        <f t="shared" si="1448"/>
        <v>19546634.701334503</v>
      </c>
      <c r="ES569" s="269">
        <f t="shared" si="1516"/>
        <v>97733173.506672516</v>
      </c>
      <c r="ET569" s="196">
        <f>'Detailed Budget'!$AC$214</f>
        <v>22239745544.201103</v>
      </c>
      <c r="EU569" s="269">
        <f t="shared" si="1449"/>
        <v>12436327.126125248</v>
      </c>
      <c r="EV569" s="140">
        <f>'Detailed Budget'!$AC$217</f>
        <v>5559936386.0502758</v>
      </c>
      <c r="EW569" s="269">
        <f t="shared" si="1450"/>
        <v>3109081.781531312</v>
      </c>
      <c r="EX569" s="269">
        <f t="shared" si="1517"/>
        <v>15545408.90765656</v>
      </c>
      <c r="EY569" s="196">
        <f>'Detailed Budget'!$AC$219</f>
        <v>372777004.58170313</v>
      </c>
      <c r="EZ569" s="269">
        <f t="shared" si="1451"/>
        <v>218224.88494816262</v>
      </c>
      <c r="FA569" s="196">
        <f>'Detailed Budget'!$AC$222</f>
        <v>93194251.145425782</v>
      </c>
      <c r="FB569" s="269">
        <f t="shared" si="1452"/>
        <v>54556.221237040656</v>
      </c>
      <c r="FC569" s="269">
        <f t="shared" si="1518"/>
        <v>272781.1061852033</v>
      </c>
      <c r="FD569" s="269"/>
      <c r="FE569" s="269">
        <f t="shared" si="1519"/>
        <v>140517362.27425864</v>
      </c>
      <c r="FF569" s="140"/>
      <c r="FG569" s="1087">
        <f t="shared" si="1420"/>
        <v>191674983.52777123</v>
      </c>
      <c r="FJ569" s="140">
        <f>'Detailed Budget'!$AC$235</f>
        <v>3623696172</v>
      </c>
      <c r="FK569" s="269">
        <f t="shared" si="1482"/>
        <v>4681778</v>
      </c>
      <c r="FL569" s="269">
        <f t="shared" si="1421"/>
        <v>4681778</v>
      </c>
      <c r="FO569" s="607"/>
      <c r="FP569" s="607"/>
      <c r="FQ569" s="607"/>
      <c r="FR569" s="269">
        <f>'Detailed Budget'!$AC$257</f>
        <v>13636439388</v>
      </c>
      <c r="FS569" s="269">
        <f t="shared" si="1483"/>
        <v>15489708.000000002</v>
      </c>
      <c r="FT569" s="269">
        <f t="shared" si="1422"/>
        <v>15489708.000000002</v>
      </c>
      <c r="FU569" s="269"/>
      <c r="FV569" s="269"/>
      <c r="FW569" s="269"/>
      <c r="FX569" s="140">
        <f>'Detailed Budget'!$AC$278</f>
        <v>1114560000</v>
      </c>
      <c r="FY569" s="269">
        <f t="shared" si="1484"/>
        <v>1440000</v>
      </c>
      <c r="FZ569" s="269">
        <f t="shared" si="1423"/>
        <v>1440000</v>
      </c>
      <c r="GB569" s="269">
        <f t="shared" si="1431"/>
        <v>761463198.51753509</v>
      </c>
      <c r="GC569" s="887">
        <f t="shared" si="1520"/>
        <v>475914.49907345942</v>
      </c>
      <c r="GD569" s="1078">
        <f t="shared" si="1432"/>
        <v>4.2728097848124562E-4</v>
      </c>
    </row>
    <row r="570" spans="1:186" hidden="1" outlineLevel="1">
      <c r="A570" s="211" t="s">
        <v>1254</v>
      </c>
      <c r="B570" s="212" t="s">
        <v>1255</v>
      </c>
      <c r="C570" s="213" t="s">
        <v>215</v>
      </c>
      <c r="D570" s="214"/>
      <c r="E570" s="213"/>
      <c r="F570" s="213"/>
      <c r="G570" s="213" t="s">
        <v>215</v>
      </c>
      <c r="H570" s="213" t="s">
        <v>215</v>
      </c>
      <c r="I570" s="214" t="s">
        <v>215</v>
      </c>
      <c r="J570" s="214"/>
      <c r="K570" s="213"/>
      <c r="L570" s="213"/>
      <c r="M570" s="214" t="s">
        <v>215</v>
      </c>
      <c r="N570" s="213"/>
      <c r="O570" s="214"/>
      <c r="P570" s="213"/>
      <c r="Q570" s="214"/>
      <c r="R570" s="214" t="s">
        <v>215</v>
      </c>
      <c r="S570" s="214"/>
      <c r="T570" s="214"/>
      <c r="U570" s="215">
        <f t="shared" si="1502"/>
        <v>6</v>
      </c>
      <c r="V570" s="845" t="s">
        <v>216</v>
      </c>
      <c r="W570" s="216">
        <v>111743</v>
      </c>
      <c r="X570" s="217">
        <v>3.19</v>
      </c>
      <c r="Y570" s="218">
        <f t="shared" si="1477"/>
        <v>1.0319</v>
      </c>
      <c r="Z570" s="196">
        <v>19</v>
      </c>
      <c r="AA570" s="218">
        <f t="shared" si="1478"/>
        <v>1.8159949505681734</v>
      </c>
      <c r="AB570" s="196">
        <f t="shared" si="1475"/>
        <v>202924.72376133941</v>
      </c>
      <c r="AC570">
        <v>11.8</v>
      </c>
      <c r="AD570" s="196">
        <f t="shared" si="1476"/>
        <v>23945.117403838052</v>
      </c>
      <c r="AE570" s="196">
        <f t="shared" si="1479"/>
        <v>22747.861533646148</v>
      </c>
      <c r="AF570" s="196">
        <f t="shared" si="1485"/>
        <v>0</v>
      </c>
      <c r="AG570" s="606">
        <f t="shared" si="1523"/>
        <v>1.0517612523324661E-3</v>
      </c>
      <c r="AH570" s="196">
        <f t="shared" si="1501"/>
        <v>10146.23618806697</v>
      </c>
      <c r="AI570" s="248">
        <f t="shared" si="1503"/>
        <v>7.8601354444014261E-4</v>
      </c>
      <c r="AJ570" s="196">
        <f t="shared" si="1504"/>
        <v>34091.353591905019</v>
      </c>
      <c r="AK570" s="196">
        <f t="shared" si="1532"/>
        <v>8116.9889504535768</v>
      </c>
      <c r="AL570" s="196">
        <f t="shared" si="1533"/>
        <v>8116.9889504535768</v>
      </c>
      <c r="AM570" s="196">
        <f t="shared" si="1505"/>
        <v>16233.977900907154</v>
      </c>
      <c r="AN570" s="627">
        <f t="shared" si="1506"/>
        <v>7.8601354444014272E-4</v>
      </c>
      <c r="AO570" s="196">
        <f t="shared" si="1507"/>
        <v>7711.1395029308978</v>
      </c>
      <c r="AP570" s="589">
        <f t="shared" si="1524"/>
        <v>7.8601354444014272E-4</v>
      </c>
      <c r="AQ570" s="196"/>
      <c r="AR570" s="589"/>
      <c r="AS570">
        <v>1</v>
      </c>
      <c r="AT570" s="589">
        <f t="shared" si="1525"/>
        <v>1.2919896640826874E-3</v>
      </c>
      <c r="AU570" s="196">
        <v>10</v>
      </c>
      <c r="AV570" s="245"/>
      <c r="AX570" s="245"/>
      <c r="AY570" s="245"/>
      <c r="AZ570" s="196">
        <v>17</v>
      </c>
      <c r="BA570" s="589">
        <f t="shared" si="1425"/>
        <v>6.229159796269833E-4</v>
      </c>
      <c r="BI570" s="196">
        <v>0</v>
      </c>
      <c r="BK570" s="246">
        <f t="shared" si="1426"/>
        <v>0</v>
      </c>
      <c r="BL570" s="246"/>
      <c r="BM570" s="246">
        <f t="shared" si="1427"/>
        <v>0</v>
      </c>
      <c r="BN570" s="196">
        <v>1</v>
      </c>
      <c r="BO570" s="196">
        <f t="shared" si="1486"/>
        <v>10491.86643517901</v>
      </c>
      <c r="BP570" s="196">
        <f t="shared" si="1508"/>
        <v>10491.86643517901</v>
      </c>
      <c r="BQ570" s="248">
        <f t="shared" si="1428"/>
        <v>9.8146524703304674E-4</v>
      </c>
      <c r="BR570" s="248"/>
      <c r="BS570" s="248"/>
      <c r="BT570" s="276">
        <v>0</v>
      </c>
      <c r="BU570" s="196">
        <f t="shared" si="1487"/>
        <v>0</v>
      </c>
      <c r="BV570" s="264">
        <f t="shared" si="1429"/>
        <v>0</v>
      </c>
      <c r="BW570" s="196">
        <f t="shared" si="1488"/>
        <v>0</v>
      </c>
      <c r="BX570" s="247">
        <f t="shared" si="1430"/>
        <v>0</v>
      </c>
      <c r="BY570" s="196">
        <f t="shared" si="1489"/>
        <v>0</v>
      </c>
      <c r="BZ570" s="620">
        <v>1</v>
      </c>
      <c r="CA570" s="196">
        <f t="shared" si="1490"/>
        <v>62094.965470969866</v>
      </c>
      <c r="CB570" s="196">
        <f t="shared" si="1491"/>
        <v>124189.93094193973</v>
      </c>
      <c r="CC570" s="196">
        <f t="shared" si="1521"/>
        <v>186284.89641290961</v>
      </c>
      <c r="CD570" s="247">
        <f t="shared" si="1509"/>
        <v>7.8601354444014283E-4</v>
      </c>
      <c r="CE570" s="196">
        <f t="shared" si="1492"/>
        <v>18036.710021576237</v>
      </c>
      <c r="CF570" s="247">
        <f t="shared" si="1510"/>
        <v>7.7888123191982507E-4</v>
      </c>
      <c r="CG570" s="196">
        <f t="shared" si="1434"/>
        <v>30844.558011723591</v>
      </c>
      <c r="CH570" s="589">
        <f t="shared" si="1526"/>
        <v>7.8601354444014272E-4</v>
      </c>
      <c r="CI570" s="196">
        <f t="shared" si="1493"/>
        <v>27095.921770722722</v>
      </c>
      <c r="CJ570" s="248">
        <f t="shared" si="1527"/>
        <v>4.4545688513213848E-4</v>
      </c>
      <c r="CK570" s="196">
        <f t="shared" si="1494"/>
        <v>37228.996243658541</v>
      </c>
      <c r="CL570" s="589">
        <f t="shared" si="1528"/>
        <v>5.3517447868041336E-4</v>
      </c>
      <c r="CM570" s="196">
        <f t="shared" si="1495"/>
        <v>3606.5607003816735</v>
      </c>
      <c r="CN570" s="589">
        <f t="shared" si="1529"/>
        <v>5.1974638422880868E-4</v>
      </c>
      <c r="CO570" s="196">
        <f t="shared" si="1496"/>
        <v>288.52144191229809</v>
      </c>
      <c r="CP570" s="589">
        <f t="shared" si="1530"/>
        <v>5.4410699896334687E-4</v>
      </c>
      <c r="CQ570" s="196">
        <f>'Detailed Budget'!$AC$12</f>
        <v>292876014141.44696</v>
      </c>
      <c r="CR570" s="269">
        <f t="shared" si="1393"/>
        <v>0</v>
      </c>
      <c r="CS570" s="269">
        <f>'Detailed Budget'!$AC$16</f>
        <v>10488008800.000002</v>
      </c>
      <c r="CT570" s="607">
        <f t="shared" si="1436"/>
        <v>0</v>
      </c>
      <c r="CU570" s="269">
        <f>'Detailed Budget'!$AC$24</f>
        <v>30624985696</v>
      </c>
      <c r="CV570" s="269">
        <f t="shared" si="1424"/>
        <v>0</v>
      </c>
      <c r="CW570" s="269"/>
      <c r="CX570" s="269">
        <f t="shared" si="1522"/>
        <v>0</v>
      </c>
      <c r="CY570" s="196">
        <f>'Detailed Budget'!$AC$97</f>
        <v>74629165494.837845</v>
      </c>
      <c r="CZ570" s="269">
        <f t="shared" si="1437"/>
        <v>73245932.348261148</v>
      </c>
      <c r="DA570" s="269">
        <f>'Detailed Budget'!$AC$100</f>
        <v>14925833098.967569</v>
      </c>
      <c r="DB570" s="269">
        <f t="shared" si="1438"/>
        <v>14649186.469652232</v>
      </c>
      <c r="DC570" s="269">
        <f t="shared" si="1511"/>
        <v>87895118.817913383</v>
      </c>
      <c r="DD570" s="207">
        <v>0</v>
      </c>
      <c r="DE570" s="606">
        <v>0</v>
      </c>
      <c r="DF570" s="269">
        <f>'Detailed Budget'!$AC$147</f>
        <v>5913600671000</v>
      </c>
      <c r="DG570" s="269">
        <f t="shared" si="1419"/>
        <v>0</v>
      </c>
      <c r="DH570" s="269">
        <f>'Detailed Budget'!$AC$153</f>
        <v>226428026880.00003</v>
      </c>
      <c r="DI570" s="269"/>
      <c r="DJ570" s="269">
        <f>'Detailed Budget'!$AC$156</f>
        <v>27713070000</v>
      </c>
      <c r="DK570" s="269"/>
      <c r="DL570" s="269"/>
      <c r="DM570" s="196">
        <f>'Detailed Budget'!$AC$178</f>
        <v>5622683761.6229038</v>
      </c>
      <c r="DN570" s="269">
        <f t="shared" si="1497"/>
        <v>0</v>
      </c>
      <c r="DO570" s="196">
        <f>'Detailed Budget'!$AC$179</f>
        <v>26827890683.128094</v>
      </c>
      <c r="DP570" s="269">
        <f t="shared" si="1498"/>
        <v>0</v>
      </c>
      <c r="DQ570" s="269">
        <f t="shared" si="1531"/>
        <v>0</v>
      </c>
      <c r="DR570" s="269">
        <f>'Detailed Budget'!$AC$181</f>
        <v>50888946855.375237</v>
      </c>
      <c r="DS570" s="269">
        <f t="shared" si="1499"/>
        <v>0</v>
      </c>
      <c r="DT570" s="269">
        <f t="shared" si="1500"/>
        <v>0</v>
      </c>
      <c r="DU570" s="272">
        <f>'Detailed Budget'!$AC$192</f>
        <v>77498869683.252869</v>
      </c>
      <c r="DV570" s="269">
        <f t="shared" si="1439"/>
        <v>60915161.249838315</v>
      </c>
      <c r="DW570" s="140">
        <f>'Detailed Budget'!$AC$194</f>
        <v>2684962805.4134097</v>
      </c>
      <c r="DX570" s="269">
        <f t="shared" si="1440"/>
        <v>2110417.1313729435</v>
      </c>
      <c r="DY570" s="607">
        <f t="shared" si="1512"/>
        <v>63025578.381211258</v>
      </c>
      <c r="DZ570" s="196">
        <f>'Detailed Budget'!$AC$198</f>
        <v>18732540018.380611</v>
      </c>
      <c r="EA570" s="269">
        <f t="shared" si="1481"/>
        <v>14590423.846503714</v>
      </c>
      <c r="EB570" s="196">
        <f>'Detailed Budget'!$AC$200</f>
        <v>4683135004.5951529</v>
      </c>
      <c r="EC570" s="269">
        <f t="shared" si="1442"/>
        <v>3647605.9616259285</v>
      </c>
      <c r="ED570" s="269">
        <f t="shared" si="1513"/>
        <v>18238029.808129642</v>
      </c>
      <c r="EE570" s="196">
        <f>'Detailed Budget'!$AC$161</f>
        <v>251147290106.36197</v>
      </c>
      <c r="EF570" s="269">
        <f t="shared" si="1443"/>
        <v>197405171.67303836</v>
      </c>
      <c r="EG570" s="196">
        <f>'Detailed Budget'!$AC$163</f>
        <v>15696705631.647623</v>
      </c>
      <c r="EH570" s="269">
        <f t="shared" si="1444"/>
        <v>12337823.229564898</v>
      </c>
      <c r="EI570" s="269">
        <f t="shared" si="1514"/>
        <v>209742994.90260327</v>
      </c>
      <c r="EJ570" s="196">
        <f>'Detailed Budget'!$AC$204</f>
        <v>45012172507.531975</v>
      </c>
      <c r="EK570" s="269">
        <f t="shared" si="1445"/>
        <v>20050982.158235673</v>
      </c>
      <c r="EL570" s="201">
        <f>'Detailed Budget'!$AC$206</f>
        <v>11253043126.882994</v>
      </c>
      <c r="EM570" s="269">
        <f t="shared" si="1446"/>
        <v>5012745.5395589182</v>
      </c>
      <c r="EN570" s="269">
        <f t="shared" si="1515"/>
        <v>25063727.69779459</v>
      </c>
      <c r="EO570" s="140">
        <f>'Detailed Budget'!$AC$209</f>
        <v>135789361677.54817</v>
      </c>
      <c r="EP570" s="269">
        <f t="shared" si="1447"/>
        <v>72671000.846127942</v>
      </c>
      <c r="EQ570" s="196">
        <f>'Detailed Budget'!$AC$211</f>
        <v>33947340419.387043</v>
      </c>
      <c r="ER570" s="269">
        <f t="shared" si="1448"/>
        <v>18167750.211531986</v>
      </c>
      <c r="ES570" s="269">
        <f t="shared" si="1516"/>
        <v>90838751.057659924</v>
      </c>
      <c r="ET570" s="196">
        <f>'Detailed Budget'!$AC$214</f>
        <v>22239745544.201103</v>
      </c>
      <c r="EU570" s="269">
        <f t="shared" si="1449"/>
        <v>11559027.332767282</v>
      </c>
      <c r="EV570" s="140">
        <f>'Detailed Budget'!$AC$217</f>
        <v>5559936386.0502758</v>
      </c>
      <c r="EW570" s="269">
        <f t="shared" si="1450"/>
        <v>2889756.8331918204</v>
      </c>
      <c r="EX570" s="269">
        <f t="shared" si="1517"/>
        <v>14448784.165959101</v>
      </c>
      <c r="EY570" s="196">
        <f>'Detailed Budget'!$AC$219</f>
        <v>372777004.58170313</v>
      </c>
      <c r="EZ570" s="269">
        <f t="shared" si="1451"/>
        <v>202830.5772454963</v>
      </c>
      <c r="FA570" s="196">
        <f>'Detailed Budget'!$AC$222</f>
        <v>93194251.145425782</v>
      </c>
      <c r="FB570" s="269">
        <f t="shared" si="1452"/>
        <v>50707.644311374075</v>
      </c>
      <c r="FC570" s="269">
        <f t="shared" si="1518"/>
        <v>253538.22155687038</v>
      </c>
      <c r="FD570" s="269"/>
      <c r="FE570" s="269">
        <f t="shared" si="1519"/>
        <v>130604801.14297049</v>
      </c>
      <c r="FF570" s="140"/>
      <c r="FG570" s="1087">
        <f t="shared" si="1420"/>
        <v>178153593.9940756</v>
      </c>
      <c r="FJ570" s="140">
        <f>'Detailed Budget'!$AC$235</f>
        <v>3623696172</v>
      </c>
      <c r="FK570" s="269">
        <f t="shared" si="1482"/>
        <v>4681778</v>
      </c>
      <c r="FL570" s="269">
        <f t="shared" si="1421"/>
        <v>4681778</v>
      </c>
      <c r="FO570" s="607"/>
      <c r="FP570" s="607"/>
      <c r="FQ570" s="607"/>
      <c r="FR570" s="269">
        <f>'Detailed Budget'!$AC$257</f>
        <v>13636439388</v>
      </c>
      <c r="FS570" s="269">
        <f t="shared" si="1483"/>
        <v>8494356</v>
      </c>
      <c r="FT570" s="269">
        <f t="shared" si="1422"/>
        <v>8494356</v>
      </c>
      <c r="FU570" s="269"/>
      <c r="FV570" s="269"/>
      <c r="FW570" s="269"/>
      <c r="FX570" s="140">
        <f>'Detailed Budget'!$AC$278</f>
        <v>1114560000</v>
      </c>
      <c r="FY570" s="269">
        <f t="shared" si="1484"/>
        <v>1440000</v>
      </c>
      <c r="FZ570" s="269">
        <f t="shared" si="1423"/>
        <v>1440000</v>
      </c>
      <c r="GB570" s="269">
        <f t="shared" si="1431"/>
        <v>702276251.04690361</v>
      </c>
      <c r="GC570" s="887">
        <f t="shared" si="1520"/>
        <v>438922.65690431476</v>
      </c>
      <c r="GD570" s="1078">
        <f t="shared" si="1432"/>
        <v>3.9406931851159165E-4</v>
      </c>
    </row>
    <row r="571" spans="1:186" hidden="1" outlineLevel="1">
      <c r="A571" s="211" t="s">
        <v>1256</v>
      </c>
      <c r="B571" s="212" t="s">
        <v>1257</v>
      </c>
      <c r="C571" s="213" t="s">
        <v>215</v>
      </c>
      <c r="D571" s="214"/>
      <c r="E571" s="213"/>
      <c r="F571" s="213"/>
      <c r="G571" s="213" t="s">
        <v>215</v>
      </c>
      <c r="H571" s="213" t="s">
        <v>215</v>
      </c>
      <c r="I571" s="214" t="s">
        <v>215</v>
      </c>
      <c r="J571" s="214"/>
      <c r="K571" s="213"/>
      <c r="L571" s="213"/>
      <c r="M571" s="214" t="s">
        <v>215</v>
      </c>
      <c r="N571" s="213"/>
      <c r="O571" s="214"/>
      <c r="P571" s="213"/>
      <c r="Q571" s="214"/>
      <c r="R571" s="214" t="s">
        <v>215</v>
      </c>
      <c r="S571" s="214"/>
      <c r="T571" s="214"/>
      <c r="U571" s="215">
        <f t="shared" si="1502"/>
        <v>6</v>
      </c>
      <c r="V571" s="845" t="s">
        <v>216</v>
      </c>
      <c r="W571" s="216">
        <v>115704</v>
      </c>
      <c r="X571" s="217">
        <v>3.19</v>
      </c>
      <c r="Y571" s="218">
        <f t="shared" si="1477"/>
        <v>1.0319</v>
      </c>
      <c r="Z571" s="196">
        <v>19</v>
      </c>
      <c r="AA571" s="218">
        <f t="shared" si="1478"/>
        <v>1.8159949505681734</v>
      </c>
      <c r="AB571" s="196">
        <f t="shared" si="1475"/>
        <v>210117.87976053994</v>
      </c>
      <c r="AC571">
        <v>11.8</v>
      </c>
      <c r="AD571" s="196">
        <f t="shared" si="1476"/>
        <v>24793.909811743717</v>
      </c>
      <c r="AE571" s="196">
        <f t="shared" si="1479"/>
        <v>23554.214321156531</v>
      </c>
      <c r="AF571" s="196">
        <f t="shared" si="1485"/>
        <v>0</v>
      </c>
      <c r="AG571" s="606">
        <f t="shared" si="1523"/>
        <v>1.0890434652718801E-3</v>
      </c>
      <c r="AH571" s="196">
        <f t="shared" si="1501"/>
        <v>10505.893988026997</v>
      </c>
      <c r="AI571" s="248">
        <f t="shared" si="1503"/>
        <v>8.1387568926825189E-4</v>
      </c>
      <c r="AJ571" s="196">
        <f t="shared" si="1504"/>
        <v>35299.803799770714</v>
      </c>
      <c r="AK571" s="196">
        <f t="shared" si="1532"/>
        <v>8404.7151904215971</v>
      </c>
      <c r="AL571" s="196">
        <f t="shared" si="1533"/>
        <v>8404.7151904215971</v>
      </c>
      <c r="AM571" s="196">
        <f t="shared" si="1505"/>
        <v>16809.430380843194</v>
      </c>
      <c r="AN571" s="627">
        <f t="shared" si="1506"/>
        <v>8.1387568926825178E-4</v>
      </c>
      <c r="AO571" s="196">
        <f t="shared" si="1507"/>
        <v>7984.4794309005174</v>
      </c>
      <c r="AP571" s="589">
        <f t="shared" si="1524"/>
        <v>8.1387568926825178E-4</v>
      </c>
      <c r="AQ571" s="196"/>
      <c r="AR571" s="589"/>
      <c r="AS571">
        <v>1</v>
      </c>
      <c r="AT571" s="589">
        <f t="shared" si="1525"/>
        <v>1.2919896640826874E-3</v>
      </c>
      <c r="AU571" s="196">
        <v>10</v>
      </c>
      <c r="AV571" s="245"/>
      <c r="AX571" s="245"/>
      <c r="AY571" s="245"/>
      <c r="AZ571" s="196">
        <v>33</v>
      </c>
      <c r="BA571" s="589">
        <f t="shared" si="1425"/>
        <v>1.2091898428053204E-3</v>
      </c>
      <c r="BI571" s="196">
        <v>0</v>
      </c>
      <c r="BK571" s="246">
        <f t="shared" si="1426"/>
        <v>0</v>
      </c>
      <c r="BL571" s="246"/>
      <c r="BM571" s="246">
        <f t="shared" si="1427"/>
        <v>0</v>
      </c>
      <c r="BN571" s="196">
        <v>1</v>
      </c>
      <c r="BO571" s="196">
        <f t="shared" si="1486"/>
        <v>10863.775932415923</v>
      </c>
      <c r="BP571" s="196">
        <f t="shared" si="1508"/>
        <v>10863.775932415923</v>
      </c>
      <c r="BQ571" s="248">
        <f t="shared" si="1428"/>
        <v>1.0162556486107556E-3</v>
      </c>
      <c r="BR571" s="248"/>
      <c r="BS571" s="248"/>
      <c r="BT571" s="276">
        <v>0</v>
      </c>
      <c r="BU571" s="196">
        <f t="shared" si="1487"/>
        <v>0</v>
      </c>
      <c r="BV571" s="264">
        <f t="shared" si="1429"/>
        <v>0</v>
      </c>
      <c r="BW571" s="196">
        <f t="shared" si="1488"/>
        <v>0</v>
      </c>
      <c r="BX571" s="247">
        <f t="shared" si="1430"/>
        <v>0</v>
      </c>
      <c r="BY571" s="196">
        <f t="shared" si="1489"/>
        <v>0</v>
      </c>
      <c r="BZ571" s="620">
        <v>1</v>
      </c>
      <c r="CA571" s="196">
        <f t="shared" si="1490"/>
        <v>64296.071206725217</v>
      </c>
      <c r="CB571" s="196">
        <f t="shared" si="1491"/>
        <v>128592.14241345043</v>
      </c>
      <c r="CC571" s="196">
        <f t="shared" si="1521"/>
        <v>192888.21362017567</v>
      </c>
      <c r="CD571" s="247">
        <f t="shared" si="1509"/>
        <v>8.1387568926825178E-4</v>
      </c>
      <c r="CE571" s="196">
        <f t="shared" si="1492"/>
        <v>18676.064687152277</v>
      </c>
      <c r="CF571" s="247">
        <f t="shared" si="1510"/>
        <v>8.0649055473766985E-4</v>
      </c>
      <c r="CG571" s="196">
        <f t="shared" si="1434"/>
        <v>31937.91772360207</v>
      </c>
      <c r="CH571" s="589">
        <f t="shared" si="1526"/>
        <v>8.1387568926825178E-4</v>
      </c>
      <c r="CI571" s="196">
        <f t="shared" si="1493"/>
        <v>28056.402034666175</v>
      </c>
      <c r="CJ571" s="248">
        <f t="shared" si="1527"/>
        <v>4.6124717823334759E-4</v>
      </c>
      <c r="CK571" s="196">
        <f t="shared" si="1494"/>
        <v>38548.667758841882</v>
      </c>
      <c r="CL571" s="589">
        <f t="shared" si="1528"/>
        <v>5.5414502815602366E-4</v>
      </c>
      <c r="CM571" s="196">
        <f t="shared" si="1495"/>
        <v>3734.4039382955639</v>
      </c>
      <c r="CN571" s="589">
        <f t="shared" si="1529"/>
        <v>5.3817004770598687E-4</v>
      </c>
      <c r="CO571" s="196">
        <f t="shared" si="1496"/>
        <v>298.74877992375843</v>
      </c>
      <c r="CP571" s="589">
        <f t="shared" si="1530"/>
        <v>5.6339418315290522E-4</v>
      </c>
      <c r="CQ571" s="196">
        <f>'Detailed Budget'!$AC$12</f>
        <v>292876014141.44696</v>
      </c>
      <c r="CR571" s="269">
        <f t="shared" ref="CR571:CR634" si="1534">BK571*CQ571</f>
        <v>0</v>
      </c>
      <c r="CS571" s="269">
        <f>'Detailed Budget'!$AC$16</f>
        <v>10488008800.000002</v>
      </c>
      <c r="CT571" s="607">
        <f t="shared" si="1436"/>
        <v>0</v>
      </c>
      <c r="CU571" s="269">
        <f>'Detailed Budget'!$AC$24</f>
        <v>30624985696</v>
      </c>
      <c r="CV571" s="269">
        <f t="shared" si="1424"/>
        <v>0</v>
      </c>
      <c r="CW571" s="269"/>
      <c r="CX571" s="269">
        <f t="shared" si="1522"/>
        <v>0</v>
      </c>
      <c r="CY571" s="196">
        <f>'Detailed Budget'!$AC$97</f>
        <v>74629165494.837845</v>
      </c>
      <c r="CZ571" s="269">
        <f t="shared" si="1437"/>
        <v>75842310.985235855</v>
      </c>
      <c r="DA571" s="269">
        <f>'Detailed Budget'!$AC$100</f>
        <v>14925833098.967569</v>
      </c>
      <c r="DB571" s="269">
        <f t="shared" si="1438"/>
        <v>15168462.19704717</v>
      </c>
      <c r="DC571" s="269">
        <f t="shared" si="1511"/>
        <v>91010773.182283029</v>
      </c>
      <c r="DD571" s="207">
        <v>0</v>
      </c>
      <c r="DE571" s="606">
        <v>0</v>
      </c>
      <c r="DF571" s="269">
        <f>'Detailed Budget'!$AC$147</f>
        <v>5913600671000</v>
      </c>
      <c r="DG571" s="269">
        <f t="shared" si="1419"/>
        <v>0</v>
      </c>
      <c r="DH571" s="269">
        <f>'Detailed Budget'!$AC$153</f>
        <v>226428026880.00003</v>
      </c>
      <c r="DI571" s="269"/>
      <c r="DJ571" s="269">
        <f>'Detailed Budget'!$AC$156</f>
        <v>27713070000</v>
      </c>
      <c r="DK571" s="269"/>
      <c r="DL571" s="269"/>
      <c r="DM571" s="196">
        <f>'Detailed Budget'!$AC$178</f>
        <v>5622683761.6229038</v>
      </c>
      <c r="DN571" s="269">
        <f t="shared" si="1497"/>
        <v>0</v>
      </c>
      <c r="DO571" s="196">
        <f>'Detailed Budget'!$AC$179</f>
        <v>26827890683.128094</v>
      </c>
      <c r="DP571" s="269">
        <f t="shared" si="1498"/>
        <v>0</v>
      </c>
      <c r="DQ571" s="269">
        <f t="shared" si="1531"/>
        <v>0</v>
      </c>
      <c r="DR571" s="269">
        <f>'Detailed Budget'!$AC$181</f>
        <v>50888946855.375237</v>
      </c>
      <c r="DS571" s="269">
        <f t="shared" si="1499"/>
        <v>0</v>
      </c>
      <c r="DT571" s="269">
        <f t="shared" si="1500"/>
        <v>0</v>
      </c>
      <c r="DU571" s="272">
        <f>'Detailed Budget'!$AC$192</f>
        <v>77498869683.252869</v>
      </c>
      <c r="DV571" s="269">
        <f t="shared" si="1439"/>
        <v>63074445.980967849</v>
      </c>
      <c r="DW571" s="140">
        <f>'Detailed Budget'!$AC$194</f>
        <v>2684962805.4134097</v>
      </c>
      <c r="DX571" s="269">
        <f t="shared" si="1440"/>
        <v>2185225.9539154577</v>
      </c>
      <c r="DY571" s="607">
        <f t="shared" si="1512"/>
        <v>65259671.934883304</v>
      </c>
      <c r="DZ571" s="196">
        <f>'Detailed Budget'!$AC$198</f>
        <v>18732540018.380611</v>
      </c>
      <c r="EA571" s="269">
        <f t="shared" si="1481"/>
        <v>15107616.59106938</v>
      </c>
      <c r="EB571" s="196">
        <f>'Detailed Budget'!$AC$200</f>
        <v>4683135004.5951529</v>
      </c>
      <c r="EC571" s="269">
        <f t="shared" si="1442"/>
        <v>3776904.147767345</v>
      </c>
      <c r="ED571" s="269">
        <f t="shared" si="1513"/>
        <v>18884520.738836724</v>
      </c>
      <c r="EE571" s="196">
        <f>'Detailed Budget'!$AC$161</f>
        <v>251147290106.36197</v>
      </c>
      <c r="EF571" s="269">
        <f t="shared" si="1443"/>
        <v>204402673.84316894</v>
      </c>
      <c r="EG571" s="196">
        <f>'Detailed Budget'!$AC$163</f>
        <v>15696705631.647623</v>
      </c>
      <c r="EH571" s="269">
        <f t="shared" si="1444"/>
        <v>12775167.115198059</v>
      </c>
      <c r="EI571" s="269">
        <f t="shared" si="1514"/>
        <v>217177840.95836699</v>
      </c>
      <c r="EJ571" s="196">
        <f>'Detailed Budget'!$AC$204</f>
        <v>45012172507.531975</v>
      </c>
      <c r="EK571" s="269">
        <f t="shared" si="1445"/>
        <v>20761737.555251788</v>
      </c>
      <c r="EL571" s="201">
        <f>'Detailed Budget'!$AC$206</f>
        <v>11253043126.882994</v>
      </c>
      <c r="EM571" s="269">
        <f t="shared" si="1446"/>
        <v>5190434.3888129471</v>
      </c>
      <c r="EN571" s="269">
        <f t="shared" si="1515"/>
        <v>25952171.944064736</v>
      </c>
      <c r="EO571" s="140">
        <f>'Detailed Budget'!$AC$209</f>
        <v>135789361677.54817</v>
      </c>
      <c r="EP571" s="269">
        <f t="shared" si="1447"/>
        <v>75246999.650093406</v>
      </c>
      <c r="EQ571" s="196">
        <f>'Detailed Budget'!$AC$211</f>
        <v>33947340419.387043</v>
      </c>
      <c r="ER571" s="269">
        <f t="shared" si="1448"/>
        <v>18811749.912523352</v>
      </c>
      <c r="ES571" s="269">
        <f t="shared" si="1516"/>
        <v>94058749.562616765</v>
      </c>
      <c r="ET571" s="196">
        <f>'Detailed Budget'!$AC$214</f>
        <v>22239745544.201103</v>
      </c>
      <c r="EU571" s="269">
        <f t="shared" si="1449"/>
        <v>11968764.920491716</v>
      </c>
      <c r="EV571" s="140">
        <f>'Detailed Budget'!$AC$217</f>
        <v>5559936386.0502758</v>
      </c>
      <c r="EW571" s="269">
        <f t="shared" si="1450"/>
        <v>2992191.230122929</v>
      </c>
      <c r="EX571" s="269">
        <f t="shared" si="1517"/>
        <v>14960956.150614645</v>
      </c>
      <c r="EY571" s="196">
        <f>'Detailed Budget'!$AC$219</f>
        <v>372777004.58170313</v>
      </c>
      <c r="EZ571" s="269">
        <f t="shared" si="1451"/>
        <v>210020.39599449543</v>
      </c>
      <c r="FA571" s="196">
        <f>'Detailed Budget'!$AC$222</f>
        <v>93194251.145425782</v>
      </c>
      <c r="FB571" s="269">
        <f t="shared" si="1452"/>
        <v>52505.098998623856</v>
      </c>
      <c r="FC571" s="269">
        <f t="shared" si="1518"/>
        <v>262525.49499311927</v>
      </c>
      <c r="FD571" s="269"/>
      <c r="FE571" s="269">
        <f t="shared" si="1519"/>
        <v>135234403.15228927</v>
      </c>
      <c r="FF571" s="140"/>
      <c r="FG571" s="1087">
        <f t="shared" si="1420"/>
        <v>184468677.58598325</v>
      </c>
      <c r="FJ571" s="140">
        <f>'Detailed Budget'!$AC$235</f>
        <v>3623696172</v>
      </c>
      <c r="FK571" s="269">
        <f t="shared" si="1482"/>
        <v>4681778</v>
      </c>
      <c r="FL571" s="269">
        <f t="shared" si="1421"/>
        <v>4681778</v>
      </c>
      <c r="FO571" s="607"/>
      <c r="FP571" s="607"/>
      <c r="FQ571" s="607"/>
      <c r="FR571" s="269">
        <f>'Detailed Budget'!$AC$257</f>
        <v>13636439388</v>
      </c>
      <c r="FS571" s="269">
        <f t="shared" si="1483"/>
        <v>16489044</v>
      </c>
      <c r="FT571" s="269">
        <f t="shared" si="1422"/>
        <v>16489044</v>
      </c>
      <c r="FU571" s="269"/>
      <c r="FV571" s="269"/>
      <c r="FW571" s="269"/>
      <c r="FX571" s="140">
        <f>'Detailed Budget'!$AC$278</f>
        <v>1114560000</v>
      </c>
      <c r="FY571" s="269">
        <f t="shared" si="1484"/>
        <v>1440000</v>
      </c>
      <c r="FZ571" s="269">
        <f t="shared" si="1423"/>
        <v>1440000</v>
      </c>
      <c r="GB571" s="269">
        <f t="shared" si="1431"/>
        <v>734646709.55264258</v>
      </c>
      <c r="GC571" s="887">
        <f t="shared" si="1520"/>
        <v>459154.19347040163</v>
      </c>
      <c r="GD571" s="1078">
        <f t="shared" si="1432"/>
        <v>4.1223340209586243E-4</v>
      </c>
    </row>
    <row r="572" spans="1:186" hidden="1" outlineLevel="1">
      <c r="A572" s="211" t="s">
        <v>1258</v>
      </c>
      <c r="B572" s="212" t="s">
        <v>1263</v>
      </c>
      <c r="C572" s="213" t="s">
        <v>215</v>
      </c>
      <c r="D572" s="214"/>
      <c r="E572" s="213"/>
      <c r="F572" s="213"/>
      <c r="G572" s="213" t="s">
        <v>215</v>
      </c>
      <c r="H572" s="213" t="s">
        <v>215</v>
      </c>
      <c r="I572" s="214" t="s">
        <v>215</v>
      </c>
      <c r="J572" s="214"/>
      <c r="K572" s="213"/>
      <c r="L572" s="213"/>
      <c r="M572" s="214" t="s">
        <v>215</v>
      </c>
      <c r="N572" s="213"/>
      <c r="O572" s="214"/>
      <c r="P572" s="213"/>
      <c r="Q572" s="214" t="s">
        <v>215</v>
      </c>
      <c r="R572" s="214"/>
      <c r="S572" s="214"/>
      <c r="T572" s="214"/>
      <c r="U572" s="215">
        <f>COUNTA(C572:T572)</f>
        <v>6</v>
      </c>
      <c r="V572" s="845" t="s">
        <v>1073</v>
      </c>
      <c r="W572" s="216">
        <v>125337</v>
      </c>
      <c r="X572" s="217">
        <v>3.19</v>
      </c>
      <c r="Y572" s="218">
        <f>1+X572/100</f>
        <v>1.0319</v>
      </c>
      <c r="Z572" s="196">
        <v>19</v>
      </c>
      <c r="AA572" s="218">
        <f>POWER(Y572,Z572)</f>
        <v>1.8159949505681734</v>
      </c>
      <c r="AB572" s="196">
        <f>W572*AA572</f>
        <v>227611.35911936316</v>
      </c>
      <c r="AC572">
        <v>11.8</v>
      </c>
      <c r="AD572" s="196">
        <f>AB572*AC572/100</f>
        <v>26858.140376084852</v>
      </c>
      <c r="AE572" s="196">
        <f>AD572*0.95</f>
        <v>25515.233357280609</v>
      </c>
      <c r="AF572" s="196">
        <f t="shared" si="1485"/>
        <v>0</v>
      </c>
      <c r="AG572" s="606">
        <f>AE572/21628351</f>
        <v>1.1797123764673788E-3</v>
      </c>
      <c r="AH572" s="196">
        <f>AB572*0.05</f>
        <v>11380.567955968159</v>
      </c>
      <c r="AI572" s="248">
        <f>AH572/12908475</f>
        <v>8.8163535630414588E-4</v>
      </c>
      <c r="AJ572" s="196">
        <f>AD572+AH572</f>
        <v>38238.708332053007</v>
      </c>
      <c r="AK572" s="196">
        <f>AB572*0.04</f>
        <v>9104.4543647745268</v>
      </c>
      <c r="AL572" s="196">
        <f>AB572*0.04</f>
        <v>9104.4543647745268</v>
      </c>
      <c r="AM572" s="196">
        <f>AK572+AL572</f>
        <v>18208.908729549054</v>
      </c>
      <c r="AN572" s="627">
        <f>AM572/20653560</f>
        <v>8.8163535630414577E-4</v>
      </c>
      <c r="AO572" s="196">
        <f>AB572*0.038</f>
        <v>8649.2316465357999</v>
      </c>
      <c r="AP572" s="589">
        <f>AO572/9810441</f>
        <v>8.8163535630414577E-4</v>
      </c>
      <c r="AQ572" s="196"/>
      <c r="AR572" s="589"/>
      <c r="AS572">
        <v>1</v>
      </c>
      <c r="AT572" s="589">
        <f>AS572/774</f>
        <v>1.2919896640826874E-3</v>
      </c>
      <c r="AU572" s="196">
        <v>11</v>
      </c>
      <c r="AV572" s="245"/>
      <c r="AX572" s="245"/>
      <c r="AY572" s="245"/>
      <c r="AZ572" s="196">
        <v>7</v>
      </c>
      <c r="BA572" s="589">
        <f t="shared" si="1425"/>
        <v>2.5649481514052253E-4</v>
      </c>
      <c r="BI572" s="196">
        <v>0</v>
      </c>
      <c r="BK572" s="246">
        <f>BJ572/52440044</f>
        <v>0</v>
      </c>
      <c r="BL572" s="246"/>
      <c r="BM572" s="246">
        <f>BL572/1048801</f>
        <v>0</v>
      </c>
      <c r="BN572" s="196">
        <v>1</v>
      </c>
      <c r="BO572" s="196">
        <f t="shared" si="1486"/>
        <v>11768.245557986018</v>
      </c>
      <c r="BP572" s="196">
        <f>BN572*BO572</f>
        <v>11768.245557986018</v>
      </c>
      <c r="BQ572" s="248">
        <f>BP572/10690003</f>
        <v>1.1008645701957257E-3</v>
      </c>
      <c r="BR572" s="248"/>
      <c r="BS572" s="248"/>
      <c r="BT572" s="276">
        <v>0</v>
      </c>
      <c r="BU572" s="196">
        <f t="shared" si="1487"/>
        <v>0</v>
      </c>
      <c r="BV572" s="264">
        <f t="shared" si="1429"/>
        <v>0</v>
      </c>
      <c r="BW572" s="196">
        <f t="shared" si="1488"/>
        <v>0</v>
      </c>
      <c r="BX572" s="247">
        <f t="shared" si="1430"/>
        <v>0</v>
      </c>
      <c r="BY572" s="196">
        <f>BU572+BW572</f>
        <v>0</v>
      </c>
      <c r="BZ572" s="620">
        <v>1</v>
      </c>
      <c r="CA572" s="196">
        <f t="shared" si="1490"/>
        <v>69649.075890525128</v>
      </c>
      <c r="CB572" s="196">
        <f t="shared" si="1491"/>
        <v>139298.15178105026</v>
      </c>
      <c r="CC572" s="196">
        <f>CA572+CB572</f>
        <v>208947.22767157538</v>
      </c>
      <c r="CD572" s="247">
        <f>CC572/236999601</f>
        <v>8.8163535630414577E-4</v>
      </c>
      <c r="CE572" s="196">
        <f t="shared" si="1492"/>
        <v>20230.950699142682</v>
      </c>
      <c r="CF572" s="247">
        <f>CE572/23157202</f>
        <v>8.7363536834642985E-4</v>
      </c>
      <c r="CG572" s="196">
        <f t="shared" si="1434"/>
        <v>34596.9265861432</v>
      </c>
      <c r="CH572" s="589">
        <f>CG572/39241764</f>
        <v>8.8163535630414577E-4</v>
      </c>
      <c r="CI572" s="196">
        <f t="shared" si="1493"/>
        <v>30392.253178964889</v>
      </c>
      <c r="CJ572" s="248">
        <f>CI572/60827260</f>
        <v>4.9964856511644431E-4</v>
      </c>
      <c r="CK572" s="196">
        <f t="shared" si="1494"/>
        <v>41758.058242497791</v>
      </c>
      <c r="CL572" s="589">
        <f>CK572/69564222</f>
        <v>6.0028067650203562E-4</v>
      </c>
      <c r="CM572" s="196">
        <f t="shared" si="1495"/>
        <v>4045.3137870268188</v>
      </c>
      <c r="CN572" s="589">
        <f>CM572/6939078</f>
        <v>5.8297569029009603E-4</v>
      </c>
      <c r="CO572" s="196">
        <f t="shared" si="1496"/>
        <v>323.62127350224802</v>
      </c>
      <c r="CP572" s="589">
        <f>CO572/530266</f>
        <v>6.1029987497265153E-4</v>
      </c>
      <c r="CQ572" s="196">
        <f>'Detailed Budget'!$AC$12</f>
        <v>292876014141.44696</v>
      </c>
      <c r="CR572" s="269">
        <f t="shared" si="1534"/>
        <v>0</v>
      </c>
      <c r="CS572" s="269">
        <f>'Detailed Budget'!$AC$16</f>
        <v>10488008800.000002</v>
      </c>
      <c r="CT572" s="607">
        <f t="shared" si="1436"/>
        <v>0</v>
      </c>
      <c r="CU572" s="269">
        <f>'Detailed Budget'!$AC$24</f>
        <v>30624985696</v>
      </c>
      <c r="CV572" s="269">
        <f t="shared" si="1424"/>
        <v>0</v>
      </c>
      <c r="CW572" s="269"/>
      <c r="CX572" s="269">
        <f>CR572+CT572+CV572+CW572</f>
        <v>0</v>
      </c>
      <c r="CY572" s="196">
        <f>'Detailed Budget'!$AC$97</f>
        <v>74629165494.837845</v>
      </c>
      <c r="CZ572" s="269">
        <f t="shared" si="1437"/>
        <v>82156604.196540341</v>
      </c>
      <c r="DA572" s="269">
        <f>'Detailed Budget'!$AC$100</f>
        <v>14925833098.967569</v>
      </c>
      <c r="DB572" s="269">
        <f t="shared" si="1438"/>
        <v>16431320.83930807</v>
      </c>
      <c r="DC572" s="269">
        <f>CZ572+DB572</f>
        <v>98587925.035848409</v>
      </c>
      <c r="DD572" s="207">
        <v>0</v>
      </c>
      <c r="DE572" s="606">
        <v>0</v>
      </c>
      <c r="DF572" s="269">
        <f>'Detailed Budget'!$AC$147</f>
        <v>5913600671000</v>
      </c>
      <c r="DG572" s="269">
        <f>DE572*DF572</f>
        <v>0</v>
      </c>
      <c r="DH572" s="269">
        <f>'Detailed Budget'!$AC$153</f>
        <v>226428026880.00003</v>
      </c>
      <c r="DI572" s="269"/>
      <c r="DJ572" s="269">
        <f>'Detailed Budget'!$AC$156</f>
        <v>27713070000</v>
      </c>
      <c r="DK572" s="269"/>
      <c r="DL572" s="269"/>
      <c r="DM572" s="196">
        <f>'Detailed Budget'!$AC$178</f>
        <v>5622683761.6229038</v>
      </c>
      <c r="DN572" s="269">
        <f t="shared" si="1497"/>
        <v>0</v>
      </c>
      <c r="DO572" s="196">
        <f>'Detailed Budget'!$AC$179</f>
        <v>26827890683.128094</v>
      </c>
      <c r="DP572" s="269">
        <f t="shared" si="1498"/>
        <v>0</v>
      </c>
      <c r="DQ572" s="269">
        <f>DN572+DP572</f>
        <v>0</v>
      </c>
      <c r="DR572" s="269">
        <f>'Detailed Budget'!$AC$181</f>
        <v>50888946855.375237</v>
      </c>
      <c r="DS572" s="269">
        <f t="shared" si="1499"/>
        <v>0</v>
      </c>
      <c r="DT572" s="269">
        <f>DQ572+DS572</f>
        <v>0</v>
      </c>
      <c r="DU572" s="272">
        <f>'Detailed Budget'!$AC$192</f>
        <v>77498869683.252869</v>
      </c>
      <c r="DV572" s="269">
        <f t="shared" si="1439"/>
        <v>68325743.586363196</v>
      </c>
      <c r="DW572" s="140">
        <f>'Detailed Budget'!$AC$194</f>
        <v>2684962805.4134097</v>
      </c>
      <c r="DX572" s="269">
        <f t="shared" si="1440"/>
        <v>2367158.1396140303</v>
      </c>
      <c r="DY572" s="607">
        <f>DV572+DX572</f>
        <v>70692901.725977227</v>
      </c>
      <c r="DZ572" s="196">
        <f>'Detailed Budget'!$AC$198</f>
        <v>18732540018.380611</v>
      </c>
      <c r="EA572" s="269">
        <f t="shared" si="1481"/>
        <v>16365409.499022184</v>
      </c>
      <c r="EB572" s="196">
        <f>'Detailed Budget'!$AC$200</f>
        <v>4683135004.5951529</v>
      </c>
      <c r="EC572" s="269">
        <f t="shared" si="1442"/>
        <v>4091352.374755546</v>
      </c>
      <c r="ED572" s="269">
        <f>EA572+EC572</f>
        <v>20456761.873777729</v>
      </c>
      <c r="EE572" s="196">
        <f>'Detailed Budget'!$AC$161</f>
        <v>251147290106.36197</v>
      </c>
      <c r="EF572" s="269">
        <f t="shared" si="1443"/>
        <v>221420330.59774309</v>
      </c>
      <c r="EG572" s="196">
        <f>'Detailed Budget'!$AC$163</f>
        <v>15696705631.647623</v>
      </c>
      <c r="EH572" s="269">
        <f t="shared" si="1444"/>
        <v>13838770.662358943</v>
      </c>
      <c r="EI572" s="269">
        <f>EF572+EH572</f>
        <v>235259101.26010203</v>
      </c>
      <c r="EJ572" s="196">
        <f>'Detailed Budget'!$AC$204</f>
        <v>45012172507.531975</v>
      </c>
      <c r="EK572" s="269">
        <f t="shared" si="1445"/>
        <v>22490267.406162214</v>
      </c>
      <c r="EL572" s="201">
        <f>'Detailed Budget'!$AC$206</f>
        <v>11253043126.882994</v>
      </c>
      <c r="EM572" s="269">
        <f t="shared" si="1446"/>
        <v>5622566.8515405534</v>
      </c>
      <c r="EN572" s="269">
        <f>EK572+EM572</f>
        <v>28112834.257702768</v>
      </c>
      <c r="EO572" s="140">
        <f>'Detailed Budget'!$AC$209</f>
        <v>135789361677.54817</v>
      </c>
      <c r="EP572" s="269">
        <f t="shared" si="1447"/>
        <v>81511729.889578208</v>
      </c>
      <c r="EQ572" s="196">
        <f>'Detailed Budget'!$AC$211</f>
        <v>33947340419.387043</v>
      </c>
      <c r="ER572" s="269">
        <f t="shared" si="1448"/>
        <v>20377932.472394552</v>
      </c>
      <c r="ES572" s="269">
        <f>EP572+ER572</f>
        <v>101889662.36197276</v>
      </c>
      <c r="ET572" s="196">
        <f>'Detailed Budget'!$AC$214</f>
        <v>22239745544.201103</v>
      </c>
      <c r="EU572" s="269">
        <f t="shared" si="1449"/>
        <v>12965231.010506725</v>
      </c>
      <c r="EV572" s="140">
        <f>'Detailed Budget'!$AC$217</f>
        <v>5559936386.0502758</v>
      </c>
      <c r="EW572" s="269">
        <f t="shared" si="1450"/>
        <v>3241307.7526266812</v>
      </c>
      <c r="EX572" s="269">
        <f>EU572+EW572</f>
        <v>16206538.763133407</v>
      </c>
      <c r="EY572" s="196">
        <f>'Detailed Budget'!$AC$219</f>
        <v>372777004.58170313</v>
      </c>
      <c r="EZ572" s="269">
        <f t="shared" si="1451"/>
        <v>227505.75928889296</v>
      </c>
      <c r="FA572" s="196">
        <f>'Detailed Budget'!$AC$222</f>
        <v>93194251.145425782</v>
      </c>
      <c r="FB572" s="269">
        <f t="shared" si="1452"/>
        <v>56876.439822223241</v>
      </c>
      <c r="FC572" s="269">
        <f>EZ572+FB572</f>
        <v>284382.19911111624</v>
      </c>
      <c r="FD572" s="269"/>
      <c r="FE572" s="269">
        <f>EN572+ES572+EX572+FC572</f>
        <v>146493417.58192003</v>
      </c>
      <c r="FF572" s="140"/>
      <c r="FG572" s="1087">
        <f t="shared" si="1420"/>
        <v>199826718.5455505</v>
      </c>
      <c r="FJ572" s="140">
        <f>'Detailed Budget'!$AC$235</f>
        <v>3623696172</v>
      </c>
      <c r="FK572" s="269">
        <f t="shared" si="1482"/>
        <v>4681778</v>
      </c>
      <c r="FL572" s="269">
        <f>FI572+FK572</f>
        <v>4681778</v>
      </c>
      <c r="FO572" s="607"/>
      <c r="FP572" s="607"/>
      <c r="FQ572" s="607"/>
      <c r="FR572" s="269">
        <f>'Detailed Budget'!$AC$257</f>
        <v>13636439388</v>
      </c>
      <c r="FS572" s="269">
        <f t="shared" si="1483"/>
        <v>3497676</v>
      </c>
      <c r="FT572" s="269">
        <f t="shared" si="1422"/>
        <v>3497676</v>
      </c>
      <c r="FU572" s="269"/>
      <c r="FV572" s="269"/>
      <c r="FW572" s="269"/>
      <c r="FX572" s="140">
        <f>'Detailed Budget'!$AC$278</f>
        <v>1114560000</v>
      </c>
      <c r="FY572" s="269">
        <f t="shared" si="1484"/>
        <v>1440000</v>
      </c>
      <c r="FZ572" s="269">
        <f>FU572+FW572+FY572</f>
        <v>1440000</v>
      </c>
      <c r="GB572" s="269">
        <f t="shared" si="1431"/>
        <v>780936280.02317584</v>
      </c>
      <c r="GC572" s="887">
        <f>GB572/1600</f>
        <v>488085.17501448491</v>
      </c>
      <c r="GD572" s="1078">
        <f t="shared" si="1432"/>
        <v>4.3820793770392907E-4</v>
      </c>
    </row>
    <row r="573" spans="1:186" hidden="1" outlineLevel="1">
      <c r="A573" s="211" t="s">
        <v>1260</v>
      </c>
      <c r="B573" s="212" t="s">
        <v>1259</v>
      </c>
      <c r="C573" s="213" t="s">
        <v>215</v>
      </c>
      <c r="D573" s="214"/>
      <c r="E573" s="213"/>
      <c r="F573" s="213"/>
      <c r="G573" s="213" t="s">
        <v>215</v>
      </c>
      <c r="H573" s="213" t="s">
        <v>215</v>
      </c>
      <c r="I573" s="214" t="s">
        <v>215</v>
      </c>
      <c r="J573" s="214"/>
      <c r="K573" s="213"/>
      <c r="L573" s="213"/>
      <c r="M573" s="214" t="s">
        <v>215</v>
      </c>
      <c r="N573" s="213"/>
      <c r="O573" s="214"/>
      <c r="P573" s="213"/>
      <c r="Q573" s="214" t="s">
        <v>215</v>
      </c>
      <c r="R573" s="214"/>
      <c r="S573" s="214"/>
      <c r="T573" s="214"/>
      <c r="U573" s="215">
        <f t="shared" si="1502"/>
        <v>6</v>
      </c>
      <c r="V573" s="845" t="s">
        <v>1073</v>
      </c>
      <c r="W573" s="216">
        <v>176334</v>
      </c>
      <c r="X573" s="217">
        <v>3.19</v>
      </c>
      <c r="Y573" s="218">
        <f t="shared" si="1477"/>
        <v>1.0319</v>
      </c>
      <c r="Z573" s="196">
        <v>19</v>
      </c>
      <c r="AA573" s="218">
        <f t="shared" si="1478"/>
        <v>1.8159949505681734</v>
      </c>
      <c r="AB573" s="196">
        <f>W573*AA573</f>
        <v>320221.65361348831</v>
      </c>
      <c r="AC573">
        <v>11.8</v>
      </c>
      <c r="AD573" s="196">
        <f>AB573*AC573/100</f>
        <v>37786.155126391619</v>
      </c>
      <c r="AE573" s="196">
        <f t="shared" si="1479"/>
        <v>35896.847370072035</v>
      </c>
      <c r="AF573" s="196">
        <f t="shared" si="1485"/>
        <v>0</v>
      </c>
      <c r="AG573" s="606">
        <f t="shared" si="1523"/>
        <v>1.659712632279365E-3</v>
      </c>
      <c r="AH573" s="196">
        <f t="shared" si="1501"/>
        <v>16011.082680674415</v>
      </c>
      <c r="AI573" s="248">
        <f t="shared" si="1503"/>
        <v>1.2403543161120438E-3</v>
      </c>
      <c r="AJ573" s="196">
        <f t="shared" si="1504"/>
        <v>53797.237807066034</v>
      </c>
      <c r="AK573" s="196">
        <f t="shared" si="1532"/>
        <v>12808.866144539532</v>
      </c>
      <c r="AL573" s="196">
        <f t="shared" si="1533"/>
        <v>12808.866144539532</v>
      </c>
      <c r="AM573" s="196">
        <f t="shared" si="1505"/>
        <v>25617.732289079064</v>
      </c>
      <c r="AN573" s="627">
        <f t="shared" si="1506"/>
        <v>1.2403543161120438E-3</v>
      </c>
      <c r="AO573" s="196">
        <f t="shared" si="1507"/>
        <v>12168.422837312555</v>
      </c>
      <c r="AP573" s="589">
        <f t="shared" si="1524"/>
        <v>1.2403543161120438E-3</v>
      </c>
      <c r="AQ573" s="196"/>
      <c r="AR573" s="589"/>
      <c r="AS573">
        <v>1</v>
      </c>
      <c r="AT573" s="589">
        <f t="shared" si="1525"/>
        <v>1.2919896640826874E-3</v>
      </c>
      <c r="AU573" s="196">
        <v>12</v>
      </c>
      <c r="AV573" s="245"/>
      <c r="AX573" s="245"/>
      <c r="AY573" s="245"/>
      <c r="AZ573" s="196">
        <v>23</v>
      </c>
      <c r="BA573" s="589">
        <f t="shared" si="1425"/>
        <v>8.4276867831885966E-4</v>
      </c>
      <c r="BI573" s="196">
        <v>0</v>
      </c>
      <c r="BK573" s="246">
        <f t="shared" si="1426"/>
        <v>0</v>
      </c>
      <c r="BL573" s="246"/>
      <c r="BM573" s="246">
        <f t="shared" si="1427"/>
        <v>0</v>
      </c>
      <c r="BN573" s="196">
        <v>1</v>
      </c>
      <c r="BO573" s="196">
        <f t="shared" si="1486"/>
        <v>16556.498178685517</v>
      </c>
      <c r="BP573" s="196">
        <f t="shared" si="1508"/>
        <v>16556.498178685517</v>
      </c>
      <c r="BQ573" s="248">
        <f t="shared" si="1428"/>
        <v>1.5487833051763893E-3</v>
      </c>
      <c r="BR573" s="248"/>
      <c r="BS573" s="248"/>
      <c r="BT573" s="276">
        <v>0</v>
      </c>
      <c r="BU573" s="196">
        <f t="shared" si="1487"/>
        <v>0</v>
      </c>
      <c r="BV573" s="264">
        <f t="shared" si="1429"/>
        <v>0</v>
      </c>
      <c r="BW573" s="196">
        <f t="shared" si="1488"/>
        <v>0</v>
      </c>
      <c r="BX573" s="247">
        <f t="shared" si="1430"/>
        <v>0</v>
      </c>
      <c r="BY573" s="196">
        <f t="shared" si="1489"/>
        <v>0</v>
      </c>
      <c r="BZ573" s="620">
        <v>1</v>
      </c>
      <c r="CA573" s="196">
        <f t="shared" si="1490"/>
        <v>97987.826005727416</v>
      </c>
      <c r="CB573" s="196">
        <f t="shared" si="1491"/>
        <v>195975.65201145483</v>
      </c>
      <c r="CC573" s="196">
        <f t="shared" si="1521"/>
        <v>293963.47801718226</v>
      </c>
      <c r="CD573" s="247">
        <f t="shared" si="1509"/>
        <v>1.2403543161120438E-3</v>
      </c>
      <c r="CE573" s="196">
        <f t="shared" si="1492"/>
        <v>28462.500782551248</v>
      </c>
      <c r="CF573" s="247">
        <f t="shared" si="1510"/>
        <v>1.2290993006215192E-3</v>
      </c>
      <c r="CG573" s="196">
        <f t="shared" si="1434"/>
        <v>48673.691349250221</v>
      </c>
      <c r="CH573" s="589">
        <f t="shared" si="1526"/>
        <v>1.2403543161120438E-3</v>
      </c>
      <c r="CI573" s="196">
        <f t="shared" si="1493"/>
        <v>42758.224403484965</v>
      </c>
      <c r="CJ573" s="248">
        <f t="shared" si="1527"/>
        <v>7.0294510065856933E-4</v>
      </c>
      <c r="CK573" s="196">
        <f t="shared" si="1494"/>
        <v>58748.537480014726</v>
      </c>
      <c r="CL573" s="589">
        <f t="shared" si="1528"/>
        <v>8.4452231033381963E-4</v>
      </c>
      <c r="CM573" s="196">
        <f t="shared" si="1495"/>
        <v>5691.2672341095367</v>
      </c>
      <c r="CN573" s="589">
        <f t="shared" si="1529"/>
        <v>8.2017628770126758E-4</v>
      </c>
      <c r="CO573" s="196">
        <f t="shared" si="1496"/>
        <v>455.29599114184481</v>
      </c>
      <c r="CP573" s="589">
        <f t="shared" si="1530"/>
        <v>8.5861811080070152E-4</v>
      </c>
      <c r="CQ573" s="196">
        <f>'Detailed Budget'!$AC$12</f>
        <v>292876014141.44696</v>
      </c>
      <c r="CR573" s="269">
        <f t="shared" si="1534"/>
        <v>0</v>
      </c>
      <c r="CS573" s="269">
        <f>'Detailed Budget'!$AC$16</f>
        <v>10488008800.000002</v>
      </c>
      <c r="CT573" s="607">
        <f t="shared" si="1436"/>
        <v>0</v>
      </c>
      <c r="CU573" s="269">
        <f>'Detailed Budget'!$AC$24</f>
        <v>30624985696</v>
      </c>
      <c r="CV573" s="269">
        <f t="shared" si="1424"/>
        <v>0</v>
      </c>
      <c r="CW573" s="269"/>
      <c r="CX573" s="269">
        <f t="shared" si="1522"/>
        <v>0</v>
      </c>
      <c r="CY573" s="196">
        <f>'Detailed Budget'!$AC$97</f>
        <v>74629165494.837845</v>
      </c>
      <c r="CZ573" s="269">
        <f t="shared" si="1437"/>
        <v>115584405.59765071</v>
      </c>
      <c r="DA573" s="269">
        <f>'Detailed Budget'!$AC$100</f>
        <v>14925833098.967569</v>
      </c>
      <c r="DB573" s="269">
        <f t="shared" si="1438"/>
        <v>23116881.119530141</v>
      </c>
      <c r="DC573" s="269">
        <f t="shared" si="1511"/>
        <v>138701286.71718085</v>
      </c>
      <c r="DD573" s="207">
        <v>0</v>
      </c>
      <c r="DE573" s="606">
        <v>0</v>
      </c>
      <c r="DF573" s="269">
        <f>'Detailed Budget'!$AC$147</f>
        <v>5913600671000</v>
      </c>
      <c r="DG573" s="269">
        <f t="shared" si="1419"/>
        <v>0</v>
      </c>
      <c r="DH573" s="269">
        <f>'Detailed Budget'!$AC$153</f>
        <v>226428026880.00003</v>
      </c>
      <c r="DI573" s="269"/>
      <c r="DJ573" s="269">
        <f>'Detailed Budget'!$AC$156</f>
        <v>27713070000</v>
      </c>
      <c r="DK573" s="269"/>
      <c r="DL573" s="269"/>
      <c r="DM573" s="196">
        <f>'Detailed Budget'!$AC$178</f>
        <v>5622683761.6229038</v>
      </c>
      <c r="DN573" s="269">
        <f t="shared" si="1497"/>
        <v>0</v>
      </c>
      <c r="DO573" s="196">
        <f>'Detailed Budget'!$AC$179</f>
        <v>26827890683.128094</v>
      </c>
      <c r="DP573" s="269">
        <f t="shared" si="1498"/>
        <v>0</v>
      </c>
      <c r="DQ573" s="269">
        <f t="shared" si="1531"/>
        <v>0</v>
      </c>
      <c r="DR573" s="269">
        <f>'Detailed Budget'!$AC$181</f>
        <v>50888946855.375237</v>
      </c>
      <c r="DS573" s="269">
        <f t="shared" si="1499"/>
        <v>0</v>
      </c>
      <c r="DT573" s="269">
        <f t="shared" si="1500"/>
        <v>0</v>
      </c>
      <c r="DU573" s="272">
        <f>'Detailed Budget'!$AC$192</f>
        <v>77498869683.252869</v>
      </c>
      <c r="DV573" s="269">
        <f t="shared" si="1439"/>
        <v>96126057.505427524</v>
      </c>
      <c r="DW573" s="140">
        <f>'Detailed Budget'!$AC$194</f>
        <v>2684962805.4134097</v>
      </c>
      <c r="DX573" s="269">
        <f t="shared" si="1440"/>
        <v>3330305.2042948245</v>
      </c>
      <c r="DY573" s="607">
        <f t="shared" si="1512"/>
        <v>99456362.709722355</v>
      </c>
      <c r="DZ573" s="196">
        <f>'Detailed Budget'!$AC$198</f>
        <v>18732540018.380611</v>
      </c>
      <c r="EA573" s="269">
        <f t="shared" si="1481"/>
        <v>23024151.83545623</v>
      </c>
      <c r="EB573" s="196">
        <f>'Detailed Budget'!$AC$200</f>
        <v>4683135004.5951529</v>
      </c>
      <c r="EC573" s="269">
        <f t="shared" si="1442"/>
        <v>5756037.9588640574</v>
      </c>
      <c r="ED573" s="269">
        <f t="shared" si="1513"/>
        <v>28780189.794320285</v>
      </c>
      <c r="EE573" s="196">
        <f>'Detailed Budget'!$AC$161</f>
        <v>251147290106.36197</v>
      </c>
      <c r="EF573" s="269">
        <f t="shared" si="1443"/>
        <v>311511625.26326966</v>
      </c>
      <c r="EG573" s="196">
        <f>'Detailed Budget'!$AC$163</f>
        <v>15696705631.647623</v>
      </c>
      <c r="EH573" s="269">
        <f t="shared" si="1444"/>
        <v>19469476.578954354</v>
      </c>
      <c r="EI573" s="269">
        <f t="shared" si="1514"/>
        <v>330981101.842224</v>
      </c>
      <c r="EJ573" s="196">
        <f>'Detailed Budget'!$AC$204</f>
        <v>45012172507.531975</v>
      </c>
      <c r="EK573" s="269">
        <f t="shared" si="1445"/>
        <v>31641086.134167951</v>
      </c>
      <c r="EL573" s="201">
        <f>'Detailed Budget'!$AC$206</f>
        <v>11253043126.882994</v>
      </c>
      <c r="EM573" s="269">
        <f t="shared" si="1446"/>
        <v>7910271.5335419877</v>
      </c>
      <c r="EN573" s="269">
        <f t="shared" si="1515"/>
        <v>39551357.667709939</v>
      </c>
      <c r="EO573" s="140">
        <f>'Detailed Budget'!$AC$209</f>
        <v>135789361677.54817</v>
      </c>
      <c r="EP573" s="269">
        <f t="shared" si="1447"/>
        <v>114677145.44267762</v>
      </c>
      <c r="EQ573" s="196">
        <f>'Detailed Budget'!$AC$211</f>
        <v>33947340419.387043</v>
      </c>
      <c r="ER573" s="269">
        <f t="shared" si="1448"/>
        <v>28669286.360669404</v>
      </c>
      <c r="ES573" s="269">
        <f t="shared" si="1516"/>
        <v>143346431.80334702</v>
      </c>
      <c r="ET573" s="196">
        <f>'Detailed Budget'!$AC$214</f>
        <v>22239745544.201103</v>
      </c>
      <c r="EU573" s="269">
        <f t="shared" si="1449"/>
        <v>18240511.939863667</v>
      </c>
      <c r="EV573" s="140">
        <f>'Detailed Budget'!$AC$217</f>
        <v>5559936386.0502758</v>
      </c>
      <c r="EW573" s="269">
        <f t="shared" si="1450"/>
        <v>4560127.9849659167</v>
      </c>
      <c r="EX573" s="269">
        <f t="shared" si="1517"/>
        <v>22800639.924829584</v>
      </c>
      <c r="EY573" s="196">
        <f>'Detailed Budget'!$AC$219</f>
        <v>372777004.58170313</v>
      </c>
      <c r="EZ573" s="269">
        <f t="shared" si="1451"/>
        <v>320073.08742388641</v>
      </c>
      <c r="FA573" s="196">
        <f>'Detailed Budget'!$AC$222</f>
        <v>93194251.145425782</v>
      </c>
      <c r="FB573" s="269">
        <f t="shared" si="1452"/>
        <v>80018.271855971601</v>
      </c>
      <c r="FC573" s="269">
        <f t="shared" si="1518"/>
        <v>400091.35927985801</v>
      </c>
      <c r="FD573" s="269"/>
      <c r="FE573" s="269">
        <f t="shared" si="1519"/>
        <v>206098520.75516641</v>
      </c>
      <c r="FF573" s="140"/>
      <c r="FG573" s="1087">
        <f t="shared" si="1420"/>
        <v>281132024.76532155</v>
      </c>
      <c r="FJ573" s="140">
        <f>'Detailed Budget'!$AC$235</f>
        <v>3623696172</v>
      </c>
      <c r="FK573" s="269">
        <f t="shared" si="1482"/>
        <v>4681778</v>
      </c>
      <c r="FL573" s="269">
        <f t="shared" si="1421"/>
        <v>4681778</v>
      </c>
      <c r="FO573" s="607"/>
      <c r="FP573" s="607"/>
      <c r="FQ573" s="607"/>
      <c r="FR573" s="269">
        <f>'Detailed Budget'!$AC$257</f>
        <v>13636439388</v>
      </c>
      <c r="FS573" s="269">
        <f t="shared" si="1483"/>
        <v>11492364</v>
      </c>
      <c r="FT573" s="269">
        <f t="shared" si="1422"/>
        <v>11492364</v>
      </c>
      <c r="FU573" s="269"/>
      <c r="FV573" s="269"/>
      <c r="FW573" s="269"/>
      <c r="FX573" s="140">
        <f>'Detailed Budget'!$AC$278</f>
        <v>1114560000</v>
      </c>
      <c r="FY573" s="269">
        <f t="shared" si="1484"/>
        <v>1440000</v>
      </c>
      <c r="FZ573" s="269">
        <f t="shared" si="1423"/>
        <v>1440000</v>
      </c>
      <c r="GB573" s="269">
        <f t="shared" si="1431"/>
        <v>1102763628.5839355</v>
      </c>
      <c r="GC573" s="887">
        <f t="shared" si="1520"/>
        <v>689227.26786495966</v>
      </c>
      <c r="GD573" s="1078">
        <f t="shared" si="1432"/>
        <v>6.1879539703588475E-4</v>
      </c>
    </row>
    <row r="574" spans="1:186" hidden="1" outlineLevel="1">
      <c r="A574" s="211" t="s">
        <v>1262</v>
      </c>
      <c r="B574" s="212" t="s">
        <v>1261</v>
      </c>
      <c r="C574" s="213" t="s">
        <v>215</v>
      </c>
      <c r="D574" s="214"/>
      <c r="E574" s="213"/>
      <c r="F574" s="213"/>
      <c r="G574" s="213" t="s">
        <v>215</v>
      </c>
      <c r="H574" s="213" t="s">
        <v>215</v>
      </c>
      <c r="I574" s="214" t="s">
        <v>215</v>
      </c>
      <c r="J574" s="214"/>
      <c r="K574" s="213"/>
      <c r="L574" s="213"/>
      <c r="M574" s="214" t="s">
        <v>215</v>
      </c>
      <c r="N574" s="213"/>
      <c r="O574" s="214"/>
      <c r="P574" s="213"/>
      <c r="Q574" s="214" t="s">
        <v>215</v>
      </c>
      <c r="R574" s="214"/>
      <c r="S574" s="214"/>
      <c r="T574" s="214"/>
      <c r="U574" s="215">
        <f t="shared" si="1502"/>
        <v>6</v>
      </c>
      <c r="V574" s="845" t="s">
        <v>1073</v>
      </c>
      <c r="W574" s="216">
        <v>101754</v>
      </c>
      <c r="X574" s="217">
        <v>3.19</v>
      </c>
      <c r="Y574" s="218">
        <f t="shared" si="1477"/>
        <v>1.0319</v>
      </c>
      <c r="Z574" s="196">
        <v>19</v>
      </c>
      <c r="AA574" s="218">
        <f t="shared" si="1478"/>
        <v>1.8159949505681734</v>
      </c>
      <c r="AB574" s="196">
        <f>W574*AA574</f>
        <v>184784.75020011392</v>
      </c>
      <c r="AC574">
        <v>11.8</v>
      </c>
      <c r="AD574" s="196">
        <f>AB574*AC574/100</f>
        <v>21804.600523613444</v>
      </c>
      <c r="AE574" s="196">
        <f t="shared" si="1479"/>
        <v>20714.37049743277</v>
      </c>
      <c r="AF574" s="196">
        <f t="shared" si="1485"/>
        <v>0</v>
      </c>
      <c r="AG574" s="606">
        <f t="shared" si="1523"/>
        <v>9.5774155401087994E-4</v>
      </c>
      <c r="AH574" s="196">
        <f t="shared" si="1501"/>
        <v>9239.2375100056961</v>
      </c>
      <c r="AI574" s="248">
        <f t="shared" si="1503"/>
        <v>7.1574973108796318E-4</v>
      </c>
      <c r="AJ574" s="196">
        <f t="shared" si="1504"/>
        <v>31043.83803361914</v>
      </c>
      <c r="AK574" s="196">
        <f t="shared" si="1532"/>
        <v>7391.3900080045569</v>
      </c>
      <c r="AL574" s="196">
        <f t="shared" si="1533"/>
        <v>7391.3900080045569</v>
      </c>
      <c r="AM574" s="196">
        <f t="shared" si="1505"/>
        <v>14782.780016009114</v>
      </c>
      <c r="AN574" s="627">
        <f t="shared" si="1506"/>
        <v>7.1574973108796318E-4</v>
      </c>
      <c r="AO574" s="196">
        <f t="shared" si="1507"/>
        <v>7021.8205076043287</v>
      </c>
      <c r="AP574" s="589">
        <f t="shared" si="1524"/>
        <v>7.1574973108796318E-4</v>
      </c>
      <c r="AQ574" s="196"/>
      <c r="AR574" s="589"/>
      <c r="AS574">
        <v>1</v>
      </c>
      <c r="AT574" s="589">
        <f t="shared" si="1525"/>
        <v>1.2919896640826874E-3</v>
      </c>
      <c r="AU574" s="196">
        <v>10</v>
      </c>
      <c r="AV574" s="245"/>
      <c r="AX574" s="245"/>
      <c r="AY574" s="245"/>
      <c r="AZ574" s="196">
        <v>35</v>
      </c>
      <c r="BA574" s="589">
        <f t="shared" si="1425"/>
        <v>1.2824740757026126E-3</v>
      </c>
      <c r="BI574" s="196">
        <v>0</v>
      </c>
      <c r="BK574" s="246">
        <f t="shared" si="1426"/>
        <v>0</v>
      </c>
      <c r="BL574" s="246"/>
      <c r="BM574" s="246">
        <f t="shared" si="1427"/>
        <v>0</v>
      </c>
      <c r="BN574" s="196">
        <v>1</v>
      </c>
      <c r="BO574" s="196">
        <f t="shared" si="1486"/>
        <v>9553.9709623439958</v>
      </c>
      <c r="BP574" s="196">
        <f t="shared" si="1508"/>
        <v>9553.9709623439958</v>
      </c>
      <c r="BQ574" s="248">
        <f t="shared" si="1428"/>
        <v>8.9372949309219046E-4</v>
      </c>
      <c r="BR574" s="248"/>
      <c r="BS574" s="248"/>
      <c r="BT574" s="276">
        <v>0</v>
      </c>
      <c r="BU574" s="196">
        <f t="shared" si="1487"/>
        <v>0</v>
      </c>
      <c r="BV574" s="264">
        <f t="shared" si="1429"/>
        <v>0</v>
      </c>
      <c r="BW574" s="196">
        <f t="shared" si="1488"/>
        <v>0</v>
      </c>
      <c r="BX574" s="247">
        <f t="shared" si="1430"/>
        <v>0</v>
      </c>
      <c r="BY574" s="196">
        <f t="shared" si="1489"/>
        <v>0</v>
      </c>
      <c r="BZ574" s="620">
        <v>1</v>
      </c>
      <c r="CA574" s="196">
        <f t="shared" si="1490"/>
        <v>56544.133561234856</v>
      </c>
      <c r="CB574" s="196">
        <f t="shared" si="1491"/>
        <v>113088.26712246971</v>
      </c>
      <c r="CC574" s="196">
        <f t="shared" si="1521"/>
        <v>169632.40068370456</v>
      </c>
      <c r="CD574" s="247">
        <f t="shared" si="1509"/>
        <v>7.1574973108796318E-4</v>
      </c>
      <c r="CE574" s="196">
        <f t="shared" si="1492"/>
        <v>16424.36118177844</v>
      </c>
      <c r="CF574" s="247">
        <f t="shared" si="1510"/>
        <v>7.0925499470006958E-4</v>
      </c>
      <c r="CG574" s="196">
        <f t="shared" si="1434"/>
        <v>28087.282030417315</v>
      </c>
      <c r="CH574" s="589">
        <f t="shared" si="1526"/>
        <v>7.1574973108796318E-4</v>
      </c>
      <c r="CI574" s="196">
        <f t="shared" si="1493"/>
        <v>24673.746219970111</v>
      </c>
      <c r="CJ574" s="248">
        <f t="shared" si="1527"/>
        <v>4.0563632522606002E-4</v>
      </c>
      <c r="CK574" s="196">
        <f t="shared" si="1494"/>
        <v>33900.9985750985</v>
      </c>
      <c r="CL574" s="589">
        <f t="shared" si="1528"/>
        <v>4.873338276549474E-4</v>
      </c>
      <c r="CM574" s="196">
        <f t="shared" si="1495"/>
        <v>3284.1607752309928</v>
      </c>
      <c r="CN574" s="589">
        <f t="shared" si="1529"/>
        <v>4.7328489105195138E-4</v>
      </c>
      <c r="CO574" s="196">
        <f t="shared" si="1496"/>
        <v>262.72975309723188</v>
      </c>
      <c r="CP574" s="589">
        <f t="shared" si="1530"/>
        <v>4.9546784650954777E-4</v>
      </c>
      <c r="CQ574" s="196">
        <f>'Detailed Budget'!$AC$12</f>
        <v>292876014141.44696</v>
      </c>
      <c r="CR574" s="269">
        <f t="shared" si="1534"/>
        <v>0</v>
      </c>
      <c r="CS574" s="269">
        <f>'Detailed Budget'!$AC$16</f>
        <v>10488008800.000002</v>
      </c>
      <c r="CT574" s="607">
        <f t="shared" si="1436"/>
        <v>0</v>
      </c>
      <c r="CU574" s="269">
        <f>'Detailed Budget'!$AC$24</f>
        <v>30624985696</v>
      </c>
      <c r="CV574" s="269">
        <f t="shared" si="1424"/>
        <v>0</v>
      </c>
      <c r="CW574" s="269"/>
      <c r="CX574" s="269">
        <f t="shared" si="1522"/>
        <v>0</v>
      </c>
      <c r="CY574" s="196">
        <f>'Detailed Budget'!$AC$97</f>
        <v>74629165494.837845</v>
      </c>
      <c r="CZ574" s="269">
        <f t="shared" si="1437"/>
        <v>66698286.247594617</v>
      </c>
      <c r="DA574" s="269">
        <f>'Detailed Budget'!$AC$100</f>
        <v>14925833098.967569</v>
      </c>
      <c r="DB574" s="269">
        <f t="shared" si="1438"/>
        <v>13339657.249518923</v>
      </c>
      <c r="DC574" s="269">
        <f t="shared" si="1511"/>
        <v>80037943.497113541</v>
      </c>
      <c r="DD574" s="207">
        <v>0</v>
      </c>
      <c r="DE574" s="606">
        <v>0</v>
      </c>
      <c r="DF574" s="269">
        <f>'Detailed Budget'!$AC$147</f>
        <v>5913600671000</v>
      </c>
      <c r="DG574" s="269">
        <f t="shared" si="1419"/>
        <v>0</v>
      </c>
      <c r="DH574" s="269">
        <f>'Detailed Budget'!$AC$153</f>
        <v>226428026880.00003</v>
      </c>
      <c r="DI574" s="269"/>
      <c r="DJ574" s="269">
        <f>'Detailed Budget'!$AC$156</f>
        <v>27713070000</v>
      </c>
      <c r="DK574" s="269"/>
      <c r="DL574" s="269"/>
      <c r="DM574" s="196">
        <f>'Detailed Budget'!$AC$178</f>
        <v>5622683761.6229038</v>
      </c>
      <c r="DN574" s="269">
        <f t="shared" si="1497"/>
        <v>0</v>
      </c>
      <c r="DO574" s="196">
        <f>'Detailed Budget'!$AC$179</f>
        <v>26827890683.128094</v>
      </c>
      <c r="DP574" s="269">
        <f t="shared" si="1498"/>
        <v>0</v>
      </c>
      <c r="DQ574" s="269">
        <f t="shared" si="1531"/>
        <v>0</v>
      </c>
      <c r="DR574" s="269">
        <f>'Detailed Budget'!$AC$181</f>
        <v>50888946855.375237</v>
      </c>
      <c r="DS574" s="269">
        <f t="shared" si="1499"/>
        <v>0</v>
      </c>
      <c r="DT574" s="269">
        <f t="shared" si="1500"/>
        <v>0</v>
      </c>
      <c r="DU574" s="272">
        <f>'Detailed Budget'!$AC$192</f>
        <v>77498869683.252869</v>
      </c>
      <c r="DV574" s="269">
        <f t="shared" si="1439"/>
        <v>55469795.13540934</v>
      </c>
      <c r="DW574" s="140">
        <f>'Detailed Budget'!$AC$194</f>
        <v>2684962805.4134097</v>
      </c>
      <c r="DX574" s="269">
        <f t="shared" si="1440"/>
        <v>1921761.4059558313</v>
      </c>
      <c r="DY574" s="607">
        <f t="shared" si="1512"/>
        <v>57391556.541365169</v>
      </c>
      <c r="DZ574" s="196">
        <f>'Detailed Budget'!$AC$198</f>
        <v>18732540018.380611</v>
      </c>
      <c r="EA574" s="269">
        <f t="shared" si="1481"/>
        <v>13286147.571455382</v>
      </c>
      <c r="EB574" s="196">
        <f>'Detailed Budget'!$AC$200</f>
        <v>4683135004.5951529</v>
      </c>
      <c r="EC574" s="269">
        <f t="shared" si="1442"/>
        <v>3321536.8928638455</v>
      </c>
      <c r="ED574" s="269">
        <f t="shared" si="1513"/>
        <v>16607684.464319227</v>
      </c>
      <c r="EE574" s="196">
        <f>'Detailed Budget'!$AC$161</f>
        <v>251147290106.36197</v>
      </c>
      <c r="EF574" s="269">
        <f t="shared" si="1443"/>
        <v>179758605.35709926</v>
      </c>
      <c r="EG574" s="196">
        <f>'Detailed Budget'!$AC$163</f>
        <v>15696705631.647623</v>
      </c>
      <c r="EH574" s="269">
        <f t="shared" si="1444"/>
        <v>11234912.834818704</v>
      </c>
      <c r="EI574" s="269">
        <f t="shared" si="1514"/>
        <v>190993518.19191796</v>
      </c>
      <c r="EJ574" s="196">
        <f>'Detailed Budget'!$AC$204</f>
        <v>45012172507.531975</v>
      </c>
      <c r="EK574" s="269">
        <f t="shared" si="1445"/>
        <v>18258572.246396758</v>
      </c>
      <c r="EL574" s="201">
        <f>'Detailed Budget'!$AC$206</f>
        <v>11253043126.882994</v>
      </c>
      <c r="EM574" s="269">
        <f t="shared" si="1446"/>
        <v>4564643.0615991894</v>
      </c>
      <c r="EN574" s="269">
        <f t="shared" si="1515"/>
        <v>22823215.307995945</v>
      </c>
      <c r="EO574" s="140">
        <f>'Detailed Budget'!$AC$209</f>
        <v>135789361677.54817</v>
      </c>
      <c r="EP574" s="269">
        <f t="shared" si="1447"/>
        <v>66174749.381141581</v>
      </c>
      <c r="EQ574" s="196">
        <f>'Detailed Budget'!$AC$211</f>
        <v>33947340419.387043</v>
      </c>
      <c r="ER574" s="269">
        <f t="shared" si="1448"/>
        <v>16543687.345285395</v>
      </c>
      <c r="ES574" s="269">
        <f t="shared" si="1516"/>
        <v>82718436.726426974</v>
      </c>
      <c r="ET574" s="196">
        <f>'Detailed Budget'!$AC$214</f>
        <v>22239745544.201103</v>
      </c>
      <c r="EU574" s="269">
        <f t="shared" si="1449"/>
        <v>10525735.54691034</v>
      </c>
      <c r="EV574" s="140">
        <f>'Detailed Budget'!$AC$217</f>
        <v>5559936386.0502758</v>
      </c>
      <c r="EW574" s="269">
        <f t="shared" si="1450"/>
        <v>2631433.886727585</v>
      </c>
      <c r="EX574" s="269">
        <f t="shared" si="1517"/>
        <v>13157169.433637924</v>
      </c>
      <c r="EY574" s="196">
        <f>'Detailed Budget'!$AC$219</f>
        <v>372777004.58170313</v>
      </c>
      <c r="EZ574" s="269">
        <f t="shared" si="1451"/>
        <v>184699.01968837625</v>
      </c>
      <c r="FA574" s="196">
        <f>'Detailed Budget'!$AC$222</f>
        <v>93194251.145425782</v>
      </c>
      <c r="FB574" s="269">
        <f t="shared" si="1452"/>
        <v>46174.754922094064</v>
      </c>
      <c r="FC574" s="269">
        <f t="shared" si="1518"/>
        <v>230873.77461047031</v>
      </c>
      <c r="FD574" s="269"/>
      <c r="FE574" s="269">
        <f t="shared" si="1519"/>
        <v>118929695.24267133</v>
      </c>
      <c r="FF574" s="140"/>
      <c r="FG574" s="1087">
        <f t="shared" si="1420"/>
        <v>162227976.72581878</v>
      </c>
      <c r="FJ574" s="140">
        <f>'Detailed Budget'!$AC$235</f>
        <v>3623696172</v>
      </c>
      <c r="FK574" s="269">
        <f t="shared" si="1482"/>
        <v>4681778</v>
      </c>
      <c r="FL574" s="269">
        <f t="shared" si="1421"/>
        <v>4681778</v>
      </c>
      <c r="FO574" s="607"/>
      <c r="FP574" s="607"/>
      <c r="FQ574" s="607"/>
      <c r="FR574" s="269">
        <f>'Detailed Budget'!$AC$257</f>
        <v>13636439388</v>
      </c>
      <c r="FS574" s="269">
        <f t="shared" si="1483"/>
        <v>17488380</v>
      </c>
      <c r="FT574" s="269">
        <f t="shared" si="1422"/>
        <v>17488380</v>
      </c>
      <c r="FU574" s="269"/>
      <c r="FV574" s="269"/>
      <c r="FW574" s="269"/>
      <c r="FX574" s="140">
        <f>'Detailed Budget'!$AC$278</f>
        <v>1114560000</v>
      </c>
      <c r="FY574" s="269">
        <f t="shared" si="1484"/>
        <v>1440000</v>
      </c>
      <c r="FZ574" s="269">
        <f t="shared" si="1423"/>
        <v>1440000</v>
      </c>
      <c r="GB574" s="269">
        <f t="shared" si="1431"/>
        <v>649798532.66320598</v>
      </c>
      <c r="GC574" s="887">
        <f t="shared" si="1520"/>
        <v>406124.08291450376</v>
      </c>
      <c r="GD574" s="1078">
        <f t="shared" si="1432"/>
        <v>3.6462241825022172E-4</v>
      </c>
    </row>
    <row r="575" spans="1:186" hidden="1" outlineLevel="1">
      <c r="A575" s="211" t="s">
        <v>1264</v>
      </c>
      <c r="B575" s="212" t="s">
        <v>1265</v>
      </c>
      <c r="C575" s="213" t="s">
        <v>215</v>
      </c>
      <c r="D575" s="214"/>
      <c r="E575" s="213"/>
      <c r="F575" s="213"/>
      <c r="G575" s="213" t="s">
        <v>215</v>
      </c>
      <c r="H575" s="213" t="s">
        <v>215</v>
      </c>
      <c r="I575" s="214" t="s">
        <v>215</v>
      </c>
      <c r="J575" s="214"/>
      <c r="K575" s="213"/>
      <c r="L575" s="213"/>
      <c r="M575" s="214" t="s">
        <v>215</v>
      </c>
      <c r="N575" s="213"/>
      <c r="O575" s="214"/>
      <c r="P575" s="213"/>
      <c r="Q575" s="214"/>
      <c r="R575" s="214" t="s">
        <v>215</v>
      </c>
      <c r="S575" s="214"/>
      <c r="T575" s="214"/>
      <c r="U575" s="215">
        <f t="shared" si="1502"/>
        <v>6</v>
      </c>
      <c r="V575" s="845" t="s">
        <v>216</v>
      </c>
      <c r="W575" s="216">
        <v>99368</v>
      </c>
      <c r="X575" s="217">
        <v>3.19</v>
      </c>
      <c r="Y575" s="218">
        <f t="shared" si="1477"/>
        <v>1.0319</v>
      </c>
      <c r="Z575" s="196">
        <v>19</v>
      </c>
      <c r="AA575" s="218">
        <f t="shared" si="1478"/>
        <v>1.8159949505681734</v>
      </c>
      <c r="AB575" s="196">
        <f>W575*AA575</f>
        <v>180451.78624805826</v>
      </c>
      <c r="AC575">
        <v>11.8</v>
      </c>
      <c r="AD575" s="196">
        <f>AB575*AC575/100</f>
        <v>21293.310777270879</v>
      </c>
      <c r="AE575" s="196">
        <f t="shared" si="1479"/>
        <v>20228.645238407335</v>
      </c>
      <c r="AF575" s="196">
        <f t="shared" si="1485"/>
        <v>0</v>
      </c>
      <c r="AG575" s="606">
        <f t="shared" si="1523"/>
        <v>9.3528375040738583E-4</v>
      </c>
      <c r="AH575" s="196">
        <f t="shared" si="1501"/>
        <v>9022.5893124029135</v>
      </c>
      <c r="AI575" s="248">
        <f t="shared" si="1503"/>
        <v>6.9896632347375763E-4</v>
      </c>
      <c r="AJ575" s="196">
        <f t="shared" si="1504"/>
        <v>30315.900089673793</v>
      </c>
      <c r="AK575" s="196">
        <f t="shared" si="1532"/>
        <v>7218.0714499223304</v>
      </c>
      <c r="AL575" s="196">
        <f t="shared" si="1533"/>
        <v>7218.0714499223304</v>
      </c>
      <c r="AM575" s="196">
        <f t="shared" si="1505"/>
        <v>14436.142899844661</v>
      </c>
      <c r="AN575" s="627">
        <f t="shared" si="1506"/>
        <v>6.9896632347375763E-4</v>
      </c>
      <c r="AO575" s="196">
        <f t="shared" si="1507"/>
        <v>6857.1678774262136</v>
      </c>
      <c r="AP575" s="589">
        <f t="shared" si="1524"/>
        <v>6.9896632347375752E-4</v>
      </c>
      <c r="AQ575" s="196"/>
      <c r="AR575" s="589"/>
      <c r="AS575">
        <v>1</v>
      </c>
      <c r="AT575" s="589">
        <f t="shared" si="1525"/>
        <v>1.2919896640826874E-3</v>
      </c>
      <c r="AU575" s="196">
        <v>10</v>
      </c>
      <c r="AV575" s="245"/>
      <c r="AX575" s="245"/>
      <c r="AY575" s="245"/>
      <c r="AZ575" s="196">
        <v>28</v>
      </c>
      <c r="BA575" s="589">
        <f t="shared" si="1425"/>
        <v>1.0259792605620901E-3</v>
      </c>
      <c r="BI575" s="196">
        <v>0</v>
      </c>
      <c r="BK575" s="246">
        <f t="shared" si="1426"/>
        <v>0</v>
      </c>
      <c r="BL575" s="246"/>
      <c r="BM575" s="246">
        <f t="shared" si="1427"/>
        <v>0</v>
      </c>
      <c r="BN575" s="196">
        <v>1</v>
      </c>
      <c r="BO575" s="196">
        <f t="shared" si="1486"/>
        <v>9329.9426714055298</v>
      </c>
      <c r="BP575" s="196">
        <f t="shared" si="1508"/>
        <v>9329.9426714055298</v>
      </c>
      <c r="BQ575" s="248">
        <f t="shared" si="1428"/>
        <v>8.7277268971819094E-4</v>
      </c>
      <c r="BR575" s="248"/>
      <c r="BS575" s="248"/>
      <c r="BT575" s="276">
        <v>0</v>
      </c>
      <c r="BU575" s="196">
        <f t="shared" si="1487"/>
        <v>0</v>
      </c>
      <c r="BV575" s="264">
        <f t="shared" si="1429"/>
        <v>0</v>
      </c>
      <c r="BW575" s="196">
        <f t="shared" si="1488"/>
        <v>0</v>
      </c>
      <c r="BX575" s="247">
        <f t="shared" si="1430"/>
        <v>0</v>
      </c>
      <c r="BY575" s="196">
        <f t="shared" si="1489"/>
        <v>0</v>
      </c>
      <c r="BZ575" s="620">
        <v>1</v>
      </c>
      <c r="CA575" s="196">
        <f t="shared" si="1490"/>
        <v>55218.246591905823</v>
      </c>
      <c r="CB575" s="196">
        <f t="shared" si="1491"/>
        <v>110436.49318381165</v>
      </c>
      <c r="CC575" s="196">
        <f t="shared" si="1521"/>
        <v>165654.73977571746</v>
      </c>
      <c r="CD575" s="247">
        <f t="shared" si="1509"/>
        <v>6.9896632347375752E-4</v>
      </c>
      <c r="CE575" s="196">
        <f t="shared" si="1492"/>
        <v>16039.231105518802</v>
      </c>
      <c r="CF575" s="247">
        <f t="shared" si="1510"/>
        <v>6.9262388027356678E-4</v>
      </c>
      <c r="CG575" s="196">
        <f t="shared" si="1434"/>
        <v>27428.671509704855</v>
      </c>
      <c r="CH575" s="589">
        <f t="shared" si="1526"/>
        <v>6.9896632347375752E-4</v>
      </c>
      <c r="CI575" s="196">
        <f t="shared" si="1493"/>
        <v>24095.178709298802</v>
      </c>
      <c r="CJ575" s="248">
        <f t="shared" si="1527"/>
        <v>3.9612467681922217E-4</v>
      </c>
      <c r="CK575" s="196">
        <f t="shared" si="1494"/>
        <v>33106.063903241033</v>
      </c>
      <c r="CL575" s="589">
        <f t="shared" si="1528"/>
        <v>4.759064782359103E-4</v>
      </c>
      <c r="CM575" s="196">
        <f t="shared" si="1495"/>
        <v>3207.1514428243931</v>
      </c>
      <c r="CN575" s="589">
        <f t="shared" si="1529"/>
        <v>4.6218697106797089E-4</v>
      </c>
      <c r="CO575" s="196">
        <f t="shared" si="1496"/>
        <v>256.56907940489549</v>
      </c>
      <c r="CP575" s="589">
        <f t="shared" si="1530"/>
        <v>4.8384976484423949E-4</v>
      </c>
      <c r="CQ575" s="196">
        <f>'Detailed Budget'!$AC$12</f>
        <v>292876014141.44696</v>
      </c>
      <c r="CR575" s="269">
        <f t="shared" si="1534"/>
        <v>0</v>
      </c>
      <c r="CS575" s="269">
        <f>'Detailed Budget'!$AC$16</f>
        <v>10488008800.000002</v>
      </c>
      <c r="CT575" s="607">
        <f t="shared" si="1436"/>
        <v>0</v>
      </c>
      <c r="CU575" s="269">
        <f>'Detailed Budget'!$AC$24</f>
        <v>30624985696</v>
      </c>
      <c r="CV575" s="269">
        <f t="shared" si="1424"/>
        <v>0</v>
      </c>
      <c r="CW575" s="269"/>
      <c r="CX575" s="269">
        <f t="shared" si="1522"/>
        <v>0</v>
      </c>
      <c r="CY575" s="196">
        <f>'Detailed Budget'!$AC$97</f>
        <v>74629165494.837845</v>
      </c>
      <c r="CZ575" s="269">
        <f t="shared" si="1437"/>
        <v>65134297.500353634</v>
      </c>
      <c r="DA575" s="269">
        <f>'Detailed Budget'!$AC$100</f>
        <v>14925833098.967569</v>
      </c>
      <c r="DB575" s="269">
        <f t="shared" si="1438"/>
        <v>13026859.500070726</v>
      </c>
      <c r="DC575" s="269">
        <f t="shared" si="1511"/>
        <v>78161157.000424355</v>
      </c>
      <c r="DD575" s="207">
        <v>0</v>
      </c>
      <c r="DE575" s="606">
        <v>0</v>
      </c>
      <c r="DF575" s="269">
        <f>'Detailed Budget'!$AC$147</f>
        <v>5913600671000</v>
      </c>
      <c r="DG575" s="269">
        <f t="shared" si="1419"/>
        <v>0</v>
      </c>
      <c r="DH575" s="269">
        <f>'Detailed Budget'!$AC$153</f>
        <v>226428026880.00003</v>
      </c>
      <c r="DI575" s="269"/>
      <c r="DJ575" s="269">
        <f>'Detailed Budget'!$AC$156</f>
        <v>27713070000</v>
      </c>
      <c r="DK575" s="269"/>
      <c r="DL575" s="269"/>
      <c r="DM575" s="196">
        <f>'Detailed Budget'!$AC$178</f>
        <v>5622683761.6229038</v>
      </c>
      <c r="DN575" s="269">
        <f t="shared" si="1497"/>
        <v>0</v>
      </c>
      <c r="DO575" s="196">
        <f>'Detailed Budget'!$AC$179</f>
        <v>26827890683.128094</v>
      </c>
      <c r="DP575" s="269">
        <f t="shared" si="1498"/>
        <v>0</v>
      </c>
      <c r="DQ575" s="269">
        <f t="shared" si="1531"/>
        <v>0</v>
      </c>
      <c r="DR575" s="269">
        <f>'Detailed Budget'!$AC$181</f>
        <v>50888946855.375237</v>
      </c>
      <c r="DS575" s="269">
        <f t="shared" si="1499"/>
        <v>0</v>
      </c>
      <c r="DT575" s="269">
        <f t="shared" si="1500"/>
        <v>0</v>
      </c>
      <c r="DU575" s="272">
        <f>'Detailed Budget'!$AC$192</f>
        <v>77498869683.252869</v>
      </c>
      <c r="DV575" s="269">
        <f t="shared" si="1439"/>
        <v>54169100.015875101</v>
      </c>
      <c r="DW575" s="140">
        <f>'Detailed Budget'!$AC$194</f>
        <v>2684962805.4134097</v>
      </c>
      <c r="DX575" s="269">
        <f t="shared" si="1440"/>
        <v>1876698.580763597</v>
      </c>
      <c r="DY575" s="607">
        <f t="shared" si="1512"/>
        <v>56045798.596638694</v>
      </c>
      <c r="DZ575" s="196">
        <f>'Detailed Budget'!$AC$198</f>
        <v>18732540018.380611</v>
      </c>
      <c r="EA575" s="269">
        <f t="shared" si="1481"/>
        <v>12974604.55491065</v>
      </c>
      <c r="EB575" s="196">
        <f>'Detailed Budget'!$AC$200</f>
        <v>4683135004.5951529</v>
      </c>
      <c r="EC575" s="269">
        <f t="shared" si="1442"/>
        <v>3243651.1387276626</v>
      </c>
      <c r="ED575" s="269">
        <f t="shared" si="1513"/>
        <v>16218255.693638314</v>
      </c>
      <c r="EE575" s="196">
        <f>'Detailed Budget'!$AC$161</f>
        <v>251147290106.36197</v>
      </c>
      <c r="EF575" s="269">
        <f t="shared" si="1443"/>
        <v>175543498.01604101</v>
      </c>
      <c r="EG575" s="196">
        <f>'Detailed Budget'!$AC$163</f>
        <v>15696705631.647623</v>
      </c>
      <c r="EH575" s="269">
        <f t="shared" si="1444"/>
        <v>10971468.626002563</v>
      </c>
      <c r="EI575" s="269">
        <f t="shared" si="1514"/>
        <v>186514966.64204356</v>
      </c>
      <c r="EJ575" s="196">
        <f>'Detailed Budget'!$AC$204</f>
        <v>45012172507.531975</v>
      </c>
      <c r="EK575" s="269">
        <f t="shared" si="1445"/>
        <v>17830432.28747718</v>
      </c>
      <c r="EL575" s="201">
        <f>'Detailed Budget'!$AC$206</f>
        <v>11253043126.882994</v>
      </c>
      <c r="EM575" s="269">
        <f t="shared" si="1446"/>
        <v>4457608.0718692951</v>
      </c>
      <c r="EN575" s="269">
        <f t="shared" si="1515"/>
        <v>22288040.359346475</v>
      </c>
      <c r="EO575" s="140">
        <f>'Detailed Budget'!$AC$209</f>
        <v>135789361677.54817</v>
      </c>
      <c r="EP575" s="269">
        <f t="shared" si="1447"/>
        <v>64623036.89786423</v>
      </c>
      <c r="EQ575" s="196">
        <f>'Detailed Budget'!$AC$211</f>
        <v>33947340419.387043</v>
      </c>
      <c r="ER575" s="269">
        <f t="shared" si="1448"/>
        <v>16155759.224466057</v>
      </c>
      <c r="ES575" s="269">
        <f t="shared" si="1516"/>
        <v>80778796.122330293</v>
      </c>
      <c r="ET575" s="196">
        <f>'Detailed Budget'!$AC$214</f>
        <v>22239745544.201103</v>
      </c>
      <c r="EU575" s="269">
        <f t="shared" si="1449"/>
        <v>10278920.630396711</v>
      </c>
      <c r="EV575" s="140">
        <f>'Detailed Budget'!$AC$217</f>
        <v>5559936386.0502758</v>
      </c>
      <c r="EW575" s="269">
        <f t="shared" si="1450"/>
        <v>2569730.1575991777</v>
      </c>
      <c r="EX575" s="269">
        <f t="shared" si="1517"/>
        <v>12848650.787995888</v>
      </c>
      <c r="EY575" s="196">
        <f>'Detailed Budget'!$AC$219</f>
        <v>372777004.58170313</v>
      </c>
      <c r="EZ575" s="269">
        <f t="shared" si="1451"/>
        <v>180368.06600619704</v>
      </c>
      <c r="FA575" s="196">
        <f>'Detailed Budget'!$AC$222</f>
        <v>93194251.145425782</v>
      </c>
      <c r="FB575" s="269">
        <f t="shared" si="1452"/>
        <v>45092.01650154926</v>
      </c>
      <c r="FC575" s="269">
        <f t="shared" si="1518"/>
        <v>225460.08250774629</v>
      </c>
      <c r="FD575" s="269"/>
      <c r="FE575" s="269">
        <f t="shared" si="1519"/>
        <v>116140947.35218041</v>
      </c>
      <c r="FF575" s="140"/>
      <c r="FG575" s="1087">
        <f t="shared" si="1420"/>
        <v>158423940.00522006</v>
      </c>
      <c r="FJ575" s="140">
        <f>'Detailed Budget'!$AC$235</f>
        <v>3623696172</v>
      </c>
      <c r="FK575" s="269">
        <f t="shared" si="1482"/>
        <v>4681778</v>
      </c>
      <c r="FL575" s="269">
        <f t="shared" si="1421"/>
        <v>4681778</v>
      </c>
      <c r="FO575" s="607"/>
      <c r="FP575" s="607"/>
      <c r="FQ575" s="607"/>
      <c r="FR575" s="269">
        <f>'Detailed Budget'!$AC$257</f>
        <v>13636439388</v>
      </c>
      <c r="FS575" s="269">
        <f t="shared" si="1483"/>
        <v>13990704</v>
      </c>
      <c r="FT575" s="269">
        <f t="shared" si="1422"/>
        <v>13990704</v>
      </c>
      <c r="FU575" s="269"/>
      <c r="FV575" s="269"/>
      <c r="FW575" s="269"/>
      <c r="FX575" s="140">
        <f>'Detailed Budget'!$AC$278</f>
        <v>1114560000</v>
      </c>
      <c r="FY575" s="269">
        <f t="shared" si="1484"/>
        <v>1440000</v>
      </c>
      <c r="FZ575" s="269">
        <f t="shared" si="1423"/>
        <v>1440000</v>
      </c>
      <c r="GB575" s="269">
        <f t="shared" si="1431"/>
        <v>631617547.2901454</v>
      </c>
      <c r="GC575" s="887">
        <f t="shared" si="1520"/>
        <v>394760.96705634089</v>
      </c>
      <c r="GD575" s="1078">
        <f t="shared" si="1432"/>
        <v>3.5442049485447715E-4</v>
      </c>
    </row>
    <row r="576" spans="1:186" collapsed="1">
      <c r="A576" s="220"/>
      <c r="B576" s="221"/>
      <c r="C576" s="222"/>
      <c r="D576" s="222"/>
      <c r="E576" s="222"/>
      <c r="F576" s="222"/>
      <c r="G576" s="222"/>
      <c r="H576" s="222"/>
      <c r="I576" s="222"/>
      <c r="J576" s="222"/>
      <c r="K576" s="222"/>
      <c r="L576" s="222"/>
      <c r="M576" s="222"/>
      <c r="N576" s="222"/>
      <c r="O576" s="222"/>
      <c r="P576" s="222"/>
      <c r="Q576" s="222"/>
      <c r="R576" s="222"/>
      <c r="S576" s="222"/>
      <c r="T576" s="222"/>
      <c r="U576" s="223"/>
      <c r="V576" s="845"/>
      <c r="X576" s="217"/>
      <c r="Y576" s="218"/>
      <c r="Z576" s="196"/>
      <c r="AA576" s="218"/>
      <c r="AG576" s="606"/>
      <c r="AJ576" s="196"/>
      <c r="AK576" s="196"/>
      <c r="AL576" s="196"/>
      <c r="AM576" s="196"/>
      <c r="AO576" s="196"/>
      <c r="AP576" s="589"/>
      <c r="AQ576" s="196"/>
      <c r="AR576" s="589"/>
      <c r="AS576"/>
      <c r="AT576" s="589"/>
      <c r="AV576" s="245"/>
      <c r="AX576" s="245"/>
      <c r="AY576" s="245"/>
      <c r="BA576" s="589">
        <f t="shared" si="1425"/>
        <v>0</v>
      </c>
      <c r="BK576" s="246">
        <f t="shared" si="1426"/>
        <v>0</v>
      </c>
      <c r="BL576" s="246"/>
      <c r="BM576" s="246">
        <f t="shared" si="1427"/>
        <v>0</v>
      </c>
      <c r="BN576" s="196"/>
      <c r="BQ576" s="248"/>
      <c r="BR576" s="248"/>
      <c r="BS576" s="248"/>
      <c r="BT576" s="276"/>
      <c r="BV576" s="264">
        <f t="shared" si="1429"/>
        <v>0</v>
      </c>
      <c r="BX576" s="247">
        <f t="shared" si="1430"/>
        <v>0</v>
      </c>
      <c r="CA576" s="196"/>
      <c r="CB576" s="196"/>
      <c r="CC576" s="196"/>
      <c r="CD576" s="247"/>
      <c r="CF576" s="247"/>
      <c r="CG576" s="196"/>
      <c r="CH576" s="589"/>
      <c r="CI576" s="196"/>
      <c r="CJ576" s="248"/>
      <c r="CK576" s="196"/>
      <c r="CL576" s="589"/>
      <c r="CM576" s="196"/>
      <c r="CN576" s="589"/>
      <c r="CO576" s="196"/>
      <c r="CP576" s="589"/>
      <c r="CQ576" s="196"/>
      <c r="CR576" s="269">
        <f t="shared" si="1534"/>
        <v>0</v>
      </c>
      <c r="CS576" s="269"/>
      <c r="CT576" s="607"/>
      <c r="CU576" s="269">
        <f>'Detailed Budget'!$AC$24</f>
        <v>30624985696</v>
      </c>
      <c r="CV576" s="269">
        <f t="shared" si="1424"/>
        <v>0</v>
      </c>
      <c r="CW576" s="269"/>
      <c r="CX576" s="269"/>
      <c r="CY576" s="196"/>
      <c r="DC576" s="269"/>
      <c r="DD576" s="207"/>
      <c r="DE576" s="606">
        <v>0</v>
      </c>
      <c r="DF576" s="269">
        <f>'Detailed Budget'!$AC$147</f>
        <v>5913600671000</v>
      </c>
      <c r="DG576" s="269"/>
      <c r="DH576" s="269"/>
      <c r="DI576" s="269"/>
      <c r="DJ576" s="269"/>
      <c r="DK576" s="269"/>
      <c r="DL576" s="269"/>
      <c r="DM576" s="196"/>
      <c r="DN576" s="269"/>
      <c r="DO576" s="196"/>
      <c r="DP576" s="269"/>
      <c r="DQ576" s="269"/>
      <c r="DR576" s="269"/>
      <c r="DS576" s="269"/>
      <c r="DT576" s="269"/>
      <c r="DU576" s="272"/>
      <c r="DV576" s="269"/>
      <c r="DW576" s="140"/>
      <c r="DX576" s="269"/>
      <c r="DY576" s="607"/>
      <c r="DZ576" s="196"/>
      <c r="EA576" s="269"/>
      <c r="EB576" s="196"/>
      <c r="ED576" s="269"/>
      <c r="EE576" s="196"/>
      <c r="EG576" s="196"/>
      <c r="EI576" s="269"/>
      <c r="EJ576" s="196"/>
      <c r="EL576" s="201"/>
      <c r="EN576" s="269"/>
      <c r="EO576" s="140"/>
      <c r="EQ576" s="196"/>
      <c r="ES576" s="269"/>
      <c r="ET576" s="196"/>
      <c r="EV576" s="140"/>
      <c r="EX576" s="269"/>
      <c r="EY576" s="196"/>
      <c r="FA576" s="196"/>
      <c r="FC576" s="269"/>
      <c r="FD576" s="269"/>
      <c r="FE576" s="269"/>
      <c r="FF576" s="140"/>
      <c r="FG576" s="1087">
        <f t="shared" si="1420"/>
        <v>0</v>
      </c>
      <c r="FJ576" s="140"/>
      <c r="FO576" s="607"/>
      <c r="FP576" s="607"/>
      <c r="FQ576" s="607"/>
      <c r="FT576" s="269">
        <f t="shared" si="1422"/>
        <v>0</v>
      </c>
      <c r="FU576" s="269"/>
      <c r="FV576" s="269"/>
      <c r="FW576" s="269"/>
      <c r="FX576" s="140">
        <f>'Detailed Budget'!$AC$278</f>
        <v>1114560000</v>
      </c>
      <c r="FY576" s="269"/>
      <c r="FZ576" s="269"/>
      <c r="GB576" s="269">
        <f t="shared" si="1431"/>
        <v>0</v>
      </c>
      <c r="GD576" s="1078">
        <f t="shared" si="1432"/>
        <v>0</v>
      </c>
    </row>
    <row r="577" spans="1:186" s="4" customFormat="1">
      <c r="A577" s="198">
        <v>5</v>
      </c>
      <c r="B577" s="199" t="s">
        <v>2270</v>
      </c>
      <c r="C577" s="197">
        <f t="shared" ref="C577:T577" si="1535">C688+C668+C641+C621+C611+C578</f>
        <v>123</v>
      </c>
      <c r="D577" s="197">
        <f t="shared" si="1535"/>
        <v>0</v>
      </c>
      <c r="E577" s="197">
        <f t="shared" si="1535"/>
        <v>0</v>
      </c>
      <c r="F577" s="197">
        <f t="shared" si="1535"/>
        <v>0</v>
      </c>
      <c r="G577" s="197">
        <f t="shared" si="1535"/>
        <v>123</v>
      </c>
      <c r="H577" s="197">
        <f t="shared" si="1535"/>
        <v>123</v>
      </c>
      <c r="I577" s="197">
        <f t="shared" si="1535"/>
        <v>116</v>
      </c>
      <c r="J577" s="197">
        <f t="shared" si="1535"/>
        <v>7</v>
      </c>
      <c r="K577" s="197">
        <f t="shared" si="1535"/>
        <v>6</v>
      </c>
      <c r="L577" s="197">
        <f t="shared" si="1535"/>
        <v>7</v>
      </c>
      <c r="M577" s="197">
        <f t="shared" si="1535"/>
        <v>92</v>
      </c>
      <c r="N577" s="197">
        <f t="shared" si="1535"/>
        <v>18</v>
      </c>
      <c r="O577" s="197">
        <f t="shared" si="1535"/>
        <v>0</v>
      </c>
      <c r="P577" s="197">
        <f t="shared" si="1535"/>
        <v>0</v>
      </c>
      <c r="Q577" s="197">
        <f t="shared" si="1535"/>
        <v>7</v>
      </c>
      <c r="R577" s="197">
        <f t="shared" si="1535"/>
        <v>116</v>
      </c>
      <c r="S577" s="197">
        <f t="shared" si="1535"/>
        <v>0</v>
      </c>
      <c r="T577" s="197">
        <f t="shared" si="1535"/>
        <v>0</v>
      </c>
      <c r="U577" s="200">
        <f>SUM(C577:T577)</f>
        <v>738</v>
      </c>
      <c r="V577" s="843"/>
      <c r="W577" s="201">
        <f>W578+W611+W621+W641+W668+W688</f>
        <v>21044081</v>
      </c>
      <c r="X577" s="202">
        <f>AVERAGE(X578,X611,X621,X641,X668,X688)</f>
        <v>3.1033333333333335</v>
      </c>
      <c r="Y577" s="239"/>
      <c r="Z577" s="201"/>
      <c r="AA577" s="239"/>
      <c r="AB577" s="201">
        <f>AB578+AB611+AB621+AB641+AB668+AB688</f>
        <v>38033293.320425712</v>
      </c>
      <c r="AC577" s="4">
        <v>12.4</v>
      </c>
      <c r="AD577" s="201">
        <f>AD578+AD611+AD621+AD641+AD668+AD688</f>
        <v>4719034.5637757499</v>
      </c>
      <c r="AE577" s="201">
        <f t="shared" si="1479"/>
        <v>4483082.8355869623</v>
      </c>
      <c r="AF577" s="201">
        <f>AF578+AF611+AF621+AF641+AF668+AF688</f>
        <v>0</v>
      </c>
      <c r="AG577" s="606">
        <f t="shared" si="1523"/>
        <v>0.20727806921512243</v>
      </c>
      <c r="AH577" s="201">
        <f>AH578+AH611+AH621+AH641+AH668+AH688</f>
        <v>1901664.6660212856</v>
      </c>
      <c r="AI577" s="247">
        <f t="shared" si="1503"/>
        <v>0.14731908037326527</v>
      </c>
      <c r="AJ577" s="201">
        <f>AJ578+AJ611+AJ621+AJ641+AJ668+AJ688</f>
        <v>6620699.2297970355</v>
      </c>
      <c r="AK577" s="201">
        <f t="shared" si="1532"/>
        <v>1521331.7328170284</v>
      </c>
      <c r="AL577" s="201">
        <f t="shared" si="1533"/>
        <v>1521331.7328170284</v>
      </c>
      <c r="AM577" s="201">
        <f t="shared" si="1505"/>
        <v>3042663.4656340568</v>
      </c>
      <c r="AN577" s="264">
        <f t="shared" si="1506"/>
        <v>0.14731908037326527</v>
      </c>
      <c r="AO577" s="201">
        <f t="shared" si="1507"/>
        <v>1445265.1461761771</v>
      </c>
      <c r="AP577" s="606">
        <f t="shared" si="1524"/>
        <v>0.1473190803732653</v>
      </c>
      <c r="AQ577" s="201">
        <f>AQ578+AQ611+AQ621+AQ641+AQ668+AQ688</f>
        <v>6</v>
      </c>
      <c r="AR577" s="606">
        <f>AQ577/37</f>
        <v>0.16216216216216217</v>
      </c>
      <c r="AS577" s="201">
        <f>AS578+AS611+AS621+AS641+AS668+AS688</f>
        <v>123</v>
      </c>
      <c r="AT577" s="606">
        <f t="shared" si="1525"/>
        <v>0.15891472868217055</v>
      </c>
      <c r="AU577" s="201">
        <f>AU578+AU611+AU621+AU641+AU668+AU688</f>
        <v>1408</v>
      </c>
      <c r="AV577" s="246">
        <f t="shared" ref="AV577:AV619" si="1536">AU577/8801</f>
        <v>0.15998182024769914</v>
      </c>
      <c r="AW577" s="201">
        <f t="shared" ref="AW577:AY577" si="1537">AW578+AW611+AW621+AW641+AW668+AW688</f>
        <v>84587</v>
      </c>
      <c r="AX577" s="201">
        <f t="shared" si="1537"/>
        <v>169.17400000000001</v>
      </c>
      <c r="AY577" s="201">
        <f t="shared" si="1537"/>
        <v>16917.400000000001</v>
      </c>
      <c r="AZ577" s="201">
        <f>AZ578+AZ611+AZ621+AZ641+AZ668+AZ688</f>
        <v>3243</v>
      </c>
      <c r="BA577" s="606">
        <f t="shared" si="1425"/>
        <v>0.11883038364295921</v>
      </c>
      <c r="BB577" s="201">
        <f>BB578+BB611+BB621+BB641+BB668+BB688</f>
        <v>265</v>
      </c>
      <c r="BC577" s="201">
        <f>BC578+BC611+BC621+BC641+BC668+BC688</f>
        <v>11</v>
      </c>
      <c r="BD577" s="201">
        <f>BD578+BD611+BD621+BD641+BD668+BD688</f>
        <v>276</v>
      </c>
      <c r="BE577" s="247">
        <f>BD577/1306</f>
        <v>0.2113323124042879</v>
      </c>
      <c r="BF577" s="201">
        <f>BF578+BF611+BF621+BF641+BF668+BF688</f>
        <v>3519</v>
      </c>
      <c r="BG577" s="606">
        <f>BF577/28597</f>
        <v>0.12305486589502396</v>
      </c>
      <c r="BH577" s="1083">
        <v>25.4</v>
      </c>
      <c r="BI577" s="201"/>
      <c r="BJ577" s="201">
        <f>BJ578+BJ611+BJ621+BJ641+BJ668+BJ688</f>
        <v>8233762</v>
      </c>
      <c r="BK577" s="246">
        <f t="shared" si="1426"/>
        <v>0.15701287359713123</v>
      </c>
      <c r="BL577" s="201">
        <f>BL578+BL611+BL621+BL641+BL668+BL688</f>
        <v>164675.24</v>
      </c>
      <c r="BM577" s="246">
        <f t="shared" si="1427"/>
        <v>0.15701285563228867</v>
      </c>
      <c r="BN577" s="201"/>
      <c r="BO577" s="201">
        <f>BO578+BO611+BO621+BO641+BO668+BO688</f>
        <v>2078618</v>
      </c>
      <c r="BP577" s="201">
        <f>BP578+BP611+BP621+BP641+BP668+BP688</f>
        <v>1363506.6971283774</v>
      </c>
      <c r="BQ577" s="247">
        <f t="shared" si="1428"/>
        <v>0.12754970200928636</v>
      </c>
      <c r="BR577" s="201">
        <f>BR578+BR611+BR621+BR641+BR668+BR688</f>
        <v>203008.8</v>
      </c>
      <c r="BS577" s="247">
        <f>BR577/2211211</f>
        <v>9.1808877578847065E-2</v>
      </c>
      <c r="BT577" s="272"/>
      <c r="BU577" s="207">
        <f>SUM(BU578,BU611,BU621,BU641,BU668,BU688)</f>
        <v>0</v>
      </c>
      <c r="BV577" s="264">
        <f t="shared" si="1429"/>
        <v>0</v>
      </c>
      <c r="BW577" s="207">
        <f>SUM(BW578,BW611,BW621,BW641,BW668,BW688)</f>
        <v>0</v>
      </c>
      <c r="BX577" s="247">
        <f t="shared" si="1430"/>
        <v>0</v>
      </c>
      <c r="BY577" s="210">
        <f>SUM(BY578,BY611,BY621,BY641,BY668,BY688)</f>
        <v>0</v>
      </c>
      <c r="CA577" s="201">
        <f>CA578+CA611+CA621+CA641+CA668+CA688</f>
        <v>11638187.756050266</v>
      </c>
      <c r="CB577" s="201">
        <f>CB578+CB611+CB621+CB641+CB668+CB688</f>
        <v>23276375.512100533</v>
      </c>
      <c r="CC577" s="201">
        <f>CC578+CC611+CC621+CC641+CC668+CC688</f>
        <v>34914563.268150806</v>
      </c>
      <c r="CD577" s="247">
        <f t="shared" si="1509"/>
        <v>0.1473190803732653</v>
      </c>
      <c r="CE577" s="201">
        <f>CE578+CE611+CE621+CE641+CE668+CE688</f>
        <v>2866860.1419395334</v>
      </c>
      <c r="CF577" s="247">
        <f t="shared" si="1510"/>
        <v>0.12379993670822292</v>
      </c>
      <c r="CG577" s="201">
        <f t="shared" ref="CG577:CG608" si="1538">AO577*4</f>
        <v>5781060.5847047083</v>
      </c>
      <c r="CH577" s="606">
        <f t="shared" si="1526"/>
        <v>0.1473190803732653</v>
      </c>
      <c r="CI577" s="201">
        <f>CI578+CI611+CI621+CI641+CI668+CI688</f>
        <v>9874999.8183195181</v>
      </c>
      <c r="CJ577" s="247">
        <f t="shared" si="1527"/>
        <v>0.1623449719471092</v>
      </c>
      <c r="CK577" s="201">
        <f>CK578+CK611+CK621+CK641+CK668+CK688</f>
        <v>11106985.842998385</v>
      </c>
      <c r="CL577" s="606">
        <f t="shared" si="1528"/>
        <v>0.15966520610261961</v>
      </c>
      <c r="CM577" s="201">
        <f>CM578+CM611+CM621+CM641+CM668+CM688</f>
        <v>965297.69779389771</v>
      </c>
      <c r="CN577" s="606">
        <f t="shared" si="1529"/>
        <v>0.13911036852358449</v>
      </c>
      <c r="CO577" s="201">
        <f>CO578+CO611+CO621+CO641+CO668+CO688</f>
        <v>77224.975822573819</v>
      </c>
      <c r="CP577" s="606">
        <f t="shared" si="1530"/>
        <v>0.14563440956533857</v>
      </c>
      <c r="CQ577" s="201">
        <f>'Detailed Budget'!$AC$12</f>
        <v>292876014141.44696</v>
      </c>
      <c r="CR577" s="607">
        <f t="shared" si="1534"/>
        <v>45985304588.022629</v>
      </c>
      <c r="CS577" s="607">
        <f>'Detailed Budget'!$AC$16</f>
        <v>10488008800.000002</v>
      </c>
      <c r="CT577" s="607">
        <f t="shared" ref="CT577:CT608" si="1539">BM577*CS577</f>
        <v>1646752211.5845735</v>
      </c>
      <c r="CU577" s="607">
        <f>'Detailed Budget'!$AC$24</f>
        <v>30624985696</v>
      </c>
      <c r="CV577" s="607">
        <f t="shared" si="1424"/>
        <v>4808517008</v>
      </c>
      <c r="CW577" s="607"/>
      <c r="CX577" s="607">
        <f t="shared" si="1522"/>
        <v>52440573807.607201</v>
      </c>
      <c r="CY577" s="201">
        <f>'Detailed Budget'!$AC$97</f>
        <v>74629165494.837845</v>
      </c>
      <c r="CZ577" s="607">
        <f t="shared" ref="CZ577:CZ608" si="1540">BQ577*CY577</f>
        <v>9518927820.0682831</v>
      </c>
      <c r="DA577" s="607">
        <f>'Detailed Budget'!$AC$100</f>
        <v>14925833098.967569</v>
      </c>
      <c r="DB577" s="607">
        <f t="shared" ref="DB577:DB608" si="1541">BQ577*DA577</f>
        <v>1903785564.0136566</v>
      </c>
      <c r="DC577" s="607">
        <f t="shared" si="1511"/>
        <v>11422713384.08194</v>
      </c>
      <c r="DD577" s="201">
        <f>DD578+DD611+DD621+DD641+DD668+DD688</f>
        <v>0</v>
      </c>
      <c r="DE577" s="606">
        <v>0</v>
      </c>
      <c r="DF577" s="607">
        <f>'Detailed Budget'!$AC$147</f>
        <v>5913600671000</v>
      </c>
      <c r="DG577" s="607">
        <f t="shared" si="1419"/>
        <v>0</v>
      </c>
      <c r="DH577" s="607">
        <f>'Detailed Budget'!$AC$153</f>
        <v>226428026880.00003</v>
      </c>
      <c r="DI577" s="605">
        <f>BS577*DH577</f>
        <v>20788103000.245815</v>
      </c>
      <c r="DJ577" s="607">
        <f>'Detailed Budget'!$AC$156</f>
        <v>27713070000</v>
      </c>
      <c r="DK577" s="607">
        <f>AT577*DJ577</f>
        <v>4404015000</v>
      </c>
      <c r="DL577" s="607">
        <f>DI577+DK577</f>
        <v>25192118000.245815</v>
      </c>
      <c r="DM577" s="201">
        <f>'Detailed Budget'!$AC$178</f>
        <v>5622683761.6229038</v>
      </c>
      <c r="DN577" s="607">
        <f>DN578+DN611+DN621+DN641+DN668+DN688</f>
        <v>0</v>
      </c>
      <c r="DO577" s="607">
        <f>'Detailed Budget'!$AC$179</f>
        <v>26827890683.128094</v>
      </c>
      <c r="DP577" s="607">
        <f>DP578+DP611+DP621+DP641+DP668+DP688</f>
        <v>0</v>
      </c>
      <c r="DQ577" s="607">
        <f>DQ578+DQ611+DQ621+DQ641+DQ668+DQ688</f>
        <v>0</v>
      </c>
      <c r="DR577" s="607">
        <f>'Detailed Budget'!$AC$181</f>
        <v>50888946855.375237</v>
      </c>
      <c r="DS577" s="607">
        <f>DS578+DS611+DS621+DS641+DS668+DS688</f>
        <v>0</v>
      </c>
      <c r="DT577" s="607">
        <f>DT578+DT611+DT621+DT641+DT668+DT688</f>
        <v>0</v>
      </c>
      <c r="DU577" s="272">
        <f>'Detailed Budget'!$AC$192</f>
        <v>77498869683.252869</v>
      </c>
      <c r="DV577" s="607">
        <f t="shared" ref="DV577:DV608" si="1542">BZ577*CD577*DU577</f>
        <v>0</v>
      </c>
      <c r="DW577" s="929">
        <f>'Detailed Budget'!$AC$194</f>
        <v>2684962805.4134097</v>
      </c>
      <c r="DX577" s="607">
        <f t="shared" ref="DX577:DX608" si="1543">BZ577*AN577*DW577</f>
        <v>0</v>
      </c>
      <c r="DY577" s="607">
        <f t="shared" si="1512"/>
        <v>0</v>
      </c>
      <c r="DZ577" s="201">
        <f>'Detailed Budget'!$AC$198</f>
        <v>18732540018.380611</v>
      </c>
      <c r="EA577" s="607">
        <f t="shared" ref="EA577:EA609" si="1544">CF577*DZ577</f>
        <v>2319087268.6597729</v>
      </c>
      <c r="EB577" s="201">
        <f>'Detailed Budget'!$AC$200</f>
        <v>4683135004.5951529</v>
      </c>
      <c r="EC577" s="607">
        <f t="shared" ref="EC577:EC608" si="1545">CF577*EB577</f>
        <v>579771817.16494322</v>
      </c>
      <c r="ED577" s="607">
        <f t="shared" si="1513"/>
        <v>2898859085.8247161</v>
      </c>
      <c r="EE577" s="201">
        <f>'Detailed Budget'!$AC$161</f>
        <v>251147290106.36197</v>
      </c>
      <c r="EF577" s="607">
        <f t="shared" ref="EF577:EF608" si="1546">CH577*EE577</f>
        <v>36998787816.706917</v>
      </c>
      <c r="EG577" s="201">
        <f>'Detailed Budget'!$AC$163</f>
        <v>15696705631.647623</v>
      </c>
      <c r="EH577" s="607">
        <f t="shared" ref="EH577:EH608" si="1547">AP577*EG577</f>
        <v>2312424238.5441823</v>
      </c>
      <c r="EI577" s="607">
        <f t="shared" si="1514"/>
        <v>39311212055.251099</v>
      </c>
      <c r="EJ577" s="201">
        <f>'Detailed Budget'!$AC$204</f>
        <v>45012172507.531975</v>
      </c>
      <c r="EK577" s="607">
        <f t="shared" ref="EK577:EK608" si="1548">CJ577*EJ577</f>
        <v>7307499883.0137186</v>
      </c>
      <c r="EL577" s="201">
        <f>'Detailed Budget'!$AC$206</f>
        <v>11253043126.882994</v>
      </c>
      <c r="EM577" s="607">
        <f t="shared" ref="EM577:EM608" si="1549">CJ577*EL577</f>
        <v>1826874970.7534297</v>
      </c>
      <c r="EN577" s="607">
        <f t="shared" si="1515"/>
        <v>9134374853.767149</v>
      </c>
      <c r="EO577" s="929">
        <f>'Detailed Budget'!$AC$209</f>
        <v>135789361677.54817</v>
      </c>
      <c r="EP577" s="607">
        <f t="shared" ref="EP577:EP608" si="1550">CL577*EO577</f>
        <v>21680836418.788887</v>
      </c>
      <c r="EQ577" s="201">
        <f>'Detailed Budget'!$AC$211</f>
        <v>33947340419.387043</v>
      </c>
      <c r="ER577" s="607">
        <f t="shared" ref="ER577:ER608" si="1551">CL577*EQ577</f>
        <v>5420209104.6972218</v>
      </c>
      <c r="ES577" s="607">
        <f t="shared" si="1516"/>
        <v>27101045523.486107</v>
      </c>
      <c r="ET577" s="201">
        <f>'Detailed Budget'!$AC$214</f>
        <v>22239745544.201103</v>
      </c>
      <c r="EU577" s="607">
        <f t="shared" ref="EU577:EU608" si="1552">CN577*ET577</f>
        <v>3093779198.5245614</v>
      </c>
      <c r="EV577" s="929">
        <f>'Detailed Budget'!$AC$217</f>
        <v>5559936386.0502758</v>
      </c>
      <c r="EW577" s="607">
        <f t="shared" ref="EW577:EW608" si="1553">CN577*EV577</f>
        <v>773444799.63114035</v>
      </c>
      <c r="EX577" s="607">
        <f t="shared" si="1517"/>
        <v>3867223998.1557016</v>
      </c>
      <c r="EY577" s="201">
        <f>'Detailed Budget'!$AC$219</f>
        <v>372777004.58170313</v>
      </c>
      <c r="EZ577" s="607">
        <f t="shared" ref="EZ577:EZ608" si="1554">CP577*EY577</f>
        <v>54289158.961791851</v>
      </c>
      <c r="FA577" s="201">
        <f>'Detailed Budget'!$AC$222</f>
        <v>93194251.145425782</v>
      </c>
      <c r="FB577" s="607">
        <f t="shared" ref="FB577:FB608" si="1555">CP577*FA577</f>
        <v>13572289.740447963</v>
      </c>
      <c r="FC577" s="607">
        <f t="shared" si="1518"/>
        <v>67861448.702239811</v>
      </c>
      <c r="FD577" s="607"/>
      <c r="FE577" s="607">
        <f t="shared" si="1519"/>
        <v>40170505824.111198</v>
      </c>
      <c r="FF577" s="929">
        <f>'Detailed Budget'!$AC$165</f>
        <v>14927760000</v>
      </c>
      <c r="FG577" s="1087">
        <f t="shared" si="1420"/>
        <v>54795228984.662323</v>
      </c>
      <c r="FH577" s="607">
        <f t="shared" ref="FH577:FH609" si="1556">AV577*FF577</f>
        <v>2388170217.0207934</v>
      </c>
      <c r="FI577" s="607"/>
      <c r="FJ577" s="929">
        <f>'Detailed Budget'!$AC$235</f>
        <v>3623696172</v>
      </c>
      <c r="FK577" s="607">
        <f t="shared" ref="FK577:FK609" si="1557">AT577*FJ577</f>
        <v>575858694</v>
      </c>
      <c r="FL577" s="607">
        <f t="shared" si="1421"/>
        <v>575858694</v>
      </c>
      <c r="FM577" s="607"/>
      <c r="FN577" s="605">
        <f>'Detailed Budget'!$AC$251</f>
        <v>1047595800</v>
      </c>
      <c r="FO577" s="607">
        <f>AR577*FN577</f>
        <v>169880400</v>
      </c>
      <c r="FP577" s="607">
        <f>'Detailed Budget'!$AB$254</f>
        <v>2773297530</v>
      </c>
      <c r="FQ577" s="607">
        <f>BE577*FP577</f>
        <v>586087380</v>
      </c>
      <c r="FR577" s="607">
        <f>'Detailed Budget'!$AC$257</f>
        <v>13636439388</v>
      </c>
      <c r="FS577" s="607">
        <f t="shared" ref="FS577:FS609" si="1558">BA577*FR577</f>
        <v>1620423324</v>
      </c>
      <c r="FT577" s="607">
        <f t="shared" si="1422"/>
        <v>2376391104</v>
      </c>
      <c r="FU577" s="607"/>
      <c r="FV577" s="605">
        <f>'Detailed Budget'!$AC$265</f>
        <v>6277805540</v>
      </c>
      <c r="FW577" s="607">
        <f>AR577*FV577</f>
        <v>1018022520</v>
      </c>
      <c r="FX577" s="929">
        <f>'Detailed Budget'!$AC$278</f>
        <v>1114560000</v>
      </c>
      <c r="FY577" s="607">
        <f t="shared" ref="FY577:FY609" si="1559">AT577*FX577</f>
        <v>177120000</v>
      </c>
      <c r="FZ577" s="607">
        <f t="shared" si="1423"/>
        <v>1195142520</v>
      </c>
      <c r="GB577" s="269">
        <f t="shared" si="1431"/>
        <v>232766773676.80508</v>
      </c>
      <c r="GC577" s="888">
        <f t="shared" si="1520"/>
        <v>145479233.54800317</v>
      </c>
      <c r="GD577" s="1078">
        <f t="shared" si="1432"/>
        <v>0.13061276632695679</v>
      </c>
    </row>
    <row r="578" spans="1:186" s="210" customFormat="1" collapsed="1">
      <c r="A578" s="203">
        <v>5.0999999999999996</v>
      </c>
      <c r="B578" s="204" t="s">
        <v>1266</v>
      </c>
      <c r="C578" s="205">
        <f>COUNTA(C579:C609)</f>
        <v>31</v>
      </c>
      <c r="D578" s="205">
        <f t="shared" ref="D578:T578" si="1560">COUNTA(D579:D609)</f>
        <v>0</v>
      </c>
      <c r="E578" s="205">
        <f t="shared" si="1560"/>
        <v>0</v>
      </c>
      <c r="F578" s="205">
        <f t="shared" si="1560"/>
        <v>0</v>
      </c>
      <c r="G578" s="205">
        <f t="shared" si="1560"/>
        <v>31</v>
      </c>
      <c r="H578" s="205">
        <f t="shared" si="1560"/>
        <v>31</v>
      </c>
      <c r="I578" s="205">
        <f t="shared" si="1560"/>
        <v>31</v>
      </c>
      <c r="J578" s="205">
        <f t="shared" si="1560"/>
        <v>0</v>
      </c>
      <c r="K578" s="205">
        <f t="shared" si="1560"/>
        <v>0</v>
      </c>
      <c r="L578" s="205">
        <f t="shared" si="1560"/>
        <v>0</v>
      </c>
      <c r="M578" s="205">
        <f t="shared" si="1560"/>
        <v>31</v>
      </c>
      <c r="N578" s="205">
        <f t="shared" si="1560"/>
        <v>0</v>
      </c>
      <c r="O578" s="205">
        <f t="shared" si="1560"/>
        <v>0</v>
      </c>
      <c r="P578" s="205">
        <f t="shared" si="1560"/>
        <v>0</v>
      </c>
      <c r="Q578" s="205">
        <f t="shared" si="1560"/>
        <v>0</v>
      </c>
      <c r="R578" s="205">
        <f>COUNTA(R579:R609)</f>
        <v>31</v>
      </c>
      <c r="S578" s="205">
        <f t="shared" si="1560"/>
        <v>0</v>
      </c>
      <c r="T578" s="205">
        <f t="shared" si="1560"/>
        <v>0</v>
      </c>
      <c r="U578" s="206">
        <f>SUM(C578:T578)</f>
        <v>186</v>
      </c>
      <c r="V578" s="844"/>
      <c r="W578" s="207">
        <f>SUM(W579:W609)</f>
        <v>3902051</v>
      </c>
      <c r="X578" s="208">
        <v>3.36</v>
      </c>
      <c r="Y578" s="209">
        <f t="shared" si="1477"/>
        <v>1.0336000000000001</v>
      </c>
      <c r="Z578" s="207">
        <v>19</v>
      </c>
      <c r="AA578" s="209">
        <f t="shared" si="1478"/>
        <v>1.873689022502546</v>
      </c>
      <c r="AB578" s="207">
        <f t="shared" ref="AB578:AB609" si="1561">W578*AA578</f>
        <v>7311230.1239450816</v>
      </c>
      <c r="AC578" s="210">
        <v>12.2</v>
      </c>
      <c r="AD578" s="207">
        <f t="shared" ref="AD578:AD609" si="1562">AB578*AC578/100</f>
        <v>891970.07512129995</v>
      </c>
      <c r="AE578" s="207">
        <f t="shared" si="1479"/>
        <v>847371.57136523491</v>
      </c>
      <c r="AF578" s="207">
        <f>SUM(AF579:AF609)</f>
        <v>0</v>
      </c>
      <c r="AG578" s="588">
        <f t="shared" si="1523"/>
        <v>3.917874142902688E-2</v>
      </c>
      <c r="AH578" s="207">
        <f>SUM(AH579:AH609)</f>
        <v>365561.50619725417</v>
      </c>
      <c r="AI578" s="633">
        <f t="shared" si="1503"/>
        <v>2.8319496005318533E-2</v>
      </c>
      <c r="AJ578" s="207">
        <f>SUM(AJ579:AJ609)</f>
        <v>1257531.5813185542</v>
      </c>
      <c r="AK578" s="207">
        <f t="shared" si="1532"/>
        <v>292449.20495780325</v>
      </c>
      <c r="AL578" s="207">
        <f t="shared" si="1533"/>
        <v>292449.20495780325</v>
      </c>
      <c r="AM578" s="207">
        <f t="shared" si="1505"/>
        <v>584898.40991560649</v>
      </c>
      <c r="AN578" s="632">
        <f t="shared" si="1506"/>
        <v>2.8319496005318526E-2</v>
      </c>
      <c r="AO578" s="207">
        <f t="shared" si="1507"/>
        <v>277826.74470991309</v>
      </c>
      <c r="AP578" s="588">
        <f t="shared" si="1524"/>
        <v>2.8319496005318526E-2</v>
      </c>
      <c r="AQ578" s="207">
        <v>1</v>
      </c>
      <c r="AR578" s="588">
        <f>AQ578/37</f>
        <v>2.7027027027027029E-2</v>
      </c>
      <c r="AS578" s="207">
        <f>SUM(AS579:AS609)</f>
        <v>31</v>
      </c>
      <c r="AT578" s="588">
        <f t="shared" si="1525"/>
        <v>4.0051679586563305E-2</v>
      </c>
      <c r="AU578" s="207">
        <f>SUM(AU579:AU609)</f>
        <v>329</v>
      </c>
      <c r="AV578" s="892">
        <f t="shared" si="1536"/>
        <v>3.7382115668674012E-2</v>
      </c>
      <c r="AW578" s="207">
        <v>6187</v>
      </c>
      <c r="AX578" s="208">
        <f>AW578*0.002</f>
        <v>12.374000000000001</v>
      </c>
      <c r="AY578" s="207">
        <f>AX578*100</f>
        <v>1237.4000000000001</v>
      </c>
      <c r="AZ578" s="207">
        <f>SUM(AZ579:AZ609)</f>
        <v>493</v>
      </c>
      <c r="BA578" s="588">
        <f t="shared" si="1425"/>
        <v>1.8064563409182513E-2</v>
      </c>
      <c r="BB578" s="207">
        <v>52</v>
      </c>
      <c r="BC578" s="207">
        <v>1</v>
      </c>
      <c r="BD578" s="207">
        <f>BB578+BC578</f>
        <v>53</v>
      </c>
      <c r="BE578" s="633">
        <f>BD578/1306</f>
        <v>4.0581929555895867E-2</v>
      </c>
      <c r="BF578" s="207">
        <f>AZ578+BD578</f>
        <v>546</v>
      </c>
      <c r="BG578" s="588">
        <f>BF578/28597</f>
        <v>1.9092911843899711E-2</v>
      </c>
      <c r="BH578" s="1084">
        <v>33.200000000000003</v>
      </c>
      <c r="BI578" s="207"/>
      <c r="BJ578" s="207">
        <v>4061795</v>
      </c>
      <c r="BK578" s="892">
        <f t="shared" si="1426"/>
        <v>7.7455980014051851E-2</v>
      </c>
      <c r="BL578" s="207">
        <f>BJ578/50</f>
        <v>81235.899999999994</v>
      </c>
      <c r="BM578" s="892">
        <f t="shared" si="1427"/>
        <v>7.7455971151820027E-2</v>
      </c>
      <c r="BN578" s="207"/>
      <c r="BO578" s="207">
        <v>329840</v>
      </c>
      <c r="BP578" s="207">
        <f>SUM(BP579:BP609)</f>
        <v>0</v>
      </c>
      <c r="BQ578" s="633">
        <f t="shared" si="1428"/>
        <v>0</v>
      </c>
      <c r="BR578" s="207">
        <f>AY578*0.5*24</f>
        <v>14848.800000000001</v>
      </c>
      <c r="BS578" s="633">
        <f>BR578/2211211</f>
        <v>6.7152343218263664E-3</v>
      </c>
      <c r="BT578" s="634"/>
      <c r="BU578" s="207">
        <v>0</v>
      </c>
      <c r="BV578" s="264">
        <f t="shared" si="1429"/>
        <v>0</v>
      </c>
      <c r="BW578" s="207">
        <v>0</v>
      </c>
      <c r="BX578" s="247">
        <f t="shared" si="1430"/>
        <v>0</v>
      </c>
      <c r="BY578" s="210">
        <v>0</v>
      </c>
      <c r="CA578" s="207">
        <f>SUM(CA579:CA609)</f>
        <v>2237236.4179271953</v>
      </c>
      <c r="CB578" s="207">
        <f>SUM(CB579:CB609)</f>
        <v>4474472.8358543906</v>
      </c>
      <c r="CC578" s="207">
        <f>SUM(CC579:CC609)</f>
        <v>6711709.253781586</v>
      </c>
      <c r="CD578" s="633">
        <f t="shared" si="1509"/>
        <v>2.8319496005318533E-2</v>
      </c>
      <c r="CE578" s="207">
        <f>SUM(CE579:CE609)</f>
        <v>500960.32329969364</v>
      </c>
      <c r="CF578" s="633">
        <f t="shared" si="1510"/>
        <v>2.1633024719467129E-2</v>
      </c>
      <c r="CG578" s="207">
        <f t="shared" si="1538"/>
        <v>1111306.9788396524</v>
      </c>
      <c r="CH578" s="588">
        <f t="shared" si="1526"/>
        <v>2.8319496005318526E-2</v>
      </c>
      <c r="CI578" s="207">
        <f t="shared" ref="CI578:CO578" si="1563">SUM(CI579:CI609)</f>
        <v>2014726.1696792899</v>
      </c>
      <c r="CJ578" s="633">
        <f t="shared" si="1527"/>
        <v>3.3122093115476349E-2</v>
      </c>
      <c r="CK578" s="207">
        <f t="shared" si="1563"/>
        <v>1630500.1373199543</v>
      </c>
      <c r="CL578" s="588">
        <f t="shared" si="1528"/>
        <v>2.343877485354403E-2</v>
      </c>
      <c r="CM578" s="207">
        <f t="shared" si="1563"/>
        <v>157955.0133028969</v>
      </c>
      <c r="CN578" s="588">
        <f t="shared" si="1529"/>
        <v>2.2763112520553436E-2</v>
      </c>
      <c r="CO578" s="207">
        <f t="shared" si="1563"/>
        <v>12636.001064198064</v>
      </c>
      <c r="CP578" s="588">
        <f t="shared" si="1530"/>
        <v>2.3829551704612522E-2</v>
      </c>
      <c r="CQ578" s="207">
        <f>'Detailed Budget'!$AC$12</f>
        <v>292876014141.44696</v>
      </c>
      <c r="CR578" s="605">
        <f t="shared" si="1534"/>
        <v>22684998697.935081</v>
      </c>
      <c r="CS578" s="605">
        <f>'Detailed Budget'!$AC$16</f>
        <v>10488008800.000002</v>
      </c>
      <c r="CT578" s="605">
        <f t="shared" si="1539"/>
        <v>812358907.05283475</v>
      </c>
      <c r="CU578" s="605">
        <f>'Detailed Budget'!$AC$24</f>
        <v>30624985696</v>
      </c>
      <c r="CV578" s="605">
        <f t="shared" si="1424"/>
        <v>2372088280</v>
      </c>
      <c r="CW578" s="605"/>
      <c r="CX578" s="605">
        <f t="shared" si="1522"/>
        <v>25869445884.987915</v>
      </c>
      <c r="CY578" s="207">
        <f>'Detailed Budget'!$AC$97</f>
        <v>74629165494.837845</v>
      </c>
      <c r="CZ578" s="605">
        <f t="shared" si="1540"/>
        <v>0</v>
      </c>
      <c r="DA578" s="605">
        <f>'Detailed Budget'!$AC$100</f>
        <v>14925833098.967569</v>
      </c>
      <c r="DB578" s="605">
        <f t="shared" si="1541"/>
        <v>0</v>
      </c>
      <c r="DC578" s="605">
        <f t="shared" si="1511"/>
        <v>0</v>
      </c>
      <c r="DD578" s="207">
        <f>SUM(DD579:DD609)</f>
        <v>0</v>
      </c>
      <c r="DE578" s="606">
        <v>0</v>
      </c>
      <c r="DF578" s="605">
        <f>'Detailed Budget'!$AC$147</f>
        <v>5913600671000</v>
      </c>
      <c r="DG578" s="605">
        <f t="shared" si="1419"/>
        <v>0</v>
      </c>
      <c r="DH578" s="605">
        <f>'Detailed Budget'!$AC$153</f>
        <v>226428026880.00003</v>
      </c>
      <c r="DI578" s="605">
        <f>BS578*DH578</f>
        <v>1520517257.5279992</v>
      </c>
      <c r="DJ578" s="605">
        <f>'Detailed Budget'!$AC$156</f>
        <v>27713070000</v>
      </c>
      <c r="DK578" s="605">
        <f>AT578*DJ578</f>
        <v>1109955000</v>
      </c>
      <c r="DL578" s="605">
        <f>DI578+DK578</f>
        <v>2630472257.5279989</v>
      </c>
      <c r="DM578" s="207">
        <f>'Detailed Budget'!$AC$178</f>
        <v>5622683761.6229038</v>
      </c>
      <c r="DN578" s="605">
        <f>SUM(DN579:DN609)</f>
        <v>0</v>
      </c>
      <c r="DO578" s="605">
        <f>'Detailed Budget'!$AC$179</f>
        <v>26827890683.128094</v>
      </c>
      <c r="DP578" s="605">
        <f>SUM(DP579:DP609)</f>
        <v>0</v>
      </c>
      <c r="DQ578" s="605">
        <f>SUM(DQ579:DQ609)</f>
        <v>0</v>
      </c>
      <c r="DR578" s="605">
        <f>'Detailed Budget'!$AC$181</f>
        <v>50888946855.375237</v>
      </c>
      <c r="DS578" s="605">
        <f>SUM(DS579:DS609)</f>
        <v>0</v>
      </c>
      <c r="DT578" s="605">
        <f>SUM(DT579:DT609)</f>
        <v>0</v>
      </c>
      <c r="DU578" s="634">
        <f>'Detailed Budget'!$AC$192</f>
        <v>77498869683.252869</v>
      </c>
      <c r="DV578" s="605">
        <f t="shared" si="1542"/>
        <v>0</v>
      </c>
      <c r="DW578" s="930">
        <f>'Detailed Budget'!$AC$194</f>
        <v>2684962805.4134097</v>
      </c>
      <c r="DX578" s="605">
        <f t="shared" si="1543"/>
        <v>0</v>
      </c>
      <c r="DY578" s="605">
        <f t="shared" si="1512"/>
        <v>0</v>
      </c>
      <c r="DZ578" s="207">
        <f>'Detailed Budget'!$AC$198</f>
        <v>18732540018.380611</v>
      </c>
      <c r="EA578" s="605">
        <f t="shared" si="1544"/>
        <v>405241501.27603501</v>
      </c>
      <c r="EB578" s="207">
        <f>'Detailed Budget'!$AC$200</f>
        <v>4683135004.5951529</v>
      </c>
      <c r="EC578" s="605">
        <f t="shared" si="1545"/>
        <v>101310375.31900875</v>
      </c>
      <c r="ED578" s="605">
        <f t="shared" si="1513"/>
        <v>506551876.59504378</v>
      </c>
      <c r="EE578" s="207">
        <f>'Detailed Budget'!$AC$161</f>
        <v>251147290106.36197</v>
      </c>
      <c r="EF578" s="605">
        <f t="shared" si="1546"/>
        <v>7112364678.9136906</v>
      </c>
      <c r="EG578" s="207">
        <f>'Detailed Budget'!$AC$163</f>
        <v>15696705631.647623</v>
      </c>
      <c r="EH578" s="605">
        <f t="shared" si="1547"/>
        <v>444522792.43210566</v>
      </c>
      <c r="EI578" s="605">
        <f t="shared" si="1514"/>
        <v>7556887471.3457966</v>
      </c>
      <c r="EJ578" s="207">
        <f>'Detailed Budget'!$AC$204</f>
        <v>45012172507.531975</v>
      </c>
      <c r="EK578" s="605">
        <f t="shared" si="1548"/>
        <v>1490897369.1243587</v>
      </c>
      <c r="EL578" s="207">
        <f>'Detailed Budget'!$AC$206</f>
        <v>11253043126.882994</v>
      </c>
      <c r="EM578" s="605">
        <f t="shared" si="1549"/>
        <v>372724342.28108966</v>
      </c>
      <c r="EN578" s="605">
        <f t="shared" si="1515"/>
        <v>1863621711.4054484</v>
      </c>
      <c r="EO578" s="930">
        <f>'Detailed Budget'!$AC$209</f>
        <v>135789361677.54817</v>
      </c>
      <c r="EP578" s="605">
        <f t="shared" si="1550"/>
        <v>3182736275.8665113</v>
      </c>
      <c r="EQ578" s="207">
        <f>'Detailed Budget'!$AC$211</f>
        <v>33947340419.387043</v>
      </c>
      <c r="ER578" s="605">
        <f t="shared" si="1551"/>
        <v>795684068.96662784</v>
      </c>
      <c r="ES578" s="605">
        <f t="shared" si="1516"/>
        <v>3978420344.8331394</v>
      </c>
      <c r="ET578" s="207">
        <f>'Detailed Budget'!$AC$214</f>
        <v>22239745544.201103</v>
      </c>
      <c r="EU578" s="605">
        <f t="shared" si="1552"/>
        <v>506245830.25112659</v>
      </c>
      <c r="EV578" s="930">
        <f>'Detailed Budget'!$AC$217</f>
        <v>5559936386.0502758</v>
      </c>
      <c r="EW578" s="605">
        <f t="shared" si="1553"/>
        <v>126561457.56278165</v>
      </c>
      <c r="EX578" s="605">
        <f t="shared" si="1517"/>
        <v>632807287.81390822</v>
      </c>
      <c r="EY578" s="207">
        <f>'Detailed Budget'!$AC$219</f>
        <v>372777004.58170313</v>
      </c>
      <c r="EZ578" s="605">
        <f t="shared" si="1554"/>
        <v>8883108.9049702734</v>
      </c>
      <c r="FA578" s="207">
        <f>'Detailed Budget'!$AC$222</f>
        <v>93194251.145425782</v>
      </c>
      <c r="FB578" s="605">
        <f t="shared" si="1555"/>
        <v>2220777.2262425683</v>
      </c>
      <c r="FC578" s="605">
        <f t="shared" si="1518"/>
        <v>11103886.131212842</v>
      </c>
      <c r="FD578" s="605"/>
      <c r="FE578" s="605">
        <f t="shared" si="1519"/>
        <v>6485953230.1837101</v>
      </c>
      <c r="FF578" s="930">
        <f>'Detailed Budget'!$AC$165</f>
        <v>14927760000</v>
      </c>
      <c r="FG578" s="1087">
        <f t="shared" si="1420"/>
        <v>8847269536.2080402</v>
      </c>
      <c r="FH578" s="605">
        <f t="shared" si="1556"/>
        <v>558031250.99420512</v>
      </c>
      <c r="FI578" s="605"/>
      <c r="FJ578" s="930">
        <f>'Detailed Budget'!$AC$235</f>
        <v>3623696172</v>
      </c>
      <c r="FK578" s="605">
        <f t="shared" si="1557"/>
        <v>145135118</v>
      </c>
      <c r="FL578" s="605">
        <f t="shared" si="1421"/>
        <v>145135118</v>
      </c>
      <c r="FM578" s="605"/>
      <c r="FN578" s="605">
        <f>'Detailed Budget'!$AC$251</f>
        <v>1047595800</v>
      </c>
      <c r="FO578" s="605">
        <f>AR578*FN578</f>
        <v>28313400</v>
      </c>
      <c r="FP578" s="605">
        <f>'Detailed Budget'!$AB$254</f>
        <v>2773297530</v>
      </c>
      <c r="FQ578" s="605">
        <f>BE578*FP578</f>
        <v>112545765</v>
      </c>
      <c r="FR578" s="605">
        <f>'Detailed Budget'!$AC$257</f>
        <v>13636439388</v>
      </c>
      <c r="FS578" s="605">
        <f t="shared" si="1558"/>
        <v>246336323.99999997</v>
      </c>
      <c r="FT578" s="605">
        <f t="shared" si="1422"/>
        <v>387195489</v>
      </c>
      <c r="FU578" s="605"/>
      <c r="FV578" s="605">
        <f>'Detailed Budget'!$AC$265</f>
        <v>6277805540</v>
      </c>
      <c r="FW578" s="605">
        <f>AR578*FV578</f>
        <v>169670420</v>
      </c>
      <c r="FX578" s="930">
        <f>'Detailed Budget'!$AC$278</f>
        <v>1114560000</v>
      </c>
      <c r="FY578" s="605">
        <f t="shared" si="1559"/>
        <v>44640000</v>
      </c>
      <c r="FZ578" s="605">
        <f t="shared" si="1423"/>
        <v>214310420</v>
      </c>
      <c r="GB578" s="269">
        <f t="shared" si="1431"/>
        <v>53201252534.842705</v>
      </c>
      <c r="GC578" s="889">
        <f t="shared" si="1520"/>
        <v>33250782.834276691</v>
      </c>
      <c r="GD578" s="1078">
        <f t="shared" si="1432"/>
        <v>2.9852898057018795E-2</v>
      </c>
    </row>
    <row r="579" spans="1:186" hidden="1" outlineLevel="1">
      <c r="A579" s="211" t="s">
        <v>1267</v>
      </c>
      <c r="B579" s="212" t="s">
        <v>1268</v>
      </c>
      <c r="C579" s="213" t="s">
        <v>215</v>
      </c>
      <c r="D579" s="214"/>
      <c r="E579" s="213"/>
      <c r="F579" s="213"/>
      <c r="G579" s="213" t="s">
        <v>215</v>
      </c>
      <c r="H579" s="213" t="s">
        <v>215</v>
      </c>
      <c r="I579" s="214" t="s">
        <v>215</v>
      </c>
      <c r="J579" s="214"/>
      <c r="K579" s="213"/>
      <c r="L579" s="213"/>
      <c r="M579" s="214" t="s">
        <v>215</v>
      </c>
      <c r="N579" s="213"/>
      <c r="O579" s="214"/>
      <c r="P579" s="213"/>
      <c r="Q579" s="214"/>
      <c r="R579" s="214" t="s">
        <v>215</v>
      </c>
      <c r="S579" s="214"/>
      <c r="T579" s="214"/>
      <c r="U579" s="215">
        <f t="shared" ref="U579:U609" si="1564">COUNTA(C579:T579)</f>
        <v>6</v>
      </c>
      <c r="V579" s="845" t="s">
        <v>216</v>
      </c>
      <c r="W579" s="216">
        <v>139069</v>
      </c>
      <c r="X579" s="217">
        <v>3.36</v>
      </c>
      <c r="Y579" s="218">
        <f t="shared" si="1477"/>
        <v>1.0336000000000001</v>
      </c>
      <c r="Z579" s="196">
        <v>19</v>
      </c>
      <c r="AA579" s="218">
        <f t="shared" si="1478"/>
        <v>1.873689022502546</v>
      </c>
      <c r="AB579" s="196">
        <f t="shared" si="1561"/>
        <v>260572.05867040658</v>
      </c>
      <c r="AC579">
        <v>12.2</v>
      </c>
      <c r="AD579" s="196">
        <f t="shared" si="1562"/>
        <v>31789.791157789601</v>
      </c>
      <c r="AE579" s="196">
        <f t="shared" si="1479"/>
        <v>30200.301599900118</v>
      </c>
      <c r="AF579" s="196">
        <f t="shared" ref="AF579:AF610" si="1565">AE579*BT579</f>
        <v>0</v>
      </c>
      <c r="AG579" s="606">
        <f t="shared" si="1523"/>
        <v>1.3963293641711344E-3</v>
      </c>
      <c r="AH579" s="196">
        <f>AB579*0.05</f>
        <v>13028.602933520329</v>
      </c>
      <c r="AI579" s="248">
        <f t="shared" si="1503"/>
        <v>1.0093061289982224E-3</v>
      </c>
      <c r="AJ579" s="196">
        <f t="shared" si="1504"/>
        <v>44818.394091309929</v>
      </c>
      <c r="AK579" s="196">
        <f t="shared" si="1532"/>
        <v>10422.882346816263</v>
      </c>
      <c r="AL579" s="196">
        <f t="shared" si="1533"/>
        <v>10422.882346816263</v>
      </c>
      <c r="AM579" s="196">
        <f t="shared" si="1505"/>
        <v>20845.764693632525</v>
      </c>
      <c r="AN579" s="627">
        <f t="shared" si="1506"/>
        <v>1.0093061289982224E-3</v>
      </c>
      <c r="AO579" s="196">
        <f t="shared" si="1507"/>
        <v>9901.7382294754498</v>
      </c>
      <c r="AP579" s="589">
        <f t="shared" si="1524"/>
        <v>1.0093061289982224E-3</v>
      </c>
      <c r="AQ579" s="196"/>
      <c r="AR579" s="589"/>
      <c r="AS579">
        <v>1</v>
      </c>
      <c r="AT579" s="589">
        <f t="shared" si="1525"/>
        <v>1.2919896640826874E-3</v>
      </c>
      <c r="AU579" s="196">
        <v>11</v>
      </c>
      <c r="AV579" s="245">
        <f t="shared" si="1536"/>
        <v>1.2498579706851495E-3</v>
      </c>
      <c r="AX579" s="245"/>
      <c r="AY579" s="245"/>
      <c r="AZ579" s="196">
        <v>14</v>
      </c>
      <c r="BA579" s="589">
        <f t="shared" si="1425"/>
        <v>5.1298963028104507E-4</v>
      </c>
      <c r="BI579" s="196">
        <v>1</v>
      </c>
      <c r="BJ579" s="196">
        <f t="shared" ref="BJ579:BJ609" si="1566">AB579/7311230*4061795</f>
        <v>144762.27461687897</v>
      </c>
      <c r="BK579" s="246">
        <f t="shared" si="1426"/>
        <v>2.7605292363385311E-3</v>
      </c>
      <c r="BL579" s="196">
        <f>BJ579/50</f>
        <v>2895.2454923375794</v>
      </c>
      <c r="BM579" s="246">
        <f t="shared" si="1427"/>
        <v>2.7605289204888053E-3</v>
      </c>
      <c r="BN579" s="196">
        <v>0</v>
      </c>
      <c r="BO579" s="196">
        <f t="shared" ref="BO579:BO609" si="1567">AJ579/1257532*329840</f>
        <v>11755.485432639223</v>
      </c>
      <c r="BP579" s="196">
        <f t="shared" si="1508"/>
        <v>0</v>
      </c>
      <c r="BQ579" s="248">
        <f t="shared" si="1428"/>
        <v>0</v>
      </c>
      <c r="BR579" s="248"/>
      <c r="BS579" s="248"/>
      <c r="BT579" s="276">
        <v>0</v>
      </c>
      <c r="BU579" s="196">
        <f t="shared" ref="BU579:BU609" si="1568">AD579*BT579*0.18*4</f>
        <v>0</v>
      </c>
      <c r="BV579" s="264">
        <f t="shared" si="1429"/>
        <v>0</v>
      </c>
      <c r="BW579" s="196">
        <f t="shared" ref="BW579:BW609" si="1569">AD579*BT579*0.77*4</f>
        <v>0</v>
      </c>
      <c r="BX579" s="247">
        <f t="shared" si="1430"/>
        <v>0</v>
      </c>
      <c r="BY579" s="196">
        <f t="shared" ref="BY579:BY609" si="1570">BU579+BW579</f>
        <v>0</v>
      </c>
      <c r="BZ579" s="620">
        <v>1</v>
      </c>
      <c r="CA579" s="196">
        <f t="shared" ref="CA579:CA620" si="1571">AK579*0.85*0.75*12</f>
        <v>79735.049953144422</v>
      </c>
      <c r="CB579" s="196">
        <f t="shared" ref="CB579:CB620" si="1572">AL579*0.85*0.75*2*12</f>
        <v>159470.09990628884</v>
      </c>
      <c r="CC579" s="196">
        <f t="shared" si="1521"/>
        <v>239205.14985943327</v>
      </c>
      <c r="CD579" s="247">
        <f t="shared" si="1509"/>
        <v>1.0093061289982224E-3</v>
      </c>
      <c r="CE579" s="196">
        <f t="shared" ref="CE579:CE609" si="1573">AH579/365562*500961</f>
        <v>17854.213387002143</v>
      </c>
      <c r="CF579" s="247">
        <f t="shared" si="1510"/>
        <v>7.7100045968429788E-4</v>
      </c>
      <c r="CG579" s="196">
        <f t="shared" si="1538"/>
        <v>39606.952917901799</v>
      </c>
      <c r="CH579" s="589">
        <f t="shared" si="1526"/>
        <v>1.0093061289982224E-3</v>
      </c>
      <c r="CI579" s="196">
        <f t="shared" ref="CI579:CI609" si="1574">AD579/891970*2014726</f>
        <v>71804.790273404724</v>
      </c>
      <c r="CJ579" s="248">
        <f t="shared" si="1527"/>
        <v>1.1804705698301176E-3</v>
      </c>
      <c r="CK579" s="196">
        <f t="shared" ref="CK579:CK609" si="1575">AD579/891970*1630500</f>
        <v>58110.984094505358</v>
      </c>
      <c r="CL579" s="589">
        <f t="shared" si="1528"/>
        <v>8.3535734927798599E-4</v>
      </c>
      <c r="CM579" s="196">
        <f t="shared" ref="CM579:CM609" si="1576">AD579/891970*157955</f>
        <v>5629.5127216483252</v>
      </c>
      <c r="CN579" s="589">
        <f t="shared" si="1529"/>
        <v>8.1127676063712283E-4</v>
      </c>
      <c r="CO579" s="196">
        <f t="shared" ref="CO579:CO609" si="1577">AD579/891970*12636</f>
        <v>450.34676174067448</v>
      </c>
      <c r="CP579" s="589">
        <f t="shared" si="1530"/>
        <v>8.4928462647176038E-4</v>
      </c>
      <c r="CQ579" s="196">
        <f>'Detailed Budget'!$AC$12</f>
        <v>292876014141.44696</v>
      </c>
      <c r="CR579" s="269">
        <f t="shared" si="1534"/>
        <v>808492799.65976143</v>
      </c>
      <c r="CS579" s="269">
        <f>'Detailed Budget'!$AC$16</f>
        <v>10488008800.000002</v>
      </c>
      <c r="CT579" s="607">
        <f t="shared" si="1539"/>
        <v>28952451.610741097</v>
      </c>
      <c r="CU579" s="269">
        <f>'Detailed Budget'!$AC$24</f>
        <v>30624985696</v>
      </c>
      <c r="CV579" s="269">
        <f t="shared" si="1424"/>
        <v>84541168.376257315</v>
      </c>
      <c r="CW579" s="269"/>
      <c r="CX579" s="269">
        <f t="shared" si="1522"/>
        <v>921986419.64675987</v>
      </c>
      <c r="CY579" s="196">
        <f>'Detailed Budget'!$AC$97</f>
        <v>74629165494.837845</v>
      </c>
      <c r="CZ579" s="269">
        <f t="shared" si="1540"/>
        <v>0</v>
      </c>
      <c r="DA579" s="269">
        <f>'Detailed Budget'!$AC$100</f>
        <v>14925833098.967569</v>
      </c>
      <c r="DB579" s="269">
        <f t="shared" si="1541"/>
        <v>0</v>
      </c>
      <c r="DC579" s="269">
        <f t="shared" si="1511"/>
        <v>0</v>
      </c>
      <c r="DD579" s="207">
        <v>0</v>
      </c>
      <c r="DE579" s="606">
        <v>0</v>
      </c>
      <c r="DF579" s="269">
        <f>'Detailed Budget'!$AC$147</f>
        <v>5913600671000</v>
      </c>
      <c r="DG579" s="269">
        <f t="shared" si="1419"/>
        <v>0</v>
      </c>
      <c r="DH579" s="269">
        <f>'Detailed Budget'!$AC$153</f>
        <v>226428026880.00003</v>
      </c>
      <c r="DI579" s="269"/>
      <c r="DJ579" s="269">
        <f>'Detailed Budget'!$AC$156</f>
        <v>27713070000</v>
      </c>
      <c r="DK579" s="269"/>
      <c r="DL579" s="269"/>
      <c r="DM579" s="196">
        <f>'Detailed Budget'!$AC$178</f>
        <v>5622683761.6229038</v>
      </c>
      <c r="DN579" s="269">
        <f t="shared" ref="DN579:DN609" si="1578">BT579*BV579*DM579</f>
        <v>0</v>
      </c>
      <c r="DO579" s="196">
        <f>'Detailed Budget'!$AC$179</f>
        <v>26827890683.128094</v>
      </c>
      <c r="DP579" s="269">
        <f t="shared" ref="DP579:DP609" si="1579">BT579*BX579*DO579</f>
        <v>0</v>
      </c>
      <c r="DQ579" s="269">
        <f t="shared" si="1531"/>
        <v>0</v>
      </c>
      <c r="DR579" s="269">
        <f>'Detailed Budget'!$AC$181</f>
        <v>50888946855.375237</v>
      </c>
      <c r="DS579" s="269">
        <f t="shared" ref="DS579:DS609" si="1580">BT579*AG579*DR579</f>
        <v>0</v>
      </c>
      <c r="DT579" s="269">
        <f t="shared" ref="DT579:DT609" si="1581">DQ579+DS579</f>
        <v>0</v>
      </c>
      <c r="DU579" s="272">
        <f>'Detailed Budget'!$AC$192</f>
        <v>77498869683.252869</v>
      </c>
      <c r="DV579" s="269">
        <f t="shared" si="1542"/>
        <v>78220084.161741644</v>
      </c>
      <c r="DW579" s="140">
        <f>'Detailed Budget'!$AC$194</f>
        <v>2684962805.4134097</v>
      </c>
      <c r="DX579" s="269">
        <f t="shared" si="1543"/>
        <v>2709949.4156360161</v>
      </c>
      <c r="DY579" s="607">
        <f t="shared" si="1512"/>
        <v>80930033.577377662</v>
      </c>
      <c r="DZ579" s="196">
        <f>'Detailed Budget'!$AC$198</f>
        <v>18732540018.380611</v>
      </c>
      <c r="EA579" s="269">
        <f t="shared" si="1544"/>
        <v>14442796.965225957</v>
      </c>
      <c r="EB579" s="196">
        <f>'Detailed Budget'!$AC$200</f>
        <v>4683135004.5951529</v>
      </c>
      <c r="EC579" s="269">
        <f t="shared" si="1545"/>
        <v>3610699.2413064893</v>
      </c>
      <c r="ED579" s="269">
        <f t="shared" si="1513"/>
        <v>18053496.206532449</v>
      </c>
      <c r="EE579" s="196">
        <f>'Detailed Budget'!$AC$161</f>
        <v>251147290106.36197</v>
      </c>
      <c r="EF579" s="269">
        <f t="shared" si="1546"/>
        <v>253484499.18564576</v>
      </c>
      <c r="EG579" s="196">
        <f>'Detailed Budget'!$AC$163</f>
        <v>15696705631.647623</v>
      </c>
      <c r="EH579" s="269">
        <f t="shared" si="1547"/>
        <v>15842781.19910286</v>
      </c>
      <c r="EI579" s="269">
        <f t="shared" si="1514"/>
        <v>269327280.38474864</v>
      </c>
      <c r="EJ579" s="196">
        <f>'Detailed Budget'!$AC$204</f>
        <v>45012172507.531975</v>
      </c>
      <c r="EK579" s="269">
        <f t="shared" si="1548"/>
        <v>53135544.929257825</v>
      </c>
      <c r="EL579" s="201">
        <f>'Detailed Budget'!$AC$206</f>
        <v>11253043126.882994</v>
      </c>
      <c r="EM579" s="269">
        <f t="shared" si="1549"/>
        <v>13283886.232314456</v>
      </c>
      <c r="EN579" s="269">
        <f t="shared" si="1515"/>
        <v>66419431.161572278</v>
      </c>
      <c r="EO579" s="140">
        <f>'Detailed Budget'!$AC$209</f>
        <v>135789361677.54817</v>
      </c>
      <c r="EP579" s="269">
        <f t="shared" si="1550"/>
        <v>113432641.23110637</v>
      </c>
      <c r="EQ579" s="196">
        <f>'Detailed Budget'!$AC$211</f>
        <v>33947340419.387043</v>
      </c>
      <c r="ER579" s="269">
        <f t="shared" si="1551"/>
        <v>28358160.307776593</v>
      </c>
      <c r="ES579" s="269">
        <f t="shared" si="1516"/>
        <v>141790801.53888297</v>
      </c>
      <c r="ET579" s="196">
        <f>'Detailed Budget'!$AC$214</f>
        <v>22239745544.201103</v>
      </c>
      <c r="EU579" s="269">
        <f t="shared" si="1552"/>
        <v>18042588.722493358</v>
      </c>
      <c r="EV579" s="140">
        <f>'Detailed Budget'!$AC$217</f>
        <v>5559936386.0502758</v>
      </c>
      <c r="EW579" s="269">
        <f t="shared" si="1553"/>
        <v>4510647.1806233395</v>
      </c>
      <c r="EX579" s="269">
        <f t="shared" si="1517"/>
        <v>22553235.903116696</v>
      </c>
      <c r="EY579" s="196">
        <f>'Detailed Budget'!$AC$219</f>
        <v>372777004.58170313</v>
      </c>
      <c r="EZ579" s="269">
        <f t="shared" si="1554"/>
        <v>316593.77909343346</v>
      </c>
      <c r="FA579" s="196">
        <f>'Detailed Budget'!$AC$222</f>
        <v>93194251.145425782</v>
      </c>
      <c r="FB579" s="269">
        <f t="shared" si="1555"/>
        <v>79148.444773358366</v>
      </c>
      <c r="FC579" s="269">
        <f t="shared" si="1518"/>
        <v>395742.22386679181</v>
      </c>
      <c r="FD579" s="269"/>
      <c r="FE579" s="269">
        <f t="shared" si="1519"/>
        <v>231159210.82743874</v>
      </c>
      <c r="FF579" s="140">
        <f>'Detailed Budget'!$AC$165</f>
        <v>14927760000</v>
      </c>
      <c r="FG579" s="1087">
        <f t="shared" si="1420"/>
        <v>315316464.88754648</v>
      </c>
      <c r="FH579" s="269">
        <f t="shared" si="1556"/>
        <v>18657579.820474949</v>
      </c>
      <c r="FJ579" s="140">
        <f>'Detailed Budget'!$AC$235</f>
        <v>3623696172</v>
      </c>
      <c r="FK579" s="269">
        <f t="shared" si="1557"/>
        <v>4681778</v>
      </c>
      <c r="FL579" s="269">
        <f t="shared" si="1421"/>
        <v>4681778</v>
      </c>
      <c r="FO579" s="607"/>
      <c r="FP579" s="607"/>
      <c r="FQ579" s="607"/>
      <c r="FR579" s="269">
        <f>'Detailed Budget'!$AC$257</f>
        <v>13636439388</v>
      </c>
      <c r="FS579" s="269">
        <f t="shared" si="1558"/>
        <v>6995352</v>
      </c>
      <c r="FT579" s="269">
        <f t="shared" si="1422"/>
        <v>6995352</v>
      </c>
      <c r="FU579" s="269"/>
      <c r="FV579" s="269"/>
      <c r="FW579" s="269"/>
      <c r="FX579" s="140">
        <f>'Detailed Budget'!$AC$278</f>
        <v>1114560000</v>
      </c>
      <c r="FY579" s="269">
        <f t="shared" si="1559"/>
        <v>1440000</v>
      </c>
      <c r="FZ579" s="269">
        <f t="shared" si="1423"/>
        <v>1440000</v>
      </c>
      <c r="GB579" s="269">
        <f t="shared" si="1431"/>
        <v>1868547615.350879</v>
      </c>
      <c r="GC579" s="887">
        <f t="shared" si="1520"/>
        <v>1167842.2595942994</v>
      </c>
      <c r="GD579" s="1078">
        <f t="shared" si="1432"/>
        <v>1.0485009058616194E-3</v>
      </c>
    </row>
    <row r="580" spans="1:186" hidden="1" outlineLevel="1">
      <c r="A580" s="211" t="s">
        <v>1269</v>
      </c>
      <c r="B580" s="212" t="s">
        <v>1270</v>
      </c>
      <c r="C580" s="213" t="s">
        <v>215</v>
      </c>
      <c r="D580" s="214"/>
      <c r="E580" s="213"/>
      <c r="F580" s="213"/>
      <c r="G580" s="213" t="s">
        <v>215</v>
      </c>
      <c r="H580" s="213" t="s">
        <v>215</v>
      </c>
      <c r="I580" s="214" t="s">
        <v>215</v>
      </c>
      <c r="J580" s="214"/>
      <c r="K580" s="213"/>
      <c r="L580" s="213"/>
      <c r="M580" s="214" t="s">
        <v>215</v>
      </c>
      <c r="N580" s="213"/>
      <c r="O580" s="214"/>
      <c r="P580" s="213"/>
      <c r="Q580" s="214"/>
      <c r="R580" s="214" t="s">
        <v>215</v>
      </c>
      <c r="S580" s="214"/>
      <c r="T580" s="214"/>
      <c r="U580" s="215">
        <f t="shared" si="1564"/>
        <v>6</v>
      </c>
      <c r="V580" s="845" t="s">
        <v>216</v>
      </c>
      <c r="W580" s="216">
        <v>59970</v>
      </c>
      <c r="X580" s="217">
        <v>3.36</v>
      </c>
      <c r="Y580" s="218">
        <f t="shared" si="1477"/>
        <v>1.0336000000000001</v>
      </c>
      <c r="Z580" s="196">
        <v>19</v>
      </c>
      <c r="AA580" s="218">
        <f t="shared" si="1478"/>
        <v>1.873689022502546</v>
      </c>
      <c r="AB580" s="196">
        <f t="shared" si="1561"/>
        <v>112365.13067947768</v>
      </c>
      <c r="AC580">
        <v>12.2</v>
      </c>
      <c r="AD580" s="196">
        <f t="shared" si="1562"/>
        <v>13708.545942896277</v>
      </c>
      <c r="AE580" s="196">
        <f t="shared" si="1479"/>
        <v>13023.118645751463</v>
      </c>
      <c r="AF580" s="196">
        <f t="shared" si="1565"/>
        <v>0</v>
      </c>
      <c r="AG580" s="606">
        <f t="shared" si="1523"/>
        <v>6.0213183361743409E-4</v>
      </c>
      <c r="AH580" s="196">
        <f t="shared" ref="AH580:AH609" si="1582">AB580*0.05</f>
        <v>5618.256533973884</v>
      </c>
      <c r="AI580" s="248">
        <f t="shared" si="1503"/>
        <v>4.3523782119684039E-4</v>
      </c>
      <c r="AJ580" s="196">
        <f t="shared" si="1504"/>
        <v>19326.802476870162</v>
      </c>
      <c r="AK580" s="196">
        <f t="shared" si="1532"/>
        <v>4494.6052271791068</v>
      </c>
      <c r="AL580" s="196">
        <f t="shared" si="1533"/>
        <v>4494.6052271791068</v>
      </c>
      <c r="AM580" s="196">
        <f t="shared" si="1505"/>
        <v>8989.2104543582136</v>
      </c>
      <c r="AN580" s="627">
        <f t="shared" si="1506"/>
        <v>4.3523782119684034E-4</v>
      </c>
      <c r="AO580" s="196">
        <f t="shared" si="1507"/>
        <v>4269.8749658201514</v>
      </c>
      <c r="AP580" s="589">
        <f t="shared" si="1524"/>
        <v>4.3523782119684034E-4</v>
      </c>
      <c r="AQ580" s="196"/>
      <c r="AR580" s="589"/>
      <c r="AS580">
        <v>1</v>
      </c>
      <c r="AT580" s="589">
        <f t="shared" si="1525"/>
        <v>1.2919896640826874E-3</v>
      </c>
      <c r="AU580" s="196">
        <v>10</v>
      </c>
      <c r="AV580" s="245">
        <f t="shared" si="1536"/>
        <v>1.1362345188046814E-3</v>
      </c>
      <c r="AX580" s="245"/>
      <c r="AY580" s="245"/>
      <c r="AZ580" s="196">
        <v>11</v>
      </c>
      <c r="BA580" s="589">
        <f t="shared" si="1425"/>
        <v>4.0306328093510683E-4</v>
      </c>
      <c r="BI580" s="196">
        <v>1</v>
      </c>
      <c r="BJ580" s="196">
        <f t="shared" si="1566"/>
        <v>62425.081137954759</v>
      </c>
      <c r="BK580" s="246">
        <f t="shared" si="1426"/>
        <v>1.1904086338667976E-3</v>
      </c>
      <c r="BL580" s="196">
        <f t="shared" ref="BL580:BL609" si="1583">BJ580/50</f>
        <v>1248.5016227590952</v>
      </c>
      <c r="BM580" s="246">
        <f t="shared" si="1427"/>
        <v>1.1904084976645667E-3</v>
      </c>
      <c r="BN580" s="196">
        <v>0</v>
      </c>
      <c r="BO580" s="196">
        <f t="shared" si="1567"/>
        <v>5069.2567099452372</v>
      </c>
      <c r="BP580" s="196">
        <f t="shared" si="1508"/>
        <v>0</v>
      </c>
      <c r="BQ580" s="248">
        <f t="shared" si="1428"/>
        <v>0</v>
      </c>
      <c r="BR580" s="248"/>
      <c r="BS580" s="248"/>
      <c r="BT580" s="276">
        <v>0</v>
      </c>
      <c r="BU580" s="196">
        <f t="shared" si="1568"/>
        <v>0</v>
      </c>
      <c r="BV580" s="264">
        <f t="shared" si="1429"/>
        <v>0</v>
      </c>
      <c r="BW580" s="196">
        <f t="shared" si="1569"/>
        <v>0</v>
      </c>
      <c r="BX580" s="247">
        <f t="shared" si="1430"/>
        <v>0</v>
      </c>
      <c r="BY580" s="196">
        <f t="shared" si="1570"/>
        <v>0</v>
      </c>
      <c r="BZ580" s="620">
        <v>1</v>
      </c>
      <c r="CA580" s="196">
        <f t="shared" si="1571"/>
        <v>34383.729987920167</v>
      </c>
      <c r="CB580" s="196">
        <f t="shared" si="1572"/>
        <v>68767.459975840335</v>
      </c>
      <c r="CC580" s="196">
        <f t="shared" si="1521"/>
        <v>103151.18996376049</v>
      </c>
      <c r="CD580" s="247">
        <f t="shared" si="1509"/>
        <v>4.3523782119684029E-4</v>
      </c>
      <c r="CE580" s="196">
        <f t="shared" si="1573"/>
        <v>7699.1793772768806</v>
      </c>
      <c r="CF580" s="247">
        <f t="shared" si="1510"/>
        <v>3.3247450954035297E-4</v>
      </c>
      <c r="CG580" s="196">
        <f t="shared" si="1538"/>
        <v>17079.499863280605</v>
      </c>
      <c r="CH580" s="589">
        <f t="shared" si="1526"/>
        <v>4.3523782119684034E-4</v>
      </c>
      <c r="CI580" s="196">
        <f t="shared" si="1574"/>
        <v>30964.005441155696</v>
      </c>
      <c r="CJ580" s="248">
        <f t="shared" si="1527"/>
        <v>5.0904817085556202E-4</v>
      </c>
      <c r="CK580" s="196">
        <f t="shared" si="1575"/>
        <v>25058.896778918999</v>
      </c>
      <c r="CL580" s="589">
        <f t="shared" si="1528"/>
        <v>3.6022679559212203E-4</v>
      </c>
      <c r="CM580" s="196">
        <f t="shared" si="1576"/>
        <v>2427.5854282208834</v>
      </c>
      <c r="CN580" s="589">
        <f t="shared" si="1529"/>
        <v>3.4984264886788754E-4</v>
      </c>
      <c r="CO580" s="196">
        <f t="shared" si="1577"/>
        <v>194.20068672089573</v>
      </c>
      <c r="CP580" s="589">
        <f t="shared" si="1530"/>
        <v>3.6623258274318121E-4</v>
      </c>
      <c r="CQ580" s="196">
        <f>'Detailed Budget'!$AC$12</f>
        <v>292876014141.44696</v>
      </c>
      <c r="CR580" s="269">
        <f t="shared" si="1534"/>
        <v>348642135.88647276</v>
      </c>
      <c r="CS580" s="269">
        <f>'Detailed Budget'!$AC$16</f>
        <v>10488008800.000002</v>
      </c>
      <c r="CT580" s="607">
        <f t="shared" si="1539"/>
        <v>12485014.799100757</v>
      </c>
      <c r="CU580" s="269">
        <f>'Detailed Budget'!$AC$24</f>
        <v>30624985696</v>
      </c>
      <c r="CV580" s="269">
        <f t="shared" si="1424"/>
        <v>36456247.384565577</v>
      </c>
      <c r="CW580" s="269"/>
      <c r="CX580" s="269">
        <f t="shared" si="1522"/>
        <v>397583398.07013911</v>
      </c>
      <c r="CY580" s="196">
        <f>'Detailed Budget'!$AC$97</f>
        <v>74629165494.837845</v>
      </c>
      <c r="CZ580" s="269">
        <f t="shared" si="1540"/>
        <v>0</v>
      </c>
      <c r="DA580" s="269">
        <f>'Detailed Budget'!$AC$100</f>
        <v>14925833098.967569</v>
      </c>
      <c r="DB580" s="269">
        <f t="shared" si="1541"/>
        <v>0</v>
      </c>
      <c r="DC580" s="269">
        <f t="shared" si="1511"/>
        <v>0</v>
      </c>
      <c r="DD580" s="207">
        <v>0</v>
      </c>
      <c r="DE580" s="606">
        <v>0</v>
      </c>
      <c r="DF580" s="269">
        <f>'Detailed Budget'!$AC$147</f>
        <v>5913600671000</v>
      </c>
      <c r="DG580" s="269">
        <f t="shared" si="1419"/>
        <v>0</v>
      </c>
      <c r="DH580" s="269">
        <f>'Detailed Budget'!$AC$153</f>
        <v>226428026880.00003</v>
      </c>
      <c r="DI580" s="269"/>
      <c r="DJ580" s="269">
        <f>'Detailed Budget'!$AC$156</f>
        <v>27713070000</v>
      </c>
      <c r="DK580" s="269"/>
      <c r="DL580" s="269"/>
      <c r="DM580" s="196">
        <f>'Detailed Budget'!$AC$178</f>
        <v>5622683761.6229038</v>
      </c>
      <c r="DN580" s="269">
        <f t="shared" si="1578"/>
        <v>0</v>
      </c>
      <c r="DO580" s="196">
        <f>'Detailed Budget'!$AC$179</f>
        <v>26827890683.128094</v>
      </c>
      <c r="DP580" s="269">
        <f t="shared" si="1579"/>
        <v>0</v>
      </c>
      <c r="DQ580" s="269">
        <f t="shared" si="1531"/>
        <v>0</v>
      </c>
      <c r="DR580" s="269">
        <f>'Detailed Budget'!$AC$181</f>
        <v>50888946855.375237</v>
      </c>
      <c r="DS580" s="269">
        <f t="shared" si="1580"/>
        <v>0</v>
      </c>
      <c r="DT580" s="269">
        <f t="shared" si="1581"/>
        <v>0</v>
      </c>
      <c r="DU580" s="272">
        <f>'Detailed Budget'!$AC$192</f>
        <v>77498869683.252869</v>
      </c>
      <c r="DV580" s="269">
        <f t="shared" si="1542"/>
        <v>33730439.186156839</v>
      </c>
      <c r="DW580" s="140">
        <f>'Detailed Budget'!$AC$194</f>
        <v>2684962805.4134097</v>
      </c>
      <c r="DX580" s="269">
        <f t="shared" si="1543"/>
        <v>1168597.3614226885</v>
      </c>
      <c r="DY580" s="607">
        <f t="shared" si="1512"/>
        <v>34899036.547579527</v>
      </c>
      <c r="DZ580" s="196">
        <f>'Detailed Budget'!$AC$198</f>
        <v>18732540018.380611</v>
      </c>
      <c r="EA580" s="269">
        <f t="shared" si="1544"/>
        <v>6228092.0550561287</v>
      </c>
      <c r="EB580" s="196">
        <f>'Detailed Budget'!$AC$200</f>
        <v>4683135004.5951529</v>
      </c>
      <c r="EC580" s="269">
        <f t="shared" si="1545"/>
        <v>1557023.0137640322</v>
      </c>
      <c r="ED580" s="269">
        <f t="shared" si="1513"/>
        <v>7785115.0688201608</v>
      </c>
      <c r="EE580" s="196">
        <f>'Detailed Budget'!$AC$161</f>
        <v>251147290106.36197</v>
      </c>
      <c r="EF580" s="269">
        <f t="shared" si="1546"/>
        <v>109308799.34538376</v>
      </c>
      <c r="EG580" s="196">
        <f>'Detailed Budget'!$AC$163</f>
        <v>15696705631.647623</v>
      </c>
      <c r="EH580" s="269">
        <f t="shared" si="1547"/>
        <v>6831799.9590864852</v>
      </c>
      <c r="EI580" s="269">
        <f t="shared" si="1514"/>
        <v>116140599.30447024</v>
      </c>
      <c r="EJ580" s="196">
        <f>'Detailed Budget'!$AC$204</f>
        <v>45012172507.531975</v>
      </c>
      <c r="EK580" s="269">
        <f t="shared" si="1548"/>
        <v>22913364.08119417</v>
      </c>
      <c r="EL580" s="201">
        <f>'Detailed Budget'!$AC$206</f>
        <v>11253043126.882994</v>
      </c>
      <c r="EM580" s="269">
        <f t="shared" si="1549"/>
        <v>5728341.0202985425</v>
      </c>
      <c r="EN580" s="269">
        <f t="shared" si="1515"/>
        <v>28641705.10149271</v>
      </c>
      <c r="EO580" s="140">
        <f>'Detailed Budget'!$AC$209</f>
        <v>135789361677.54817</v>
      </c>
      <c r="EP580" s="269">
        <f t="shared" si="1550"/>
        <v>48914966.63260287</v>
      </c>
      <c r="EQ580" s="196">
        <f>'Detailed Budget'!$AC$211</f>
        <v>33947340419.387043</v>
      </c>
      <c r="ER580" s="269">
        <f t="shared" si="1551"/>
        <v>12228741.658150718</v>
      </c>
      <c r="ES580" s="269">
        <f t="shared" si="1516"/>
        <v>61143708.290753588</v>
      </c>
      <c r="ET580" s="196">
        <f>'Detailed Budget'!$AC$214</f>
        <v>22239745544.201103</v>
      </c>
      <c r="EU580" s="269">
        <f t="shared" si="1552"/>
        <v>7780411.4913311126</v>
      </c>
      <c r="EV580" s="140">
        <f>'Detailed Budget'!$AC$217</f>
        <v>5559936386.0502758</v>
      </c>
      <c r="EW580" s="269">
        <f t="shared" si="1553"/>
        <v>1945102.8728327781</v>
      </c>
      <c r="EX580" s="269">
        <f t="shared" si="1517"/>
        <v>9725514.3641638905</v>
      </c>
      <c r="EY580" s="196">
        <f>'Detailed Budget'!$AC$219</f>
        <v>372777004.58170313</v>
      </c>
      <c r="EZ580" s="269">
        <f t="shared" si="1554"/>
        <v>136523.08517522382</v>
      </c>
      <c r="FA580" s="196">
        <f>'Detailed Budget'!$AC$222</f>
        <v>93194251.145425782</v>
      </c>
      <c r="FB580" s="269">
        <f t="shared" si="1555"/>
        <v>34130.771293805956</v>
      </c>
      <c r="FC580" s="269">
        <f t="shared" si="1518"/>
        <v>170653.85646902979</v>
      </c>
      <c r="FD580" s="269"/>
      <c r="FE580" s="269">
        <f t="shared" si="1519"/>
        <v>99681581.612879232</v>
      </c>
      <c r="FF580" s="140">
        <f>'Detailed Budget'!$AC$165</f>
        <v>14927760000</v>
      </c>
      <c r="FG580" s="1087">
        <f t="shared" si="1420"/>
        <v>135972275.62797001</v>
      </c>
      <c r="FH580" s="269">
        <f t="shared" si="1556"/>
        <v>16961436.200431772</v>
      </c>
      <c r="FJ580" s="140">
        <f>'Detailed Budget'!$AC$235</f>
        <v>3623696172</v>
      </c>
      <c r="FK580" s="269">
        <f t="shared" si="1557"/>
        <v>4681778</v>
      </c>
      <c r="FL580" s="269">
        <f t="shared" si="1421"/>
        <v>4681778</v>
      </c>
      <c r="FO580" s="607"/>
      <c r="FP580" s="607"/>
      <c r="FQ580" s="607"/>
      <c r="FR580" s="269">
        <f>'Detailed Budget'!$AC$257</f>
        <v>13636439388</v>
      </c>
      <c r="FS580" s="269">
        <f t="shared" si="1558"/>
        <v>5496348</v>
      </c>
      <c r="FT580" s="269">
        <f t="shared" si="1422"/>
        <v>5496348</v>
      </c>
      <c r="FU580" s="269"/>
      <c r="FV580" s="269"/>
      <c r="FW580" s="269"/>
      <c r="FX580" s="140">
        <f>'Detailed Budget'!$AC$278</f>
        <v>1114560000</v>
      </c>
      <c r="FY580" s="269">
        <f t="shared" si="1559"/>
        <v>1440000</v>
      </c>
      <c r="FZ580" s="269">
        <f t="shared" si="1423"/>
        <v>1440000</v>
      </c>
      <c r="GB580" s="269">
        <f t="shared" si="1431"/>
        <v>820641568.43229008</v>
      </c>
      <c r="GC580" s="887">
        <f t="shared" si="1520"/>
        <v>512900.98027018132</v>
      </c>
      <c r="GD580" s="1078">
        <f t="shared" si="1432"/>
        <v>4.6048782531419777E-4</v>
      </c>
    </row>
    <row r="581" spans="1:186" hidden="1" outlineLevel="1">
      <c r="A581" s="211" t="s">
        <v>1271</v>
      </c>
      <c r="B581" s="212" t="s">
        <v>1272</v>
      </c>
      <c r="C581" s="213" t="s">
        <v>215</v>
      </c>
      <c r="D581" s="214"/>
      <c r="E581" s="213"/>
      <c r="F581" s="213"/>
      <c r="G581" s="213" t="s">
        <v>215</v>
      </c>
      <c r="H581" s="213" t="s">
        <v>215</v>
      </c>
      <c r="I581" s="214" t="s">
        <v>215</v>
      </c>
      <c r="J581" s="214"/>
      <c r="K581" s="213"/>
      <c r="L581" s="213"/>
      <c r="M581" s="214" t="s">
        <v>215</v>
      </c>
      <c r="N581" s="213"/>
      <c r="O581" s="214"/>
      <c r="P581" s="213"/>
      <c r="Q581" s="214"/>
      <c r="R581" s="214" t="s">
        <v>215</v>
      </c>
      <c r="S581" s="214"/>
      <c r="T581" s="214"/>
      <c r="U581" s="215">
        <f t="shared" si="1564"/>
        <v>6</v>
      </c>
      <c r="V581" s="845" t="s">
        <v>216</v>
      </c>
      <c r="W581" s="216">
        <v>172856</v>
      </c>
      <c r="X581" s="217">
        <v>3.36</v>
      </c>
      <c r="Y581" s="218">
        <f t="shared" si="1477"/>
        <v>1.0336000000000001</v>
      </c>
      <c r="Z581" s="196">
        <v>19</v>
      </c>
      <c r="AA581" s="218">
        <f t="shared" si="1478"/>
        <v>1.873689022502546</v>
      </c>
      <c r="AB581" s="196">
        <f t="shared" si="1561"/>
        <v>323878.38967370009</v>
      </c>
      <c r="AC581">
        <v>12.2</v>
      </c>
      <c r="AD581" s="196">
        <f t="shared" si="1562"/>
        <v>39513.16354019141</v>
      </c>
      <c r="AE581" s="196">
        <f t="shared" si="1479"/>
        <v>37537.505363181837</v>
      </c>
      <c r="AF581" s="196">
        <f t="shared" si="1565"/>
        <v>0</v>
      </c>
      <c r="AG581" s="606">
        <f t="shared" si="1523"/>
        <v>1.7355694552572149E-3</v>
      </c>
      <c r="AH581" s="196">
        <f t="shared" si="1582"/>
        <v>16193.919483685006</v>
      </c>
      <c r="AI581" s="248">
        <f t="shared" si="1503"/>
        <v>1.2545184062164589E-3</v>
      </c>
      <c r="AJ581" s="196">
        <f t="shared" si="1504"/>
        <v>55707.083023876417</v>
      </c>
      <c r="AK581" s="196">
        <f t="shared" si="1532"/>
        <v>12955.135586948003</v>
      </c>
      <c r="AL581" s="196">
        <f t="shared" si="1533"/>
        <v>12955.135586948003</v>
      </c>
      <c r="AM581" s="196">
        <f t="shared" si="1505"/>
        <v>25910.271173896006</v>
      </c>
      <c r="AN581" s="627">
        <f t="shared" si="1506"/>
        <v>1.2545184062164589E-3</v>
      </c>
      <c r="AO581" s="196">
        <f t="shared" si="1507"/>
        <v>12307.378807600604</v>
      </c>
      <c r="AP581" s="589">
        <f t="shared" si="1524"/>
        <v>1.2545184062164589E-3</v>
      </c>
      <c r="AQ581" s="196"/>
      <c r="AR581" s="589"/>
      <c r="AS581">
        <v>1</v>
      </c>
      <c r="AT581" s="589">
        <f t="shared" si="1525"/>
        <v>1.2919896640826874E-3</v>
      </c>
      <c r="AU581" s="196">
        <v>11</v>
      </c>
      <c r="AV581" s="245">
        <f t="shared" si="1536"/>
        <v>1.2498579706851495E-3</v>
      </c>
      <c r="AX581" s="245"/>
      <c r="AY581" s="245"/>
      <c r="AZ581" s="196">
        <v>15</v>
      </c>
      <c r="BA581" s="589">
        <f t="shared" si="1425"/>
        <v>5.4963174672969107E-4</v>
      </c>
      <c r="BI581" s="196">
        <v>1</v>
      </c>
      <c r="BJ581" s="196">
        <f t="shared" si="1566"/>
        <v>179932.46331803084</v>
      </c>
      <c r="BK581" s="246">
        <f t="shared" si="1426"/>
        <v>3.4312035153523297E-3</v>
      </c>
      <c r="BL581" s="196">
        <f t="shared" si="1583"/>
        <v>3598.6492663606168</v>
      </c>
      <c r="BM581" s="246">
        <f t="shared" si="1427"/>
        <v>3.4312031227664895E-3</v>
      </c>
      <c r="BN581" s="196">
        <v>0</v>
      </c>
      <c r="BO581" s="196">
        <f t="shared" si="1567"/>
        <v>14611.496379094446</v>
      </c>
      <c r="BP581" s="196">
        <f t="shared" si="1508"/>
        <v>0</v>
      </c>
      <c r="BQ581" s="248">
        <f t="shared" si="1428"/>
        <v>0</v>
      </c>
      <c r="BR581" s="248"/>
      <c r="BS581" s="248"/>
      <c r="BT581" s="276">
        <v>0</v>
      </c>
      <c r="BU581" s="196">
        <f t="shared" si="1568"/>
        <v>0</v>
      </c>
      <c r="BV581" s="264">
        <f t="shared" si="1429"/>
        <v>0</v>
      </c>
      <c r="BW581" s="196">
        <f t="shared" si="1569"/>
        <v>0</v>
      </c>
      <c r="BX581" s="247">
        <f t="shared" si="1430"/>
        <v>0</v>
      </c>
      <c r="BY581" s="196">
        <f t="shared" si="1570"/>
        <v>0</v>
      </c>
      <c r="BZ581" s="620">
        <v>1</v>
      </c>
      <c r="CA581" s="196">
        <f t="shared" si="1571"/>
        <v>99106.787240152218</v>
      </c>
      <c r="CB581" s="196">
        <f t="shared" si="1572"/>
        <v>198213.57448030444</v>
      </c>
      <c r="CC581" s="196">
        <f t="shared" si="1521"/>
        <v>297320.36172045663</v>
      </c>
      <c r="CD581" s="247">
        <f t="shared" si="1509"/>
        <v>1.2545184062164587E-3</v>
      </c>
      <c r="CE581" s="196">
        <f t="shared" si="1573"/>
        <v>22191.918466542815</v>
      </c>
      <c r="CF581" s="247">
        <f t="shared" si="1510"/>
        <v>9.5831605504597729E-4</v>
      </c>
      <c r="CG581" s="196">
        <f t="shared" si="1538"/>
        <v>49229.515230402416</v>
      </c>
      <c r="CH581" s="589">
        <f t="shared" si="1526"/>
        <v>1.2545184062164589E-3</v>
      </c>
      <c r="CI581" s="196">
        <f t="shared" si="1574"/>
        <v>89249.860339109699</v>
      </c>
      <c r="CJ581" s="248">
        <f t="shared" si="1527"/>
        <v>1.4672674774288649E-3</v>
      </c>
      <c r="CK581" s="196">
        <f t="shared" si="1575"/>
        <v>72229.125589741903</v>
      </c>
      <c r="CL581" s="589">
        <f t="shared" si="1528"/>
        <v>1.0383085372498223E-3</v>
      </c>
      <c r="CM581" s="196">
        <f t="shared" si="1576"/>
        <v>6997.2103848682509</v>
      </c>
      <c r="CN581" s="589">
        <f t="shared" si="1529"/>
        <v>1.0083775373137831E-3</v>
      </c>
      <c r="CO581" s="196">
        <f t="shared" si="1577"/>
        <v>559.7591112860955</v>
      </c>
      <c r="CP581" s="589">
        <f t="shared" si="1530"/>
        <v>1.0556194651101438E-3</v>
      </c>
      <c r="CQ581" s="196">
        <f>'Detailed Budget'!$AC$12</f>
        <v>292876014141.44696</v>
      </c>
      <c r="CR581" s="269">
        <f t="shared" si="1534"/>
        <v>1004917209.2845114</v>
      </c>
      <c r="CS581" s="269">
        <f>'Detailed Budget'!$AC$16</f>
        <v>10488008800.000002</v>
      </c>
      <c r="CT581" s="607">
        <f t="shared" si="1539"/>
        <v>35986488.546162426</v>
      </c>
      <c r="CU581" s="269">
        <f>'Detailed Budget'!$AC$24</f>
        <v>30624985696</v>
      </c>
      <c r="CV581" s="269">
        <f t="shared" si="1424"/>
        <v>105080558.57773001</v>
      </c>
      <c r="CW581" s="269"/>
      <c r="CX581" s="269">
        <f t="shared" si="1522"/>
        <v>1145984256.4084039</v>
      </c>
      <c r="CY581" s="196">
        <f>'Detailed Budget'!$AC$97</f>
        <v>74629165494.837845</v>
      </c>
      <c r="CZ581" s="269">
        <f t="shared" si="1540"/>
        <v>0</v>
      </c>
      <c r="DA581" s="269">
        <f>'Detailed Budget'!$AC$100</f>
        <v>14925833098.967569</v>
      </c>
      <c r="DB581" s="269">
        <f t="shared" si="1541"/>
        <v>0</v>
      </c>
      <c r="DC581" s="269">
        <f t="shared" si="1511"/>
        <v>0</v>
      </c>
      <c r="DD581" s="207">
        <v>0</v>
      </c>
      <c r="DE581" s="606">
        <v>0</v>
      </c>
      <c r="DF581" s="269">
        <f>'Detailed Budget'!$AC$147</f>
        <v>5913600671000</v>
      </c>
      <c r="DG581" s="269">
        <f t="shared" si="1419"/>
        <v>0</v>
      </c>
      <c r="DH581" s="269">
        <f>'Detailed Budget'!$AC$153</f>
        <v>226428026880.00003</v>
      </c>
      <c r="DI581" s="269"/>
      <c r="DJ581" s="269">
        <f>'Detailed Budget'!$AC$156</f>
        <v>27713070000</v>
      </c>
      <c r="DK581" s="269"/>
      <c r="DL581" s="269"/>
      <c r="DM581" s="196">
        <f>'Detailed Budget'!$AC$178</f>
        <v>5622683761.6229038</v>
      </c>
      <c r="DN581" s="269">
        <f t="shared" si="1578"/>
        <v>0</v>
      </c>
      <c r="DO581" s="196">
        <f>'Detailed Budget'!$AC$179</f>
        <v>26827890683.128094</v>
      </c>
      <c r="DP581" s="269">
        <f t="shared" si="1579"/>
        <v>0</v>
      </c>
      <c r="DQ581" s="269">
        <f t="shared" si="1531"/>
        <v>0</v>
      </c>
      <c r="DR581" s="269">
        <f>'Detailed Budget'!$AC$181</f>
        <v>50888946855.375237</v>
      </c>
      <c r="DS581" s="269">
        <f t="shared" si="1580"/>
        <v>0</v>
      </c>
      <c r="DT581" s="269">
        <f t="shared" si="1581"/>
        <v>0</v>
      </c>
      <c r="DU581" s="272">
        <f>'Detailed Budget'!$AC$192</f>
        <v>77498869683.252869</v>
      </c>
      <c r="DV581" s="269">
        <f t="shared" si="1542"/>
        <v>97223758.478611425</v>
      </c>
      <c r="DW581" s="140">
        <f>'Detailed Budget'!$AC$194</f>
        <v>2684962805.4134097</v>
      </c>
      <c r="DX581" s="269">
        <f t="shared" si="1543"/>
        <v>3368335.2593977032</v>
      </c>
      <c r="DY581" s="607">
        <f t="shared" si="1512"/>
        <v>100592093.73800912</v>
      </c>
      <c r="DZ581" s="196">
        <f>'Detailed Budget'!$AC$198</f>
        <v>18732540018.380611</v>
      </c>
      <c r="EA581" s="269">
        <f t="shared" si="1544"/>
        <v>17951693.851405408</v>
      </c>
      <c r="EB581" s="196">
        <f>'Detailed Budget'!$AC$200</f>
        <v>4683135004.5951529</v>
      </c>
      <c r="EC581" s="269">
        <f t="shared" si="1545"/>
        <v>4487923.4628513521</v>
      </c>
      <c r="ED581" s="269">
        <f t="shared" si="1513"/>
        <v>22439617.314256761</v>
      </c>
      <c r="EE581" s="196">
        <f>'Detailed Budget'!$AC$161</f>
        <v>251147290106.36197</v>
      </c>
      <c r="EF581" s="269">
        <f t="shared" si="1546"/>
        <v>315068898.1098159</v>
      </c>
      <c r="EG581" s="196">
        <f>'Detailed Budget'!$AC$163</f>
        <v>15696705631.647623</v>
      </c>
      <c r="EH581" s="269">
        <f t="shared" si="1547"/>
        <v>19691806.131863493</v>
      </c>
      <c r="EI581" s="269">
        <f t="shared" si="1514"/>
        <v>334760704.24167937</v>
      </c>
      <c r="EJ581" s="196">
        <f>'Detailed Budget'!$AC$204</f>
        <v>45012172507.531975</v>
      </c>
      <c r="EK581" s="269">
        <f t="shared" si="1548"/>
        <v>66044896.808719344</v>
      </c>
      <c r="EL581" s="201">
        <f>'Detailed Budget'!$AC$206</f>
        <v>11253043126.882994</v>
      </c>
      <c r="EM581" s="269">
        <f t="shared" si="1549"/>
        <v>16511224.202179836</v>
      </c>
      <c r="EN581" s="269">
        <f t="shared" si="1515"/>
        <v>82556121.010899186</v>
      </c>
      <c r="EO581" s="140">
        <f>'Detailed Budget'!$AC$209</f>
        <v>135789361677.54817</v>
      </c>
      <c r="EP581" s="269">
        <f t="shared" si="1550"/>
        <v>140991253.49750212</v>
      </c>
      <c r="EQ581" s="196">
        <f>'Detailed Budget'!$AC$211</f>
        <v>33947340419.387043</v>
      </c>
      <c r="ER581" s="269">
        <f t="shared" si="1551"/>
        <v>35247813.37437553</v>
      </c>
      <c r="ES581" s="269">
        <f t="shared" si="1516"/>
        <v>176239066.87187764</v>
      </c>
      <c r="ET581" s="196">
        <f>'Detailed Budget'!$AC$214</f>
        <v>22239745544.201103</v>
      </c>
      <c r="EU581" s="269">
        <f t="shared" si="1552"/>
        <v>22426059.842346687</v>
      </c>
      <c r="EV581" s="140">
        <f>'Detailed Budget'!$AC$217</f>
        <v>5559936386.0502758</v>
      </c>
      <c r="EW581" s="269">
        <f t="shared" si="1553"/>
        <v>5606514.9605866717</v>
      </c>
      <c r="EX581" s="269">
        <f t="shared" si="1517"/>
        <v>28032574.802933358</v>
      </c>
      <c r="EY581" s="196">
        <f>'Detailed Budget'!$AC$219</f>
        <v>372777004.58170313</v>
      </c>
      <c r="EZ581" s="269">
        <f t="shared" si="1554"/>
        <v>393510.66218189907</v>
      </c>
      <c r="FA581" s="196">
        <f>'Detailed Budget'!$AC$222</f>
        <v>93194251.145425782</v>
      </c>
      <c r="FB581" s="269">
        <f t="shared" si="1555"/>
        <v>98377.665545474767</v>
      </c>
      <c r="FC581" s="269">
        <f t="shared" si="1518"/>
        <v>491888.32772737381</v>
      </c>
      <c r="FD581" s="269"/>
      <c r="FE581" s="269">
        <f t="shared" si="1519"/>
        <v>287319651.01343757</v>
      </c>
      <c r="FF581" s="140">
        <f>'Detailed Budget'!$AC$165</f>
        <v>14927760000</v>
      </c>
      <c r="FG581" s="1087">
        <f t="shared" si="1420"/>
        <v>391923022.77719498</v>
      </c>
      <c r="FH581" s="269">
        <f t="shared" si="1556"/>
        <v>18657579.820474949</v>
      </c>
      <c r="FJ581" s="140">
        <f>'Detailed Budget'!$AC$235</f>
        <v>3623696172</v>
      </c>
      <c r="FK581" s="269">
        <f t="shared" si="1557"/>
        <v>4681778</v>
      </c>
      <c r="FL581" s="269">
        <f t="shared" si="1421"/>
        <v>4681778</v>
      </c>
      <c r="FO581" s="607"/>
      <c r="FP581" s="607"/>
      <c r="FQ581" s="607"/>
      <c r="FR581" s="269">
        <f>'Detailed Budget'!$AC$257</f>
        <v>13636439388</v>
      </c>
      <c r="FS581" s="269">
        <f t="shared" si="1558"/>
        <v>7495019.9999999991</v>
      </c>
      <c r="FT581" s="269">
        <f t="shared" si="1422"/>
        <v>7495019.9999999991</v>
      </c>
      <c r="FU581" s="269"/>
      <c r="FV581" s="269"/>
      <c r="FW581" s="269"/>
      <c r="FX581" s="140">
        <f>'Detailed Budget'!$AC$278</f>
        <v>1114560000</v>
      </c>
      <c r="FY581" s="269">
        <f t="shared" si="1559"/>
        <v>1440000</v>
      </c>
      <c r="FZ581" s="269">
        <f t="shared" si="1423"/>
        <v>1440000</v>
      </c>
      <c r="GB581" s="269">
        <f t="shared" si="1431"/>
        <v>2315293723.313457</v>
      </c>
      <c r="GC581" s="887">
        <f t="shared" si="1520"/>
        <v>1447058.5770709107</v>
      </c>
      <c r="GD581" s="1078">
        <f t="shared" si="1432"/>
        <v>1.2991842146736117E-3</v>
      </c>
    </row>
    <row r="582" spans="1:186" hidden="1" outlineLevel="1">
      <c r="A582" s="211" t="s">
        <v>1273</v>
      </c>
      <c r="B582" s="212" t="s">
        <v>1274</v>
      </c>
      <c r="C582" s="213" t="s">
        <v>215</v>
      </c>
      <c r="D582" s="214"/>
      <c r="E582" s="213"/>
      <c r="F582" s="213"/>
      <c r="G582" s="213" t="s">
        <v>215</v>
      </c>
      <c r="H582" s="213" t="s">
        <v>215</v>
      </c>
      <c r="I582" s="214" t="s">
        <v>215</v>
      </c>
      <c r="J582" s="214"/>
      <c r="K582" s="213"/>
      <c r="L582" s="213"/>
      <c r="M582" s="214" t="s">
        <v>215</v>
      </c>
      <c r="N582" s="213"/>
      <c r="O582" s="214"/>
      <c r="P582" s="213"/>
      <c r="Q582" s="214"/>
      <c r="R582" s="214" t="s">
        <v>215</v>
      </c>
      <c r="S582" s="214"/>
      <c r="T582" s="214"/>
      <c r="U582" s="215">
        <f t="shared" si="1564"/>
        <v>6</v>
      </c>
      <c r="V582" s="845" t="s">
        <v>216</v>
      </c>
      <c r="W582" s="216">
        <v>63358</v>
      </c>
      <c r="X582" s="217">
        <v>3.36</v>
      </c>
      <c r="Y582" s="218">
        <f t="shared" si="1477"/>
        <v>1.0336000000000001</v>
      </c>
      <c r="Z582" s="196">
        <v>19</v>
      </c>
      <c r="AA582" s="218">
        <f t="shared" si="1478"/>
        <v>1.873689022502546</v>
      </c>
      <c r="AB582" s="196">
        <f t="shared" si="1561"/>
        <v>118713.18908771631</v>
      </c>
      <c r="AC582">
        <v>12.2</v>
      </c>
      <c r="AD582" s="196">
        <f t="shared" si="1562"/>
        <v>14483.009068701389</v>
      </c>
      <c r="AE582" s="196">
        <f t="shared" si="1479"/>
        <v>13758.858615266319</v>
      </c>
      <c r="AF582" s="196">
        <f t="shared" si="1565"/>
        <v>0</v>
      </c>
      <c r="AG582" s="606">
        <f t="shared" si="1523"/>
        <v>6.3614921984881409E-4</v>
      </c>
      <c r="AH582" s="196">
        <f t="shared" si="1582"/>
        <v>5935.6594543858155</v>
      </c>
      <c r="AI582" s="248">
        <f t="shared" si="1503"/>
        <v>4.5982654452875459E-4</v>
      </c>
      <c r="AJ582" s="196">
        <f t="shared" si="1504"/>
        <v>20418.668523087203</v>
      </c>
      <c r="AK582" s="196">
        <f t="shared" si="1532"/>
        <v>4748.5275635086527</v>
      </c>
      <c r="AL582" s="196">
        <f t="shared" si="1533"/>
        <v>4748.5275635086527</v>
      </c>
      <c r="AM582" s="196">
        <f t="shared" si="1505"/>
        <v>9497.0551270173055</v>
      </c>
      <c r="AN582" s="627">
        <f t="shared" si="1506"/>
        <v>4.5982654452875465E-4</v>
      </c>
      <c r="AO582" s="196">
        <f t="shared" si="1507"/>
        <v>4511.1011853332193</v>
      </c>
      <c r="AP582" s="589">
        <f t="shared" si="1524"/>
        <v>4.5982654452875454E-4</v>
      </c>
      <c r="AQ582" s="196"/>
      <c r="AR582" s="589"/>
      <c r="AS582">
        <v>1</v>
      </c>
      <c r="AT582" s="589">
        <f t="shared" si="1525"/>
        <v>1.2919896640826874E-3</v>
      </c>
      <c r="AU582" s="196">
        <v>10</v>
      </c>
      <c r="AV582" s="245">
        <f t="shared" si="1536"/>
        <v>1.1362345188046814E-3</v>
      </c>
      <c r="AX582" s="245"/>
      <c r="AY582" s="245"/>
      <c r="AZ582" s="196">
        <v>14</v>
      </c>
      <c r="BA582" s="589">
        <f t="shared" si="1425"/>
        <v>5.1298963028104507E-4</v>
      </c>
      <c r="BI582" s="196">
        <v>1</v>
      </c>
      <c r="BJ582" s="196">
        <f t="shared" si="1566"/>
        <v>65951.780736010303</v>
      </c>
      <c r="BK582" s="246">
        <f t="shared" si="1426"/>
        <v>1.2576606674092475E-3</v>
      </c>
      <c r="BL582" s="196">
        <f t="shared" si="1583"/>
        <v>1319.035614720206</v>
      </c>
      <c r="BM582" s="246">
        <f t="shared" si="1427"/>
        <v>1.2576605235122831E-3</v>
      </c>
      <c r="BN582" s="196">
        <v>0</v>
      </c>
      <c r="BO582" s="196">
        <f t="shared" si="1567"/>
        <v>5355.6439324447274</v>
      </c>
      <c r="BP582" s="196">
        <f t="shared" si="1508"/>
        <v>0</v>
      </c>
      <c r="BQ582" s="248">
        <f t="shared" si="1428"/>
        <v>0</v>
      </c>
      <c r="BR582" s="248"/>
      <c r="BS582" s="248"/>
      <c r="BT582" s="276">
        <v>0</v>
      </c>
      <c r="BU582" s="196">
        <f t="shared" si="1568"/>
        <v>0</v>
      </c>
      <c r="BV582" s="264">
        <f t="shared" si="1429"/>
        <v>0</v>
      </c>
      <c r="BW582" s="196">
        <f t="shared" si="1569"/>
        <v>0</v>
      </c>
      <c r="BX582" s="247">
        <f t="shared" si="1430"/>
        <v>0</v>
      </c>
      <c r="BY582" s="196">
        <f t="shared" si="1570"/>
        <v>0</v>
      </c>
      <c r="BZ582" s="620">
        <v>1</v>
      </c>
      <c r="CA582" s="196">
        <f t="shared" si="1571"/>
        <v>36326.235860841189</v>
      </c>
      <c r="CB582" s="196">
        <f t="shared" si="1572"/>
        <v>72652.471721682377</v>
      </c>
      <c r="CC582" s="196">
        <f t="shared" si="1521"/>
        <v>108978.70758252357</v>
      </c>
      <c r="CD582" s="247">
        <f t="shared" si="1509"/>
        <v>4.5982654452875459E-4</v>
      </c>
      <c r="CE582" s="196">
        <f t="shared" si="1573"/>
        <v>8134.1438550193188</v>
      </c>
      <c r="CF582" s="247">
        <f t="shared" si="1510"/>
        <v>3.512576284051639E-4</v>
      </c>
      <c r="CG582" s="196">
        <f t="shared" si="1538"/>
        <v>18044.404741332877</v>
      </c>
      <c r="CH582" s="589">
        <f t="shared" si="1526"/>
        <v>4.5982654452875454E-4</v>
      </c>
      <c r="CI582" s="196">
        <f t="shared" si="1574"/>
        <v>32713.314269480448</v>
      </c>
      <c r="CJ582" s="248">
        <f t="shared" si="1527"/>
        <v>5.3780680355288812E-4</v>
      </c>
      <c r="CK582" s="196">
        <f t="shared" si="1575"/>
        <v>26474.597000479404</v>
      </c>
      <c r="CL582" s="589">
        <f t="shared" si="1528"/>
        <v>3.8057777747416485E-4</v>
      </c>
      <c r="CM582" s="196">
        <f t="shared" si="1576"/>
        <v>2564.7316585162371</v>
      </c>
      <c r="CN582" s="589">
        <f t="shared" si="1529"/>
        <v>3.6960697927249661E-4</v>
      </c>
      <c r="CO582" s="196">
        <f t="shared" si="1577"/>
        <v>205.17203783996183</v>
      </c>
      <c r="CP582" s="589">
        <f t="shared" si="1530"/>
        <v>3.8692286105456851E-4</v>
      </c>
      <c r="CQ582" s="196">
        <f>'Detailed Budget'!$AC$12</f>
        <v>292876014141.44696</v>
      </c>
      <c r="CR582" s="269">
        <f t="shared" si="1534"/>
        <v>368338643.41329241</v>
      </c>
      <c r="CS582" s="269">
        <f>'Detailed Budget'!$AC$16</f>
        <v>10488008800.000002</v>
      </c>
      <c r="CT582" s="607">
        <f t="shared" si="1539"/>
        <v>13190354.638009435</v>
      </c>
      <c r="CU582" s="269">
        <f>'Detailed Budget'!$AC$24</f>
        <v>30624985696</v>
      </c>
      <c r="CV582" s="269">
        <f t="shared" si="1424"/>
        <v>38515839.949830018</v>
      </c>
      <c r="CW582" s="269"/>
      <c r="CX582" s="269">
        <f t="shared" si="1522"/>
        <v>420044838.00113183</v>
      </c>
      <c r="CY582" s="196">
        <f>'Detailed Budget'!$AC$97</f>
        <v>74629165494.837845</v>
      </c>
      <c r="CZ582" s="269">
        <f t="shared" si="1540"/>
        <v>0</v>
      </c>
      <c r="DA582" s="269">
        <f>'Detailed Budget'!$AC$100</f>
        <v>14925833098.967569</v>
      </c>
      <c r="DB582" s="269">
        <f t="shared" si="1541"/>
        <v>0</v>
      </c>
      <c r="DC582" s="269">
        <f t="shared" si="1511"/>
        <v>0</v>
      </c>
      <c r="DD582" s="207">
        <v>0</v>
      </c>
      <c r="DE582" s="606">
        <v>0</v>
      </c>
      <c r="DF582" s="269">
        <f>'Detailed Budget'!$AC$147</f>
        <v>5913600671000</v>
      </c>
      <c r="DG582" s="269">
        <f t="shared" si="1419"/>
        <v>0</v>
      </c>
      <c r="DH582" s="269">
        <f>'Detailed Budget'!$AC$153</f>
        <v>226428026880.00003</v>
      </c>
      <c r="DI582" s="269"/>
      <c r="DJ582" s="269">
        <f>'Detailed Budget'!$AC$156</f>
        <v>27713070000</v>
      </c>
      <c r="DK582" s="269"/>
      <c r="DL582" s="269"/>
      <c r="DM582" s="196">
        <f>'Detailed Budget'!$AC$178</f>
        <v>5622683761.6229038</v>
      </c>
      <c r="DN582" s="269">
        <f t="shared" si="1578"/>
        <v>0</v>
      </c>
      <c r="DO582" s="196">
        <f>'Detailed Budget'!$AC$179</f>
        <v>26827890683.128094</v>
      </c>
      <c r="DP582" s="269">
        <f t="shared" si="1579"/>
        <v>0</v>
      </c>
      <c r="DQ582" s="269">
        <f t="shared" si="1531"/>
        <v>0</v>
      </c>
      <c r="DR582" s="269">
        <f>'Detailed Budget'!$AC$181</f>
        <v>50888946855.375237</v>
      </c>
      <c r="DS582" s="269">
        <f t="shared" si="1580"/>
        <v>0</v>
      </c>
      <c r="DT582" s="269">
        <f t="shared" si="1581"/>
        <v>0</v>
      </c>
      <c r="DU582" s="272">
        <f>'Detailed Budget'!$AC$192</f>
        <v>77498869683.252869</v>
      </c>
      <c r="DV582" s="269">
        <f t="shared" si="1542"/>
        <v>35636037.451334424</v>
      </c>
      <c r="DW582" s="140">
        <f>'Detailed Budget'!$AC$194</f>
        <v>2684962805.4134097</v>
      </c>
      <c r="DX582" s="269">
        <f t="shared" si="1543"/>
        <v>1234617.1690014792</v>
      </c>
      <c r="DY582" s="607">
        <f t="shared" si="1512"/>
        <v>36870654.620335907</v>
      </c>
      <c r="DZ582" s="196">
        <f>'Detailed Budget'!$AC$198</f>
        <v>18732540018.380611</v>
      </c>
      <c r="EA582" s="269">
        <f t="shared" si="1544"/>
        <v>6579947.5808611987</v>
      </c>
      <c r="EB582" s="196">
        <f>'Detailed Budget'!$AC$200</f>
        <v>4683135004.5951529</v>
      </c>
      <c r="EC582" s="269">
        <f t="shared" si="1545"/>
        <v>1644986.8952152997</v>
      </c>
      <c r="ED582" s="269">
        <f t="shared" si="1513"/>
        <v>8224934.4760764986</v>
      </c>
      <c r="EE582" s="196">
        <f>'Detailed Budget'!$AC$161</f>
        <v>251147290106.36197</v>
      </c>
      <c r="EF582" s="269">
        <f t="shared" si="1546"/>
        <v>115484190.57736908</v>
      </c>
      <c r="EG582" s="196">
        <f>'Detailed Budget'!$AC$163</f>
        <v>15696705631.647623</v>
      </c>
      <c r="EH582" s="269">
        <f t="shared" si="1547"/>
        <v>7217761.9110855674</v>
      </c>
      <c r="EI582" s="269">
        <f t="shared" si="1514"/>
        <v>122701952.48845464</v>
      </c>
      <c r="EJ582" s="196">
        <f>'Detailed Budget'!$AC$204</f>
        <v>45012172507.531975</v>
      </c>
      <c r="EK582" s="269">
        <f t="shared" si="1548"/>
        <v>24207852.617246959</v>
      </c>
      <c r="EL582" s="201">
        <f>'Detailed Budget'!$AC$206</f>
        <v>11253043126.882994</v>
      </c>
      <c r="EM582" s="269">
        <f t="shared" si="1549"/>
        <v>6051963.1543117398</v>
      </c>
      <c r="EN582" s="269">
        <f t="shared" si="1515"/>
        <v>30259815.771558698</v>
      </c>
      <c r="EO582" s="140">
        <f>'Detailed Budget'!$AC$209</f>
        <v>135789361677.54817</v>
      </c>
      <c r="EP582" s="269">
        <f t="shared" si="1550"/>
        <v>51678413.471876815</v>
      </c>
      <c r="EQ582" s="196">
        <f>'Detailed Budget'!$AC$211</f>
        <v>33947340419.387043</v>
      </c>
      <c r="ER582" s="269">
        <f t="shared" si="1551"/>
        <v>12919603.367969204</v>
      </c>
      <c r="ES582" s="269">
        <f t="shared" si="1516"/>
        <v>64598016.839846015</v>
      </c>
      <c r="ET582" s="196">
        <f>'Detailed Budget'!$AC$214</f>
        <v>22239745544.201103</v>
      </c>
      <c r="EU582" s="269">
        <f t="shared" si="1552"/>
        <v>8219965.1703811362</v>
      </c>
      <c r="EV582" s="140">
        <f>'Detailed Budget'!$AC$217</f>
        <v>5559936386.0502758</v>
      </c>
      <c r="EW582" s="269">
        <f t="shared" si="1553"/>
        <v>2054991.2925952841</v>
      </c>
      <c r="EX582" s="269">
        <f t="shared" si="1517"/>
        <v>10274956.46297642</v>
      </c>
      <c r="EY582" s="196">
        <f>'Detailed Budget'!$AC$219</f>
        <v>372777004.58170313</v>
      </c>
      <c r="EZ582" s="269">
        <f t="shared" si="1554"/>
        <v>144235.94514810457</v>
      </c>
      <c r="FA582" s="196">
        <f>'Detailed Budget'!$AC$222</f>
        <v>93194251.145425782</v>
      </c>
      <c r="FB582" s="269">
        <f t="shared" si="1555"/>
        <v>36058.986287026142</v>
      </c>
      <c r="FC582" s="269">
        <f t="shared" si="1518"/>
        <v>180294.93143513071</v>
      </c>
      <c r="FD582" s="269"/>
      <c r="FE582" s="269">
        <f t="shared" si="1519"/>
        <v>105313084.00581628</v>
      </c>
      <c r="FF582" s="140">
        <f>'Detailed Budget'!$AC$165</f>
        <v>14927760000</v>
      </c>
      <c r="FG582" s="1087">
        <f t="shared" si="1420"/>
        <v>143654017.66278014</v>
      </c>
      <c r="FH582" s="269">
        <f t="shared" si="1556"/>
        <v>16961436.200431772</v>
      </c>
      <c r="FJ582" s="140">
        <f>'Detailed Budget'!$AC$235</f>
        <v>3623696172</v>
      </c>
      <c r="FK582" s="269">
        <f t="shared" si="1557"/>
        <v>4681778</v>
      </c>
      <c r="FL582" s="269">
        <f t="shared" si="1421"/>
        <v>4681778</v>
      </c>
      <c r="FO582" s="607"/>
      <c r="FP582" s="607"/>
      <c r="FQ582" s="607"/>
      <c r="FR582" s="269">
        <f>'Detailed Budget'!$AC$257</f>
        <v>13636439388</v>
      </c>
      <c r="FS582" s="269">
        <f t="shared" si="1558"/>
        <v>6995352</v>
      </c>
      <c r="FT582" s="269">
        <f t="shared" si="1422"/>
        <v>6995352</v>
      </c>
      <c r="FU582" s="269"/>
      <c r="FV582" s="269"/>
      <c r="FW582" s="269"/>
      <c r="FX582" s="140">
        <f>'Detailed Budget'!$AC$278</f>
        <v>1114560000</v>
      </c>
      <c r="FY582" s="269">
        <f t="shared" si="1559"/>
        <v>1440000</v>
      </c>
      <c r="FZ582" s="269">
        <f t="shared" si="1423"/>
        <v>1440000</v>
      </c>
      <c r="GB582" s="269">
        <f t="shared" si="1431"/>
        <v>866888047.45502698</v>
      </c>
      <c r="GC582" s="887">
        <f t="shared" si="1520"/>
        <v>541805.02965939185</v>
      </c>
      <c r="GD582" s="1078">
        <f t="shared" si="1432"/>
        <v>4.864381809539948E-4</v>
      </c>
    </row>
    <row r="583" spans="1:186" hidden="1" outlineLevel="1">
      <c r="A583" s="211" t="s">
        <v>1275</v>
      </c>
      <c r="B583" s="212" t="s">
        <v>1276</v>
      </c>
      <c r="C583" s="213" t="s">
        <v>215</v>
      </c>
      <c r="D583" s="214"/>
      <c r="E583" s="213"/>
      <c r="F583" s="213"/>
      <c r="G583" s="213" t="s">
        <v>215</v>
      </c>
      <c r="H583" s="213" t="s">
        <v>215</v>
      </c>
      <c r="I583" s="214" t="s">
        <v>215</v>
      </c>
      <c r="J583" s="214"/>
      <c r="K583" s="213"/>
      <c r="L583" s="213"/>
      <c r="M583" s="214" t="s">
        <v>215</v>
      </c>
      <c r="N583" s="213"/>
      <c r="O583" s="214"/>
      <c r="P583" s="213"/>
      <c r="Q583" s="214"/>
      <c r="R583" s="214" t="s">
        <v>215</v>
      </c>
      <c r="S583" s="214"/>
      <c r="T583" s="214"/>
      <c r="U583" s="215">
        <f t="shared" si="1564"/>
        <v>6</v>
      </c>
      <c r="V583" s="845" t="s">
        <v>216</v>
      </c>
      <c r="W583" s="216">
        <v>193257</v>
      </c>
      <c r="X583" s="217">
        <v>3.36</v>
      </c>
      <c r="Y583" s="218">
        <f t="shared" si="1477"/>
        <v>1.0336000000000001</v>
      </c>
      <c r="Z583" s="196">
        <v>19</v>
      </c>
      <c r="AA583" s="218">
        <f t="shared" si="1478"/>
        <v>1.873689022502546</v>
      </c>
      <c r="AB583" s="196">
        <f t="shared" si="1561"/>
        <v>362103.51942177454</v>
      </c>
      <c r="AC583">
        <v>12.2</v>
      </c>
      <c r="AD583" s="196">
        <f t="shared" si="1562"/>
        <v>44176.629369456488</v>
      </c>
      <c r="AE583" s="196">
        <f t="shared" si="1479"/>
        <v>41967.797900983664</v>
      </c>
      <c r="AF583" s="196">
        <f t="shared" si="1565"/>
        <v>0</v>
      </c>
      <c r="AG583" s="606">
        <f t="shared" si="1523"/>
        <v>1.9404067328565023E-3</v>
      </c>
      <c r="AH583" s="196">
        <f t="shared" si="1582"/>
        <v>18105.175971088727</v>
      </c>
      <c r="AI583" s="248">
        <f t="shared" si="1503"/>
        <v>1.4025805504591926E-3</v>
      </c>
      <c r="AJ583" s="196">
        <f t="shared" si="1504"/>
        <v>62281.805340545216</v>
      </c>
      <c r="AK583" s="196">
        <f t="shared" si="1532"/>
        <v>14484.140776870981</v>
      </c>
      <c r="AL583" s="196">
        <f t="shared" si="1533"/>
        <v>14484.140776870981</v>
      </c>
      <c r="AM583" s="196">
        <f t="shared" si="1505"/>
        <v>28968.281553741963</v>
      </c>
      <c r="AN583" s="627">
        <f t="shared" si="1506"/>
        <v>1.4025805504591926E-3</v>
      </c>
      <c r="AO583" s="196">
        <f t="shared" si="1507"/>
        <v>13759.933738027432</v>
      </c>
      <c r="AP583" s="589">
        <f t="shared" si="1524"/>
        <v>1.4025805504591926E-3</v>
      </c>
      <c r="AQ583" s="196"/>
      <c r="AR583" s="589"/>
      <c r="AS583">
        <v>1</v>
      </c>
      <c r="AT583" s="589">
        <f t="shared" si="1525"/>
        <v>1.2919896640826874E-3</v>
      </c>
      <c r="AU583" s="196">
        <v>11</v>
      </c>
      <c r="AV583" s="245">
        <f t="shared" si="1536"/>
        <v>1.2498579706851495E-3</v>
      </c>
      <c r="AX583" s="245"/>
      <c r="AY583" s="245"/>
      <c r="AZ583" s="196">
        <v>19</v>
      </c>
      <c r="BA583" s="589">
        <f t="shared" si="1425"/>
        <v>6.9620021252427542E-4</v>
      </c>
      <c r="BI583" s="196">
        <v>1</v>
      </c>
      <c r="BJ583" s="196">
        <f t="shared" si="1566"/>
        <v>201168.64941600341</v>
      </c>
      <c r="BK583" s="246">
        <f t="shared" si="1426"/>
        <v>3.836164771639082E-3</v>
      </c>
      <c r="BL583" s="196">
        <f t="shared" si="1583"/>
        <v>4023.3729883200681</v>
      </c>
      <c r="BM583" s="246">
        <f t="shared" si="1427"/>
        <v>3.8361643327190459E-3</v>
      </c>
      <c r="BN583" s="196">
        <v>0</v>
      </c>
      <c r="BO583" s="196">
        <f t="shared" si="1567"/>
        <v>16335.990395095658</v>
      </c>
      <c r="BP583" s="196">
        <f t="shared" si="1508"/>
        <v>0</v>
      </c>
      <c r="BQ583" s="248">
        <f t="shared" si="1428"/>
        <v>0</v>
      </c>
      <c r="BR583" s="248"/>
      <c r="BS583" s="248"/>
      <c r="BT583" s="276">
        <v>0</v>
      </c>
      <c r="BU583" s="196">
        <f t="shared" si="1568"/>
        <v>0</v>
      </c>
      <c r="BV583" s="264">
        <f t="shared" si="1429"/>
        <v>0</v>
      </c>
      <c r="BW583" s="196">
        <f t="shared" si="1569"/>
        <v>0</v>
      </c>
      <c r="BX583" s="247">
        <f t="shared" si="1430"/>
        <v>0</v>
      </c>
      <c r="BY583" s="196">
        <f t="shared" si="1570"/>
        <v>0</v>
      </c>
      <c r="BZ583" s="620">
        <v>1</v>
      </c>
      <c r="CA583" s="196">
        <f t="shared" si="1571"/>
        <v>110803.67694306302</v>
      </c>
      <c r="CB583" s="196">
        <f t="shared" si="1572"/>
        <v>221607.35388612605</v>
      </c>
      <c r="CC583" s="196">
        <f t="shared" si="1521"/>
        <v>332411.03082918905</v>
      </c>
      <c r="CD583" s="247">
        <f t="shared" si="1509"/>
        <v>1.4025805504591928E-3</v>
      </c>
      <c r="CE583" s="196">
        <f t="shared" si="1573"/>
        <v>24811.077353916928</v>
      </c>
      <c r="CF583" s="247">
        <f t="shared" si="1510"/>
        <v>1.0714194812446222E-3</v>
      </c>
      <c r="CG583" s="196">
        <f t="shared" si="1538"/>
        <v>55039.734952109728</v>
      </c>
      <c r="CH583" s="589">
        <f t="shared" si="1526"/>
        <v>1.4025805504591926E-3</v>
      </c>
      <c r="CI583" s="196">
        <f t="shared" si="1574"/>
        <v>99783.405028204535</v>
      </c>
      <c r="CJ583" s="248">
        <f t="shared" si="1527"/>
        <v>1.6404389253799124E-3</v>
      </c>
      <c r="CK583" s="196">
        <f t="shared" si="1575"/>
        <v>80753.8304953068</v>
      </c>
      <c r="CL583" s="589">
        <f t="shared" si="1528"/>
        <v>1.1608529237243075E-3</v>
      </c>
      <c r="CM583" s="196">
        <f t="shared" si="1576"/>
        <v>7823.04280643127</v>
      </c>
      <c r="CN583" s="589">
        <f t="shared" si="1529"/>
        <v>1.1273893745583016E-3</v>
      </c>
      <c r="CO583" s="196">
        <f t="shared" si="1577"/>
        <v>625.82361370051933</v>
      </c>
      <c r="CP583" s="589">
        <f t="shared" si="1530"/>
        <v>1.1802069408570781E-3</v>
      </c>
      <c r="CQ583" s="196">
        <f>'Detailed Budget'!$AC$12</f>
        <v>292876014141.44696</v>
      </c>
      <c r="CR583" s="269">
        <f t="shared" si="1534"/>
        <v>1123520647.9074883</v>
      </c>
      <c r="CS583" s="269">
        <f>'Detailed Budget'!$AC$16</f>
        <v>10488008800.000002</v>
      </c>
      <c r="CT583" s="607">
        <f t="shared" si="1539"/>
        <v>40233725.279803485</v>
      </c>
      <c r="CU583" s="269">
        <f>'Detailed Budget'!$AC$24</f>
        <v>30624985696</v>
      </c>
      <c r="CV583" s="269">
        <f t="shared" si="1424"/>
        <v>117482491.25894599</v>
      </c>
      <c r="CW583" s="269"/>
      <c r="CX583" s="269">
        <f t="shared" si="1522"/>
        <v>1281236864.4462378</v>
      </c>
      <c r="CY583" s="196">
        <f>'Detailed Budget'!$AC$97</f>
        <v>74629165494.837845</v>
      </c>
      <c r="CZ583" s="269">
        <f t="shared" si="1540"/>
        <v>0</v>
      </c>
      <c r="DA583" s="269">
        <f>'Detailed Budget'!$AC$100</f>
        <v>14925833098.967569</v>
      </c>
      <c r="DB583" s="269">
        <f t="shared" si="1541"/>
        <v>0</v>
      </c>
      <c r="DC583" s="269">
        <f t="shared" si="1511"/>
        <v>0</v>
      </c>
      <c r="DD583" s="207">
        <v>0</v>
      </c>
      <c r="DE583" s="606">
        <v>0</v>
      </c>
      <c r="DF583" s="269">
        <f>'Detailed Budget'!$AC$147</f>
        <v>5913600671000</v>
      </c>
      <c r="DG583" s="269">
        <f t="shared" ref="DG583:DG646" si="1584">DE583*DF583</f>
        <v>0</v>
      </c>
      <c r="DH583" s="269">
        <f>'Detailed Budget'!$AC$153</f>
        <v>226428026880.00003</v>
      </c>
      <c r="DI583" s="269"/>
      <c r="DJ583" s="269">
        <f>'Detailed Budget'!$AC$156</f>
        <v>27713070000</v>
      </c>
      <c r="DK583" s="269"/>
      <c r="DL583" s="269"/>
      <c r="DM583" s="196">
        <f>'Detailed Budget'!$AC$178</f>
        <v>5622683761.6229038</v>
      </c>
      <c r="DN583" s="269">
        <f t="shared" si="1578"/>
        <v>0</v>
      </c>
      <c r="DO583" s="196">
        <f>'Detailed Budget'!$AC$179</f>
        <v>26827890683.128094</v>
      </c>
      <c r="DP583" s="269">
        <f t="shared" si="1579"/>
        <v>0</v>
      </c>
      <c r="DQ583" s="269">
        <f t="shared" si="1531"/>
        <v>0</v>
      </c>
      <c r="DR583" s="269">
        <f>'Detailed Budget'!$AC$181</f>
        <v>50888946855.375237</v>
      </c>
      <c r="DS583" s="269">
        <f t="shared" si="1580"/>
        <v>0</v>
      </c>
      <c r="DT583" s="269">
        <f t="shared" si="1581"/>
        <v>0</v>
      </c>
      <c r="DU583" s="272">
        <f>'Detailed Budget'!$AC$192</f>
        <v>77498869683.252869</v>
      </c>
      <c r="DV583" s="269">
        <f t="shared" si="1542"/>
        <v>108698407.30030206</v>
      </c>
      <c r="DW583" s="140">
        <f>'Detailed Budget'!$AC$194</f>
        <v>2684962805.4134097</v>
      </c>
      <c r="DX583" s="269">
        <f t="shared" si="1543"/>
        <v>3765876.6095791981</v>
      </c>
      <c r="DY583" s="607">
        <f t="shared" si="1512"/>
        <v>112464283.90988126</v>
      </c>
      <c r="DZ583" s="196">
        <f>'Detailed Budget'!$AC$198</f>
        <v>18732540018.380611</v>
      </c>
      <c r="EA583" s="269">
        <f t="shared" si="1544"/>
        <v>20070408.308887478</v>
      </c>
      <c r="EB583" s="196">
        <f>'Detailed Budget'!$AC$200</f>
        <v>4683135004.5951529</v>
      </c>
      <c r="EC583" s="269">
        <f t="shared" si="1545"/>
        <v>5017602.0772218695</v>
      </c>
      <c r="ED583" s="269">
        <f t="shared" si="1513"/>
        <v>25088010.386109348</v>
      </c>
      <c r="EE583" s="196">
        <f>'Detailed Budget'!$AC$161</f>
        <v>251147290106.36197</v>
      </c>
      <c r="EF583" s="269">
        <f t="shared" si="1546"/>
        <v>352254304.40371573</v>
      </c>
      <c r="EG583" s="196">
        <f>'Detailed Budget'!$AC$163</f>
        <v>15696705631.647623</v>
      </c>
      <c r="EH583" s="269">
        <f t="shared" si="1547"/>
        <v>22015894.025232233</v>
      </c>
      <c r="EI583" s="269">
        <f t="shared" si="1514"/>
        <v>374270198.42894799</v>
      </c>
      <c r="EJ583" s="196">
        <f>'Detailed Budget'!$AC$204</f>
        <v>45012172507.531975</v>
      </c>
      <c r="EK583" s="269">
        <f t="shared" si="1548"/>
        <v>73839719.897270992</v>
      </c>
      <c r="EL583" s="201">
        <f>'Detailed Budget'!$AC$206</f>
        <v>11253043126.882994</v>
      </c>
      <c r="EM583" s="269">
        <f t="shared" si="1549"/>
        <v>18459929.974317748</v>
      </c>
      <c r="EN583" s="269">
        <f t="shared" si="1515"/>
        <v>92299649.871588737</v>
      </c>
      <c r="EO583" s="140">
        <f>'Detailed Budget'!$AC$209</f>
        <v>135789361677.54817</v>
      </c>
      <c r="EP583" s="269">
        <f t="shared" si="1550"/>
        <v>157631477.51403925</v>
      </c>
      <c r="EQ583" s="196">
        <f>'Detailed Budget'!$AC$211</f>
        <v>33947340419.387043</v>
      </c>
      <c r="ER583" s="269">
        <f t="shared" si="1551"/>
        <v>39407869.378509812</v>
      </c>
      <c r="ES583" s="269">
        <f t="shared" si="1516"/>
        <v>197039346.89254907</v>
      </c>
      <c r="ET583" s="196">
        <f>'Detailed Budget'!$AC$214</f>
        <v>22239745544.201103</v>
      </c>
      <c r="EU583" s="269">
        <f t="shared" si="1552"/>
        <v>25072852.819412656</v>
      </c>
      <c r="EV583" s="140">
        <f>'Detailed Budget'!$AC$217</f>
        <v>5559936386.0502758</v>
      </c>
      <c r="EW583" s="269">
        <f t="shared" si="1553"/>
        <v>6268213.204853164</v>
      </c>
      <c r="EX583" s="269">
        <f t="shared" si="1517"/>
        <v>31341066.024265818</v>
      </c>
      <c r="EY583" s="196">
        <f>'Detailed Budget'!$AC$219</f>
        <v>372777004.58170313</v>
      </c>
      <c r="EZ583" s="269">
        <f t="shared" si="1554"/>
        <v>439954.00819923682</v>
      </c>
      <c r="FA583" s="196">
        <f>'Detailed Budget'!$AC$222</f>
        <v>93194251.145425782</v>
      </c>
      <c r="FB583" s="269">
        <f t="shared" si="1555"/>
        <v>109988.50204980921</v>
      </c>
      <c r="FC583" s="269">
        <f t="shared" si="1518"/>
        <v>549942.51024904603</v>
      </c>
      <c r="FD583" s="269"/>
      <c r="FE583" s="269">
        <f t="shared" si="1519"/>
        <v>321230005.29865265</v>
      </c>
      <c r="FF583" s="140">
        <f>'Detailed Budget'!$AC$165</f>
        <v>14927760000</v>
      </c>
      <c r="FG583" s="1087">
        <f t="shared" ref="FG583:FG646" si="1585">FE583/0.423*0.577</f>
        <v>438178990.67924958</v>
      </c>
      <c r="FH583" s="269">
        <f t="shared" si="1556"/>
        <v>18657579.820474949</v>
      </c>
      <c r="FJ583" s="140">
        <f>'Detailed Budget'!$AC$235</f>
        <v>3623696172</v>
      </c>
      <c r="FK583" s="269">
        <f t="shared" si="1557"/>
        <v>4681778</v>
      </c>
      <c r="FL583" s="269">
        <f t="shared" ref="FL583:FL646" si="1586">FI583+FK583</f>
        <v>4681778</v>
      </c>
      <c r="FO583" s="607"/>
      <c r="FP583" s="607"/>
      <c r="FQ583" s="607"/>
      <c r="FR583" s="269">
        <f>'Detailed Budget'!$AC$257</f>
        <v>13636439388</v>
      </c>
      <c r="FS583" s="269">
        <f t="shared" si="1558"/>
        <v>9493692</v>
      </c>
      <c r="FT583" s="269">
        <f t="shared" ref="FT583:FT646" si="1587">FM583+FO583+FQ583+FS583</f>
        <v>9493692</v>
      </c>
      <c r="FU583" s="269"/>
      <c r="FV583" s="269"/>
      <c r="FW583" s="269"/>
      <c r="FX583" s="140">
        <f>'Detailed Budget'!$AC$278</f>
        <v>1114560000</v>
      </c>
      <c r="FY583" s="269">
        <f t="shared" si="1559"/>
        <v>1440000</v>
      </c>
      <c r="FZ583" s="269">
        <f t="shared" ref="FZ583:FZ646" si="1588">FU583+FW583+FY583</f>
        <v>1440000</v>
      </c>
      <c r="GB583" s="269">
        <f t="shared" si="1431"/>
        <v>2586741402.9695539</v>
      </c>
      <c r="GC583" s="887">
        <f t="shared" si="1520"/>
        <v>1616713.3768559713</v>
      </c>
      <c r="GD583" s="1078">
        <f t="shared" si="1432"/>
        <v>1.4515020553725799E-3</v>
      </c>
    </row>
    <row r="584" spans="1:186" hidden="1" outlineLevel="1">
      <c r="A584" s="211" t="s">
        <v>1277</v>
      </c>
      <c r="B584" s="212" t="s">
        <v>1278</v>
      </c>
      <c r="C584" s="213" t="s">
        <v>215</v>
      </c>
      <c r="D584" s="214"/>
      <c r="E584" s="213"/>
      <c r="F584" s="213"/>
      <c r="G584" s="213" t="s">
        <v>215</v>
      </c>
      <c r="H584" s="213" t="s">
        <v>215</v>
      </c>
      <c r="I584" s="214" t="s">
        <v>215</v>
      </c>
      <c r="J584" s="214"/>
      <c r="K584" s="213"/>
      <c r="L584" s="213"/>
      <c r="M584" s="214" t="s">
        <v>215</v>
      </c>
      <c r="N584" s="213"/>
      <c r="O584" s="214"/>
      <c r="P584" s="213"/>
      <c r="Q584" s="214"/>
      <c r="R584" s="214" t="s">
        <v>215</v>
      </c>
      <c r="S584" s="214"/>
      <c r="T584" s="214"/>
      <c r="U584" s="215">
        <f t="shared" si="1564"/>
        <v>6</v>
      </c>
      <c r="V584" s="845" t="s">
        <v>216</v>
      </c>
      <c r="W584" s="216">
        <v>105922</v>
      </c>
      <c r="X584" s="217">
        <v>3.36</v>
      </c>
      <c r="Y584" s="218">
        <f t="shared" si="1477"/>
        <v>1.0336000000000001</v>
      </c>
      <c r="Z584" s="196">
        <v>19</v>
      </c>
      <c r="AA584" s="218">
        <f t="shared" si="1478"/>
        <v>1.873689022502546</v>
      </c>
      <c r="AB584" s="196">
        <f t="shared" si="1561"/>
        <v>198464.88864151467</v>
      </c>
      <c r="AC584">
        <v>12.2</v>
      </c>
      <c r="AD584" s="196">
        <f t="shared" si="1562"/>
        <v>24212.716414264789</v>
      </c>
      <c r="AE584" s="196">
        <f t="shared" si="1479"/>
        <v>23002.080593551549</v>
      </c>
      <c r="AF584" s="196">
        <f t="shared" si="1565"/>
        <v>0</v>
      </c>
      <c r="AG584" s="606">
        <f t="shared" si="1523"/>
        <v>1.0635152256199074E-3</v>
      </c>
      <c r="AH584" s="196">
        <f t="shared" si="1582"/>
        <v>9923.2444320757349</v>
      </c>
      <c r="AI584" s="248">
        <f t="shared" si="1503"/>
        <v>7.6873871096901341E-4</v>
      </c>
      <c r="AJ584" s="196">
        <f t="shared" si="1504"/>
        <v>34135.960846340524</v>
      </c>
      <c r="AK584" s="196">
        <f t="shared" si="1532"/>
        <v>7938.595545660587</v>
      </c>
      <c r="AL584" s="196">
        <f t="shared" si="1533"/>
        <v>7938.595545660587</v>
      </c>
      <c r="AM584" s="196">
        <f t="shared" si="1505"/>
        <v>15877.191091321174</v>
      </c>
      <c r="AN584" s="627">
        <f t="shared" si="1506"/>
        <v>7.687387109690133E-4</v>
      </c>
      <c r="AO584" s="196">
        <f t="shared" si="1507"/>
        <v>7541.6657683775575</v>
      </c>
      <c r="AP584" s="589">
        <f t="shared" si="1524"/>
        <v>7.687387109690133E-4</v>
      </c>
      <c r="AQ584" s="196"/>
      <c r="AR584" s="589"/>
      <c r="AS584">
        <v>1</v>
      </c>
      <c r="AT584" s="589">
        <f t="shared" si="1525"/>
        <v>1.2919896640826874E-3</v>
      </c>
      <c r="AU584" s="196">
        <v>10</v>
      </c>
      <c r="AV584" s="245">
        <f t="shared" si="1536"/>
        <v>1.1362345188046814E-3</v>
      </c>
      <c r="AX584" s="245"/>
      <c r="AY584" s="245"/>
      <c r="AZ584" s="196">
        <v>13</v>
      </c>
      <c r="BA584" s="589">
        <f t="shared" si="1425"/>
        <v>4.7634751383239895E-4</v>
      </c>
      <c r="BI584" s="196">
        <v>1</v>
      </c>
      <c r="BJ584" s="196">
        <f t="shared" si="1566"/>
        <v>110258.2865481815</v>
      </c>
      <c r="BK584" s="246">
        <f t="shared" si="1426"/>
        <v>2.10255900144137E-3</v>
      </c>
      <c r="BL584" s="196">
        <f t="shared" si="1583"/>
        <v>2205.1657309636298</v>
      </c>
      <c r="BM584" s="246">
        <f t="shared" si="1427"/>
        <v>2.1025587608742074E-3</v>
      </c>
      <c r="BN584" s="196">
        <v>0</v>
      </c>
      <c r="BO584" s="196">
        <f t="shared" si="1567"/>
        <v>8953.5736073173157</v>
      </c>
      <c r="BP584" s="196">
        <f t="shared" si="1508"/>
        <v>0</v>
      </c>
      <c r="BQ584" s="248">
        <f t="shared" si="1428"/>
        <v>0</v>
      </c>
      <c r="BR584" s="248"/>
      <c r="BS584" s="248"/>
      <c r="BT584" s="276">
        <v>0</v>
      </c>
      <c r="BU584" s="196">
        <f t="shared" si="1568"/>
        <v>0</v>
      </c>
      <c r="BV584" s="264">
        <f t="shared" si="1429"/>
        <v>0</v>
      </c>
      <c r="BW584" s="196">
        <f t="shared" si="1569"/>
        <v>0</v>
      </c>
      <c r="BX584" s="247">
        <f t="shared" si="1430"/>
        <v>0</v>
      </c>
      <c r="BY584" s="196">
        <f t="shared" si="1570"/>
        <v>0</v>
      </c>
      <c r="BZ584" s="620">
        <v>1</v>
      </c>
      <c r="CA584" s="196">
        <f t="shared" si="1571"/>
        <v>60730.255924303492</v>
      </c>
      <c r="CB584" s="196">
        <f t="shared" si="1572"/>
        <v>121460.51184860698</v>
      </c>
      <c r="CC584" s="196">
        <f t="shared" si="1521"/>
        <v>182190.76777291048</v>
      </c>
      <c r="CD584" s="247">
        <f t="shared" si="1509"/>
        <v>7.687387109690133E-4</v>
      </c>
      <c r="CE584" s="196">
        <f t="shared" si="1573"/>
        <v>13598.673970317188</v>
      </c>
      <c r="CF584" s="247">
        <f t="shared" si="1510"/>
        <v>5.8723303317547554E-4</v>
      </c>
      <c r="CG584" s="196">
        <f t="shared" si="1538"/>
        <v>30166.66307351023</v>
      </c>
      <c r="CH584" s="589">
        <f t="shared" si="1526"/>
        <v>7.687387109690133E-4</v>
      </c>
      <c r="CI584" s="196">
        <f t="shared" si="1574"/>
        <v>54690.168156379747</v>
      </c>
      <c r="CJ584" s="248">
        <f t="shared" si="1527"/>
        <v>8.991062256688818E-4</v>
      </c>
      <c r="CK584" s="196">
        <f t="shared" si="1575"/>
        <v>44260.271212550579</v>
      </c>
      <c r="CL584" s="589">
        <f t="shared" si="1528"/>
        <v>6.3625050262979411E-4</v>
      </c>
      <c r="CM584" s="196">
        <f t="shared" si="1576"/>
        <v>4287.7222565951715</v>
      </c>
      <c r="CN584" s="589">
        <f t="shared" si="1529"/>
        <v>6.1790950564256106E-4</v>
      </c>
      <c r="CO584" s="196">
        <f t="shared" si="1577"/>
        <v>343.0069224420663</v>
      </c>
      <c r="CP584" s="589">
        <f t="shared" si="1530"/>
        <v>6.4685822293352076E-4</v>
      </c>
      <c r="CQ584" s="196">
        <f>'Detailed Budget'!$AC$12</f>
        <v>292876014141.44696</v>
      </c>
      <c r="CR584" s="269">
        <f t="shared" si="1534"/>
        <v>615789099.8393693</v>
      </c>
      <c r="CS584" s="269">
        <f>'Detailed Budget'!$AC$16</f>
        <v>10488008800.000002</v>
      </c>
      <c r="CT584" s="607">
        <f t="shared" si="1539"/>
        <v>22051654.786565788</v>
      </c>
      <c r="CU584" s="269">
        <f>'Detailed Budget'!$AC$24</f>
        <v>30624985696</v>
      </c>
      <c r="CV584" s="269">
        <f t="shared" ref="CV584:CV647" si="1589">BK584*CU584</f>
        <v>64390839.344137996</v>
      </c>
      <c r="CW584" s="269"/>
      <c r="CX584" s="269">
        <f t="shared" si="1522"/>
        <v>702231593.9700731</v>
      </c>
      <c r="CY584" s="196">
        <f>'Detailed Budget'!$AC$97</f>
        <v>74629165494.837845</v>
      </c>
      <c r="CZ584" s="269">
        <f t="shared" si="1540"/>
        <v>0</v>
      </c>
      <c r="DA584" s="269">
        <f>'Detailed Budget'!$AC$100</f>
        <v>14925833098.967569</v>
      </c>
      <c r="DB584" s="269">
        <f t="shared" si="1541"/>
        <v>0</v>
      </c>
      <c r="DC584" s="269">
        <f t="shared" si="1511"/>
        <v>0</v>
      </c>
      <c r="DD584" s="207">
        <v>0</v>
      </c>
      <c r="DE584" s="606">
        <v>0</v>
      </c>
      <c r="DF584" s="269">
        <f>'Detailed Budget'!$AC$147</f>
        <v>5913600671000</v>
      </c>
      <c r="DG584" s="269">
        <f t="shared" si="1584"/>
        <v>0</v>
      </c>
      <c r="DH584" s="269">
        <f>'Detailed Budget'!$AC$153</f>
        <v>226428026880.00003</v>
      </c>
      <c r="DI584" s="269"/>
      <c r="DJ584" s="269">
        <f>'Detailed Budget'!$AC$156</f>
        <v>27713070000</v>
      </c>
      <c r="DK584" s="269"/>
      <c r="DL584" s="269"/>
      <c r="DM584" s="196">
        <f>'Detailed Budget'!$AC$178</f>
        <v>5622683761.6229038</v>
      </c>
      <c r="DN584" s="269">
        <f t="shared" si="1578"/>
        <v>0</v>
      </c>
      <c r="DO584" s="196">
        <f>'Detailed Budget'!$AC$179</f>
        <v>26827890683.128094</v>
      </c>
      <c r="DP584" s="269">
        <f t="shared" si="1579"/>
        <v>0</v>
      </c>
      <c r="DQ584" s="269">
        <f t="shared" si="1531"/>
        <v>0</v>
      </c>
      <c r="DR584" s="269">
        <f>'Detailed Budget'!$AC$181</f>
        <v>50888946855.375237</v>
      </c>
      <c r="DS584" s="269">
        <f t="shared" si="1580"/>
        <v>0</v>
      </c>
      <c r="DT584" s="269">
        <f t="shared" si="1581"/>
        <v>0</v>
      </c>
      <c r="DU584" s="272">
        <f>'Detailed Budget'!$AC$192</f>
        <v>77498869683.252869</v>
      </c>
      <c r="DV584" s="269">
        <f t="shared" si="1542"/>
        <v>59576381.181859352</v>
      </c>
      <c r="DW584" s="140">
        <f>'Detailed Budget'!$AC$194</f>
        <v>2684962805.4134097</v>
      </c>
      <c r="DX584" s="269">
        <f t="shared" si="1543"/>
        <v>2064034.8460332502</v>
      </c>
      <c r="DY584" s="607">
        <f t="shared" si="1512"/>
        <v>61640416.027892604</v>
      </c>
      <c r="DZ584" s="196">
        <f>'Detailed Budget'!$AC$198</f>
        <v>18732540018.380611</v>
      </c>
      <c r="EA584" s="269">
        <f t="shared" si="1544"/>
        <v>11000366.294074625</v>
      </c>
      <c r="EB584" s="196">
        <f>'Detailed Budget'!$AC$200</f>
        <v>4683135004.5951529</v>
      </c>
      <c r="EC584" s="269">
        <f t="shared" si="1545"/>
        <v>2750091.5735186562</v>
      </c>
      <c r="ED584" s="269">
        <f t="shared" si="1513"/>
        <v>13750457.867593281</v>
      </c>
      <c r="EE584" s="196">
        <f>'Detailed Budget'!$AC$161</f>
        <v>251147290106.36197</v>
      </c>
      <c r="EF584" s="269">
        <f t="shared" si="1546"/>
        <v>193066644.05972552</v>
      </c>
      <c r="EG584" s="196">
        <f>'Detailed Budget'!$AC$163</f>
        <v>15696705631.647623</v>
      </c>
      <c r="EH584" s="269">
        <f t="shared" si="1547"/>
        <v>12066665.253732845</v>
      </c>
      <c r="EI584" s="269">
        <f t="shared" si="1514"/>
        <v>205133309.31345838</v>
      </c>
      <c r="EJ584" s="196">
        <f>'Detailed Budget'!$AC$204</f>
        <v>45012172507.531975</v>
      </c>
      <c r="EK584" s="269">
        <f t="shared" si="1548"/>
        <v>40470724.532403678</v>
      </c>
      <c r="EL584" s="201">
        <f>'Detailed Budget'!$AC$206</f>
        <v>11253043126.882994</v>
      </c>
      <c r="EM584" s="269">
        <f t="shared" si="1549"/>
        <v>10117681.133100919</v>
      </c>
      <c r="EN584" s="269">
        <f t="shared" si="1515"/>
        <v>50588405.665504597</v>
      </c>
      <c r="EO584" s="140">
        <f>'Detailed Budget'!$AC$209</f>
        <v>135789361677.54817</v>
      </c>
      <c r="EP584" s="269">
        <f t="shared" si="1550"/>
        <v>86396049.619118929</v>
      </c>
      <c r="EQ584" s="196">
        <f>'Detailed Budget'!$AC$211</f>
        <v>33947340419.387043</v>
      </c>
      <c r="ER584" s="269">
        <f t="shared" si="1551"/>
        <v>21599012.404779732</v>
      </c>
      <c r="ES584" s="269">
        <f t="shared" si="1516"/>
        <v>107995062.02389866</v>
      </c>
      <c r="ET584" s="196">
        <f>'Detailed Budget'!$AC$214</f>
        <v>22239745544.201103</v>
      </c>
      <c r="EU584" s="269">
        <f t="shared" si="1552"/>
        <v>13742150.174833653</v>
      </c>
      <c r="EV584" s="140">
        <f>'Detailed Budget'!$AC$217</f>
        <v>5559936386.0502758</v>
      </c>
      <c r="EW584" s="269">
        <f t="shared" si="1553"/>
        <v>3435537.5437084134</v>
      </c>
      <c r="EX584" s="269">
        <f t="shared" si="1517"/>
        <v>17177687.718542065</v>
      </c>
      <c r="EY584" s="196">
        <f>'Detailed Budget'!$AC$219</f>
        <v>372777004.58170313</v>
      </c>
      <c r="EZ584" s="269">
        <f t="shared" si="1554"/>
        <v>241133.87073420142</v>
      </c>
      <c r="FA584" s="196">
        <f>'Detailed Budget'!$AC$222</f>
        <v>93194251.145425782</v>
      </c>
      <c r="FB584" s="269">
        <f t="shared" si="1555"/>
        <v>60283.467683550356</v>
      </c>
      <c r="FC584" s="269">
        <f t="shared" si="1518"/>
        <v>301417.33841775177</v>
      </c>
      <c r="FD584" s="269"/>
      <c r="FE584" s="269">
        <f t="shared" si="1519"/>
        <v>176062572.74636307</v>
      </c>
      <c r="FF584" s="140">
        <f>'Detailed Budget'!$AC$165</f>
        <v>14927760000</v>
      </c>
      <c r="FG584" s="1087">
        <f t="shared" si="1585"/>
        <v>240161003.48617375</v>
      </c>
      <c r="FH584" s="269">
        <f t="shared" si="1556"/>
        <v>16961436.200431772</v>
      </c>
      <c r="FJ584" s="140">
        <f>'Detailed Budget'!$AC$235</f>
        <v>3623696172</v>
      </c>
      <c r="FK584" s="269">
        <f t="shared" si="1557"/>
        <v>4681778</v>
      </c>
      <c r="FL584" s="269">
        <f t="shared" si="1586"/>
        <v>4681778</v>
      </c>
      <c r="FO584" s="607"/>
      <c r="FP584" s="607"/>
      <c r="FQ584" s="607"/>
      <c r="FR584" s="269">
        <f>'Detailed Budget'!$AC$257</f>
        <v>13636439388</v>
      </c>
      <c r="FS584" s="269">
        <f t="shared" si="1558"/>
        <v>6495684</v>
      </c>
      <c r="FT584" s="269">
        <f t="shared" si="1587"/>
        <v>6495684</v>
      </c>
      <c r="FU584" s="269"/>
      <c r="FV584" s="269"/>
      <c r="FW584" s="269"/>
      <c r="FX584" s="140">
        <f>'Detailed Budget'!$AC$278</f>
        <v>1114560000</v>
      </c>
      <c r="FY584" s="269">
        <f t="shared" si="1559"/>
        <v>1440000</v>
      </c>
      <c r="FZ584" s="269">
        <f t="shared" si="1588"/>
        <v>1440000</v>
      </c>
      <c r="GB584" s="269">
        <f t="shared" si="1431"/>
        <v>1428558251.6119862</v>
      </c>
      <c r="GC584" s="887">
        <f t="shared" si="1520"/>
        <v>892848.90725749137</v>
      </c>
      <c r="GD584" s="1078">
        <f t="shared" si="1432"/>
        <v>8.0160901899735165E-4</v>
      </c>
    </row>
    <row r="585" spans="1:186" hidden="1" outlineLevel="1">
      <c r="A585" s="211" t="s">
        <v>1279</v>
      </c>
      <c r="B585" s="212" t="s">
        <v>1280</v>
      </c>
      <c r="C585" s="213" t="s">
        <v>215</v>
      </c>
      <c r="D585" s="214"/>
      <c r="E585" s="213"/>
      <c r="F585" s="213"/>
      <c r="G585" s="213" t="s">
        <v>215</v>
      </c>
      <c r="H585" s="213" t="s">
        <v>215</v>
      </c>
      <c r="I585" s="214" t="s">
        <v>215</v>
      </c>
      <c r="J585" s="214"/>
      <c r="K585" s="213"/>
      <c r="L585" s="213"/>
      <c r="M585" s="214" t="s">
        <v>215</v>
      </c>
      <c r="N585" s="213"/>
      <c r="O585" s="214"/>
      <c r="P585" s="213"/>
      <c r="Q585" s="214"/>
      <c r="R585" s="214" t="s">
        <v>215</v>
      </c>
      <c r="S585" s="214"/>
      <c r="T585" s="214"/>
      <c r="U585" s="215">
        <f t="shared" si="1564"/>
        <v>6</v>
      </c>
      <c r="V585" s="845" t="s">
        <v>216</v>
      </c>
      <c r="W585" s="216">
        <v>168924</v>
      </c>
      <c r="X585" s="217">
        <v>3.36</v>
      </c>
      <c r="Y585" s="218">
        <f t="shared" si="1477"/>
        <v>1.0336000000000001</v>
      </c>
      <c r="Z585" s="196">
        <v>19</v>
      </c>
      <c r="AA585" s="218">
        <f t="shared" si="1478"/>
        <v>1.873689022502546</v>
      </c>
      <c r="AB585" s="196">
        <f t="shared" si="1561"/>
        <v>316511.04443722009</v>
      </c>
      <c r="AC585">
        <v>12.2</v>
      </c>
      <c r="AD585" s="196">
        <f t="shared" si="1562"/>
        <v>38614.347421340848</v>
      </c>
      <c r="AE585" s="196">
        <f t="shared" si="1479"/>
        <v>36683.630050273801</v>
      </c>
      <c r="AF585" s="196">
        <f t="shared" si="1565"/>
        <v>0</v>
      </c>
      <c r="AG585" s="606">
        <f t="shared" si="1523"/>
        <v>1.6960900093712092E-3</v>
      </c>
      <c r="AH585" s="196">
        <f t="shared" si="1582"/>
        <v>15825.552221861006</v>
      </c>
      <c r="AI585" s="248">
        <f t="shared" si="1503"/>
        <v>1.2259815525738715E-3</v>
      </c>
      <c r="AJ585" s="196">
        <f t="shared" si="1504"/>
        <v>54439.899643201854</v>
      </c>
      <c r="AK585" s="196">
        <f t="shared" si="1532"/>
        <v>12660.441777488804</v>
      </c>
      <c r="AL585" s="196">
        <f t="shared" si="1533"/>
        <v>12660.441777488804</v>
      </c>
      <c r="AM585" s="196">
        <f t="shared" si="1505"/>
        <v>25320.883554977609</v>
      </c>
      <c r="AN585" s="627">
        <f t="shared" si="1506"/>
        <v>1.2259815525738715E-3</v>
      </c>
      <c r="AO585" s="196">
        <f t="shared" si="1507"/>
        <v>12027.419688614364</v>
      </c>
      <c r="AP585" s="589">
        <f t="shared" si="1524"/>
        <v>1.2259815525738713E-3</v>
      </c>
      <c r="AQ585" s="196"/>
      <c r="AR585" s="589"/>
      <c r="AS585">
        <v>1</v>
      </c>
      <c r="AT585" s="589">
        <f t="shared" si="1525"/>
        <v>1.2919896640826874E-3</v>
      </c>
      <c r="AU585" s="196">
        <v>11</v>
      </c>
      <c r="AV585" s="245">
        <f t="shared" si="1536"/>
        <v>1.2498579706851495E-3</v>
      </c>
      <c r="AX585" s="245"/>
      <c r="AY585" s="245"/>
      <c r="AZ585" s="196">
        <v>20</v>
      </c>
      <c r="BA585" s="589">
        <f t="shared" ref="BA585:BA648" si="1590">AZ585/27291</f>
        <v>7.3284232897292143E-4</v>
      </c>
      <c r="BI585" s="196">
        <v>1</v>
      </c>
      <c r="BJ585" s="196">
        <f t="shared" si="1566"/>
        <v>175839.49318238907</v>
      </c>
      <c r="BK585" s="246">
        <f t="shared" ref="BK585:BK648" si="1591">BJ585/52440044</f>
        <v>3.3531530443107384E-3</v>
      </c>
      <c r="BL585" s="196">
        <f t="shared" si="1583"/>
        <v>3516.7898636477812</v>
      </c>
      <c r="BM585" s="246">
        <f t="shared" ref="BM585:BM648" si="1592">BL585/1048801</f>
        <v>3.3531526606551494E-3</v>
      </c>
      <c r="BN585" s="196">
        <v>0</v>
      </c>
      <c r="BO585" s="196">
        <f t="shared" si="1567"/>
        <v>14279.124903631637</v>
      </c>
      <c r="BP585" s="196">
        <f t="shared" si="1508"/>
        <v>0</v>
      </c>
      <c r="BQ585" s="248">
        <f t="shared" ref="BQ585:BQ648" si="1593">BP585/10690003</f>
        <v>0</v>
      </c>
      <c r="BR585" s="248"/>
      <c r="BS585" s="248"/>
      <c r="BT585" s="276">
        <v>0</v>
      </c>
      <c r="BU585" s="196">
        <f t="shared" si="1568"/>
        <v>0</v>
      </c>
      <c r="BV585" s="264">
        <f t="shared" ref="BV585:BV648" si="1594">BU585/14417138</f>
        <v>0</v>
      </c>
      <c r="BW585" s="196">
        <f t="shared" si="1569"/>
        <v>0</v>
      </c>
      <c r="BX585" s="247">
        <f t="shared" ref="BX585:BX648" si="1595">BW585/61673312</f>
        <v>0</v>
      </c>
      <c r="BY585" s="196">
        <f t="shared" si="1570"/>
        <v>0</v>
      </c>
      <c r="BZ585" s="620">
        <v>1</v>
      </c>
      <c r="CA585" s="196">
        <f t="shared" si="1571"/>
        <v>96852.379597789361</v>
      </c>
      <c r="CB585" s="196">
        <f t="shared" si="1572"/>
        <v>193704.75919557872</v>
      </c>
      <c r="CC585" s="196">
        <f t="shared" si="1521"/>
        <v>290557.13879336807</v>
      </c>
      <c r="CD585" s="247">
        <f t="shared" si="1509"/>
        <v>1.2259815525738715E-3</v>
      </c>
      <c r="CE585" s="196">
        <f t="shared" si="1573"/>
        <v>21687.113175373019</v>
      </c>
      <c r="CF585" s="247">
        <f t="shared" si="1510"/>
        <v>9.36516992656238E-4</v>
      </c>
      <c r="CG585" s="196">
        <f t="shared" si="1538"/>
        <v>48109.678754457454</v>
      </c>
      <c r="CH585" s="589">
        <f t="shared" si="1526"/>
        <v>1.2259815525738713E-3</v>
      </c>
      <c r="CI585" s="196">
        <f t="shared" si="1574"/>
        <v>87219.670754406936</v>
      </c>
      <c r="CJ585" s="248">
        <f t="shared" si="1527"/>
        <v>1.4338911658096541E-3</v>
      </c>
      <c r="CK585" s="196">
        <f t="shared" si="1575"/>
        <v>70586.111046891994</v>
      </c>
      <c r="CL585" s="589">
        <f t="shared" si="1528"/>
        <v>1.0146898652426818E-3</v>
      </c>
      <c r="CM585" s="196">
        <f t="shared" si="1576"/>
        <v>6838.0430361311401</v>
      </c>
      <c r="CN585" s="589">
        <f t="shared" si="1529"/>
        <v>9.8543971347939022E-4</v>
      </c>
      <c r="CO585" s="196">
        <f t="shared" si="1577"/>
        <v>547.02612645723843</v>
      </c>
      <c r="CP585" s="589">
        <f t="shared" si="1530"/>
        <v>1.0316070169636342E-3</v>
      </c>
      <c r="CQ585" s="196">
        <f>'Detailed Budget'!$AC$12</f>
        <v>292876014141.44696</v>
      </c>
      <c r="CR585" s="269">
        <f t="shared" si="1534"/>
        <v>982058098.42398775</v>
      </c>
      <c r="CS585" s="269">
        <f>'Detailed Budget'!$AC$16</f>
        <v>10488008800.000002</v>
      </c>
      <c r="CT585" s="607">
        <f t="shared" si="1539"/>
        <v>35167894.612694629</v>
      </c>
      <c r="CU585" s="269">
        <f>'Detailed Budget'!$AC$24</f>
        <v>30624985696</v>
      </c>
      <c r="CV585" s="269">
        <f t="shared" si="1589"/>
        <v>102690264.01851521</v>
      </c>
      <c r="CW585" s="269"/>
      <c r="CX585" s="269">
        <f t="shared" si="1522"/>
        <v>1119916257.0551975</v>
      </c>
      <c r="CY585" s="196">
        <f>'Detailed Budget'!$AC$97</f>
        <v>74629165494.837845</v>
      </c>
      <c r="CZ585" s="269">
        <f t="shared" si="1540"/>
        <v>0</v>
      </c>
      <c r="DA585" s="269">
        <f>'Detailed Budget'!$AC$100</f>
        <v>14925833098.967569</v>
      </c>
      <c r="DB585" s="269">
        <f t="shared" si="1541"/>
        <v>0</v>
      </c>
      <c r="DC585" s="269">
        <f t="shared" si="1511"/>
        <v>0</v>
      </c>
      <c r="DD585" s="207">
        <v>0</v>
      </c>
      <c r="DE585" s="606">
        <v>0</v>
      </c>
      <c r="DF585" s="269">
        <f>'Detailed Budget'!$AC$147</f>
        <v>5913600671000</v>
      </c>
      <c r="DG585" s="269">
        <f t="shared" si="1584"/>
        <v>0</v>
      </c>
      <c r="DH585" s="269">
        <f>'Detailed Budget'!$AC$153</f>
        <v>226428026880.00003</v>
      </c>
      <c r="DI585" s="269"/>
      <c r="DJ585" s="269">
        <f>'Detailed Budget'!$AC$156</f>
        <v>27713070000</v>
      </c>
      <c r="DK585" s="269"/>
      <c r="DL585" s="269"/>
      <c r="DM585" s="196">
        <f>'Detailed Budget'!$AC$178</f>
        <v>5622683761.6229038</v>
      </c>
      <c r="DN585" s="269">
        <f t="shared" si="1578"/>
        <v>0</v>
      </c>
      <c r="DO585" s="196">
        <f>'Detailed Budget'!$AC$179</f>
        <v>26827890683.128094</v>
      </c>
      <c r="DP585" s="269">
        <f t="shared" si="1579"/>
        <v>0</v>
      </c>
      <c r="DQ585" s="269">
        <f t="shared" si="1531"/>
        <v>0</v>
      </c>
      <c r="DR585" s="269">
        <f>'Detailed Budget'!$AC$181</f>
        <v>50888946855.375237</v>
      </c>
      <c r="DS585" s="269">
        <f t="shared" si="1580"/>
        <v>0</v>
      </c>
      <c r="DT585" s="269">
        <f t="shared" si="1581"/>
        <v>0</v>
      </c>
      <c r="DU585" s="272">
        <f>'Detailed Budget'!$AC$192</f>
        <v>77498869683.252869</v>
      </c>
      <c r="DV585" s="269">
        <f t="shared" si="1542"/>
        <v>95012184.576994494</v>
      </c>
      <c r="DW585" s="140">
        <f>'Detailed Budget'!$AC$194</f>
        <v>2684962805.4134097</v>
      </c>
      <c r="DX585" s="269">
        <f t="shared" si="1543"/>
        <v>3291714.8687838297</v>
      </c>
      <c r="DY585" s="607">
        <f t="shared" si="1512"/>
        <v>98303899.445778325</v>
      </c>
      <c r="DZ585" s="196">
        <f>'Detailed Budget'!$AC$198</f>
        <v>18732540018.380611</v>
      </c>
      <c r="EA585" s="269">
        <f t="shared" si="1544"/>
        <v>17543342.04282644</v>
      </c>
      <c r="EB585" s="196">
        <f>'Detailed Budget'!$AC$200</f>
        <v>4683135004.5951529</v>
      </c>
      <c r="EC585" s="269">
        <f t="shared" si="1545"/>
        <v>4385835.51070661</v>
      </c>
      <c r="ED585" s="269">
        <f t="shared" si="1513"/>
        <v>21929177.553533051</v>
      </c>
      <c r="EE585" s="196">
        <f>'Detailed Budget'!$AC$161</f>
        <v>251147290106.36197</v>
      </c>
      <c r="EF585" s="269">
        <f t="shared" si="1546"/>
        <v>307901944.6493181</v>
      </c>
      <c r="EG585" s="196">
        <f>'Detailed Budget'!$AC$163</f>
        <v>15696705631.647623</v>
      </c>
      <c r="EH585" s="269">
        <f t="shared" si="1547"/>
        <v>19243871.540582381</v>
      </c>
      <c r="EI585" s="269">
        <f t="shared" si="1514"/>
        <v>327145816.18990046</v>
      </c>
      <c r="EJ585" s="196">
        <f>'Detailed Budget'!$AC$204</f>
        <v>45012172507.531975</v>
      </c>
      <c r="EK585" s="269">
        <f t="shared" si="1548"/>
        <v>64542556.512450285</v>
      </c>
      <c r="EL585" s="201">
        <f>'Detailed Budget'!$AC$206</f>
        <v>11253043126.882994</v>
      </c>
      <c r="EM585" s="269">
        <f t="shared" si="1549"/>
        <v>16135639.128112571</v>
      </c>
      <c r="EN585" s="269">
        <f t="shared" si="1515"/>
        <v>80678195.640562862</v>
      </c>
      <c r="EO585" s="140">
        <f>'Detailed Budget'!$AC$209</f>
        <v>135789361677.54817</v>
      </c>
      <c r="EP585" s="269">
        <f t="shared" si="1550"/>
        <v>137784089.10198113</v>
      </c>
      <c r="EQ585" s="196">
        <f>'Detailed Budget'!$AC$211</f>
        <v>33947340419.387043</v>
      </c>
      <c r="ER585" s="269">
        <f t="shared" si="1551"/>
        <v>34446022.275495283</v>
      </c>
      <c r="ES585" s="269">
        <f t="shared" si="1516"/>
        <v>172230111.37747642</v>
      </c>
      <c r="ET585" s="196">
        <f>'Detailed Budget'!$AC$214</f>
        <v>22239745544.201103</v>
      </c>
      <c r="EU585" s="269">
        <f t="shared" si="1552"/>
        <v>21915928.476932079</v>
      </c>
      <c r="EV585" s="140">
        <f>'Detailed Budget'!$AC$217</f>
        <v>5559936386.0502758</v>
      </c>
      <c r="EW585" s="269">
        <f t="shared" si="1553"/>
        <v>5478982.1192330196</v>
      </c>
      <c r="EX585" s="269">
        <f t="shared" si="1517"/>
        <v>27394910.596165098</v>
      </c>
      <c r="EY585" s="196">
        <f>'Detailed Budget'!$AC$219</f>
        <v>372777004.58170313</v>
      </c>
      <c r="EZ585" s="269">
        <f t="shared" si="1554"/>
        <v>384559.37368916976</v>
      </c>
      <c r="FA585" s="196">
        <f>'Detailed Budget'!$AC$222</f>
        <v>93194251.145425782</v>
      </c>
      <c r="FB585" s="269">
        <f t="shared" si="1555"/>
        <v>96139.843422292441</v>
      </c>
      <c r="FC585" s="269">
        <f t="shared" si="1518"/>
        <v>480699.2171114622</v>
      </c>
      <c r="FD585" s="269"/>
      <c r="FE585" s="269">
        <f t="shared" si="1519"/>
        <v>280783916.83131588</v>
      </c>
      <c r="FF585" s="140">
        <f>'Detailed Budget'!$AC$165</f>
        <v>14927760000</v>
      </c>
      <c r="FG585" s="1087">
        <f t="shared" si="1585"/>
        <v>383007848.72735047</v>
      </c>
      <c r="FH585" s="269">
        <f t="shared" si="1556"/>
        <v>18657579.820474949</v>
      </c>
      <c r="FJ585" s="140">
        <f>'Detailed Budget'!$AC$235</f>
        <v>3623696172</v>
      </c>
      <c r="FK585" s="269">
        <f t="shared" si="1557"/>
        <v>4681778</v>
      </c>
      <c r="FL585" s="269">
        <f t="shared" si="1586"/>
        <v>4681778</v>
      </c>
      <c r="FO585" s="607"/>
      <c r="FP585" s="607"/>
      <c r="FQ585" s="607"/>
      <c r="FR585" s="269">
        <f>'Detailed Budget'!$AC$257</f>
        <v>13636439388</v>
      </c>
      <c r="FS585" s="269">
        <f t="shared" si="1558"/>
        <v>9993360</v>
      </c>
      <c r="FT585" s="269">
        <f t="shared" si="1587"/>
        <v>9993360</v>
      </c>
      <c r="FU585" s="269"/>
      <c r="FV585" s="269"/>
      <c r="FW585" s="269"/>
      <c r="FX585" s="140">
        <f>'Detailed Budget'!$AC$278</f>
        <v>1114560000</v>
      </c>
      <c r="FY585" s="269">
        <f t="shared" si="1559"/>
        <v>1440000</v>
      </c>
      <c r="FZ585" s="269">
        <f t="shared" si="1588"/>
        <v>1440000</v>
      </c>
      <c r="GB585" s="269">
        <f t="shared" ref="GB585:GB648" si="1596">SUM(CX585,DC585,DG585,DL585,DT585,DY585,ED585,EI585,FE585,FG585,FH585,FL585,FT585,FZ585,GA585)</f>
        <v>2265859633.6235509</v>
      </c>
      <c r="GC585" s="887">
        <f t="shared" si="1520"/>
        <v>1416162.2710147193</v>
      </c>
      <c r="GD585" s="1078">
        <f t="shared" ref="GD585:GD648" si="1597">GB585/1782113496426</f>
        <v>1.2714451903134655E-3</v>
      </c>
    </row>
    <row r="586" spans="1:186" hidden="1" outlineLevel="1">
      <c r="A586" s="211" t="s">
        <v>1281</v>
      </c>
      <c r="B586" s="212" t="s">
        <v>1282</v>
      </c>
      <c r="C586" s="213" t="s">
        <v>215</v>
      </c>
      <c r="D586" s="214"/>
      <c r="E586" s="213"/>
      <c r="F586" s="213"/>
      <c r="G586" s="213" t="s">
        <v>215</v>
      </c>
      <c r="H586" s="213" t="s">
        <v>215</v>
      </c>
      <c r="I586" s="214" t="s">
        <v>215</v>
      </c>
      <c r="J586" s="214"/>
      <c r="K586" s="213"/>
      <c r="L586" s="213"/>
      <c r="M586" s="214" t="s">
        <v>215</v>
      </c>
      <c r="N586" s="213"/>
      <c r="O586" s="214"/>
      <c r="P586" s="213"/>
      <c r="Q586" s="214"/>
      <c r="R586" s="214" t="s">
        <v>215</v>
      </c>
      <c r="S586" s="214"/>
      <c r="T586" s="214"/>
      <c r="U586" s="215">
        <f t="shared" si="1564"/>
        <v>6</v>
      </c>
      <c r="V586" s="845" t="s">
        <v>216</v>
      </c>
      <c r="W586" s="216">
        <v>74840</v>
      </c>
      <c r="X586" s="217">
        <v>3.36</v>
      </c>
      <c r="Y586" s="218">
        <f t="shared" si="1477"/>
        <v>1.0336000000000001</v>
      </c>
      <c r="Z586" s="196">
        <v>19</v>
      </c>
      <c r="AA586" s="218">
        <f t="shared" si="1478"/>
        <v>1.873689022502546</v>
      </c>
      <c r="AB586" s="196">
        <f t="shared" si="1561"/>
        <v>140226.88644409055</v>
      </c>
      <c r="AC586">
        <v>12.2</v>
      </c>
      <c r="AD586" s="196">
        <f t="shared" si="1562"/>
        <v>17107.680146179046</v>
      </c>
      <c r="AE586" s="196">
        <f t="shared" si="1479"/>
        <v>16252.296138870093</v>
      </c>
      <c r="AF586" s="196">
        <f t="shared" si="1565"/>
        <v>0</v>
      </c>
      <c r="AG586" s="606">
        <f t="shared" si="1523"/>
        <v>7.5143482454441825E-4</v>
      </c>
      <c r="AH586" s="196">
        <f t="shared" si="1582"/>
        <v>7011.344322204528</v>
      </c>
      <c r="AI586" s="248">
        <f t="shared" si="1503"/>
        <v>5.4315822141690073E-4</v>
      </c>
      <c r="AJ586" s="196">
        <f t="shared" si="1504"/>
        <v>24119.024468383574</v>
      </c>
      <c r="AK586" s="196">
        <f t="shared" si="1532"/>
        <v>5609.0754577636217</v>
      </c>
      <c r="AL586" s="196">
        <f t="shared" si="1533"/>
        <v>5609.0754577636217</v>
      </c>
      <c r="AM586" s="196">
        <f t="shared" si="1505"/>
        <v>11218.150915527243</v>
      </c>
      <c r="AN586" s="627">
        <f t="shared" si="1506"/>
        <v>5.4315822141690073E-4</v>
      </c>
      <c r="AO586" s="196">
        <f t="shared" si="1507"/>
        <v>5328.6216848754402</v>
      </c>
      <c r="AP586" s="589">
        <f t="shared" si="1524"/>
        <v>5.4315822141690062E-4</v>
      </c>
      <c r="AQ586" s="196"/>
      <c r="AR586" s="589"/>
      <c r="AS586">
        <v>1</v>
      </c>
      <c r="AT586" s="589">
        <f t="shared" si="1525"/>
        <v>1.2919896640826874E-3</v>
      </c>
      <c r="AU586" s="196">
        <v>10</v>
      </c>
      <c r="AV586" s="245">
        <f t="shared" si="1536"/>
        <v>1.1362345188046814E-3</v>
      </c>
      <c r="AX586" s="245"/>
      <c r="AY586" s="245"/>
      <c r="AZ586" s="196">
        <v>19</v>
      </c>
      <c r="BA586" s="589">
        <f t="shared" si="1590"/>
        <v>6.9620021252427542E-4</v>
      </c>
      <c r="BI586" s="196">
        <v>1</v>
      </c>
      <c r="BJ586" s="196">
        <f t="shared" si="1566"/>
        <v>77903.836457637735</v>
      </c>
      <c r="BK586" s="246">
        <f t="shared" si="1591"/>
        <v>1.4855791588892972E-3</v>
      </c>
      <c r="BL586" s="196">
        <f t="shared" si="1583"/>
        <v>1558.0767291527548</v>
      </c>
      <c r="BM586" s="246">
        <f t="shared" si="1592"/>
        <v>1.4855789889147272E-3</v>
      </c>
      <c r="BN586" s="196">
        <v>0</v>
      </c>
      <c r="BO586" s="196">
        <f t="shared" si="1567"/>
        <v>6326.215977527123</v>
      </c>
      <c r="BP586" s="196">
        <f t="shared" si="1508"/>
        <v>0</v>
      </c>
      <c r="BQ586" s="248">
        <f t="shared" si="1593"/>
        <v>0</v>
      </c>
      <c r="BR586" s="248"/>
      <c r="BS586" s="248"/>
      <c r="BT586" s="276">
        <v>0</v>
      </c>
      <c r="BU586" s="196">
        <f t="shared" si="1568"/>
        <v>0</v>
      </c>
      <c r="BV586" s="264">
        <f t="shared" si="1594"/>
        <v>0</v>
      </c>
      <c r="BW586" s="196">
        <f t="shared" si="1569"/>
        <v>0</v>
      </c>
      <c r="BX586" s="247">
        <f t="shared" si="1595"/>
        <v>0</v>
      </c>
      <c r="BY586" s="196">
        <f t="shared" si="1570"/>
        <v>0</v>
      </c>
      <c r="BZ586" s="620">
        <v>1</v>
      </c>
      <c r="CA586" s="196">
        <f t="shared" si="1571"/>
        <v>42909.427251891706</v>
      </c>
      <c r="CB586" s="196">
        <f t="shared" si="1572"/>
        <v>85818.854503783412</v>
      </c>
      <c r="CC586" s="196">
        <f t="shared" si="1521"/>
        <v>128728.28175567513</v>
      </c>
      <c r="CD586" s="247">
        <f t="shared" si="1509"/>
        <v>5.4315822141690073E-4</v>
      </c>
      <c r="CE586" s="196">
        <f t="shared" si="1573"/>
        <v>9608.247200190126</v>
      </c>
      <c r="CF586" s="247">
        <f t="shared" si="1510"/>
        <v>4.1491399523094913E-4</v>
      </c>
      <c r="CG586" s="196">
        <f t="shared" si="1538"/>
        <v>21314.486739501761</v>
      </c>
      <c r="CH586" s="589">
        <f t="shared" si="1526"/>
        <v>5.4315822141690062E-4</v>
      </c>
      <c r="CI586" s="196">
        <f t="shared" si="1574"/>
        <v>38641.756998767582</v>
      </c>
      <c r="CJ586" s="248">
        <f t="shared" si="1527"/>
        <v>6.3527038697399132E-4</v>
      </c>
      <c r="CK586" s="196">
        <f t="shared" si="1575"/>
        <v>31272.433465637783</v>
      </c>
      <c r="CL586" s="589">
        <f t="shared" si="1528"/>
        <v>4.4954766353367371E-4</v>
      </c>
      <c r="CM586" s="196">
        <f t="shared" si="1576"/>
        <v>3029.5229856269953</v>
      </c>
      <c r="CN586" s="589">
        <f t="shared" si="1529"/>
        <v>4.3658869170039527E-4</v>
      </c>
      <c r="CO586" s="196">
        <f t="shared" si="1577"/>
        <v>242.35416698669059</v>
      </c>
      <c r="CP586" s="589">
        <f t="shared" si="1530"/>
        <v>4.5704262952308953E-4</v>
      </c>
      <c r="CQ586" s="196">
        <f>'Detailed Budget'!$AC$12</f>
        <v>292876014141.44696</v>
      </c>
      <c r="CR586" s="269">
        <f t="shared" si="1534"/>
        <v>435090502.74710071</v>
      </c>
      <c r="CS586" s="269">
        <f>'Detailed Budget'!$AC$16</f>
        <v>10488008800.000002</v>
      </c>
      <c r="CT586" s="607">
        <f t="shared" si="1539"/>
        <v>15580765.508832764</v>
      </c>
      <c r="CU586" s="269">
        <f>'Detailed Budget'!$AC$24</f>
        <v>30624985696</v>
      </c>
      <c r="CV586" s="269">
        <f t="shared" si="1589"/>
        <v>45495840.491260439</v>
      </c>
      <c r="CW586" s="269"/>
      <c r="CX586" s="269">
        <f t="shared" si="1522"/>
        <v>496167108.74719393</v>
      </c>
      <c r="CY586" s="196">
        <f>'Detailed Budget'!$AC$97</f>
        <v>74629165494.837845</v>
      </c>
      <c r="CZ586" s="269">
        <f t="shared" si="1540"/>
        <v>0</v>
      </c>
      <c r="DA586" s="269">
        <f>'Detailed Budget'!$AC$100</f>
        <v>14925833098.967569</v>
      </c>
      <c r="DB586" s="269">
        <f t="shared" si="1541"/>
        <v>0</v>
      </c>
      <c r="DC586" s="269">
        <f t="shared" si="1511"/>
        <v>0</v>
      </c>
      <c r="DD586" s="207">
        <v>0</v>
      </c>
      <c r="DE586" s="606">
        <v>0</v>
      </c>
      <c r="DF586" s="269">
        <f>'Detailed Budget'!$AC$147</f>
        <v>5913600671000</v>
      </c>
      <c r="DG586" s="269">
        <f t="shared" si="1584"/>
        <v>0</v>
      </c>
      <c r="DH586" s="269">
        <f>'Detailed Budget'!$AC$153</f>
        <v>226428026880.00003</v>
      </c>
      <c r="DI586" s="269"/>
      <c r="DJ586" s="269">
        <f>'Detailed Budget'!$AC$156</f>
        <v>27713070000</v>
      </c>
      <c r="DK586" s="269"/>
      <c r="DL586" s="269"/>
      <c r="DM586" s="196">
        <f>'Detailed Budget'!$AC$178</f>
        <v>5622683761.6229038</v>
      </c>
      <c r="DN586" s="269">
        <f t="shared" si="1578"/>
        <v>0</v>
      </c>
      <c r="DO586" s="196">
        <f>'Detailed Budget'!$AC$179</f>
        <v>26827890683.128094</v>
      </c>
      <c r="DP586" s="269">
        <f t="shared" si="1579"/>
        <v>0</v>
      </c>
      <c r="DQ586" s="269">
        <f t="shared" si="1531"/>
        <v>0</v>
      </c>
      <c r="DR586" s="269">
        <f>'Detailed Budget'!$AC$181</f>
        <v>50888946855.375237</v>
      </c>
      <c r="DS586" s="269">
        <f t="shared" si="1580"/>
        <v>0</v>
      </c>
      <c r="DT586" s="269">
        <f t="shared" si="1581"/>
        <v>0</v>
      </c>
      <c r="DU586" s="272">
        <f>'Detailed Budget'!$AC$192</f>
        <v>77498869683.252869</v>
      </c>
      <c r="DV586" s="269">
        <f t="shared" si="1542"/>
        <v>42094148.218975797</v>
      </c>
      <c r="DW586" s="140">
        <f>'Detailed Budget'!$AC$194</f>
        <v>2684962805.4134097</v>
      </c>
      <c r="DX586" s="269">
        <f t="shared" si="1543"/>
        <v>1458359.6219588798</v>
      </c>
      <c r="DY586" s="607">
        <f t="shared" si="1512"/>
        <v>43552507.840934679</v>
      </c>
      <c r="DZ586" s="196">
        <f>'Detailed Budget'!$AC$198</f>
        <v>18732540018.380611</v>
      </c>
      <c r="EA586" s="269">
        <f t="shared" si="1544"/>
        <v>7772393.0198499365</v>
      </c>
      <c r="EB586" s="196">
        <f>'Detailed Budget'!$AC$200</f>
        <v>4683135004.5951529</v>
      </c>
      <c r="EC586" s="269">
        <f t="shared" si="1545"/>
        <v>1943098.2549624841</v>
      </c>
      <c r="ED586" s="269">
        <f t="shared" si="1513"/>
        <v>9715491.2748124208</v>
      </c>
      <c r="EE586" s="196">
        <f>'Detailed Budget'!$AC$161</f>
        <v>251147290106.36197</v>
      </c>
      <c r="EF586" s="269">
        <f t="shared" si="1546"/>
        <v>136412715.40784591</v>
      </c>
      <c r="EG586" s="196">
        <f>'Detailed Budget'!$AC$163</f>
        <v>15696705631.647623</v>
      </c>
      <c r="EH586" s="269">
        <f t="shared" si="1547"/>
        <v>8525794.7129903696</v>
      </c>
      <c r="EI586" s="269">
        <f t="shared" si="1514"/>
        <v>144938510.12083629</v>
      </c>
      <c r="EJ586" s="196">
        <f>'Detailed Budget'!$AC$204</f>
        <v>45012172507.531975</v>
      </c>
      <c r="EK586" s="269">
        <f t="shared" si="1548"/>
        <v>28594900.247399893</v>
      </c>
      <c r="EL586" s="201">
        <f>'Detailed Budget'!$AC$206</f>
        <v>11253043126.882994</v>
      </c>
      <c r="EM586" s="269">
        <f t="shared" si="1549"/>
        <v>7148725.0618499732</v>
      </c>
      <c r="EN586" s="269">
        <f t="shared" si="1515"/>
        <v>35743625.309249863</v>
      </c>
      <c r="EO586" s="140">
        <f>'Detailed Budget'!$AC$209</f>
        <v>135789361677.54817</v>
      </c>
      <c r="EP586" s="269">
        <f t="shared" si="1550"/>
        <v>61043790.274870753</v>
      </c>
      <c r="EQ586" s="196">
        <f>'Detailed Budget'!$AC$211</f>
        <v>33947340419.387043</v>
      </c>
      <c r="ER586" s="269">
        <f t="shared" si="1551"/>
        <v>15260947.568717688</v>
      </c>
      <c r="ES586" s="269">
        <f t="shared" si="1516"/>
        <v>76304737.843588442</v>
      </c>
      <c r="ET586" s="196">
        <f>'Detailed Budget'!$AC$214</f>
        <v>22239745544.201103</v>
      </c>
      <c r="EU586" s="269">
        <f t="shared" si="1552"/>
        <v>9709621.4108924549</v>
      </c>
      <c r="EV586" s="140">
        <f>'Detailed Budget'!$AC$217</f>
        <v>5559936386.0502758</v>
      </c>
      <c r="EW586" s="269">
        <f t="shared" si="1553"/>
        <v>2427405.3527231137</v>
      </c>
      <c r="EX586" s="269">
        <f t="shared" si="1517"/>
        <v>12137026.763615569</v>
      </c>
      <c r="EY586" s="196">
        <f>'Detailed Budget'!$AC$219</f>
        <v>372777004.58170313</v>
      </c>
      <c r="EZ586" s="269">
        <f t="shared" si="1554"/>
        <v>170374.9823997624</v>
      </c>
      <c r="FA586" s="196">
        <f>'Detailed Budget'!$AC$222</f>
        <v>93194251.145425782</v>
      </c>
      <c r="FB586" s="269">
        <f t="shared" si="1555"/>
        <v>42593.745599940601</v>
      </c>
      <c r="FC586" s="269">
        <f t="shared" si="1518"/>
        <v>212968.727999703</v>
      </c>
      <c r="FD586" s="269"/>
      <c r="FE586" s="269">
        <f t="shared" si="1519"/>
        <v>124398358.64445357</v>
      </c>
      <c r="FF586" s="140">
        <f>'Detailed Budget'!$AC$165</f>
        <v>14927760000</v>
      </c>
      <c r="FG586" s="1087">
        <f t="shared" si="1585"/>
        <v>169687595.59775347</v>
      </c>
      <c r="FH586" s="269">
        <f t="shared" si="1556"/>
        <v>16961436.200431772</v>
      </c>
      <c r="FJ586" s="140">
        <f>'Detailed Budget'!$AC$235</f>
        <v>3623696172</v>
      </c>
      <c r="FK586" s="269">
        <f t="shared" si="1557"/>
        <v>4681778</v>
      </c>
      <c r="FL586" s="269">
        <f t="shared" si="1586"/>
        <v>4681778</v>
      </c>
      <c r="FO586" s="607"/>
      <c r="FP586" s="607"/>
      <c r="FQ586" s="607"/>
      <c r="FR586" s="269">
        <f>'Detailed Budget'!$AC$257</f>
        <v>13636439388</v>
      </c>
      <c r="FS586" s="269">
        <f t="shared" si="1558"/>
        <v>9493692</v>
      </c>
      <c r="FT586" s="269">
        <f t="shared" si="1587"/>
        <v>9493692</v>
      </c>
      <c r="FU586" s="269"/>
      <c r="FV586" s="269"/>
      <c r="FW586" s="269"/>
      <c r="FX586" s="140">
        <f>'Detailed Budget'!$AC$278</f>
        <v>1114560000</v>
      </c>
      <c r="FY586" s="269">
        <f t="shared" si="1559"/>
        <v>1440000</v>
      </c>
      <c r="FZ586" s="269">
        <f t="shared" si="1588"/>
        <v>1440000</v>
      </c>
      <c r="GB586" s="269">
        <f t="shared" si="1596"/>
        <v>1021036478.4264162</v>
      </c>
      <c r="GC586" s="887">
        <f t="shared" si="1520"/>
        <v>638147.79901651014</v>
      </c>
      <c r="GD586" s="1078">
        <f t="shared" si="1597"/>
        <v>5.7293571956785496E-4</v>
      </c>
    </row>
    <row r="587" spans="1:186" hidden="1" outlineLevel="1">
      <c r="A587" s="211" t="s">
        <v>1283</v>
      </c>
      <c r="B587" s="212" t="s">
        <v>1284</v>
      </c>
      <c r="C587" s="213" t="s">
        <v>215</v>
      </c>
      <c r="D587" s="214"/>
      <c r="E587" s="213"/>
      <c r="F587" s="213"/>
      <c r="G587" s="213" t="s">
        <v>215</v>
      </c>
      <c r="H587" s="213" t="s">
        <v>215</v>
      </c>
      <c r="I587" s="214" t="s">
        <v>215</v>
      </c>
      <c r="J587" s="214"/>
      <c r="K587" s="213"/>
      <c r="L587" s="213"/>
      <c r="M587" s="214" t="s">
        <v>215</v>
      </c>
      <c r="N587" s="213"/>
      <c r="O587" s="214"/>
      <c r="P587" s="213"/>
      <c r="Q587" s="214"/>
      <c r="R587" s="214" t="s">
        <v>215</v>
      </c>
      <c r="S587" s="214"/>
      <c r="T587" s="214"/>
      <c r="U587" s="215">
        <f t="shared" si="1564"/>
        <v>6</v>
      </c>
      <c r="V587" s="845" t="s">
        <v>216</v>
      </c>
      <c r="W587" s="216">
        <v>137127</v>
      </c>
      <c r="X587" s="217">
        <v>3.36</v>
      </c>
      <c r="Y587" s="218">
        <f t="shared" si="1477"/>
        <v>1.0336000000000001</v>
      </c>
      <c r="Z587" s="196">
        <v>19</v>
      </c>
      <c r="AA587" s="218">
        <f t="shared" si="1478"/>
        <v>1.873689022502546</v>
      </c>
      <c r="AB587" s="196">
        <f t="shared" si="1561"/>
        <v>256933.35458870663</v>
      </c>
      <c r="AC587">
        <v>12.2</v>
      </c>
      <c r="AD587" s="196">
        <f t="shared" si="1562"/>
        <v>31345.869259822204</v>
      </c>
      <c r="AE587" s="196">
        <f t="shared" si="1479"/>
        <v>29778.575796831094</v>
      </c>
      <c r="AF587" s="196">
        <f t="shared" si="1565"/>
        <v>0</v>
      </c>
      <c r="AG587" s="606">
        <f t="shared" si="1523"/>
        <v>1.3768306144481886E-3</v>
      </c>
      <c r="AH587" s="196">
        <f t="shared" si="1582"/>
        <v>12846.667729435332</v>
      </c>
      <c r="AI587" s="248">
        <f t="shared" si="1503"/>
        <v>9.9521188439651714E-4</v>
      </c>
      <c r="AJ587" s="196">
        <f t="shared" si="1504"/>
        <v>44192.53698925754</v>
      </c>
      <c r="AK587" s="196">
        <f t="shared" si="1532"/>
        <v>10277.334183548266</v>
      </c>
      <c r="AL587" s="196">
        <f t="shared" si="1533"/>
        <v>10277.334183548266</v>
      </c>
      <c r="AM587" s="196">
        <f t="shared" si="1505"/>
        <v>20554.668367096532</v>
      </c>
      <c r="AN587" s="627">
        <f t="shared" si="1506"/>
        <v>9.9521188439651714E-4</v>
      </c>
      <c r="AO587" s="196">
        <f t="shared" si="1507"/>
        <v>9763.4674743708511</v>
      </c>
      <c r="AP587" s="589">
        <f t="shared" si="1524"/>
        <v>9.9521188439651714E-4</v>
      </c>
      <c r="AQ587" s="196"/>
      <c r="AR587" s="589"/>
      <c r="AS587">
        <v>1</v>
      </c>
      <c r="AT587" s="589">
        <f t="shared" si="1525"/>
        <v>1.2919896640826874E-3</v>
      </c>
      <c r="AU587" s="196">
        <v>10</v>
      </c>
      <c r="AV587" s="245">
        <f t="shared" si="1536"/>
        <v>1.1362345188046814E-3</v>
      </c>
      <c r="AX587" s="245"/>
      <c r="AY587" s="245"/>
      <c r="AZ587" s="196">
        <v>15</v>
      </c>
      <c r="BA587" s="589">
        <f t="shared" si="1590"/>
        <v>5.4963174672969107E-4</v>
      </c>
      <c r="BI587" s="196">
        <v>1</v>
      </c>
      <c r="BJ587" s="196">
        <f t="shared" si="1566"/>
        <v>142740.77207277511</v>
      </c>
      <c r="BK587" s="246">
        <f t="shared" si="1591"/>
        <v>2.7219804024721092E-3</v>
      </c>
      <c r="BL587" s="196">
        <f t="shared" si="1583"/>
        <v>2854.8154414555024</v>
      </c>
      <c r="BM587" s="246">
        <f t="shared" si="1592"/>
        <v>2.7219800910330007E-3</v>
      </c>
      <c r="BN587" s="196">
        <v>0</v>
      </c>
      <c r="BO587" s="196">
        <f t="shared" si="1567"/>
        <v>11591.328411950319</v>
      </c>
      <c r="BP587" s="196">
        <f t="shared" si="1508"/>
        <v>0</v>
      </c>
      <c r="BQ587" s="248">
        <f t="shared" si="1593"/>
        <v>0</v>
      </c>
      <c r="BR587" s="248"/>
      <c r="BS587" s="248"/>
      <c r="BT587" s="276">
        <v>0</v>
      </c>
      <c r="BU587" s="196">
        <f t="shared" si="1568"/>
        <v>0</v>
      </c>
      <c r="BV587" s="264">
        <f t="shared" si="1594"/>
        <v>0</v>
      </c>
      <c r="BW587" s="196">
        <f t="shared" si="1569"/>
        <v>0</v>
      </c>
      <c r="BX587" s="247">
        <f t="shared" si="1595"/>
        <v>0</v>
      </c>
      <c r="BY587" s="196">
        <f t="shared" si="1570"/>
        <v>0</v>
      </c>
      <c r="BZ587" s="620">
        <v>1</v>
      </c>
      <c r="CA587" s="196">
        <f t="shared" si="1571"/>
        <v>78621.606504144234</v>
      </c>
      <c r="CB587" s="196">
        <f t="shared" si="1572"/>
        <v>157243.21300828847</v>
      </c>
      <c r="CC587" s="196">
        <f t="shared" si="1521"/>
        <v>235864.8195124327</v>
      </c>
      <c r="CD587" s="247">
        <f t="shared" si="1509"/>
        <v>9.9521188439651714E-4</v>
      </c>
      <c r="CE587" s="196">
        <f t="shared" si="1573"/>
        <v>17604.891953774335</v>
      </c>
      <c r="CF587" s="247">
        <f t="shared" si="1510"/>
        <v>7.6023398482141043E-4</v>
      </c>
      <c r="CG587" s="196">
        <f t="shared" si="1538"/>
        <v>39053.869897483404</v>
      </c>
      <c r="CH587" s="589">
        <f t="shared" si="1526"/>
        <v>9.9521188439651714E-4</v>
      </c>
      <c r="CI587" s="196">
        <f t="shared" si="1574"/>
        <v>70802.087279128828</v>
      </c>
      <c r="CJ587" s="248">
        <f t="shared" si="1527"/>
        <v>1.1639861351494187E-3</v>
      </c>
      <c r="CK587" s="196">
        <f t="shared" si="1575"/>
        <v>57299.505396078457</v>
      </c>
      <c r="CL587" s="589">
        <f t="shared" si="1528"/>
        <v>8.2369217607405226E-4</v>
      </c>
      <c r="CM587" s="196">
        <f t="shared" si="1576"/>
        <v>5550.9005672110225</v>
      </c>
      <c r="CN587" s="589">
        <f t="shared" si="1529"/>
        <v>7.9994785578300497E-4</v>
      </c>
      <c r="CO587" s="196">
        <f t="shared" si="1577"/>
        <v>444.05798846050129</v>
      </c>
      <c r="CP587" s="589">
        <f t="shared" si="1530"/>
        <v>8.3742496871476067E-4</v>
      </c>
      <c r="CQ587" s="196">
        <f>'Detailed Budget'!$AC$12</f>
        <v>292876014141.44696</v>
      </c>
      <c r="CR587" s="269">
        <f t="shared" si="1534"/>
        <v>797202770.84716296</v>
      </c>
      <c r="CS587" s="269">
        <f>'Detailed Budget'!$AC$16</f>
        <v>10488008800.000002</v>
      </c>
      <c r="CT587" s="607">
        <f t="shared" si="1539"/>
        <v>28548151.148178916</v>
      </c>
      <c r="CU587" s="269">
        <f>'Detailed Budget'!$AC$24</f>
        <v>30624985696</v>
      </c>
      <c r="CV587" s="269">
        <f t="shared" si="1589"/>
        <v>83360610.890500665</v>
      </c>
      <c r="CW587" s="269"/>
      <c r="CX587" s="269">
        <f t="shared" si="1522"/>
        <v>909111532.88584256</v>
      </c>
      <c r="CY587" s="196">
        <f>'Detailed Budget'!$AC$97</f>
        <v>74629165494.837845</v>
      </c>
      <c r="CZ587" s="269">
        <f t="shared" si="1540"/>
        <v>0</v>
      </c>
      <c r="DA587" s="269">
        <f>'Detailed Budget'!$AC$100</f>
        <v>14925833098.967569</v>
      </c>
      <c r="DB587" s="269">
        <f t="shared" si="1541"/>
        <v>0</v>
      </c>
      <c r="DC587" s="269">
        <f t="shared" si="1511"/>
        <v>0</v>
      </c>
      <c r="DD587" s="207">
        <v>0</v>
      </c>
      <c r="DE587" s="606">
        <v>0</v>
      </c>
      <c r="DF587" s="269">
        <f>'Detailed Budget'!$AC$147</f>
        <v>5913600671000</v>
      </c>
      <c r="DG587" s="269">
        <f t="shared" si="1584"/>
        <v>0</v>
      </c>
      <c r="DH587" s="269">
        <f>'Detailed Budget'!$AC$153</f>
        <v>226428026880.00003</v>
      </c>
      <c r="DI587" s="269"/>
      <c r="DJ587" s="269">
        <f>'Detailed Budget'!$AC$156</f>
        <v>27713070000</v>
      </c>
      <c r="DK587" s="269"/>
      <c r="DL587" s="269"/>
      <c r="DM587" s="196">
        <f>'Detailed Budget'!$AC$178</f>
        <v>5622683761.6229038</v>
      </c>
      <c r="DN587" s="269">
        <f t="shared" si="1578"/>
        <v>0</v>
      </c>
      <c r="DO587" s="196">
        <f>'Detailed Budget'!$AC$179</f>
        <v>26827890683.128094</v>
      </c>
      <c r="DP587" s="269">
        <f t="shared" si="1579"/>
        <v>0</v>
      </c>
      <c r="DQ587" s="269">
        <f t="shared" si="1531"/>
        <v>0</v>
      </c>
      <c r="DR587" s="269">
        <f>'Detailed Budget'!$AC$181</f>
        <v>50888946855.375237</v>
      </c>
      <c r="DS587" s="269">
        <f t="shared" si="1580"/>
        <v>0</v>
      </c>
      <c r="DT587" s="269">
        <f t="shared" si="1581"/>
        <v>0</v>
      </c>
      <c r="DU587" s="272">
        <f>'Detailed Budget'!$AC$192</f>
        <v>77498869683.252869</v>
      </c>
      <c r="DV587" s="269">
        <f t="shared" si="1542"/>
        <v>77127796.136070207</v>
      </c>
      <c r="DW587" s="140">
        <f>'Detailed Budget'!$AC$194</f>
        <v>2684962805.4134097</v>
      </c>
      <c r="DX587" s="269">
        <f t="shared" si="1543"/>
        <v>2672106.8931100387</v>
      </c>
      <c r="DY587" s="607">
        <f t="shared" si="1512"/>
        <v>79799903.029180244</v>
      </c>
      <c r="DZ587" s="196">
        <f>'Detailed Budget'!$AC$198</f>
        <v>18732540018.380611</v>
      </c>
      <c r="EA587" s="269">
        <f t="shared" si="1544"/>
        <v>14241113.54400003</v>
      </c>
      <c r="EB587" s="196">
        <f>'Detailed Budget'!$AC$200</f>
        <v>4683135004.5951529</v>
      </c>
      <c r="EC587" s="269">
        <f t="shared" si="1545"/>
        <v>3560278.3860000074</v>
      </c>
      <c r="ED587" s="269">
        <f t="shared" si="1513"/>
        <v>17801391.930000037</v>
      </c>
      <c r="EE587" s="196">
        <f>'Detailed Budget'!$AC$161</f>
        <v>251147290106.36197</v>
      </c>
      <c r="EF587" s="269">
        <f t="shared" si="1546"/>
        <v>249944767.84783125</v>
      </c>
      <c r="EG587" s="196">
        <f>'Detailed Budget'!$AC$163</f>
        <v>15696705631.647623</v>
      </c>
      <c r="EH587" s="269">
        <f t="shared" si="1547"/>
        <v>15621547.990489453</v>
      </c>
      <c r="EI587" s="269">
        <f t="shared" si="1514"/>
        <v>265566315.8383207</v>
      </c>
      <c r="EJ587" s="196">
        <f>'Detailed Budget'!$AC$204</f>
        <v>45012172507.531975</v>
      </c>
      <c r="EK587" s="269">
        <f t="shared" si="1548"/>
        <v>52393544.711721063</v>
      </c>
      <c r="EL587" s="201">
        <f>'Detailed Budget'!$AC$206</f>
        <v>11253043126.882994</v>
      </c>
      <c r="EM587" s="269">
        <f t="shared" si="1549"/>
        <v>13098386.177930266</v>
      </c>
      <c r="EN587" s="269">
        <f t="shared" si="1515"/>
        <v>65491930.889651328</v>
      </c>
      <c r="EO587" s="140">
        <f>'Detailed Budget'!$AC$209</f>
        <v>135789361677.54817</v>
      </c>
      <c r="EP587" s="269">
        <f t="shared" si="1550"/>
        <v>111848634.80788617</v>
      </c>
      <c r="EQ587" s="196">
        <f>'Detailed Budget'!$AC$211</f>
        <v>33947340419.387043</v>
      </c>
      <c r="ER587" s="269">
        <f t="shared" si="1551"/>
        <v>27962158.701971542</v>
      </c>
      <c r="ES587" s="269">
        <f t="shared" si="1516"/>
        <v>139810793.50985771</v>
      </c>
      <c r="ET587" s="196">
        <f>'Detailed Budget'!$AC$214</f>
        <v>22239745544.201103</v>
      </c>
      <c r="EU587" s="269">
        <f t="shared" si="1552"/>
        <v>17790636.76124331</v>
      </c>
      <c r="EV587" s="140">
        <f>'Detailed Budget'!$AC$217</f>
        <v>5559936386.0502758</v>
      </c>
      <c r="EW587" s="269">
        <f t="shared" si="1553"/>
        <v>4447659.1903108275</v>
      </c>
      <c r="EX587" s="269">
        <f t="shared" si="1517"/>
        <v>22238295.951554138</v>
      </c>
      <c r="EY587" s="196">
        <f>'Detailed Budget'!$AC$219</f>
        <v>372777004.58170313</v>
      </c>
      <c r="EZ587" s="269">
        <f t="shared" si="1554"/>
        <v>312172.77139941492</v>
      </c>
      <c r="FA587" s="196">
        <f>'Detailed Budget'!$AC$222</f>
        <v>93194251.145425782</v>
      </c>
      <c r="FB587" s="269">
        <f t="shared" si="1555"/>
        <v>78043.192849853731</v>
      </c>
      <c r="FC587" s="269">
        <f t="shared" si="1518"/>
        <v>390215.96424926864</v>
      </c>
      <c r="FD587" s="269"/>
      <c r="FE587" s="269">
        <f t="shared" si="1519"/>
        <v>227931236.31531247</v>
      </c>
      <c r="FF587" s="140">
        <f>'Detailed Budget'!$AC$165</f>
        <v>14927760000</v>
      </c>
      <c r="FG587" s="1087">
        <f t="shared" si="1585"/>
        <v>310913293.9809345</v>
      </c>
      <c r="FH587" s="269">
        <f t="shared" si="1556"/>
        <v>16961436.200431772</v>
      </c>
      <c r="FJ587" s="140">
        <f>'Detailed Budget'!$AC$235</f>
        <v>3623696172</v>
      </c>
      <c r="FK587" s="269">
        <f t="shared" si="1557"/>
        <v>4681778</v>
      </c>
      <c r="FL587" s="269">
        <f t="shared" si="1586"/>
        <v>4681778</v>
      </c>
      <c r="FO587" s="607"/>
      <c r="FP587" s="607"/>
      <c r="FQ587" s="607"/>
      <c r="FR587" s="269">
        <f>'Detailed Budget'!$AC$257</f>
        <v>13636439388</v>
      </c>
      <c r="FS587" s="269">
        <f t="shared" si="1558"/>
        <v>7495019.9999999991</v>
      </c>
      <c r="FT587" s="269">
        <f t="shared" si="1587"/>
        <v>7495019.9999999991</v>
      </c>
      <c r="FU587" s="269"/>
      <c r="FV587" s="269"/>
      <c r="FW587" s="269"/>
      <c r="FX587" s="140">
        <f>'Detailed Budget'!$AC$278</f>
        <v>1114560000</v>
      </c>
      <c r="FY587" s="269">
        <f t="shared" si="1559"/>
        <v>1440000</v>
      </c>
      <c r="FZ587" s="269">
        <f t="shared" si="1588"/>
        <v>1440000</v>
      </c>
      <c r="GB587" s="269">
        <f t="shared" si="1596"/>
        <v>1841701908.1800222</v>
      </c>
      <c r="GC587" s="887">
        <f t="shared" si="1520"/>
        <v>1151063.6926125139</v>
      </c>
      <c r="GD587" s="1078">
        <f t="shared" si="1597"/>
        <v>1.0334369342208146E-3</v>
      </c>
    </row>
    <row r="588" spans="1:186" hidden="1" outlineLevel="1">
      <c r="A588" s="211" t="s">
        <v>1285</v>
      </c>
      <c r="B588" s="212" t="s">
        <v>1286</v>
      </c>
      <c r="C588" s="213" t="s">
        <v>215</v>
      </c>
      <c r="D588" s="214"/>
      <c r="E588" s="213"/>
      <c r="F588" s="213"/>
      <c r="G588" s="213" t="s">
        <v>215</v>
      </c>
      <c r="H588" s="213" t="s">
        <v>215</v>
      </c>
      <c r="I588" s="214" t="s">
        <v>215</v>
      </c>
      <c r="J588" s="214"/>
      <c r="K588" s="213"/>
      <c r="L588" s="213"/>
      <c r="M588" s="214" t="s">
        <v>215</v>
      </c>
      <c r="N588" s="213"/>
      <c r="O588" s="214"/>
      <c r="P588" s="213"/>
      <c r="Q588" s="214"/>
      <c r="R588" s="214" t="s">
        <v>215</v>
      </c>
      <c r="S588" s="214"/>
      <c r="T588" s="214"/>
      <c r="U588" s="215">
        <f t="shared" si="1564"/>
        <v>6</v>
      </c>
      <c r="V588" s="845" t="s">
        <v>216</v>
      </c>
      <c r="W588" s="216">
        <v>188605</v>
      </c>
      <c r="X588" s="217">
        <v>3.36</v>
      </c>
      <c r="Y588" s="218">
        <f t="shared" si="1477"/>
        <v>1.0336000000000001</v>
      </c>
      <c r="Z588" s="196">
        <v>19</v>
      </c>
      <c r="AA588" s="218">
        <f t="shared" si="1478"/>
        <v>1.873689022502546</v>
      </c>
      <c r="AB588" s="196">
        <f t="shared" si="1561"/>
        <v>353387.11808909266</v>
      </c>
      <c r="AC588">
        <v>12.2</v>
      </c>
      <c r="AD588" s="196">
        <f t="shared" si="1562"/>
        <v>43113.228406869304</v>
      </c>
      <c r="AE588" s="196">
        <f t="shared" si="1479"/>
        <v>40957.566986525839</v>
      </c>
      <c r="AF588" s="196">
        <f t="shared" si="1565"/>
        <v>0</v>
      </c>
      <c r="AG588" s="606">
        <f t="shared" si="1523"/>
        <v>1.8936980903687868E-3</v>
      </c>
      <c r="AH588" s="196">
        <f t="shared" si="1582"/>
        <v>17669.355904454635</v>
      </c>
      <c r="AI588" s="248">
        <f t="shared" si="1503"/>
        <v>1.3688182302289491E-3</v>
      </c>
      <c r="AJ588" s="196">
        <f t="shared" si="1504"/>
        <v>60782.584311323939</v>
      </c>
      <c r="AK588" s="196">
        <f t="shared" si="1532"/>
        <v>14135.484723563706</v>
      </c>
      <c r="AL588" s="196">
        <f t="shared" si="1533"/>
        <v>14135.484723563706</v>
      </c>
      <c r="AM588" s="196">
        <f t="shared" si="1505"/>
        <v>28270.969447127412</v>
      </c>
      <c r="AN588" s="627">
        <f t="shared" si="1506"/>
        <v>1.3688182302289491E-3</v>
      </c>
      <c r="AO588" s="196">
        <f t="shared" si="1507"/>
        <v>13428.710487385521</v>
      </c>
      <c r="AP588" s="589">
        <f t="shared" si="1524"/>
        <v>1.3688182302289489E-3</v>
      </c>
      <c r="AQ588" s="196"/>
      <c r="AR588" s="589"/>
      <c r="AS588">
        <v>1</v>
      </c>
      <c r="AT588" s="589">
        <f t="shared" si="1525"/>
        <v>1.2919896640826874E-3</v>
      </c>
      <c r="AU588" s="196">
        <v>11</v>
      </c>
      <c r="AV588" s="245">
        <f t="shared" si="1536"/>
        <v>1.2498579706851495E-3</v>
      </c>
      <c r="AX588" s="245"/>
      <c r="AY588" s="245"/>
      <c r="AZ588" s="196">
        <v>19</v>
      </c>
      <c r="BA588" s="589">
        <f t="shared" si="1590"/>
        <v>6.9620021252427542E-4</v>
      </c>
      <c r="BI588" s="196">
        <v>1</v>
      </c>
      <c r="BJ588" s="196">
        <f t="shared" si="1566"/>
        <v>196326.20356885041</v>
      </c>
      <c r="BK588" s="246">
        <f t="shared" si="1591"/>
        <v>3.7438222509662733E-3</v>
      </c>
      <c r="BL588" s="196">
        <f t="shared" si="1583"/>
        <v>3926.5240713770081</v>
      </c>
      <c r="BM588" s="246">
        <f t="shared" si="1592"/>
        <v>3.7438218226117331E-3</v>
      </c>
      <c r="BN588" s="196">
        <v>0</v>
      </c>
      <c r="BO588" s="196">
        <f t="shared" si="1567"/>
        <v>15942.757408357869</v>
      </c>
      <c r="BP588" s="196">
        <f t="shared" si="1508"/>
        <v>0</v>
      </c>
      <c r="BQ588" s="248">
        <f t="shared" si="1593"/>
        <v>0</v>
      </c>
      <c r="BR588" s="248"/>
      <c r="BS588" s="248"/>
      <c r="BT588" s="276">
        <v>0</v>
      </c>
      <c r="BU588" s="196">
        <f t="shared" si="1568"/>
        <v>0</v>
      </c>
      <c r="BV588" s="264">
        <f t="shared" si="1594"/>
        <v>0</v>
      </c>
      <c r="BW588" s="196">
        <f t="shared" si="1569"/>
        <v>0</v>
      </c>
      <c r="BX588" s="247">
        <f t="shared" si="1595"/>
        <v>0</v>
      </c>
      <c r="BY588" s="196">
        <f t="shared" si="1570"/>
        <v>0</v>
      </c>
      <c r="BZ588" s="620">
        <v>1</v>
      </c>
      <c r="CA588" s="196">
        <f t="shared" si="1571"/>
        <v>108136.45813526234</v>
      </c>
      <c r="CB588" s="196">
        <f t="shared" si="1572"/>
        <v>216272.91627052467</v>
      </c>
      <c r="CC588" s="196">
        <f t="shared" si="1521"/>
        <v>324409.37440578698</v>
      </c>
      <c r="CD588" s="247">
        <f t="shared" si="1509"/>
        <v>1.3688182302289487E-3</v>
      </c>
      <c r="CE588" s="196">
        <f t="shared" si="1573"/>
        <v>24213.835692034449</v>
      </c>
      <c r="CF588" s="247">
        <f t="shared" si="1510"/>
        <v>1.0456287288954187E-3</v>
      </c>
      <c r="CG588" s="196">
        <f t="shared" si="1538"/>
        <v>53714.841949542082</v>
      </c>
      <c r="CH588" s="589">
        <f t="shared" si="1526"/>
        <v>1.3688182302289489E-3</v>
      </c>
      <c r="CI588" s="196">
        <f t="shared" si="1574"/>
        <v>97381.461501236772</v>
      </c>
      <c r="CJ588" s="248">
        <f t="shared" si="1527"/>
        <v>1.6009509798935013E-3</v>
      </c>
      <c r="CK588" s="196">
        <f t="shared" si="1575"/>
        <v>78809.958762514885</v>
      </c>
      <c r="CL588" s="589">
        <f t="shared" si="1528"/>
        <v>1.132909367728067E-3</v>
      </c>
      <c r="CM588" s="196">
        <f t="shared" si="1576"/>
        <v>7634.7298597565396</v>
      </c>
      <c r="CN588" s="589">
        <f t="shared" si="1529"/>
        <v>1.1002513388315479E-3</v>
      </c>
      <c r="CO588" s="196">
        <f t="shared" si="1577"/>
        <v>610.75905484399755</v>
      </c>
      <c r="CP588" s="589">
        <f t="shared" si="1530"/>
        <v>1.151797503222906E-3</v>
      </c>
      <c r="CQ588" s="196">
        <f>'Detailed Budget'!$AC$12</f>
        <v>292876014141.44696</v>
      </c>
      <c r="CR588" s="269">
        <f t="shared" si="1534"/>
        <v>1096475738.5170619</v>
      </c>
      <c r="CS588" s="269">
        <f>'Detailed Budget'!$AC$16</f>
        <v>10488008800.000002</v>
      </c>
      <c r="CT588" s="607">
        <f t="shared" si="1539"/>
        <v>39265236.221183904</v>
      </c>
      <c r="CU588" s="269">
        <f>'Detailed Budget'!$AC$24</f>
        <v>30624985696</v>
      </c>
      <c r="CV588" s="269">
        <f t="shared" si="1589"/>
        <v>114654502.88420865</v>
      </c>
      <c r="CW588" s="269"/>
      <c r="CX588" s="269">
        <f t="shared" si="1522"/>
        <v>1250395477.6224546</v>
      </c>
      <c r="CY588" s="196">
        <f>'Detailed Budget'!$AC$97</f>
        <v>74629165494.837845</v>
      </c>
      <c r="CZ588" s="269">
        <f t="shared" si="1540"/>
        <v>0</v>
      </c>
      <c r="DA588" s="269">
        <f>'Detailed Budget'!$AC$100</f>
        <v>14925833098.967569</v>
      </c>
      <c r="DB588" s="269">
        <f t="shared" si="1541"/>
        <v>0</v>
      </c>
      <c r="DC588" s="269">
        <f t="shared" si="1511"/>
        <v>0</v>
      </c>
      <c r="DD588" s="207">
        <v>0</v>
      </c>
      <c r="DE588" s="606">
        <v>0</v>
      </c>
      <c r="DF588" s="269">
        <f>'Detailed Budget'!$AC$147</f>
        <v>5913600671000</v>
      </c>
      <c r="DG588" s="269">
        <f t="shared" si="1584"/>
        <v>0</v>
      </c>
      <c r="DH588" s="269">
        <f>'Detailed Budget'!$AC$153</f>
        <v>226428026880.00003</v>
      </c>
      <c r="DI588" s="269"/>
      <c r="DJ588" s="269">
        <f>'Detailed Budget'!$AC$156</f>
        <v>27713070000</v>
      </c>
      <c r="DK588" s="269"/>
      <c r="DL588" s="269"/>
      <c r="DM588" s="196">
        <f>'Detailed Budget'!$AC$178</f>
        <v>5622683761.6229038</v>
      </c>
      <c r="DN588" s="269">
        <f t="shared" si="1578"/>
        <v>0</v>
      </c>
      <c r="DO588" s="196">
        <f>'Detailed Budget'!$AC$179</f>
        <v>26827890683.128094</v>
      </c>
      <c r="DP588" s="269">
        <f t="shared" si="1579"/>
        <v>0</v>
      </c>
      <c r="DQ588" s="269">
        <f t="shared" si="1531"/>
        <v>0</v>
      </c>
      <c r="DR588" s="269">
        <f>'Detailed Budget'!$AC$181</f>
        <v>50888946855.375237</v>
      </c>
      <c r="DS588" s="269">
        <f t="shared" si="1580"/>
        <v>0</v>
      </c>
      <c r="DT588" s="269">
        <f t="shared" si="1581"/>
        <v>0</v>
      </c>
      <c r="DU588" s="272">
        <f>'Detailed Budget'!$AC$192</f>
        <v>77498869683.252869</v>
      </c>
      <c r="DV588" s="269">
        <f t="shared" si="1542"/>
        <v>106081865.64457412</v>
      </c>
      <c r="DW588" s="140">
        <f>'Detailed Budget'!$AC$194</f>
        <v>2684962805.4134097</v>
      </c>
      <c r="DX588" s="269">
        <f t="shared" si="1543"/>
        <v>3675226.0355365379</v>
      </c>
      <c r="DY588" s="607">
        <f t="shared" si="1512"/>
        <v>109757091.68011066</v>
      </c>
      <c r="DZ588" s="196">
        <f>'Detailed Budget'!$AC$198</f>
        <v>18732540018.380611</v>
      </c>
      <c r="EA588" s="269">
        <f t="shared" si="1544"/>
        <v>19587282.008401882</v>
      </c>
      <c r="EB588" s="196">
        <f>'Detailed Budget'!$AC$200</f>
        <v>4683135004.5951529</v>
      </c>
      <c r="EC588" s="269">
        <f t="shared" si="1545"/>
        <v>4896820.5021004705</v>
      </c>
      <c r="ED588" s="269">
        <f t="shared" si="1513"/>
        <v>24484102.510502353</v>
      </c>
      <c r="EE588" s="196">
        <f>'Detailed Budget'!$AC$161</f>
        <v>251147290106.36197</v>
      </c>
      <c r="EF588" s="269">
        <f t="shared" si="1546"/>
        <v>343774989.17018682</v>
      </c>
      <c r="EG588" s="196">
        <f>'Detailed Budget'!$AC$163</f>
        <v>15696705631.647623</v>
      </c>
      <c r="EH588" s="269">
        <f t="shared" si="1547"/>
        <v>21485936.823136676</v>
      </c>
      <c r="EI588" s="269">
        <f t="shared" si="1514"/>
        <v>365260925.9933235</v>
      </c>
      <c r="EJ588" s="196">
        <f>'Detailed Budget'!$AC$204</f>
        <v>45012172507.531975</v>
      </c>
      <c r="EK588" s="269">
        <f t="shared" si="1548"/>
        <v>72062281.683068633</v>
      </c>
      <c r="EL588" s="201">
        <f>'Detailed Budget'!$AC$206</f>
        <v>11253043126.882994</v>
      </c>
      <c r="EM588" s="269">
        <f t="shared" si="1549"/>
        <v>18015570.420767158</v>
      </c>
      <c r="EN588" s="269">
        <f t="shared" si="1515"/>
        <v>90077852.103835791</v>
      </c>
      <c r="EO588" s="140">
        <f>'Detailed Budget'!$AC$209</f>
        <v>135789361677.54817</v>
      </c>
      <c r="EP588" s="269">
        <f t="shared" si="1550"/>
        <v>153837039.88230893</v>
      </c>
      <c r="EQ588" s="196">
        <f>'Detailed Budget'!$AC$211</f>
        <v>33947340419.387043</v>
      </c>
      <c r="ER588" s="269">
        <f t="shared" si="1551"/>
        <v>38459259.970577233</v>
      </c>
      <c r="ES588" s="269">
        <f t="shared" si="1516"/>
        <v>192296299.85288617</v>
      </c>
      <c r="ET588" s="196">
        <f>'Detailed Budget'!$AC$214</f>
        <v>22239745544.201103</v>
      </c>
      <c r="EU588" s="269">
        <f t="shared" si="1552"/>
        <v>24469309.810280215</v>
      </c>
      <c r="EV588" s="140">
        <f>'Detailed Budget'!$AC$217</f>
        <v>5559936386.0502758</v>
      </c>
      <c r="EW588" s="269">
        <f t="shared" si="1553"/>
        <v>6117327.4525700537</v>
      </c>
      <c r="EX588" s="269">
        <f t="shared" si="1517"/>
        <v>30586637.26285027</v>
      </c>
      <c r="EY588" s="196">
        <f>'Detailed Budget'!$AC$219</f>
        <v>372777004.58170313</v>
      </c>
      <c r="EZ588" s="269">
        <f t="shared" si="1554"/>
        <v>429363.62313611945</v>
      </c>
      <c r="FA588" s="196">
        <f>'Detailed Budget'!$AC$222</f>
        <v>93194251.145425782</v>
      </c>
      <c r="FB588" s="269">
        <f t="shared" si="1555"/>
        <v>107340.90578402986</v>
      </c>
      <c r="FC588" s="269">
        <f t="shared" si="1518"/>
        <v>536704.52892014931</v>
      </c>
      <c r="FD588" s="269"/>
      <c r="FE588" s="269">
        <f t="shared" si="1519"/>
        <v>313497493.74849242</v>
      </c>
      <c r="FF588" s="140">
        <f>'Detailed Budget'!$AC$165</f>
        <v>14927760000</v>
      </c>
      <c r="FG588" s="1087">
        <f t="shared" si="1585"/>
        <v>427631333.08009481</v>
      </c>
      <c r="FH588" s="269">
        <f t="shared" si="1556"/>
        <v>18657579.820474949</v>
      </c>
      <c r="FJ588" s="140">
        <f>'Detailed Budget'!$AC$235</f>
        <v>3623696172</v>
      </c>
      <c r="FK588" s="269">
        <f t="shared" si="1557"/>
        <v>4681778</v>
      </c>
      <c r="FL588" s="269">
        <f t="shared" si="1586"/>
        <v>4681778</v>
      </c>
      <c r="FO588" s="607"/>
      <c r="FP588" s="607"/>
      <c r="FQ588" s="607"/>
      <c r="FR588" s="269">
        <f>'Detailed Budget'!$AC$257</f>
        <v>13636439388</v>
      </c>
      <c r="FS588" s="269">
        <f t="shared" si="1558"/>
        <v>9493692</v>
      </c>
      <c r="FT588" s="269">
        <f t="shared" si="1587"/>
        <v>9493692</v>
      </c>
      <c r="FU588" s="269"/>
      <c r="FV588" s="269"/>
      <c r="FW588" s="269"/>
      <c r="FX588" s="140">
        <f>'Detailed Budget'!$AC$278</f>
        <v>1114560000</v>
      </c>
      <c r="FY588" s="269">
        <f t="shared" si="1559"/>
        <v>1440000</v>
      </c>
      <c r="FZ588" s="269">
        <f t="shared" si="1588"/>
        <v>1440000</v>
      </c>
      <c r="GB588" s="269">
        <f t="shared" si="1596"/>
        <v>2525299474.4554534</v>
      </c>
      <c r="GC588" s="887">
        <f t="shared" si="1520"/>
        <v>1578312.1715346584</v>
      </c>
      <c r="GD588" s="1078">
        <f t="shared" si="1597"/>
        <v>1.4170250545321053E-3</v>
      </c>
    </row>
    <row r="589" spans="1:186" hidden="1" outlineLevel="1">
      <c r="A589" s="211" t="s">
        <v>1287</v>
      </c>
      <c r="B589" s="212" t="s">
        <v>1288</v>
      </c>
      <c r="C589" s="213" t="s">
        <v>215</v>
      </c>
      <c r="D589" s="214"/>
      <c r="E589" s="213"/>
      <c r="F589" s="213"/>
      <c r="G589" s="213" t="s">
        <v>215</v>
      </c>
      <c r="H589" s="213" t="s">
        <v>215</v>
      </c>
      <c r="I589" s="214" t="s">
        <v>215</v>
      </c>
      <c r="J589" s="214"/>
      <c r="K589" s="213"/>
      <c r="L589" s="213"/>
      <c r="M589" s="214" t="s">
        <v>215</v>
      </c>
      <c r="N589" s="213"/>
      <c r="O589" s="214"/>
      <c r="P589" s="213"/>
      <c r="Q589" s="214"/>
      <c r="R589" s="214" t="s">
        <v>215</v>
      </c>
      <c r="S589" s="214"/>
      <c r="T589" s="214"/>
      <c r="U589" s="215">
        <f t="shared" si="1564"/>
        <v>6</v>
      </c>
      <c r="V589" s="845" t="s">
        <v>216</v>
      </c>
      <c r="W589" s="216">
        <v>72772</v>
      </c>
      <c r="X589" s="217">
        <v>3.36</v>
      </c>
      <c r="Y589" s="218">
        <f t="shared" si="1477"/>
        <v>1.0336000000000001</v>
      </c>
      <c r="Z589" s="196">
        <v>19</v>
      </c>
      <c r="AA589" s="218">
        <f t="shared" si="1478"/>
        <v>1.873689022502546</v>
      </c>
      <c r="AB589" s="196">
        <f t="shared" si="1561"/>
        <v>136352.09754555527</v>
      </c>
      <c r="AC589">
        <v>12.2</v>
      </c>
      <c r="AD589" s="196">
        <f t="shared" si="1562"/>
        <v>16634.955900557743</v>
      </c>
      <c r="AE589" s="196">
        <f t="shared" si="1479"/>
        <v>15803.208105529855</v>
      </c>
      <c r="AF589" s="196">
        <f t="shared" si="1565"/>
        <v>0</v>
      </c>
      <c r="AG589" s="606">
        <f t="shared" si="1523"/>
        <v>7.3067096541617322E-4</v>
      </c>
      <c r="AH589" s="196">
        <f t="shared" si="1582"/>
        <v>6817.604877277764</v>
      </c>
      <c r="AI589" s="248">
        <f t="shared" si="1503"/>
        <v>5.2814952016235568E-4</v>
      </c>
      <c r="AJ589" s="196">
        <f t="shared" si="1504"/>
        <v>23452.560777835508</v>
      </c>
      <c r="AK589" s="196">
        <f t="shared" si="1532"/>
        <v>5454.0839018222105</v>
      </c>
      <c r="AL589" s="196">
        <f t="shared" si="1533"/>
        <v>5454.0839018222105</v>
      </c>
      <c r="AM589" s="196">
        <f t="shared" si="1505"/>
        <v>10908.167803644421</v>
      </c>
      <c r="AN589" s="627">
        <f t="shared" si="1506"/>
        <v>5.2814952016235557E-4</v>
      </c>
      <c r="AO589" s="196">
        <f t="shared" si="1507"/>
        <v>5181.3797067310998</v>
      </c>
      <c r="AP589" s="589">
        <f t="shared" si="1524"/>
        <v>5.2814952016235557E-4</v>
      </c>
      <c r="AQ589" s="196"/>
      <c r="AR589" s="589"/>
      <c r="AS589">
        <v>1</v>
      </c>
      <c r="AT589" s="589">
        <f t="shared" si="1525"/>
        <v>1.2919896640826874E-3</v>
      </c>
      <c r="AU589" s="196">
        <v>10</v>
      </c>
      <c r="AV589" s="245">
        <f t="shared" si="1536"/>
        <v>1.1362345188046814E-3</v>
      </c>
      <c r="AX589" s="245"/>
      <c r="AY589" s="245"/>
      <c r="AZ589" s="196">
        <v>12</v>
      </c>
      <c r="BA589" s="589">
        <f t="shared" si="1590"/>
        <v>4.3970539738375289E-4</v>
      </c>
      <c r="BI589" s="196">
        <v>1</v>
      </c>
      <c r="BJ589" s="196">
        <f t="shared" si="1566"/>
        <v>75751.175664019407</v>
      </c>
      <c r="BK589" s="246">
        <f t="shared" si="1591"/>
        <v>1.4445292163374121E-3</v>
      </c>
      <c r="BL589" s="196">
        <f t="shared" si="1583"/>
        <v>1515.0235132803882</v>
      </c>
      <c r="BM589" s="246">
        <f t="shared" si="1592"/>
        <v>1.4445290510596274E-3</v>
      </c>
      <c r="BN589" s="196">
        <v>0</v>
      </c>
      <c r="BO589" s="196">
        <f t="shared" si="1567"/>
        <v>6151.4081923650965</v>
      </c>
      <c r="BP589" s="196">
        <f t="shared" si="1508"/>
        <v>0</v>
      </c>
      <c r="BQ589" s="248">
        <f t="shared" si="1593"/>
        <v>0</v>
      </c>
      <c r="BR589" s="248"/>
      <c r="BS589" s="248"/>
      <c r="BT589" s="276">
        <v>0</v>
      </c>
      <c r="BU589" s="196">
        <f t="shared" si="1568"/>
        <v>0</v>
      </c>
      <c r="BV589" s="264">
        <f t="shared" si="1594"/>
        <v>0</v>
      </c>
      <c r="BW589" s="196">
        <f t="shared" si="1569"/>
        <v>0</v>
      </c>
      <c r="BX589" s="247">
        <f t="shared" si="1595"/>
        <v>0</v>
      </c>
      <c r="BY589" s="196">
        <f t="shared" si="1570"/>
        <v>0</v>
      </c>
      <c r="BZ589" s="620">
        <v>1</v>
      </c>
      <c r="CA589" s="196">
        <f t="shared" si="1571"/>
        <v>41723.741848939899</v>
      </c>
      <c r="CB589" s="196">
        <f t="shared" si="1572"/>
        <v>83447.483697879798</v>
      </c>
      <c r="CC589" s="196">
        <f t="shared" si="1521"/>
        <v>125171.2255468197</v>
      </c>
      <c r="CD589" s="247">
        <f t="shared" si="1509"/>
        <v>5.2814952016235546E-4</v>
      </c>
      <c r="CE589" s="196">
        <f t="shared" si="1573"/>
        <v>9342.7494020875965</v>
      </c>
      <c r="CF589" s="247">
        <f t="shared" si="1510"/>
        <v>4.0344897462515537E-4</v>
      </c>
      <c r="CG589" s="196">
        <f t="shared" si="1538"/>
        <v>20725.518826924399</v>
      </c>
      <c r="CH589" s="589">
        <f t="shared" si="1526"/>
        <v>5.2814952016235557E-4</v>
      </c>
      <c r="CI589" s="196">
        <f t="shared" si="1574"/>
        <v>37573.997064595329</v>
      </c>
      <c r="CJ589" s="248">
        <f t="shared" si="1527"/>
        <v>6.1771641636653254E-4</v>
      </c>
      <c r="CK589" s="196">
        <f t="shared" si="1575"/>
        <v>30408.30475897104</v>
      </c>
      <c r="CL589" s="589">
        <f t="shared" si="1528"/>
        <v>4.3712563563164754E-4</v>
      </c>
      <c r="CM589" s="196">
        <f t="shared" si="1576"/>
        <v>2945.8103515506104</v>
      </c>
      <c r="CN589" s="589">
        <f t="shared" si="1529"/>
        <v>4.2452474976511438E-4</v>
      </c>
      <c r="CO589" s="196">
        <f t="shared" si="1577"/>
        <v>235.65736825167622</v>
      </c>
      <c r="CP589" s="589">
        <f t="shared" si="1530"/>
        <v>4.4441349860574925E-4</v>
      </c>
      <c r="CQ589" s="196">
        <f>'Detailed Budget'!$AC$12</f>
        <v>292876014141.44696</v>
      </c>
      <c r="CR589" s="269">
        <f t="shared" si="1534"/>
        <v>423067959.19176918</v>
      </c>
      <c r="CS589" s="269">
        <f>'Detailed Budget'!$AC$16</f>
        <v>10488008800.000002</v>
      </c>
      <c r="CT589" s="607">
        <f t="shared" si="1539"/>
        <v>15150233.399369024</v>
      </c>
      <c r="CU589" s="269">
        <f>'Detailed Budget'!$AC$24</f>
        <v>30624985696</v>
      </c>
      <c r="CV589" s="269">
        <f t="shared" si="1589"/>
        <v>44238686.587787338</v>
      </c>
      <c r="CW589" s="269"/>
      <c r="CX589" s="269">
        <f t="shared" si="1522"/>
        <v>482456879.17892551</v>
      </c>
      <c r="CY589" s="196">
        <f>'Detailed Budget'!$AC$97</f>
        <v>74629165494.837845</v>
      </c>
      <c r="CZ589" s="269">
        <f t="shared" si="1540"/>
        <v>0</v>
      </c>
      <c r="DA589" s="269">
        <f>'Detailed Budget'!$AC$100</f>
        <v>14925833098.967569</v>
      </c>
      <c r="DB589" s="269">
        <f t="shared" si="1541"/>
        <v>0</v>
      </c>
      <c r="DC589" s="269">
        <f t="shared" si="1511"/>
        <v>0</v>
      </c>
      <c r="DD589" s="207">
        <v>0</v>
      </c>
      <c r="DE589" s="606">
        <v>0</v>
      </c>
      <c r="DF589" s="269">
        <f>'Detailed Budget'!$AC$147</f>
        <v>5913600671000</v>
      </c>
      <c r="DG589" s="269">
        <f t="shared" si="1584"/>
        <v>0</v>
      </c>
      <c r="DH589" s="269">
        <f>'Detailed Budget'!$AC$153</f>
        <v>226428026880.00003</v>
      </c>
      <c r="DI589" s="269"/>
      <c r="DJ589" s="269">
        <f>'Detailed Budget'!$AC$156</f>
        <v>27713070000</v>
      </c>
      <c r="DK589" s="269"/>
      <c r="DL589" s="269"/>
      <c r="DM589" s="196">
        <f>'Detailed Budget'!$AC$178</f>
        <v>5622683761.6229038</v>
      </c>
      <c r="DN589" s="269">
        <f t="shared" si="1578"/>
        <v>0</v>
      </c>
      <c r="DO589" s="196">
        <f>'Detailed Budget'!$AC$179</f>
        <v>26827890683.128094</v>
      </c>
      <c r="DP589" s="269">
        <f t="shared" si="1579"/>
        <v>0</v>
      </c>
      <c r="DQ589" s="269">
        <f t="shared" si="1531"/>
        <v>0</v>
      </c>
      <c r="DR589" s="269">
        <f>'Detailed Budget'!$AC$181</f>
        <v>50888946855.375237</v>
      </c>
      <c r="DS589" s="269">
        <f t="shared" si="1580"/>
        <v>0</v>
      </c>
      <c r="DT589" s="269">
        <f t="shared" si="1581"/>
        <v>0</v>
      </c>
      <c r="DU589" s="272">
        <f>'Detailed Budget'!$AC$192</f>
        <v>77498869683.252869</v>
      </c>
      <c r="DV589" s="269">
        <f t="shared" si="1542"/>
        <v>40930990.836334921</v>
      </c>
      <c r="DW589" s="140">
        <f>'Detailed Budget'!$AC$194</f>
        <v>2684962805.4134097</v>
      </c>
      <c r="DX589" s="269">
        <f t="shared" si="1543"/>
        <v>1418061.8173328645</v>
      </c>
      <c r="DY589" s="607">
        <f t="shared" si="1512"/>
        <v>42349052.653667785</v>
      </c>
      <c r="DZ589" s="196">
        <f>'Detailed Budget'!$AC$198</f>
        <v>18732540018.380611</v>
      </c>
      <c r="EA589" s="269">
        <f t="shared" si="1544"/>
        <v>7557624.0625403468</v>
      </c>
      <c r="EB589" s="196">
        <f>'Detailed Budget'!$AC$200</f>
        <v>4683135004.5951529</v>
      </c>
      <c r="EC589" s="269">
        <f t="shared" si="1545"/>
        <v>1889406.0156350867</v>
      </c>
      <c r="ED589" s="269">
        <f t="shared" si="1513"/>
        <v>9447030.078175433</v>
      </c>
      <c r="EE589" s="196">
        <f>'Detailed Budget'!$AC$161</f>
        <v>251147290106.36197</v>
      </c>
      <c r="EF589" s="269">
        <f t="shared" si="1546"/>
        <v>132643320.75975099</v>
      </c>
      <c r="EG589" s="196">
        <f>'Detailed Budget'!$AC$163</f>
        <v>15696705631.647623</v>
      </c>
      <c r="EH589" s="269">
        <f t="shared" si="1547"/>
        <v>8290207.547484437</v>
      </c>
      <c r="EI589" s="269">
        <f t="shared" si="1514"/>
        <v>140933528.30723542</v>
      </c>
      <c r="EJ589" s="196">
        <f>'Detailed Budget'!$AC$204</f>
        <v>45012172507.531975</v>
      </c>
      <c r="EK589" s="269">
        <f t="shared" si="1548"/>
        <v>27804757.894224811</v>
      </c>
      <c r="EL589" s="201">
        <f>'Detailed Budget'!$AC$206</f>
        <v>11253043126.882994</v>
      </c>
      <c r="EM589" s="269">
        <f t="shared" si="1549"/>
        <v>6951189.4735562028</v>
      </c>
      <c r="EN589" s="269">
        <f t="shared" si="1515"/>
        <v>34755947.367781013</v>
      </c>
      <c r="EO589" s="140">
        <f>'Detailed Budget'!$AC$209</f>
        <v>135789361677.54817</v>
      </c>
      <c r="EP589" s="269">
        <f t="shared" si="1550"/>
        <v>59357011.035313927</v>
      </c>
      <c r="EQ589" s="196">
        <f>'Detailed Budget'!$AC$211</f>
        <v>33947340419.387043</v>
      </c>
      <c r="ER589" s="269">
        <f t="shared" si="1551"/>
        <v>14839252.758828482</v>
      </c>
      <c r="ES589" s="269">
        <f t="shared" si="1516"/>
        <v>74196263.79414241</v>
      </c>
      <c r="ET589" s="196">
        <f>'Detailed Budget'!$AC$214</f>
        <v>22239745544.201103</v>
      </c>
      <c r="EU589" s="269">
        <f t="shared" si="1552"/>
        <v>9441322.4119917899</v>
      </c>
      <c r="EV589" s="140">
        <f>'Detailed Budget'!$AC$217</f>
        <v>5559936386.0502758</v>
      </c>
      <c r="EW589" s="269">
        <f t="shared" si="1553"/>
        <v>2360330.6029979475</v>
      </c>
      <c r="EX589" s="269">
        <f t="shared" si="1517"/>
        <v>11801653.014989737</v>
      </c>
      <c r="EY589" s="196">
        <f>'Detailed Budget'!$AC$219</f>
        <v>372777004.58170313</v>
      </c>
      <c r="EZ589" s="269">
        <f t="shared" si="1554"/>
        <v>165667.13280592611</v>
      </c>
      <c r="FA589" s="196">
        <f>'Detailed Budget'!$AC$222</f>
        <v>93194251.145425782</v>
      </c>
      <c r="FB589" s="269">
        <f t="shared" si="1555"/>
        <v>41416.783201481529</v>
      </c>
      <c r="FC589" s="269">
        <f t="shared" si="1518"/>
        <v>207083.91600740765</v>
      </c>
      <c r="FD589" s="269"/>
      <c r="FE589" s="269">
        <f t="shared" si="1519"/>
        <v>120960948.09292057</v>
      </c>
      <c r="FF589" s="140">
        <f>'Detailed Budget'!$AC$165</f>
        <v>14927760000</v>
      </c>
      <c r="FG589" s="1087">
        <f t="shared" si="1585"/>
        <v>164998740.07001221</v>
      </c>
      <c r="FH589" s="269">
        <f t="shared" si="1556"/>
        <v>16961436.200431772</v>
      </c>
      <c r="FJ589" s="140">
        <f>'Detailed Budget'!$AC$235</f>
        <v>3623696172</v>
      </c>
      <c r="FK589" s="269">
        <f t="shared" si="1557"/>
        <v>4681778</v>
      </c>
      <c r="FL589" s="269">
        <f t="shared" si="1586"/>
        <v>4681778</v>
      </c>
      <c r="FO589" s="607"/>
      <c r="FP589" s="607"/>
      <c r="FQ589" s="607"/>
      <c r="FR589" s="269">
        <f>'Detailed Budget'!$AC$257</f>
        <v>13636439388</v>
      </c>
      <c r="FS589" s="269">
        <f t="shared" si="1558"/>
        <v>5996016</v>
      </c>
      <c r="FT589" s="269">
        <f t="shared" si="1587"/>
        <v>5996016</v>
      </c>
      <c r="FU589" s="269"/>
      <c r="FV589" s="269"/>
      <c r="FW589" s="269"/>
      <c r="FX589" s="140">
        <f>'Detailed Budget'!$AC$278</f>
        <v>1114560000</v>
      </c>
      <c r="FY589" s="269">
        <f t="shared" si="1559"/>
        <v>1440000</v>
      </c>
      <c r="FZ589" s="269">
        <f t="shared" si="1588"/>
        <v>1440000</v>
      </c>
      <c r="GB589" s="269">
        <f t="shared" si="1596"/>
        <v>990225408.5813688</v>
      </c>
      <c r="GC589" s="887">
        <f t="shared" si="1520"/>
        <v>618890.88036335551</v>
      </c>
      <c r="GD589" s="1078">
        <f t="shared" si="1597"/>
        <v>5.556466580648483E-4</v>
      </c>
    </row>
    <row r="590" spans="1:186" hidden="1" outlineLevel="1">
      <c r="A590" s="211" t="s">
        <v>1289</v>
      </c>
      <c r="B590" s="212" t="s">
        <v>1290</v>
      </c>
      <c r="C590" s="213" t="s">
        <v>215</v>
      </c>
      <c r="D590" s="214"/>
      <c r="E590" s="213"/>
      <c r="F590" s="213"/>
      <c r="G590" s="213" t="s">
        <v>215</v>
      </c>
      <c r="H590" s="213" t="s">
        <v>215</v>
      </c>
      <c r="I590" s="214" t="s">
        <v>215</v>
      </c>
      <c r="J590" s="214"/>
      <c r="K590" s="213"/>
      <c r="L590" s="213"/>
      <c r="M590" s="214" t="s">
        <v>215</v>
      </c>
      <c r="N590" s="213"/>
      <c r="O590" s="214"/>
      <c r="P590" s="213"/>
      <c r="Q590" s="214"/>
      <c r="R590" s="214" t="s">
        <v>215</v>
      </c>
      <c r="S590" s="214"/>
      <c r="T590" s="214"/>
      <c r="U590" s="215">
        <f t="shared" si="1564"/>
        <v>6</v>
      </c>
      <c r="V590" s="845" t="s">
        <v>216</v>
      </c>
      <c r="W590" s="216">
        <v>131673</v>
      </c>
      <c r="X590" s="217">
        <v>3.36</v>
      </c>
      <c r="Y590" s="218">
        <f t="shared" si="1477"/>
        <v>1.0336000000000001</v>
      </c>
      <c r="Z590" s="196">
        <v>19</v>
      </c>
      <c r="AA590" s="218">
        <f t="shared" si="1478"/>
        <v>1.873689022502546</v>
      </c>
      <c r="AB590" s="196">
        <f t="shared" si="1561"/>
        <v>246714.25465997774</v>
      </c>
      <c r="AC590">
        <v>12.2</v>
      </c>
      <c r="AD590" s="196">
        <f t="shared" si="1562"/>
        <v>30099.139068517285</v>
      </c>
      <c r="AE590" s="196">
        <f t="shared" si="1479"/>
        <v>28594.182115091418</v>
      </c>
      <c r="AF590" s="196">
        <f t="shared" si="1565"/>
        <v>0</v>
      </c>
      <c r="AG590" s="606">
        <f t="shared" si="1523"/>
        <v>1.3220694501902349E-3</v>
      </c>
      <c r="AH590" s="196">
        <f t="shared" si="1582"/>
        <v>12335.712732998887</v>
      </c>
      <c r="AI590" s="248">
        <f t="shared" si="1503"/>
        <v>9.5562897499502355E-4</v>
      </c>
      <c r="AJ590" s="196">
        <f t="shared" si="1504"/>
        <v>42434.851801516168</v>
      </c>
      <c r="AK590" s="196">
        <f t="shared" si="1532"/>
        <v>9868.5701863991108</v>
      </c>
      <c r="AL590" s="196">
        <f t="shared" si="1533"/>
        <v>9868.5701863991108</v>
      </c>
      <c r="AM590" s="196">
        <f t="shared" si="1505"/>
        <v>19737.140372798222</v>
      </c>
      <c r="AN590" s="627">
        <f t="shared" si="1506"/>
        <v>9.5562897499502366E-4</v>
      </c>
      <c r="AO590" s="196">
        <f t="shared" si="1507"/>
        <v>9375.1416770791548</v>
      </c>
      <c r="AP590" s="589">
        <f t="shared" si="1524"/>
        <v>9.5562897499502366E-4</v>
      </c>
      <c r="AQ590" s="196"/>
      <c r="AR590" s="589"/>
      <c r="AS590">
        <v>1</v>
      </c>
      <c r="AT590" s="589">
        <f t="shared" si="1525"/>
        <v>1.2919896640826874E-3</v>
      </c>
      <c r="AU590" s="196">
        <v>11</v>
      </c>
      <c r="AV590" s="245">
        <f t="shared" si="1536"/>
        <v>1.2498579706851495E-3</v>
      </c>
      <c r="AX590" s="245"/>
      <c r="AY590" s="245"/>
      <c r="AZ590" s="196">
        <v>20</v>
      </c>
      <c r="BA590" s="589">
        <f t="shared" si="1590"/>
        <v>7.3284232897292143E-4</v>
      </c>
      <c r="BI590" s="196">
        <v>1</v>
      </c>
      <c r="BJ590" s="196">
        <f t="shared" si="1566"/>
        <v>137063.49355807767</v>
      </c>
      <c r="BK590" s="246">
        <f t="shared" si="1591"/>
        <v>2.6137181265156388E-3</v>
      </c>
      <c r="BL590" s="196">
        <f t="shared" si="1583"/>
        <v>2741.2698711615535</v>
      </c>
      <c r="BM590" s="246">
        <f t="shared" si="1592"/>
        <v>2.6137178274635068E-3</v>
      </c>
      <c r="BN590" s="196">
        <v>0</v>
      </c>
      <c r="BO590" s="196">
        <f t="shared" si="1567"/>
        <v>11130.302464042341</v>
      </c>
      <c r="BP590" s="196">
        <f t="shared" si="1508"/>
        <v>0</v>
      </c>
      <c r="BQ590" s="248">
        <f t="shared" si="1593"/>
        <v>0</v>
      </c>
      <c r="BR590" s="248"/>
      <c r="BS590" s="248"/>
      <c r="BT590" s="276">
        <v>0</v>
      </c>
      <c r="BU590" s="196">
        <f t="shared" si="1568"/>
        <v>0</v>
      </c>
      <c r="BV590" s="264">
        <f t="shared" si="1594"/>
        <v>0</v>
      </c>
      <c r="BW590" s="196">
        <f t="shared" si="1569"/>
        <v>0</v>
      </c>
      <c r="BX590" s="247">
        <f t="shared" si="1595"/>
        <v>0</v>
      </c>
      <c r="BY590" s="196">
        <f t="shared" si="1570"/>
        <v>0</v>
      </c>
      <c r="BZ590" s="620">
        <v>1</v>
      </c>
      <c r="CA590" s="196">
        <f t="shared" si="1571"/>
        <v>75494.561925953196</v>
      </c>
      <c r="CB590" s="196">
        <f t="shared" si="1572"/>
        <v>150989.12385190639</v>
      </c>
      <c r="CC590" s="196">
        <f t="shared" si="1521"/>
        <v>226483.68577785959</v>
      </c>
      <c r="CD590" s="247">
        <f t="shared" si="1509"/>
        <v>9.5562897499502366E-4</v>
      </c>
      <c r="CE590" s="196">
        <f t="shared" si="1573"/>
        <v>16904.686445625794</v>
      </c>
      <c r="CF590" s="247">
        <f t="shared" si="1510"/>
        <v>7.2999693337847088E-4</v>
      </c>
      <c r="CG590" s="196">
        <f t="shared" si="1538"/>
        <v>37500.566708316619</v>
      </c>
      <c r="CH590" s="589">
        <f t="shared" si="1526"/>
        <v>9.5562897499502366E-4</v>
      </c>
      <c r="CI590" s="196">
        <f t="shared" si="1574"/>
        <v>67986.051166471458</v>
      </c>
      <c r="CJ590" s="248">
        <f t="shared" si="1527"/>
        <v>1.1176905086053763E-3</v>
      </c>
      <c r="CK590" s="196">
        <f t="shared" si="1575"/>
        <v>55020.512182267819</v>
      </c>
      <c r="CL590" s="589">
        <f t="shared" si="1528"/>
        <v>7.9093117985661965E-4</v>
      </c>
      <c r="CM590" s="196">
        <f t="shared" si="1576"/>
        <v>5330.1226628335562</v>
      </c>
      <c r="CN590" s="589">
        <f t="shared" si="1529"/>
        <v>7.6813125069837181E-4</v>
      </c>
      <c r="CO590" s="196">
        <f t="shared" si="1577"/>
        <v>426.39631520094218</v>
      </c>
      <c r="CP590" s="589">
        <f t="shared" si="1530"/>
        <v>8.0411777334572115E-4</v>
      </c>
      <c r="CQ590" s="196">
        <f>'Detailed Budget'!$AC$12</f>
        <v>292876014141.44696</v>
      </c>
      <c r="CR590" s="269">
        <f t="shared" si="1534"/>
        <v>765495346.98315048</v>
      </c>
      <c r="CS590" s="269">
        <f>'Detailed Budget'!$AC$16</f>
        <v>10488008800.000002</v>
      </c>
      <c r="CT590" s="607">
        <f t="shared" si="1539"/>
        <v>27412695.575154144</v>
      </c>
      <c r="CU590" s="269">
        <f>'Detailed Budget'!$AC$24</f>
        <v>30624985696</v>
      </c>
      <c r="CV590" s="269">
        <f t="shared" si="1589"/>
        <v>80045080.237917364</v>
      </c>
      <c r="CW590" s="269"/>
      <c r="CX590" s="269">
        <f t="shared" si="1522"/>
        <v>872953122.79622197</v>
      </c>
      <c r="CY590" s="196">
        <f>'Detailed Budget'!$AC$97</f>
        <v>74629165494.837845</v>
      </c>
      <c r="CZ590" s="269">
        <f t="shared" si="1540"/>
        <v>0</v>
      </c>
      <c r="DA590" s="269">
        <f>'Detailed Budget'!$AC$100</f>
        <v>14925833098.967569</v>
      </c>
      <c r="DB590" s="269">
        <f t="shared" si="1541"/>
        <v>0</v>
      </c>
      <c r="DC590" s="269">
        <f t="shared" si="1511"/>
        <v>0</v>
      </c>
      <c r="DD590" s="207">
        <v>0</v>
      </c>
      <c r="DE590" s="606">
        <v>0</v>
      </c>
      <c r="DF590" s="269">
        <f>'Detailed Budget'!$AC$147</f>
        <v>5913600671000</v>
      </c>
      <c r="DG590" s="269">
        <f t="shared" si="1584"/>
        <v>0</v>
      </c>
      <c r="DH590" s="269">
        <f>'Detailed Budget'!$AC$153</f>
        <v>226428026880.00003</v>
      </c>
      <c r="DI590" s="269"/>
      <c r="DJ590" s="269">
        <f>'Detailed Budget'!$AC$156</f>
        <v>27713070000</v>
      </c>
      <c r="DK590" s="269"/>
      <c r="DL590" s="269"/>
      <c r="DM590" s="196">
        <f>'Detailed Budget'!$AC$178</f>
        <v>5622683761.6229038</v>
      </c>
      <c r="DN590" s="269">
        <f t="shared" si="1578"/>
        <v>0</v>
      </c>
      <c r="DO590" s="196">
        <f>'Detailed Budget'!$AC$179</f>
        <v>26827890683.128094</v>
      </c>
      <c r="DP590" s="269">
        <f t="shared" si="1579"/>
        <v>0</v>
      </c>
      <c r="DQ590" s="269">
        <f t="shared" si="1531"/>
        <v>0</v>
      </c>
      <c r="DR590" s="269">
        <f>'Detailed Budget'!$AC$181</f>
        <v>50888946855.375237</v>
      </c>
      <c r="DS590" s="269">
        <f t="shared" si="1580"/>
        <v>0</v>
      </c>
      <c r="DT590" s="269">
        <f t="shared" si="1581"/>
        <v>0</v>
      </c>
      <c r="DU590" s="272">
        <f>'Detailed Budget'!$AC$192</f>
        <v>77498869683.252869</v>
      </c>
      <c r="DV590" s="269">
        <f t="shared" si="1542"/>
        <v>74060165.398679852</v>
      </c>
      <c r="DW590" s="140">
        <f>'Detailed Budget'!$AC$194</f>
        <v>2684962805.4134097</v>
      </c>
      <c r="DX590" s="269">
        <f t="shared" si="1543"/>
        <v>2565828.25363698</v>
      </c>
      <c r="DY590" s="607">
        <f t="shared" si="1512"/>
        <v>76625993.652316839</v>
      </c>
      <c r="DZ590" s="196">
        <f>'Detailed Budget'!$AC$198</f>
        <v>18732540018.380611</v>
      </c>
      <c r="EA590" s="269">
        <f t="shared" si="1544"/>
        <v>13674696.767807331</v>
      </c>
      <c r="EB590" s="196">
        <f>'Detailed Budget'!$AC$200</f>
        <v>4683135004.5951529</v>
      </c>
      <c r="EC590" s="269">
        <f t="shared" si="1545"/>
        <v>3418674.1919518327</v>
      </c>
      <c r="ED590" s="269">
        <f t="shared" si="1513"/>
        <v>17093370.959759165</v>
      </c>
      <c r="EE590" s="196">
        <f>'Detailed Budget'!$AC$161</f>
        <v>251147290106.36197</v>
      </c>
      <c r="EF590" s="269">
        <f t="shared" si="1546"/>
        <v>240003627.41712055</v>
      </c>
      <c r="EG590" s="196">
        <f>'Detailed Budget'!$AC$163</f>
        <v>15696705631.647623</v>
      </c>
      <c r="EH590" s="269">
        <f t="shared" si="1547"/>
        <v>15000226.713570034</v>
      </c>
      <c r="EI590" s="269">
        <f t="shared" si="1514"/>
        <v>255003854.13069057</v>
      </c>
      <c r="EJ590" s="196">
        <f>'Detailed Budget'!$AC$204</f>
        <v>45012172507.531975</v>
      </c>
      <c r="EK590" s="269">
        <f t="shared" si="1548"/>
        <v>50309677.983376347</v>
      </c>
      <c r="EL590" s="201">
        <f>'Detailed Budget'!$AC$206</f>
        <v>11253043126.882994</v>
      </c>
      <c r="EM590" s="269">
        <f t="shared" si="1549"/>
        <v>12577419.495844087</v>
      </c>
      <c r="EN590" s="269">
        <f t="shared" si="1515"/>
        <v>62887097.479220435</v>
      </c>
      <c r="EO590" s="140">
        <f>'Detailed Budget'!$AC$209</f>
        <v>135789361677.54817</v>
      </c>
      <c r="EP590" s="269">
        <f t="shared" si="1550"/>
        <v>107400040.04360043</v>
      </c>
      <c r="EQ590" s="196">
        <f>'Detailed Budget'!$AC$211</f>
        <v>33947340419.387043</v>
      </c>
      <c r="ER590" s="269">
        <f t="shared" si="1551"/>
        <v>26850010.010900106</v>
      </c>
      <c r="ES590" s="269">
        <f t="shared" si="1516"/>
        <v>134250050.05450052</v>
      </c>
      <c r="ET590" s="196">
        <f>'Detailed Budget'!$AC$214</f>
        <v>22239745544.201103</v>
      </c>
      <c r="EU590" s="269">
        <f t="shared" si="1552"/>
        <v>17083043.560080733</v>
      </c>
      <c r="EV590" s="140">
        <f>'Detailed Budget'!$AC$217</f>
        <v>5559936386.0502758</v>
      </c>
      <c r="EW590" s="269">
        <f t="shared" si="1553"/>
        <v>4270760.8900201833</v>
      </c>
      <c r="EX590" s="269">
        <f t="shared" si="1517"/>
        <v>21353804.450100917</v>
      </c>
      <c r="EY590" s="196">
        <f>'Detailed Budget'!$AC$219</f>
        <v>372777004.58170313</v>
      </c>
      <c r="EZ590" s="269">
        <f t="shared" si="1554"/>
        <v>299756.61487872683</v>
      </c>
      <c r="FA590" s="196">
        <f>'Detailed Budget'!$AC$222</f>
        <v>93194251.145425782</v>
      </c>
      <c r="FB590" s="269">
        <f t="shared" si="1555"/>
        <v>74939.153719681708</v>
      </c>
      <c r="FC590" s="269">
        <f t="shared" si="1518"/>
        <v>374695.76859840855</v>
      </c>
      <c r="FD590" s="269"/>
      <c r="FE590" s="269">
        <f t="shared" si="1519"/>
        <v>218865647.75242031</v>
      </c>
      <c r="FF590" s="140">
        <f>'Detailed Budget'!$AC$165</f>
        <v>14927760000</v>
      </c>
      <c r="FG590" s="1087">
        <f t="shared" si="1585"/>
        <v>298547231.09490901</v>
      </c>
      <c r="FH590" s="269">
        <f t="shared" si="1556"/>
        <v>18657579.820474949</v>
      </c>
      <c r="FJ590" s="140">
        <f>'Detailed Budget'!$AC$235</f>
        <v>3623696172</v>
      </c>
      <c r="FK590" s="269">
        <f t="shared" si="1557"/>
        <v>4681778</v>
      </c>
      <c r="FL590" s="269">
        <f t="shared" si="1586"/>
        <v>4681778</v>
      </c>
      <c r="FO590" s="607"/>
      <c r="FP590" s="607"/>
      <c r="FQ590" s="607"/>
      <c r="FR590" s="269">
        <f>'Detailed Budget'!$AC$257</f>
        <v>13636439388</v>
      </c>
      <c r="FS590" s="269">
        <f t="shared" si="1558"/>
        <v>9993360</v>
      </c>
      <c r="FT590" s="269">
        <f t="shared" si="1587"/>
        <v>9993360</v>
      </c>
      <c r="FU590" s="269"/>
      <c r="FV590" s="269"/>
      <c r="FW590" s="269"/>
      <c r="FX590" s="140">
        <f>'Detailed Budget'!$AC$278</f>
        <v>1114560000</v>
      </c>
      <c r="FY590" s="269">
        <f t="shared" si="1559"/>
        <v>1440000</v>
      </c>
      <c r="FZ590" s="269">
        <f t="shared" si="1588"/>
        <v>1440000</v>
      </c>
      <c r="GB590" s="269">
        <f t="shared" si="1596"/>
        <v>1773861938.2067928</v>
      </c>
      <c r="GC590" s="887">
        <f t="shared" si="1520"/>
        <v>1108663.7113792456</v>
      </c>
      <c r="GD590" s="1078">
        <f t="shared" si="1597"/>
        <v>9.953697908490365E-4</v>
      </c>
    </row>
    <row r="591" spans="1:186" hidden="1" outlineLevel="1">
      <c r="A591" s="211" t="s">
        <v>1291</v>
      </c>
      <c r="B591" s="212" t="s">
        <v>1292</v>
      </c>
      <c r="C591" s="213" t="s">
        <v>215</v>
      </c>
      <c r="D591" s="214"/>
      <c r="E591" s="213"/>
      <c r="F591" s="213"/>
      <c r="G591" s="213" t="s">
        <v>215</v>
      </c>
      <c r="H591" s="213" t="s">
        <v>215</v>
      </c>
      <c r="I591" s="214" t="s">
        <v>215</v>
      </c>
      <c r="J591" s="214"/>
      <c r="K591" s="213"/>
      <c r="L591" s="213"/>
      <c r="M591" s="214" t="s">
        <v>215</v>
      </c>
      <c r="N591" s="213"/>
      <c r="O591" s="214"/>
      <c r="P591" s="213"/>
      <c r="Q591" s="214"/>
      <c r="R591" s="214" t="s">
        <v>215</v>
      </c>
      <c r="S591" s="214"/>
      <c r="T591" s="214"/>
      <c r="U591" s="215">
        <f t="shared" si="1564"/>
        <v>6</v>
      </c>
      <c r="V591" s="845" t="s">
        <v>216</v>
      </c>
      <c r="W591" s="216">
        <v>132608</v>
      </c>
      <c r="X591" s="217">
        <v>3.36</v>
      </c>
      <c r="Y591" s="218">
        <f t="shared" si="1477"/>
        <v>1.0336000000000001</v>
      </c>
      <c r="Z591" s="196">
        <v>19</v>
      </c>
      <c r="AA591" s="218">
        <f t="shared" si="1478"/>
        <v>1.873689022502546</v>
      </c>
      <c r="AB591" s="196">
        <f t="shared" si="1561"/>
        <v>248466.15389601761</v>
      </c>
      <c r="AC591">
        <v>12.2</v>
      </c>
      <c r="AD591" s="196">
        <f t="shared" si="1562"/>
        <v>30312.870775314146</v>
      </c>
      <c r="AE591" s="196">
        <f t="shared" si="1479"/>
        <v>28797.227236548439</v>
      </c>
      <c r="AF591" s="196">
        <f t="shared" si="1565"/>
        <v>0</v>
      </c>
      <c r="AG591" s="606">
        <f t="shared" si="1523"/>
        <v>1.3314573652216223E-3</v>
      </c>
      <c r="AH591" s="196">
        <f t="shared" si="1582"/>
        <v>12423.307694800882</v>
      </c>
      <c r="AI591" s="248">
        <f t="shared" si="1503"/>
        <v>9.6241482396649354E-4</v>
      </c>
      <c r="AJ591" s="196">
        <f t="shared" si="1504"/>
        <v>42736.178470115032</v>
      </c>
      <c r="AK591" s="196">
        <f t="shared" si="1532"/>
        <v>9938.6461558407045</v>
      </c>
      <c r="AL591" s="196">
        <f t="shared" si="1533"/>
        <v>9938.6461558407045</v>
      </c>
      <c r="AM591" s="196">
        <f t="shared" si="1505"/>
        <v>19877.292311681409</v>
      </c>
      <c r="AN591" s="627">
        <f t="shared" si="1506"/>
        <v>9.6241482396649343E-4</v>
      </c>
      <c r="AO591" s="196">
        <f t="shared" si="1507"/>
        <v>9441.7138480486683</v>
      </c>
      <c r="AP591" s="589">
        <f t="shared" si="1524"/>
        <v>9.6241482396649332E-4</v>
      </c>
      <c r="AQ591" s="196"/>
      <c r="AR591" s="589"/>
      <c r="AS591">
        <v>1</v>
      </c>
      <c r="AT591" s="589">
        <f t="shared" si="1525"/>
        <v>1.2919896640826874E-3</v>
      </c>
      <c r="AU591" s="196">
        <v>10</v>
      </c>
      <c r="AV591" s="245">
        <f t="shared" si="1536"/>
        <v>1.1362345188046814E-3</v>
      </c>
      <c r="AX591" s="245"/>
      <c r="AY591" s="245"/>
      <c r="AZ591" s="196">
        <v>15</v>
      </c>
      <c r="BA591" s="589">
        <f t="shared" si="1590"/>
        <v>5.4963174672969107E-4</v>
      </c>
      <c r="BI591" s="196">
        <v>1</v>
      </c>
      <c r="BJ591" s="196">
        <f t="shared" si="1566"/>
        <v>138036.77104455404</v>
      </c>
      <c r="BK591" s="246">
        <f t="shared" si="1591"/>
        <v>2.632277940967289E-3</v>
      </c>
      <c r="BL591" s="196">
        <f t="shared" si="1583"/>
        <v>2760.735420891081</v>
      </c>
      <c r="BM591" s="246">
        <f t="shared" si="1592"/>
        <v>2.6322776397916105E-3</v>
      </c>
      <c r="BN591" s="196">
        <v>0</v>
      </c>
      <c r="BO591" s="196">
        <f t="shared" si="1567"/>
        <v>11209.337898823047</v>
      </c>
      <c r="BP591" s="196">
        <f t="shared" si="1508"/>
        <v>0</v>
      </c>
      <c r="BQ591" s="248">
        <f t="shared" si="1593"/>
        <v>0</v>
      </c>
      <c r="BR591" s="248"/>
      <c r="BS591" s="248"/>
      <c r="BT591" s="276">
        <v>0</v>
      </c>
      <c r="BU591" s="196">
        <f t="shared" si="1568"/>
        <v>0</v>
      </c>
      <c r="BV591" s="264">
        <f t="shared" si="1594"/>
        <v>0</v>
      </c>
      <c r="BW591" s="196">
        <f t="shared" si="1569"/>
        <v>0</v>
      </c>
      <c r="BX591" s="247">
        <f t="shared" si="1595"/>
        <v>0</v>
      </c>
      <c r="BY591" s="196">
        <f t="shared" si="1570"/>
        <v>0</v>
      </c>
      <c r="BZ591" s="620">
        <v>1</v>
      </c>
      <c r="CA591" s="196">
        <f t="shared" si="1571"/>
        <v>76030.643092181388</v>
      </c>
      <c r="CB591" s="196">
        <f t="shared" si="1572"/>
        <v>152061.28618436278</v>
      </c>
      <c r="CC591" s="196">
        <f t="shared" si="1521"/>
        <v>228091.92927654416</v>
      </c>
      <c r="CD591" s="247">
        <f t="shared" si="1509"/>
        <v>9.6241482396649332E-4</v>
      </c>
      <c r="CE591" s="196">
        <f t="shared" si="1573"/>
        <v>17024.725343704064</v>
      </c>
      <c r="CF591" s="247">
        <f t="shared" si="1510"/>
        <v>7.3518058631194148E-4</v>
      </c>
      <c r="CG591" s="196">
        <f t="shared" si="1538"/>
        <v>37766.855392194673</v>
      </c>
      <c r="CH591" s="589">
        <f t="shared" si="1526"/>
        <v>9.6241482396649332E-4</v>
      </c>
      <c r="CI591" s="196">
        <f t="shared" si="1574"/>
        <v>68468.814966496138</v>
      </c>
      <c r="CJ591" s="248">
        <f t="shared" si="1527"/>
        <v>1.1256271442523654E-3</v>
      </c>
      <c r="CK591" s="196">
        <f t="shared" si="1575"/>
        <v>55411.208671984161</v>
      </c>
      <c r="CL591" s="589">
        <f t="shared" si="1528"/>
        <v>7.9654752225913144E-4</v>
      </c>
      <c r="CM591" s="196">
        <f t="shared" si="1576"/>
        <v>5367.971460155326</v>
      </c>
      <c r="CN591" s="589">
        <f t="shared" si="1529"/>
        <v>7.7358569253081256E-4</v>
      </c>
      <c r="CO591" s="196">
        <f t="shared" si="1577"/>
        <v>429.42412313964542</v>
      </c>
      <c r="CP591" s="589">
        <f t="shared" si="1530"/>
        <v>8.0982775274983767E-4</v>
      </c>
      <c r="CQ591" s="196">
        <f>'Detailed Budget'!$AC$12</f>
        <v>292876014141.44696</v>
      </c>
      <c r="CR591" s="269">
        <f t="shared" si="1534"/>
        <v>770931071.46295464</v>
      </c>
      <c r="CS591" s="269">
        <f>'Detailed Budget'!$AC$16</f>
        <v>10488008800.000002</v>
      </c>
      <c r="CT591" s="607">
        <f t="shared" si="1539"/>
        <v>27607351.050177645</v>
      </c>
      <c r="CU591" s="269">
        <f>'Detailed Budget'!$AC$24</f>
        <v>30624985696</v>
      </c>
      <c r="CV591" s="269">
        <f t="shared" si="1589"/>
        <v>80613474.290019557</v>
      </c>
      <c r="CW591" s="269"/>
      <c r="CX591" s="269">
        <f t="shared" si="1522"/>
        <v>879151896.80315185</v>
      </c>
      <c r="CY591" s="196">
        <f>'Detailed Budget'!$AC$97</f>
        <v>74629165494.837845</v>
      </c>
      <c r="CZ591" s="269">
        <f t="shared" si="1540"/>
        <v>0</v>
      </c>
      <c r="DA591" s="269">
        <f>'Detailed Budget'!$AC$100</f>
        <v>14925833098.967569</v>
      </c>
      <c r="DB591" s="269">
        <f t="shared" si="1541"/>
        <v>0</v>
      </c>
      <c r="DC591" s="269">
        <f t="shared" si="1511"/>
        <v>0</v>
      </c>
      <c r="DD591" s="207">
        <v>0</v>
      </c>
      <c r="DE591" s="606">
        <v>0</v>
      </c>
      <c r="DF591" s="269">
        <f>'Detailed Budget'!$AC$147</f>
        <v>5913600671000</v>
      </c>
      <c r="DG591" s="269">
        <f t="shared" si="1584"/>
        <v>0</v>
      </c>
      <c r="DH591" s="269">
        <f>'Detailed Budget'!$AC$153</f>
        <v>226428026880.00003</v>
      </c>
      <c r="DI591" s="269"/>
      <c r="DJ591" s="269">
        <f>'Detailed Budget'!$AC$156</f>
        <v>27713070000</v>
      </c>
      <c r="DK591" s="269"/>
      <c r="DL591" s="269"/>
      <c r="DM591" s="196">
        <f>'Detailed Budget'!$AC$178</f>
        <v>5622683761.6229038</v>
      </c>
      <c r="DN591" s="269">
        <f t="shared" si="1578"/>
        <v>0</v>
      </c>
      <c r="DO591" s="196">
        <f>'Detailed Budget'!$AC$179</f>
        <v>26827890683.128094</v>
      </c>
      <c r="DP591" s="269">
        <f t="shared" si="1579"/>
        <v>0</v>
      </c>
      <c r="DQ591" s="269">
        <f t="shared" si="1531"/>
        <v>0</v>
      </c>
      <c r="DR591" s="269">
        <f>'Detailed Budget'!$AC$181</f>
        <v>50888946855.375237</v>
      </c>
      <c r="DS591" s="269">
        <f t="shared" si="1580"/>
        <v>0</v>
      </c>
      <c r="DT591" s="269">
        <f t="shared" si="1581"/>
        <v>0</v>
      </c>
      <c r="DU591" s="272">
        <f>'Detailed Budget'!$AC$192</f>
        <v>77498869683.252869</v>
      </c>
      <c r="DV591" s="269">
        <f t="shared" si="1542"/>
        <v>74586061.023810014</v>
      </c>
      <c r="DW591" s="140">
        <f>'Detailed Budget'!$AC$194</f>
        <v>2684962805.4134097</v>
      </c>
      <c r="DX591" s="269">
        <f t="shared" si="1543"/>
        <v>2584048.0057285288</v>
      </c>
      <c r="DY591" s="607">
        <f t="shared" si="1512"/>
        <v>77170109.029538542</v>
      </c>
      <c r="DZ591" s="196">
        <f>'Detailed Budget'!$AC$198</f>
        <v>18732540018.380611</v>
      </c>
      <c r="EA591" s="269">
        <f t="shared" si="1544"/>
        <v>13771799.753824964</v>
      </c>
      <c r="EB591" s="196">
        <f>'Detailed Budget'!$AC$200</f>
        <v>4683135004.5951529</v>
      </c>
      <c r="EC591" s="269">
        <f t="shared" si="1545"/>
        <v>3442949.938456241</v>
      </c>
      <c r="ED591" s="269">
        <f t="shared" si="1513"/>
        <v>17214749.692281205</v>
      </c>
      <c r="EE591" s="196">
        <f>'Detailed Budget'!$AC$161</f>
        <v>251147290106.36197</v>
      </c>
      <c r="EF591" s="269">
        <f t="shared" si="1546"/>
        <v>241707874.99737617</v>
      </c>
      <c r="EG591" s="196">
        <f>'Detailed Budget'!$AC$163</f>
        <v>15696705631.647623</v>
      </c>
      <c r="EH591" s="269">
        <f t="shared" si="1547"/>
        <v>15106742.187336011</v>
      </c>
      <c r="EI591" s="269">
        <f t="shared" si="1514"/>
        <v>256814617.18471217</v>
      </c>
      <c r="EJ591" s="196">
        <f>'Detailed Budget'!$AC$204</f>
        <v>45012172507.531975</v>
      </c>
      <c r="EK591" s="269">
        <f t="shared" si="1548"/>
        <v>50666923.196248047</v>
      </c>
      <c r="EL591" s="201">
        <f>'Detailed Budget'!$AC$206</f>
        <v>11253043126.882994</v>
      </c>
      <c r="EM591" s="269">
        <f t="shared" si="1549"/>
        <v>12666730.799062012</v>
      </c>
      <c r="EN591" s="269">
        <f t="shared" si="1515"/>
        <v>63333653.995310061</v>
      </c>
      <c r="EO591" s="140">
        <f>'Detailed Budget'!$AC$209</f>
        <v>135789361677.54817</v>
      </c>
      <c r="EP591" s="269">
        <f t="shared" si="1550"/>
        <v>108162679.59340005</v>
      </c>
      <c r="EQ591" s="196">
        <f>'Detailed Budget'!$AC$211</f>
        <v>33947340419.387043</v>
      </c>
      <c r="ER591" s="269">
        <f t="shared" si="1551"/>
        <v>27040669.898350012</v>
      </c>
      <c r="ES591" s="269">
        <f t="shared" si="1516"/>
        <v>135203349.49175006</v>
      </c>
      <c r="ET591" s="196">
        <f>'Detailed Budget'!$AC$214</f>
        <v>22239745544.201103</v>
      </c>
      <c r="EU591" s="269">
        <f t="shared" si="1552"/>
        <v>17204348.958519865</v>
      </c>
      <c r="EV591" s="140">
        <f>'Detailed Budget'!$AC$217</f>
        <v>5559936386.0502758</v>
      </c>
      <c r="EW591" s="269">
        <f t="shared" si="1553"/>
        <v>4301087.2396299662</v>
      </c>
      <c r="EX591" s="269">
        <f t="shared" si="1517"/>
        <v>21505436.19814983</v>
      </c>
      <c r="EY591" s="196">
        <f>'Detailed Budget'!$AC$219</f>
        <v>372777004.58170313</v>
      </c>
      <c r="EZ591" s="269">
        <f t="shared" si="1554"/>
        <v>301885.16389721661</v>
      </c>
      <c r="FA591" s="196">
        <f>'Detailed Budget'!$AC$222</f>
        <v>93194251.145425782</v>
      </c>
      <c r="FB591" s="269">
        <f t="shared" si="1555"/>
        <v>75471.290974304153</v>
      </c>
      <c r="FC591" s="269">
        <f t="shared" si="1518"/>
        <v>377356.45487152075</v>
      </c>
      <c r="FD591" s="269"/>
      <c r="FE591" s="269">
        <f t="shared" si="1519"/>
        <v>220419796.1400815</v>
      </c>
      <c r="FF591" s="140">
        <f>'Detailed Budget'!$AC$165</f>
        <v>14927760000</v>
      </c>
      <c r="FG591" s="1087">
        <f t="shared" si="1585"/>
        <v>300667192.37074947</v>
      </c>
      <c r="FH591" s="269">
        <f t="shared" si="1556"/>
        <v>16961436.200431772</v>
      </c>
      <c r="FJ591" s="140">
        <f>'Detailed Budget'!$AC$235</f>
        <v>3623696172</v>
      </c>
      <c r="FK591" s="269">
        <f t="shared" si="1557"/>
        <v>4681778</v>
      </c>
      <c r="FL591" s="269">
        <f t="shared" si="1586"/>
        <v>4681778</v>
      </c>
      <c r="FO591" s="607"/>
      <c r="FP591" s="607"/>
      <c r="FQ591" s="607"/>
      <c r="FR591" s="269">
        <f>'Detailed Budget'!$AC$257</f>
        <v>13636439388</v>
      </c>
      <c r="FS591" s="269">
        <f t="shared" si="1558"/>
        <v>7495019.9999999991</v>
      </c>
      <c r="FT591" s="269">
        <f t="shared" si="1587"/>
        <v>7495019.9999999991</v>
      </c>
      <c r="FU591" s="269"/>
      <c r="FV591" s="269"/>
      <c r="FW591" s="269"/>
      <c r="FX591" s="140">
        <f>'Detailed Budget'!$AC$278</f>
        <v>1114560000</v>
      </c>
      <c r="FY591" s="269">
        <f t="shared" si="1559"/>
        <v>1440000</v>
      </c>
      <c r="FZ591" s="269">
        <f t="shared" si="1588"/>
        <v>1440000</v>
      </c>
      <c r="GB591" s="269">
        <f t="shared" si="1596"/>
        <v>1782016595.4209466</v>
      </c>
      <c r="GC591" s="887">
        <f t="shared" si="1520"/>
        <v>1113760.3721380916</v>
      </c>
      <c r="GD591" s="1078">
        <f t="shared" si="1597"/>
        <v>9.9994562579473886E-4</v>
      </c>
    </row>
    <row r="592" spans="1:186" hidden="1" outlineLevel="1">
      <c r="A592" s="211" t="s">
        <v>1293</v>
      </c>
      <c r="B592" s="212" t="s">
        <v>1294</v>
      </c>
      <c r="C592" s="213" t="s">
        <v>215</v>
      </c>
      <c r="D592" s="214"/>
      <c r="E592" s="213"/>
      <c r="F592" s="213"/>
      <c r="G592" s="213" t="s">
        <v>215</v>
      </c>
      <c r="H592" s="213" t="s">
        <v>215</v>
      </c>
      <c r="I592" s="214" t="s">
        <v>215</v>
      </c>
      <c r="J592" s="214"/>
      <c r="K592" s="213"/>
      <c r="L592" s="213"/>
      <c r="M592" s="214" t="s">
        <v>215</v>
      </c>
      <c r="N592" s="213"/>
      <c r="O592" s="214"/>
      <c r="P592" s="213"/>
      <c r="Q592" s="214"/>
      <c r="R592" s="214" t="s">
        <v>215</v>
      </c>
      <c r="S592" s="214"/>
      <c r="T592" s="214"/>
      <c r="U592" s="215">
        <f t="shared" si="1564"/>
        <v>6</v>
      </c>
      <c r="V592" s="845" t="s">
        <v>216</v>
      </c>
      <c r="W592" s="216">
        <v>141408</v>
      </c>
      <c r="X592" s="217">
        <v>3.36</v>
      </c>
      <c r="Y592" s="218">
        <f t="shared" si="1477"/>
        <v>1.0336000000000001</v>
      </c>
      <c r="Z592" s="196">
        <v>19</v>
      </c>
      <c r="AA592" s="218">
        <f t="shared" si="1478"/>
        <v>1.873689022502546</v>
      </c>
      <c r="AB592" s="196">
        <f t="shared" si="1561"/>
        <v>264954.61729404004</v>
      </c>
      <c r="AC592">
        <v>12.2</v>
      </c>
      <c r="AD592" s="196">
        <f t="shared" si="1562"/>
        <v>32324.463309872881</v>
      </c>
      <c r="AE592" s="196">
        <f t="shared" si="1479"/>
        <v>30708.240144379237</v>
      </c>
      <c r="AF592" s="196">
        <f t="shared" si="1565"/>
        <v>0</v>
      </c>
      <c r="AG592" s="606">
        <f t="shared" si="1523"/>
        <v>1.4198142125758564E-3</v>
      </c>
      <c r="AH592" s="196">
        <f t="shared" si="1582"/>
        <v>13247.730864702004</v>
      </c>
      <c r="AI592" s="248">
        <f t="shared" si="1503"/>
        <v>1.0262816378156215E-3</v>
      </c>
      <c r="AJ592" s="196">
        <f t="shared" si="1504"/>
        <v>45572.194174574885</v>
      </c>
      <c r="AK592" s="196">
        <f t="shared" si="1532"/>
        <v>10598.184691761602</v>
      </c>
      <c r="AL592" s="196">
        <f t="shared" si="1533"/>
        <v>10598.184691761602</v>
      </c>
      <c r="AM592" s="196">
        <f t="shared" si="1505"/>
        <v>21196.369383523204</v>
      </c>
      <c r="AN592" s="627">
        <f t="shared" si="1506"/>
        <v>1.0262816378156213E-3</v>
      </c>
      <c r="AO592" s="196">
        <f t="shared" si="1507"/>
        <v>10068.275457173522</v>
      </c>
      <c r="AP592" s="589">
        <f t="shared" si="1524"/>
        <v>1.0262816378156213E-3</v>
      </c>
      <c r="AQ592" s="196"/>
      <c r="AR592" s="589"/>
      <c r="AS592">
        <v>1</v>
      </c>
      <c r="AT592" s="589">
        <f t="shared" si="1525"/>
        <v>1.2919896640826874E-3</v>
      </c>
      <c r="AU592" s="196">
        <v>11</v>
      </c>
      <c r="AV592" s="245">
        <f t="shared" si="1536"/>
        <v>1.2498579706851495E-3</v>
      </c>
      <c r="AX592" s="245"/>
      <c r="AY592" s="245"/>
      <c r="AZ592" s="196">
        <v>17</v>
      </c>
      <c r="BA592" s="589">
        <f t="shared" si="1590"/>
        <v>6.229159796269833E-4</v>
      </c>
      <c r="BI592" s="196">
        <v>1</v>
      </c>
      <c r="BJ592" s="196">
        <f t="shared" si="1566"/>
        <v>147197.02974080222</v>
      </c>
      <c r="BK592" s="246">
        <f t="shared" si="1591"/>
        <v>2.8069585475710549E-3</v>
      </c>
      <c r="BL592" s="196">
        <f t="shared" si="1583"/>
        <v>2943.9405948160443</v>
      </c>
      <c r="BM592" s="246">
        <f t="shared" si="1592"/>
        <v>2.806958226409056E-3</v>
      </c>
      <c r="BN592" s="196">
        <v>0</v>
      </c>
      <c r="BO592" s="196">
        <f t="shared" si="1567"/>
        <v>11953.200814406138</v>
      </c>
      <c r="BP592" s="196">
        <f t="shared" si="1508"/>
        <v>0</v>
      </c>
      <c r="BQ592" s="248">
        <f t="shared" si="1593"/>
        <v>0</v>
      </c>
      <c r="BR592" s="248"/>
      <c r="BS592" s="248"/>
      <c r="BT592" s="276">
        <v>0</v>
      </c>
      <c r="BU592" s="196">
        <f t="shared" si="1568"/>
        <v>0</v>
      </c>
      <c r="BV592" s="264">
        <f t="shared" si="1594"/>
        <v>0</v>
      </c>
      <c r="BW592" s="196">
        <f t="shared" si="1569"/>
        <v>0</v>
      </c>
      <c r="BX592" s="247">
        <f t="shared" si="1595"/>
        <v>0</v>
      </c>
      <c r="BY592" s="196">
        <f t="shared" si="1570"/>
        <v>0</v>
      </c>
      <c r="BZ592" s="620">
        <v>1</v>
      </c>
      <c r="CA592" s="196">
        <f t="shared" si="1571"/>
        <v>81076.112891976256</v>
      </c>
      <c r="CB592" s="196">
        <f t="shared" si="1572"/>
        <v>162152.22578395251</v>
      </c>
      <c r="CC592" s="196">
        <f t="shared" si="1521"/>
        <v>243228.33867592877</v>
      </c>
      <c r="CD592" s="247">
        <f t="shared" si="1509"/>
        <v>1.0262816378156213E-3</v>
      </c>
      <c r="CE592" s="196">
        <f t="shared" si="1573"/>
        <v>18154.503207970138</v>
      </c>
      <c r="CF592" s="247">
        <f t="shared" si="1510"/>
        <v>7.839679080387232E-4</v>
      </c>
      <c r="CG592" s="196">
        <f t="shared" si="1538"/>
        <v>40273.101828694089</v>
      </c>
      <c r="CH592" s="589">
        <f t="shared" si="1526"/>
        <v>1.0262816378156213E-3</v>
      </c>
      <c r="CI592" s="196">
        <f t="shared" si="1574"/>
        <v>73012.474260846153</v>
      </c>
      <c r="CJ592" s="248">
        <f t="shared" si="1527"/>
        <v>1.2003248915181475E-3</v>
      </c>
      <c r="CK592" s="196">
        <f t="shared" si="1575"/>
        <v>59088.352104608595</v>
      </c>
      <c r="CL592" s="589">
        <f t="shared" si="1528"/>
        <v>8.4940721545924273E-4</v>
      </c>
      <c r="CM592" s="196">
        <f t="shared" si="1576"/>
        <v>5724.1954349484522</v>
      </c>
      <c r="CN592" s="589">
        <f t="shared" si="1529"/>
        <v>8.2492161565966718E-4</v>
      </c>
      <c r="CO592" s="196">
        <f t="shared" si="1577"/>
        <v>457.92113903332364</v>
      </c>
      <c r="CP592" s="589">
        <f t="shared" si="1530"/>
        <v>8.635687353768177E-4</v>
      </c>
      <c r="CQ592" s="196">
        <f>'Detailed Budget'!$AC$12</f>
        <v>292876014141.44696</v>
      </c>
      <c r="CR592" s="269">
        <f t="shared" si="1534"/>
        <v>822090831.27287567</v>
      </c>
      <c r="CS592" s="269">
        <f>'Detailed Budget'!$AC$16</f>
        <v>10488008800.000002</v>
      </c>
      <c r="CT592" s="607">
        <f t="shared" si="1539"/>
        <v>29439402.579810578</v>
      </c>
      <c r="CU592" s="269">
        <f>'Detailed Budget'!$AC$24</f>
        <v>30624985696</v>
      </c>
      <c r="CV592" s="269">
        <f t="shared" si="1589"/>
        <v>85963065.368628487</v>
      </c>
      <c r="CW592" s="269"/>
      <c r="CX592" s="269">
        <f t="shared" si="1522"/>
        <v>937493299.22131479</v>
      </c>
      <c r="CY592" s="196">
        <f>'Detailed Budget'!$AC$97</f>
        <v>74629165494.837845</v>
      </c>
      <c r="CZ592" s="269">
        <f t="shared" si="1540"/>
        <v>0</v>
      </c>
      <c r="DA592" s="269">
        <f>'Detailed Budget'!$AC$100</f>
        <v>14925833098.967569</v>
      </c>
      <c r="DB592" s="269">
        <f t="shared" si="1541"/>
        <v>0</v>
      </c>
      <c r="DC592" s="269">
        <f t="shared" si="1511"/>
        <v>0</v>
      </c>
      <c r="DD592" s="207">
        <v>0</v>
      </c>
      <c r="DE592" s="606">
        <v>0</v>
      </c>
      <c r="DF592" s="269">
        <f>'Detailed Budget'!$AC$147</f>
        <v>5913600671000</v>
      </c>
      <c r="DG592" s="269">
        <f t="shared" si="1584"/>
        <v>0</v>
      </c>
      <c r="DH592" s="269">
        <f>'Detailed Budget'!$AC$153</f>
        <v>226428026880.00003</v>
      </c>
      <c r="DI592" s="269"/>
      <c r="DJ592" s="269">
        <f>'Detailed Budget'!$AC$156</f>
        <v>27713070000</v>
      </c>
      <c r="DK592" s="269"/>
      <c r="DL592" s="269"/>
      <c r="DM592" s="196">
        <f>'Detailed Budget'!$AC$178</f>
        <v>5622683761.6229038</v>
      </c>
      <c r="DN592" s="269">
        <f t="shared" si="1578"/>
        <v>0</v>
      </c>
      <c r="DO592" s="196">
        <f>'Detailed Budget'!$AC$179</f>
        <v>26827890683.128094</v>
      </c>
      <c r="DP592" s="269">
        <f t="shared" si="1579"/>
        <v>0</v>
      </c>
      <c r="DQ592" s="269">
        <f t="shared" si="1531"/>
        <v>0</v>
      </c>
      <c r="DR592" s="269">
        <f>'Detailed Budget'!$AC$181</f>
        <v>50888946855.375237</v>
      </c>
      <c r="DS592" s="269">
        <f t="shared" si="1580"/>
        <v>0</v>
      </c>
      <c r="DT592" s="269">
        <f t="shared" si="1581"/>
        <v>0</v>
      </c>
      <c r="DU592" s="272">
        <f>'Detailed Budget'!$AC$192</f>
        <v>77498869683.252869</v>
      </c>
      <c r="DV592" s="269">
        <f t="shared" si="1542"/>
        <v>79535666.907388151</v>
      </c>
      <c r="DW592" s="140">
        <f>'Detailed Budget'!$AC$194</f>
        <v>2684962805.4134097</v>
      </c>
      <c r="DX592" s="269">
        <f t="shared" si="1543"/>
        <v>2755528.0254136994</v>
      </c>
      <c r="DY592" s="607">
        <f t="shared" si="1512"/>
        <v>82291194.932801843</v>
      </c>
      <c r="DZ592" s="196">
        <f>'Detailed Budget'!$AC$198</f>
        <v>18732540018.380611</v>
      </c>
      <c r="EA592" s="269">
        <f t="shared" si="1544"/>
        <v>14685710.210461514</v>
      </c>
      <c r="EB592" s="196">
        <f>'Detailed Budget'!$AC$200</f>
        <v>4683135004.5951529</v>
      </c>
      <c r="EC592" s="269">
        <f t="shared" si="1545"/>
        <v>3671427.5526153785</v>
      </c>
      <c r="ED592" s="269">
        <f t="shared" si="1513"/>
        <v>18357137.763076894</v>
      </c>
      <c r="EE592" s="196">
        <f>'Detailed Budget'!$AC$161</f>
        <v>251147290106.36197</v>
      </c>
      <c r="EF592" s="269">
        <f t="shared" si="1546"/>
        <v>257747852.22331214</v>
      </c>
      <c r="EG592" s="196">
        <f>'Detailed Budget'!$AC$163</f>
        <v>15696705631.647623</v>
      </c>
      <c r="EH592" s="269">
        <f t="shared" si="1547"/>
        <v>16109240.763957009</v>
      </c>
      <c r="EI592" s="269">
        <f t="shared" si="1514"/>
        <v>273857092.98726916</v>
      </c>
      <c r="EJ592" s="196">
        <f>'Detailed Budget'!$AC$204</f>
        <v>45012172507.531975</v>
      </c>
      <c r="EK592" s="269">
        <f t="shared" si="1548"/>
        <v>54029231.08209946</v>
      </c>
      <c r="EL592" s="201">
        <f>'Detailed Budget'!$AC$206</f>
        <v>11253043126.882994</v>
      </c>
      <c r="EM592" s="269">
        <f t="shared" si="1549"/>
        <v>13507307.770524865</v>
      </c>
      <c r="EN592" s="269">
        <f t="shared" si="1515"/>
        <v>67536538.852624327</v>
      </c>
      <c r="EO592" s="140">
        <f>'Detailed Budget'!$AC$209</f>
        <v>135789361677.54817</v>
      </c>
      <c r="EP592" s="269">
        <f t="shared" si="1550"/>
        <v>115340463.5915142</v>
      </c>
      <c r="EQ592" s="196">
        <f>'Detailed Budget'!$AC$211</f>
        <v>33947340419.387043</v>
      </c>
      <c r="ER592" s="269">
        <f t="shared" si="1551"/>
        <v>28835115.89787855</v>
      </c>
      <c r="ES592" s="269">
        <f t="shared" si="1516"/>
        <v>144175579.48939276</v>
      </c>
      <c r="ET592" s="196">
        <f>'Detailed Budget'!$AC$214</f>
        <v>22239745544.201103</v>
      </c>
      <c r="EU592" s="269">
        <f t="shared" si="1552"/>
        <v>18346046.826182257</v>
      </c>
      <c r="EV592" s="140">
        <f>'Detailed Budget'!$AC$217</f>
        <v>5559936386.0502758</v>
      </c>
      <c r="EW592" s="269">
        <f t="shared" si="1553"/>
        <v>4586511.7065455643</v>
      </c>
      <c r="EX592" s="269">
        <f t="shared" si="1517"/>
        <v>22932558.532727823</v>
      </c>
      <c r="EY592" s="196">
        <f>'Detailed Budget'!$AC$219</f>
        <v>372777004.58170313</v>
      </c>
      <c r="EZ592" s="269">
        <f t="shared" si="1554"/>
        <v>321918.56642417953</v>
      </c>
      <c r="FA592" s="196">
        <f>'Detailed Budget'!$AC$222</f>
        <v>93194251.145425782</v>
      </c>
      <c r="FB592" s="269">
        <f t="shared" si="1555"/>
        <v>80479.641606044883</v>
      </c>
      <c r="FC592" s="269">
        <f t="shared" si="1518"/>
        <v>402398.20803022443</v>
      </c>
      <c r="FD592" s="269"/>
      <c r="FE592" s="269">
        <f t="shared" si="1519"/>
        <v>235047075.08277512</v>
      </c>
      <c r="FF592" s="140">
        <f>'Detailed Budget'!$AC$165</f>
        <v>14927760000</v>
      </c>
      <c r="FG592" s="1087">
        <f t="shared" si="1585"/>
        <v>320619769.08454192</v>
      </c>
      <c r="FH592" s="269">
        <f t="shared" si="1556"/>
        <v>18657579.820474949</v>
      </c>
      <c r="FJ592" s="140">
        <f>'Detailed Budget'!$AC$235</f>
        <v>3623696172</v>
      </c>
      <c r="FK592" s="269">
        <f t="shared" si="1557"/>
        <v>4681778</v>
      </c>
      <c r="FL592" s="269">
        <f t="shared" si="1586"/>
        <v>4681778</v>
      </c>
      <c r="FO592" s="607"/>
      <c r="FP592" s="607"/>
      <c r="FQ592" s="607"/>
      <c r="FR592" s="269">
        <f>'Detailed Budget'!$AC$257</f>
        <v>13636439388</v>
      </c>
      <c r="FS592" s="269">
        <f t="shared" si="1558"/>
        <v>8494356</v>
      </c>
      <c r="FT592" s="269">
        <f t="shared" si="1587"/>
        <v>8494356</v>
      </c>
      <c r="FU592" s="269"/>
      <c r="FV592" s="269"/>
      <c r="FW592" s="269"/>
      <c r="FX592" s="140">
        <f>'Detailed Budget'!$AC$278</f>
        <v>1114560000</v>
      </c>
      <c r="FY592" s="269">
        <f t="shared" si="1559"/>
        <v>1440000</v>
      </c>
      <c r="FZ592" s="269">
        <f t="shared" si="1588"/>
        <v>1440000</v>
      </c>
      <c r="GB592" s="269">
        <f t="shared" si="1596"/>
        <v>1900939282.8922546</v>
      </c>
      <c r="GC592" s="887">
        <f t="shared" si="1520"/>
        <v>1188087.0518076592</v>
      </c>
      <c r="GD592" s="1078">
        <f t="shared" si="1597"/>
        <v>1.0666768905036395E-3</v>
      </c>
    </row>
    <row r="593" spans="1:186" hidden="1" outlineLevel="1">
      <c r="A593" s="211" t="s">
        <v>1295</v>
      </c>
      <c r="B593" s="212" t="s">
        <v>1296</v>
      </c>
      <c r="C593" s="213" t="s">
        <v>215</v>
      </c>
      <c r="D593" s="214"/>
      <c r="E593" s="213"/>
      <c r="F593" s="213"/>
      <c r="G593" s="213" t="s">
        <v>215</v>
      </c>
      <c r="H593" s="213" t="s">
        <v>215</v>
      </c>
      <c r="I593" s="214" t="s">
        <v>215</v>
      </c>
      <c r="J593" s="214"/>
      <c r="K593" s="213"/>
      <c r="L593" s="213"/>
      <c r="M593" s="214" t="s">
        <v>215</v>
      </c>
      <c r="N593" s="213"/>
      <c r="O593" s="214"/>
      <c r="P593" s="213"/>
      <c r="Q593" s="214"/>
      <c r="R593" s="214" t="s">
        <v>215</v>
      </c>
      <c r="S593" s="214"/>
      <c r="T593" s="214"/>
      <c r="U593" s="215">
        <f t="shared" si="1564"/>
        <v>6</v>
      </c>
      <c r="V593" s="845" t="s">
        <v>216</v>
      </c>
      <c r="W593" s="216">
        <v>99084</v>
      </c>
      <c r="X593" s="217">
        <v>3.36</v>
      </c>
      <c r="Y593" s="218">
        <f t="shared" si="1477"/>
        <v>1.0336000000000001</v>
      </c>
      <c r="Z593" s="196">
        <v>19</v>
      </c>
      <c r="AA593" s="218">
        <f t="shared" si="1478"/>
        <v>1.873689022502546</v>
      </c>
      <c r="AB593" s="196">
        <f t="shared" si="1561"/>
        <v>185652.60310564228</v>
      </c>
      <c r="AC593">
        <v>12.2</v>
      </c>
      <c r="AD593" s="196">
        <f t="shared" si="1562"/>
        <v>22649.617578888359</v>
      </c>
      <c r="AE593" s="196">
        <f t="shared" si="1479"/>
        <v>21517.136699943941</v>
      </c>
      <c r="AF593" s="196">
        <f t="shared" si="1565"/>
        <v>0</v>
      </c>
      <c r="AG593" s="606">
        <f t="shared" si="1523"/>
        <v>9.9485793900533337E-4</v>
      </c>
      <c r="AH593" s="196">
        <f t="shared" si="1582"/>
        <v>9282.6301552821151</v>
      </c>
      <c r="AI593" s="248">
        <f t="shared" si="1503"/>
        <v>7.1911129357124797E-4</v>
      </c>
      <c r="AJ593" s="196">
        <f t="shared" si="1504"/>
        <v>31932.247734170473</v>
      </c>
      <c r="AK593" s="196">
        <f t="shared" si="1532"/>
        <v>7426.1041242256915</v>
      </c>
      <c r="AL593" s="196">
        <f t="shared" si="1533"/>
        <v>7426.1041242256915</v>
      </c>
      <c r="AM593" s="196">
        <f t="shared" si="1505"/>
        <v>14852.208248451383</v>
      </c>
      <c r="AN593" s="627">
        <f t="shared" si="1506"/>
        <v>7.1911129357124797E-4</v>
      </c>
      <c r="AO593" s="196">
        <f t="shared" si="1507"/>
        <v>7054.7989180144068</v>
      </c>
      <c r="AP593" s="589">
        <f t="shared" si="1524"/>
        <v>7.1911129357124786E-4</v>
      </c>
      <c r="AQ593" s="196"/>
      <c r="AR593" s="589"/>
      <c r="AS593">
        <v>1</v>
      </c>
      <c r="AT593" s="589">
        <f t="shared" si="1525"/>
        <v>1.2919896640826874E-3</v>
      </c>
      <c r="AU593" s="196">
        <v>10</v>
      </c>
      <c r="AV593" s="245">
        <f t="shared" si="1536"/>
        <v>1.1362345188046814E-3</v>
      </c>
      <c r="AX593" s="245"/>
      <c r="AY593" s="245"/>
      <c r="AZ593" s="196">
        <v>16</v>
      </c>
      <c r="BA593" s="589">
        <f t="shared" si="1590"/>
        <v>5.8627386317833719E-4</v>
      </c>
      <c r="BI593" s="196">
        <v>1</v>
      </c>
      <c r="BJ593" s="196">
        <f t="shared" si="1566"/>
        <v>103140.34916580141</v>
      </c>
      <c r="BK593" s="246">
        <f t="shared" si="1591"/>
        <v>1.9668242300826715E-3</v>
      </c>
      <c r="BL593" s="196">
        <f t="shared" si="1583"/>
        <v>2062.806983316028</v>
      </c>
      <c r="BM593" s="246">
        <f t="shared" si="1592"/>
        <v>1.9668240050457883E-3</v>
      </c>
      <c r="BN593" s="196">
        <v>0</v>
      </c>
      <c r="BO593" s="196">
        <f t="shared" si="1567"/>
        <v>8375.5583099585456</v>
      </c>
      <c r="BP593" s="196">
        <f t="shared" si="1508"/>
        <v>0</v>
      </c>
      <c r="BQ593" s="248">
        <f t="shared" si="1593"/>
        <v>0</v>
      </c>
      <c r="BR593" s="248"/>
      <c r="BS593" s="248"/>
      <c r="BT593" s="276">
        <v>0</v>
      </c>
      <c r="BU593" s="196">
        <f t="shared" si="1568"/>
        <v>0</v>
      </c>
      <c r="BV593" s="264">
        <f t="shared" si="1594"/>
        <v>0</v>
      </c>
      <c r="BW593" s="196">
        <f t="shared" si="1569"/>
        <v>0</v>
      </c>
      <c r="BX593" s="247">
        <f t="shared" si="1595"/>
        <v>0</v>
      </c>
      <c r="BY593" s="196">
        <f t="shared" si="1570"/>
        <v>0</v>
      </c>
      <c r="BZ593" s="620">
        <v>1</v>
      </c>
      <c r="CA593" s="196">
        <f t="shared" si="1571"/>
        <v>56809.696550326531</v>
      </c>
      <c r="CB593" s="196">
        <f t="shared" si="1572"/>
        <v>113619.39310065306</v>
      </c>
      <c r="CC593" s="196">
        <f t="shared" si="1521"/>
        <v>170429.08965097959</v>
      </c>
      <c r="CD593" s="247">
        <f t="shared" si="1509"/>
        <v>7.1911129357124775E-4</v>
      </c>
      <c r="CE593" s="196">
        <f t="shared" si="1573"/>
        <v>12720.785216243163</v>
      </c>
      <c r="CF593" s="247">
        <f t="shared" si="1510"/>
        <v>5.4932306658823297E-4</v>
      </c>
      <c r="CG593" s="196">
        <f t="shared" si="1538"/>
        <v>28219.195672057627</v>
      </c>
      <c r="CH593" s="589">
        <f t="shared" si="1526"/>
        <v>7.1911129357124786E-4</v>
      </c>
      <c r="CI593" s="196">
        <f t="shared" si="1574"/>
        <v>51159.538354701872</v>
      </c>
      <c r="CJ593" s="248">
        <f t="shared" si="1527"/>
        <v>8.410626806912209E-4</v>
      </c>
      <c r="CK593" s="196">
        <f t="shared" si="1575"/>
        <v>41402.963622518102</v>
      </c>
      <c r="CL593" s="589">
        <f t="shared" si="1528"/>
        <v>5.9517611829998048E-4</v>
      </c>
      <c r="CM593" s="196">
        <f t="shared" si="1576"/>
        <v>4010.9200361820585</v>
      </c>
      <c r="CN593" s="589">
        <f t="shared" si="1529"/>
        <v>5.7801915992038979E-4</v>
      </c>
      <c r="CO593" s="196">
        <f t="shared" si="1577"/>
        <v>320.86344577377412</v>
      </c>
      <c r="CP593" s="589">
        <f t="shared" si="1530"/>
        <v>6.0509903666041971E-4</v>
      </c>
      <c r="CQ593" s="196">
        <f>'Detailed Budget'!$AC$12</f>
        <v>292876014141.44696</v>
      </c>
      <c r="CR593" s="269">
        <f t="shared" si="1534"/>
        <v>576035641.02343297</v>
      </c>
      <c r="CS593" s="269">
        <f>'Detailed Budget'!$AC$16</f>
        <v>10488008800.000002</v>
      </c>
      <c r="CT593" s="607">
        <f t="shared" si="1539"/>
        <v>20628067.472971477</v>
      </c>
      <c r="CU593" s="269">
        <f>'Detailed Budget'!$AC$24</f>
        <v>30624985696</v>
      </c>
      <c r="CV593" s="269">
        <f t="shared" si="1589"/>
        <v>60233963.912828028</v>
      </c>
      <c r="CW593" s="269"/>
      <c r="CX593" s="269">
        <f t="shared" si="1522"/>
        <v>656897672.40923238</v>
      </c>
      <c r="CY593" s="196">
        <f>'Detailed Budget'!$AC$97</f>
        <v>74629165494.837845</v>
      </c>
      <c r="CZ593" s="269">
        <f t="shared" si="1540"/>
        <v>0</v>
      </c>
      <c r="DA593" s="269">
        <f>'Detailed Budget'!$AC$100</f>
        <v>14925833098.967569</v>
      </c>
      <c r="DB593" s="269">
        <f t="shared" si="1541"/>
        <v>0</v>
      </c>
      <c r="DC593" s="269">
        <f t="shared" si="1511"/>
        <v>0</v>
      </c>
      <c r="DD593" s="207">
        <v>0</v>
      </c>
      <c r="DE593" s="606">
        <v>0</v>
      </c>
      <c r="DF593" s="269">
        <f>'Detailed Budget'!$AC$147</f>
        <v>5913600671000</v>
      </c>
      <c r="DG593" s="269">
        <f t="shared" si="1584"/>
        <v>0</v>
      </c>
      <c r="DH593" s="269">
        <f>'Detailed Budget'!$AC$153</f>
        <v>226428026880.00003</v>
      </c>
      <c r="DI593" s="269"/>
      <c r="DJ593" s="269">
        <f>'Detailed Budget'!$AC$156</f>
        <v>27713070000</v>
      </c>
      <c r="DK593" s="269"/>
      <c r="DL593" s="269"/>
      <c r="DM593" s="196">
        <f>'Detailed Budget'!$AC$178</f>
        <v>5622683761.6229038</v>
      </c>
      <c r="DN593" s="269">
        <f t="shared" si="1578"/>
        <v>0</v>
      </c>
      <c r="DO593" s="196">
        <f>'Detailed Budget'!$AC$179</f>
        <v>26827890683.128094</v>
      </c>
      <c r="DP593" s="269">
        <f t="shared" si="1579"/>
        <v>0</v>
      </c>
      <c r="DQ593" s="269">
        <f t="shared" si="1531"/>
        <v>0</v>
      </c>
      <c r="DR593" s="269">
        <f>'Detailed Budget'!$AC$181</f>
        <v>50888946855.375237</v>
      </c>
      <c r="DS593" s="269">
        <f t="shared" si="1580"/>
        <v>0</v>
      </c>
      <c r="DT593" s="269">
        <f t="shared" si="1581"/>
        <v>0</v>
      </c>
      <c r="DU593" s="272">
        <f>'Detailed Budget'!$AC$192</f>
        <v>77498869683.252869</v>
      </c>
      <c r="DV593" s="269">
        <f t="shared" si="1542"/>
        <v>55730312.428233527</v>
      </c>
      <c r="DW593" s="140">
        <f>'Detailed Budget'!$AC$194</f>
        <v>2684962805.4134097</v>
      </c>
      <c r="DX593" s="269">
        <f t="shared" si="1543"/>
        <v>1930787.076191524</v>
      </c>
      <c r="DY593" s="607">
        <f t="shared" si="1512"/>
        <v>57661099.504425049</v>
      </c>
      <c r="DZ593" s="196">
        <f>'Detailed Budget'!$AC$198</f>
        <v>18732540018.380611</v>
      </c>
      <c r="EA593" s="269">
        <f t="shared" si="1544"/>
        <v>10290216.327883631</v>
      </c>
      <c r="EB593" s="196">
        <f>'Detailed Budget'!$AC$200</f>
        <v>4683135004.5951529</v>
      </c>
      <c r="EC593" s="269">
        <f t="shared" si="1545"/>
        <v>2572554.0819709077</v>
      </c>
      <c r="ED593" s="269">
        <f t="shared" si="1513"/>
        <v>12862770.409854539</v>
      </c>
      <c r="EE593" s="196">
        <f>'Detailed Budget'!$AC$161</f>
        <v>251147290106.36197</v>
      </c>
      <c r="EF593" s="269">
        <f t="shared" si="1546"/>
        <v>180602852.66529942</v>
      </c>
      <c r="EG593" s="196">
        <f>'Detailed Budget'!$AC$163</f>
        <v>15696705631.647623</v>
      </c>
      <c r="EH593" s="269">
        <f t="shared" si="1547"/>
        <v>11287678.291581213</v>
      </c>
      <c r="EI593" s="269">
        <f t="shared" si="1514"/>
        <v>191890530.95688063</v>
      </c>
      <c r="EJ593" s="196">
        <f>'Detailed Budget'!$AC$204</f>
        <v>45012172507.531975</v>
      </c>
      <c r="EK593" s="269">
        <f t="shared" si="1548"/>
        <v>37858058.472920515</v>
      </c>
      <c r="EL593" s="201">
        <f>'Detailed Budget'!$AC$206</f>
        <v>11253043126.882994</v>
      </c>
      <c r="EM593" s="269">
        <f t="shared" si="1549"/>
        <v>9464514.6182301287</v>
      </c>
      <c r="EN593" s="269">
        <f t="shared" si="1515"/>
        <v>47322573.091150641</v>
      </c>
      <c r="EO593" s="140">
        <f>'Detailed Budget'!$AC$209</f>
        <v>135789361677.54817</v>
      </c>
      <c r="EP593" s="269">
        <f t="shared" si="1550"/>
        <v>80818585.189675242</v>
      </c>
      <c r="EQ593" s="196">
        <f>'Detailed Budget'!$AC$211</f>
        <v>33947340419.387043</v>
      </c>
      <c r="ER593" s="269">
        <f t="shared" si="1551"/>
        <v>20204646.29741881</v>
      </c>
      <c r="ES593" s="269">
        <f t="shared" si="1516"/>
        <v>101023231.48709404</v>
      </c>
      <c r="ET593" s="196">
        <f>'Detailed Budget'!$AC$214</f>
        <v>22239745544.201103</v>
      </c>
      <c r="EU593" s="269">
        <f t="shared" si="1552"/>
        <v>12854999.036302354</v>
      </c>
      <c r="EV593" s="140">
        <f>'Detailed Budget'!$AC$217</f>
        <v>5559936386.0502758</v>
      </c>
      <c r="EW593" s="269">
        <f t="shared" si="1553"/>
        <v>3213749.7590755885</v>
      </c>
      <c r="EX593" s="269">
        <f t="shared" si="1517"/>
        <v>16068748.795377944</v>
      </c>
      <c r="EY593" s="196">
        <f>'Detailed Budget'!$AC$219</f>
        <v>372777004.58170313</v>
      </c>
      <c r="EZ593" s="269">
        <f t="shared" si="1554"/>
        <v>225567.00636154541</v>
      </c>
      <c r="FA593" s="196">
        <f>'Detailed Budget'!$AC$222</f>
        <v>93194251.145425782</v>
      </c>
      <c r="FB593" s="269">
        <f t="shared" si="1555"/>
        <v>56391.751590386353</v>
      </c>
      <c r="FC593" s="269">
        <f t="shared" si="1518"/>
        <v>281958.7579519318</v>
      </c>
      <c r="FD593" s="269"/>
      <c r="FE593" s="269">
        <f t="shared" si="1519"/>
        <v>164696512.13157457</v>
      </c>
      <c r="FF593" s="140">
        <f>'Detailed Budget'!$AC$165</f>
        <v>14927760000</v>
      </c>
      <c r="FG593" s="1087">
        <f t="shared" si="1585"/>
        <v>224656944.44425181</v>
      </c>
      <c r="FH593" s="269">
        <f t="shared" si="1556"/>
        <v>16961436.200431772</v>
      </c>
      <c r="FJ593" s="140">
        <f>'Detailed Budget'!$AC$235</f>
        <v>3623696172</v>
      </c>
      <c r="FK593" s="269">
        <f t="shared" si="1557"/>
        <v>4681778</v>
      </c>
      <c r="FL593" s="269">
        <f t="shared" si="1586"/>
        <v>4681778</v>
      </c>
      <c r="FO593" s="607"/>
      <c r="FP593" s="607"/>
      <c r="FQ593" s="607"/>
      <c r="FR593" s="269">
        <f>'Detailed Budget'!$AC$257</f>
        <v>13636439388</v>
      </c>
      <c r="FS593" s="269">
        <f t="shared" si="1558"/>
        <v>7994688</v>
      </c>
      <c r="FT593" s="269">
        <f t="shared" si="1587"/>
        <v>7994688</v>
      </c>
      <c r="FU593" s="269"/>
      <c r="FV593" s="269"/>
      <c r="FW593" s="269"/>
      <c r="FX593" s="140">
        <f>'Detailed Budget'!$AC$278</f>
        <v>1114560000</v>
      </c>
      <c r="FY593" s="269">
        <f t="shared" si="1559"/>
        <v>1440000</v>
      </c>
      <c r="FZ593" s="269">
        <f t="shared" si="1588"/>
        <v>1440000</v>
      </c>
      <c r="GB593" s="269">
        <f t="shared" si="1596"/>
        <v>1339743432.0566509</v>
      </c>
      <c r="GC593" s="887">
        <f t="shared" si="1520"/>
        <v>837339.64503540681</v>
      </c>
      <c r="GD593" s="1078">
        <f t="shared" si="1597"/>
        <v>7.517722270458558E-4</v>
      </c>
    </row>
    <row r="594" spans="1:186" hidden="1" outlineLevel="1">
      <c r="A594" s="211" t="s">
        <v>1297</v>
      </c>
      <c r="B594" s="212" t="s">
        <v>1298</v>
      </c>
      <c r="C594" s="213" t="s">
        <v>215</v>
      </c>
      <c r="D594" s="214"/>
      <c r="E594" s="213"/>
      <c r="F594" s="213"/>
      <c r="G594" s="213" t="s">
        <v>215</v>
      </c>
      <c r="H594" s="213" t="s">
        <v>215</v>
      </c>
      <c r="I594" s="214" t="s">
        <v>215</v>
      </c>
      <c r="J594" s="214"/>
      <c r="K594" s="213"/>
      <c r="L594" s="213"/>
      <c r="M594" s="214" t="s">
        <v>215</v>
      </c>
      <c r="N594" s="213"/>
      <c r="O594" s="214"/>
      <c r="P594" s="213"/>
      <c r="Q594" s="214"/>
      <c r="R594" s="214" t="s">
        <v>215</v>
      </c>
      <c r="S594" s="214"/>
      <c r="T594" s="214"/>
      <c r="U594" s="215">
        <f t="shared" si="1564"/>
        <v>6</v>
      </c>
      <c r="V594" s="845" t="s">
        <v>216</v>
      </c>
      <c r="W594" s="216">
        <v>127856</v>
      </c>
      <c r="X594" s="217">
        <v>3.36</v>
      </c>
      <c r="Y594" s="218">
        <f t="shared" si="1477"/>
        <v>1.0336000000000001</v>
      </c>
      <c r="Z594" s="196">
        <v>19</v>
      </c>
      <c r="AA594" s="218">
        <f t="shared" si="1478"/>
        <v>1.873689022502546</v>
      </c>
      <c r="AB594" s="196">
        <f t="shared" si="1561"/>
        <v>239562.38366108551</v>
      </c>
      <c r="AC594">
        <v>12.2</v>
      </c>
      <c r="AD594" s="196">
        <f t="shared" si="1562"/>
        <v>29226.610806652428</v>
      </c>
      <c r="AE594" s="196">
        <f t="shared" si="1479"/>
        <v>27765.280266319805</v>
      </c>
      <c r="AF594" s="196">
        <f t="shared" si="1565"/>
        <v>0</v>
      </c>
      <c r="AG594" s="606">
        <f t="shared" si="1523"/>
        <v>1.2837446676503357E-3</v>
      </c>
      <c r="AH594" s="196">
        <f t="shared" si="1582"/>
        <v>11978.119183054276</v>
      </c>
      <c r="AI594" s="248">
        <f t="shared" si="1503"/>
        <v>9.2792674448796437E-4</v>
      </c>
      <c r="AJ594" s="196">
        <f t="shared" si="1504"/>
        <v>41204.729989706706</v>
      </c>
      <c r="AK594" s="196">
        <f t="shared" si="1532"/>
        <v>9582.4953464434202</v>
      </c>
      <c r="AL594" s="196">
        <f t="shared" si="1533"/>
        <v>9582.4953464434202</v>
      </c>
      <c r="AM594" s="196">
        <f t="shared" si="1505"/>
        <v>19164.99069288684</v>
      </c>
      <c r="AN594" s="627">
        <f t="shared" si="1506"/>
        <v>9.2792674448796437E-4</v>
      </c>
      <c r="AO594" s="196">
        <f t="shared" si="1507"/>
        <v>9103.3705791212487</v>
      </c>
      <c r="AP594" s="589">
        <f t="shared" si="1524"/>
        <v>9.2792674448796426E-4</v>
      </c>
      <c r="AQ594" s="196"/>
      <c r="AR594" s="589"/>
      <c r="AS594">
        <v>1</v>
      </c>
      <c r="AT594" s="589">
        <f t="shared" si="1525"/>
        <v>1.2919896640826874E-3</v>
      </c>
      <c r="AU594" s="196">
        <v>10</v>
      </c>
      <c r="AV594" s="245">
        <f t="shared" si="1536"/>
        <v>1.1362345188046814E-3</v>
      </c>
      <c r="AX594" s="245"/>
      <c r="AY594" s="245"/>
      <c r="AZ594" s="196">
        <v>15</v>
      </c>
      <c r="BA594" s="589">
        <f t="shared" si="1590"/>
        <v>5.4963174672969107E-4</v>
      </c>
      <c r="BI594" s="196">
        <v>1</v>
      </c>
      <c r="BJ594" s="196">
        <f t="shared" si="1566"/>
        <v>133090.23134858004</v>
      </c>
      <c r="BK594" s="246">
        <f t="shared" si="1591"/>
        <v>2.5379504134012557E-3</v>
      </c>
      <c r="BL594" s="196">
        <f t="shared" si="1583"/>
        <v>2661.804626971601</v>
      </c>
      <c r="BM594" s="246">
        <f t="shared" si="1592"/>
        <v>2.5379501230181904E-3</v>
      </c>
      <c r="BN594" s="196">
        <v>0</v>
      </c>
      <c r="BO594" s="196">
        <f t="shared" si="1567"/>
        <v>10807.651924408174</v>
      </c>
      <c r="BP594" s="196">
        <f t="shared" si="1508"/>
        <v>0</v>
      </c>
      <c r="BQ594" s="248">
        <f t="shared" si="1593"/>
        <v>0</v>
      </c>
      <c r="BR594" s="248"/>
      <c r="BS594" s="248"/>
      <c r="BT594" s="276">
        <v>0</v>
      </c>
      <c r="BU594" s="196">
        <f t="shared" si="1568"/>
        <v>0</v>
      </c>
      <c r="BV594" s="264">
        <f t="shared" si="1594"/>
        <v>0</v>
      </c>
      <c r="BW594" s="196">
        <f t="shared" si="1569"/>
        <v>0</v>
      </c>
      <c r="BX594" s="247">
        <f t="shared" si="1595"/>
        <v>0</v>
      </c>
      <c r="BY594" s="196">
        <f t="shared" si="1570"/>
        <v>0</v>
      </c>
      <c r="BZ594" s="620">
        <v>1</v>
      </c>
      <c r="CA594" s="196">
        <f t="shared" si="1571"/>
        <v>73306.08940029217</v>
      </c>
      <c r="CB594" s="196">
        <f t="shared" si="1572"/>
        <v>146612.17880058434</v>
      </c>
      <c r="CC594" s="196">
        <f t="shared" si="1521"/>
        <v>219918.26820087651</v>
      </c>
      <c r="CD594" s="247">
        <f t="shared" si="1509"/>
        <v>9.2792674448796437E-4</v>
      </c>
      <c r="CE594" s="196">
        <f t="shared" si="1573"/>
        <v>16414.645297000381</v>
      </c>
      <c r="CF594" s="247">
        <f t="shared" si="1510"/>
        <v>7.0883543257947918E-4</v>
      </c>
      <c r="CG594" s="196">
        <f t="shared" si="1538"/>
        <v>36413.482316484995</v>
      </c>
      <c r="CH594" s="589">
        <f t="shared" si="1526"/>
        <v>9.2792674448796426E-4</v>
      </c>
      <c r="CI594" s="196">
        <f t="shared" si="1574"/>
        <v>66015.238947547128</v>
      </c>
      <c r="CJ594" s="248">
        <f t="shared" si="1527"/>
        <v>1.0852903607288431E-3</v>
      </c>
      <c r="CK594" s="196">
        <f t="shared" si="1575"/>
        <v>53425.551218366963</v>
      </c>
      <c r="CL594" s="589">
        <f t="shared" si="1528"/>
        <v>7.680032879310713E-4</v>
      </c>
      <c r="CM594" s="196">
        <f t="shared" si="1576"/>
        <v>5175.6105137670374</v>
      </c>
      <c r="CN594" s="589">
        <f t="shared" si="1529"/>
        <v>7.4586429404123109E-4</v>
      </c>
      <c r="CO594" s="196">
        <f t="shared" si="1577"/>
        <v>414.03573455705919</v>
      </c>
      <c r="CP594" s="589">
        <f t="shared" si="1530"/>
        <v>7.8080762213126838E-4</v>
      </c>
      <c r="CQ594" s="196">
        <f>'Detailed Budget'!$AC$12</f>
        <v>292876014141.44696</v>
      </c>
      <c r="CR594" s="269">
        <f t="shared" si="1534"/>
        <v>743304801.16559732</v>
      </c>
      <c r="CS594" s="269">
        <f>'Detailed Budget'!$AC$16</f>
        <v>10488008800.000002</v>
      </c>
      <c r="CT594" s="607">
        <f t="shared" si="1539"/>
        <v>26618043.22417587</v>
      </c>
      <c r="CU594" s="269">
        <f>'Detailed Budget'!$AC$24</f>
        <v>30624985696</v>
      </c>
      <c r="CV594" s="269">
        <f t="shared" si="1589"/>
        <v>77724695.107570738</v>
      </c>
      <c r="CW594" s="269"/>
      <c r="CX594" s="269">
        <f t="shared" si="1522"/>
        <v>847647539.4973439</v>
      </c>
      <c r="CY594" s="196">
        <f>'Detailed Budget'!$AC$97</f>
        <v>74629165494.837845</v>
      </c>
      <c r="CZ594" s="269">
        <f t="shared" si="1540"/>
        <v>0</v>
      </c>
      <c r="DA594" s="269">
        <f>'Detailed Budget'!$AC$100</f>
        <v>14925833098.967569</v>
      </c>
      <c r="DB594" s="269">
        <f t="shared" si="1541"/>
        <v>0</v>
      </c>
      <c r="DC594" s="269">
        <f t="shared" si="1511"/>
        <v>0</v>
      </c>
      <c r="DD594" s="207">
        <v>0</v>
      </c>
      <c r="DE594" s="606">
        <v>0</v>
      </c>
      <c r="DF594" s="269">
        <f>'Detailed Budget'!$AC$147</f>
        <v>5913600671000</v>
      </c>
      <c r="DG594" s="269">
        <f t="shared" si="1584"/>
        <v>0</v>
      </c>
      <c r="DH594" s="269">
        <f>'Detailed Budget'!$AC$153</f>
        <v>226428026880.00003</v>
      </c>
      <c r="DI594" s="269"/>
      <c r="DJ594" s="269">
        <f>'Detailed Budget'!$AC$156</f>
        <v>27713070000</v>
      </c>
      <c r="DK594" s="269"/>
      <c r="DL594" s="269"/>
      <c r="DM594" s="196">
        <f>'Detailed Budget'!$AC$178</f>
        <v>5622683761.6229038</v>
      </c>
      <c r="DN594" s="269">
        <f t="shared" si="1578"/>
        <v>0</v>
      </c>
      <c r="DO594" s="196">
        <f>'Detailed Budget'!$AC$179</f>
        <v>26827890683.128094</v>
      </c>
      <c r="DP594" s="269">
        <f t="shared" si="1579"/>
        <v>0</v>
      </c>
      <c r="DQ594" s="269">
        <f t="shared" si="1531"/>
        <v>0</v>
      </c>
      <c r="DR594" s="269">
        <f>'Detailed Budget'!$AC$181</f>
        <v>50888946855.375237</v>
      </c>
      <c r="DS594" s="269">
        <f t="shared" si="1580"/>
        <v>0</v>
      </c>
      <c r="DT594" s="269">
        <f t="shared" si="1581"/>
        <v>0</v>
      </c>
      <c r="DU594" s="272">
        <f>'Detailed Budget'!$AC$192</f>
        <v>77498869683.252869</v>
      </c>
      <c r="DV594" s="269">
        <f t="shared" si="1542"/>
        <v>71913273.84667784</v>
      </c>
      <c r="DW594" s="140">
        <f>'Detailed Budget'!$AC$194</f>
        <v>2684962805.4134097</v>
      </c>
      <c r="DX594" s="269">
        <f t="shared" si="1543"/>
        <v>2491448.7950985371</v>
      </c>
      <c r="DY594" s="607">
        <f t="shared" si="1512"/>
        <v>74404722.641776383</v>
      </c>
      <c r="DZ594" s="196">
        <f>'Detailed Budget'!$AC$198</f>
        <v>18732540018.380611</v>
      </c>
      <c r="EA594" s="269">
        <f t="shared" si="1544"/>
        <v>13278288.107241226</v>
      </c>
      <c r="EB594" s="196">
        <f>'Detailed Budget'!$AC$200</f>
        <v>4683135004.5951529</v>
      </c>
      <c r="EC594" s="269">
        <f t="shared" si="1545"/>
        <v>3319572.0268103066</v>
      </c>
      <c r="ED594" s="269">
        <f t="shared" si="1513"/>
        <v>16597860.134051533</v>
      </c>
      <c r="EE594" s="196">
        <f>'Detailed Budget'!$AC$161</f>
        <v>251147290106.36197</v>
      </c>
      <c r="EF594" s="269">
        <f t="shared" si="1546"/>
        <v>233046287.29537079</v>
      </c>
      <c r="EG594" s="196">
        <f>'Detailed Budget'!$AC$163</f>
        <v>15696705631.647623</v>
      </c>
      <c r="EH594" s="269">
        <f t="shared" si="1547"/>
        <v>14565392.955960674</v>
      </c>
      <c r="EI594" s="269">
        <f t="shared" si="1514"/>
        <v>247611680.25133145</v>
      </c>
      <c r="EJ594" s="196">
        <f>'Detailed Budget'!$AC$204</f>
        <v>45012172507.531975</v>
      </c>
      <c r="EK594" s="269">
        <f t="shared" si="1548"/>
        <v>48851276.937888294</v>
      </c>
      <c r="EL594" s="201">
        <f>'Detailed Budget'!$AC$206</f>
        <v>11253043126.882994</v>
      </c>
      <c r="EM594" s="269">
        <f t="shared" si="1549"/>
        <v>12212819.234472074</v>
      </c>
      <c r="EN594" s="269">
        <f t="shared" si="1515"/>
        <v>61064096.172360368</v>
      </c>
      <c r="EO594" s="140">
        <f>'Detailed Budget'!$AC$209</f>
        <v>135789361677.54817</v>
      </c>
      <c r="EP594" s="269">
        <f t="shared" si="1550"/>
        <v>104286676.23441841</v>
      </c>
      <c r="EQ594" s="196">
        <f>'Detailed Budget'!$AC$211</f>
        <v>33947340419.387043</v>
      </c>
      <c r="ER594" s="269">
        <f t="shared" si="1551"/>
        <v>26071669.058604602</v>
      </c>
      <c r="ES594" s="269">
        <f t="shared" si="1516"/>
        <v>130358345.29302301</v>
      </c>
      <c r="ET594" s="196">
        <f>'Detailed Budget'!$AC$214</f>
        <v>22239745544.201103</v>
      </c>
      <c r="EU594" s="269">
        <f t="shared" si="1552"/>
        <v>16587832.10998217</v>
      </c>
      <c r="EV594" s="140">
        <f>'Detailed Budget'!$AC$217</f>
        <v>5559936386.0502758</v>
      </c>
      <c r="EW594" s="269">
        <f t="shared" si="1553"/>
        <v>4146958.0274955425</v>
      </c>
      <c r="EX594" s="269">
        <f t="shared" si="1517"/>
        <v>20734790.137477711</v>
      </c>
      <c r="EY594" s="196">
        <f>'Detailed Budget'!$AC$219</f>
        <v>372777004.58170313</v>
      </c>
      <c r="EZ594" s="269">
        <f t="shared" si="1554"/>
        <v>291067.12653265655</v>
      </c>
      <c r="FA594" s="196">
        <f>'Detailed Budget'!$AC$222</f>
        <v>93194251.145425782</v>
      </c>
      <c r="FB594" s="269">
        <f t="shared" si="1555"/>
        <v>72766.781633164137</v>
      </c>
      <c r="FC594" s="269">
        <f t="shared" si="1518"/>
        <v>363833.9081658207</v>
      </c>
      <c r="FD594" s="269"/>
      <c r="FE594" s="269">
        <f t="shared" si="1519"/>
        <v>212521065.51102692</v>
      </c>
      <c r="FF594" s="140">
        <f>'Detailed Budget'!$AC$165</f>
        <v>14927760000</v>
      </c>
      <c r="FG594" s="1087">
        <f t="shared" si="1585"/>
        <v>289892800.94530147</v>
      </c>
      <c r="FH594" s="269">
        <f t="shared" si="1556"/>
        <v>16961436.200431772</v>
      </c>
      <c r="FJ594" s="140">
        <f>'Detailed Budget'!$AC$235</f>
        <v>3623696172</v>
      </c>
      <c r="FK594" s="269">
        <f t="shared" si="1557"/>
        <v>4681778</v>
      </c>
      <c r="FL594" s="269">
        <f t="shared" si="1586"/>
        <v>4681778</v>
      </c>
      <c r="FO594" s="607"/>
      <c r="FP594" s="607"/>
      <c r="FQ594" s="607"/>
      <c r="FR594" s="269">
        <f>'Detailed Budget'!$AC$257</f>
        <v>13636439388</v>
      </c>
      <c r="FS594" s="269">
        <f t="shared" si="1558"/>
        <v>7495019.9999999991</v>
      </c>
      <c r="FT594" s="269">
        <f t="shared" si="1587"/>
        <v>7495019.9999999991</v>
      </c>
      <c r="FU594" s="269"/>
      <c r="FV594" s="269"/>
      <c r="FW594" s="269"/>
      <c r="FX594" s="140">
        <f>'Detailed Budget'!$AC$278</f>
        <v>1114560000</v>
      </c>
      <c r="FY594" s="269">
        <f t="shared" si="1559"/>
        <v>1440000</v>
      </c>
      <c r="FZ594" s="269">
        <f t="shared" si="1588"/>
        <v>1440000</v>
      </c>
      <c r="GB594" s="269">
        <f t="shared" si="1596"/>
        <v>1719253903.1812634</v>
      </c>
      <c r="GC594" s="887">
        <f t="shared" si="1520"/>
        <v>1074533.6894882896</v>
      </c>
      <c r="GD594" s="1078">
        <f t="shared" si="1597"/>
        <v>9.6472750283817471E-4</v>
      </c>
    </row>
    <row r="595" spans="1:186" hidden="1" outlineLevel="1">
      <c r="A595" s="211" t="s">
        <v>1299</v>
      </c>
      <c r="B595" s="212" t="s">
        <v>1300</v>
      </c>
      <c r="C595" s="213" t="s">
        <v>215</v>
      </c>
      <c r="D595" s="214"/>
      <c r="E595" s="213"/>
      <c r="F595" s="213"/>
      <c r="G595" s="213" t="s">
        <v>215</v>
      </c>
      <c r="H595" s="213" t="s">
        <v>215</v>
      </c>
      <c r="I595" s="214" t="s">
        <v>215</v>
      </c>
      <c r="J595" s="214"/>
      <c r="K595" s="213"/>
      <c r="L595" s="213"/>
      <c r="M595" s="214" t="s">
        <v>215</v>
      </c>
      <c r="N595" s="213"/>
      <c r="O595" s="214"/>
      <c r="P595" s="213"/>
      <c r="Q595" s="214"/>
      <c r="R595" s="214" t="s">
        <v>215</v>
      </c>
      <c r="S595" s="214"/>
      <c r="T595" s="214"/>
      <c r="U595" s="215">
        <f t="shared" si="1564"/>
        <v>6</v>
      </c>
      <c r="V595" s="845" t="s">
        <v>216</v>
      </c>
      <c r="W595" s="216">
        <v>102173</v>
      </c>
      <c r="X595" s="217">
        <v>3.36</v>
      </c>
      <c r="Y595" s="218">
        <f t="shared" si="1477"/>
        <v>1.0336000000000001</v>
      </c>
      <c r="Z595" s="196">
        <v>19</v>
      </c>
      <c r="AA595" s="218">
        <f t="shared" si="1478"/>
        <v>1.873689022502546</v>
      </c>
      <c r="AB595" s="196">
        <f t="shared" si="1561"/>
        <v>191440.42849615263</v>
      </c>
      <c r="AC595">
        <v>12.2</v>
      </c>
      <c r="AD595" s="196">
        <f t="shared" si="1562"/>
        <v>23355.73227653062</v>
      </c>
      <c r="AE595" s="196">
        <f t="shared" si="1479"/>
        <v>22187.945662704089</v>
      </c>
      <c r="AF595" s="196">
        <f t="shared" si="1565"/>
        <v>0</v>
      </c>
      <c r="AG595" s="606">
        <f t="shared" si="1523"/>
        <v>1.0258732005368365E-3</v>
      </c>
      <c r="AH595" s="196">
        <f t="shared" si="1582"/>
        <v>9572.0214248076318</v>
      </c>
      <c r="AI595" s="248">
        <f t="shared" si="1503"/>
        <v>7.4152999675078824E-4</v>
      </c>
      <c r="AJ595" s="196">
        <f t="shared" si="1504"/>
        <v>32927.753701338253</v>
      </c>
      <c r="AK595" s="196">
        <f t="shared" si="1532"/>
        <v>7657.6171398461056</v>
      </c>
      <c r="AL595" s="196">
        <f t="shared" si="1533"/>
        <v>7657.6171398461056</v>
      </c>
      <c r="AM595" s="196">
        <f t="shared" si="1505"/>
        <v>15315.234279692211</v>
      </c>
      <c r="AN595" s="627">
        <f t="shared" si="1506"/>
        <v>7.4152999675078835E-4</v>
      </c>
      <c r="AO595" s="196">
        <f t="shared" si="1507"/>
        <v>7274.7362828537998</v>
      </c>
      <c r="AP595" s="589">
        <f t="shared" si="1524"/>
        <v>7.4152999675078824E-4</v>
      </c>
      <c r="AQ595" s="196"/>
      <c r="AR595" s="589"/>
      <c r="AS595">
        <v>1</v>
      </c>
      <c r="AT595" s="589">
        <f t="shared" si="1525"/>
        <v>1.2919896640826874E-3</v>
      </c>
      <c r="AU595" s="196">
        <v>10</v>
      </c>
      <c r="AV595" s="245">
        <f t="shared" si="1536"/>
        <v>1.1362345188046814E-3</v>
      </c>
      <c r="AX595" s="245"/>
      <c r="AY595" s="245"/>
      <c r="AZ595" s="196">
        <v>14</v>
      </c>
      <c r="BA595" s="589">
        <f t="shared" si="1590"/>
        <v>5.1298963028104507E-4</v>
      </c>
      <c r="BI595" s="196">
        <v>1</v>
      </c>
      <c r="BJ595" s="196">
        <f t="shared" si="1566"/>
        <v>106355.80815588214</v>
      </c>
      <c r="BK595" s="246">
        <f t="shared" si="1591"/>
        <v>2.0281410930143794E-3</v>
      </c>
      <c r="BL595" s="196">
        <f t="shared" si="1583"/>
        <v>2127.1161631176428</v>
      </c>
      <c r="BM595" s="246">
        <f t="shared" si="1592"/>
        <v>2.0281408609618438E-3</v>
      </c>
      <c r="BN595" s="196">
        <v>0</v>
      </c>
      <c r="BO595" s="196">
        <f t="shared" si="1567"/>
        <v>8636.6710993035649</v>
      </c>
      <c r="BP595" s="196">
        <f t="shared" si="1508"/>
        <v>0</v>
      </c>
      <c r="BQ595" s="248">
        <f t="shared" si="1593"/>
        <v>0</v>
      </c>
      <c r="BR595" s="248"/>
      <c r="BS595" s="248"/>
      <c r="BT595" s="276">
        <v>0</v>
      </c>
      <c r="BU595" s="196">
        <f t="shared" si="1568"/>
        <v>0</v>
      </c>
      <c r="BV595" s="264">
        <f t="shared" si="1594"/>
        <v>0</v>
      </c>
      <c r="BW595" s="196">
        <f t="shared" si="1569"/>
        <v>0</v>
      </c>
      <c r="BX595" s="247">
        <f t="shared" si="1595"/>
        <v>0</v>
      </c>
      <c r="BY595" s="196">
        <f t="shared" si="1570"/>
        <v>0</v>
      </c>
      <c r="BZ595" s="620">
        <v>1</v>
      </c>
      <c r="CA595" s="196">
        <f t="shared" si="1571"/>
        <v>58580.771119822697</v>
      </c>
      <c r="CB595" s="196">
        <f t="shared" si="1572"/>
        <v>117161.54223964539</v>
      </c>
      <c r="CC595" s="196">
        <f t="shared" si="1521"/>
        <v>175742.3133594681</v>
      </c>
      <c r="CD595" s="247">
        <f t="shared" si="1509"/>
        <v>7.4152999675078824E-4</v>
      </c>
      <c r="CE595" s="196">
        <f t="shared" si="1573"/>
        <v>13117.362923370198</v>
      </c>
      <c r="CF595" s="247">
        <f t="shared" si="1510"/>
        <v>5.6644852531709993E-4</v>
      </c>
      <c r="CG595" s="196">
        <f t="shared" si="1538"/>
        <v>29098.945131415199</v>
      </c>
      <c r="CH595" s="589">
        <f t="shared" si="1526"/>
        <v>7.4152999675078824E-4</v>
      </c>
      <c r="CI595" s="196">
        <f t="shared" si="1574"/>
        <v>52754.466032002674</v>
      </c>
      <c r="CJ595" s="248">
        <f t="shared" si="1527"/>
        <v>8.6728328765758433E-4</v>
      </c>
      <c r="CK595" s="196">
        <f t="shared" si="1575"/>
        <v>42693.724538810915</v>
      </c>
      <c r="CL595" s="589">
        <f t="shared" si="1528"/>
        <v>6.1373107196988292E-4</v>
      </c>
      <c r="CM595" s="196">
        <f t="shared" si="1576"/>
        <v>4135.9627473338724</v>
      </c>
      <c r="CN595" s="589">
        <f t="shared" si="1529"/>
        <v>5.9603923566414329E-4</v>
      </c>
      <c r="CO595" s="196">
        <f t="shared" si="1577"/>
        <v>330.86654601190725</v>
      </c>
      <c r="CP595" s="589">
        <f t="shared" si="1530"/>
        <v>6.2396334294845843E-4</v>
      </c>
      <c r="CQ595" s="196">
        <f>'Detailed Budget'!$AC$12</f>
        <v>292876014141.44696</v>
      </c>
      <c r="CR595" s="269">
        <f t="shared" si="1534"/>
        <v>593993879.43852913</v>
      </c>
      <c r="CS595" s="269">
        <f>'Detailed Budget'!$AC$16</f>
        <v>10488008800.000002</v>
      </c>
      <c r="CT595" s="607">
        <f t="shared" si="1539"/>
        <v>21271159.197407398</v>
      </c>
      <c r="CU595" s="269">
        <f>'Detailed Budget'!$AC$24</f>
        <v>30624985696</v>
      </c>
      <c r="CV595" s="269">
        <f t="shared" si="1589"/>
        <v>62111791.963035174</v>
      </c>
      <c r="CW595" s="269"/>
      <c r="CX595" s="269">
        <f t="shared" si="1522"/>
        <v>677376830.59897172</v>
      </c>
      <c r="CY595" s="196">
        <f>'Detailed Budget'!$AC$97</f>
        <v>74629165494.837845</v>
      </c>
      <c r="CZ595" s="269">
        <f t="shared" si="1540"/>
        <v>0</v>
      </c>
      <c r="DA595" s="269">
        <f>'Detailed Budget'!$AC$100</f>
        <v>14925833098.967569</v>
      </c>
      <c r="DB595" s="269">
        <f t="shared" si="1541"/>
        <v>0</v>
      </c>
      <c r="DC595" s="269">
        <f t="shared" si="1511"/>
        <v>0</v>
      </c>
      <c r="DD595" s="207">
        <v>0</v>
      </c>
      <c r="DE595" s="606">
        <v>0</v>
      </c>
      <c r="DF595" s="269">
        <f>'Detailed Budget'!$AC$147</f>
        <v>5913600671000</v>
      </c>
      <c r="DG595" s="269">
        <f t="shared" si="1584"/>
        <v>0</v>
      </c>
      <c r="DH595" s="269">
        <f>'Detailed Budget'!$AC$153</f>
        <v>226428026880.00003</v>
      </c>
      <c r="DI595" s="269"/>
      <c r="DJ595" s="269">
        <f>'Detailed Budget'!$AC$156</f>
        <v>27713070000</v>
      </c>
      <c r="DK595" s="269"/>
      <c r="DL595" s="269"/>
      <c r="DM595" s="196">
        <f>'Detailed Budget'!$AC$178</f>
        <v>5622683761.6229038</v>
      </c>
      <c r="DN595" s="269">
        <f t="shared" si="1578"/>
        <v>0</v>
      </c>
      <c r="DO595" s="196">
        <f>'Detailed Budget'!$AC$179</f>
        <v>26827890683.128094</v>
      </c>
      <c r="DP595" s="269">
        <f t="shared" si="1579"/>
        <v>0</v>
      </c>
      <c r="DQ595" s="269">
        <f t="shared" si="1531"/>
        <v>0</v>
      </c>
      <c r="DR595" s="269">
        <f>'Detailed Budget'!$AC$181</f>
        <v>50888946855.375237</v>
      </c>
      <c r="DS595" s="269">
        <f t="shared" si="1580"/>
        <v>0</v>
      </c>
      <c r="DT595" s="269">
        <f t="shared" si="1581"/>
        <v>0</v>
      </c>
      <c r="DU595" s="272">
        <f>'Detailed Budget'!$AC$192</f>
        <v>77498869683.252869</v>
      </c>
      <c r="DV595" s="269">
        <f t="shared" si="1542"/>
        <v>57467736.584412262</v>
      </c>
      <c r="DW595" s="140">
        <f>'Detailed Budget'!$AC$194</f>
        <v>2684962805.4134097</v>
      </c>
      <c r="DX595" s="269">
        <f t="shared" si="1543"/>
        <v>1990980.4603741933</v>
      </c>
      <c r="DY595" s="607">
        <f t="shared" si="1512"/>
        <v>59458717.044786453</v>
      </c>
      <c r="DZ595" s="196">
        <f>'Detailed Budget'!$AC$198</f>
        <v>18732540018.380611</v>
      </c>
      <c r="EA595" s="269">
        <f t="shared" si="1544"/>
        <v>10611019.668855257</v>
      </c>
      <c r="EB595" s="196">
        <f>'Detailed Budget'!$AC$200</f>
        <v>4683135004.5951529</v>
      </c>
      <c r="EC595" s="269">
        <f t="shared" si="1545"/>
        <v>2652754.9172138143</v>
      </c>
      <c r="ED595" s="269">
        <f t="shared" si="1513"/>
        <v>13263774.586069072</v>
      </c>
      <c r="EE595" s="196">
        <f>'Detailed Budget'!$AC$161</f>
        <v>251147290106.36197</v>
      </c>
      <c r="EF595" s="269">
        <f t="shared" si="1546"/>
        <v>186233249.21653986</v>
      </c>
      <c r="EG595" s="196">
        <f>'Detailed Budget'!$AC$163</f>
        <v>15696705631.647623</v>
      </c>
      <c r="EH595" s="269">
        <f t="shared" si="1547"/>
        <v>11639578.076033741</v>
      </c>
      <c r="EI595" s="269">
        <f t="shared" si="1514"/>
        <v>197872827.2925736</v>
      </c>
      <c r="EJ595" s="196">
        <f>'Detailed Budget'!$AC$204</f>
        <v>45012172507.531975</v>
      </c>
      <c r="EK595" s="269">
        <f t="shared" si="1548"/>
        <v>39038304.956942663</v>
      </c>
      <c r="EL595" s="201">
        <f>'Detailed Budget'!$AC$206</f>
        <v>11253043126.882994</v>
      </c>
      <c r="EM595" s="269">
        <f t="shared" si="1549"/>
        <v>9759576.2392356656</v>
      </c>
      <c r="EN595" s="269">
        <f t="shared" si="1515"/>
        <v>48797881.196178332</v>
      </c>
      <c r="EO595" s="140">
        <f>'Detailed Budget'!$AC$209</f>
        <v>135789361677.54817</v>
      </c>
      <c r="EP595" s="269">
        <f t="shared" si="1550"/>
        <v>83338150.504467785</v>
      </c>
      <c r="EQ595" s="196">
        <f>'Detailed Budget'!$AC$211</f>
        <v>33947340419.387043</v>
      </c>
      <c r="ER595" s="269">
        <f t="shared" si="1551"/>
        <v>20834537.626116946</v>
      </c>
      <c r="ES595" s="269">
        <f t="shared" si="1516"/>
        <v>104172688.13058473</v>
      </c>
      <c r="ET595" s="196">
        <f>'Detailed Budget'!$AC$214</f>
        <v>22239745544.201103</v>
      </c>
      <c r="EU595" s="269">
        <f t="shared" si="1552"/>
        <v>13255760.935530663</v>
      </c>
      <c r="EV595" s="140">
        <f>'Detailed Budget'!$AC$217</f>
        <v>5559936386.0502758</v>
      </c>
      <c r="EW595" s="269">
        <f t="shared" si="1553"/>
        <v>3313940.2338826656</v>
      </c>
      <c r="EX595" s="269">
        <f t="shared" si="1517"/>
        <v>16569701.169413328</v>
      </c>
      <c r="EY595" s="196">
        <f>'Detailed Budget'!$AC$219</f>
        <v>372777004.58170313</v>
      </c>
      <c r="EZ595" s="269">
        <f t="shared" si="1554"/>
        <v>232599.18595311229</v>
      </c>
      <c r="FA595" s="196">
        <f>'Detailed Budget'!$AC$222</f>
        <v>93194251.145425782</v>
      </c>
      <c r="FB595" s="269">
        <f t="shared" si="1555"/>
        <v>58149.796488278073</v>
      </c>
      <c r="FC595" s="269">
        <f t="shared" si="1518"/>
        <v>290748.98244139034</v>
      </c>
      <c r="FD595" s="269"/>
      <c r="FE595" s="269">
        <f t="shared" si="1519"/>
        <v>169831019.47861779</v>
      </c>
      <c r="FF595" s="140">
        <f>'Detailed Budget'!$AC$165</f>
        <v>14927760000</v>
      </c>
      <c r="FG595" s="1087">
        <f t="shared" si="1585"/>
        <v>231660752.33844551</v>
      </c>
      <c r="FH595" s="269">
        <f t="shared" si="1556"/>
        <v>16961436.200431772</v>
      </c>
      <c r="FJ595" s="140">
        <f>'Detailed Budget'!$AC$235</f>
        <v>3623696172</v>
      </c>
      <c r="FK595" s="269">
        <f t="shared" si="1557"/>
        <v>4681778</v>
      </c>
      <c r="FL595" s="269">
        <f t="shared" si="1586"/>
        <v>4681778</v>
      </c>
      <c r="FO595" s="607"/>
      <c r="FP595" s="607"/>
      <c r="FQ595" s="607"/>
      <c r="FR595" s="269">
        <f>'Detailed Budget'!$AC$257</f>
        <v>13636439388</v>
      </c>
      <c r="FS595" s="269">
        <f t="shared" si="1558"/>
        <v>6995352</v>
      </c>
      <c r="FT595" s="269">
        <f t="shared" si="1587"/>
        <v>6995352</v>
      </c>
      <c r="FU595" s="269"/>
      <c r="FV595" s="269"/>
      <c r="FW595" s="269"/>
      <c r="FX595" s="140">
        <f>'Detailed Budget'!$AC$278</f>
        <v>1114560000</v>
      </c>
      <c r="FY595" s="269">
        <f t="shared" si="1559"/>
        <v>1440000</v>
      </c>
      <c r="FZ595" s="269">
        <f t="shared" si="1588"/>
        <v>1440000</v>
      </c>
      <c r="GB595" s="269">
        <f t="shared" si="1596"/>
        <v>1379542487.5398958</v>
      </c>
      <c r="GC595" s="887">
        <f t="shared" si="1520"/>
        <v>862214.05471243488</v>
      </c>
      <c r="GD595" s="1078">
        <f t="shared" si="1597"/>
        <v>7.7410473031406027E-4</v>
      </c>
    </row>
    <row r="596" spans="1:186" hidden="1" outlineLevel="1">
      <c r="A596" s="211" t="s">
        <v>1301</v>
      </c>
      <c r="B596" s="212" t="s">
        <v>1302</v>
      </c>
      <c r="C596" s="213" t="s">
        <v>215</v>
      </c>
      <c r="D596" s="214"/>
      <c r="E596" s="213"/>
      <c r="F596" s="213"/>
      <c r="G596" s="213" t="s">
        <v>215</v>
      </c>
      <c r="H596" s="213" t="s">
        <v>215</v>
      </c>
      <c r="I596" s="214" t="s">
        <v>215</v>
      </c>
      <c r="J596" s="214"/>
      <c r="K596" s="213"/>
      <c r="L596" s="213"/>
      <c r="M596" s="214" t="s">
        <v>215</v>
      </c>
      <c r="N596" s="213"/>
      <c r="O596" s="214"/>
      <c r="P596" s="213"/>
      <c r="Q596" s="214"/>
      <c r="R596" s="214" t="s">
        <v>215</v>
      </c>
      <c r="S596" s="214"/>
      <c r="T596" s="214"/>
      <c r="U596" s="215">
        <f t="shared" si="1564"/>
        <v>6</v>
      </c>
      <c r="V596" s="845" t="s">
        <v>216</v>
      </c>
      <c r="W596" s="216">
        <v>177293</v>
      </c>
      <c r="X596" s="217">
        <v>3.36</v>
      </c>
      <c r="Y596" s="218">
        <f t="shared" si="1477"/>
        <v>1.0336000000000001</v>
      </c>
      <c r="Z596" s="196">
        <v>19</v>
      </c>
      <c r="AA596" s="218">
        <f t="shared" si="1478"/>
        <v>1.873689022502546</v>
      </c>
      <c r="AB596" s="196">
        <f t="shared" si="1561"/>
        <v>332191.94786654389</v>
      </c>
      <c r="AC596">
        <v>12.2</v>
      </c>
      <c r="AD596" s="196">
        <f t="shared" si="1562"/>
        <v>40527.417639718355</v>
      </c>
      <c r="AE596" s="196">
        <f t="shared" si="1479"/>
        <v>38501.046757732438</v>
      </c>
      <c r="AF596" s="196">
        <f t="shared" si="1565"/>
        <v>0</v>
      </c>
      <c r="AG596" s="606">
        <f t="shared" si="1523"/>
        <v>1.7801193793152534E-3</v>
      </c>
      <c r="AH596" s="196">
        <f t="shared" si="1582"/>
        <v>16609.597393327196</v>
      </c>
      <c r="AI596" s="248">
        <f t="shared" si="1503"/>
        <v>1.2867203440628885E-3</v>
      </c>
      <c r="AJ596" s="196">
        <f t="shared" si="1504"/>
        <v>57137.015033045551</v>
      </c>
      <c r="AK596" s="196">
        <f t="shared" si="1532"/>
        <v>13287.677914661755</v>
      </c>
      <c r="AL596" s="196">
        <f t="shared" si="1533"/>
        <v>13287.677914661755</v>
      </c>
      <c r="AM596" s="196">
        <f t="shared" si="1505"/>
        <v>26575.355829323511</v>
      </c>
      <c r="AN596" s="627">
        <f t="shared" si="1506"/>
        <v>1.2867203440628885E-3</v>
      </c>
      <c r="AO596" s="196">
        <f t="shared" si="1507"/>
        <v>12623.294018928667</v>
      </c>
      <c r="AP596" s="589">
        <f t="shared" si="1524"/>
        <v>1.2867203440628885E-3</v>
      </c>
      <c r="AQ596" s="196"/>
      <c r="AR596" s="589"/>
      <c r="AS596">
        <v>1</v>
      </c>
      <c r="AT596" s="589">
        <f t="shared" si="1525"/>
        <v>1.2919896640826874E-3</v>
      </c>
      <c r="AU596" s="196">
        <v>14</v>
      </c>
      <c r="AV596" s="245">
        <f t="shared" si="1536"/>
        <v>1.5907283263265539E-3</v>
      </c>
      <c r="AX596" s="245"/>
      <c r="AY596" s="245"/>
      <c r="AZ596" s="196">
        <v>18</v>
      </c>
      <c r="BA596" s="589">
        <f t="shared" si="1590"/>
        <v>6.5955809607562931E-4</v>
      </c>
      <c r="BI596" s="196">
        <v>1</v>
      </c>
      <c r="BJ596" s="196">
        <f t="shared" si="1566"/>
        <v>184551.10739021871</v>
      </c>
      <c r="BK596" s="246">
        <f t="shared" si="1591"/>
        <v>3.5192782712047056E-3</v>
      </c>
      <c r="BL596" s="196">
        <f t="shared" si="1583"/>
        <v>3691.0221478043741</v>
      </c>
      <c r="BM596" s="246">
        <f t="shared" si="1592"/>
        <v>3.5192778685416721E-3</v>
      </c>
      <c r="BN596" s="196">
        <v>0</v>
      </c>
      <c r="BO596" s="196">
        <f t="shared" si="1567"/>
        <v>14986.555442326513</v>
      </c>
      <c r="BP596" s="196">
        <f t="shared" si="1508"/>
        <v>0</v>
      </c>
      <c r="BQ596" s="248">
        <f t="shared" si="1593"/>
        <v>0</v>
      </c>
      <c r="BR596" s="248"/>
      <c r="BS596" s="248"/>
      <c r="BT596" s="276">
        <v>0</v>
      </c>
      <c r="BU596" s="196">
        <f t="shared" si="1568"/>
        <v>0</v>
      </c>
      <c r="BV596" s="264">
        <f t="shared" si="1594"/>
        <v>0</v>
      </c>
      <c r="BW596" s="196">
        <f t="shared" si="1569"/>
        <v>0</v>
      </c>
      <c r="BX596" s="247">
        <f t="shared" si="1595"/>
        <v>0</v>
      </c>
      <c r="BY596" s="196">
        <f t="shared" si="1570"/>
        <v>0</v>
      </c>
      <c r="BZ596" s="620">
        <v>1</v>
      </c>
      <c r="CA596" s="196">
        <f t="shared" si="1571"/>
        <v>101650.73604716241</v>
      </c>
      <c r="CB596" s="196">
        <f t="shared" si="1572"/>
        <v>203301.47209432482</v>
      </c>
      <c r="CC596" s="196">
        <f t="shared" si="1521"/>
        <v>304952.20814148721</v>
      </c>
      <c r="CD596" s="247">
        <f t="shared" si="1509"/>
        <v>1.2867203440628881E-3</v>
      </c>
      <c r="CE596" s="196">
        <f t="shared" si="1573"/>
        <v>22761.5576010597</v>
      </c>
      <c r="CF596" s="247">
        <f t="shared" si="1510"/>
        <v>9.8291484442117392E-4</v>
      </c>
      <c r="CG596" s="196">
        <f t="shared" si="1538"/>
        <v>50493.176075714669</v>
      </c>
      <c r="CH596" s="589">
        <f t="shared" si="1526"/>
        <v>1.2867203440628885E-3</v>
      </c>
      <c r="CI596" s="196">
        <f t="shared" si="1574"/>
        <v>91540.794008317767</v>
      </c>
      <c r="CJ596" s="248">
        <f t="shared" si="1527"/>
        <v>1.504930421135487E-3</v>
      </c>
      <c r="CK596" s="196">
        <f t="shared" si="1575"/>
        <v>74083.158022759482</v>
      </c>
      <c r="CL596" s="589">
        <f t="shared" si="1528"/>
        <v>1.0649606348326513E-3</v>
      </c>
      <c r="CM596" s="196">
        <f t="shared" si="1576"/>
        <v>7176.8201321588313</v>
      </c>
      <c r="CN596" s="589">
        <f t="shared" si="1529"/>
        <v>1.0342613431004568E-3</v>
      </c>
      <c r="CO596" s="196">
        <f t="shared" si="1577"/>
        <v>574.1274362315786</v>
      </c>
      <c r="CP596" s="589">
        <f t="shared" si="1530"/>
        <v>1.0827159128278612E-3</v>
      </c>
      <c r="CQ596" s="196">
        <f>'Detailed Budget'!$AC$12</f>
        <v>292876014141.44696</v>
      </c>
      <c r="CR596" s="269">
        <f t="shared" si="1534"/>
        <v>1030712192.7250364</v>
      </c>
      <c r="CS596" s="269">
        <f>'Detailed Budget'!$AC$16</f>
        <v>10488008800.000002</v>
      </c>
      <c r="CT596" s="607">
        <f t="shared" si="1539"/>
        <v>36910217.254910305</v>
      </c>
      <c r="CU596" s="269">
        <f>'Detailed Budget'!$AC$24</f>
        <v>30624985696</v>
      </c>
      <c r="CV596" s="269">
        <f t="shared" si="1589"/>
        <v>107777846.71588773</v>
      </c>
      <c r="CW596" s="269"/>
      <c r="CX596" s="269">
        <f t="shared" si="1522"/>
        <v>1175400256.6958344</v>
      </c>
      <c r="CY596" s="196">
        <f>'Detailed Budget'!$AC$97</f>
        <v>74629165494.837845</v>
      </c>
      <c r="CZ596" s="269">
        <f t="shared" si="1540"/>
        <v>0</v>
      </c>
      <c r="DA596" s="269">
        <f>'Detailed Budget'!$AC$100</f>
        <v>14925833098.967569</v>
      </c>
      <c r="DB596" s="269">
        <f t="shared" si="1541"/>
        <v>0</v>
      </c>
      <c r="DC596" s="269">
        <f t="shared" si="1511"/>
        <v>0</v>
      </c>
      <c r="DD596" s="207">
        <v>0</v>
      </c>
      <c r="DE596" s="606">
        <v>0</v>
      </c>
      <c r="DF596" s="269">
        <f>'Detailed Budget'!$AC$147</f>
        <v>5913600671000</v>
      </c>
      <c r="DG596" s="269">
        <f t="shared" si="1584"/>
        <v>0</v>
      </c>
      <c r="DH596" s="269">
        <f>'Detailed Budget'!$AC$153</f>
        <v>226428026880.00003</v>
      </c>
      <c r="DI596" s="269"/>
      <c r="DJ596" s="269">
        <f>'Detailed Budget'!$AC$156</f>
        <v>27713070000</v>
      </c>
      <c r="DK596" s="269"/>
      <c r="DL596" s="269"/>
      <c r="DM596" s="196">
        <f>'Detailed Budget'!$AC$178</f>
        <v>5622683761.6229038</v>
      </c>
      <c r="DN596" s="269">
        <f t="shared" si="1578"/>
        <v>0</v>
      </c>
      <c r="DO596" s="196">
        <f>'Detailed Budget'!$AC$179</f>
        <v>26827890683.128094</v>
      </c>
      <c r="DP596" s="269">
        <f t="shared" si="1579"/>
        <v>0</v>
      </c>
      <c r="DQ596" s="269">
        <f t="shared" si="1531"/>
        <v>0</v>
      </c>
      <c r="DR596" s="269">
        <f>'Detailed Budget'!$AC$181</f>
        <v>50888946855.375237</v>
      </c>
      <c r="DS596" s="269">
        <f t="shared" si="1580"/>
        <v>0</v>
      </c>
      <c r="DT596" s="269">
        <f t="shared" si="1581"/>
        <v>0</v>
      </c>
      <c r="DU596" s="272">
        <f>'Detailed Budget'!$AC$192</f>
        <v>77498869683.252869</v>
      </c>
      <c r="DV596" s="269">
        <f t="shared" si="1542"/>
        <v>99719372.263320059</v>
      </c>
      <c r="DW596" s="140">
        <f>'Detailed Budget'!$AC$194</f>
        <v>2684962805.4134097</v>
      </c>
      <c r="DX596" s="269">
        <f t="shared" si="1543"/>
        <v>3454796.2647776008</v>
      </c>
      <c r="DY596" s="607">
        <f t="shared" si="1512"/>
        <v>103174168.52809766</v>
      </c>
      <c r="DZ596" s="196">
        <f>'Detailed Budget'!$AC$198</f>
        <v>18732540018.380611</v>
      </c>
      <c r="EA596" s="269">
        <f t="shared" si="1544"/>
        <v>18412491.657779992</v>
      </c>
      <c r="EB596" s="196">
        <f>'Detailed Budget'!$AC$200</f>
        <v>4683135004.5951529</v>
      </c>
      <c r="EC596" s="269">
        <f t="shared" si="1545"/>
        <v>4603122.9144449979</v>
      </c>
      <c r="ED596" s="269">
        <f t="shared" si="1513"/>
        <v>23015614.57222499</v>
      </c>
      <c r="EE596" s="196">
        <f>'Detailed Budget'!$AC$161</f>
        <v>251147290106.36197</v>
      </c>
      <c r="EF596" s="269">
        <f t="shared" si="1546"/>
        <v>323156327.53612018</v>
      </c>
      <c r="EG596" s="196">
        <f>'Detailed Budget'!$AC$163</f>
        <v>15696705631.647623</v>
      </c>
      <c r="EH596" s="269">
        <f t="shared" si="1547"/>
        <v>20197270.471007511</v>
      </c>
      <c r="EI596" s="269">
        <f t="shared" si="1514"/>
        <v>343353598.0071277</v>
      </c>
      <c r="EJ596" s="196">
        <f>'Detailed Budget'!$AC$204</f>
        <v>45012172507.531975</v>
      </c>
      <c r="EK596" s="269">
        <f t="shared" si="1548"/>
        <v>67740187.727983281</v>
      </c>
      <c r="EL596" s="201">
        <f>'Detailed Budget'!$AC$206</f>
        <v>11253043126.882994</v>
      </c>
      <c r="EM596" s="269">
        <f t="shared" si="1549"/>
        <v>16935046.93199582</v>
      </c>
      <c r="EN596" s="269">
        <f t="shared" si="1515"/>
        <v>84675234.659979105</v>
      </c>
      <c r="EO596" s="140">
        <f>'Detailed Budget'!$AC$209</f>
        <v>135789361677.54817</v>
      </c>
      <c r="EP596" s="269">
        <f t="shared" si="1550"/>
        <v>144610324.81564218</v>
      </c>
      <c r="EQ596" s="196">
        <f>'Detailed Budget'!$AC$211</f>
        <v>33947340419.387043</v>
      </c>
      <c r="ER596" s="269">
        <f t="shared" si="1551"/>
        <v>36152581.203910545</v>
      </c>
      <c r="ES596" s="269">
        <f t="shared" si="1516"/>
        <v>180762906.01955271</v>
      </c>
      <c r="ET596" s="196">
        <f>'Detailed Budget'!$AC$214</f>
        <v>22239745544.201103</v>
      </c>
      <c r="EU596" s="269">
        <f t="shared" si="1552"/>
        <v>23001709.096757833</v>
      </c>
      <c r="EV596" s="140">
        <f>'Detailed Budget'!$AC$217</f>
        <v>5559936386.0502758</v>
      </c>
      <c r="EW596" s="269">
        <f t="shared" si="1553"/>
        <v>5750427.2741894582</v>
      </c>
      <c r="EX596" s="269">
        <f t="shared" si="1517"/>
        <v>28752136.37094729</v>
      </c>
      <c r="EY596" s="196">
        <f>'Detailed Budget'!$AC$219</f>
        <v>372777004.58170313</v>
      </c>
      <c r="EZ596" s="269">
        <f t="shared" si="1554"/>
        <v>403611.59479691449</v>
      </c>
      <c r="FA596" s="196">
        <f>'Detailed Budget'!$AC$222</f>
        <v>93194251.145425782</v>
      </c>
      <c r="FB596" s="269">
        <f t="shared" si="1555"/>
        <v>100902.89869922862</v>
      </c>
      <c r="FC596" s="269">
        <f t="shared" si="1518"/>
        <v>504514.49349614314</v>
      </c>
      <c r="FD596" s="269"/>
      <c r="FE596" s="269">
        <f t="shared" si="1519"/>
        <v>294694791.54397523</v>
      </c>
      <c r="FF596" s="140">
        <f>'Detailed Budget'!$AC$165</f>
        <v>14927760000</v>
      </c>
      <c r="FG596" s="1087">
        <f t="shared" si="1585"/>
        <v>401983202.64981961</v>
      </c>
      <c r="FH596" s="269">
        <f t="shared" si="1556"/>
        <v>23746010.68060448</v>
      </c>
      <c r="FJ596" s="140">
        <f>'Detailed Budget'!$AC$235</f>
        <v>3623696172</v>
      </c>
      <c r="FK596" s="269">
        <f t="shared" si="1557"/>
        <v>4681778</v>
      </c>
      <c r="FL596" s="269">
        <f t="shared" si="1586"/>
        <v>4681778</v>
      </c>
      <c r="FO596" s="607"/>
      <c r="FP596" s="607"/>
      <c r="FQ596" s="607"/>
      <c r="FR596" s="269">
        <f>'Detailed Budget'!$AC$257</f>
        <v>13636439388</v>
      </c>
      <c r="FS596" s="269">
        <f t="shared" si="1558"/>
        <v>8994024</v>
      </c>
      <c r="FT596" s="269">
        <f t="shared" si="1587"/>
        <v>8994024</v>
      </c>
      <c r="FU596" s="269"/>
      <c r="FV596" s="269"/>
      <c r="FW596" s="269"/>
      <c r="FX596" s="140">
        <f>'Detailed Budget'!$AC$278</f>
        <v>1114560000</v>
      </c>
      <c r="FY596" s="269">
        <f t="shared" si="1559"/>
        <v>1440000</v>
      </c>
      <c r="FZ596" s="269">
        <f t="shared" si="1588"/>
        <v>1440000</v>
      </c>
      <c r="GB596" s="269">
        <f t="shared" si="1596"/>
        <v>2380483444.6776843</v>
      </c>
      <c r="GC596" s="887">
        <f t="shared" si="1520"/>
        <v>1487802.1529235528</v>
      </c>
      <c r="GD596" s="1078">
        <f t="shared" si="1597"/>
        <v>1.3357642200969274E-3</v>
      </c>
    </row>
    <row r="597" spans="1:186" hidden="1" outlineLevel="1">
      <c r="A597" s="211" t="s">
        <v>1303</v>
      </c>
      <c r="B597" s="212" t="s">
        <v>1304</v>
      </c>
      <c r="C597" s="213" t="s">
        <v>215</v>
      </c>
      <c r="D597" s="214"/>
      <c r="E597" s="213"/>
      <c r="F597" s="213"/>
      <c r="G597" s="213" t="s">
        <v>215</v>
      </c>
      <c r="H597" s="213" t="s">
        <v>215</v>
      </c>
      <c r="I597" s="214" t="s">
        <v>215</v>
      </c>
      <c r="J597" s="214"/>
      <c r="K597" s="213"/>
      <c r="L597" s="213"/>
      <c r="M597" s="214" t="s">
        <v>215</v>
      </c>
      <c r="N597" s="213"/>
      <c r="O597" s="214"/>
      <c r="P597" s="213"/>
      <c r="Q597" s="214"/>
      <c r="R597" s="214" t="s">
        <v>215</v>
      </c>
      <c r="S597" s="214"/>
      <c r="T597" s="214"/>
      <c r="U597" s="215">
        <f t="shared" si="1564"/>
        <v>6</v>
      </c>
      <c r="V597" s="845" t="s">
        <v>216</v>
      </c>
      <c r="W597" s="216">
        <v>73395</v>
      </c>
      <c r="X597" s="217">
        <v>3.36</v>
      </c>
      <c r="Y597" s="218">
        <f t="shared" si="1477"/>
        <v>1.0336000000000001</v>
      </c>
      <c r="Z597" s="196">
        <v>19</v>
      </c>
      <c r="AA597" s="218">
        <f t="shared" si="1478"/>
        <v>1.873689022502546</v>
      </c>
      <c r="AB597" s="196">
        <f t="shared" si="1561"/>
        <v>137519.40580657436</v>
      </c>
      <c r="AC597">
        <v>12.2</v>
      </c>
      <c r="AD597" s="196">
        <f t="shared" si="1562"/>
        <v>16777.367508402072</v>
      </c>
      <c r="AE597" s="196">
        <f t="shared" si="1479"/>
        <v>15938.499132981968</v>
      </c>
      <c r="AF597" s="196">
        <f t="shared" si="1565"/>
        <v>0</v>
      </c>
      <c r="AG597" s="606">
        <f t="shared" si="1523"/>
        <v>7.3692622858681956E-4</v>
      </c>
      <c r="AH597" s="196">
        <f t="shared" si="1582"/>
        <v>6875.970290328718</v>
      </c>
      <c r="AI597" s="248">
        <f t="shared" si="1503"/>
        <v>5.3267100027917455E-4</v>
      </c>
      <c r="AJ597" s="196">
        <f t="shared" si="1504"/>
        <v>23653.33779873079</v>
      </c>
      <c r="AK597" s="196">
        <f t="shared" si="1532"/>
        <v>5500.7762322629742</v>
      </c>
      <c r="AL597" s="196">
        <f t="shared" si="1533"/>
        <v>5500.7762322629742</v>
      </c>
      <c r="AM597" s="196">
        <f t="shared" si="1505"/>
        <v>11001.552464525948</v>
      </c>
      <c r="AN597" s="627">
        <f t="shared" si="1506"/>
        <v>5.3267100027917455E-4</v>
      </c>
      <c r="AO597" s="196">
        <f t="shared" si="1507"/>
        <v>5225.7374206498253</v>
      </c>
      <c r="AP597" s="589">
        <f t="shared" si="1524"/>
        <v>5.3267100027917455E-4</v>
      </c>
      <c r="AQ597" s="196"/>
      <c r="AR597" s="589"/>
      <c r="AS597">
        <v>1</v>
      </c>
      <c r="AT597" s="589">
        <f t="shared" si="1525"/>
        <v>1.2919896640826874E-3</v>
      </c>
      <c r="AU597" s="196">
        <v>10</v>
      </c>
      <c r="AV597" s="245">
        <f t="shared" si="1536"/>
        <v>1.1362345188046814E-3</v>
      </c>
      <c r="AX597" s="245"/>
      <c r="AY597" s="245"/>
      <c r="AZ597" s="196">
        <v>11</v>
      </c>
      <c r="BA597" s="589">
        <f t="shared" si="1590"/>
        <v>4.0306328093510683E-4</v>
      </c>
      <c r="BI597" s="196">
        <v>1</v>
      </c>
      <c r="BJ597" s="196">
        <f t="shared" si="1566"/>
        <v>76399.680342174266</v>
      </c>
      <c r="BK597" s="246">
        <f t="shared" si="1591"/>
        <v>1.4568958092822017E-3</v>
      </c>
      <c r="BL597" s="196">
        <f t="shared" si="1583"/>
        <v>1527.9936068434854</v>
      </c>
      <c r="BM597" s="246">
        <f t="shared" si="1592"/>
        <v>1.4568956425894764E-3</v>
      </c>
      <c r="BN597" s="196">
        <v>0</v>
      </c>
      <c r="BO597" s="196">
        <f t="shared" si="1567"/>
        <v>6204.0703055933081</v>
      </c>
      <c r="BP597" s="196">
        <f t="shared" si="1508"/>
        <v>0</v>
      </c>
      <c r="BQ597" s="248">
        <f t="shared" si="1593"/>
        <v>0</v>
      </c>
      <c r="BR597" s="248"/>
      <c r="BS597" s="248"/>
      <c r="BT597" s="276">
        <v>0</v>
      </c>
      <c r="BU597" s="196">
        <f t="shared" si="1568"/>
        <v>0</v>
      </c>
      <c r="BV597" s="264">
        <f t="shared" si="1594"/>
        <v>0</v>
      </c>
      <c r="BW597" s="196">
        <f t="shared" si="1569"/>
        <v>0</v>
      </c>
      <c r="BX597" s="247">
        <f t="shared" si="1595"/>
        <v>0</v>
      </c>
      <c r="BY597" s="196">
        <f t="shared" si="1570"/>
        <v>0</v>
      </c>
      <c r="BZ597" s="620">
        <v>1</v>
      </c>
      <c r="CA597" s="196">
        <f t="shared" si="1571"/>
        <v>42080.938176811753</v>
      </c>
      <c r="CB597" s="196">
        <f t="shared" si="1572"/>
        <v>84161.876353623506</v>
      </c>
      <c r="CC597" s="196">
        <f t="shared" si="1521"/>
        <v>126242.81453043525</v>
      </c>
      <c r="CD597" s="247">
        <f t="shared" si="1509"/>
        <v>5.3267100027917455E-4</v>
      </c>
      <c r="CE597" s="196">
        <f t="shared" si="1573"/>
        <v>9422.7325395237058</v>
      </c>
      <c r="CF597" s="247">
        <f t="shared" si="1510"/>
        <v>4.069028952428582E-4</v>
      </c>
      <c r="CG597" s="196">
        <f t="shared" si="1538"/>
        <v>20902.949682599301</v>
      </c>
      <c r="CH597" s="589">
        <f t="shared" si="1526"/>
        <v>5.3267100027917455E-4</v>
      </c>
      <c r="CI597" s="196">
        <f t="shared" si="1574"/>
        <v>37895.667489638523</v>
      </c>
      <c r="CJ597" s="248">
        <f t="shared" si="1527"/>
        <v>6.2300467733773519E-4</v>
      </c>
      <c r="CK597" s="196">
        <f t="shared" si="1575"/>
        <v>30668.629799712526</v>
      </c>
      <c r="CL597" s="589">
        <f t="shared" si="1528"/>
        <v>4.4086786163888281E-4</v>
      </c>
      <c r="CM597" s="196">
        <f t="shared" si="1576"/>
        <v>2971.029389766079</v>
      </c>
      <c r="CN597" s="589">
        <f t="shared" si="1529"/>
        <v>4.2815909977753227E-4</v>
      </c>
      <c r="CO597" s="196">
        <f t="shared" si="1577"/>
        <v>237.67482744505824</v>
      </c>
      <c r="CP597" s="589">
        <f t="shared" si="1530"/>
        <v>4.4821811589854571E-4</v>
      </c>
      <c r="CQ597" s="196">
        <f>'Detailed Budget'!$AC$12</f>
        <v>292876014141.44696</v>
      </c>
      <c r="CR597" s="269">
        <f t="shared" si="1534"/>
        <v>426689837.64194894</v>
      </c>
      <c r="CS597" s="269">
        <f>'Detailed Budget'!$AC$16</f>
        <v>10488008800.000002</v>
      </c>
      <c r="CT597" s="607">
        <f t="shared" si="1539"/>
        <v>15279934.320160085</v>
      </c>
      <c r="CU597" s="269">
        <f>'Detailed Budget'!$AC$24</f>
        <v>30624985696</v>
      </c>
      <c r="CV597" s="269">
        <f t="shared" si="1589"/>
        <v>44617413.319829769</v>
      </c>
      <c r="CW597" s="269"/>
      <c r="CX597" s="269">
        <f t="shared" si="1522"/>
        <v>486587185.28193879</v>
      </c>
      <c r="CY597" s="196">
        <f>'Detailed Budget'!$AC$97</f>
        <v>74629165494.837845</v>
      </c>
      <c r="CZ597" s="269">
        <f t="shared" si="1540"/>
        <v>0</v>
      </c>
      <c r="DA597" s="269">
        <f>'Detailed Budget'!$AC$100</f>
        <v>14925833098.967569</v>
      </c>
      <c r="DB597" s="269">
        <f t="shared" si="1541"/>
        <v>0</v>
      </c>
      <c r="DC597" s="269">
        <f t="shared" si="1511"/>
        <v>0</v>
      </c>
      <c r="DD597" s="207">
        <v>0</v>
      </c>
      <c r="DE597" s="606">
        <v>0</v>
      </c>
      <c r="DF597" s="269">
        <f>'Detailed Budget'!$AC$147</f>
        <v>5913600671000</v>
      </c>
      <c r="DG597" s="269">
        <f t="shared" si="1584"/>
        <v>0</v>
      </c>
      <c r="DH597" s="269">
        <f>'Detailed Budget'!$AC$153</f>
        <v>226428026880.00003</v>
      </c>
      <c r="DI597" s="269"/>
      <c r="DJ597" s="269">
        <f>'Detailed Budget'!$AC$156</f>
        <v>27713070000</v>
      </c>
      <c r="DK597" s="269"/>
      <c r="DL597" s="269"/>
      <c r="DM597" s="196">
        <f>'Detailed Budget'!$AC$178</f>
        <v>5622683761.6229038</v>
      </c>
      <c r="DN597" s="269">
        <f t="shared" si="1578"/>
        <v>0</v>
      </c>
      <c r="DO597" s="196">
        <f>'Detailed Budget'!$AC$179</f>
        <v>26827890683.128094</v>
      </c>
      <c r="DP597" s="269">
        <f t="shared" si="1579"/>
        <v>0</v>
      </c>
      <c r="DQ597" s="269">
        <f t="shared" si="1531"/>
        <v>0</v>
      </c>
      <c r="DR597" s="269">
        <f>'Detailed Budget'!$AC$181</f>
        <v>50888946855.375237</v>
      </c>
      <c r="DS597" s="269">
        <f t="shared" si="1580"/>
        <v>0</v>
      </c>
      <c r="DT597" s="269">
        <f t="shared" si="1581"/>
        <v>0</v>
      </c>
      <c r="DU597" s="272">
        <f>'Detailed Budget'!$AC$192</f>
        <v>77498869683.252869</v>
      </c>
      <c r="DV597" s="269">
        <f t="shared" si="1542"/>
        <v>41281400.434683703</v>
      </c>
      <c r="DW597" s="140">
        <f>'Detailed Budget'!$AC$194</f>
        <v>2684962805.4134097</v>
      </c>
      <c r="DX597" s="269">
        <f t="shared" si="1543"/>
        <v>1430201.8232719395</v>
      </c>
      <c r="DY597" s="607">
        <f t="shared" si="1512"/>
        <v>42711602.257955641</v>
      </c>
      <c r="DZ597" s="196">
        <f>'Detailed Budget'!$AC$198</f>
        <v>18732540018.380611</v>
      </c>
      <c r="EA597" s="269">
        <f t="shared" si="1544"/>
        <v>7622324.7687317748</v>
      </c>
      <c r="EB597" s="196">
        <f>'Detailed Budget'!$AC$200</f>
        <v>4683135004.5951529</v>
      </c>
      <c r="EC597" s="269">
        <f t="shared" si="1545"/>
        <v>1905581.1921829437</v>
      </c>
      <c r="ED597" s="269">
        <f t="shared" si="1513"/>
        <v>9527905.960914718</v>
      </c>
      <c r="EE597" s="196">
        <f>'Detailed Budget'!$AC$161</f>
        <v>251147290106.36197</v>
      </c>
      <c r="EF597" s="269">
        <f t="shared" si="1546"/>
        <v>133778878.23835987</v>
      </c>
      <c r="EG597" s="196">
        <f>'Detailed Budget'!$AC$163</f>
        <v>15696705631.647623</v>
      </c>
      <c r="EH597" s="269">
        <f t="shared" si="1547"/>
        <v>8361179.8898974918</v>
      </c>
      <c r="EI597" s="269">
        <f t="shared" si="1514"/>
        <v>142140058.12825736</v>
      </c>
      <c r="EJ597" s="196">
        <f>'Detailed Budget'!$AC$204</f>
        <v>45012172507.531975</v>
      </c>
      <c r="EK597" s="269">
        <f t="shared" si="1548"/>
        <v>28042794.009325434</v>
      </c>
      <c r="EL597" s="201">
        <f>'Detailed Budget'!$AC$206</f>
        <v>11253043126.882994</v>
      </c>
      <c r="EM597" s="269">
        <f t="shared" si="1549"/>
        <v>7010698.5023313584</v>
      </c>
      <c r="EN597" s="269">
        <f t="shared" si="1515"/>
        <v>35053492.511656791</v>
      </c>
      <c r="EO597" s="140">
        <f>'Detailed Budget'!$AC$209</f>
        <v>135789361677.54817</v>
      </c>
      <c r="EP597" s="269">
        <f t="shared" si="1550"/>
        <v>59865165.516089521</v>
      </c>
      <c r="EQ597" s="196">
        <f>'Detailed Budget'!$AC$211</f>
        <v>33947340419.387043</v>
      </c>
      <c r="ER597" s="269">
        <f t="shared" si="1551"/>
        <v>14966291.37902238</v>
      </c>
      <c r="ES597" s="269">
        <f t="shared" si="1516"/>
        <v>74831456.895111904</v>
      </c>
      <c r="ET597" s="196">
        <f>'Detailed Budget'!$AC$214</f>
        <v>22239745544.201103</v>
      </c>
      <c r="EU597" s="269">
        <f t="shared" si="1552"/>
        <v>9522149.4314865284</v>
      </c>
      <c r="EV597" s="140">
        <f>'Detailed Budget'!$AC$217</f>
        <v>5559936386.0502758</v>
      </c>
      <c r="EW597" s="269">
        <f t="shared" si="1553"/>
        <v>2380537.3578716321</v>
      </c>
      <c r="EX597" s="269">
        <f t="shared" si="1517"/>
        <v>11902686.789358161</v>
      </c>
      <c r="EY597" s="196">
        <f>'Detailed Budget'!$AC$219</f>
        <v>372777004.58170313</v>
      </c>
      <c r="EZ597" s="269">
        <f t="shared" si="1554"/>
        <v>167085.40664391452</v>
      </c>
      <c r="FA597" s="196">
        <f>'Detailed Budget'!$AC$222</f>
        <v>93194251.145425782</v>
      </c>
      <c r="FB597" s="269">
        <f t="shared" si="1555"/>
        <v>41771.351660978631</v>
      </c>
      <c r="FC597" s="269">
        <f t="shared" si="1518"/>
        <v>208856.75830489316</v>
      </c>
      <c r="FD597" s="269"/>
      <c r="FE597" s="269">
        <f t="shared" si="1519"/>
        <v>121996492.95443174</v>
      </c>
      <c r="FF597" s="140">
        <f>'Detailed Budget'!$AC$165</f>
        <v>14927760000</v>
      </c>
      <c r="FG597" s="1087">
        <f t="shared" si="1585"/>
        <v>166411291.80781823</v>
      </c>
      <c r="FH597" s="269">
        <f t="shared" si="1556"/>
        <v>16961436.200431772</v>
      </c>
      <c r="FJ597" s="140">
        <f>'Detailed Budget'!$AC$235</f>
        <v>3623696172</v>
      </c>
      <c r="FK597" s="269">
        <f t="shared" si="1557"/>
        <v>4681778</v>
      </c>
      <c r="FL597" s="269">
        <f t="shared" si="1586"/>
        <v>4681778</v>
      </c>
      <c r="FO597" s="607"/>
      <c r="FP597" s="607"/>
      <c r="FQ597" s="607"/>
      <c r="FR597" s="269">
        <f>'Detailed Budget'!$AC$257</f>
        <v>13636439388</v>
      </c>
      <c r="FS597" s="269">
        <f t="shared" si="1558"/>
        <v>5496348</v>
      </c>
      <c r="FT597" s="269">
        <f t="shared" si="1587"/>
        <v>5496348</v>
      </c>
      <c r="FU597" s="269"/>
      <c r="FV597" s="269"/>
      <c r="FW597" s="269"/>
      <c r="FX597" s="140">
        <f>'Detailed Budget'!$AC$278</f>
        <v>1114560000</v>
      </c>
      <c r="FY597" s="269">
        <f t="shared" si="1559"/>
        <v>1440000</v>
      </c>
      <c r="FZ597" s="269">
        <f t="shared" si="1588"/>
        <v>1440000</v>
      </c>
      <c r="GB597" s="269">
        <f t="shared" si="1596"/>
        <v>997954098.59174848</v>
      </c>
      <c r="GC597" s="887">
        <f t="shared" si="1520"/>
        <v>623721.31161984277</v>
      </c>
      <c r="GD597" s="1078">
        <f t="shared" si="1597"/>
        <v>5.5998346939918771E-4</v>
      </c>
    </row>
    <row r="598" spans="1:186" hidden="1" outlineLevel="1">
      <c r="A598" s="211" t="s">
        <v>1305</v>
      </c>
      <c r="B598" s="212" t="s">
        <v>1306</v>
      </c>
      <c r="C598" s="213" t="s">
        <v>215</v>
      </c>
      <c r="D598" s="214"/>
      <c r="E598" s="213"/>
      <c r="F598" s="213"/>
      <c r="G598" s="213" t="s">
        <v>215</v>
      </c>
      <c r="H598" s="213" t="s">
        <v>215</v>
      </c>
      <c r="I598" s="214" t="s">
        <v>215</v>
      </c>
      <c r="J598" s="214"/>
      <c r="K598" s="213"/>
      <c r="L598" s="213"/>
      <c r="M598" s="214" t="s">
        <v>215</v>
      </c>
      <c r="N598" s="213"/>
      <c r="O598" s="214"/>
      <c r="P598" s="213"/>
      <c r="Q598" s="214"/>
      <c r="R598" s="214" t="s">
        <v>215</v>
      </c>
      <c r="S598" s="214"/>
      <c r="T598" s="214"/>
      <c r="U598" s="215">
        <f t="shared" si="1564"/>
        <v>6</v>
      </c>
      <c r="V598" s="845" t="s">
        <v>216</v>
      </c>
      <c r="W598" s="216">
        <v>108095</v>
      </c>
      <c r="X598" s="217">
        <v>3.36</v>
      </c>
      <c r="Y598" s="218">
        <f t="shared" si="1477"/>
        <v>1.0336000000000001</v>
      </c>
      <c r="Z598" s="196">
        <v>19</v>
      </c>
      <c r="AA598" s="218">
        <f t="shared" si="1478"/>
        <v>1.873689022502546</v>
      </c>
      <c r="AB598" s="196">
        <f t="shared" si="1561"/>
        <v>202536.41488741271</v>
      </c>
      <c r="AC598">
        <v>12.2</v>
      </c>
      <c r="AD598" s="196">
        <f t="shared" si="1562"/>
        <v>24709.44261626435</v>
      </c>
      <c r="AE598" s="196">
        <f t="shared" si="1479"/>
        <v>23473.970485451133</v>
      </c>
      <c r="AF598" s="196">
        <f t="shared" si="1565"/>
        <v>0</v>
      </c>
      <c r="AG598" s="606">
        <f t="shared" si="1523"/>
        <v>1.0853333425859019E-3</v>
      </c>
      <c r="AH598" s="196">
        <f t="shared" si="1582"/>
        <v>10126.820744370636</v>
      </c>
      <c r="AI598" s="248">
        <f t="shared" si="1503"/>
        <v>7.8450945943425818E-4</v>
      </c>
      <c r="AJ598" s="196">
        <f t="shared" si="1504"/>
        <v>34836.263360634985</v>
      </c>
      <c r="AK598" s="196">
        <f t="shared" si="1532"/>
        <v>8101.4565954965083</v>
      </c>
      <c r="AL598" s="196">
        <f t="shared" si="1533"/>
        <v>8101.4565954965083</v>
      </c>
      <c r="AM598" s="196">
        <f t="shared" si="1505"/>
        <v>16202.913190993017</v>
      </c>
      <c r="AN598" s="627">
        <f t="shared" si="1506"/>
        <v>7.8450945943425818E-4</v>
      </c>
      <c r="AO598" s="196">
        <f t="shared" si="1507"/>
        <v>7696.3837657216827</v>
      </c>
      <c r="AP598" s="589">
        <f t="shared" si="1524"/>
        <v>7.8450945943425807E-4</v>
      </c>
      <c r="AQ598" s="196"/>
      <c r="AR598" s="589"/>
      <c r="AS598">
        <v>1</v>
      </c>
      <c r="AT598" s="589">
        <f t="shared" si="1525"/>
        <v>1.2919896640826874E-3</v>
      </c>
      <c r="AU598" s="196">
        <v>10</v>
      </c>
      <c r="AV598" s="245">
        <f t="shared" si="1536"/>
        <v>1.1362345188046814E-3</v>
      </c>
      <c r="AX598" s="245"/>
      <c r="AY598" s="245"/>
      <c r="AZ598" s="196">
        <v>17</v>
      </c>
      <c r="BA598" s="589">
        <f t="shared" si="1590"/>
        <v>6.229159796269833E-4</v>
      </c>
      <c r="BI598" s="196">
        <v>1</v>
      </c>
      <c r="BJ598" s="196">
        <f t="shared" si="1566"/>
        <v>112520.24588306189</v>
      </c>
      <c r="BK598" s="246">
        <f t="shared" si="1591"/>
        <v>2.1456932012311409E-3</v>
      </c>
      <c r="BL598" s="196">
        <f t="shared" si="1583"/>
        <v>2250.4049176612375</v>
      </c>
      <c r="BM598" s="246">
        <f t="shared" si="1592"/>
        <v>2.1456929557287204E-3</v>
      </c>
      <c r="BN598" s="196">
        <v>0</v>
      </c>
      <c r="BO598" s="196">
        <f t="shared" si="1567"/>
        <v>9137.2570295402766</v>
      </c>
      <c r="BP598" s="196">
        <f t="shared" si="1508"/>
        <v>0</v>
      </c>
      <c r="BQ598" s="248">
        <f t="shared" si="1593"/>
        <v>0</v>
      </c>
      <c r="BR598" s="248"/>
      <c r="BS598" s="248"/>
      <c r="BT598" s="276">
        <v>0</v>
      </c>
      <c r="BU598" s="196">
        <f t="shared" si="1568"/>
        <v>0</v>
      </c>
      <c r="BV598" s="264">
        <f t="shared" si="1594"/>
        <v>0</v>
      </c>
      <c r="BW598" s="196">
        <f t="shared" si="1569"/>
        <v>0</v>
      </c>
      <c r="BX598" s="247">
        <f t="shared" si="1595"/>
        <v>0</v>
      </c>
      <c r="BY598" s="196">
        <f t="shared" si="1570"/>
        <v>0</v>
      </c>
      <c r="BZ598" s="620">
        <v>1</v>
      </c>
      <c r="CA598" s="196">
        <f t="shared" si="1571"/>
        <v>61976.14295554829</v>
      </c>
      <c r="CB598" s="196">
        <f t="shared" si="1572"/>
        <v>123952.28591109658</v>
      </c>
      <c r="CC598" s="196">
        <f t="shared" si="1521"/>
        <v>185928.42886664486</v>
      </c>
      <c r="CD598" s="247">
        <f t="shared" si="1509"/>
        <v>7.8450945943425807E-4</v>
      </c>
      <c r="CE598" s="196">
        <f t="shared" si="1573"/>
        <v>13877.652072481982</v>
      </c>
      <c r="CF598" s="247">
        <f t="shared" si="1510"/>
        <v>5.9928017523369105E-4</v>
      </c>
      <c r="CG598" s="196">
        <f t="shared" si="1538"/>
        <v>30785.535062886731</v>
      </c>
      <c r="CH598" s="589">
        <f t="shared" si="1526"/>
        <v>7.8450945943425807E-4</v>
      </c>
      <c r="CI598" s="196">
        <f t="shared" si="1574"/>
        <v>55812.14220713231</v>
      </c>
      <c r="CJ598" s="248">
        <f t="shared" si="1527"/>
        <v>9.1755147621530727E-4</v>
      </c>
      <c r="CK598" s="196">
        <f t="shared" si="1575"/>
        <v>45168.274926083861</v>
      </c>
      <c r="CL598" s="589">
        <f t="shared" si="1528"/>
        <v>6.4930324278023065E-4</v>
      </c>
      <c r="CM598" s="196">
        <f t="shared" si="1576"/>
        <v>4375.6852903707922</v>
      </c>
      <c r="CN598" s="589">
        <f t="shared" si="1529"/>
        <v>6.3058597847881123E-4</v>
      </c>
      <c r="CO598" s="196">
        <f t="shared" si="1577"/>
        <v>350.04374238944843</v>
      </c>
      <c r="CP598" s="589">
        <f t="shared" si="1530"/>
        <v>6.6012858148447836E-4</v>
      </c>
      <c r="CQ598" s="196">
        <f>'Detailed Budget'!$AC$12</f>
        <v>292876014141.44696</v>
      </c>
      <c r="CR598" s="269">
        <f t="shared" si="1534"/>
        <v>628422072.34697819</v>
      </c>
      <c r="CS598" s="269">
        <f>'Detailed Budget'!$AC$16</f>
        <v>10488008800.000002</v>
      </c>
      <c r="CT598" s="607">
        <f t="shared" si="1539"/>
        <v>22504046.601780836</v>
      </c>
      <c r="CU598" s="269">
        <f>'Detailed Budget'!$AC$24</f>
        <v>30624985696</v>
      </c>
      <c r="CV598" s="269">
        <f t="shared" si="1589"/>
        <v>65711823.595708139</v>
      </c>
      <c r="CW598" s="269"/>
      <c r="CX598" s="269">
        <f t="shared" si="1522"/>
        <v>716637942.54446721</v>
      </c>
      <c r="CY598" s="196">
        <f>'Detailed Budget'!$AC$97</f>
        <v>74629165494.837845</v>
      </c>
      <c r="CZ598" s="269">
        <f t="shared" si="1540"/>
        <v>0</v>
      </c>
      <c r="DA598" s="269">
        <f>'Detailed Budget'!$AC$100</f>
        <v>14925833098.967569</v>
      </c>
      <c r="DB598" s="269">
        <f t="shared" si="1541"/>
        <v>0</v>
      </c>
      <c r="DC598" s="269">
        <f t="shared" si="1511"/>
        <v>0</v>
      </c>
      <c r="DD598" s="207">
        <v>0</v>
      </c>
      <c r="DE598" s="606">
        <v>0</v>
      </c>
      <c r="DF598" s="269">
        <f>'Detailed Budget'!$AC$147</f>
        <v>5913600671000</v>
      </c>
      <c r="DG598" s="269">
        <f t="shared" si="1584"/>
        <v>0</v>
      </c>
      <c r="DH598" s="269">
        <f>'Detailed Budget'!$AC$153</f>
        <v>226428026880.00003</v>
      </c>
      <c r="DI598" s="269"/>
      <c r="DJ598" s="269">
        <f>'Detailed Budget'!$AC$156</f>
        <v>27713070000</v>
      </c>
      <c r="DK598" s="269"/>
      <c r="DL598" s="269"/>
      <c r="DM598" s="196">
        <f>'Detailed Budget'!$AC$178</f>
        <v>5622683761.6229038</v>
      </c>
      <c r="DN598" s="269">
        <f t="shared" si="1578"/>
        <v>0</v>
      </c>
      <c r="DO598" s="196">
        <f>'Detailed Budget'!$AC$179</f>
        <v>26827890683.128094</v>
      </c>
      <c r="DP598" s="269">
        <f t="shared" si="1579"/>
        <v>0</v>
      </c>
      <c r="DQ598" s="269">
        <f t="shared" si="1531"/>
        <v>0</v>
      </c>
      <c r="DR598" s="269">
        <f>'Detailed Budget'!$AC$181</f>
        <v>50888946855.375237</v>
      </c>
      <c r="DS598" s="269">
        <f t="shared" si="1580"/>
        <v>0</v>
      </c>
      <c r="DT598" s="269">
        <f t="shared" si="1581"/>
        <v>0</v>
      </c>
      <c r="DU598" s="272">
        <f>'Detailed Budget'!$AC$192</f>
        <v>77498869683.252869</v>
      </c>
      <c r="DV598" s="269">
        <f t="shared" si="1542"/>
        <v>60798596.361974716</v>
      </c>
      <c r="DW598" s="140">
        <f>'Detailed Budget'!$AC$194</f>
        <v>2684962805.4134097</v>
      </c>
      <c r="DX598" s="269">
        <f t="shared" si="1543"/>
        <v>2106378.7190759634</v>
      </c>
      <c r="DY598" s="607">
        <f t="shared" si="1512"/>
        <v>62904975.081050679</v>
      </c>
      <c r="DZ598" s="196">
        <f>'Detailed Budget'!$AC$198</f>
        <v>18732540018.380611</v>
      </c>
      <c r="EA598" s="269">
        <f t="shared" si="1544"/>
        <v>11226039.864787264</v>
      </c>
      <c r="EB598" s="196">
        <f>'Detailed Budget'!$AC$200</f>
        <v>4683135004.5951529</v>
      </c>
      <c r="EC598" s="269">
        <f t="shared" si="1545"/>
        <v>2806509.9661968159</v>
      </c>
      <c r="ED598" s="269">
        <f t="shared" si="1513"/>
        <v>14032549.83098408</v>
      </c>
      <c r="EE598" s="196">
        <f>'Detailed Budget'!$AC$161</f>
        <v>251147290106.36197</v>
      </c>
      <c r="EF598" s="269">
        <f t="shared" si="1546"/>
        <v>197027424.79972082</v>
      </c>
      <c r="EG598" s="196">
        <f>'Detailed Budget'!$AC$163</f>
        <v>15696705631.647623</v>
      </c>
      <c r="EH598" s="269">
        <f t="shared" si="1547"/>
        <v>12314214.049982551</v>
      </c>
      <c r="EI598" s="269">
        <f t="shared" si="1514"/>
        <v>209341638.84970337</v>
      </c>
      <c r="EJ598" s="196">
        <f>'Detailed Budget'!$AC$204</f>
        <v>45012172507.531975</v>
      </c>
      <c r="EK598" s="269">
        <f t="shared" si="1548"/>
        <v>41300985.331944034</v>
      </c>
      <c r="EL598" s="201">
        <f>'Detailed Budget'!$AC$206</f>
        <v>11253043126.882994</v>
      </c>
      <c r="EM598" s="269">
        <f t="shared" si="1549"/>
        <v>10325246.332986008</v>
      </c>
      <c r="EN598" s="269">
        <f t="shared" si="1515"/>
        <v>51626231.664930046</v>
      </c>
      <c r="EO598" s="140">
        <f>'Detailed Budget'!$AC$209</f>
        <v>135789361677.54817</v>
      </c>
      <c r="EP598" s="269">
        <f t="shared" si="1550"/>
        <v>88168472.872289613</v>
      </c>
      <c r="EQ598" s="196">
        <f>'Detailed Budget'!$AC$211</f>
        <v>33947340419.387043</v>
      </c>
      <c r="ER598" s="269">
        <f t="shared" si="1551"/>
        <v>22042118.218072403</v>
      </c>
      <c r="ES598" s="269">
        <f t="shared" si="1516"/>
        <v>110210591.09036201</v>
      </c>
      <c r="ET598" s="196">
        <f>'Detailed Budget'!$AC$214</f>
        <v>22239745544.201103</v>
      </c>
      <c r="EU598" s="269">
        <f t="shared" si="1552"/>
        <v>14024071.705109835</v>
      </c>
      <c r="EV598" s="140">
        <f>'Detailed Budget'!$AC$217</f>
        <v>5559936386.0502758</v>
      </c>
      <c r="EW598" s="269">
        <f t="shared" si="1553"/>
        <v>3506017.9262774587</v>
      </c>
      <c r="EX598" s="269">
        <f t="shared" si="1517"/>
        <v>17530089.631387293</v>
      </c>
      <c r="EY598" s="196">
        <f>'Detailed Budget'!$AC$219</f>
        <v>372777004.58170313</v>
      </c>
      <c r="EZ598" s="269">
        <f t="shared" si="1554"/>
        <v>246080.75524455257</v>
      </c>
      <c r="FA598" s="196">
        <f>'Detailed Budget'!$AC$222</f>
        <v>93194251.145425782</v>
      </c>
      <c r="FB598" s="269">
        <f t="shared" si="1555"/>
        <v>61520.188811138141</v>
      </c>
      <c r="FC598" s="269">
        <f t="shared" si="1518"/>
        <v>307600.94405569072</v>
      </c>
      <c r="FD598" s="269"/>
      <c r="FE598" s="269">
        <f t="shared" si="1519"/>
        <v>179674513.33073503</v>
      </c>
      <c r="FF598" s="140">
        <f>'Detailed Budget'!$AC$165</f>
        <v>14927760000</v>
      </c>
      <c r="FG598" s="1087">
        <f t="shared" si="1585"/>
        <v>245087929.53152272</v>
      </c>
      <c r="FH598" s="269">
        <f t="shared" si="1556"/>
        <v>16961436.200431772</v>
      </c>
      <c r="FJ598" s="140">
        <f>'Detailed Budget'!$AC$235</f>
        <v>3623696172</v>
      </c>
      <c r="FK598" s="269">
        <f t="shared" si="1557"/>
        <v>4681778</v>
      </c>
      <c r="FL598" s="269">
        <f t="shared" si="1586"/>
        <v>4681778</v>
      </c>
      <c r="FO598" s="607"/>
      <c r="FP598" s="607"/>
      <c r="FQ598" s="607"/>
      <c r="FR598" s="269">
        <f>'Detailed Budget'!$AC$257</f>
        <v>13636439388</v>
      </c>
      <c r="FS598" s="269">
        <f t="shared" si="1558"/>
        <v>8494356</v>
      </c>
      <c r="FT598" s="269">
        <f t="shared" si="1587"/>
        <v>8494356</v>
      </c>
      <c r="FU598" s="269"/>
      <c r="FV598" s="269"/>
      <c r="FW598" s="269"/>
      <c r="FX598" s="140">
        <f>'Detailed Budget'!$AC$278</f>
        <v>1114560000</v>
      </c>
      <c r="FY598" s="269">
        <f t="shared" si="1559"/>
        <v>1440000</v>
      </c>
      <c r="FZ598" s="269">
        <f t="shared" si="1588"/>
        <v>1440000</v>
      </c>
      <c r="GB598" s="269">
        <f t="shared" si="1596"/>
        <v>1459257119.3688948</v>
      </c>
      <c r="GC598" s="887">
        <f t="shared" si="1520"/>
        <v>912035.69960555923</v>
      </c>
      <c r="GD598" s="1078">
        <f t="shared" si="1597"/>
        <v>8.188351203755605E-4</v>
      </c>
    </row>
    <row r="599" spans="1:186" hidden="1" outlineLevel="1">
      <c r="A599" s="211" t="s">
        <v>1307</v>
      </c>
      <c r="B599" s="212" t="s">
        <v>1308</v>
      </c>
      <c r="C599" s="213" t="s">
        <v>215</v>
      </c>
      <c r="D599" s="214"/>
      <c r="E599" s="213"/>
      <c r="F599" s="213"/>
      <c r="G599" s="213" t="s">
        <v>215</v>
      </c>
      <c r="H599" s="213" t="s">
        <v>215</v>
      </c>
      <c r="I599" s="214" t="s">
        <v>215</v>
      </c>
      <c r="J599" s="214"/>
      <c r="K599" s="213"/>
      <c r="L599" s="213"/>
      <c r="M599" s="214" t="s">
        <v>215</v>
      </c>
      <c r="N599" s="213"/>
      <c r="O599" s="214"/>
      <c r="P599" s="213"/>
      <c r="Q599" s="214"/>
      <c r="R599" s="214" t="s">
        <v>215</v>
      </c>
      <c r="S599" s="214"/>
      <c r="T599" s="214"/>
      <c r="U599" s="215">
        <f t="shared" si="1564"/>
        <v>6</v>
      </c>
      <c r="V599" s="845" t="s">
        <v>216</v>
      </c>
      <c r="W599" s="216">
        <v>127083</v>
      </c>
      <c r="X599" s="217">
        <v>3.36</v>
      </c>
      <c r="Y599" s="218">
        <f t="shared" si="1477"/>
        <v>1.0336000000000001</v>
      </c>
      <c r="Z599" s="196">
        <v>19</v>
      </c>
      <c r="AA599" s="218">
        <f t="shared" si="1478"/>
        <v>1.873689022502546</v>
      </c>
      <c r="AB599" s="196">
        <f t="shared" si="1561"/>
        <v>238114.02204669104</v>
      </c>
      <c r="AC599">
        <v>12.2</v>
      </c>
      <c r="AD599" s="196">
        <f t="shared" si="1562"/>
        <v>29049.910689696306</v>
      </c>
      <c r="AE599" s="196">
        <f t="shared" si="1479"/>
        <v>27597.415155211489</v>
      </c>
      <c r="AF599" s="196">
        <f t="shared" si="1565"/>
        <v>0</v>
      </c>
      <c r="AG599" s="606">
        <f t="shared" si="1523"/>
        <v>1.2759833218543332E-3</v>
      </c>
      <c r="AH599" s="196">
        <f t="shared" si="1582"/>
        <v>11905.701102334553</v>
      </c>
      <c r="AI599" s="248">
        <f t="shared" si="1503"/>
        <v>9.2231662549871712E-4</v>
      </c>
      <c r="AJ599" s="196">
        <f t="shared" si="1504"/>
        <v>40955.611792030861</v>
      </c>
      <c r="AK599" s="196">
        <f t="shared" si="1532"/>
        <v>9524.560881867641</v>
      </c>
      <c r="AL599" s="196">
        <f t="shared" si="1533"/>
        <v>9524.560881867641</v>
      </c>
      <c r="AM599" s="196">
        <f t="shared" si="1505"/>
        <v>19049.121763735282</v>
      </c>
      <c r="AN599" s="627">
        <f t="shared" si="1506"/>
        <v>9.2231662549871701E-4</v>
      </c>
      <c r="AO599" s="196">
        <f t="shared" si="1507"/>
        <v>9048.33283777426</v>
      </c>
      <c r="AP599" s="589">
        <f t="shared" si="1524"/>
        <v>9.2231662549871712E-4</v>
      </c>
      <c r="AQ599" s="196"/>
      <c r="AR599" s="589"/>
      <c r="AS599">
        <v>1</v>
      </c>
      <c r="AT599" s="589">
        <f t="shared" si="1525"/>
        <v>1.2919896640826874E-3</v>
      </c>
      <c r="AU599" s="196">
        <v>10</v>
      </c>
      <c r="AV599" s="245">
        <f t="shared" si="1536"/>
        <v>1.1362345188046814E-3</v>
      </c>
      <c r="AX599" s="245"/>
      <c r="AY599" s="245"/>
      <c r="AZ599" s="196">
        <v>14</v>
      </c>
      <c r="BA599" s="589">
        <f t="shared" si="1590"/>
        <v>5.1298963028104507E-4</v>
      </c>
      <c r="BI599" s="196">
        <v>1</v>
      </c>
      <c r="BJ599" s="196">
        <f t="shared" si="1566"/>
        <v>132285.5858971937</v>
      </c>
      <c r="BK599" s="246">
        <f t="shared" si="1591"/>
        <v>2.5226063101166296E-3</v>
      </c>
      <c r="BL599" s="196">
        <f t="shared" si="1583"/>
        <v>2645.7117179438737</v>
      </c>
      <c r="BM599" s="246">
        <f t="shared" si="1592"/>
        <v>2.5226060214891804E-3</v>
      </c>
      <c r="BN599" s="196">
        <v>0</v>
      </c>
      <c r="BO599" s="196">
        <f t="shared" si="1567"/>
        <v>10742.310329664342</v>
      </c>
      <c r="BP599" s="196">
        <f t="shared" si="1508"/>
        <v>0</v>
      </c>
      <c r="BQ599" s="248">
        <f t="shared" si="1593"/>
        <v>0</v>
      </c>
      <c r="BR599" s="248"/>
      <c r="BS599" s="248"/>
      <c r="BT599" s="276">
        <v>0</v>
      </c>
      <c r="BU599" s="196">
        <f t="shared" si="1568"/>
        <v>0</v>
      </c>
      <c r="BV599" s="264">
        <f t="shared" si="1594"/>
        <v>0</v>
      </c>
      <c r="BW599" s="196">
        <f t="shared" si="1569"/>
        <v>0</v>
      </c>
      <c r="BX599" s="247">
        <f t="shared" si="1595"/>
        <v>0</v>
      </c>
      <c r="BY599" s="196">
        <f t="shared" si="1570"/>
        <v>0</v>
      </c>
      <c r="BZ599" s="620">
        <v>1</v>
      </c>
      <c r="CA599" s="196">
        <f t="shared" si="1571"/>
        <v>72862.890746287449</v>
      </c>
      <c r="CB599" s="196">
        <f t="shared" si="1572"/>
        <v>145725.7814925749</v>
      </c>
      <c r="CC599" s="196">
        <f t="shared" si="1521"/>
        <v>218588.67223886235</v>
      </c>
      <c r="CD599" s="247">
        <f t="shared" si="1509"/>
        <v>9.2231662549871701E-4</v>
      </c>
      <c r="CE599" s="196">
        <f t="shared" si="1573"/>
        <v>16315.404582332465</v>
      </c>
      <c r="CF599" s="247">
        <f t="shared" si="1510"/>
        <v>7.0454990988688812E-4</v>
      </c>
      <c r="CG599" s="196">
        <f t="shared" si="1538"/>
        <v>36193.33135109704</v>
      </c>
      <c r="CH599" s="589">
        <f t="shared" si="1526"/>
        <v>9.2231662549871712E-4</v>
      </c>
      <c r="CI599" s="196">
        <f t="shared" si="1574"/>
        <v>65616.119784532086</v>
      </c>
      <c r="CJ599" s="248">
        <f t="shared" si="1527"/>
        <v>1.0787288427019741E-3</v>
      </c>
      <c r="CK599" s="196">
        <f t="shared" si="1575"/>
        <v>53102.54759638758</v>
      </c>
      <c r="CL599" s="589">
        <f t="shared" si="1528"/>
        <v>7.6336004442610714E-4</v>
      </c>
      <c r="CM599" s="196">
        <f t="shared" si="1576"/>
        <v>5144.3194759812332</v>
      </c>
      <c r="CN599" s="589">
        <f t="shared" si="1529"/>
        <v>7.4135489988457154E-4</v>
      </c>
      <c r="CO599" s="196">
        <f t="shared" si="1577"/>
        <v>411.53253077458049</v>
      </c>
      <c r="CP599" s="589">
        <f t="shared" si="1530"/>
        <v>7.7608696536187588E-4</v>
      </c>
      <c r="CQ599" s="196">
        <f>'Detailed Budget'!$AC$12</f>
        <v>292876014141.44696</v>
      </c>
      <c r="CR599" s="269">
        <f t="shared" si="1534"/>
        <v>738810881.35502136</v>
      </c>
      <c r="CS599" s="269">
        <f>'Detailed Budget'!$AC$16</f>
        <v>10488008800.000002</v>
      </c>
      <c r="CT599" s="607">
        <f t="shared" si="1539"/>
        <v>26457114.152311519</v>
      </c>
      <c r="CU599" s="269">
        <f>'Detailed Budget'!$AC$24</f>
        <v>30624985696</v>
      </c>
      <c r="CV599" s="269">
        <f t="shared" si="1589"/>
        <v>77254782.163961127</v>
      </c>
      <c r="CW599" s="269"/>
      <c r="CX599" s="269">
        <f t="shared" si="1522"/>
        <v>842522777.67129409</v>
      </c>
      <c r="CY599" s="196">
        <f>'Detailed Budget'!$AC$97</f>
        <v>74629165494.837845</v>
      </c>
      <c r="CZ599" s="269">
        <f t="shared" si="1540"/>
        <v>0</v>
      </c>
      <c r="DA599" s="269">
        <f>'Detailed Budget'!$AC$100</f>
        <v>14925833098.967569</v>
      </c>
      <c r="DB599" s="269">
        <f t="shared" si="1541"/>
        <v>0</v>
      </c>
      <c r="DC599" s="269">
        <f t="shared" si="1511"/>
        <v>0</v>
      </c>
      <c r="DD599" s="207">
        <v>0</v>
      </c>
      <c r="DE599" s="606">
        <v>0</v>
      </c>
      <c r="DF599" s="269">
        <f>'Detailed Budget'!$AC$147</f>
        <v>5913600671000</v>
      </c>
      <c r="DG599" s="269">
        <f t="shared" si="1584"/>
        <v>0</v>
      </c>
      <c r="DH599" s="269">
        <f>'Detailed Budget'!$AC$153</f>
        <v>226428026880.00003</v>
      </c>
      <c r="DI599" s="269"/>
      <c r="DJ599" s="269">
        <f>'Detailed Budget'!$AC$156</f>
        <v>27713070000</v>
      </c>
      <c r="DK599" s="269"/>
      <c r="DL599" s="269"/>
      <c r="DM599" s="196">
        <f>'Detailed Budget'!$AC$178</f>
        <v>5622683761.6229038</v>
      </c>
      <c r="DN599" s="269">
        <f t="shared" si="1578"/>
        <v>0</v>
      </c>
      <c r="DO599" s="196">
        <f>'Detailed Budget'!$AC$179</f>
        <v>26827890683.128094</v>
      </c>
      <c r="DP599" s="269">
        <f t="shared" si="1579"/>
        <v>0</v>
      </c>
      <c r="DQ599" s="269">
        <f t="shared" si="1531"/>
        <v>0</v>
      </c>
      <c r="DR599" s="269">
        <f>'Detailed Budget'!$AC$181</f>
        <v>50888946855.375237</v>
      </c>
      <c r="DS599" s="269">
        <f t="shared" si="1580"/>
        <v>0</v>
      </c>
      <c r="DT599" s="269">
        <f t="shared" si="1581"/>
        <v>0</v>
      </c>
      <c r="DU599" s="272">
        <f>'Detailed Budget'!$AC$192</f>
        <v>77498869683.252869</v>
      </c>
      <c r="DV599" s="269">
        <f t="shared" si="1542"/>
        <v>71478495.966222614</v>
      </c>
      <c r="DW599" s="140">
        <f>'Detailed Budget'!$AC$194</f>
        <v>2684962805.4134097</v>
      </c>
      <c r="DX599" s="269">
        <f t="shared" si="1543"/>
        <v>2476385.8342784643</v>
      </c>
      <c r="DY599" s="607">
        <f t="shared" si="1512"/>
        <v>73954881.800501078</v>
      </c>
      <c r="DZ599" s="196">
        <f>'Detailed Budget'!$AC$198</f>
        <v>18732540018.380611</v>
      </c>
      <c r="EA599" s="269">
        <f t="shared" si="1544"/>
        <v>13198009.381902585</v>
      </c>
      <c r="EB599" s="196">
        <f>'Detailed Budget'!$AC$200</f>
        <v>4683135004.5951529</v>
      </c>
      <c r="EC599" s="269">
        <f t="shared" si="1545"/>
        <v>3299502.3454756462</v>
      </c>
      <c r="ED599" s="269">
        <f t="shared" si="1513"/>
        <v>16497511.727378231</v>
      </c>
      <c r="EE599" s="196">
        <f>'Detailed Budget'!$AC$161</f>
        <v>251147290106.36197</v>
      </c>
      <c r="EF599" s="269">
        <f t="shared" si="1546"/>
        <v>231637321.11404711</v>
      </c>
      <c r="EG599" s="196">
        <f>'Detailed Budget'!$AC$163</f>
        <v>15696705631.647623</v>
      </c>
      <c r="EH599" s="269">
        <f t="shared" si="1547"/>
        <v>14477332.569627944</v>
      </c>
      <c r="EI599" s="269">
        <f t="shared" si="1514"/>
        <v>246114653.68367505</v>
      </c>
      <c r="EJ599" s="196">
        <f>'Detailed Budget'!$AC$204</f>
        <v>45012172507.531975</v>
      </c>
      <c r="EK599" s="269">
        <f t="shared" si="1548"/>
        <v>48555928.756551586</v>
      </c>
      <c r="EL599" s="201">
        <f>'Detailed Budget'!$AC$206</f>
        <v>11253043126.882994</v>
      </c>
      <c r="EM599" s="269">
        <f t="shared" si="1549"/>
        <v>12138982.189137897</v>
      </c>
      <c r="EN599" s="269">
        <f t="shared" si="1515"/>
        <v>60694910.945689484</v>
      </c>
      <c r="EO599" s="140">
        <f>'Detailed Budget'!$AC$209</f>
        <v>135789361677.54817</v>
      </c>
      <c r="EP599" s="269">
        <f t="shared" si="1550"/>
        <v>103656173.16276591</v>
      </c>
      <c r="EQ599" s="196">
        <f>'Detailed Budget'!$AC$211</f>
        <v>33947340419.387043</v>
      </c>
      <c r="ER599" s="269">
        <f t="shared" si="1551"/>
        <v>25914043.290691476</v>
      </c>
      <c r="ES599" s="269">
        <f t="shared" si="1516"/>
        <v>129570216.45345739</v>
      </c>
      <c r="ET599" s="196">
        <f>'Detailed Budget'!$AC$214</f>
        <v>22239745544.201103</v>
      </c>
      <c r="EU599" s="269">
        <f t="shared" si="1552"/>
        <v>16487544.331379555</v>
      </c>
      <c r="EV599" s="140">
        <f>'Detailed Budget'!$AC$217</f>
        <v>5559936386.0502758</v>
      </c>
      <c r="EW599" s="269">
        <f t="shared" si="1553"/>
        <v>4121886.0828448888</v>
      </c>
      <c r="EX599" s="269">
        <f t="shared" si="1517"/>
        <v>20609430.414224446</v>
      </c>
      <c r="EY599" s="196">
        <f>'Detailed Budget'!$AC$219</f>
        <v>372777004.58170313</v>
      </c>
      <c r="EZ599" s="269">
        <f t="shared" si="1554"/>
        <v>289307.37424250407</v>
      </c>
      <c r="FA599" s="196">
        <f>'Detailed Budget'!$AC$222</f>
        <v>93194251.145425782</v>
      </c>
      <c r="FB599" s="269">
        <f t="shared" si="1555"/>
        <v>72326.843560626017</v>
      </c>
      <c r="FC599" s="269">
        <f t="shared" si="1518"/>
        <v>361634.2178031301</v>
      </c>
      <c r="FD599" s="269"/>
      <c r="FE599" s="269">
        <f t="shared" si="1519"/>
        <v>211236192.03117442</v>
      </c>
      <c r="FF599" s="140">
        <f>'Detailed Budget'!$AC$165</f>
        <v>14927760000</v>
      </c>
      <c r="FG599" s="1087">
        <f t="shared" si="1585"/>
        <v>288140148.4680559</v>
      </c>
      <c r="FH599" s="269">
        <f t="shared" si="1556"/>
        <v>16961436.200431772</v>
      </c>
      <c r="FJ599" s="140">
        <f>'Detailed Budget'!$AC$235</f>
        <v>3623696172</v>
      </c>
      <c r="FK599" s="269">
        <f t="shared" si="1557"/>
        <v>4681778</v>
      </c>
      <c r="FL599" s="269">
        <f t="shared" si="1586"/>
        <v>4681778</v>
      </c>
      <c r="FO599" s="607"/>
      <c r="FP599" s="607"/>
      <c r="FQ599" s="607"/>
      <c r="FR599" s="269">
        <f>'Detailed Budget'!$AC$257</f>
        <v>13636439388</v>
      </c>
      <c r="FS599" s="269">
        <f t="shared" si="1558"/>
        <v>6995352</v>
      </c>
      <c r="FT599" s="269">
        <f t="shared" si="1587"/>
        <v>6995352</v>
      </c>
      <c r="FU599" s="269"/>
      <c r="FV599" s="269"/>
      <c r="FW599" s="269"/>
      <c r="FX599" s="140">
        <f>'Detailed Budget'!$AC$278</f>
        <v>1114560000</v>
      </c>
      <c r="FY599" s="269">
        <f t="shared" si="1559"/>
        <v>1440000</v>
      </c>
      <c r="FZ599" s="269">
        <f t="shared" si="1588"/>
        <v>1440000</v>
      </c>
      <c r="GB599" s="269">
        <f t="shared" si="1596"/>
        <v>1708544731.5825107</v>
      </c>
      <c r="GC599" s="887">
        <f t="shared" si="1520"/>
        <v>1067840.4572390693</v>
      </c>
      <c r="GD599" s="1078">
        <f t="shared" si="1597"/>
        <v>9.5871824943190753E-4</v>
      </c>
    </row>
    <row r="600" spans="1:186" hidden="1" outlineLevel="1">
      <c r="A600" s="211" t="s">
        <v>1309</v>
      </c>
      <c r="B600" s="212" t="s">
        <v>1310</v>
      </c>
      <c r="C600" s="213" t="s">
        <v>215</v>
      </c>
      <c r="D600" s="214"/>
      <c r="E600" s="213"/>
      <c r="F600" s="213"/>
      <c r="G600" s="213" t="s">
        <v>215</v>
      </c>
      <c r="H600" s="213" t="s">
        <v>215</v>
      </c>
      <c r="I600" s="214" t="s">
        <v>215</v>
      </c>
      <c r="J600" s="214"/>
      <c r="K600" s="213"/>
      <c r="L600" s="213"/>
      <c r="M600" s="214" t="s">
        <v>215</v>
      </c>
      <c r="N600" s="213"/>
      <c r="O600" s="214"/>
      <c r="P600" s="213"/>
      <c r="Q600" s="214"/>
      <c r="R600" s="214" t="s">
        <v>215</v>
      </c>
      <c r="S600" s="214"/>
      <c r="T600" s="214"/>
      <c r="U600" s="215">
        <f t="shared" si="1564"/>
        <v>6</v>
      </c>
      <c r="V600" s="845" t="s">
        <v>216</v>
      </c>
      <c r="W600" s="216">
        <v>147286</v>
      </c>
      <c r="X600" s="217">
        <v>3.36</v>
      </c>
      <c r="Y600" s="218">
        <f t="shared" si="1477"/>
        <v>1.0336000000000001</v>
      </c>
      <c r="Z600" s="196">
        <v>19</v>
      </c>
      <c r="AA600" s="218">
        <f t="shared" si="1478"/>
        <v>1.873689022502546</v>
      </c>
      <c r="AB600" s="196">
        <f t="shared" si="1561"/>
        <v>275968.16136830999</v>
      </c>
      <c r="AC600">
        <v>12.2</v>
      </c>
      <c r="AD600" s="196">
        <f t="shared" si="1562"/>
        <v>33668.115686933816</v>
      </c>
      <c r="AE600" s="196">
        <f t="shared" si="1479"/>
        <v>31984.709902587125</v>
      </c>
      <c r="AF600" s="196">
        <f t="shared" si="1565"/>
        <v>0</v>
      </c>
      <c r="AG600" s="606">
        <f t="shared" si="1523"/>
        <v>1.4788325703881506E-3</v>
      </c>
      <c r="AH600" s="196">
        <f t="shared" si="1582"/>
        <v>13798.4080684155</v>
      </c>
      <c r="AI600" s="248">
        <f t="shared" si="1503"/>
        <v>1.0689417664298455E-3</v>
      </c>
      <c r="AJ600" s="196">
        <f t="shared" si="1504"/>
        <v>47466.523755349313</v>
      </c>
      <c r="AK600" s="196">
        <f t="shared" si="1532"/>
        <v>11038.726454732399</v>
      </c>
      <c r="AL600" s="196">
        <f t="shared" si="1533"/>
        <v>11038.726454732399</v>
      </c>
      <c r="AM600" s="196">
        <f t="shared" si="1505"/>
        <v>22077.452909464799</v>
      </c>
      <c r="AN600" s="627">
        <f t="shared" si="1506"/>
        <v>1.0689417664298455E-3</v>
      </c>
      <c r="AO600" s="196">
        <f t="shared" si="1507"/>
        <v>10486.79013199578</v>
      </c>
      <c r="AP600" s="589">
        <f t="shared" si="1524"/>
        <v>1.0689417664298455E-3</v>
      </c>
      <c r="AQ600" s="196"/>
      <c r="AR600" s="589"/>
      <c r="AS600">
        <v>1</v>
      </c>
      <c r="AT600" s="589">
        <f t="shared" si="1525"/>
        <v>1.2919896640826874E-3</v>
      </c>
      <c r="AU600" s="196">
        <v>10</v>
      </c>
      <c r="AV600" s="245">
        <f t="shared" si="1536"/>
        <v>1.1362345188046814E-3</v>
      </c>
      <c r="AX600" s="245"/>
      <c r="AY600" s="245"/>
      <c r="AZ600" s="196">
        <v>21</v>
      </c>
      <c r="BA600" s="589">
        <f t="shared" si="1590"/>
        <v>7.6948444542156754E-4</v>
      </c>
      <c r="BI600" s="196">
        <v>1</v>
      </c>
      <c r="BJ600" s="196">
        <f t="shared" si="1566"/>
        <v>153315.66617450069</v>
      </c>
      <c r="BK600" s="246">
        <f t="shared" si="1591"/>
        <v>2.9236372527547973E-3</v>
      </c>
      <c r="BL600" s="196">
        <f t="shared" si="1583"/>
        <v>3066.3133234900138</v>
      </c>
      <c r="BM600" s="246">
        <f t="shared" si="1592"/>
        <v>2.9236369182428449E-3</v>
      </c>
      <c r="BN600" s="196">
        <v>0</v>
      </c>
      <c r="BO600" s="196">
        <f t="shared" si="1567"/>
        <v>12450.067430064935</v>
      </c>
      <c r="BP600" s="196">
        <f t="shared" si="1508"/>
        <v>0</v>
      </c>
      <c r="BQ600" s="248">
        <f t="shared" si="1593"/>
        <v>0</v>
      </c>
      <c r="BR600" s="248"/>
      <c r="BS600" s="248"/>
      <c r="BT600" s="276">
        <v>0</v>
      </c>
      <c r="BU600" s="196">
        <f t="shared" si="1568"/>
        <v>0</v>
      </c>
      <c r="BV600" s="264">
        <f t="shared" si="1594"/>
        <v>0</v>
      </c>
      <c r="BW600" s="196">
        <f t="shared" si="1569"/>
        <v>0</v>
      </c>
      <c r="BX600" s="247">
        <f t="shared" si="1595"/>
        <v>0</v>
      </c>
      <c r="BY600" s="196">
        <f t="shared" si="1570"/>
        <v>0</v>
      </c>
      <c r="BZ600" s="620">
        <v>1</v>
      </c>
      <c r="CA600" s="196">
        <f t="shared" si="1571"/>
        <v>84446.257378702852</v>
      </c>
      <c r="CB600" s="196">
        <f t="shared" si="1572"/>
        <v>168892.5147574057</v>
      </c>
      <c r="CC600" s="196">
        <f t="shared" si="1521"/>
        <v>253338.77213610854</v>
      </c>
      <c r="CD600" s="247">
        <f t="shared" si="1509"/>
        <v>1.0689417664298453E-3</v>
      </c>
      <c r="CE600" s="196">
        <f t="shared" si="1573"/>
        <v>18909.14346776059</v>
      </c>
      <c r="CF600" s="247">
        <f t="shared" si="1510"/>
        <v>8.1655562134668044E-4</v>
      </c>
      <c r="CG600" s="196">
        <f t="shared" si="1538"/>
        <v>41947.16052798312</v>
      </c>
      <c r="CH600" s="589">
        <f t="shared" si="1526"/>
        <v>1.0689417664298455E-3</v>
      </c>
      <c r="CI600" s="196">
        <f t="shared" si="1574"/>
        <v>76047.432139504046</v>
      </c>
      <c r="CJ600" s="248">
        <f t="shared" si="1527"/>
        <v>1.2502195913395417E-3</v>
      </c>
      <c r="CK600" s="196">
        <f t="shared" si="1575"/>
        <v>61544.516774718417</v>
      </c>
      <c r="CL600" s="589">
        <f t="shared" si="1528"/>
        <v>8.8471508780358981E-4</v>
      </c>
      <c r="CM600" s="196">
        <f t="shared" si="1576"/>
        <v>5962.1368581114057</v>
      </c>
      <c r="CN600" s="589">
        <f t="shared" si="1529"/>
        <v>8.5921167885869064E-4</v>
      </c>
      <c r="CO600" s="196">
        <f t="shared" si="1577"/>
        <v>476.95585033139645</v>
      </c>
      <c r="CP600" s="589">
        <f t="shared" si="1530"/>
        <v>8.9946526899970284E-4</v>
      </c>
      <c r="CQ600" s="196">
        <f>'Detailed Budget'!$AC$12</f>
        <v>292876014141.44696</v>
      </c>
      <c r="CR600" s="269">
        <f t="shared" si="1534"/>
        <v>856263225.3822751</v>
      </c>
      <c r="CS600" s="269">
        <f>'Detailed Budget'!$AC$16</f>
        <v>10488008800.000002</v>
      </c>
      <c r="CT600" s="607">
        <f t="shared" si="1539"/>
        <v>30663129.726535842</v>
      </c>
      <c r="CU600" s="269">
        <f>'Detailed Budget'!$AC$24</f>
        <v>30624985696</v>
      </c>
      <c r="CV600" s="269">
        <f t="shared" si="1589"/>
        <v>89536349.045908406</v>
      </c>
      <c r="CW600" s="269"/>
      <c r="CX600" s="269">
        <f t="shared" si="1522"/>
        <v>976462704.15471935</v>
      </c>
      <c r="CY600" s="196">
        <f>'Detailed Budget'!$AC$97</f>
        <v>74629165494.837845</v>
      </c>
      <c r="CZ600" s="269">
        <f t="shared" si="1540"/>
        <v>0</v>
      </c>
      <c r="DA600" s="269">
        <f>'Detailed Budget'!$AC$100</f>
        <v>14925833098.967569</v>
      </c>
      <c r="DB600" s="269">
        <f t="shared" si="1541"/>
        <v>0</v>
      </c>
      <c r="DC600" s="269">
        <f t="shared" si="1511"/>
        <v>0</v>
      </c>
      <c r="DD600" s="207">
        <v>0</v>
      </c>
      <c r="DE600" s="606">
        <v>0</v>
      </c>
      <c r="DF600" s="269">
        <f>'Detailed Budget'!$AC$147</f>
        <v>5913600671000</v>
      </c>
      <c r="DG600" s="269">
        <f t="shared" si="1584"/>
        <v>0</v>
      </c>
      <c r="DH600" s="269">
        <f>'Detailed Budget'!$AC$153</f>
        <v>226428026880.00003</v>
      </c>
      <c r="DI600" s="269"/>
      <c r="DJ600" s="269">
        <f>'Detailed Budget'!$AC$156</f>
        <v>27713070000</v>
      </c>
      <c r="DK600" s="269"/>
      <c r="DL600" s="269"/>
      <c r="DM600" s="196">
        <f>'Detailed Budget'!$AC$178</f>
        <v>5622683761.6229038</v>
      </c>
      <c r="DN600" s="269">
        <f t="shared" si="1578"/>
        <v>0</v>
      </c>
      <c r="DO600" s="196">
        <f>'Detailed Budget'!$AC$179</f>
        <v>26827890683.128094</v>
      </c>
      <c r="DP600" s="269">
        <f t="shared" si="1579"/>
        <v>0</v>
      </c>
      <c r="DQ600" s="269">
        <f t="shared" si="1531"/>
        <v>0</v>
      </c>
      <c r="DR600" s="269">
        <f>'Detailed Budget'!$AC$181</f>
        <v>50888946855.375237</v>
      </c>
      <c r="DS600" s="269">
        <f t="shared" si="1580"/>
        <v>0</v>
      </c>
      <c r="DT600" s="269">
        <f t="shared" si="1581"/>
        <v>0</v>
      </c>
      <c r="DU600" s="272">
        <f>'Detailed Budget'!$AC$192</f>
        <v>77498869683.252869</v>
      </c>
      <c r="DV600" s="269">
        <f t="shared" si="1542"/>
        <v>82841778.655532703</v>
      </c>
      <c r="DW600" s="140">
        <f>'Detailed Budget'!$AC$194</f>
        <v>2684962805.4134097</v>
      </c>
      <c r="DX600" s="269">
        <f t="shared" si="1543"/>
        <v>2870068.8840170437</v>
      </c>
      <c r="DY600" s="607">
        <f t="shared" si="1512"/>
        <v>85711847.539549753</v>
      </c>
      <c r="DZ600" s="196">
        <f>'Detailed Budget'!$AC$198</f>
        <v>18732540018.380611</v>
      </c>
      <c r="EA600" s="269">
        <f t="shared" si="1544"/>
        <v>15296160.854110336</v>
      </c>
      <c r="EB600" s="196">
        <f>'Detailed Budget'!$AC$200</f>
        <v>4683135004.5951529</v>
      </c>
      <c r="EC600" s="269">
        <f t="shared" si="1545"/>
        <v>3824040.213527584</v>
      </c>
      <c r="ED600" s="269">
        <f t="shared" si="1513"/>
        <v>19120201.06763792</v>
      </c>
      <c r="EE600" s="196">
        <f>'Detailed Budget'!$AC$161</f>
        <v>251147290106.36197</v>
      </c>
      <c r="EF600" s="269">
        <f t="shared" si="1546"/>
        <v>268461827.92036343</v>
      </c>
      <c r="EG600" s="196">
        <f>'Detailed Budget'!$AC$163</f>
        <v>15696705631.647623</v>
      </c>
      <c r="EH600" s="269">
        <f t="shared" si="1547"/>
        <v>16778864.245022714</v>
      </c>
      <c r="EI600" s="269">
        <f t="shared" si="1514"/>
        <v>285240692.16538614</v>
      </c>
      <c r="EJ600" s="196">
        <f>'Detailed Budget'!$AC$204</f>
        <v>45012172507.531975</v>
      </c>
      <c r="EK600" s="269">
        <f t="shared" si="1548"/>
        <v>56275099.917671576</v>
      </c>
      <c r="EL600" s="201">
        <f>'Detailed Budget'!$AC$206</f>
        <v>11253043126.882994</v>
      </c>
      <c r="EM600" s="269">
        <f t="shared" si="1549"/>
        <v>14068774.979417894</v>
      </c>
      <c r="EN600" s="269">
        <f t="shared" si="1515"/>
        <v>70343874.897089466</v>
      </c>
      <c r="EO600" s="140">
        <f>'Detailed Budget'!$AC$209</f>
        <v>135789361677.54817</v>
      </c>
      <c r="EP600" s="269">
        <f t="shared" si="1550"/>
        <v>120134897.03934544</v>
      </c>
      <c r="EQ600" s="196">
        <f>'Detailed Budget'!$AC$211</f>
        <v>33947340419.387043</v>
      </c>
      <c r="ER600" s="269">
        <f t="shared" si="1551"/>
        <v>30033724.259836361</v>
      </c>
      <c r="ES600" s="269">
        <f t="shared" si="1516"/>
        <v>150168621.29918182</v>
      </c>
      <c r="ET600" s="196">
        <f>'Detailed Budget'!$AC$214</f>
        <v>22239745544.201103</v>
      </c>
      <c r="EU600" s="269">
        <f t="shared" si="1552"/>
        <v>19108649.106423113</v>
      </c>
      <c r="EV600" s="140">
        <f>'Detailed Budget'!$AC$217</f>
        <v>5559936386.0502758</v>
      </c>
      <c r="EW600" s="269">
        <f t="shared" si="1553"/>
        <v>4777162.2766057784</v>
      </c>
      <c r="EX600" s="269">
        <f t="shared" si="1517"/>
        <v>23885811.383028891</v>
      </c>
      <c r="EY600" s="196">
        <f>'Detailed Budget'!$AC$219</f>
        <v>372777004.58170313</v>
      </c>
      <c r="EZ600" s="269">
        <f t="shared" si="1554"/>
        <v>335299.96870298503</v>
      </c>
      <c r="FA600" s="196">
        <f>'Detailed Budget'!$AC$222</f>
        <v>93194251.145425782</v>
      </c>
      <c r="FB600" s="269">
        <f t="shared" si="1555"/>
        <v>83824.992175746258</v>
      </c>
      <c r="FC600" s="269">
        <f t="shared" si="1518"/>
        <v>419124.96087873128</v>
      </c>
      <c r="FD600" s="269"/>
      <c r="FE600" s="269">
        <f t="shared" si="1519"/>
        <v>244817432.54017892</v>
      </c>
      <c r="FF600" s="140">
        <f>'Detailed Budget'!$AC$165</f>
        <v>14927760000</v>
      </c>
      <c r="FG600" s="1087">
        <f t="shared" si="1585"/>
        <v>333947183.39405018</v>
      </c>
      <c r="FH600" s="269">
        <f t="shared" si="1556"/>
        <v>16961436.200431772</v>
      </c>
      <c r="FJ600" s="140">
        <f>'Detailed Budget'!$AC$235</f>
        <v>3623696172</v>
      </c>
      <c r="FK600" s="269">
        <f t="shared" si="1557"/>
        <v>4681778</v>
      </c>
      <c r="FL600" s="269">
        <f t="shared" si="1586"/>
        <v>4681778</v>
      </c>
      <c r="FO600" s="607"/>
      <c r="FP600" s="607"/>
      <c r="FQ600" s="607"/>
      <c r="FR600" s="269">
        <f>'Detailed Budget'!$AC$257</f>
        <v>13636439388</v>
      </c>
      <c r="FS600" s="269">
        <f t="shared" si="1558"/>
        <v>10493028</v>
      </c>
      <c r="FT600" s="269">
        <f t="shared" si="1587"/>
        <v>10493028</v>
      </c>
      <c r="FU600" s="269"/>
      <c r="FV600" s="269"/>
      <c r="FW600" s="269"/>
      <c r="FX600" s="140">
        <f>'Detailed Budget'!$AC$278</f>
        <v>1114560000</v>
      </c>
      <c r="FY600" s="269">
        <f t="shared" si="1559"/>
        <v>1440000</v>
      </c>
      <c r="FZ600" s="269">
        <f t="shared" si="1588"/>
        <v>1440000</v>
      </c>
      <c r="GB600" s="269">
        <f t="shared" si="1596"/>
        <v>1978876303.0619543</v>
      </c>
      <c r="GC600" s="887">
        <f t="shared" si="1520"/>
        <v>1236797.6894137214</v>
      </c>
      <c r="GD600" s="1078">
        <f t="shared" si="1597"/>
        <v>1.1104098066877103E-3</v>
      </c>
    </row>
    <row r="601" spans="1:186" hidden="1" outlineLevel="1">
      <c r="A601" s="211" t="s">
        <v>1311</v>
      </c>
      <c r="B601" s="212" t="s">
        <v>1312</v>
      </c>
      <c r="C601" s="213" t="s">
        <v>215</v>
      </c>
      <c r="D601" s="214"/>
      <c r="E601" s="213"/>
      <c r="F601" s="213"/>
      <c r="G601" s="213" t="s">
        <v>215</v>
      </c>
      <c r="H601" s="213" t="s">
        <v>215</v>
      </c>
      <c r="I601" s="214" t="s">
        <v>215</v>
      </c>
      <c r="J601" s="214"/>
      <c r="K601" s="213"/>
      <c r="L601" s="213"/>
      <c r="M601" s="214" t="s">
        <v>215</v>
      </c>
      <c r="N601" s="213"/>
      <c r="O601" s="214"/>
      <c r="P601" s="213"/>
      <c r="Q601" s="214"/>
      <c r="R601" s="214" t="s">
        <v>215</v>
      </c>
      <c r="S601" s="214"/>
      <c r="T601" s="214"/>
      <c r="U601" s="215">
        <f t="shared" si="1564"/>
        <v>6</v>
      </c>
      <c r="V601" s="845" t="s">
        <v>216</v>
      </c>
      <c r="W601" s="216">
        <v>102753</v>
      </c>
      <c r="X601" s="217">
        <v>3.36</v>
      </c>
      <c r="Y601" s="218">
        <f t="shared" si="1477"/>
        <v>1.0336000000000001</v>
      </c>
      <c r="Z601" s="196">
        <v>19</v>
      </c>
      <c r="AA601" s="218">
        <f t="shared" si="1478"/>
        <v>1.873689022502546</v>
      </c>
      <c r="AB601" s="196">
        <f t="shared" si="1561"/>
        <v>192527.1681292041</v>
      </c>
      <c r="AC601">
        <v>12.2</v>
      </c>
      <c r="AD601" s="196">
        <f t="shared" si="1562"/>
        <v>23488.314511762899</v>
      </c>
      <c r="AE601" s="196">
        <f t="shared" si="1479"/>
        <v>22313.898786174752</v>
      </c>
      <c r="AF601" s="196">
        <f t="shared" si="1565"/>
        <v>0</v>
      </c>
      <c r="AG601" s="606">
        <f t="shared" si="1523"/>
        <v>1.0316967200215473E-3</v>
      </c>
      <c r="AH601" s="196">
        <f t="shared" si="1582"/>
        <v>9626.3584064602055</v>
      </c>
      <c r="AI601" s="248">
        <f t="shared" si="1503"/>
        <v>7.4573940039084443E-4</v>
      </c>
      <c r="AJ601" s="196">
        <f t="shared" si="1504"/>
        <v>33114.672918223107</v>
      </c>
      <c r="AK601" s="196">
        <f t="shared" si="1532"/>
        <v>7701.0867251681639</v>
      </c>
      <c r="AL601" s="196">
        <f t="shared" si="1533"/>
        <v>7701.0867251681639</v>
      </c>
      <c r="AM601" s="196">
        <f t="shared" si="1505"/>
        <v>15402.173450336328</v>
      </c>
      <c r="AN601" s="627">
        <f t="shared" si="1506"/>
        <v>7.4573940039084432E-4</v>
      </c>
      <c r="AO601" s="196">
        <f t="shared" si="1507"/>
        <v>7316.0323889097554</v>
      </c>
      <c r="AP601" s="589">
        <f t="shared" si="1524"/>
        <v>7.4573940039084432E-4</v>
      </c>
      <c r="AQ601" s="196"/>
      <c r="AR601" s="589"/>
      <c r="AS601">
        <v>1</v>
      </c>
      <c r="AT601" s="589">
        <f t="shared" si="1525"/>
        <v>1.2919896640826874E-3</v>
      </c>
      <c r="AU601" s="196">
        <v>10</v>
      </c>
      <c r="AV601" s="245">
        <f t="shared" si="1536"/>
        <v>1.1362345188046814E-3</v>
      </c>
      <c r="AX601" s="245"/>
      <c r="AY601" s="245"/>
      <c r="AZ601" s="196">
        <v>13</v>
      </c>
      <c r="BA601" s="589">
        <f t="shared" si="1590"/>
        <v>4.7634751383239895E-4</v>
      </c>
      <c r="BI601" s="196">
        <v>1</v>
      </c>
      <c r="BJ601" s="196">
        <f t="shared" si="1566"/>
        <v>106959.55247904397</v>
      </c>
      <c r="BK601" s="246">
        <f t="shared" si="1591"/>
        <v>2.0396541329950821E-3</v>
      </c>
      <c r="BL601" s="196">
        <f t="shared" si="1583"/>
        <v>2139.1910495808793</v>
      </c>
      <c r="BM601" s="246">
        <f t="shared" si="1592"/>
        <v>2.0396538996252669E-3</v>
      </c>
      <c r="BN601" s="196">
        <v>0</v>
      </c>
      <c r="BO601" s="196">
        <f t="shared" si="1567"/>
        <v>8685.6984278306318</v>
      </c>
      <c r="BP601" s="196">
        <f t="shared" si="1508"/>
        <v>0</v>
      </c>
      <c r="BQ601" s="248">
        <f t="shared" si="1593"/>
        <v>0</v>
      </c>
      <c r="BR601" s="248"/>
      <c r="BS601" s="248"/>
      <c r="BT601" s="276">
        <v>0</v>
      </c>
      <c r="BU601" s="196">
        <f t="shared" si="1568"/>
        <v>0</v>
      </c>
      <c r="BV601" s="264">
        <f t="shared" si="1594"/>
        <v>0</v>
      </c>
      <c r="BW601" s="196">
        <f t="shared" si="1569"/>
        <v>0</v>
      </c>
      <c r="BX601" s="247">
        <f t="shared" si="1595"/>
        <v>0</v>
      </c>
      <c r="BY601" s="196">
        <f t="shared" si="1570"/>
        <v>0</v>
      </c>
      <c r="BZ601" s="620">
        <v>1</v>
      </c>
      <c r="CA601" s="196">
        <f t="shared" si="1571"/>
        <v>58913.31344753645</v>
      </c>
      <c r="CB601" s="196">
        <f t="shared" si="1572"/>
        <v>117826.6268950729</v>
      </c>
      <c r="CC601" s="196">
        <f t="shared" si="1521"/>
        <v>176739.94034260936</v>
      </c>
      <c r="CD601" s="247">
        <f t="shared" si="1509"/>
        <v>7.4573940039084443E-4</v>
      </c>
      <c r="CE601" s="196">
        <f t="shared" si="1573"/>
        <v>13191.825555333187</v>
      </c>
      <c r="CF601" s="247">
        <f t="shared" si="1510"/>
        <v>5.6966405334000136E-4</v>
      </c>
      <c r="CG601" s="196">
        <f t="shared" si="1538"/>
        <v>29264.129555639021</v>
      </c>
      <c r="CH601" s="589">
        <f t="shared" si="1526"/>
        <v>7.4573940039084432E-4</v>
      </c>
      <c r="CI601" s="196">
        <f t="shared" si="1574"/>
        <v>53053.934485493926</v>
      </c>
      <c r="CJ601" s="248">
        <f t="shared" si="1527"/>
        <v>8.7220654827282909E-4</v>
      </c>
      <c r="CK601" s="196">
        <f t="shared" si="1575"/>
        <v>42936.081719597525</v>
      </c>
      <c r="CL601" s="589">
        <f t="shared" si="1528"/>
        <v>6.1721500629443574E-4</v>
      </c>
      <c r="CM601" s="196">
        <f t="shared" si="1576"/>
        <v>4159.4411456725102</v>
      </c>
      <c r="CN601" s="589">
        <f t="shared" si="1529"/>
        <v>5.9942273968854507E-4</v>
      </c>
      <c r="CO601" s="196">
        <f t="shared" si="1577"/>
        <v>332.74475842308146</v>
      </c>
      <c r="CP601" s="589">
        <f t="shared" si="1530"/>
        <v>6.2750536225796385E-4</v>
      </c>
      <c r="CQ601" s="196">
        <f>'Detailed Budget'!$AC$12</f>
        <v>292876014141.44696</v>
      </c>
      <c r="CR601" s="269">
        <f t="shared" si="1534"/>
        <v>597365772.69872844</v>
      </c>
      <c r="CS601" s="269">
        <f>'Detailed Budget'!$AC$16</f>
        <v>10488008800.000002</v>
      </c>
      <c r="CT601" s="607">
        <f t="shared" si="1539"/>
        <v>21391908.048224118</v>
      </c>
      <c r="CU601" s="269">
        <f>'Detailed Budget'!$AC$24</f>
        <v>30624985696</v>
      </c>
      <c r="CV601" s="269">
        <f t="shared" si="1589"/>
        <v>62464378.647761673</v>
      </c>
      <c r="CW601" s="269"/>
      <c r="CX601" s="269">
        <f t="shared" si="1522"/>
        <v>681222059.39471424</v>
      </c>
      <c r="CY601" s="196">
        <f>'Detailed Budget'!$AC$97</f>
        <v>74629165494.837845</v>
      </c>
      <c r="CZ601" s="269">
        <f t="shared" si="1540"/>
        <v>0</v>
      </c>
      <c r="DA601" s="269">
        <f>'Detailed Budget'!$AC$100</f>
        <v>14925833098.967569</v>
      </c>
      <c r="DB601" s="269">
        <f t="shared" si="1541"/>
        <v>0</v>
      </c>
      <c r="DC601" s="269">
        <f t="shared" si="1511"/>
        <v>0</v>
      </c>
      <c r="DD601" s="207">
        <v>0</v>
      </c>
      <c r="DE601" s="606">
        <v>0</v>
      </c>
      <c r="DF601" s="269">
        <f>'Detailed Budget'!$AC$147</f>
        <v>5913600671000</v>
      </c>
      <c r="DG601" s="269">
        <f t="shared" si="1584"/>
        <v>0</v>
      </c>
      <c r="DH601" s="269">
        <f>'Detailed Budget'!$AC$153</f>
        <v>226428026880.00003</v>
      </c>
      <c r="DI601" s="269"/>
      <c r="DJ601" s="269">
        <f>'Detailed Budget'!$AC$156</f>
        <v>27713070000</v>
      </c>
      <c r="DK601" s="269"/>
      <c r="DL601" s="269"/>
      <c r="DM601" s="196">
        <f>'Detailed Budget'!$AC$178</f>
        <v>5622683761.6229038</v>
      </c>
      <c r="DN601" s="269">
        <f t="shared" si="1578"/>
        <v>0</v>
      </c>
      <c r="DO601" s="196">
        <f>'Detailed Budget'!$AC$179</f>
        <v>26827890683.128094</v>
      </c>
      <c r="DP601" s="269">
        <f t="shared" si="1579"/>
        <v>0</v>
      </c>
      <c r="DQ601" s="269">
        <f t="shared" si="1531"/>
        <v>0</v>
      </c>
      <c r="DR601" s="269">
        <f>'Detailed Budget'!$AC$181</f>
        <v>50888946855.375237</v>
      </c>
      <c r="DS601" s="269">
        <f t="shared" si="1580"/>
        <v>0</v>
      </c>
      <c r="DT601" s="269">
        <f t="shared" si="1581"/>
        <v>0</v>
      </c>
      <c r="DU601" s="272">
        <f>'Detailed Budget'!$AC$192</f>
        <v>77498869683.252869</v>
      </c>
      <c r="DV601" s="269">
        <f t="shared" si="1542"/>
        <v>57793960.608557187</v>
      </c>
      <c r="DW601" s="140">
        <f>'Detailed Budget'!$AC$194</f>
        <v>2684962805.4134097</v>
      </c>
      <c r="DX601" s="269">
        <f t="shared" si="1543"/>
        <v>2002282.5525807154</v>
      </c>
      <c r="DY601" s="607">
        <f t="shared" si="1512"/>
        <v>59796243.161137901</v>
      </c>
      <c r="DZ601" s="196">
        <f>'Detailed Budget'!$AC$198</f>
        <v>18732540018.380611</v>
      </c>
      <c r="EA601" s="269">
        <f t="shared" si="1544"/>
        <v>10671254.676224483</v>
      </c>
      <c r="EB601" s="196">
        <f>'Detailed Budget'!$AC$200</f>
        <v>4683135004.5951529</v>
      </c>
      <c r="EC601" s="269">
        <f t="shared" si="1545"/>
        <v>2667813.6690561208</v>
      </c>
      <c r="ED601" s="269">
        <f t="shared" si="1513"/>
        <v>13339068.345280604</v>
      </c>
      <c r="EE601" s="196">
        <f>'Detailed Budget'!$AC$161</f>
        <v>251147290106.36197</v>
      </c>
      <c r="EF601" s="269">
        <f t="shared" si="1546"/>
        <v>187290429.5337038</v>
      </c>
      <c r="EG601" s="196">
        <f>'Detailed Budget'!$AC$163</f>
        <v>15696705631.647623</v>
      </c>
      <c r="EH601" s="269">
        <f t="shared" si="1547"/>
        <v>11705651.845856488</v>
      </c>
      <c r="EI601" s="269">
        <f t="shared" si="1514"/>
        <v>198996081.37956029</v>
      </c>
      <c r="EJ601" s="196">
        <f>'Detailed Budget'!$AC$204</f>
        <v>45012172507.531975</v>
      </c>
      <c r="EK601" s="269">
        <f t="shared" si="1548"/>
        <v>39259911.613055594</v>
      </c>
      <c r="EL601" s="201">
        <f>'Detailed Budget'!$AC$206</f>
        <v>11253043126.882994</v>
      </c>
      <c r="EM601" s="269">
        <f t="shared" si="1549"/>
        <v>9814977.9032638986</v>
      </c>
      <c r="EN601" s="269">
        <f t="shared" si="1515"/>
        <v>49074889.516319491</v>
      </c>
      <c r="EO601" s="140">
        <f>'Detailed Budget'!$AC$209</f>
        <v>135789361677.54817</v>
      </c>
      <c r="EP601" s="269">
        <f t="shared" si="1550"/>
        <v>83811231.722525299</v>
      </c>
      <c r="EQ601" s="196">
        <f>'Detailed Budget'!$AC$211</f>
        <v>33947340419.387043</v>
      </c>
      <c r="ER601" s="269">
        <f t="shared" si="1551"/>
        <v>20952807.930631325</v>
      </c>
      <c r="ES601" s="269">
        <f t="shared" si="1516"/>
        <v>104764039.65315662</v>
      </c>
      <c r="ET601" s="196">
        <f>'Detailed Budget'!$AC$214</f>
        <v>22239745544.201103</v>
      </c>
      <c r="EU601" s="269">
        <f t="shared" si="1552"/>
        <v>13331009.204081139</v>
      </c>
      <c r="EV601" s="140">
        <f>'Detailed Budget'!$AC$217</f>
        <v>5559936386.0502758</v>
      </c>
      <c r="EW601" s="269">
        <f t="shared" si="1553"/>
        <v>3332752.3010202846</v>
      </c>
      <c r="EX601" s="269">
        <f t="shared" si="1517"/>
        <v>16663761.505101424</v>
      </c>
      <c r="EY601" s="196">
        <f>'Detailed Budget'!$AC$219</f>
        <v>372777004.58170313</v>
      </c>
      <c r="EZ601" s="269">
        <f t="shared" si="1554"/>
        <v>233919.56930148028</v>
      </c>
      <c r="FA601" s="196">
        <f>'Detailed Budget'!$AC$222</f>
        <v>93194251.145425782</v>
      </c>
      <c r="FB601" s="269">
        <f t="shared" si="1555"/>
        <v>58479.89232537007</v>
      </c>
      <c r="FC601" s="269">
        <f t="shared" si="1518"/>
        <v>292399.46162685036</v>
      </c>
      <c r="FD601" s="269"/>
      <c r="FE601" s="269">
        <f t="shared" si="1519"/>
        <v>170795090.13620439</v>
      </c>
      <c r="FF601" s="140">
        <f>'Detailed Budget'!$AC$165</f>
        <v>14927760000</v>
      </c>
      <c r="FG601" s="1087">
        <f t="shared" si="1585"/>
        <v>232975808.53094548</v>
      </c>
      <c r="FH601" s="269">
        <f t="shared" si="1556"/>
        <v>16961436.200431772</v>
      </c>
      <c r="FJ601" s="140">
        <f>'Detailed Budget'!$AC$235</f>
        <v>3623696172</v>
      </c>
      <c r="FK601" s="269">
        <f t="shared" si="1557"/>
        <v>4681778</v>
      </c>
      <c r="FL601" s="269">
        <f t="shared" si="1586"/>
        <v>4681778</v>
      </c>
      <c r="FO601" s="607"/>
      <c r="FP601" s="607"/>
      <c r="FQ601" s="607"/>
      <c r="FR601" s="269">
        <f>'Detailed Budget'!$AC$257</f>
        <v>13636439388</v>
      </c>
      <c r="FS601" s="269">
        <f t="shared" si="1558"/>
        <v>6495684</v>
      </c>
      <c r="FT601" s="269">
        <f t="shared" si="1587"/>
        <v>6495684</v>
      </c>
      <c r="FU601" s="269"/>
      <c r="FV601" s="269"/>
      <c r="FW601" s="269"/>
      <c r="FX601" s="140">
        <f>'Detailed Budget'!$AC$278</f>
        <v>1114560000</v>
      </c>
      <c r="FY601" s="269">
        <f t="shared" si="1559"/>
        <v>1440000</v>
      </c>
      <c r="FZ601" s="269">
        <f t="shared" si="1588"/>
        <v>1440000</v>
      </c>
      <c r="GB601" s="269">
        <f t="shared" si="1596"/>
        <v>1386703249.1482749</v>
      </c>
      <c r="GC601" s="887">
        <f t="shared" si="1520"/>
        <v>866689.53071767185</v>
      </c>
      <c r="GD601" s="1078">
        <f t="shared" si="1597"/>
        <v>7.781228591384814E-4</v>
      </c>
    </row>
    <row r="602" spans="1:186" hidden="1" outlineLevel="1">
      <c r="A602" s="211" t="s">
        <v>1313</v>
      </c>
      <c r="B602" s="212" t="s">
        <v>1314</v>
      </c>
      <c r="C602" s="213" t="s">
        <v>215</v>
      </c>
      <c r="D602" s="214"/>
      <c r="E602" s="213"/>
      <c r="F602" s="213"/>
      <c r="G602" s="213" t="s">
        <v>215</v>
      </c>
      <c r="H602" s="213" t="s">
        <v>215</v>
      </c>
      <c r="I602" s="214" t="s">
        <v>215</v>
      </c>
      <c r="J602" s="214"/>
      <c r="K602" s="213"/>
      <c r="L602" s="213"/>
      <c r="M602" s="214" t="s">
        <v>215</v>
      </c>
      <c r="N602" s="213"/>
      <c r="O602" s="214"/>
      <c r="P602" s="213"/>
      <c r="Q602" s="214"/>
      <c r="R602" s="214" t="s">
        <v>215</v>
      </c>
      <c r="S602" s="214"/>
      <c r="T602" s="214"/>
      <c r="U602" s="215">
        <f t="shared" si="1564"/>
        <v>6</v>
      </c>
      <c r="V602" s="845" t="s">
        <v>216</v>
      </c>
      <c r="W602" s="216">
        <v>123193</v>
      </c>
      <c r="X602" s="217">
        <v>3.36</v>
      </c>
      <c r="Y602" s="218">
        <f t="shared" si="1477"/>
        <v>1.0336000000000001</v>
      </c>
      <c r="Z602" s="196">
        <v>19</v>
      </c>
      <c r="AA602" s="218">
        <f t="shared" si="1478"/>
        <v>1.873689022502546</v>
      </c>
      <c r="AB602" s="196">
        <f t="shared" si="1561"/>
        <v>230825.37174915615</v>
      </c>
      <c r="AC602">
        <v>12.2</v>
      </c>
      <c r="AD602" s="196">
        <f t="shared" si="1562"/>
        <v>28160.695353397048</v>
      </c>
      <c r="AE602" s="196">
        <f t="shared" si="1479"/>
        <v>26752.660585727193</v>
      </c>
      <c r="AF602" s="196">
        <f t="shared" si="1565"/>
        <v>0</v>
      </c>
      <c r="AG602" s="606">
        <f t="shared" si="1523"/>
        <v>1.2369255791034274E-3</v>
      </c>
      <c r="AH602" s="196">
        <f t="shared" si="1582"/>
        <v>11541.268587457809</v>
      </c>
      <c r="AI602" s="248">
        <f t="shared" si="1503"/>
        <v>8.9408459074040967E-4</v>
      </c>
      <c r="AJ602" s="196">
        <f t="shared" si="1504"/>
        <v>39701.963940854854</v>
      </c>
      <c r="AK602" s="196">
        <f t="shared" si="1532"/>
        <v>9233.0148699662459</v>
      </c>
      <c r="AL602" s="196">
        <f t="shared" si="1533"/>
        <v>9233.0148699662459</v>
      </c>
      <c r="AM602" s="196">
        <f t="shared" si="1505"/>
        <v>18466.029739932492</v>
      </c>
      <c r="AN602" s="627">
        <f t="shared" si="1506"/>
        <v>8.9408459074040946E-4</v>
      </c>
      <c r="AO602" s="196">
        <f t="shared" si="1507"/>
        <v>8771.3641264679336</v>
      </c>
      <c r="AP602" s="589">
        <f t="shared" si="1524"/>
        <v>8.9408459074040946E-4</v>
      </c>
      <c r="AQ602" s="196"/>
      <c r="AR602" s="589"/>
      <c r="AS602">
        <v>1</v>
      </c>
      <c r="AT602" s="589">
        <f t="shared" si="1525"/>
        <v>1.2919896640826874E-3</v>
      </c>
      <c r="AU602" s="196">
        <v>12</v>
      </c>
      <c r="AV602" s="245">
        <f t="shared" si="1536"/>
        <v>1.3634814225656176E-3</v>
      </c>
      <c r="AX602" s="245"/>
      <c r="AY602" s="245"/>
      <c r="AZ602" s="196">
        <v>18</v>
      </c>
      <c r="BA602" s="589">
        <f t="shared" si="1590"/>
        <v>6.5955809607562931E-4</v>
      </c>
      <c r="BI602" s="196">
        <v>1</v>
      </c>
      <c r="BJ602" s="196">
        <f t="shared" si="1566"/>
        <v>128236.33517805673</v>
      </c>
      <c r="BK602" s="246">
        <f t="shared" si="1591"/>
        <v>2.4453895419701923E-3</v>
      </c>
      <c r="BL602" s="196">
        <f t="shared" si="1583"/>
        <v>2564.7267035611349</v>
      </c>
      <c r="BM602" s="246">
        <f t="shared" si="1592"/>
        <v>2.4453892621776056E-3</v>
      </c>
      <c r="BN602" s="196">
        <v>0</v>
      </c>
      <c r="BO602" s="196">
        <f t="shared" si="1567"/>
        <v>10413.489109025906</v>
      </c>
      <c r="BP602" s="196">
        <f t="shared" si="1508"/>
        <v>0</v>
      </c>
      <c r="BQ602" s="248">
        <f t="shared" si="1593"/>
        <v>0</v>
      </c>
      <c r="BR602" s="248"/>
      <c r="BS602" s="248"/>
      <c r="BT602" s="276">
        <v>0</v>
      </c>
      <c r="BU602" s="196">
        <f t="shared" si="1568"/>
        <v>0</v>
      </c>
      <c r="BV602" s="264">
        <f t="shared" si="1594"/>
        <v>0</v>
      </c>
      <c r="BW602" s="196">
        <f t="shared" si="1569"/>
        <v>0</v>
      </c>
      <c r="BX602" s="247">
        <f t="shared" si="1595"/>
        <v>0</v>
      </c>
      <c r="BY602" s="196">
        <f t="shared" si="1570"/>
        <v>0</v>
      </c>
      <c r="BZ602" s="620">
        <v>1</v>
      </c>
      <c r="CA602" s="196">
        <f t="shared" si="1571"/>
        <v>70632.563755241776</v>
      </c>
      <c r="CB602" s="196">
        <f t="shared" si="1572"/>
        <v>141265.12751048355</v>
      </c>
      <c r="CC602" s="196">
        <f t="shared" si="1521"/>
        <v>211897.69126572533</v>
      </c>
      <c r="CD602" s="247">
        <f t="shared" si="1509"/>
        <v>8.9408459074040946E-4</v>
      </c>
      <c r="CE602" s="196">
        <f t="shared" si="1573"/>
        <v>15815.991412787576</v>
      </c>
      <c r="CF602" s="247">
        <f t="shared" si="1510"/>
        <v>6.8298369607811753E-4</v>
      </c>
      <c r="CG602" s="196">
        <f t="shared" si="1538"/>
        <v>35085.456505871734</v>
      </c>
      <c r="CH602" s="589">
        <f t="shared" si="1526"/>
        <v>8.9408459074040946E-4</v>
      </c>
      <c r="CI602" s="196">
        <f t="shared" si="1574"/>
        <v>63607.615846461456</v>
      </c>
      <c r="CJ602" s="248">
        <f t="shared" si="1527"/>
        <v>1.04570904305835E-3</v>
      </c>
      <c r="CK602" s="196">
        <f t="shared" si="1575"/>
        <v>51477.083056284282</v>
      </c>
      <c r="CL602" s="589">
        <f t="shared" si="1528"/>
        <v>7.3999365731833072E-4</v>
      </c>
      <c r="CM602" s="196">
        <f t="shared" si="1576"/>
        <v>4986.8522871238174</v>
      </c>
      <c r="CN602" s="589">
        <f t="shared" si="1529"/>
        <v>7.1866208841056653E-4</v>
      </c>
      <c r="CO602" s="196">
        <f t="shared" si="1577"/>
        <v>398.93555443067044</v>
      </c>
      <c r="CP602" s="589">
        <f t="shared" si="1530"/>
        <v>7.5233100826881311E-4</v>
      </c>
      <c r="CQ602" s="196">
        <f>'Detailed Budget'!$AC$12</f>
        <v>292876014141.44696</v>
      </c>
      <c r="CR602" s="269">
        <f t="shared" si="1534"/>
        <v>716195942.07540858</v>
      </c>
      <c r="CS602" s="269">
        <f>'Detailed Budget'!$AC$16</f>
        <v>10488008800.000002</v>
      </c>
      <c r="CT602" s="607">
        <f t="shared" si="1539"/>
        <v>25647264.101144239</v>
      </c>
      <c r="CU602" s="269">
        <f>'Detailed Budget'!$AC$24</f>
        <v>30624985696</v>
      </c>
      <c r="CV602" s="269">
        <f t="shared" si="1589"/>
        <v>74890019.743985131</v>
      </c>
      <c r="CW602" s="269"/>
      <c r="CX602" s="269">
        <f t="shared" si="1522"/>
        <v>816733225.92053795</v>
      </c>
      <c r="CY602" s="196">
        <f>'Detailed Budget'!$AC$97</f>
        <v>74629165494.837845</v>
      </c>
      <c r="CZ602" s="269">
        <f t="shared" si="1540"/>
        <v>0</v>
      </c>
      <c r="DA602" s="269">
        <f>'Detailed Budget'!$AC$100</f>
        <v>14925833098.967569</v>
      </c>
      <c r="DB602" s="269">
        <f t="shared" si="1541"/>
        <v>0</v>
      </c>
      <c r="DC602" s="269">
        <f t="shared" si="1511"/>
        <v>0</v>
      </c>
      <c r="DD602" s="207">
        <v>0</v>
      </c>
      <c r="DE602" s="606">
        <v>0</v>
      </c>
      <c r="DF602" s="269">
        <f>'Detailed Budget'!$AC$147</f>
        <v>5913600671000</v>
      </c>
      <c r="DG602" s="269">
        <f t="shared" si="1584"/>
        <v>0</v>
      </c>
      <c r="DH602" s="269">
        <f>'Detailed Budget'!$AC$153</f>
        <v>226428026880.00003</v>
      </c>
      <c r="DI602" s="269"/>
      <c r="DJ602" s="269">
        <f>'Detailed Budget'!$AC$156</f>
        <v>27713070000</v>
      </c>
      <c r="DK602" s="269"/>
      <c r="DL602" s="269"/>
      <c r="DM602" s="196">
        <f>'Detailed Budget'!$AC$178</f>
        <v>5622683761.6229038</v>
      </c>
      <c r="DN602" s="269">
        <f t="shared" si="1578"/>
        <v>0</v>
      </c>
      <c r="DO602" s="196">
        <f>'Detailed Budget'!$AC$179</f>
        <v>26827890683.128094</v>
      </c>
      <c r="DP602" s="269">
        <f t="shared" si="1579"/>
        <v>0</v>
      </c>
      <c r="DQ602" s="269">
        <f t="shared" si="1531"/>
        <v>0</v>
      </c>
      <c r="DR602" s="269">
        <f>'Detailed Budget'!$AC$181</f>
        <v>50888946855.375237</v>
      </c>
      <c r="DS602" s="269">
        <f t="shared" si="1580"/>
        <v>0</v>
      </c>
      <c r="DT602" s="269">
        <f t="shared" si="1581"/>
        <v>0</v>
      </c>
      <c r="DU602" s="272">
        <f>'Detailed Budget'!$AC$192</f>
        <v>77498869683.252869</v>
      </c>
      <c r="DV602" s="269">
        <f t="shared" si="1542"/>
        <v>69290545.183595464</v>
      </c>
      <c r="DW602" s="140">
        <f>'Detailed Budget'!$AC$194</f>
        <v>2684962805.4134097</v>
      </c>
      <c r="DX602" s="269">
        <f t="shared" si="1543"/>
        <v>2400583.8710312699</v>
      </c>
      <c r="DY602" s="607">
        <f t="shared" si="1512"/>
        <v>71691129.054626733</v>
      </c>
      <c r="DZ602" s="196">
        <f>'Detailed Budget'!$AC$198</f>
        <v>18732540018.380611</v>
      </c>
      <c r="EA602" s="269">
        <f t="shared" si="1544"/>
        <v>12794019.418684838</v>
      </c>
      <c r="EB602" s="196">
        <f>'Detailed Budget'!$AC$200</f>
        <v>4683135004.5951529</v>
      </c>
      <c r="EC602" s="269">
        <f t="shared" si="1545"/>
        <v>3198504.8546712096</v>
      </c>
      <c r="ED602" s="269">
        <f t="shared" si="1513"/>
        <v>15992524.273356048</v>
      </c>
      <c r="EE602" s="196">
        <f>'Detailed Budget'!$AC$161</f>
        <v>251147290106.36197</v>
      </c>
      <c r="EF602" s="269">
        <f t="shared" si="1546"/>
        <v>224546922.09030953</v>
      </c>
      <c r="EG602" s="196">
        <f>'Detailed Budget'!$AC$163</f>
        <v>15696705631.647623</v>
      </c>
      <c r="EH602" s="269">
        <f t="shared" si="1547"/>
        <v>14034182.630644346</v>
      </c>
      <c r="EI602" s="269">
        <f t="shared" si="1514"/>
        <v>238581104.72095388</v>
      </c>
      <c r="EJ602" s="196">
        <f>'Detailed Budget'!$AC$204</f>
        <v>45012172507.531975</v>
      </c>
      <c r="EK602" s="269">
        <f t="shared" si="1548"/>
        <v>47069635.838828631</v>
      </c>
      <c r="EL602" s="201">
        <f>'Detailed Budget'!$AC$206</f>
        <v>11253043126.882994</v>
      </c>
      <c r="EM602" s="269">
        <f t="shared" si="1549"/>
        <v>11767408.959707158</v>
      </c>
      <c r="EN602" s="269">
        <f t="shared" si="1515"/>
        <v>58837044.798535787</v>
      </c>
      <c r="EO602" s="140">
        <f>'Detailed Budget'!$AC$209</f>
        <v>135789361677.54817</v>
      </c>
      <c r="EP602" s="269">
        <f t="shared" si="1550"/>
        <v>100483266.37269045</v>
      </c>
      <c r="EQ602" s="196">
        <f>'Detailed Budget'!$AC$211</f>
        <v>33947340419.387043</v>
      </c>
      <c r="ER602" s="269">
        <f t="shared" si="1551"/>
        <v>25120816.593172614</v>
      </c>
      <c r="ES602" s="269">
        <f t="shared" si="1516"/>
        <v>125604082.96586306</v>
      </c>
      <c r="ET602" s="196">
        <f>'Detailed Budget'!$AC$214</f>
        <v>22239745544.201103</v>
      </c>
      <c r="EU602" s="269">
        <f t="shared" si="1552"/>
        <v>15982861.978515156</v>
      </c>
      <c r="EV602" s="140">
        <f>'Detailed Budget'!$AC$217</f>
        <v>5559936386.0502758</v>
      </c>
      <c r="EW602" s="269">
        <f t="shared" si="1553"/>
        <v>3995715.4946287889</v>
      </c>
      <c r="EX602" s="269">
        <f t="shared" si="1517"/>
        <v>19978577.473143943</v>
      </c>
      <c r="EY602" s="196">
        <f>'Detailed Budget'!$AC$219</f>
        <v>372777004.58170313</v>
      </c>
      <c r="EZ602" s="269">
        <f t="shared" si="1554"/>
        <v>280451.69971638068</v>
      </c>
      <c r="FA602" s="196">
        <f>'Detailed Budget'!$AC$222</f>
        <v>93194251.145425782</v>
      </c>
      <c r="FB602" s="269">
        <f t="shared" si="1555"/>
        <v>70112.92492909517</v>
      </c>
      <c r="FC602" s="269">
        <f t="shared" si="1518"/>
        <v>350564.62464547588</v>
      </c>
      <c r="FD602" s="269"/>
      <c r="FE602" s="269">
        <f t="shared" si="1519"/>
        <v>204770269.86218825</v>
      </c>
      <c r="FF602" s="140">
        <f>'Detailed Budget'!$AC$165</f>
        <v>14927760000</v>
      </c>
      <c r="FG602" s="1087">
        <f t="shared" si="1585"/>
        <v>279320202.62525439</v>
      </c>
      <c r="FH602" s="269">
        <f t="shared" si="1556"/>
        <v>20353723.440518126</v>
      </c>
      <c r="FJ602" s="140">
        <f>'Detailed Budget'!$AC$235</f>
        <v>3623696172</v>
      </c>
      <c r="FK602" s="269">
        <f t="shared" si="1557"/>
        <v>4681778</v>
      </c>
      <c r="FL602" s="269">
        <f t="shared" si="1586"/>
        <v>4681778</v>
      </c>
      <c r="FO602" s="607"/>
      <c r="FP602" s="607"/>
      <c r="FQ602" s="607"/>
      <c r="FR602" s="269">
        <f>'Detailed Budget'!$AC$257</f>
        <v>13636439388</v>
      </c>
      <c r="FS602" s="269">
        <f t="shared" si="1558"/>
        <v>8994024</v>
      </c>
      <c r="FT602" s="269">
        <f t="shared" si="1587"/>
        <v>8994024</v>
      </c>
      <c r="FU602" s="269"/>
      <c r="FV602" s="269"/>
      <c r="FW602" s="269"/>
      <c r="FX602" s="140">
        <f>'Detailed Budget'!$AC$278</f>
        <v>1114560000</v>
      </c>
      <c r="FY602" s="269">
        <f t="shared" si="1559"/>
        <v>1440000</v>
      </c>
      <c r="FZ602" s="269">
        <f t="shared" si="1588"/>
        <v>1440000</v>
      </c>
      <c r="GB602" s="269">
        <f t="shared" si="1596"/>
        <v>1662557981.8974354</v>
      </c>
      <c r="GC602" s="887">
        <f t="shared" si="1520"/>
        <v>1039098.7386858971</v>
      </c>
      <c r="GD602" s="1078">
        <f t="shared" si="1597"/>
        <v>9.3291363610211624E-4</v>
      </c>
    </row>
    <row r="603" spans="1:186" hidden="1" outlineLevel="1">
      <c r="A603" s="211" t="s">
        <v>1315</v>
      </c>
      <c r="B603" s="212" t="s">
        <v>1316</v>
      </c>
      <c r="C603" s="213" t="s">
        <v>215</v>
      </c>
      <c r="D603" s="214"/>
      <c r="E603" s="213"/>
      <c r="F603" s="213"/>
      <c r="G603" s="213" t="s">
        <v>215</v>
      </c>
      <c r="H603" s="213" t="s">
        <v>215</v>
      </c>
      <c r="I603" s="214" t="s">
        <v>215</v>
      </c>
      <c r="J603" s="214"/>
      <c r="K603" s="213"/>
      <c r="L603" s="213"/>
      <c r="M603" s="214" t="s">
        <v>215</v>
      </c>
      <c r="N603" s="213"/>
      <c r="O603" s="214"/>
      <c r="P603" s="213"/>
      <c r="Q603" s="214"/>
      <c r="R603" s="214" t="s">
        <v>215</v>
      </c>
      <c r="S603" s="214"/>
      <c r="T603" s="214"/>
      <c r="U603" s="215">
        <f t="shared" si="1564"/>
        <v>6</v>
      </c>
      <c r="V603" s="845" t="s">
        <v>216</v>
      </c>
      <c r="W603" s="216">
        <v>87209</v>
      </c>
      <c r="X603" s="217">
        <v>3.36</v>
      </c>
      <c r="Y603" s="218">
        <f t="shared" si="1477"/>
        <v>1.0336000000000001</v>
      </c>
      <c r="Z603" s="196">
        <v>19</v>
      </c>
      <c r="AA603" s="218">
        <f t="shared" si="1478"/>
        <v>1.873689022502546</v>
      </c>
      <c r="AB603" s="196">
        <f t="shared" si="1561"/>
        <v>163402.54596342452</v>
      </c>
      <c r="AC603">
        <v>12.2</v>
      </c>
      <c r="AD603" s="196">
        <f t="shared" si="1562"/>
        <v>19935.11060753779</v>
      </c>
      <c r="AE603" s="196">
        <f t="shared" si="1479"/>
        <v>18938.355077160901</v>
      </c>
      <c r="AF603" s="196">
        <f t="shared" si="1565"/>
        <v>0</v>
      </c>
      <c r="AG603" s="606">
        <f t="shared" si="1523"/>
        <v>8.7562639783129558E-4</v>
      </c>
      <c r="AH603" s="196">
        <f t="shared" si="1582"/>
        <v>8170.1272981712264</v>
      </c>
      <c r="AI603" s="248">
        <f t="shared" si="1503"/>
        <v>6.3292738283733955E-4</v>
      </c>
      <c r="AJ603" s="196">
        <f t="shared" si="1504"/>
        <v>28105.237905709015</v>
      </c>
      <c r="AK603" s="196">
        <f t="shared" si="1532"/>
        <v>6536.1018385369807</v>
      </c>
      <c r="AL603" s="196">
        <f t="shared" si="1533"/>
        <v>6536.1018385369807</v>
      </c>
      <c r="AM603" s="196">
        <f t="shared" si="1505"/>
        <v>13072.203677073961</v>
      </c>
      <c r="AN603" s="627">
        <f t="shared" si="1506"/>
        <v>6.3292738283733945E-4</v>
      </c>
      <c r="AO603" s="196">
        <f t="shared" si="1507"/>
        <v>6209.2967466101318</v>
      </c>
      <c r="AP603" s="589">
        <f t="shared" si="1524"/>
        <v>6.3292738283733955E-4</v>
      </c>
      <c r="AQ603" s="196"/>
      <c r="AR603" s="589"/>
      <c r="AS603">
        <v>1</v>
      </c>
      <c r="AT603" s="589">
        <f t="shared" si="1525"/>
        <v>1.2919896640826874E-3</v>
      </c>
      <c r="AU603" s="196">
        <v>10</v>
      </c>
      <c r="AV603" s="245">
        <f t="shared" si="1536"/>
        <v>1.1362345188046814E-3</v>
      </c>
      <c r="AX603" s="245"/>
      <c r="AY603" s="245"/>
      <c r="AZ603" s="196">
        <v>11</v>
      </c>
      <c r="BA603" s="589">
        <f t="shared" si="1590"/>
        <v>4.0306328093510683E-4</v>
      </c>
      <c r="BI603" s="196">
        <v>1</v>
      </c>
      <c r="BJ603" s="196">
        <f t="shared" si="1566"/>
        <v>90779.204618307442</v>
      </c>
      <c r="BK603" s="246">
        <f t="shared" si="1591"/>
        <v>1.7311046615122489E-3</v>
      </c>
      <c r="BL603" s="196">
        <f t="shared" si="1583"/>
        <v>1815.5840923661488</v>
      </c>
      <c r="BM603" s="246">
        <f t="shared" si="1592"/>
        <v>1.7311044634455428E-3</v>
      </c>
      <c r="BN603" s="196">
        <v>0</v>
      </c>
      <c r="BO603" s="196">
        <f t="shared" si="1567"/>
        <v>7371.7660233052211</v>
      </c>
      <c r="BP603" s="196">
        <f t="shared" si="1508"/>
        <v>0</v>
      </c>
      <c r="BQ603" s="248">
        <f t="shared" si="1593"/>
        <v>0</v>
      </c>
      <c r="BR603" s="248"/>
      <c r="BS603" s="248"/>
      <c r="BT603" s="276">
        <v>0</v>
      </c>
      <c r="BU603" s="196">
        <f t="shared" si="1568"/>
        <v>0</v>
      </c>
      <c r="BV603" s="264">
        <f t="shared" si="1594"/>
        <v>0</v>
      </c>
      <c r="BW603" s="196">
        <f t="shared" si="1569"/>
        <v>0</v>
      </c>
      <c r="BX603" s="247">
        <f t="shared" si="1595"/>
        <v>0</v>
      </c>
      <c r="BY603" s="196">
        <f t="shared" si="1570"/>
        <v>0</v>
      </c>
      <c r="BZ603" s="620">
        <v>1</v>
      </c>
      <c r="CA603" s="196">
        <f t="shared" si="1571"/>
        <v>50001.179064807904</v>
      </c>
      <c r="CB603" s="196">
        <f t="shared" si="1572"/>
        <v>100002.35812961581</v>
      </c>
      <c r="CC603" s="196">
        <f t="shared" si="1521"/>
        <v>150003.53719442373</v>
      </c>
      <c r="CD603" s="247">
        <f t="shared" si="1509"/>
        <v>6.3292738283733955E-4</v>
      </c>
      <c r="CE603" s="196">
        <f t="shared" si="1573"/>
        <v>11196.22701872502</v>
      </c>
      <c r="CF603" s="247">
        <f t="shared" si="1510"/>
        <v>4.8348790232624042E-4</v>
      </c>
      <c r="CG603" s="196">
        <f t="shared" si="1538"/>
        <v>24837.186986440527</v>
      </c>
      <c r="CH603" s="589">
        <f t="shared" si="1526"/>
        <v>6.3292738283733955E-4</v>
      </c>
      <c r="CI603" s="196">
        <f t="shared" si="1574"/>
        <v>45028.179931928411</v>
      </c>
      <c r="CJ603" s="248">
        <f t="shared" si="1527"/>
        <v>7.4026316378427055E-4</v>
      </c>
      <c r="CK603" s="196">
        <f t="shared" si="1575"/>
        <v>36440.909274516373</v>
      </c>
      <c r="CL603" s="589">
        <f t="shared" si="1528"/>
        <v>5.2384556639642108E-4</v>
      </c>
      <c r="CM603" s="196">
        <f t="shared" si="1576"/>
        <v>3530.220070197015</v>
      </c>
      <c r="CN603" s="589">
        <f t="shared" si="1529"/>
        <v>5.0874483183457734E-4</v>
      </c>
      <c r="CO603" s="196">
        <f t="shared" si="1577"/>
        <v>282.40866580361171</v>
      </c>
      <c r="CP603" s="589">
        <f t="shared" si="1530"/>
        <v>5.3257924476321646E-4</v>
      </c>
      <c r="CQ603" s="196">
        <f>'Detailed Budget'!$AC$12</f>
        <v>292876014141.44696</v>
      </c>
      <c r="CR603" s="269">
        <f t="shared" si="1534"/>
        <v>506999033.32538617</v>
      </c>
      <c r="CS603" s="269">
        <f>'Detailed Budget'!$AC$16</f>
        <v>10488008800.000002</v>
      </c>
      <c r="CT603" s="607">
        <f t="shared" si="1539"/>
        <v>18155838.846336134</v>
      </c>
      <c r="CU603" s="269">
        <f>'Detailed Budget'!$AC$24</f>
        <v>30624985696</v>
      </c>
      <c r="CV603" s="269">
        <f t="shared" si="1589"/>
        <v>53015055.497091547</v>
      </c>
      <c r="CW603" s="269"/>
      <c r="CX603" s="269">
        <f t="shared" si="1522"/>
        <v>578169927.66881382</v>
      </c>
      <c r="CY603" s="196">
        <f>'Detailed Budget'!$AC$97</f>
        <v>74629165494.837845</v>
      </c>
      <c r="CZ603" s="269">
        <f t="shared" si="1540"/>
        <v>0</v>
      </c>
      <c r="DA603" s="269">
        <f>'Detailed Budget'!$AC$100</f>
        <v>14925833098.967569</v>
      </c>
      <c r="DB603" s="269">
        <f t="shared" si="1541"/>
        <v>0</v>
      </c>
      <c r="DC603" s="269">
        <f t="shared" si="1511"/>
        <v>0</v>
      </c>
      <c r="DD603" s="207">
        <v>0</v>
      </c>
      <c r="DE603" s="606">
        <v>0</v>
      </c>
      <c r="DF603" s="269">
        <f>'Detailed Budget'!$AC$147</f>
        <v>5913600671000</v>
      </c>
      <c r="DG603" s="269">
        <f t="shared" si="1584"/>
        <v>0</v>
      </c>
      <c r="DH603" s="269">
        <f>'Detailed Budget'!$AC$153</f>
        <v>226428026880.00003</v>
      </c>
      <c r="DI603" s="269"/>
      <c r="DJ603" s="269">
        <f>'Detailed Budget'!$AC$156</f>
        <v>27713070000</v>
      </c>
      <c r="DK603" s="269"/>
      <c r="DL603" s="269"/>
      <c r="DM603" s="196">
        <f>'Detailed Budget'!$AC$178</f>
        <v>5622683761.6229038</v>
      </c>
      <c r="DN603" s="269">
        <f t="shared" si="1578"/>
        <v>0</v>
      </c>
      <c r="DO603" s="196">
        <f>'Detailed Budget'!$AC$179</f>
        <v>26827890683.128094</v>
      </c>
      <c r="DP603" s="269">
        <f t="shared" si="1579"/>
        <v>0</v>
      </c>
      <c r="DQ603" s="269">
        <f t="shared" si="1531"/>
        <v>0</v>
      </c>
      <c r="DR603" s="269">
        <f>'Detailed Budget'!$AC$181</f>
        <v>50888946855.375237</v>
      </c>
      <c r="DS603" s="269">
        <f t="shared" si="1580"/>
        <v>0</v>
      </c>
      <c r="DT603" s="269">
        <f t="shared" si="1581"/>
        <v>0</v>
      </c>
      <c r="DU603" s="272">
        <f>'Detailed Budget'!$AC$192</f>
        <v>77498869683.252869</v>
      </c>
      <c r="DV603" s="269">
        <f t="shared" si="1542"/>
        <v>49051156.761473276</v>
      </c>
      <c r="DW603" s="140">
        <f>'Detailed Budget'!$AC$194</f>
        <v>2684962805.4134097</v>
      </c>
      <c r="DX603" s="269">
        <f t="shared" si="1543"/>
        <v>1699386.4814459102</v>
      </c>
      <c r="DY603" s="607">
        <f t="shared" si="1512"/>
        <v>50750543.242919184</v>
      </c>
      <c r="DZ603" s="196">
        <f>'Detailed Budget'!$AC$198</f>
        <v>18732540018.380611</v>
      </c>
      <c r="EA603" s="269">
        <f t="shared" si="1544"/>
        <v>9056956.4787291959</v>
      </c>
      <c r="EB603" s="196">
        <f>'Detailed Budget'!$AC$200</f>
        <v>4683135004.5951529</v>
      </c>
      <c r="EC603" s="269">
        <f t="shared" si="1545"/>
        <v>2264239.119682299</v>
      </c>
      <c r="ED603" s="269">
        <f t="shared" si="1513"/>
        <v>11321195.598411495</v>
      </c>
      <c r="EE603" s="196">
        <f>'Detailed Budget'!$AC$161</f>
        <v>251147290106.36197</v>
      </c>
      <c r="EF603" s="269">
        <f t="shared" si="1546"/>
        <v>158957997.03370973</v>
      </c>
      <c r="EG603" s="196">
        <f>'Detailed Budget'!$AC$163</f>
        <v>15696705631.647623</v>
      </c>
      <c r="EH603" s="269">
        <f t="shared" si="1547"/>
        <v>9934874.8146068584</v>
      </c>
      <c r="EI603" s="269">
        <f t="shared" si="1514"/>
        <v>168892871.84831658</v>
      </c>
      <c r="EJ603" s="196">
        <f>'Detailed Budget'!$AC$204</f>
        <v>45012172507.531975</v>
      </c>
      <c r="EK603" s="269">
        <f t="shared" si="1548"/>
        <v>33320853.229228981</v>
      </c>
      <c r="EL603" s="201">
        <f>'Detailed Budget'!$AC$206</f>
        <v>11253043126.882994</v>
      </c>
      <c r="EM603" s="269">
        <f t="shared" si="1549"/>
        <v>8330213.3073072452</v>
      </c>
      <c r="EN603" s="269">
        <f t="shared" si="1515"/>
        <v>41651066.536536224</v>
      </c>
      <c r="EO603" s="140">
        <f>'Detailed Budget'!$AC$209</f>
        <v>135789361677.54817</v>
      </c>
      <c r="EP603" s="269">
        <f t="shared" si="1550"/>
        <v>71132655.078583702</v>
      </c>
      <c r="EQ603" s="196">
        <f>'Detailed Budget'!$AC$211</f>
        <v>33947340419.387043</v>
      </c>
      <c r="ER603" s="269">
        <f t="shared" si="1551"/>
        <v>17783163.769645926</v>
      </c>
      <c r="ES603" s="269">
        <f t="shared" si="1516"/>
        <v>88915818.848229632</v>
      </c>
      <c r="ET603" s="196">
        <f>'Detailed Budget'!$AC$214</f>
        <v>22239745544.201103</v>
      </c>
      <c r="EU603" s="269">
        <f t="shared" si="1552"/>
        <v>11314355.60692838</v>
      </c>
      <c r="EV603" s="140">
        <f>'Detailed Budget'!$AC$217</f>
        <v>5559936386.0502758</v>
      </c>
      <c r="EW603" s="269">
        <f t="shared" si="1553"/>
        <v>2828588.9017320951</v>
      </c>
      <c r="EX603" s="269">
        <f t="shared" si="1517"/>
        <v>14142944.508660475</v>
      </c>
      <c r="EY603" s="196">
        <f>'Detailed Budget'!$AC$219</f>
        <v>372777004.58170313</v>
      </c>
      <c r="EZ603" s="269">
        <f t="shared" si="1554"/>
        <v>198533.29556521753</v>
      </c>
      <c r="FA603" s="196">
        <f>'Detailed Budget'!$AC$222</f>
        <v>93194251.145425782</v>
      </c>
      <c r="FB603" s="269">
        <f t="shared" si="1555"/>
        <v>49633.323891304382</v>
      </c>
      <c r="FC603" s="269">
        <f t="shared" si="1518"/>
        <v>248166.6194565219</v>
      </c>
      <c r="FD603" s="269"/>
      <c r="FE603" s="269">
        <f t="shared" si="1519"/>
        <v>144957996.51288286</v>
      </c>
      <c r="FF603" s="140">
        <f>'Detailed Budget'!$AC$165</f>
        <v>14927760000</v>
      </c>
      <c r="FG603" s="1087">
        <f t="shared" si="1585"/>
        <v>197732302.57194659</v>
      </c>
      <c r="FH603" s="269">
        <f t="shared" si="1556"/>
        <v>16961436.200431772</v>
      </c>
      <c r="FJ603" s="140">
        <f>'Detailed Budget'!$AC$235</f>
        <v>3623696172</v>
      </c>
      <c r="FK603" s="269">
        <f t="shared" si="1557"/>
        <v>4681778</v>
      </c>
      <c r="FL603" s="269">
        <f t="shared" si="1586"/>
        <v>4681778</v>
      </c>
      <c r="FO603" s="607"/>
      <c r="FP603" s="607"/>
      <c r="FQ603" s="607"/>
      <c r="FR603" s="269">
        <f>'Detailed Budget'!$AC$257</f>
        <v>13636439388</v>
      </c>
      <c r="FS603" s="269">
        <f t="shared" si="1558"/>
        <v>5496348</v>
      </c>
      <c r="FT603" s="269">
        <f t="shared" si="1587"/>
        <v>5496348</v>
      </c>
      <c r="FU603" s="269"/>
      <c r="FV603" s="269"/>
      <c r="FW603" s="269"/>
      <c r="FX603" s="140">
        <f>'Detailed Budget'!$AC$278</f>
        <v>1114560000</v>
      </c>
      <c r="FY603" s="269">
        <f t="shared" si="1559"/>
        <v>1440000</v>
      </c>
      <c r="FZ603" s="269">
        <f t="shared" si="1588"/>
        <v>1440000</v>
      </c>
      <c r="GB603" s="269">
        <f t="shared" si="1596"/>
        <v>1180404399.6437223</v>
      </c>
      <c r="GC603" s="887">
        <f t="shared" si="1520"/>
        <v>737752.74977732648</v>
      </c>
      <c r="GD603" s="1078">
        <f t="shared" si="1597"/>
        <v>6.6236207851576474E-4</v>
      </c>
    </row>
    <row r="604" spans="1:186" hidden="1" outlineLevel="1">
      <c r="A604" s="211" t="s">
        <v>1317</v>
      </c>
      <c r="B604" s="212" t="s">
        <v>1318</v>
      </c>
      <c r="C604" s="213" t="s">
        <v>215</v>
      </c>
      <c r="D604" s="214"/>
      <c r="E604" s="213"/>
      <c r="F604" s="213"/>
      <c r="G604" s="213" t="s">
        <v>215</v>
      </c>
      <c r="H604" s="213" t="s">
        <v>215</v>
      </c>
      <c r="I604" s="214" t="s">
        <v>215</v>
      </c>
      <c r="J604" s="214"/>
      <c r="K604" s="213"/>
      <c r="L604" s="213"/>
      <c r="M604" s="214" t="s">
        <v>215</v>
      </c>
      <c r="N604" s="213"/>
      <c r="O604" s="214"/>
      <c r="P604" s="213"/>
      <c r="Q604" s="214"/>
      <c r="R604" s="214" t="s">
        <v>215</v>
      </c>
      <c r="S604" s="214"/>
      <c r="T604" s="214"/>
      <c r="U604" s="215">
        <f t="shared" si="1564"/>
        <v>6</v>
      </c>
      <c r="V604" s="845" t="s">
        <v>216</v>
      </c>
      <c r="W604" s="216">
        <v>171839</v>
      </c>
      <c r="X604" s="217">
        <v>3.36</v>
      </c>
      <c r="Y604" s="218">
        <f t="shared" si="1477"/>
        <v>1.0336000000000001</v>
      </c>
      <c r="Z604" s="196">
        <v>19</v>
      </c>
      <c r="AA604" s="218">
        <f t="shared" si="1478"/>
        <v>1.873689022502546</v>
      </c>
      <c r="AB604" s="196">
        <f t="shared" si="1561"/>
        <v>321972.84793781501</v>
      </c>
      <c r="AC604">
        <v>12.2</v>
      </c>
      <c r="AD604" s="196">
        <f t="shared" si="1562"/>
        <v>39280.687448413431</v>
      </c>
      <c r="AE604" s="196">
        <f t="shared" si="1479"/>
        <v>37316.653075992755</v>
      </c>
      <c r="AF604" s="196">
        <f t="shared" si="1565"/>
        <v>0</v>
      </c>
      <c r="AG604" s="606">
        <f t="shared" si="1523"/>
        <v>1.7253582150572994E-3</v>
      </c>
      <c r="AH604" s="196">
        <f t="shared" si="1582"/>
        <v>16098.642396890751</v>
      </c>
      <c r="AI604" s="248">
        <f t="shared" si="1503"/>
        <v>1.2471374346613949E-3</v>
      </c>
      <c r="AJ604" s="196">
        <f t="shared" si="1504"/>
        <v>55379.329845304179</v>
      </c>
      <c r="AK604" s="196">
        <f t="shared" si="1532"/>
        <v>12878.9139175126</v>
      </c>
      <c r="AL604" s="196">
        <f t="shared" si="1533"/>
        <v>12878.9139175126</v>
      </c>
      <c r="AM604" s="196">
        <f t="shared" si="1505"/>
        <v>25757.8278350252</v>
      </c>
      <c r="AN604" s="627">
        <f t="shared" si="1506"/>
        <v>1.2471374346613949E-3</v>
      </c>
      <c r="AO604" s="196">
        <f t="shared" si="1507"/>
        <v>12234.968221636969</v>
      </c>
      <c r="AP604" s="589">
        <f t="shared" si="1524"/>
        <v>1.2471374346613949E-3</v>
      </c>
      <c r="AQ604" s="196"/>
      <c r="AR604" s="589"/>
      <c r="AS604">
        <v>1</v>
      </c>
      <c r="AT604" s="589">
        <f t="shared" si="1525"/>
        <v>1.2919896640826874E-3</v>
      </c>
      <c r="AU604" s="196">
        <v>13</v>
      </c>
      <c r="AV604" s="245">
        <f t="shared" si="1536"/>
        <v>1.4771048744460858E-3</v>
      </c>
      <c r="AX604" s="245"/>
      <c r="AY604" s="245"/>
      <c r="AZ604" s="196">
        <v>19</v>
      </c>
      <c r="BA604" s="589">
        <f t="shared" si="1590"/>
        <v>6.9620021252427542E-4</v>
      </c>
      <c r="BI604" s="196">
        <v>1</v>
      </c>
      <c r="BJ604" s="196">
        <f t="shared" si="1566"/>
        <v>178873.82887552126</v>
      </c>
      <c r="BK604" s="246">
        <f t="shared" si="1591"/>
        <v>3.4110159952482353E-3</v>
      </c>
      <c r="BL604" s="196">
        <f t="shared" si="1583"/>
        <v>3577.4765775104252</v>
      </c>
      <c r="BM604" s="246">
        <f t="shared" si="1592"/>
        <v>3.4110156049721777E-3</v>
      </c>
      <c r="BN604" s="196">
        <v>0</v>
      </c>
      <c r="BO604" s="196">
        <f t="shared" si="1567"/>
        <v>14525.529494418535</v>
      </c>
      <c r="BP604" s="196">
        <f t="shared" si="1508"/>
        <v>0</v>
      </c>
      <c r="BQ604" s="248">
        <f t="shared" si="1593"/>
        <v>0</v>
      </c>
      <c r="BR604" s="248"/>
      <c r="BS604" s="248"/>
      <c r="BT604" s="276">
        <v>0</v>
      </c>
      <c r="BU604" s="196">
        <f t="shared" si="1568"/>
        <v>0</v>
      </c>
      <c r="BV604" s="264">
        <f t="shared" si="1594"/>
        <v>0</v>
      </c>
      <c r="BW604" s="196">
        <f t="shared" si="1569"/>
        <v>0</v>
      </c>
      <c r="BX604" s="247">
        <f t="shared" si="1595"/>
        <v>0</v>
      </c>
      <c r="BY604" s="196">
        <f t="shared" si="1570"/>
        <v>0</v>
      </c>
      <c r="BZ604" s="620">
        <v>1</v>
      </c>
      <c r="CA604" s="196">
        <f t="shared" si="1571"/>
        <v>98523.691468971389</v>
      </c>
      <c r="CB604" s="196">
        <f t="shared" si="1572"/>
        <v>197047.38293794278</v>
      </c>
      <c r="CC604" s="196">
        <f t="shared" si="1521"/>
        <v>295571.07440691418</v>
      </c>
      <c r="CD604" s="247">
        <f t="shared" si="1509"/>
        <v>1.2471374346613949E-3</v>
      </c>
      <c r="CE604" s="196">
        <f t="shared" si="1573"/>
        <v>22061.352092911155</v>
      </c>
      <c r="CF604" s="247">
        <f t="shared" si="1510"/>
        <v>9.5267779297823437E-4</v>
      </c>
      <c r="CG604" s="196">
        <f t="shared" si="1538"/>
        <v>48939.872886547877</v>
      </c>
      <c r="CH604" s="589">
        <f t="shared" si="1526"/>
        <v>1.2471374346613949E-3</v>
      </c>
      <c r="CI604" s="196">
        <f t="shared" si="1574"/>
        <v>88724.757895660383</v>
      </c>
      <c r="CJ604" s="248">
        <f t="shared" si="1527"/>
        <v>1.4586347945914444E-3</v>
      </c>
      <c r="CK604" s="196">
        <f t="shared" si="1575"/>
        <v>71804.164808948844</v>
      </c>
      <c r="CL604" s="589">
        <f t="shared" si="1528"/>
        <v>1.0321996386152186E-3</v>
      </c>
      <c r="CM604" s="196">
        <f t="shared" si="1576"/>
        <v>6956.0422277813641</v>
      </c>
      <c r="CN604" s="589">
        <f t="shared" si="1529"/>
        <v>1.0024447380158235E-3</v>
      </c>
      <c r="CO604" s="196">
        <f t="shared" si="1577"/>
        <v>556.46576297201932</v>
      </c>
      <c r="CP604" s="589">
        <f t="shared" si="1530"/>
        <v>1.0494087174588212E-3</v>
      </c>
      <c r="CQ604" s="196">
        <f>'Detailed Budget'!$AC$12</f>
        <v>292876014141.44696</v>
      </c>
      <c r="CR604" s="269">
        <f t="shared" si="1534"/>
        <v>999004768.8610239</v>
      </c>
      <c r="CS604" s="269">
        <f>'Detailed Budget'!$AC$16</f>
        <v>10488008800.000002</v>
      </c>
      <c r="CT604" s="607">
        <f t="shared" si="1539"/>
        <v>35774761.681885533</v>
      </c>
      <c r="CU604" s="269">
        <f>'Detailed Budget'!$AC$24</f>
        <v>30624985696</v>
      </c>
      <c r="CV604" s="269">
        <f t="shared" si="1589"/>
        <v>104462316.06330441</v>
      </c>
      <c r="CW604" s="269"/>
      <c r="CX604" s="269">
        <f t="shared" si="1522"/>
        <v>1139241846.6062138</v>
      </c>
      <c r="CY604" s="196">
        <f>'Detailed Budget'!$AC$97</f>
        <v>74629165494.837845</v>
      </c>
      <c r="CZ604" s="269">
        <f t="shared" si="1540"/>
        <v>0</v>
      </c>
      <c r="DA604" s="269">
        <f>'Detailed Budget'!$AC$100</f>
        <v>14925833098.967569</v>
      </c>
      <c r="DB604" s="269">
        <f t="shared" si="1541"/>
        <v>0</v>
      </c>
      <c r="DC604" s="269">
        <f t="shared" si="1511"/>
        <v>0</v>
      </c>
      <c r="DD604" s="207">
        <v>0</v>
      </c>
      <c r="DE604" s="606">
        <v>0</v>
      </c>
      <c r="DF604" s="269">
        <f>'Detailed Budget'!$AC$147</f>
        <v>5913600671000</v>
      </c>
      <c r="DG604" s="269">
        <f t="shared" si="1584"/>
        <v>0</v>
      </c>
      <c r="DH604" s="269">
        <f>'Detailed Budget'!$AC$153</f>
        <v>226428026880.00003</v>
      </c>
      <c r="DI604" s="269"/>
      <c r="DJ604" s="269">
        <f>'Detailed Budget'!$AC$156</f>
        <v>27713070000</v>
      </c>
      <c r="DK604" s="269"/>
      <c r="DL604" s="269"/>
      <c r="DM604" s="196">
        <f>'Detailed Budget'!$AC$178</f>
        <v>5622683761.6229038</v>
      </c>
      <c r="DN604" s="269">
        <f t="shared" si="1578"/>
        <v>0</v>
      </c>
      <c r="DO604" s="196">
        <f>'Detailed Budget'!$AC$179</f>
        <v>26827890683.128094</v>
      </c>
      <c r="DP604" s="269">
        <f t="shared" si="1579"/>
        <v>0</v>
      </c>
      <c r="DQ604" s="269">
        <f t="shared" si="1531"/>
        <v>0</v>
      </c>
      <c r="DR604" s="269">
        <f>'Detailed Budget'!$AC$181</f>
        <v>50888946855.375237</v>
      </c>
      <c r="DS604" s="269">
        <f t="shared" si="1580"/>
        <v>0</v>
      </c>
      <c r="DT604" s="269">
        <f t="shared" si="1581"/>
        <v>0</v>
      </c>
      <c r="DU604" s="272">
        <f>'Detailed Budget'!$AC$192</f>
        <v>77498869683.252869</v>
      </c>
      <c r="DV604" s="269">
        <f t="shared" si="1542"/>
        <v>96651741.525929734</v>
      </c>
      <c r="DW604" s="140">
        <f>'Detailed Budget'!$AC$194</f>
        <v>2684962805.4134097</v>
      </c>
      <c r="DX604" s="269">
        <f t="shared" si="1543"/>
        <v>3348517.625304542</v>
      </c>
      <c r="DY604" s="607">
        <f t="shared" si="1512"/>
        <v>100000259.15123427</v>
      </c>
      <c r="DZ604" s="196">
        <f>'Detailed Budget'!$AC$198</f>
        <v>18732540018.380611</v>
      </c>
      <c r="EA604" s="269">
        <f t="shared" si="1544"/>
        <v>17846074.881587293</v>
      </c>
      <c r="EB604" s="196">
        <f>'Detailed Budget'!$AC$200</f>
        <v>4683135004.5951529</v>
      </c>
      <c r="EC604" s="269">
        <f t="shared" si="1545"/>
        <v>4461518.7203968232</v>
      </c>
      <c r="ED604" s="269">
        <f t="shared" si="1513"/>
        <v>22307593.601984117</v>
      </c>
      <c r="EE604" s="196">
        <f>'Detailed Budget'!$AC$161</f>
        <v>251147290106.36197</v>
      </c>
      <c r="EF604" s="269">
        <f t="shared" si="1546"/>
        <v>313215187.10540938</v>
      </c>
      <c r="EG604" s="196">
        <f>'Detailed Budget'!$AC$163</f>
        <v>15696705631.647623</v>
      </c>
      <c r="EH604" s="269">
        <f t="shared" si="1547"/>
        <v>19575949.194088086</v>
      </c>
      <c r="EI604" s="269">
        <f t="shared" si="1514"/>
        <v>332791136.29949749</v>
      </c>
      <c r="EJ604" s="196">
        <f>'Detailed Budget'!$AC$204</f>
        <v>45012172507.531975</v>
      </c>
      <c r="EK604" s="269">
        <f t="shared" si="1548"/>
        <v>65656320.999638565</v>
      </c>
      <c r="EL604" s="201">
        <f>'Detailed Budget'!$AC$206</f>
        <v>11253043126.882994</v>
      </c>
      <c r="EM604" s="269">
        <f t="shared" si="1549"/>
        <v>16414080.249909641</v>
      </c>
      <c r="EN604" s="269">
        <f t="shared" si="1515"/>
        <v>82070401.249548212</v>
      </c>
      <c r="EO604" s="140">
        <f>'Detailed Budget'!$AC$209</f>
        <v>135789361677.54817</v>
      </c>
      <c r="EP604" s="269">
        <f t="shared" si="1550"/>
        <v>140161730.05135643</v>
      </c>
      <c r="EQ604" s="196">
        <f>'Detailed Budget'!$AC$211</f>
        <v>33947340419.387043</v>
      </c>
      <c r="ER604" s="269">
        <f t="shared" si="1551"/>
        <v>35040432.512839109</v>
      </c>
      <c r="ES604" s="269">
        <f t="shared" si="1516"/>
        <v>175202162.56419554</v>
      </c>
      <c r="ET604" s="196">
        <f>'Detailed Budget'!$AC$214</f>
        <v>22239745544.201103</v>
      </c>
      <c r="EU604" s="269">
        <f t="shared" si="1552"/>
        <v>22294115.895595253</v>
      </c>
      <c r="EV604" s="140">
        <f>'Detailed Budget'!$AC$217</f>
        <v>5559936386.0502758</v>
      </c>
      <c r="EW604" s="269">
        <f t="shared" si="1553"/>
        <v>5573528.9738988131</v>
      </c>
      <c r="EX604" s="269">
        <f t="shared" si="1517"/>
        <v>27867644.869494066</v>
      </c>
      <c r="EY604" s="196">
        <f>'Detailed Budget'!$AC$219</f>
        <v>372777004.58170313</v>
      </c>
      <c r="EZ604" s="269">
        <f t="shared" si="1554"/>
        <v>391195.43827622622</v>
      </c>
      <c r="FA604" s="196">
        <f>'Detailed Budget'!$AC$222</f>
        <v>93194251.145425782</v>
      </c>
      <c r="FB604" s="269">
        <f t="shared" si="1555"/>
        <v>97798.859569056556</v>
      </c>
      <c r="FC604" s="269">
        <f t="shared" si="1518"/>
        <v>488994.29784528277</v>
      </c>
      <c r="FD604" s="269"/>
      <c r="FE604" s="269">
        <f t="shared" si="1519"/>
        <v>285629202.98108315</v>
      </c>
      <c r="FF604" s="140">
        <f>'Detailed Budget'!$AC$165</f>
        <v>14927760000</v>
      </c>
      <c r="FG604" s="1087">
        <f t="shared" si="1585"/>
        <v>389617139.76379424</v>
      </c>
      <c r="FH604" s="269">
        <f t="shared" si="1556"/>
        <v>22049867.060561303</v>
      </c>
      <c r="FJ604" s="140">
        <f>'Detailed Budget'!$AC$235</f>
        <v>3623696172</v>
      </c>
      <c r="FK604" s="269">
        <f t="shared" si="1557"/>
        <v>4681778</v>
      </c>
      <c r="FL604" s="269">
        <f t="shared" si="1586"/>
        <v>4681778</v>
      </c>
      <c r="FO604" s="607"/>
      <c r="FP604" s="607"/>
      <c r="FQ604" s="607"/>
      <c r="FR604" s="269">
        <f>'Detailed Budget'!$AC$257</f>
        <v>13636439388</v>
      </c>
      <c r="FS604" s="269">
        <f t="shared" si="1558"/>
        <v>9493692</v>
      </c>
      <c r="FT604" s="269">
        <f t="shared" si="1587"/>
        <v>9493692</v>
      </c>
      <c r="FU604" s="269"/>
      <c r="FV604" s="269"/>
      <c r="FW604" s="269"/>
      <c r="FX604" s="140">
        <f>'Detailed Budget'!$AC$278</f>
        <v>1114560000</v>
      </c>
      <c r="FY604" s="269">
        <f t="shared" si="1559"/>
        <v>1440000</v>
      </c>
      <c r="FZ604" s="269">
        <f t="shared" si="1588"/>
        <v>1440000</v>
      </c>
      <c r="GB604" s="269">
        <f t="shared" si="1596"/>
        <v>2307252515.4643683</v>
      </c>
      <c r="GC604" s="887">
        <f t="shared" si="1520"/>
        <v>1442032.8221652303</v>
      </c>
      <c r="GD604" s="1078">
        <f t="shared" si="1597"/>
        <v>1.2946720397390662E-3</v>
      </c>
    </row>
    <row r="605" spans="1:186" hidden="1" outlineLevel="1">
      <c r="A605" s="211" t="s">
        <v>1319</v>
      </c>
      <c r="B605" s="212" t="s">
        <v>1320</v>
      </c>
      <c r="C605" s="213" t="s">
        <v>215</v>
      </c>
      <c r="D605" s="214"/>
      <c r="E605" s="213"/>
      <c r="F605" s="213"/>
      <c r="G605" s="213" t="s">
        <v>215</v>
      </c>
      <c r="H605" s="213" t="s">
        <v>215</v>
      </c>
      <c r="I605" s="214" t="s">
        <v>215</v>
      </c>
      <c r="J605" s="214"/>
      <c r="K605" s="213"/>
      <c r="L605" s="213"/>
      <c r="M605" s="214" t="s">
        <v>215</v>
      </c>
      <c r="N605" s="213"/>
      <c r="O605" s="214"/>
      <c r="P605" s="213"/>
      <c r="Q605" s="214"/>
      <c r="R605" s="214" t="s">
        <v>215</v>
      </c>
      <c r="S605" s="214"/>
      <c r="T605" s="214"/>
      <c r="U605" s="215">
        <f t="shared" si="1564"/>
        <v>6</v>
      </c>
      <c r="V605" s="845" t="s">
        <v>216</v>
      </c>
      <c r="W605" s="216">
        <v>53060</v>
      </c>
      <c r="X605" s="217">
        <v>3.36</v>
      </c>
      <c r="Y605" s="218">
        <f t="shared" si="1477"/>
        <v>1.0336000000000001</v>
      </c>
      <c r="Z605" s="196">
        <v>19</v>
      </c>
      <c r="AA605" s="218">
        <f t="shared" si="1478"/>
        <v>1.873689022502546</v>
      </c>
      <c r="AB605" s="196">
        <f t="shared" si="1561"/>
        <v>99417.939533985089</v>
      </c>
      <c r="AC605">
        <v>12.2</v>
      </c>
      <c r="AD605" s="196">
        <f t="shared" si="1562"/>
        <v>12128.988623146179</v>
      </c>
      <c r="AE605" s="196">
        <f t="shared" si="1479"/>
        <v>11522.53919198887</v>
      </c>
      <c r="AF605" s="196">
        <f t="shared" si="1565"/>
        <v>0</v>
      </c>
      <c r="AG605" s="606">
        <f t="shared" si="1523"/>
        <v>5.3275162734268879E-4</v>
      </c>
      <c r="AH605" s="196">
        <f t="shared" si="1582"/>
        <v>4970.896976699255</v>
      </c>
      <c r="AI605" s="248">
        <f t="shared" si="1503"/>
        <v>3.8508785714030935E-4</v>
      </c>
      <c r="AJ605" s="196">
        <f t="shared" si="1504"/>
        <v>17099.885599845435</v>
      </c>
      <c r="AK605" s="196">
        <f t="shared" si="1532"/>
        <v>3976.7175813594035</v>
      </c>
      <c r="AL605" s="196">
        <f t="shared" si="1533"/>
        <v>3976.7175813594035</v>
      </c>
      <c r="AM605" s="196">
        <f t="shared" si="1505"/>
        <v>7953.4351627188071</v>
      </c>
      <c r="AN605" s="627">
        <f t="shared" si="1506"/>
        <v>3.850878571403093E-4</v>
      </c>
      <c r="AO605" s="196">
        <f t="shared" si="1507"/>
        <v>3777.8817022914332</v>
      </c>
      <c r="AP605" s="589">
        <f t="shared" si="1524"/>
        <v>3.850878571403093E-4</v>
      </c>
      <c r="AQ605" s="196"/>
      <c r="AR605" s="589"/>
      <c r="AS605">
        <v>1</v>
      </c>
      <c r="AT605" s="589">
        <f t="shared" si="1525"/>
        <v>1.2919896640826874E-3</v>
      </c>
      <c r="AU605" s="196">
        <v>10</v>
      </c>
      <c r="AV605" s="245">
        <f t="shared" si="1536"/>
        <v>1.1362345188046814E-3</v>
      </c>
      <c r="AX605" s="245"/>
      <c r="AY605" s="245"/>
      <c r="AZ605" s="196">
        <v>11</v>
      </c>
      <c r="BA605" s="589">
        <f t="shared" si="1590"/>
        <v>4.0306328093510683E-4</v>
      </c>
      <c r="BI605" s="196">
        <v>1</v>
      </c>
      <c r="BJ605" s="196">
        <f t="shared" si="1566"/>
        <v>55232.196184423548</v>
      </c>
      <c r="BK605" s="246">
        <f t="shared" si="1591"/>
        <v>1.0532446575449775E-3</v>
      </c>
      <c r="BL605" s="196">
        <f t="shared" si="1583"/>
        <v>1104.643923688471</v>
      </c>
      <c r="BM605" s="246">
        <f t="shared" si="1592"/>
        <v>1.0532445370365503E-3</v>
      </c>
      <c r="BN605" s="196">
        <v>0</v>
      </c>
      <c r="BO605" s="196">
        <f t="shared" si="1567"/>
        <v>4485.1552614589673</v>
      </c>
      <c r="BP605" s="196">
        <f t="shared" si="1508"/>
        <v>0</v>
      </c>
      <c r="BQ605" s="248">
        <f t="shared" si="1593"/>
        <v>0</v>
      </c>
      <c r="BR605" s="248"/>
      <c r="BS605" s="248"/>
      <c r="BT605" s="276">
        <v>0</v>
      </c>
      <c r="BU605" s="196">
        <f t="shared" si="1568"/>
        <v>0</v>
      </c>
      <c r="BV605" s="264">
        <f t="shared" si="1594"/>
        <v>0</v>
      </c>
      <c r="BW605" s="196">
        <f t="shared" si="1569"/>
        <v>0</v>
      </c>
      <c r="BX605" s="247">
        <f t="shared" si="1595"/>
        <v>0</v>
      </c>
      <c r="BY605" s="196">
        <f t="shared" si="1570"/>
        <v>0</v>
      </c>
      <c r="BZ605" s="620">
        <v>1</v>
      </c>
      <c r="CA605" s="196">
        <f t="shared" si="1571"/>
        <v>30421.889497399436</v>
      </c>
      <c r="CB605" s="196">
        <f t="shared" si="1572"/>
        <v>60843.778994798871</v>
      </c>
      <c r="CC605" s="196">
        <f t="shared" si="1521"/>
        <v>91265.668492198311</v>
      </c>
      <c r="CD605" s="247">
        <f t="shared" si="1509"/>
        <v>3.850878571403093E-4</v>
      </c>
      <c r="CE605" s="196">
        <f t="shared" si="1573"/>
        <v>6812.0469861315878</v>
      </c>
      <c r="CF605" s="247">
        <f t="shared" si="1510"/>
        <v>2.9416537395716405E-4</v>
      </c>
      <c r="CG605" s="196">
        <f t="shared" si="1538"/>
        <v>15111.526809165733</v>
      </c>
      <c r="CH605" s="589">
        <f t="shared" si="1526"/>
        <v>3.850878571403093E-4</v>
      </c>
      <c r="CI605" s="196">
        <f t="shared" si="1574"/>
        <v>27396.200245251308</v>
      </c>
      <c r="CJ605" s="248">
        <f t="shared" si="1527"/>
        <v>4.5039346249118087E-4</v>
      </c>
      <c r="CK605" s="196">
        <f t="shared" si="1575"/>
        <v>22171.503469892312</v>
      </c>
      <c r="CL605" s="589">
        <f t="shared" si="1528"/>
        <v>3.1871992286339824E-4</v>
      </c>
      <c r="CM605" s="196">
        <f t="shared" si="1576"/>
        <v>2147.8686480140082</v>
      </c>
      <c r="CN605" s="589">
        <f t="shared" si="1529"/>
        <v>3.0953228195648014E-4</v>
      </c>
      <c r="CO605" s="196">
        <f t="shared" si="1577"/>
        <v>171.824052649837</v>
      </c>
      <c r="CP605" s="589">
        <f t="shared" si="1530"/>
        <v>3.2403369752131381E-4</v>
      </c>
      <c r="CQ605" s="196">
        <f>'Detailed Budget'!$AC$12</f>
        <v>292876014141.44696</v>
      </c>
      <c r="CR605" s="269">
        <f t="shared" si="1534"/>
        <v>308470097.21754628</v>
      </c>
      <c r="CS605" s="269">
        <f>'Detailed Budget'!$AC$16</f>
        <v>10488008800.000002</v>
      </c>
      <c r="CT605" s="607">
        <f t="shared" si="1539"/>
        <v>11046437.972991267</v>
      </c>
      <c r="CU605" s="269">
        <f>'Detailed Budget'!$AC$24</f>
        <v>30624985696</v>
      </c>
      <c r="CV605" s="269">
        <f t="shared" si="1589"/>
        <v>32255602.571703356</v>
      </c>
      <c r="CW605" s="269"/>
      <c r="CX605" s="269">
        <f t="shared" si="1522"/>
        <v>351772137.76224095</v>
      </c>
      <c r="CY605" s="196">
        <f>'Detailed Budget'!$AC$97</f>
        <v>74629165494.837845</v>
      </c>
      <c r="CZ605" s="269">
        <f t="shared" si="1540"/>
        <v>0</v>
      </c>
      <c r="DA605" s="269">
        <f>'Detailed Budget'!$AC$100</f>
        <v>14925833098.967569</v>
      </c>
      <c r="DB605" s="269">
        <f t="shared" si="1541"/>
        <v>0</v>
      </c>
      <c r="DC605" s="269">
        <f t="shared" si="1511"/>
        <v>0</v>
      </c>
      <c r="DD605" s="207">
        <v>0</v>
      </c>
      <c r="DE605" s="606">
        <v>0</v>
      </c>
      <c r="DF605" s="269">
        <f>'Detailed Budget'!$AC$147</f>
        <v>5913600671000</v>
      </c>
      <c r="DG605" s="269">
        <f t="shared" si="1584"/>
        <v>0</v>
      </c>
      <c r="DH605" s="269">
        <f>'Detailed Budget'!$AC$153</f>
        <v>226428026880.00003</v>
      </c>
      <c r="DI605" s="269"/>
      <c r="DJ605" s="269">
        <f>'Detailed Budget'!$AC$156</f>
        <v>27713070000</v>
      </c>
      <c r="DK605" s="269"/>
      <c r="DL605" s="269"/>
      <c r="DM605" s="196">
        <f>'Detailed Budget'!$AC$178</f>
        <v>5622683761.6229038</v>
      </c>
      <c r="DN605" s="269">
        <f t="shared" si="1578"/>
        <v>0</v>
      </c>
      <c r="DO605" s="196">
        <f>'Detailed Budget'!$AC$179</f>
        <v>26827890683.128094</v>
      </c>
      <c r="DP605" s="269">
        <f t="shared" si="1579"/>
        <v>0</v>
      </c>
      <c r="DQ605" s="269">
        <f t="shared" si="1531"/>
        <v>0</v>
      </c>
      <c r="DR605" s="269">
        <f>'Detailed Budget'!$AC$181</f>
        <v>50888946855.375237</v>
      </c>
      <c r="DS605" s="269">
        <f t="shared" si="1580"/>
        <v>0</v>
      </c>
      <c r="DT605" s="269">
        <f t="shared" si="1581"/>
        <v>0</v>
      </c>
      <c r="DU605" s="272">
        <f>'Detailed Budget'!$AC$192</f>
        <v>77498869683.252869</v>
      </c>
      <c r="DV605" s="269">
        <f t="shared" si="1542"/>
        <v>29843873.65711993</v>
      </c>
      <c r="DW605" s="140">
        <f>'Detailed Budget'!$AC$194</f>
        <v>2684962805.4134097</v>
      </c>
      <c r="DX605" s="269">
        <f t="shared" si="1543"/>
        <v>1033946.5732380832</v>
      </c>
      <c r="DY605" s="607">
        <f t="shared" si="1512"/>
        <v>30877820.230358012</v>
      </c>
      <c r="DZ605" s="196">
        <f>'Detailed Budget'!$AC$198</f>
        <v>18732540018.380611</v>
      </c>
      <c r="EA605" s="269">
        <f t="shared" si="1544"/>
        <v>5510464.6396744736</v>
      </c>
      <c r="EB605" s="196">
        <f>'Detailed Budget'!$AC$200</f>
        <v>4683135004.5951529</v>
      </c>
      <c r="EC605" s="269">
        <f t="shared" si="1545"/>
        <v>1377616.1599186184</v>
      </c>
      <c r="ED605" s="269">
        <f t="shared" si="1513"/>
        <v>6888080.7995930919</v>
      </c>
      <c r="EE605" s="196">
        <f>'Detailed Budget'!$AC$161</f>
        <v>251147290106.36197</v>
      </c>
      <c r="EF605" s="269">
        <f t="shared" si="1546"/>
        <v>96713771.773654535</v>
      </c>
      <c r="EG605" s="196">
        <f>'Detailed Budget'!$AC$163</f>
        <v>15696705631.647623</v>
      </c>
      <c r="EH605" s="269">
        <f t="shared" si="1547"/>
        <v>6044610.7358534085</v>
      </c>
      <c r="EI605" s="269">
        <f t="shared" si="1514"/>
        <v>102758382.50950794</v>
      </c>
      <c r="EJ605" s="196">
        <f>'Detailed Budget'!$AC$204</f>
        <v>45012172507.531975</v>
      </c>
      <c r="EK605" s="269">
        <f t="shared" si="1548"/>
        <v>20273188.229917664</v>
      </c>
      <c r="EL605" s="201">
        <f>'Detailed Budget'!$AC$206</f>
        <v>11253043126.882994</v>
      </c>
      <c r="EM605" s="269">
        <f t="shared" si="1549"/>
        <v>5068297.057479416</v>
      </c>
      <c r="EN605" s="269">
        <f t="shared" si="1515"/>
        <v>25341485.287397079</v>
      </c>
      <c r="EO605" s="140">
        <f>'Detailed Budget'!$AC$209</f>
        <v>135789361677.54817</v>
      </c>
      <c r="EP605" s="269">
        <f t="shared" si="1550"/>
        <v>43278774.879538238</v>
      </c>
      <c r="EQ605" s="196">
        <f>'Detailed Budget'!$AC$211</f>
        <v>33947340419.387043</v>
      </c>
      <c r="ER605" s="269">
        <f t="shared" si="1551"/>
        <v>10819693.71988456</v>
      </c>
      <c r="ES605" s="269">
        <f t="shared" si="1516"/>
        <v>54098468.599422798</v>
      </c>
      <c r="ET605" s="196">
        <f>'Detailed Budget'!$AC$214</f>
        <v>22239745544.201103</v>
      </c>
      <c r="EU605" s="269">
        <f t="shared" si="1552"/>
        <v>6883919.1884280285</v>
      </c>
      <c r="EV605" s="140">
        <f>'Detailed Budget'!$AC$217</f>
        <v>5559936386.0502758</v>
      </c>
      <c r="EW605" s="269">
        <f t="shared" si="1553"/>
        <v>1720979.7971070071</v>
      </c>
      <c r="EX605" s="269">
        <f t="shared" si="1517"/>
        <v>8604898.9855350349</v>
      </c>
      <c r="EY605" s="196">
        <f>'Detailed Budget'!$AC$219</f>
        <v>372777004.58170313</v>
      </c>
      <c r="EZ605" s="269">
        <f t="shared" si="1554"/>
        <v>120792.31114552901</v>
      </c>
      <c r="FA605" s="196">
        <f>'Detailed Budget'!$AC$222</f>
        <v>93194251.145425782</v>
      </c>
      <c r="FB605" s="269">
        <f t="shared" si="1555"/>
        <v>30198.077786382251</v>
      </c>
      <c r="FC605" s="269">
        <f t="shared" si="1518"/>
        <v>150990.38893191126</v>
      </c>
      <c r="FD605" s="269"/>
      <c r="FE605" s="269">
        <f t="shared" si="1519"/>
        <v>88195843.261286825</v>
      </c>
      <c r="FF605" s="140">
        <f>'Detailed Budget'!$AC$165</f>
        <v>14927760000</v>
      </c>
      <c r="FG605" s="1087">
        <f t="shared" si="1585"/>
        <v>120304968.23111701</v>
      </c>
      <c r="FH605" s="269">
        <f t="shared" si="1556"/>
        <v>16961436.200431772</v>
      </c>
      <c r="FJ605" s="140">
        <f>'Detailed Budget'!$AC$235</f>
        <v>3623696172</v>
      </c>
      <c r="FK605" s="269">
        <f t="shared" si="1557"/>
        <v>4681778</v>
      </c>
      <c r="FL605" s="269">
        <f t="shared" si="1586"/>
        <v>4681778</v>
      </c>
      <c r="FO605" s="607"/>
      <c r="FP605" s="607"/>
      <c r="FQ605" s="607"/>
      <c r="FR605" s="269">
        <f>'Detailed Budget'!$AC$257</f>
        <v>13636439388</v>
      </c>
      <c r="FS605" s="269">
        <f t="shared" si="1558"/>
        <v>5496348</v>
      </c>
      <c r="FT605" s="269">
        <f t="shared" si="1587"/>
        <v>5496348</v>
      </c>
      <c r="FU605" s="269"/>
      <c r="FV605" s="269"/>
      <c r="FW605" s="269"/>
      <c r="FX605" s="140">
        <f>'Detailed Budget'!$AC$278</f>
        <v>1114560000</v>
      </c>
      <c r="FY605" s="269">
        <f t="shared" si="1559"/>
        <v>1440000</v>
      </c>
      <c r="FZ605" s="269">
        <f t="shared" si="1588"/>
        <v>1440000</v>
      </c>
      <c r="GB605" s="269">
        <f t="shared" si="1596"/>
        <v>729376794.99453568</v>
      </c>
      <c r="GC605" s="887">
        <f t="shared" si="1520"/>
        <v>455860.49687158479</v>
      </c>
      <c r="GD605" s="1078">
        <f t="shared" si="1597"/>
        <v>4.0927628709242658E-4</v>
      </c>
    </row>
    <row r="606" spans="1:186" hidden="1" outlineLevel="1">
      <c r="A606" s="211" t="s">
        <v>1321</v>
      </c>
      <c r="B606" s="212" t="s">
        <v>1322</v>
      </c>
      <c r="C606" s="213" t="s">
        <v>215</v>
      </c>
      <c r="D606" s="214"/>
      <c r="E606" s="213"/>
      <c r="F606" s="213"/>
      <c r="G606" s="213" t="s">
        <v>215</v>
      </c>
      <c r="H606" s="213" t="s">
        <v>215</v>
      </c>
      <c r="I606" s="214" t="s">
        <v>215</v>
      </c>
      <c r="J606" s="214"/>
      <c r="K606" s="213"/>
      <c r="L606" s="213"/>
      <c r="M606" s="214" t="s">
        <v>215</v>
      </c>
      <c r="N606" s="213"/>
      <c r="O606" s="214"/>
      <c r="P606" s="213"/>
      <c r="Q606" s="214"/>
      <c r="R606" s="214" t="s">
        <v>215</v>
      </c>
      <c r="S606" s="214"/>
      <c r="T606" s="214"/>
      <c r="U606" s="215">
        <f t="shared" si="1564"/>
        <v>6</v>
      </c>
      <c r="V606" s="845" t="s">
        <v>216</v>
      </c>
      <c r="W606" s="216">
        <v>125473</v>
      </c>
      <c r="X606" s="217">
        <v>3.36</v>
      </c>
      <c r="Y606" s="218">
        <f t="shared" si="1477"/>
        <v>1.0336000000000001</v>
      </c>
      <c r="Z606" s="196">
        <v>19</v>
      </c>
      <c r="AA606" s="218">
        <f t="shared" si="1478"/>
        <v>1.873689022502546</v>
      </c>
      <c r="AB606" s="196">
        <f t="shared" si="1561"/>
        <v>235097.38272046196</v>
      </c>
      <c r="AC606">
        <v>12.2</v>
      </c>
      <c r="AD606" s="196">
        <f t="shared" si="1562"/>
        <v>28681.880691896356</v>
      </c>
      <c r="AE606" s="196">
        <f t="shared" si="1479"/>
        <v>27247.786657301538</v>
      </c>
      <c r="AF606" s="196">
        <f t="shared" si="1565"/>
        <v>0</v>
      </c>
      <c r="AG606" s="606">
        <f t="shared" si="1523"/>
        <v>1.2598180350088426E-3</v>
      </c>
      <c r="AH606" s="196">
        <f t="shared" si="1582"/>
        <v>11754.869136023099</v>
      </c>
      <c r="AI606" s="248">
        <f t="shared" si="1503"/>
        <v>9.1063190160131993E-4</v>
      </c>
      <c r="AJ606" s="196">
        <f t="shared" si="1504"/>
        <v>40436.749827919455</v>
      </c>
      <c r="AK606" s="196">
        <f t="shared" si="1532"/>
        <v>9403.895308818479</v>
      </c>
      <c r="AL606" s="196">
        <f t="shared" si="1533"/>
        <v>9403.895308818479</v>
      </c>
      <c r="AM606" s="196">
        <f t="shared" si="1505"/>
        <v>18807.790617636958</v>
      </c>
      <c r="AN606" s="627">
        <f t="shared" si="1506"/>
        <v>9.1063190160131993E-4</v>
      </c>
      <c r="AO606" s="196">
        <f t="shared" si="1507"/>
        <v>8933.7005433775539</v>
      </c>
      <c r="AP606" s="589">
        <f t="shared" si="1524"/>
        <v>9.1063190160131982E-4</v>
      </c>
      <c r="AQ606" s="196"/>
      <c r="AR606" s="589"/>
      <c r="AS606">
        <v>1</v>
      </c>
      <c r="AT606" s="589">
        <f t="shared" si="1525"/>
        <v>1.2919896640826874E-3</v>
      </c>
      <c r="AU606" s="196">
        <v>11</v>
      </c>
      <c r="AV606" s="245">
        <f t="shared" si="1536"/>
        <v>1.2498579706851495E-3</v>
      </c>
      <c r="AX606" s="245"/>
      <c r="AY606" s="245"/>
      <c r="AZ606" s="196">
        <v>16</v>
      </c>
      <c r="BA606" s="589">
        <f t="shared" si="1590"/>
        <v>5.8627386317833719E-4</v>
      </c>
      <c r="BI606" s="196">
        <v>1</v>
      </c>
      <c r="BJ606" s="196">
        <f t="shared" si="1566"/>
        <v>130609.67493117556</v>
      </c>
      <c r="BK606" s="246">
        <f t="shared" si="1591"/>
        <v>2.4906476991357132E-3</v>
      </c>
      <c r="BL606" s="196">
        <f t="shared" si="1583"/>
        <v>2612.193498623511</v>
      </c>
      <c r="BM606" s="246">
        <f t="shared" si="1592"/>
        <v>2.4906474141648521E-3</v>
      </c>
      <c r="BN606" s="196">
        <v>0</v>
      </c>
      <c r="BO606" s="196">
        <f t="shared" si="1567"/>
        <v>10606.217228063342</v>
      </c>
      <c r="BP606" s="196">
        <f t="shared" si="1508"/>
        <v>0</v>
      </c>
      <c r="BQ606" s="248">
        <f t="shared" si="1593"/>
        <v>0</v>
      </c>
      <c r="BR606" s="248"/>
      <c r="BS606" s="248"/>
      <c r="BT606" s="276">
        <v>0</v>
      </c>
      <c r="BU606" s="196">
        <f t="shared" si="1568"/>
        <v>0</v>
      </c>
      <c r="BV606" s="264">
        <f t="shared" si="1594"/>
        <v>0</v>
      </c>
      <c r="BW606" s="196">
        <f t="shared" si="1569"/>
        <v>0</v>
      </c>
      <c r="BX606" s="247">
        <f t="shared" si="1595"/>
        <v>0</v>
      </c>
      <c r="BY606" s="196">
        <f t="shared" si="1570"/>
        <v>0</v>
      </c>
      <c r="BZ606" s="620">
        <v>1</v>
      </c>
      <c r="CA606" s="196">
        <f t="shared" si="1571"/>
        <v>71939.799112461362</v>
      </c>
      <c r="CB606" s="196">
        <f t="shared" si="1572"/>
        <v>143879.59822492272</v>
      </c>
      <c r="CC606" s="196">
        <f t="shared" si="1521"/>
        <v>215819.39733738409</v>
      </c>
      <c r="CD606" s="247">
        <f t="shared" si="1509"/>
        <v>9.1063190160131993E-4</v>
      </c>
      <c r="CE606" s="196">
        <f t="shared" si="1573"/>
        <v>16108.706586711056</v>
      </c>
      <c r="CF606" s="247">
        <f t="shared" si="1510"/>
        <v>6.9562404761641997E-4</v>
      </c>
      <c r="CG606" s="196">
        <f t="shared" si="1538"/>
        <v>35734.802173510216</v>
      </c>
      <c r="CH606" s="589">
        <f t="shared" si="1526"/>
        <v>9.1063190160131982E-4</v>
      </c>
      <c r="CI606" s="196">
        <f t="shared" si="1574"/>
        <v>64784.836663633956</v>
      </c>
      <c r="CJ606" s="248">
        <f t="shared" si="1527"/>
        <v>1.0650625503044846E-3</v>
      </c>
      <c r="CK606" s="196">
        <f t="shared" si="1575"/>
        <v>52429.797491100609</v>
      </c>
      <c r="CL606" s="589">
        <f t="shared" si="1528"/>
        <v>7.5368912328381403E-4</v>
      </c>
      <c r="CM606" s="196">
        <f t="shared" si="1576"/>
        <v>5079.1466805929449</v>
      </c>
      <c r="CN606" s="589">
        <f t="shared" si="1529"/>
        <v>7.3196275940304247E-4</v>
      </c>
      <c r="CO606" s="196">
        <f t="shared" si="1577"/>
        <v>406.3188721849416</v>
      </c>
      <c r="CP606" s="589">
        <f t="shared" si="1530"/>
        <v>7.6625480831307605E-4</v>
      </c>
      <c r="CQ606" s="196">
        <f>'Detailed Budget'!$AC$12</f>
        <v>292876014141.44696</v>
      </c>
      <c r="CR606" s="269">
        <f t="shared" si="1534"/>
        <v>729450970.75343347</v>
      </c>
      <c r="CS606" s="269">
        <f>'Detailed Budget'!$AC$16</f>
        <v>10488008800.000002</v>
      </c>
      <c r="CT606" s="607">
        <f t="shared" si="1539"/>
        <v>26121931.99745822</v>
      </c>
      <c r="CU606" s="269">
        <f>'Detailed Budget'!$AC$24</f>
        <v>30624985696</v>
      </c>
      <c r="CV606" s="269">
        <f t="shared" si="1589"/>
        <v>76276050.159806535</v>
      </c>
      <c r="CW606" s="269"/>
      <c r="CX606" s="269">
        <f t="shared" si="1522"/>
        <v>831848952.91069818</v>
      </c>
      <c r="CY606" s="196">
        <f>'Detailed Budget'!$AC$97</f>
        <v>74629165494.837845</v>
      </c>
      <c r="CZ606" s="269">
        <f t="shared" si="1540"/>
        <v>0</v>
      </c>
      <c r="DA606" s="269">
        <f>'Detailed Budget'!$AC$100</f>
        <v>14925833098.967569</v>
      </c>
      <c r="DB606" s="269">
        <f t="shared" si="1541"/>
        <v>0</v>
      </c>
      <c r="DC606" s="269">
        <f t="shared" si="1511"/>
        <v>0</v>
      </c>
      <c r="DD606" s="207">
        <v>0</v>
      </c>
      <c r="DE606" s="606">
        <v>0</v>
      </c>
      <c r="DF606" s="269">
        <f>'Detailed Budget'!$AC$147</f>
        <v>5913600671000</v>
      </c>
      <c r="DG606" s="269">
        <f t="shared" si="1584"/>
        <v>0</v>
      </c>
      <c r="DH606" s="269">
        <f>'Detailed Budget'!$AC$153</f>
        <v>226428026880.00003</v>
      </c>
      <c r="DI606" s="269"/>
      <c r="DJ606" s="269">
        <f>'Detailed Budget'!$AC$156</f>
        <v>27713070000</v>
      </c>
      <c r="DK606" s="269"/>
      <c r="DL606" s="269"/>
      <c r="DM606" s="196">
        <f>'Detailed Budget'!$AC$178</f>
        <v>5622683761.6229038</v>
      </c>
      <c r="DN606" s="269">
        <f t="shared" si="1578"/>
        <v>0</v>
      </c>
      <c r="DO606" s="196">
        <f>'Detailed Budget'!$AC$179</f>
        <v>26827890683.128094</v>
      </c>
      <c r="DP606" s="269">
        <f t="shared" si="1579"/>
        <v>0</v>
      </c>
      <c r="DQ606" s="269">
        <f t="shared" si="1531"/>
        <v>0</v>
      </c>
      <c r="DR606" s="269">
        <f>'Detailed Budget'!$AC$181</f>
        <v>50888946855.375237</v>
      </c>
      <c r="DS606" s="269">
        <f t="shared" si="1580"/>
        <v>0</v>
      </c>
      <c r="DT606" s="269">
        <f t="shared" si="1581"/>
        <v>0</v>
      </c>
      <c r="DU606" s="272">
        <f>'Detailed Budget'!$AC$192</f>
        <v>77498869683.252869</v>
      </c>
      <c r="DV606" s="269">
        <f t="shared" si="1542"/>
        <v>70572943.071613446</v>
      </c>
      <c r="DW606" s="140">
        <f>'Detailed Budget'!$AC$194</f>
        <v>2684962805.4134097</v>
      </c>
      <c r="DX606" s="269">
        <f t="shared" si="1543"/>
        <v>2445012.7852224279</v>
      </c>
      <c r="DY606" s="607">
        <f t="shared" si="1512"/>
        <v>73017955.856835872</v>
      </c>
      <c r="DZ606" s="196">
        <f>'Detailed Budget'!$AC$198</f>
        <v>18732540018.380611</v>
      </c>
      <c r="EA606" s="269">
        <f t="shared" si="1544"/>
        <v>13030805.309722487</v>
      </c>
      <c r="EB606" s="196">
        <f>'Detailed Budget'!$AC$200</f>
        <v>4683135004.5951529</v>
      </c>
      <c r="EC606" s="269">
        <f t="shared" si="1545"/>
        <v>3257701.3274306217</v>
      </c>
      <c r="ED606" s="269">
        <f t="shared" si="1513"/>
        <v>16288506.637153108</v>
      </c>
      <c r="EE606" s="196">
        <f>'Detailed Budget'!$AC$161</f>
        <v>251147290106.36197</v>
      </c>
      <c r="EF606" s="269">
        <f t="shared" si="1546"/>
        <v>228702734.37157473</v>
      </c>
      <c r="EG606" s="196">
        <f>'Detailed Budget'!$AC$163</f>
        <v>15696705631.647623</v>
      </c>
      <c r="EH606" s="269">
        <f t="shared" si="1547"/>
        <v>14293920.898223421</v>
      </c>
      <c r="EI606" s="269">
        <f t="shared" si="1514"/>
        <v>242996655.26979816</v>
      </c>
      <c r="EJ606" s="196">
        <f>'Detailed Budget'!$AC$204</f>
        <v>45012172507.531975</v>
      </c>
      <c r="EK606" s="269">
        <f t="shared" si="1548"/>
        <v>47940779.245617412</v>
      </c>
      <c r="EL606" s="201">
        <f>'Detailed Budget'!$AC$206</f>
        <v>11253043126.882994</v>
      </c>
      <c r="EM606" s="269">
        <f t="shared" si="1549"/>
        <v>11985194.811404353</v>
      </c>
      <c r="EN606" s="269">
        <f t="shared" si="1515"/>
        <v>59925974.057021767</v>
      </c>
      <c r="EO606" s="140">
        <f>'Detailed Budget'!$AC$209</f>
        <v>135789361677.54817</v>
      </c>
      <c r="EP606" s="269">
        <f t="shared" si="1550"/>
        <v>102342964.95402001</v>
      </c>
      <c r="EQ606" s="196">
        <f>'Detailed Budget'!$AC$211</f>
        <v>33947340419.387043</v>
      </c>
      <c r="ER606" s="269">
        <f t="shared" si="1551"/>
        <v>25585741.238505002</v>
      </c>
      <c r="ES606" s="269">
        <f t="shared" si="1516"/>
        <v>127928706.19252501</v>
      </c>
      <c r="ET606" s="196">
        <f>'Detailed Budget'!$AC$214</f>
        <v>22239745544.201103</v>
      </c>
      <c r="EU606" s="269">
        <f t="shared" si="1552"/>
        <v>16278665.516954958</v>
      </c>
      <c r="EV606" s="140">
        <f>'Detailed Budget'!$AC$217</f>
        <v>5559936386.0502758</v>
      </c>
      <c r="EW606" s="269">
        <f t="shared" si="1553"/>
        <v>4069666.3792387396</v>
      </c>
      <c r="EX606" s="269">
        <f t="shared" si="1517"/>
        <v>20348331.896193698</v>
      </c>
      <c r="EY606" s="196">
        <f>'Detailed Budget'!$AC$219</f>
        <v>372777004.58170313</v>
      </c>
      <c r="EZ606" s="269">
        <f t="shared" si="1554"/>
        <v>285642.17218927562</v>
      </c>
      <c r="FA606" s="196">
        <f>'Detailed Budget'!$AC$222</f>
        <v>93194251.145425782</v>
      </c>
      <c r="FB606" s="269">
        <f t="shared" si="1555"/>
        <v>71410.543047318904</v>
      </c>
      <c r="FC606" s="269">
        <f t="shared" si="1518"/>
        <v>357052.71523659455</v>
      </c>
      <c r="FD606" s="269"/>
      <c r="FE606" s="269">
        <f t="shared" si="1519"/>
        <v>208560064.86097705</v>
      </c>
      <c r="FF606" s="140">
        <f>'Detailed Budget'!$AC$165</f>
        <v>14927760000</v>
      </c>
      <c r="FG606" s="1087">
        <f t="shared" si="1585"/>
        <v>284489733.86473703</v>
      </c>
      <c r="FH606" s="269">
        <f t="shared" si="1556"/>
        <v>18657579.820474949</v>
      </c>
      <c r="FJ606" s="140">
        <f>'Detailed Budget'!$AC$235</f>
        <v>3623696172</v>
      </c>
      <c r="FK606" s="269">
        <f t="shared" si="1557"/>
        <v>4681778</v>
      </c>
      <c r="FL606" s="269">
        <f t="shared" si="1586"/>
        <v>4681778</v>
      </c>
      <c r="FO606" s="607"/>
      <c r="FP606" s="607"/>
      <c r="FQ606" s="607"/>
      <c r="FR606" s="269">
        <f>'Detailed Budget'!$AC$257</f>
        <v>13636439388</v>
      </c>
      <c r="FS606" s="269">
        <f t="shared" si="1558"/>
        <v>7994688</v>
      </c>
      <c r="FT606" s="269">
        <f t="shared" si="1587"/>
        <v>7994688</v>
      </c>
      <c r="FU606" s="269"/>
      <c r="FV606" s="269"/>
      <c r="FW606" s="269"/>
      <c r="FX606" s="140">
        <f>'Detailed Budget'!$AC$278</f>
        <v>1114560000</v>
      </c>
      <c r="FY606" s="269">
        <f t="shared" si="1559"/>
        <v>1440000</v>
      </c>
      <c r="FZ606" s="269">
        <f t="shared" si="1588"/>
        <v>1440000</v>
      </c>
      <c r="GB606" s="269">
        <f t="shared" si="1596"/>
        <v>1689975915.2206743</v>
      </c>
      <c r="GC606" s="887">
        <f t="shared" si="1520"/>
        <v>1056234.9470129213</v>
      </c>
      <c r="GD606" s="1078">
        <f t="shared" si="1597"/>
        <v>9.4829870185591093E-4</v>
      </c>
    </row>
    <row r="607" spans="1:186" hidden="1" outlineLevel="1">
      <c r="A607" s="211" t="s">
        <v>1323</v>
      </c>
      <c r="B607" s="212" t="s">
        <v>1324</v>
      </c>
      <c r="C607" s="213" t="s">
        <v>215</v>
      </c>
      <c r="D607" s="214"/>
      <c r="E607" s="213"/>
      <c r="F607" s="213"/>
      <c r="G607" s="213" t="s">
        <v>215</v>
      </c>
      <c r="H607" s="213" t="s">
        <v>215</v>
      </c>
      <c r="I607" s="214" t="s">
        <v>215</v>
      </c>
      <c r="J607" s="214"/>
      <c r="K607" s="213"/>
      <c r="L607" s="213"/>
      <c r="M607" s="214" t="s">
        <v>215</v>
      </c>
      <c r="N607" s="213"/>
      <c r="O607" s="214"/>
      <c r="P607" s="213"/>
      <c r="Q607" s="214"/>
      <c r="R607" s="214" t="s">
        <v>215</v>
      </c>
      <c r="S607" s="214"/>
      <c r="T607" s="214"/>
      <c r="U607" s="215">
        <f t="shared" si="1564"/>
        <v>6</v>
      </c>
      <c r="V607" s="845" t="s">
        <v>216</v>
      </c>
      <c r="W607" s="216">
        <v>117169</v>
      </c>
      <c r="X607" s="217">
        <v>3.36</v>
      </c>
      <c r="Y607" s="218">
        <f t="shared" si="1477"/>
        <v>1.0336000000000001</v>
      </c>
      <c r="Z607" s="196">
        <v>19</v>
      </c>
      <c r="AA607" s="218">
        <f t="shared" si="1478"/>
        <v>1.873689022502546</v>
      </c>
      <c r="AB607" s="196">
        <f t="shared" si="1561"/>
        <v>219538.26907760082</v>
      </c>
      <c r="AC607">
        <v>12.2</v>
      </c>
      <c r="AD607" s="196">
        <f t="shared" si="1562"/>
        <v>26783.6688274673</v>
      </c>
      <c r="AE607" s="196">
        <f t="shared" si="1479"/>
        <v>25444.485386093933</v>
      </c>
      <c r="AF607" s="196">
        <f t="shared" si="1565"/>
        <v>0</v>
      </c>
      <c r="AG607" s="606">
        <f t="shared" si="1523"/>
        <v>1.1764413008691201E-3</v>
      </c>
      <c r="AH607" s="196">
        <f t="shared" si="1582"/>
        <v>10976.913453880043</v>
      </c>
      <c r="AI607" s="248">
        <f t="shared" si="1503"/>
        <v>8.5036485362368849E-4</v>
      </c>
      <c r="AJ607" s="196">
        <f t="shared" si="1504"/>
        <v>37760.582281347342</v>
      </c>
      <c r="AK607" s="196">
        <f t="shared" si="1532"/>
        <v>8781.5307631040323</v>
      </c>
      <c r="AL607" s="196">
        <f t="shared" si="1533"/>
        <v>8781.5307631040323</v>
      </c>
      <c r="AM607" s="196">
        <f t="shared" si="1505"/>
        <v>17563.061526208065</v>
      </c>
      <c r="AN607" s="627">
        <f t="shared" si="1506"/>
        <v>8.5036485362368838E-4</v>
      </c>
      <c r="AO607" s="196">
        <f t="shared" si="1507"/>
        <v>8342.4542249488313</v>
      </c>
      <c r="AP607" s="589">
        <f t="shared" si="1524"/>
        <v>8.5036485362368838E-4</v>
      </c>
      <c r="AQ607" s="196"/>
      <c r="AR607" s="589"/>
      <c r="AS607">
        <v>1</v>
      </c>
      <c r="AT607" s="589">
        <f t="shared" si="1525"/>
        <v>1.2919896640826874E-3</v>
      </c>
      <c r="AU607" s="196">
        <v>11</v>
      </c>
      <c r="AV607" s="245">
        <f t="shared" si="1536"/>
        <v>1.2498579706851495E-3</v>
      </c>
      <c r="AX607" s="245"/>
      <c r="AY607" s="245"/>
      <c r="AZ607" s="196">
        <v>16</v>
      </c>
      <c r="BA607" s="589">
        <f t="shared" si="1590"/>
        <v>5.8627386317833719E-4</v>
      </c>
      <c r="BI607" s="196">
        <v>1</v>
      </c>
      <c r="BJ607" s="196">
        <f t="shared" si="1566"/>
        <v>121965.72172507959</v>
      </c>
      <c r="BK607" s="246">
        <f t="shared" si="1591"/>
        <v>2.325812726722342E-3</v>
      </c>
      <c r="BL607" s="196">
        <f t="shared" si="1583"/>
        <v>2439.3144345015917</v>
      </c>
      <c r="BM607" s="246">
        <f t="shared" si="1592"/>
        <v>2.3258124606112996E-3</v>
      </c>
      <c r="BN607" s="196">
        <v>0</v>
      </c>
      <c r="BO607" s="196">
        <f t="shared" si="1567"/>
        <v>9904.2811313585717</v>
      </c>
      <c r="BP607" s="196">
        <f t="shared" si="1508"/>
        <v>0</v>
      </c>
      <c r="BQ607" s="248">
        <f t="shared" si="1593"/>
        <v>0</v>
      </c>
      <c r="BR607" s="248"/>
      <c r="BS607" s="248"/>
      <c r="BT607" s="276">
        <v>0</v>
      </c>
      <c r="BU607" s="196">
        <f t="shared" si="1568"/>
        <v>0</v>
      </c>
      <c r="BV607" s="264">
        <f t="shared" si="1594"/>
        <v>0</v>
      </c>
      <c r="BW607" s="196">
        <f t="shared" si="1569"/>
        <v>0</v>
      </c>
      <c r="BX607" s="247">
        <f t="shared" si="1595"/>
        <v>0</v>
      </c>
      <c r="BY607" s="196">
        <f t="shared" si="1570"/>
        <v>0</v>
      </c>
      <c r="BZ607" s="620">
        <v>1</v>
      </c>
      <c r="CA607" s="196">
        <f t="shared" si="1571"/>
        <v>67178.710337745841</v>
      </c>
      <c r="CB607" s="196">
        <f t="shared" si="1572"/>
        <v>134357.42067549168</v>
      </c>
      <c r="CC607" s="196">
        <f t="shared" si="1521"/>
        <v>201536.13101323752</v>
      </c>
      <c r="CD607" s="247">
        <f t="shared" si="1509"/>
        <v>8.5036485362368827E-4</v>
      </c>
      <c r="CE607" s="196">
        <f t="shared" si="1573"/>
        <v>15042.607111158162</v>
      </c>
      <c r="CF607" s="247">
        <f t="shared" si="1510"/>
        <v>6.4958655675060239E-4</v>
      </c>
      <c r="CG607" s="196">
        <f t="shared" si="1538"/>
        <v>33369.816899795325</v>
      </c>
      <c r="CH607" s="589">
        <f t="shared" si="1526"/>
        <v>8.5036485362368838E-4</v>
      </c>
      <c r="CI607" s="196">
        <f t="shared" si="1574"/>
        <v>60497.274529510956</v>
      </c>
      <c r="CJ607" s="248">
        <f t="shared" si="1527"/>
        <v>9.9457503970277398E-4</v>
      </c>
      <c r="CK607" s="196">
        <f t="shared" si="1575"/>
        <v>48959.911233769562</v>
      </c>
      <c r="CL607" s="589">
        <f t="shared" si="1528"/>
        <v>7.0380879460952737E-4</v>
      </c>
      <c r="CM607" s="196">
        <f t="shared" si="1576"/>
        <v>4743.0007843790681</v>
      </c>
      <c r="CN607" s="589">
        <f t="shared" si="1529"/>
        <v>6.8352031557781428E-4</v>
      </c>
      <c r="CO607" s="196">
        <f t="shared" si="1577"/>
        <v>379.42805173254351</v>
      </c>
      <c r="CP607" s="589">
        <f t="shared" si="1530"/>
        <v>7.1554286288870775E-4</v>
      </c>
      <c r="CQ607" s="196">
        <f>'Detailed Budget'!$AC$12</f>
        <v>292876014141.44696</v>
      </c>
      <c r="CR607" s="269">
        <f t="shared" si="1534"/>
        <v>681174761.04188991</v>
      </c>
      <c r="CS607" s="269">
        <f>'Detailed Budget'!$AC$16</f>
        <v>10488008800.000002</v>
      </c>
      <c r="CT607" s="607">
        <f t="shared" si="1539"/>
        <v>24393141.554040968</v>
      </c>
      <c r="CU607" s="269">
        <f>'Detailed Budget'!$AC$24</f>
        <v>30624985696</v>
      </c>
      <c r="CV607" s="269">
        <f t="shared" si="1589"/>
        <v>71227981.487446487</v>
      </c>
      <c r="CW607" s="269"/>
      <c r="CX607" s="269">
        <f t="shared" si="1522"/>
        <v>776795884.08337736</v>
      </c>
      <c r="CY607" s="196">
        <f>'Detailed Budget'!$AC$97</f>
        <v>74629165494.837845</v>
      </c>
      <c r="CZ607" s="269">
        <f t="shared" si="1540"/>
        <v>0</v>
      </c>
      <c r="DA607" s="269">
        <f>'Detailed Budget'!$AC$100</f>
        <v>14925833098.967569</v>
      </c>
      <c r="DB607" s="269">
        <f t="shared" si="1541"/>
        <v>0</v>
      </c>
      <c r="DC607" s="269">
        <f t="shared" si="1511"/>
        <v>0</v>
      </c>
      <c r="DD607" s="207">
        <v>0</v>
      </c>
      <c r="DE607" s="606">
        <v>0</v>
      </c>
      <c r="DF607" s="269">
        <f>'Detailed Budget'!$AC$147</f>
        <v>5913600671000</v>
      </c>
      <c r="DG607" s="269">
        <f t="shared" si="1584"/>
        <v>0</v>
      </c>
      <c r="DH607" s="269">
        <f>'Detailed Budget'!$AC$153</f>
        <v>226428026880.00003</v>
      </c>
      <c r="DI607" s="269"/>
      <c r="DJ607" s="269">
        <f>'Detailed Budget'!$AC$156</f>
        <v>27713070000</v>
      </c>
      <c r="DK607" s="269"/>
      <c r="DL607" s="269"/>
      <c r="DM607" s="196">
        <f>'Detailed Budget'!$AC$178</f>
        <v>5622683761.6229038</v>
      </c>
      <c r="DN607" s="269">
        <f t="shared" si="1578"/>
        <v>0</v>
      </c>
      <c r="DO607" s="196">
        <f>'Detailed Budget'!$AC$179</f>
        <v>26827890683.128094</v>
      </c>
      <c r="DP607" s="269">
        <f t="shared" si="1579"/>
        <v>0</v>
      </c>
      <c r="DQ607" s="269">
        <f t="shared" si="1531"/>
        <v>0</v>
      </c>
      <c r="DR607" s="269">
        <f>'Detailed Budget'!$AC$181</f>
        <v>50888946855.375237</v>
      </c>
      <c r="DS607" s="269">
        <f t="shared" si="1580"/>
        <v>0</v>
      </c>
      <c r="DT607" s="269">
        <f t="shared" si="1581"/>
        <v>0</v>
      </c>
      <c r="DU607" s="272">
        <f>'Detailed Budget'!$AC$192</f>
        <v>77498869683.252869</v>
      </c>
      <c r="DV607" s="269">
        <f t="shared" si="1542"/>
        <v>65902314.974200621</v>
      </c>
      <c r="DW607" s="140">
        <f>'Detailed Budget'!$AC$194</f>
        <v>2684962805.4134097</v>
      </c>
      <c r="DX607" s="269">
        <f t="shared" si="1543"/>
        <v>2283198.003010422</v>
      </c>
      <c r="DY607" s="607">
        <f t="shared" si="1512"/>
        <v>68185512.977211043</v>
      </c>
      <c r="DZ607" s="196">
        <f>'Detailed Budget'!$AC$198</f>
        <v>18732540018.380611</v>
      </c>
      <c r="EA607" s="269">
        <f t="shared" si="1544"/>
        <v>12168406.169732727</v>
      </c>
      <c r="EB607" s="196">
        <f>'Detailed Budget'!$AC$200</f>
        <v>4683135004.5951529</v>
      </c>
      <c r="EC607" s="269">
        <f t="shared" si="1545"/>
        <v>3042101.5424331818</v>
      </c>
      <c r="ED607" s="269">
        <f t="shared" si="1513"/>
        <v>15210507.712165909</v>
      </c>
      <c r="EE607" s="196">
        <f>'Detailed Budget'!$AC$161</f>
        <v>251147290106.36197</v>
      </c>
      <c r="EF607" s="269">
        <f t="shared" si="1546"/>
        <v>213566828.58928248</v>
      </c>
      <c r="EG607" s="196">
        <f>'Detailed Budget'!$AC$163</f>
        <v>15696705631.647623</v>
      </c>
      <c r="EH607" s="269">
        <f t="shared" si="1547"/>
        <v>13347926.786830155</v>
      </c>
      <c r="EI607" s="269">
        <f t="shared" si="1514"/>
        <v>226914755.37611264</v>
      </c>
      <c r="EJ607" s="196">
        <f>'Detailed Budget'!$AC$204</f>
        <v>45012172507.531975</v>
      </c>
      <c r="EK607" s="269">
        <f t="shared" si="1548"/>
        <v>44767983.258786723</v>
      </c>
      <c r="EL607" s="201">
        <f>'Detailed Budget'!$AC$206</f>
        <v>11253043126.882994</v>
      </c>
      <c r="EM607" s="269">
        <f t="shared" si="1549"/>
        <v>11191995.814696681</v>
      </c>
      <c r="EN607" s="269">
        <f t="shared" si="1515"/>
        <v>55959979.073483407</v>
      </c>
      <c r="EO607" s="140">
        <f>'Detailed Budget'!$AC$209</f>
        <v>135789361677.54817</v>
      </c>
      <c r="EP607" s="269">
        <f t="shared" si="1550"/>
        <v>95569746.96307233</v>
      </c>
      <c r="EQ607" s="196">
        <f>'Detailed Budget'!$AC$211</f>
        <v>33947340419.387043</v>
      </c>
      <c r="ER607" s="269">
        <f t="shared" si="1551"/>
        <v>23892436.740768082</v>
      </c>
      <c r="ES607" s="269">
        <f t="shared" si="1516"/>
        <v>119462183.7038404</v>
      </c>
      <c r="ET607" s="196">
        <f>'Detailed Budget'!$AC$214</f>
        <v>22239745544.201103</v>
      </c>
      <c r="EU607" s="269">
        <f t="shared" si="1552"/>
        <v>15201317.892742626</v>
      </c>
      <c r="EV607" s="140">
        <f>'Detailed Budget'!$AC$217</f>
        <v>5559936386.0502758</v>
      </c>
      <c r="EW607" s="269">
        <f t="shared" si="1553"/>
        <v>3800329.4731856566</v>
      </c>
      <c r="EX607" s="269">
        <f t="shared" si="1517"/>
        <v>19001647.365928285</v>
      </c>
      <c r="EY607" s="196">
        <f>'Detailed Budget'!$AC$219</f>
        <v>372777004.58170313</v>
      </c>
      <c r="EZ607" s="269">
        <f t="shared" si="1554"/>
        <v>266737.9250774688</v>
      </c>
      <c r="FA607" s="196">
        <f>'Detailed Budget'!$AC$222</f>
        <v>93194251.145425782</v>
      </c>
      <c r="FB607" s="269">
        <f t="shared" si="1555"/>
        <v>66684.481269367199</v>
      </c>
      <c r="FC607" s="269">
        <f t="shared" si="1518"/>
        <v>333422.40634683601</v>
      </c>
      <c r="FD607" s="269"/>
      <c r="FE607" s="269">
        <f t="shared" si="1519"/>
        <v>194757232.54959893</v>
      </c>
      <c r="FF607" s="140">
        <f>'Detailed Budget'!$AC$165</f>
        <v>14927760000</v>
      </c>
      <c r="FG607" s="1087">
        <f t="shared" si="1585"/>
        <v>265661756.92935833</v>
      </c>
      <c r="FH607" s="269">
        <f t="shared" si="1556"/>
        <v>18657579.820474949</v>
      </c>
      <c r="FJ607" s="140">
        <f>'Detailed Budget'!$AC$235</f>
        <v>3623696172</v>
      </c>
      <c r="FK607" s="269">
        <f t="shared" si="1557"/>
        <v>4681778</v>
      </c>
      <c r="FL607" s="269">
        <f t="shared" si="1586"/>
        <v>4681778</v>
      </c>
      <c r="FO607" s="607"/>
      <c r="FP607" s="607"/>
      <c r="FQ607" s="607"/>
      <c r="FR607" s="269">
        <f>'Detailed Budget'!$AC$257</f>
        <v>13636439388</v>
      </c>
      <c r="FS607" s="269">
        <f t="shared" si="1558"/>
        <v>7994688</v>
      </c>
      <c r="FT607" s="269">
        <f t="shared" si="1587"/>
        <v>7994688</v>
      </c>
      <c r="FU607" s="269"/>
      <c r="FV607" s="269"/>
      <c r="FW607" s="269"/>
      <c r="FX607" s="140">
        <f>'Detailed Budget'!$AC$278</f>
        <v>1114560000</v>
      </c>
      <c r="FY607" s="269">
        <f t="shared" si="1559"/>
        <v>1440000</v>
      </c>
      <c r="FZ607" s="269">
        <f t="shared" si="1588"/>
        <v>1440000</v>
      </c>
      <c r="GB607" s="269">
        <f t="shared" si="1596"/>
        <v>1580299695.4482989</v>
      </c>
      <c r="GC607" s="887">
        <f t="shared" si="1520"/>
        <v>987687.30965518684</v>
      </c>
      <c r="GD607" s="1078">
        <f t="shared" si="1597"/>
        <v>8.8675592133585464E-4</v>
      </c>
    </row>
    <row r="608" spans="1:186" hidden="1" outlineLevel="1">
      <c r="A608" s="211" t="s">
        <v>1325</v>
      </c>
      <c r="B608" s="212" t="s">
        <v>1326</v>
      </c>
      <c r="C608" s="213" t="s">
        <v>215</v>
      </c>
      <c r="D608" s="214"/>
      <c r="E608" s="213"/>
      <c r="F608" s="213"/>
      <c r="G608" s="213" t="s">
        <v>215</v>
      </c>
      <c r="H608" s="213" t="s">
        <v>215</v>
      </c>
      <c r="I608" s="214" t="s">
        <v>215</v>
      </c>
      <c r="J608" s="214"/>
      <c r="K608" s="213"/>
      <c r="L608" s="213"/>
      <c r="M608" s="214" t="s">
        <v>215</v>
      </c>
      <c r="N608" s="213"/>
      <c r="O608" s="214"/>
      <c r="P608" s="213"/>
      <c r="Q608" s="214"/>
      <c r="R608" s="214" t="s">
        <v>215</v>
      </c>
      <c r="S608" s="214"/>
      <c r="T608" s="214"/>
      <c r="U608" s="215">
        <f t="shared" si="1564"/>
        <v>6</v>
      </c>
      <c r="V608" s="845" t="s">
        <v>216</v>
      </c>
      <c r="W608" s="216">
        <v>70740</v>
      </c>
      <c r="X608" s="217">
        <v>3.36</v>
      </c>
      <c r="Y608" s="218">
        <f t="shared" ref="Y608:Y675" si="1598">1+X608/100</f>
        <v>1.0336000000000001</v>
      </c>
      <c r="Z608" s="196">
        <v>19</v>
      </c>
      <c r="AA608" s="218">
        <f t="shared" ref="AA608:AA675" si="1599">POWER(Y608,Z608)</f>
        <v>1.873689022502546</v>
      </c>
      <c r="AB608" s="196">
        <f t="shared" si="1561"/>
        <v>132544.7614518301</v>
      </c>
      <c r="AC608">
        <v>12.2</v>
      </c>
      <c r="AD608" s="196">
        <f t="shared" si="1562"/>
        <v>16170.460897123272</v>
      </c>
      <c r="AE608" s="196">
        <f t="shared" ref="AE608:AE675" si="1600">AD608*0.95</f>
        <v>15361.937852267107</v>
      </c>
      <c r="AF608" s="196">
        <f t="shared" si="1565"/>
        <v>0</v>
      </c>
      <c r="AG608" s="606">
        <f t="shared" si="1523"/>
        <v>7.102685661180137E-4</v>
      </c>
      <c r="AH608" s="196">
        <f t="shared" si="1582"/>
        <v>6627.2380725915054</v>
      </c>
      <c r="AI608" s="248">
        <f t="shared" si="1503"/>
        <v>5.134020922371934E-4</v>
      </c>
      <c r="AJ608" s="196">
        <f t="shared" si="1504"/>
        <v>22797.698969714776</v>
      </c>
      <c r="AK608" s="196">
        <f t="shared" si="1532"/>
        <v>5301.7904580732038</v>
      </c>
      <c r="AL608" s="196">
        <f t="shared" si="1533"/>
        <v>5301.7904580732038</v>
      </c>
      <c r="AM608" s="196">
        <f t="shared" si="1505"/>
        <v>10603.580916146408</v>
      </c>
      <c r="AN608" s="627">
        <f t="shared" si="1506"/>
        <v>5.134020922371934E-4</v>
      </c>
      <c r="AO608" s="196">
        <f t="shared" si="1507"/>
        <v>5036.7009351695433</v>
      </c>
      <c r="AP608" s="589">
        <f t="shared" si="1524"/>
        <v>5.1340209223719329E-4</v>
      </c>
      <c r="AQ608" s="196"/>
      <c r="AR608" s="589"/>
      <c r="AS608">
        <v>1</v>
      </c>
      <c r="AT608" s="589">
        <f t="shared" si="1525"/>
        <v>1.2919896640826874E-3</v>
      </c>
      <c r="AU608" s="196">
        <v>10</v>
      </c>
      <c r="AV608" s="245">
        <f t="shared" si="1536"/>
        <v>1.1362345188046814E-3</v>
      </c>
      <c r="AX608" s="245"/>
      <c r="AY608" s="245"/>
      <c r="AZ608" s="196">
        <v>20</v>
      </c>
      <c r="BA608" s="589">
        <f t="shared" si="1590"/>
        <v>7.3284232897292143E-4</v>
      </c>
      <c r="BI608" s="196">
        <v>1</v>
      </c>
      <c r="BJ608" s="196">
        <f t="shared" si="1566"/>
        <v>73635.98865597666</v>
      </c>
      <c r="BK608" s="246">
        <f t="shared" si="1591"/>
        <v>1.4041938762670882E-3</v>
      </c>
      <c r="BL608" s="196">
        <f t="shared" si="1583"/>
        <v>1472.7197731195331</v>
      </c>
      <c r="BM608" s="246">
        <f t="shared" si="1592"/>
        <v>1.4041937156043264E-3</v>
      </c>
      <c r="BN608" s="196">
        <v>0</v>
      </c>
      <c r="BO608" s="196">
        <f t="shared" si="1567"/>
        <v>5979.6434827668181</v>
      </c>
      <c r="BP608" s="196">
        <f t="shared" si="1508"/>
        <v>0</v>
      </c>
      <c r="BQ608" s="248">
        <f t="shared" si="1593"/>
        <v>0</v>
      </c>
      <c r="BR608" s="248"/>
      <c r="BS608" s="248"/>
      <c r="BT608" s="276">
        <v>0</v>
      </c>
      <c r="BU608" s="196">
        <f t="shared" si="1568"/>
        <v>0</v>
      </c>
      <c r="BV608" s="264">
        <f t="shared" si="1594"/>
        <v>0</v>
      </c>
      <c r="BW608" s="196">
        <f t="shared" si="1569"/>
        <v>0</v>
      </c>
      <c r="BX608" s="247">
        <f t="shared" si="1595"/>
        <v>0</v>
      </c>
      <c r="BY608" s="196">
        <f t="shared" si="1570"/>
        <v>0</v>
      </c>
      <c r="BZ608" s="620">
        <v>1</v>
      </c>
      <c r="CA608" s="196">
        <f t="shared" si="1571"/>
        <v>40558.697004260015</v>
      </c>
      <c r="CB608" s="196">
        <f t="shared" si="1572"/>
        <v>81117.39400852003</v>
      </c>
      <c r="CC608" s="196">
        <f t="shared" si="1521"/>
        <v>121676.09101278005</v>
      </c>
      <c r="CD608" s="247">
        <f t="shared" si="1509"/>
        <v>5.134020922371934E-4</v>
      </c>
      <c r="CE608" s="196">
        <f t="shared" si="1573"/>
        <v>9081.8734225207027</v>
      </c>
      <c r="CF608" s="247">
        <f t="shared" si="1510"/>
        <v>3.9218353851733483E-4</v>
      </c>
      <c r="CG608" s="196">
        <f t="shared" si="1538"/>
        <v>20146.803740678173</v>
      </c>
      <c r="CH608" s="589">
        <f t="shared" si="1526"/>
        <v>5.1340209223719329E-4</v>
      </c>
      <c r="CI608" s="196">
        <f t="shared" si="1574"/>
        <v>36524.824827536329</v>
      </c>
      <c r="CJ608" s="248">
        <f t="shared" si="1527"/>
        <v>6.0046802745243382E-4</v>
      </c>
      <c r="CK608" s="196">
        <f t="shared" si="1575"/>
        <v>29559.218911801399</v>
      </c>
      <c r="CL608" s="589">
        <f t="shared" si="1528"/>
        <v>4.2491985192907639E-4</v>
      </c>
      <c r="CM608" s="196">
        <f t="shared" si="1576"/>
        <v>2863.5549973711068</v>
      </c>
      <c r="CN608" s="589">
        <f t="shared" si="1529"/>
        <v>4.126708184244516E-4</v>
      </c>
      <c r="CO608" s="196">
        <f t="shared" si="1577"/>
        <v>229.07714821804507</v>
      </c>
      <c r="CP608" s="589">
        <f t="shared" si="1530"/>
        <v>4.3200421716279203E-4</v>
      </c>
      <c r="CQ608" s="196">
        <f>'Detailed Budget'!$AC$12</f>
        <v>292876014141.44696</v>
      </c>
      <c r="CR608" s="269">
        <f t="shared" si="1534"/>
        <v>411254705.56293291</v>
      </c>
      <c r="CS608" s="269">
        <f>'Detailed Budget'!$AC$16</f>
        <v>10488008800.000002</v>
      </c>
      <c r="CT608" s="607">
        <f t="shared" si="1539"/>
        <v>14727196.046162875</v>
      </c>
      <c r="CU608" s="269">
        <f>'Detailed Budget'!$AC$24</f>
        <v>30624985696</v>
      </c>
      <c r="CV608" s="269">
        <f t="shared" si="1589"/>
        <v>43003417.375090368</v>
      </c>
      <c r="CW608" s="269"/>
      <c r="CX608" s="269">
        <f t="shared" si="1522"/>
        <v>468985318.98418617</v>
      </c>
      <c r="CY608" s="196">
        <f>'Detailed Budget'!$AC$97</f>
        <v>74629165494.837845</v>
      </c>
      <c r="CZ608" s="269">
        <f t="shared" si="1540"/>
        <v>0</v>
      </c>
      <c r="DA608" s="269">
        <f>'Detailed Budget'!$AC$100</f>
        <v>14925833098.967569</v>
      </c>
      <c r="DB608" s="269">
        <f t="shared" si="1541"/>
        <v>0</v>
      </c>
      <c r="DC608" s="269">
        <f t="shared" si="1511"/>
        <v>0</v>
      </c>
      <c r="DD608" s="207">
        <v>0</v>
      </c>
      <c r="DE608" s="606">
        <v>0</v>
      </c>
      <c r="DF608" s="269">
        <f>'Detailed Budget'!$AC$147</f>
        <v>5913600671000</v>
      </c>
      <c r="DG608" s="269">
        <f t="shared" si="1584"/>
        <v>0</v>
      </c>
      <c r="DH608" s="269">
        <f>'Detailed Budget'!$AC$153</f>
        <v>226428026880.00003</v>
      </c>
      <c r="DI608" s="269"/>
      <c r="DJ608" s="269">
        <f>'Detailed Budget'!$AC$156</f>
        <v>27713070000</v>
      </c>
      <c r="DK608" s="269"/>
      <c r="DL608" s="269"/>
      <c r="DM608" s="196">
        <f>'Detailed Budget'!$AC$178</f>
        <v>5622683761.6229038</v>
      </c>
      <c r="DN608" s="269">
        <f t="shared" si="1578"/>
        <v>0</v>
      </c>
      <c r="DO608" s="196">
        <f>'Detailed Budget'!$AC$179</f>
        <v>26827890683.128094</v>
      </c>
      <c r="DP608" s="269">
        <f t="shared" si="1579"/>
        <v>0</v>
      </c>
      <c r="DQ608" s="269">
        <f t="shared" si="1531"/>
        <v>0</v>
      </c>
      <c r="DR608" s="269">
        <f>'Detailed Budget'!$AC$181</f>
        <v>50888946855.375237</v>
      </c>
      <c r="DS608" s="269">
        <f t="shared" si="1580"/>
        <v>0</v>
      </c>
      <c r="DT608" s="269">
        <f t="shared" si="1581"/>
        <v>0</v>
      </c>
      <c r="DU608" s="272">
        <f>'Detailed Budget'!$AC$192</f>
        <v>77498869683.252869</v>
      </c>
      <c r="DV608" s="269">
        <f t="shared" si="1542"/>
        <v>39788081.841399617</v>
      </c>
      <c r="DW608" s="140">
        <f>'Detailed Budget'!$AC$194</f>
        <v>2684962805.4134097</v>
      </c>
      <c r="DX608" s="269">
        <f t="shared" si="1543"/>
        <v>1378465.5218782888</v>
      </c>
      <c r="DY608" s="607">
        <f t="shared" si="1512"/>
        <v>41166547.363277905</v>
      </c>
      <c r="DZ608" s="196">
        <f>'Detailed Budget'!$AC$198</f>
        <v>18732540018.380611</v>
      </c>
      <c r="EA608" s="269">
        <f t="shared" si="1544"/>
        <v>7346593.8298260886</v>
      </c>
      <c r="EB608" s="196">
        <f>'Detailed Budget'!$AC$200</f>
        <v>4683135004.5951529</v>
      </c>
      <c r="EC608" s="269">
        <f t="shared" si="1545"/>
        <v>1836648.4574565222</v>
      </c>
      <c r="ED608" s="269">
        <f t="shared" si="1513"/>
        <v>9183242.2872826103</v>
      </c>
      <c r="EE608" s="196">
        <f>'Detailed Budget'!$AC$161</f>
        <v>251147290106.36197</v>
      </c>
      <c r="EF608" s="269">
        <f t="shared" si="1546"/>
        <v>128939544.20030759</v>
      </c>
      <c r="EG608" s="196">
        <f>'Detailed Budget'!$AC$163</f>
        <v>15696705631.647623</v>
      </c>
      <c r="EH608" s="269">
        <f t="shared" si="1547"/>
        <v>8058721.5125192245</v>
      </c>
      <c r="EI608" s="269">
        <f t="shared" si="1514"/>
        <v>136998265.71282682</v>
      </c>
      <c r="EJ608" s="196">
        <f>'Detailed Budget'!$AC$204</f>
        <v>45012172507.531975</v>
      </c>
      <c r="EK608" s="269">
        <f t="shared" si="1548"/>
        <v>27028370.436946396</v>
      </c>
      <c r="EL608" s="201">
        <f>'Detailed Budget'!$AC$206</f>
        <v>11253043126.882994</v>
      </c>
      <c r="EM608" s="269">
        <f t="shared" si="1549"/>
        <v>6757092.6092365989</v>
      </c>
      <c r="EN608" s="269">
        <f t="shared" si="1515"/>
        <v>33785463.046182998</v>
      </c>
      <c r="EO608" s="140">
        <f>'Detailed Budget'!$AC$209</f>
        <v>135789361677.54817</v>
      </c>
      <c r="EP608" s="269">
        <f t="shared" si="1550"/>
        <v>57699595.457567565</v>
      </c>
      <c r="EQ608" s="196">
        <f>'Detailed Budget'!$AC$211</f>
        <v>33947340419.387043</v>
      </c>
      <c r="ER608" s="269">
        <f t="shared" si="1551"/>
        <v>14424898.864391891</v>
      </c>
      <c r="ES608" s="269">
        <f t="shared" si="1516"/>
        <v>72124494.321959451</v>
      </c>
      <c r="ET608" s="196">
        <f>'Detailed Budget'!$AC$214</f>
        <v>22239745544.201103</v>
      </c>
      <c r="EU608" s="269">
        <f t="shared" si="1552"/>
        <v>9177693.9952770192</v>
      </c>
      <c r="EV608" s="140">
        <f>'Detailed Budget'!$AC$217</f>
        <v>5559936386.0502758</v>
      </c>
      <c r="EW608" s="269">
        <f t="shared" si="1553"/>
        <v>2294423.4988192548</v>
      </c>
      <c r="EX608" s="269">
        <f t="shared" si="1517"/>
        <v>11472117.494096274</v>
      </c>
      <c r="EY608" s="196">
        <f>'Detailed Budget'!$AC$219</f>
        <v>372777004.58170313</v>
      </c>
      <c r="EZ608" s="269">
        <f t="shared" si="1554"/>
        <v>161041.2380406092</v>
      </c>
      <c r="FA608" s="196">
        <f>'Detailed Budget'!$AC$222</f>
        <v>93194251.145425782</v>
      </c>
      <c r="FB608" s="269">
        <f t="shared" si="1555"/>
        <v>40260.309510152299</v>
      </c>
      <c r="FC608" s="269">
        <f t="shared" si="1518"/>
        <v>201301.54755076149</v>
      </c>
      <c r="FD608" s="269"/>
      <c r="FE608" s="269">
        <f t="shared" si="1519"/>
        <v>117583376.4097895</v>
      </c>
      <c r="FF608" s="140">
        <f>'Detailed Budget'!$AC$165</f>
        <v>14927760000</v>
      </c>
      <c r="FG608" s="1087">
        <f t="shared" si="1585"/>
        <v>160391508.71973649</v>
      </c>
      <c r="FH608" s="269">
        <f t="shared" si="1556"/>
        <v>16961436.200431772</v>
      </c>
      <c r="FJ608" s="140">
        <f>'Detailed Budget'!$AC$235</f>
        <v>3623696172</v>
      </c>
      <c r="FK608" s="269">
        <f t="shared" si="1557"/>
        <v>4681778</v>
      </c>
      <c r="FL608" s="269">
        <f t="shared" si="1586"/>
        <v>4681778</v>
      </c>
      <c r="FO608" s="607"/>
      <c r="FP608" s="607"/>
      <c r="FQ608" s="607"/>
      <c r="FR608" s="269">
        <f>'Detailed Budget'!$AC$257</f>
        <v>13636439388</v>
      </c>
      <c r="FS608" s="269">
        <f t="shared" si="1558"/>
        <v>9993360</v>
      </c>
      <c r="FT608" s="269">
        <f t="shared" si="1587"/>
        <v>9993360</v>
      </c>
      <c r="FU608" s="269"/>
      <c r="FV608" s="269"/>
      <c r="FW608" s="269"/>
      <c r="FX608" s="140">
        <f>'Detailed Budget'!$AC$278</f>
        <v>1114560000</v>
      </c>
      <c r="FY608" s="269">
        <f t="shared" si="1559"/>
        <v>1440000</v>
      </c>
      <c r="FZ608" s="269">
        <f t="shared" si="1588"/>
        <v>1440000</v>
      </c>
      <c r="GB608" s="269">
        <f t="shared" si="1596"/>
        <v>967384833.67753136</v>
      </c>
      <c r="GC608" s="887">
        <f t="shared" si="1520"/>
        <v>604615.52104845713</v>
      </c>
      <c r="GD608" s="1078">
        <f t="shared" si="1597"/>
        <v>5.4283009225709032E-4</v>
      </c>
    </row>
    <row r="609" spans="1:186" hidden="1" outlineLevel="1">
      <c r="A609" s="211" t="s">
        <v>1327</v>
      </c>
      <c r="B609" s="212" t="s">
        <v>1328</v>
      </c>
      <c r="C609" s="213" t="s">
        <v>215</v>
      </c>
      <c r="D609" s="214"/>
      <c r="E609" s="213"/>
      <c r="F609" s="213"/>
      <c r="G609" s="213" t="s">
        <v>215</v>
      </c>
      <c r="H609" s="213" t="s">
        <v>215</v>
      </c>
      <c r="I609" s="214" t="s">
        <v>215</v>
      </c>
      <c r="J609" s="214"/>
      <c r="K609" s="213"/>
      <c r="L609" s="213"/>
      <c r="M609" s="214" t="s">
        <v>215</v>
      </c>
      <c r="N609" s="213"/>
      <c r="O609" s="214"/>
      <c r="P609" s="213"/>
      <c r="Q609" s="214"/>
      <c r="R609" s="214" t="s">
        <v>215</v>
      </c>
      <c r="S609" s="214"/>
      <c r="T609" s="214"/>
      <c r="U609" s="215">
        <f t="shared" si="1564"/>
        <v>6</v>
      </c>
      <c r="V609" s="845" t="s">
        <v>216</v>
      </c>
      <c r="W609" s="216">
        <v>305961</v>
      </c>
      <c r="X609" s="217">
        <v>3.36</v>
      </c>
      <c r="Y609" s="218">
        <f t="shared" si="1598"/>
        <v>1.0336000000000001</v>
      </c>
      <c r="Z609" s="196">
        <v>19</v>
      </c>
      <c r="AA609" s="218">
        <f t="shared" si="1599"/>
        <v>1.873689022502546</v>
      </c>
      <c r="AB609" s="196">
        <f t="shared" si="1561"/>
        <v>573275.7670139015</v>
      </c>
      <c r="AC609">
        <v>12.2</v>
      </c>
      <c r="AD609" s="196">
        <f t="shared" si="1562"/>
        <v>69939.643575695984</v>
      </c>
      <c r="AE609" s="196">
        <f t="shared" si="1600"/>
        <v>66442.661396911179</v>
      </c>
      <c r="AF609" s="196">
        <f t="shared" si="1565"/>
        <v>0</v>
      </c>
      <c r="AG609" s="606">
        <f t="shared" si="1523"/>
        <v>3.0720169742441844E-3</v>
      </c>
      <c r="AH609" s="196">
        <f t="shared" si="1582"/>
        <v>28663.788350695075</v>
      </c>
      <c r="AI609" s="248">
        <f t="shared" si="1503"/>
        <v>2.2205402536469316E-3</v>
      </c>
      <c r="AJ609" s="196">
        <f t="shared" si="1504"/>
        <v>98603.431926391058</v>
      </c>
      <c r="AK609" s="196">
        <f t="shared" si="1532"/>
        <v>22931.030680556061</v>
      </c>
      <c r="AL609" s="196">
        <f t="shared" si="1533"/>
        <v>22931.030680556061</v>
      </c>
      <c r="AM609" s="196">
        <f t="shared" si="1505"/>
        <v>45862.061361112123</v>
      </c>
      <c r="AN609" s="627">
        <f t="shared" si="1506"/>
        <v>2.2205402536469316E-3</v>
      </c>
      <c r="AO609" s="196">
        <f t="shared" si="1507"/>
        <v>21784.479146528258</v>
      </c>
      <c r="AP609" s="589">
        <f t="shared" si="1524"/>
        <v>2.2205402536469316E-3</v>
      </c>
      <c r="AQ609" s="196"/>
      <c r="AR609" s="589"/>
      <c r="AS609">
        <v>1</v>
      </c>
      <c r="AT609" s="589">
        <f t="shared" si="1525"/>
        <v>1.2919896640826874E-3</v>
      </c>
      <c r="AU609" s="196">
        <v>11</v>
      </c>
      <c r="AV609" s="245">
        <f t="shared" si="1536"/>
        <v>1.2498579706851495E-3</v>
      </c>
      <c r="AX609" s="245"/>
      <c r="AY609" s="245"/>
      <c r="AZ609" s="196">
        <v>20</v>
      </c>
      <c r="BA609" s="589">
        <f t="shared" si="1590"/>
        <v>7.3284232897292143E-4</v>
      </c>
      <c r="BI609" s="196">
        <v>1</v>
      </c>
      <c r="BJ609" s="196">
        <f t="shared" si="1566"/>
        <v>318486.58079122531</v>
      </c>
      <c r="BK609" s="246">
        <f t="shared" si="1591"/>
        <v>6.0733469405789458E-3</v>
      </c>
      <c r="BL609" s="196">
        <f t="shared" si="1583"/>
        <v>6369.7316158245058</v>
      </c>
      <c r="BM609" s="246">
        <f t="shared" si="1592"/>
        <v>6.0733462456886537E-3</v>
      </c>
      <c r="BN609" s="196">
        <v>0</v>
      </c>
      <c r="BO609" s="196">
        <f t="shared" si="1567"/>
        <v>25862.845626672584</v>
      </c>
      <c r="BP609" s="196">
        <f t="shared" si="1508"/>
        <v>0</v>
      </c>
      <c r="BQ609" s="248">
        <f t="shared" si="1593"/>
        <v>0</v>
      </c>
      <c r="BR609" s="248"/>
      <c r="BS609" s="248"/>
      <c r="BT609" s="276">
        <v>0</v>
      </c>
      <c r="BU609" s="196">
        <f t="shared" si="1568"/>
        <v>0</v>
      </c>
      <c r="BV609" s="264">
        <f t="shared" si="1594"/>
        <v>0</v>
      </c>
      <c r="BW609" s="196">
        <f t="shared" si="1569"/>
        <v>0</v>
      </c>
      <c r="BX609" s="247">
        <f t="shared" si="1595"/>
        <v>0</v>
      </c>
      <c r="BY609" s="196">
        <f t="shared" si="1570"/>
        <v>0</v>
      </c>
      <c r="BZ609" s="620">
        <v>1</v>
      </c>
      <c r="CA609" s="196">
        <f t="shared" si="1571"/>
        <v>175422.38470625388</v>
      </c>
      <c r="CB609" s="196">
        <f t="shared" si="1572"/>
        <v>350844.76941250777</v>
      </c>
      <c r="CC609" s="196">
        <f t="shared" si="1521"/>
        <v>526267.15411876165</v>
      </c>
      <c r="CD609" s="247">
        <f t="shared" si="1509"/>
        <v>2.220540253646932E-3</v>
      </c>
      <c r="CE609" s="196">
        <f t="shared" si="1573"/>
        <v>39280.450582808269</v>
      </c>
      <c r="CF609" s="247">
        <f t="shared" si="1510"/>
        <v>1.6962520162327153E-3</v>
      </c>
      <c r="CG609" s="196">
        <f t="shared" ref="CG609:CG639" si="1601">AO609*4</f>
        <v>87137.916586113031</v>
      </c>
      <c r="CH609" s="589">
        <f t="shared" si="1526"/>
        <v>2.2205402536469316E-3</v>
      </c>
      <c r="CI609" s="196">
        <f t="shared" si="1574"/>
        <v>157975.28879075267</v>
      </c>
      <c r="CJ609" s="248">
        <f t="shared" si="1527"/>
        <v>2.5971133467256732E-3</v>
      </c>
      <c r="CK609" s="196">
        <f t="shared" si="1575"/>
        <v>127848.00929422773</v>
      </c>
      <c r="CL609" s="589">
        <f t="shared" si="1528"/>
        <v>1.8378414308180967E-3</v>
      </c>
      <c r="CM609" s="196">
        <f t="shared" si="1576"/>
        <v>12385.300403599964</v>
      </c>
      <c r="CN609" s="589">
        <f t="shared" si="1529"/>
        <v>1.7848625427758506E-3</v>
      </c>
      <c r="CO609" s="196">
        <f t="shared" si="1577"/>
        <v>990.79266816428185</v>
      </c>
      <c r="CP609" s="589">
        <f t="shared" si="1530"/>
        <v>1.8684823619924374E-3</v>
      </c>
      <c r="CQ609" s="196">
        <f>'Detailed Budget'!$AC$12</f>
        <v>292876014141.44696</v>
      </c>
      <c r="CR609" s="269">
        <f t="shared" si="1534"/>
        <v>1778737644.4549129</v>
      </c>
      <c r="CS609" s="269">
        <f>'Detailed Budget'!$AC$16</f>
        <v>10488008800.000002</v>
      </c>
      <c r="CT609" s="607">
        <f t="shared" ref="CT609:CT639" si="1602">BM609*CS609</f>
        <v>63697308.870229572</v>
      </c>
      <c r="CU609" s="269">
        <f>'Detailed Budget'!$AC$24</f>
        <v>30624985696</v>
      </c>
      <c r="CV609" s="269">
        <f t="shared" si="1589"/>
        <v>185996163.18207559</v>
      </c>
      <c r="CW609" s="269"/>
      <c r="CX609" s="269">
        <f t="shared" si="1522"/>
        <v>2028431116.5072179</v>
      </c>
      <c r="CY609" s="196">
        <f>'Detailed Budget'!$AC$97</f>
        <v>74629165494.837845</v>
      </c>
      <c r="CZ609" s="269">
        <f t="shared" ref="CZ609:CZ639" si="1603">BQ609*CY609</f>
        <v>0</v>
      </c>
      <c r="DA609" s="269">
        <f>'Detailed Budget'!$AC$100</f>
        <v>14925833098.967569</v>
      </c>
      <c r="DB609" s="269">
        <f t="shared" ref="DB609:DB639" si="1604">BQ609*DA609</f>
        <v>0</v>
      </c>
      <c r="DC609" s="269">
        <f t="shared" si="1511"/>
        <v>0</v>
      </c>
      <c r="DD609" s="207">
        <v>0</v>
      </c>
      <c r="DE609" s="606">
        <v>0</v>
      </c>
      <c r="DF609" s="269">
        <f>'Detailed Budget'!$AC$147</f>
        <v>5913600671000</v>
      </c>
      <c r="DG609" s="269">
        <f t="shared" si="1584"/>
        <v>0</v>
      </c>
      <c r="DH609" s="269">
        <f>'Detailed Budget'!$AC$153</f>
        <v>226428026880.00003</v>
      </c>
      <c r="DI609" s="269"/>
      <c r="DJ609" s="269">
        <f>'Detailed Budget'!$AC$156</f>
        <v>27713070000</v>
      </c>
      <c r="DK609" s="269"/>
      <c r="DL609" s="269"/>
      <c r="DM609" s="196">
        <f>'Detailed Budget'!$AC$178</f>
        <v>5622683761.6229038</v>
      </c>
      <c r="DN609" s="269">
        <f t="shared" si="1578"/>
        <v>0</v>
      </c>
      <c r="DO609" s="196">
        <f>'Detailed Budget'!$AC$179</f>
        <v>26827890683.128094</v>
      </c>
      <c r="DP609" s="269">
        <f t="shared" si="1579"/>
        <v>0</v>
      </c>
      <c r="DQ609" s="269">
        <f t="shared" si="1531"/>
        <v>0</v>
      </c>
      <c r="DR609" s="269">
        <f>'Detailed Budget'!$AC$181</f>
        <v>50888946855.375237</v>
      </c>
      <c r="DS609" s="269">
        <f t="shared" si="1580"/>
        <v>0</v>
      </c>
      <c r="DT609" s="269">
        <f t="shared" si="1581"/>
        <v>0</v>
      </c>
      <c r="DU609" s="272">
        <f>'Detailed Budget'!$AC$192</f>
        <v>77498869683.252869</v>
      </c>
      <c r="DV609" s="269">
        <f t="shared" ref="DV609:DV639" si="1605">BZ609*CD609*DU609</f>
        <v>172089359.74380085</v>
      </c>
      <c r="DW609" s="140">
        <f>'Detailed Budget'!$AC$194</f>
        <v>2684962805.4134097</v>
      </c>
      <c r="DX609" s="269">
        <f t="shared" ref="DX609:DX639" si="1606">BZ609*AN609*DW609</f>
        <v>5962067.9889652701</v>
      </c>
      <c r="DY609" s="607">
        <f t="shared" si="1512"/>
        <v>178051427.73276612</v>
      </c>
      <c r="DZ609" s="196">
        <f>'Detailed Budget'!$AC$198</f>
        <v>18732540018.380611</v>
      </c>
      <c r="EA609" s="269">
        <f t="shared" si="1544"/>
        <v>31775108.775338139</v>
      </c>
      <c r="EB609" s="196">
        <f>'Detailed Budget'!$AC$200</f>
        <v>4683135004.5951529</v>
      </c>
      <c r="EC609" s="269">
        <f t="shared" ref="EC609:EC639" si="1607">CF609*EB609</f>
        <v>7943777.1938345348</v>
      </c>
      <c r="ED609" s="269">
        <f t="shared" si="1513"/>
        <v>39718885.969172671</v>
      </c>
      <c r="EE609" s="196">
        <f>'Detailed Budget'!$AC$161</f>
        <v>251147290106.36197</v>
      </c>
      <c r="EF609" s="269">
        <f t="shared" ref="EF609:EF639" si="1608">CH609*EE609</f>
        <v>557682667.27552056</v>
      </c>
      <c r="EG609" s="196">
        <f>'Detailed Budget'!$AC$163</f>
        <v>15696705631.647623</v>
      </c>
      <c r="EH609" s="269">
        <f t="shared" ref="EH609:EH639" si="1609">AP609*EG609</f>
        <v>34855166.704720035</v>
      </c>
      <c r="EI609" s="269">
        <f t="shared" si="1514"/>
        <v>592537833.98024058</v>
      </c>
      <c r="EJ609" s="196">
        <f>'Detailed Budget'!$AC$204</f>
        <v>45012172507.531975</v>
      </c>
      <c r="EK609" s="269">
        <f t="shared" ref="EK609:EK639" si="1610">CJ609*EJ609</f>
        <v>116901713.9844297</v>
      </c>
      <c r="EL609" s="201">
        <f>'Detailed Budget'!$AC$206</f>
        <v>11253043126.882994</v>
      </c>
      <c r="EM609" s="269">
        <f t="shared" ref="EM609:EM639" si="1611">CJ609*EL609</f>
        <v>29225428.496107426</v>
      </c>
      <c r="EN609" s="269">
        <f t="shared" si="1515"/>
        <v>146127142.48053712</v>
      </c>
      <c r="EO609" s="140">
        <f>'Detailed Budget'!$AC$209</f>
        <v>135789361677.54817</v>
      </c>
      <c r="EP609" s="269">
        <f t="shared" ref="EP609:EP639" si="1612">CL609*EO609</f>
        <v>249559314.75534117</v>
      </c>
      <c r="EQ609" s="196">
        <f>'Detailed Budget'!$AC$211</f>
        <v>33947340419.387043</v>
      </c>
      <c r="ER609" s="269">
        <f t="shared" ref="ER609:ER639" si="1613">CL609*EQ609</f>
        <v>62389828.688835293</v>
      </c>
      <c r="ES609" s="269">
        <f t="shared" si="1516"/>
        <v>311949143.44417644</v>
      </c>
      <c r="ET609" s="196">
        <f>'Detailed Budget'!$AC$214</f>
        <v>22239745544.201103</v>
      </c>
      <c r="EU609" s="269">
        <f t="shared" ref="EU609:EU639" si="1614">CN609*ET609</f>
        <v>39694888.782710679</v>
      </c>
      <c r="EV609" s="140">
        <f>'Detailed Budget'!$AC$217</f>
        <v>5559936386.0502758</v>
      </c>
      <c r="EW609" s="269">
        <f t="shared" ref="EW609:EW639" si="1615">CN609*EV609</f>
        <v>9923722.1956776697</v>
      </c>
      <c r="EX609" s="269">
        <f t="shared" si="1517"/>
        <v>49618610.978388347</v>
      </c>
      <c r="EY609" s="196">
        <f>'Detailed Budget'!$AC$219</f>
        <v>372777004.58170313</v>
      </c>
      <c r="EZ609" s="269">
        <f t="shared" ref="EZ609:EZ639" si="1616">CP609*EY609</f>
        <v>696527.25801728631</v>
      </c>
      <c r="FA609" s="196">
        <f>'Detailed Budget'!$AC$222</f>
        <v>93194251.145425782</v>
      </c>
      <c r="FB609" s="269">
        <f t="shared" ref="FB609:FB639" si="1617">CP609*FA609</f>
        <v>174131.81450432158</v>
      </c>
      <c r="FC609" s="269">
        <f t="shared" si="1518"/>
        <v>870659.07252160786</v>
      </c>
      <c r="FD609" s="269"/>
      <c r="FE609" s="269">
        <f t="shared" si="1519"/>
        <v>508565555.97562355</v>
      </c>
      <c r="FF609" s="140">
        <f>'Detailed Budget'!$AC$165</f>
        <v>14927760000</v>
      </c>
      <c r="FG609" s="1087">
        <f t="shared" si="1585"/>
        <v>693717082.26462126</v>
      </c>
      <c r="FH609" s="269">
        <f t="shared" si="1556"/>
        <v>18657579.820474949</v>
      </c>
      <c r="FJ609" s="140">
        <f>'Detailed Budget'!$AC$235</f>
        <v>3623696172</v>
      </c>
      <c r="FK609" s="269">
        <f t="shared" si="1557"/>
        <v>4681778</v>
      </c>
      <c r="FL609" s="269">
        <f t="shared" si="1586"/>
        <v>4681778</v>
      </c>
      <c r="FO609" s="607"/>
      <c r="FP609" s="607"/>
      <c r="FQ609" s="607"/>
      <c r="FR609" s="269">
        <f>'Detailed Budget'!$AC$257</f>
        <v>13636439388</v>
      </c>
      <c r="FS609" s="269">
        <f t="shared" si="1558"/>
        <v>9993360</v>
      </c>
      <c r="FT609" s="269">
        <f t="shared" si="1587"/>
        <v>9993360</v>
      </c>
      <c r="FU609" s="269"/>
      <c r="FV609" s="269"/>
      <c r="FW609" s="269"/>
      <c r="FX609" s="140">
        <f>'Detailed Budget'!$AC$278</f>
        <v>1114560000</v>
      </c>
      <c r="FY609" s="269">
        <f t="shared" si="1559"/>
        <v>1440000</v>
      </c>
      <c r="FZ609" s="269">
        <f t="shared" si="1588"/>
        <v>1440000</v>
      </c>
      <c r="GB609" s="269">
        <f t="shared" si="1596"/>
        <v>4075794620.2501168</v>
      </c>
      <c r="GC609" s="887">
        <f t="shared" si="1520"/>
        <v>2547371.6376563231</v>
      </c>
      <c r="GD609" s="1078">
        <f t="shared" si="1597"/>
        <v>2.2870567045387724E-3</v>
      </c>
    </row>
    <row r="610" spans="1:186" hidden="1" outlineLevel="1">
      <c r="A610" s="211"/>
      <c r="B610" s="212"/>
      <c r="C610" s="213"/>
      <c r="D610" s="214"/>
      <c r="E610" s="213"/>
      <c r="F610" s="213"/>
      <c r="G610" s="213"/>
      <c r="H610" s="213"/>
      <c r="I610" s="214"/>
      <c r="J610" s="214"/>
      <c r="K610" s="213"/>
      <c r="L610" s="213"/>
      <c r="M610" s="214"/>
      <c r="N610" s="213"/>
      <c r="O610" s="214"/>
      <c r="P610" s="213"/>
      <c r="Q610" s="214"/>
      <c r="R610" s="214"/>
      <c r="S610" s="214"/>
      <c r="T610" s="214"/>
      <c r="U610" s="215"/>
      <c r="V610" s="845"/>
      <c r="W610" s="216"/>
      <c r="X610" s="217"/>
      <c r="Y610" s="218"/>
      <c r="Z610" s="196"/>
      <c r="AA610" s="218"/>
      <c r="AF610" s="196">
        <f t="shared" si="1565"/>
        <v>0</v>
      </c>
      <c r="AG610" s="606">
        <f t="shared" si="1523"/>
        <v>0</v>
      </c>
      <c r="AJ610" s="196"/>
      <c r="AK610" s="196"/>
      <c r="AL610" s="196"/>
      <c r="AM610" s="196"/>
      <c r="AO610" s="196"/>
      <c r="AP610" s="589"/>
      <c r="AQ610" s="196"/>
      <c r="AR610" s="589"/>
      <c r="AS610"/>
      <c r="AT610" s="589">
        <f t="shared" si="1525"/>
        <v>0</v>
      </c>
      <c r="AV610" s="245">
        <f t="shared" si="1536"/>
        <v>0</v>
      </c>
      <c r="AX610" s="245"/>
      <c r="AY610" s="245"/>
      <c r="BA610" s="589">
        <f t="shared" si="1590"/>
        <v>0</v>
      </c>
      <c r="BK610" s="246">
        <f t="shared" si="1591"/>
        <v>0</v>
      </c>
      <c r="BL610" s="196"/>
      <c r="BM610" s="246">
        <f t="shared" si="1592"/>
        <v>0</v>
      </c>
      <c r="BN610" s="196"/>
      <c r="BQ610" s="248">
        <f t="shared" si="1593"/>
        <v>0</v>
      </c>
      <c r="BR610" s="248"/>
      <c r="BS610" s="248"/>
      <c r="BT610" s="276"/>
      <c r="BV610" s="264">
        <f t="shared" si="1594"/>
        <v>0</v>
      </c>
      <c r="BX610" s="247">
        <f t="shared" si="1595"/>
        <v>0</v>
      </c>
      <c r="BY610" s="196"/>
      <c r="BZ610" s="620"/>
      <c r="CA610" s="196">
        <f t="shared" si="1571"/>
        <v>0</v>
      </c>
      <c r="CB610" s="196">
        <f t="shared" si="1572"/>
        <v>0</v>
      </c>
      <c r="CC610" s="196">
        <f t="shared" si="1521"/>
        <v>0</v>
      </c>
      <c r="CD610" s="247">
        <f t="shared" si="1509"/>
        <v>0</v>
      </c>
      <c r="CF610" s="247">
        <f t="shared" si="1510"/>
        <v>0</v>
      </c>
      <c r="CG610" s="196">
        <f t="shared" si="1601"/>
        <v>0</v>
      </c>
      <c r="CH610" s="589">
        <f t="shared" si="1526"/>
        <v>0</v>
      </c>
      <c r="CI610" s="196"/>
      <c r="CJ610" s="248">
        <f t="shared" si="1527"/>
        <v>0</v>
      </c>
      <c r="CK610" s="196"/>
      <c r="CL610" s="589">
        <f t="shared" si="1528"/>
        <v>0</v>
      </c>
      <c r="CM610" s="196"/>
      <c r="CN610" s="589">
        <f t="shared" si="1529"/>
        <v>0</v>
      </c>
      <c r="CO610" s="196"/>
      <c r="CP610" s="589">
        <f t="shared" si="1530"/>
        <v>0</v>
      </c>
      <c r="CQ610" s="196"/>
      <c r="CR610" s="269">
        <f t="shared" si="1534"/>
        <v>0</v>
      </c>
      <c r="CS610" s="269">
        <f>'Detailed Budget'!$AC$16</f>
        <v>10488008800.000002</v>
      </c>
      <c r="CT610" s="607">
        <f t="shared" si="1602"/>
        <v>0</v>
      </c>
      <c r="CU610" s="269">
        <f>'Detailed Budget'!$AC$24</f>
        <v>30624985696</v>
      </c>
      <c r="CV610" s="269">
        <f t="shared" si="1589"/>
        <v>0</v>
      </c>
      <c r="CW610" s="269"/>
      <c r="CX610" s="269">
        <f t="shared" si="1522"/>
        <v>0</v>
      </c>
      <c r="CY610" s="196">
        <f>'Detailed Budget'!$AC$97</f>
        <v>74629165494.837845</v>
      </c>
      <c r="CZ610" s="269">
        <f t="shared" si="1603"/>
        <v>0</v>
      </c>
      <c r="DA610" s="269">
        <f>'Detailed Budget'!$AC$100</f>
        <v>14925833098.967569</v>
      </c>
      <c r="DB610" s="269">
        <f t="shared" si="1604"/>
        <v>0</v>
      </c>
      <c r="DC610" s="269"/>
      <c r="DD610" s="207"/>
      <c r="DE610" s="606">
        <v>0</v>
      </c>
      <c r="DF610" s="269">
        <f>'Detailed Budget'!$AC$147</f>
        <v>5913600671000</v>
      </c>
      <c r="DG610" s="269">
        <f t="shared" si="1584"/>
        <v>0</v>
      </c>
      <c r="DH610" s="269">
        <f>'Detailed Budget'!$AC$153</f>
        <v>226428026880.00003</v>
      </c>
      <c r="DI610" s="269"/>
      <c r="DJ610" s="269">
        <f>'Detailed Budget'!$AC$156</f>
        <v>27713070000</v>
      </c>
      <c r="DK610" s="269"/>
      <c r="DL610" s="269"/>
      <c r="DM610" s="196"/>
      <c r="DN610" s="269"/>
      <c r="DO610" s="196"/>
      <c r="DP610" s="269"/>
      <c r="DQ610" s="269"/>
      <c r="DR610" s="269"/>
      <c r="DS610" s="269"/>
      <c r="DT610" s="269"/>
      <c r="DU610" s="272">
        <f>'Detailed Budget'!$AC$192</f>
        <v>77498869683.252869</v>
      </c>
      <c r="DV610" s="269">
        <f t="shared" si="1605"/>
        <v>0</v>
      </c>
      <c r="DW610" s="140">
        <f>'Detailed Budget'!$AC$194</f>
        <v>2684962805.4134097</v>
      </c>
      <c r="DX610" s="269">
        <f t="shared" si="1606"/>
        <v>0</v>
      </c>
      <c r="DY610" s="607">
        <f t="shared" si="1512"/>
        <v>0</v>
      </c>
      <c r="DZ610" s="196"/>
      <c r="EA610" s="269"/>
      <c r="EB610" s="196">
        <f>'Detailed Budget'!$AC$200</f>
        <v>4683135004.5951529</v>
      </c>
      <c r="EC610" s="269">
        <f t="shared" si="1607"/>
        <v>0</v>
      </c>
      <c r="ED610" s="269">
        <f t="shared" si="1513"/>
        <v>0</v>
      </c>
      <c r="EE610" s="196">
        <f>'Detailed Budget'!$AC$161</f>
        <v>251147290106.36197</v>
      </c>
      <c r="EF610" s="269">
        <f t="shared" si="1608"/>
        <v>0</v>
      </c>
      <c r="EG610" s="196">
        <f>'Detailed Budget'!$AC$163</f>
        <v>15696705631.647623</v>
      </c>
      <c r="EH610" s="269">
        <f t="shared" si="1609"/>
        <v>0</v>
      </c>
      <c r="EI610" s="269">
        <f t="shared" si="1514"/>
        <v>0</v>
      </c>
      <c r="EJ610" s="196">
        <f>'Detailed Budget'!$AC$204</f>
        <v>45012172507.531975</v>
      </c>
      <c r="EK610" s="269">
        <f t="shared" si="1610"/>
        <v>0</v>
      </c>
      <c r="EL610" s="201">
        <f>'Detailed Budget'!$AC$206</f>
        <v>11253043126.882994</v>
      </c>
      <c r="EM610" s="269">
        <f t="shared" si="1611"/>
        <v>0</v>
      </c>
      <c r="EN610" s="269">
        <f t="shared" si="1515"/>
        <v>0</v>
      </c>
      <c r="EO610" s="140">
        <f>'Detailed Budget'!$AC$209</f>
        <v>135789361677.54817</v>
      </c>
      <c r="EP610" s="269">
        <f t="shared" si="1612"/>
        <v>0</v>
      </c>
      <c r="EQ610" s="196">
        <f>'Detailed Budget'!$AC$211</f>
        <v>33947340419.387043</v>
      </c>
      <c r="ER610" s="269">
        <f t="shared" si="1613"/>
        <v>0</v>
      </c>
      <c r="ES610" s="269">
        <f t="shared" si="1516"/>
        <v>0</v>
      </c>
      <c r="ET610" s="196">
        <f>'Detailed Budget'!$AC$214</f>
        <v>22239745544.201103</v>
      </c>
      <c r="EU610" s="269">
        <f t="shared" si="1614"/>
        <v>0</v>
      </c>
      <c r="EV610" s="140">
        <f>'Detailed Budget'!$AC$217</f>
        <v>5559936386.0502758</v>
      </c>
      <c r="EW610" s="269">
        <f t="shared" si="1615"/>
        <v>0</v>
      </c>
      <c r="EX610" s="269">
        <f t="shared" si="1517"/>
        <v>0</v>
      </c>
      <c r="EY610" s="196">
        <f>'Detailed Budget'!$AC$219</f>
        <v>372777004.58170313</v>
      </c>
      <c r="EZ610" s="269">
        <f t="shared" si="1616"/>
        <v>0</v>
      </c>
      <c r="FA610" s="196">
        <f>'Detailed Budget'!$AC$222</f>
        <v>93194251.145425782</v>
      </c>
      <c r="FB610" s="269">
        <f t="shared" si="1617"/>
        <v>0</v>
      </c>
      <c r="FC610" s="269">
        <f t="shared" si="1518"/>
        <v>0</v>
      </c>
      <c r="FD610" s="269"/>
      <c r="FE610" s="269"/>
      <c r="FF610" s="140"/>
      <c r="FG610" s="1087">
        <f t="shared" si="1585"/>
        <v>0</v>
      </c>
      <c r="FJ610" s="140"/>
      <c r="FL610" s="269">
        <f t="shared" si="1586"/>
        <v>0</v>
      </c>
      <c r="FO610" s="607"/>
      <c r="FP610" s="607"/>
      <c r="FQ610" s="607"/>
      <c r="FT610" s="269">
        <f t="shared" si="1587"/>
        <v>0</v>
      </c>
      <c r="FU610" s="269"/>
      <c r="FV610" s="269"/>
      <c r="FW610" s="269"/>
      <c r="FX610" s="140"/>
      <c r="FY610" s="269"/>
      <c r="FZ610" s="269"/>
      <c r="GB610" s="269">
        <f t="shared" si="1596"/>
        <v>0</v>
      </c>
      <c r="GD610" s="1078">
        <f t="shared" si="1597"/>
        <v>0</v>
      </c>
    </row>
    <row r="611" spans="1:186" s="210" customFormat="1" collapsed="1">
      <c r="A611" s="203">
        <v>5.2</v>
      </c>
      <c r="B611" s="204" t="s">
        <v>1329</v>
      </c>
      <c r="C611" s="205">
        <f>COUNTA(C612:C619)</f>
        <v>8</v>
      </c>
      <c r="D611" s="205">
        <f t="shared" ref="D611:T611" si="1618">COUNTA(D612:D619)</f>
        <v>0</v>
      </c>
      <c r="E611" s="205">
        <f t="shared" si="1618"/>
        <v>0</v>
      </c>
      <c r="F611" s="205">
        <f t="shared" si="1618"/>
        <v>0</v>
      </c>
      <c r="G611" s="205">
        <f t="shared" si="1618"/>
        <v>8</v>
      </c>
      <c r="H611" s="205">
        <f t="shared" si="1618"/>
        <v>8</v>
      </c>
      <c r="I611" s="205">
        <f t="shared" si="1618"/>
        <v>1</v>
      </c>
      <c r="J611" s="205">
        <f t="shared" si="1618"/>
        <v>7</v>
      </c>
      <c r="K611" s="205">
        <f t="shared" si="1618"/>
        <v>0</v>
      </c>
      <c r="L611" s="205">
        <f t="shared" si="1618"/>
        <v>7</v>
      </c>
      <c r="M611" s="205">
        <f t="shared" si="1618"/>
        <v>1</v>
      </c>
      <c r="N611" s="205">
        <f t="shared" si="1618"/>
        <v>0</v>
      </c>
      <c r="O611" s="205">
        <f t="shared" si="1618"/>
        <v>0</v>
      </c>
      <c r="P611" s="205">
        <f t="shared" si="1618"/>
        <v>0</v>
      </c>
      <c r="Q611" s="205">
        <f t="shared" si="1618"/>
        <v>0</v>
      </c>
      <c r="R611" s="205">
        <f t="shared" si="1618"/>
        <v>8</v>
      </c>
      <c r="S611" s="205">
        <f t="shared" si="1618"/>
        <v>0</v>
      </c>
      <c r="T611" s="205">
        <f t="shared" si="1618"/>
        <v>0</v>
      </c>
      <c r="U611" s="206">
        <f>SUM(C611:T611)</f>
        <v>48</v>
      </c>
      <c r="V611" s="844"/>
      <c r="W611" s="207">
        <f>SUM(W612:W619)</f>
        <v>1704515</v>
      </c>
      <c r="X611" s="208">
        <v>2.96</v>
      </c>
      <c r="Y611" s="209">
        <f t="shared" si="1598"/>
        <v>1.0296000000000001</v>
      </c>
      <c r="Z611" s="207">
        <v>19</v>
      </c>
      <c r="AA611" s="209">
        <f t="shared" si="1599"/>
        <v>1.7406126843598355</v>
      </c>
      <c r="AB611" s="207">
        <f t="shared" ref="AB611:AB644" si="1619">W611*AA611</f>
        <v>2966900.4296816052</v>
      </c>
      <c r="AC611" s="210">
        <v>12.5</v>
      </c>
      <c r="AD611" s="207">
        <f t="shared" ref="AD611:AD644" si="1620">AB611*AC611/100</f>
        <v>370862.55371020065</v>
      </c>
      <c r="AE611" s="207">
        <f t="shared" si="1600"/>
        <v>352319.42602469062</v>
      </c>
      <c r="AF611" s="207">
        <f>SUM(AF612:AF619)</f>
        <v>0</v>
      </c>
      <c r="AG611" s="588">
        <f t="shared" si="1523"/>
        <v>1.6289703548120271E-2</v>
      </c>
      <c r="AH611" s="207">
        <f>SUM(AH612:AH619)</f>
        <v>148345.02148408027</v>
      </c>
      <c r="AI611" s="633">
        <f t="shared" si="1503"/>
        <v>1.1492064049709998E-2</v>
      </c>
      <c r="AJ611" s="207">
        <f>SUM(AJ612:AJ619)</f>
        <v>519207.57519428094</v>
      </c>
      <c r="AK611" s="207">
        <f t="shared" si="1532"/>
        <v>118676.01718726421</v>
      </c>
      <c r="AL611" s="207">
        <f t="shared" si="1533"/>
        <v>118676.01718726421</v>
      </c>
      <c r="AM611" s="207">
        <f t="shared" si="1505"/>
        <v>237352.03437452842</v>
      </c>
      <c r="AN611" s="632">
        <f t="shared" si="1506"/>
        <v>1.1492064049709998E-2</v>
      </c>
      <c r="AO611" s="207">
        <f t="shared" si="1507"/>
        <v>112742.216327901</v>
      </c>
      <c r="AP611" s="588">
        <f t="shared" si="1524"/>
        <v>1.1492064049709998E-2</v>
      </c>
      <c r="AQ611" s="207">
        <v>1</v>
      </c>
      <c r="AR611" s="588">
        <f>AQ611/37</f>
        <v>2.7027027027027029E-2</v>
      </c>
      <c r="AS611" s="207">
        <f>SUM(AS612:AS619)</f>
        <v>8</v>
      </c>
      <c r="AT611" s="588">
        <f t="shared" si="1525"/>
        <v>1.0335917312661499E-2</v>
      </c>
      <c r="AU611" s="207">
        <f>SUM(AU612:AU619)</f>
        <v>105</v>
      </c>
      <c r="AV611" s="892">
        <f t="shared" si="1536"/>
        <v>1.1930462447449153E-2</v>
      </c>
      <c r="AW611" s="207">
        <v>10773</v>
      </c>
      <c r="AX611" s="208">
        <f>AW611*0.002</f>
        <v>21.545999999999999</v>
      </c>
      <c r="AY611" s="207">
        <f>AX611*100</f>
        <v>2154.6</v>
      </c>
      <c r="AZ611" s="207">
        <f>SUM(AZ612:AZ619)</f>
        <v>220</v>
      </c>
      <c r="BA611" s="588">
        <f t="shared" si="1590"/>
        <v>8.0612656187021361E-3</v>
      </c>
      <c r="BB611" s="207">
        <v>37</v>
      </c>
      <c r="BC611" s="207">
        <v>2</v>
      </c>
      <c r="BD611" s="207">
        <f>BB611+BC611</f>
        <v>39</v>
      </c>
      <c r="BE611" s="633">
        <f>BD611/1306</f>
        <v>2.9862174578866769E-2</v>
      </c>
      <c r="BF611" s="207">
        <f>AZ611+BD611</f>
        <v>259</v>
      </c>
      <c r="BG611" s="588">
        <f>BF611/28597</f>
        <v>9.0568940797985803E-3</v>
      </c>
      <c r="BH611" s="1084">
        <v>30.1</v>
      </c>
      <c r="BI611" s="207"/>
      <c r="BJ611" s="207"/>
      <c r="BK611" s="892">
        <f t="shared" si="1591"/>
        <v>0</v>
      </c>
      <c r="BL611" s="207"/>
      <c r="BM611" s="892">
        <f t="shared" si="1592"/>
        <v>0</v>
      </c>
      <c r="BN611" s="207"/>
      <c r="BO611" s="207">
        <v>136101</v>
      </c>
      <c r="BP611" s="207">
        <f>SUM(BP612:BP619)</f>
        <v>136100.88864485297</v>
      </c>
      <c r="BQ611" s="633">
        <f t="shared" si="1593"/>
        <v>1.2731604345186149E-2</v>
      </c>
      <c r="BR611" s="207">
        <f>AY611*0.5*24</f>
        <v>25855.199999999997</v>
      </c>
      <c r="BS611" s="633">
        <f>BR611/2211211</f>
        <v>1.1692778301120968E-2</v>
      </c>
      <c r="BT611" s="634"/>
      <c r="BU611" s="207"/>
      <c r="BV611" s="264">
        <f t="shared" si="1594"/>
        <v>0</v>
      </c>
      <c r="BW611" s="207"/>
      <c r="BX611" s="247">
        <f t="shared" si="1595"/>
        <v>0</v>
      </c>
      <c r="CA611" s="207">
        <f t="shared" si="1571"/>
        <v>907871.53148257127</v>
      </c>
      <c r="CB611" s="207">
        <f t="shared" si="1572"/>
        <v>1815743.0629651425</v>
      </c>
      <c r="CC611" s="207">
        <f t="shared" si="1521"/>
        <v>2723614.5944477138</v>
      </c>
      <c r="CD611" s="633">
        <f t="shared" si="1509"/>
        <v>1.1492064049709998E-2</v>
      </c>
      <c r="CE611" s="207">
        <v>183652</v>
      </c>
      <c r="CF611" s="633">
        <f t="shared" si="1510"/>
        <v>7.9306645077414795E-3</v>
      </c>
      <c r="CG611" s="207">
        <f t="shared" si="1601"/>
        <v>450968.86531160399</v>
      </c>
      <c r="CH611" s="588">
        <f t="shared" si="1526"/>
        <v>1.1492064049709998E-2</v>
      </c>
      <c r="CI611" s="207">
        <f t="shared" ref="CI611:CO611" si="1621">SUM(CI612:CI619)</f>
        <v>1132793.6368150683</v>
      </c>
      <c r="CJ611" s="633">
        <f t="shared" si="1527"/>
        <v>1.8623124513829296E-2</v>
      </c>
      <c r="CK611" s="207">
        <f t="shared" si="1621"/>
        <v>886526.93316830415</v>
      </c>
      <c r="CL611" s="588">
        <f t="shared" si="1528"/>
        <v>1.2744007015104749E-2</v>
      </c>
      <c r="CM611" s="207">
        <f t="shared" si="1621"/>
        <v>85881.896651160801</v>
      </c>
      <c r="CN611" s="588">
        <f t="shared" si="1529"/>
        <v>1.237655732521825E-2</v>
      </c>
      <c r="CO611" s="207">
        <f t="shared" si="1621"/>
        <v>6870.9917315633757</v>
      </c>
      <c r="CP611" s="588">
        <f t="shared" si="1530"/>
        <v>1.2957632078170909E-2</v>
      </c>
      <c r="CQ611" s="207">
        <f>'Detailed Budget'!$AC$12</f>
        <v>292876014141.44696</v>
      </c>
      <c r="CR611" s="605">
        <f t="shared" si="1534"/>
        <v>0</v>
      </c>
      <c r="CS611" s="605">
        <f>'Detailed Budget'!$AC$16</f>
        <v>10488008800.000002</v>
      </c>
      <c r="CT611" s="605">
        <f t="shared" si="1602"/>
        <v>0</v>
      </c>
      <c r="CU611" s="605">
        <f>'Detailed Budget'!$AC$24</f>
        <v>30624985696</v>
      </c>
      <c r="CV611" s="605">
        <f t="shared" si="1589"/>
        <v>0</v>
      </c>
      <c r="CW611" s="605"/>
      <c r="CX611" s="605">
        <f t="shared" si="1522"/>
        <v>0</v>
      </c>
      <c r="CY611" s="207">
        <f>'Detailed Budget'!$AC$97</f>
        <v>74629165494.837845</v>
      </c>
      <c r="CZ611" s="605">
        <f t="shared" si="1603"/>
        <v>950149007.69169378</v>
      </c>
      <c r="DA611" s="605">
        <f>'Detailed Budget'!$AC$100</f>
        <v>14925833098.967569</v>
      </c>
      <c r="DB611" s="605">
        <f t="shared" si="1604"/>
        <v>190029801.53833875</v>
      </c>
      <c r="DC611" s="605">
        <f t="shared" si="1511"/>
        <v>1140178809.2300324</v>
      </c>
      <c r="DD611" s="207">
        <f>SUM(DD612:DD619)</f>
        <v>0</v>
      </c>
      <c r="DE611" s="606">
        <v>0</v>
      </c>
      <c r="DF611" s="605">
        <f>'Detailed Budget'!$AC$147</f>
        <v>5913600671000</v>
      </c>
      <c r="DG611" s="605">
        <f t="shared" si="1584"/>
        <v>0</v>
      </c>
      <c r="DH611" s="605">
        <f>'Detailed Budget'!$AC$153</f>
        <v>226428026880.00003</v>
      </c>
      <c r="DI611" s="605">
        <f>BS611*DH611</f>
        <v>2647572719.4680996</v>
      </c>
      <c r="DJ611" s="605">
        <f>'Detailed Budget'!$AC$156</f>
        <v>27713070000</v>
      </c>
      <c r="DK611" s="605">
        <f>AT611*DJ611</f>
        <v>286440000</v>
      </c>
      <c r="DL611" s="605">
        <f>DI611+DK611</f>
        <v>2934012719.4680996</v>
      </c>
      <c r="DM611" s="207">
        <f>'Detailed Budget'!$AC$178</f>
        <v>5622683761.6229038</v>
      </c>
      <c r="DN611" s="605">
        <f>SUM(DN612:DN619)</f>
        <v>0</v>
      </c>
      <c r="DO611" s="605">
        <f>'Detailed Budget'!$AC$179</f>
        <v>26827890683.128094</v>
      </c>
      <c r="DP611" s="605">
        <f>SUM(DP612:DP619)</f>
        <v>0</v>
      </c>
      <c r="DQ611" s="605">
        <f>SUM(DQ612:DQ619)</f>
        <v>0</v>
      </c>
      <c r="DR611" s="605">
        <f>'Detailed Budget'!$AC$181</f>
        <v>50888946855.375237</v>
      </c>
      <c r="DS611" s="605">
        <f>SUM(DS612:DS619)</f>
        <v>0</v>
      </c>
      <c r="DT611" s="605">
        <f>SUM(DT612:DT619)</f>
        <v>0</v>
      </c>
      <c r="DU611" s="634">
        <f>'Detailed Budget'!$AC$192</f>
        <v>77498869683.252869</v>
      </c>
      <c r="DV611" s="605">
        <f t="shared" si="1605"/>
        <v>0</v>
      </c>
      <c r="DW611" s="930">
        <f>'Detailed Budget'!$AC$194</f>
        <v>2684962805.4134097</v>
      </c>
      <c r="DX611" s="605">
        <f t="shared" si="1606"/>
        <v>0</v>
      </c>
      <c r="DY611" s="605">
        <f t="shared" si="1512"/>
        <v>0</v>
      </c>
      <c r="DZ611" s="207">
        <f>'Detailed Budget'!$AC$198</f>
        <v>18732540018.380611</v>
      </c>
      <c r="EA611" s="605">
        <f t="shared" ref="EA611:EA619" si="1622">CF611*DZ611</f>
        <v>148561490.26361805</v>
      </c>
      <c r="EB611" s="207">
        <f>'Detailed Budget'!$AC$200</f>
        <v>4683135004.5951529</v>
      </c>
      <c r="EC611" s="605">
        <f t="shared" si="1607"/>
        <v>37140372.565904513</v>
      </c>
      <c r="ED611" s="605">
        <f t="shared" si="1513"/>
        <v>185701862.82952255</v>
      </c>
      <c r="EE611" s="207">
        <f>'Detailed Budget'!$AC$161</f>
        <v>251147290106.36197</v>
      </c>
      <c r="EF611" s="605">
        <f t="shared" si="1608"/>
        <v>2886200743.8134098</v>
      </c>
      <c r="EG611" s="207">
        <f>'Detailed Budget'!$AC$163</f>
        <v>15696705631.647623</v>
      </c>
      <c r="EH611" s="605">
        <f t="shared" si="1609"/>
        <v>180387546.48833811</v>
      </c>
      <c r="EI611" s="605">
        <f t="shared" si="1514"/>
        <v>3066588290.3017478</v>
      </c>
      <c r="EJ611" s="207">
        <f>'Detailed Budget'!$AC$204</f>
        <v>45012172507.531975</v>
      </c>
      <c r="EK611" s="605">
        <f t="shared" si="1610"/>
        <v>838267293.24573183</v>
      </c>
      <c r="EL611" s="207">
        <f>'Detailed Budget'!$AC$206</f>
        <v>11253043126.882994</v>
      </c>
      <c r="EM611" s="605">
        <f t="shared" si="1611"/>
        <v>209566823.31143296</v>
      </c>
      <c r="EN611" s="605">
        <f t="shared" si="1515"/>
        <v>1047834116.5571648</v>
      </c>
      <c r="EO611" s="930">
        <f>'Detailed Budget'!$AC$209</f>
        <v>135789361677.54817</v>
      </c>
      <c r="EP611" s="605">
        <f t="shared" si="1612"/>
        <v>1730500577.79527</v>
      </c>
      <c r="EQ611" s="207">
        <f>'Detailed Budget'!$AC$211</f>
        <v>33947340419.387043</v>
      </c>
      <c r="ER611" s="605">
        <f t="shared" si="1613"/>
        <v>432625144.44881749</v>
      </c>
      <c r="ES611" s="605">
        <f t="shared" si="1516"/>
        <v>2163125722.2440872</v>
      </c>
      <c r="ET611" s="207">
        <f>'Detailed Budget'!$AC$214</f>
        <v>22239745544.201103</v>
      </c>
      <c r="EU611" s="605">
        <f t="shared" si="1614"/>
        <v>275251485.62607211</v>
      </c>
      <c r="EV611" s="930">
        <f>'Detailed Budget'!$AC$217</f>
        <v>5559936386.0502758</v>
      </c>
      <c r="EW611" s="605">
        <f t="shared" si="1615"/>
        <v>68812871.406518027</v>
      </c>
      <c r="EX611" s="605">
        <f t="shared" si="1517"/>
        <v>344064357.03259015</v>
      </c>
      <c r="EY611" s="207">
        <f>'Detailed Budget'!$AC$219</f>
        <v>372777004.58170313</v>
      </c>
      <c r="EZ611" s="605">
        <f t="shared" si="1616"/>
        <v>4830307.2725723404</v>
      </c>
      <c r="FA611" s="207">
        <f>'Detailed Budget'!$AC$222</f>
        <v>93194251.145425782</v>
      </c>
      <c r="FB611" s="605">
        <f t="shared" si="1617"/>
        <v>1207576.8181430851</v>
      </c>
      <c r="FC611" s="605">
        <f t="shared" si="1518"/>
        <v>6037884.0907154251</v>
      </c>
      <c r="FD611" s="605"/>
      <c r="FE611" s="605">
        <f t="shared" si="1519"/>
        <v>3561062079.9245577</v>
      </c>
      <c r="FF611" s="930">
        <f>'Detailed Budget'!$AC$165</f>
        <v>14927760000</v>
      </c>
      <c r="FG611" s="1087">
        <f t="shared" si="1585"/>
        <v>4857524397.4384623</v>
      </c>
      <c r="FH611" s="605">
        <f t="shared" ref="FH611:FH619" si="1623">AV611*FF611</f>
        <v>178095080.10453358</v>
      </c>
      <c r="FI611" s="605"/>
      <c r="FJ611" s="930">
        <f>'Detailed Budget'!$AC$235</f>
        <v>3623696172</v>
      </c>
      <c r="FK611" s="605">
        <f t="shared" ref="FK611:FK619" si="1624">AT611*FJ611</f>
        <v>37454224</v>
      </c>
      <c r="FL611" s="605">
        <f t="shared" si="1586"/>
        <v>37454224</v>
      </c>
      <c r="FM611" s="605"/>
      <c r="FN611" s="605">
        <f>'Detailed Budget'!$AC$251</f>
        <v>1047595800</v>
      </c>
      <c r="FO611" s="605">
        <f>AR611*FN611</f>
        <v>28313400</v>
      </c>
      <c r="FP611" s="605">
        <f>'Detailed Budget'!$AB$254</f>
        <v>2773297530</v>
      </c>
      <c r="FQ611" s="605">
        <f>BE611*FP611</f>
        <v>82816695</v>
      </c>
      <c r="FR611" s="605">
        <f>'Detailed Budget'!$AC$257</f>
        <v>13636439388</v>
      </c>
      <c r="FS611" s="605">
        <f t="shared" ref="FS611:FS619" si="1625">BA611*FR611</f>
        <v>109926960</v>
      </c>
      <c r="FT611" s="605">
        <f t="shared" si="1587"/>
        <v>221057055</v>
      </c>
      <c r="FU611" s="605"/>
      <c r="FV611" s="605">
        <f>'Detailed Budget'!$AC$265</f>
        <v>6277805540</v>
      </c>
      <c r="FW611" s="605">
        <f>AR611*FV611</f>
        <v>169670420</v>
      </c>
      <c r="FX611" s="930">
        <f>'Detailed Budget'!$AC$278</f>
        <v>1114560000</v>
      </c>
      <c r="FY611" s="605">
        <f t="shared" ref="FY611:FY619" si="1626">AT611*FX611</f>
        <v>11520000</v>
      </c>
      <c r="FZ611" s="605">
        <f t="shared" si="1588"/>
        <v>181190420</v>
      </c>
      <c r="GB611" s="269">
        <f t="shared" si="1596"/>
        <v>16362864938.296955</v>
      </c>
      <c r="GC611" s="889">
        <f t="shared" si="1520"/>
        <v>10226790.586435597</v>
      </c>
      <c r="GD611" s="1078">
        <f t="shared" si="1597"/>
        <v>9.1817187688171473E-3</v>
      </c>
    </row>
    <row r="612" spans="1:186" hidden="1" outlineLevel="1">
      <c r="A612" s="211" t="s">
        <v>1330</v>
      </c>
      <c r="B612" s="212" t="s">
        <v>1331</v>
      </c>
      <c r="C612" s="213" t="s">
        <v>215</v>
      </c>
      <c r="D612" s="214"/>
      <c r="E612" s="213"/>
      <c r="F612" s="213"/>
      <c r="G612" s="213" t="s">
        <v>215</v>
      </c>
      <c r="H612" s="213" t="s">
        <v>215</v>
      </c>
      <c r="I612" s="214"/>
      <c r="J612" s="214" t="s">
        <v>215</v>
      </c>
      <c r="K612" s="213"/>
      <c r="L612" s="213" t="s">
        <v>215</v>
      </c>
      <c r="M612" s="214"/>
      <c r="N612" s="213"/>
      <c r="O612" s="214"/>
      <c r="P612" s="213"/>
      <c r="Q612" s="214"/>
      <c r="R612" s="214" t="s">
        <v>215</v>
      </c>
      <c r="S612" s="214"/>
      <c r="T612" s="214"/>
      <c r="U612" s="215">
        <f t="shared" ref="U612:U619" si="1627">COUNTA(C612:T612)</f>
        <v>6</v>
      </c>
      <c r="V612" s="845" t="s">
        <v>1332</v>
      </c>
      <c r="W612" s="216">
        <v>184127</v>
      </c>
      <c r="X612" s="217">
        <v>2.96</v>
      </c>
      <c r="Y612" s="218">
        <f t="shared" si="1598"/>
        <v>1.0296000000000001</v>
      </c>
      <c r="Z612" s="196">
        <v>19</v>
      </c>
      <c r="AA612" s="218">
        <f t="shared" si="1599"/>
        <v>1.7406126843598355</v>
      </c>
      <c r="AB612" s="196">
        <f t="shared" si="1619"/>
        <v>320493.79173312342</v>
      </c>
      <c r="AC612">
        <v>12.5</v>
      </c>
      <c r="AD612" s="196">
        <f t="shared" si="1620"/>
        <v>40061.723966640428</v>
      </c>
      <c r="AE612" s="196">
        <f t="shared" si="1600"/>
        <v>38058.637768308407</v>
      </c>
      <c r="AF612" s="196">
        <f t="shared" ref="AF612:AF620" si="1628">AE612*BT612</f>
        <v>0</v>
      </c>
      <c r="AG612" s="606">
        <f t="shared" si="1523"/>
        <v>1.7596643298561415E-3</v>
      </c>
      <c r="AH612" s="196">
        <f>AB612*0.05</f>
        <v>16024.689586656172</v>
      </c>
      <c r="AI612" s="248">
        <f t="shared" si="1503"/>
        <v>1.2414084225019742E-3</v>
      </c>
      <c r="AJ612" s="196">
        <f t="shared" si="1504"/>
        <v>56086.413553296603</v>
      </c>
      <c r="AK612" s="196">
        <f t="shared" si="1532"/>
        <v>12819.751669324936</v>
      </c>
      <c r="AL612" s="196">
        <f t="shared" si="1533"/>
        <v>12819.751669324936</v>
      </c>
      <c r="AM612" s="196">
        <f t="shared" si="1505"/>
        <v>25639.503338649873</v>
      </c>
      <c r="AN612" s="627">
        <f t="shared" si="1506"/>
        <v>1.2414084225019742E-3</v>
      </c>
      <c r="AO612" s="196">
        <f t="shared" si="1507"/>
        <v>12178.764085858689</v>
      </c>
      <c r="AP612" s="589">
        <f t="shared" si="1524"/>
        <v>1.241408422501974E-3</v>
      </c>
      <c r="AQ612" s="196"/>
      <c r="AR612" s="589"/>
      <c r="AS612">
        <v>1</v>
      </c>
      <c r="AT612" s="589">
        <f t="shared" si="1525"/>
        <v>1.2919896640826874E-3</v>
      </c>
      <c r="AU612" s="196">
        <v>10</v>
      </c>
      <c r="AV612" s="245">
        <f t="shared" si="1536"/>
        <v>1.1362345188046814E-3</v>
      </c>
      <c r="AX612" s="245"/>
      <c r="AY612" s="245"/>
      <c r="AZ612" s="196">
        <v>14</v>
      </c>
      <c r="BA612" s="589">
        <f t="shared" si="1590"/>
        <v>5.1298963028104507E-4</v>
      </c>
      <c r="BI612" s="196">
        <v>0</v>
      </c>
      <c r="BK612" s="246">
        <f t="shared" si="1591"/>
        <v>0</v>
      </c>
      <c r="BL612" s="196">
        <f t="shared" ref="BL612:BL639" si="1629">BJ612/60</f>
        <v>0</v>
      </c>
      <c r="BM612" s="246">
        <f t="shared" si="1592"/>
        <v>0</v>
      </c>
      <c r="BN612" s="196">
        <v>1</v>
      </c>
      <c r="BO612" s="196">
        <f t="shared" ref="BO612:BO619" si="1630">AJ612/519208*136101</f>
        <v>14702.040359580787</v>
      </c>
      <c r="BP612" s="196">
        <f t="shared" si="1508"/>
        <v>14702.040359580787</v>
      </c>
      <c r="BQ612" s="248">
        <f t="shared" si="1593"/>
        <v>1.3753074119418663E-3</v>
      </c>
      <c r="BR612" s="248"/>
      <c r="BS612" s="248"/>
      <c r="BT612" s="276">
        <v>0</v>
      </c>
      <c r="BU612" s="196">
        <f t="shared" ref="BU612:BU619" si="1631">AD612*BT612*0.18*4</f>
        <v>0</v>
      </c>
      <c r="BV612" s="264">
        <f t="shared" si="1594"/>
        <v>0</v>
      </c>
      <c r="BW612" s="196">
        <f t="shared" ref="BW612:BW619" si="1632">AD612*BT612*0.77*4</f>
        <v>0</v>
      </c>
      <c r="BX612" s="247">
        <f t="shared" si="1595"/>
        <v>0</v>
      </c>
      <c r="BY612" s="196">
        <f t="shared" ref="BY612:BY619" si="1633">BU612+BW612</f>
        <v>0</v>
      </c>
      <c r="BZ612" s="620">
        <v>1</v>
      </c>
      <c r="CA612" s="196">
        <f t="shared" si="1571"/>
        <v>98071.100270335752</v>
      </c>
      <c r="CB612" s="196">
        <f t="shared" si="1572"/>
        <v>196142.2005406715</v>
      </c>
      <c r="CC612" s="196">
        <f t="shared" si="1521"/>
        <v>294213.30081100727</v>
      </c>
      <c r="CD612" s="247">
        <f t="shared" si="1509"/>
        <v>1.241408422501974E-3</v>
      </c>
      <c r="CE612" s="196">
        <f t="shared" ref="CE612:CE619" si="1634">AH612/148345*183652</f>
        <v>19838.661848856242</v>
      </c>
      <c r="CF612" s="247">
        <f t="shared" si="1510"/>
        <v>8.5669511579405152E-4</v>
      </c>
      <c r="CG612" s="196">
        <f t="shared" si="1601"/>
        <v>48715.056343434757</v>
      </c>
      <c r="CH612" s="589">
        <f t="shared" si="1526"/>
        <v>1.241408422501974E-3</v>
      </c>
      <c r="CI612" s="196">
        <f t="shared" ref="CI612:CI619" si="1635">AD612/370863*1132795</f>
        <v>122367.88409949346</v>
      </c>
      <c r="CJ612" s="248">
        <f t="shared" si="1527"/>
        <v>2.0117277039849151E-3</v>
      </c>
      <c r="CK612" s="196">
        <f t="shared" ref="CK612:CK619" si="1636">AD612/370863*886528</f>
        <v>95765.390520752422</v>
      </c>
      <c r="CL612" s="589">
        <f t="shared" si="1528"/>
        <v>1.3766471868362506E-3</v>
      </c>
      <c r="CM612" s="196">
        <f t="shared" ref="CM612:CM619" si="1637">AD612/370863*85882</f>
        <v>9277.2289975085496</v>
      </c>
      <c r="CN612" s="589">
        <f t="shared" si="1529"/>
        <v>1.3369541310111444E-3</v>
      </c>
      <c r="CO612" s="196">
        <f t="shared" ref="CO612:CO619" si="1638">AD612/370863*6871</f>
        <v>742.22584990895928</v>
      </c>
      <c r="CP612" s="589">
        <f t="shared" si="1530"/>
        <v>1.3997236291011666E-3</v>
      </c>
      <c r="CQ612" s="196">
        <f>'Detailed Budget'!$AC$12</f>
        <v>292876014141.44696</v>
      </c>
      <c r="CR612" s="269">
        <f t="shared" si="1534"/>
        <v>0</v>
      </c>
      <c r="CS612" s="269">
        <f>'Detailed Budget'!$AC$16</f>
        <v>10488008800.000002</v>
      </c>
      <c r="CT612" s="607">
        <f t="shared" si="1602"/>
        <v>0</v>
      </c>
      <c r="CU612" s="269">
        <f>'Detailed Budget'!$AC$24</f>
        <v>30624985696</v>
      </c>
      <c r="CV612" s="269">
        <f t="shared" si="1589"/>
        <v>0</v>
      </c>
      <c r="CW612" s="269"/>
      <c r="CX612" s="269">
        <f t="shared" si="1522"/>
        <v>0</v>
      </c>
      <c r="CY612" s="196">
        <f>'Detailed Budget'!$AC$97</f>
        <v>74629165494.837845</v>
      </c>
      <c r="CZ612" s="269">
        <f t="shared" si="1603"/>
        <v>102638044.45208667</v>
      </c>
      <c r="DA612" s="269">
        <f>'Detailed Budget'!$AC$100</f>
        <v>14925833098.967569</v>
      </c>
      <c r="DB612" s="269">
        <f t="shared" si="1604"/>
        <v>20527608.890417334</v>
      </c>
      <c r="DC612" s="269">
        <f t="shared" si="1511"/>
        <v>123165653.34250401</v>
      </c>
      <c r="DD612" s="207">
        <v>0</v>
      </c>
      <c r="DE612" s="606">
        <v>0</v>
      </c>
      <c r="DF612" s="269">
        <f>'Detailed Budget'!$AC$147</f>
        <v>5913600671000</v>
      </c>
      <c r="DG612" s="269">
        <f t="shared" si="1584"/>
        <v>0</v>
      </c>
      <c r="DH612" s="269">
        <f>'Detailed Budget'!$AC$153</f>
        <v>226428026880.00003</v>
      </c>
      <c r="DI612" s="269"/>
      <c r="DJ612" s="269">
        <f>'Detailed Budget'!$AC$156</f>
        <v>27713070000</v>
      </c>
      <c r="DK612" s="269"/>
      <c r="DL612" s="269"/>
      <c r="DM612" s="196">
        <f>'Detailed Budget'!$AC$178</f>
        <v>5622683761.6229038</v>
      </c>
      <c r="DN612" s="269">
        <f t="shared" ref="DN612:DN619" si="1639">BT612*BV612*DM612</f>
        <v>0</v>
      </c>
      <c r="DO612" s="196">
        <f>'Detailed Budget'!$AC$179</f>
        <v>26827890683.128094</v>
      </c>
      <c r="DP612" s="269">
        <f t="shared" ref="DP612:DP619" si="1640">BT612*BX612*DO612</f>
        <v>0</v>
      </c>
      <c r="DQ612" s="269">
        <f t="shared" si="1531"/>
        <v>0</v>
      </c>
      <c r="DR612" s="269">
        <f>'Detailed Budget'!$AC$181</f>
        <v>50888946855.375237</v>
      </c>
      <c r="DS612" s="269">
        <f t="shared" ref="DS612:DS619" si="1641">BT612*AG612*DR612</f>
        <v>0</v>
      </c>
      <c r="DT612" s="269">
        <f t="shared" ref="DT612:DT619" si="1642">DQ612+DS612</f>
        <v>0</v>
      </c>
      <c r="DU612" s="272">
        <f>'Detailed Budget'!$AC$192</f>
        <v>77498869683.252869</v>
      </c>
      <c r="DV612" s="269">
        <f t="shared" si="1605"/>
        <v>96207749.559173003</v>
      </c>
      <c r="DW612" s="140">
        <f>'Detailed Budget'!$AC$194</f>
        <v>2684962805.4134097</v>
      </c>
      <c r="DX612" s="269">
        <f t="shared" si="1606"/>
        <v>3333135.4407447362</v>
      </c>
      <c r="DY612" s="607">
        <f t="shared" si="1512"/>
        <v>99540884.999917746</v>
      </c>
      <c r="DZ612" s="196">
        <f>'Detailed Budget'!$AC$198</f>
        <v>18732540018.380611</v>
      </c>
      <c r="EA612" s="269">
        <f t="shared" si="1622"/>
        <v>16048075.540163282</v>
      </c>
      <c r="EB612" s="196">
        <f>'Detailed Budget'!$AC$200</f>
        <v>4683135004.5951529</v>
      </c>
      <c r="EC612" s="269">
        <f t="shared" si="1607"/>
        <v>4012018.8850408206</v>
      </c>
      <c r="ED612" s="269">
        <f t="shared" si="1513"/>
        <v>20060094.425204102</v>
      </c>
      <c r="EE612" s="196">
        <f>'Detailed Budget'!$AC$161</f>
        <v>251147290106.36197</v>
      </c>
      <c r="EF612" s="269">
        <f t="shared" si="1608"/>
        <v>311776361.22658443</v>
      </c>
      <c r="EG612" s="196">
        <f>'Detailed Budget'!$AC$163</f>
        <v>15696705631.647623</v>
      </c>
      <c r="EH612" s="269">
        <f t="shared" si="1609"/>
        <v>19486022.576661527</v>
      </c>
      <c r="EI612" s="269">
        <f t="shared" si="1514"/>
        <v>331262383.80324596</v>
      </c>
      <c r="EJ612" s="196">
        <f>'Detailed Budget'!$AC$204</f>
        <v>45012172507.531975</v>
      </c>
      <c r="EK612" s="269">
        <f t="shared" si="1610"/>
        <v>90552234.449950218</v>
      </c>
      <c r="EL612" s="201">
        <f>'Detailed Budget'!$AC$206</f>
        <v>11253043126.882994</v>
      </c>
      <c r="EM612" s="269">
        <f t="shared" si="1611"/>
        <v>22638058.612487555</v>
      </c>
      <c r="EN612" s="269">
        <f t="shared" si="1515"/>
        <v>113190293.06243777</v>
      </c>
      <c r="EO612" s="140">
        <f>'Detailed Budget'!$AC$209</f>
        <v>135789361677.54817</v>
      </c>
      <c r="EP612" s="269">
        <f t="shared" si="1612"/>
        <v>186934042.75568688</v>
      </c>
      <c r="EQ612" s="196">
        <f>'Detailed Budget'!$AC$211</f>
        <v>33947340419.387043</v>
      </c>
      <c r="ER612" s="269">
        <f t="shared" si="1613"/>
        <v>46733510.68892172</v>
      </c>
      <c r="ES612" s="269">
        <f t="shared" si="1516"/>
        <v>233667553.4446086</v>
      </c>
      <c r="ET612" s="196">
        <f>'Detailed Budget'!$AC$214</f>
        <v>22239745544.201103</v>
      </c>
      <c r="EU612" s="269">
        <f t="shared" si="1614"/>
        <v>29733519.677956358</v>
      </c>
      <c r="EV612" s="140">
        <f>'Detailed Budget'!$AC$217</f>
        <v>5559936386.0502758</v>
      </c>
      <c r="EW612" s="269">
        <f t="shared" si="1615"/>
        <v>7433379.9194890894</v>
      </c>
      <c r="EX612" s="269">
        <f t="shared" si="1517"/>
        <v>37166899.597445443</v>
      </c>
      <c r="EY612" s="196">
        <f>'Detailed Budget'!$AC$219</f>
        <v>372777004.58170313</v>
      </c>
      <c r="EZ612" s="269">
        <f t="shared" si="1616"/>
        <v>521784.78169856372</v>
      </c>
      <c r="FA612" s="196">
        <f>'Detailed Budget'!$AC$222</f>
        <v>93194251.145425782</v>
      </c>
      <c r="FB612" s="269">
        <f t="shared" si="1617"/>
        <v>130446.19542464093</v>
      </c>
      <c r="FC612" s="269">
        <f t="shared" si="1518"/>
        <v>652230.97712320462</v>
      </c>
      <c r="FD612" s="269"/>
      <c r="FE612" s="269">
        <f t="shared" si="1519"/>
        <v>384676977.08161497</v>
      </c>
      <c r="FF612" s="140">
        <f>'Detailed Budget'!$AC$165</f>
        <v>14927760000</v>
      </c>
      <c r="FG612" s="1087">
        <f t="shared" si="1585"/>
        <v>524724859.99076086</v>
      </c>
      <c r="FH612" s="269">
        <f t="shared" si="1623"/>
        <v>16961436.200431772</v>
      </c>
      <c r="FJ612" s="140">
        <f>'Detailed Budget'!$AC$235</f>
        <v>3623696172</v>
      </c>
      <c r="FK612" s="269">
        <f t="shared" si="1624"/>
        <v>4681778</v>
      </c>
      <c r="FL612" s="269">
        <f t="shared" si="1586"/>
        <v>4681778</v>
      </c>
      <c r="FO612" s="607"/>
      <c r="FP612" s="607"/>
      <c r="FQ612" s="607"/>
      <c r="FR612" s="269">
        <f>'Detailed Budget'!$AC$257</f>
        <v>13636439388</v>
      </c>
      <c r="FS612" s="269">
        <f t="shared" si="1625"/>
        <v>6995352</v>
      </c>
      <c r="FT612" s="269">
        <f t="shared" si="1587"/>
        <v>6995352</v>
      </c>
      <c r="FU612" s="269"/>
      <c r="FV612" s="269"/>
      <c r="FW612" s="269"/>
      <c r="FX612" s="140">
        <f>'Detailed Budget'!$AC$278</f>
        <v>1114560000</v>
      </c>
      <c r="FY612" s="269">
        <f t="shared" si="1626"/>
        <v>1440000</v>
      </c>
      <c r="FZ612" s="269">
        <f t="shared" si="1588"/>
        <v>1440000</v>
      </c>
      <c r="GB612" s="269">
        <f t="shared" si="1596"/>
        <v>1513509419.8436794</v>
      </c>
      <c r="GC612" s="887">
        <f t="shared" si="1520"/>
        <v>945943.38740229968</v>
      </c>
      <c r="GD612" s="1078">
        <f t="shared" si="1597"/>
        <v>8.4927779452823753E-4</v>
      </c>
    </row>
    <row r="613" spans="1:186" hidden="1" outlineLevel="1">
      <c r="A613" s="211" t="s">
        <v>1333</v>
      </c>
      <c r="B613" s="212" t="s">
        <v>1334</v>
      </c>
      <c r="C613" s="213" t="s">
        <v>215</v>
      </c>
      <c r="D613" s="214"/>
      <c r="E613" s="213"/>
      <c r="F613" s="213"/>
      <c r="G613" s="213" t="s">
        <v>215</v>
      </c>
      <c r="H613" s="213" t="s">
        <v>215</v>
      </c>
      <c r="I613" s="214"/>
      <c r="J613" s="214" t="s">
        <v>215</v>
      </c>
      <c r="K613" s="213"/>
      <c r="L613" s="213" t="s">
        <v>215</v>
      </c>
      <c r="M613" s="214"/>
      <c r="N613" s="213"/>
      <c r="O613" s="214"/>
      <c r="P613" s="213"/>
      <c r="Q613" s="214"/>
      <c r="R613" s="214" t="s">
        <v>215</v>
      </c>
      <c r="S613" s="214"/>
      <c r="T613" s="214"/>
      <c r="U613" s="215">
        <f t="shared" si="1627"/>
        <v>6</v>
      </c>
      <c r="V613" s="845" t="s">
        <v>1332</v>
      </c>
      <c r="W613" s="216">
        <v>269588</v>
      </c>
      <c r="X613" s="217">
        <v>2.96</v>
      </c>
      <c r="Y613" s="218">
        <f t="shared" si="1598"/>
        <v>1.0296000000000001</v>
      </c>
      <c r="Z613" s="196">
        <v>19</v>
      </c>
      <c r="AA613" s="218">
        <f t="shared" si="1599"/>
        <v>1.7406126843598355</v>
      </c>
      <c r="AB613" s="196">
        <f t="shared" si="1619"/>
        <v>469248.29235119931</v>
      </c>
      <c r="AC613">
        <v>12.5</v>
      </c>
      <c r="AD613" s="196">
        <f t="shared" si="1620"/>
        <v>58656.036543899914</v>
      </c>
      <c r="AE613" s="196">
        <f t="shared" si="1600"/>
        <v>55723.234716704916</v>
      </c>
      <c r="AF613" s="196">
        <f t="shared" si="1628"/>
        <v>0</v>
      </c>
      <c r="AG613" s="606">
        <f t="shared" si="1523"/>
        <v>2.576397743716334E-3</v>
      </c>
      <c r="AH613" s="196">
        <f t="shared" ref="AH613:AH619" si="1643">AB613*0.05</f>
        <v>23462.414617559967</v>
      </c>
      <c r="AI613" s="248">
        <f t="shared" si="1503"/>
        <v>1.8175977113919319E-3</v>
      </c>
      <c r="AJ613" s="196">
        <f t="shared" si="1504"/>
        <v>82118.451161459874</v>
      </c>
      <c r="AK613" s="196">
        <f t="shared" si="1532"/>
        <v>18769.931694047973</v>
      </c>
      <c r="AL613" s="196">
        <f t="shared" si="1533"/>
        <v>18769.931694047973</v>
      </c>
      <c r="AM613" s="196">
        <f t="shared" si="1505"/>
        <v>37539.863388095946</v>
      </c>
      <c r="AN613" s="627">
        <f t="shared" si="1506"/>
        <v>1.8175977113919317E-3</v>
      </c>
      <c r="AO613" s="196">
        <f t="shared" si="1507"/>
        <v>17831.435109345573</v>
      </c>
      <c r="AP613" s="589">
        <f t="shared" si="1524"/>
        <v>1.8175977113919317E-3</v>
      </c>
      <c r="AQ613" s="196"/>
      <c r="AR613" s="589"/>
      <c r="AS613">
        <v>1</v>
      </c>
      <c r="AT613" s="589">
        <f t="shared" si="1525"/>
        <v>1.2919896640826874E-3</v>
      </c>
      <c r="AU613" s="196">
        <v>12</v>
      </c>
      <c r="AV613" s="245">
        <f t="shared" si="1536"/>
        <v>1.3634814225656176E-3</v>
      </c>
      <c r="AX613" s="245"/>
      <c r="AY613" s="245"/>
      <c r="AZ613" s="196">
        <v>25</v>
      </c>
      <c r="BA613" s="589">
        <f t="shared" si="1590"/>
        <v>9.1605291121615189E-4</v>
      </c>
      <c r="BI613" s="196">
        <v>0</v>
      </c>
      <c r="BK613" s="246">
        <f t="shared" si="1591"/>
        <v>0</v>
      </c>
      <c r="BL613" s="196">
        <f t="shared" si="1629"/>
        <v>0</v>
      </c>
      <c r="BM613" s="246">
        <f t="shared" si="1592"/>
        <v>0</v>
      </c>
      <c r="BN613" s="196">
        <v>1</v>
      </c>
      <c r="BO613" s="196">
        <f t="shared" si="1630"/>
        <v>21525.868864743708</v>
      </c>
      <c r="BP613" s="196">
        <f t="shared" si="1508"/>
        <v>21525.868864743708</v>
      </c>
      <c r="BQ613" s="248">
        <f t="shared" si="1593"/>
        <v>2.0136447917501717E-3</v>
      </c>
      <c r="BR613" s="248"/>
      <c r="BS613" s="248"/>
      <c r="BT613" s="276">
        <v>0</v>
      </c>
      <c r="BU613" s="196">
        <f t="shared" si="1631"/>
        <v>0</v>
      </c>
      <c r="BV613" s="264">
        <f t="shared" si="1594"/>
        <v>0</v>
      </c>
      <c r="BW613" s="196">
        <f t="shared" si="1632"/>
        <v>0</v>
      </c>
      <c r="BX613" s="247">
        <f t="shared" si="1595"/>
        <v>0</v>
      </c>
      <c r="BY613" s="196">
        <f t="shared" si="1633"/>
        <v>0</v>
      </c>
      <c r="BZ613" s="620">
        <v>1</v>
      </c>
      <c r="CA613" s="196">
        <f t="shared" si="1571"/>
        <v>143589.97745946699</v>
      </c>
      <c r="CB613" s="196">
        <f t="shared" si="1572"/>
        <v>287179.95491893397</v>
      </c>
      <c r="CC613" s="196">
        <f t="shared" si="1521"/>
        <v>430769.93237840093</v>
      </c>
      <c r="CD613" s="247">
        <f t="shared" si="1509"/>
        <v>1.8175977113919315E-3</v>
      </c>
      <c r="CE613" s="196">
        <f t="shared" si="1634"/>
        <v>29046.610059955663</v>
      </c>
      <c r="CF613" s="247">
        <f t="shared" si="1510"/>
        <v>1.2543229557679578E-3</v>
      </c>
      <c r="CG613" s="196">
        <f t="shared" si="1601"/>
        <v>71325.740437382294</v>
      </c>
      <c r="CH613" s="589">
        <f t="shared" si="1526"/>
        <v>1.8175977113919317E-3</v>
      </c>
      <c r="CI613" s="196">
        <f t="shared" si="1635"/>
        <v>179163.90935937827</v>
      </c>
      <c r="CJ613" s="248">
        <f t="shared" si="1527"/>
        <v>2.9454542150900479E-3</v>
      </c>
      <c r="CK613" s="196">
        <f t="shared" si="1636"/>
        <v>140214.09190237502</v>
      </c>
      <c r="CL613" s="589">
        <f t="shared" si="1528"/>
        <v>2.015606411904887E-3</v>
      </c>
      <c r="CM613" s="196">
        <f t="shared" si="1637"/>
        <v>13583.176888671052</v>
      </c>
      <c r="CN613" s="589">
        <f t="shared" si="1529"/>
        <v>1.9574901577228349E-3</v>
      </c>
      <c r="CO613" s="196">
        <f t="shared" si="1638"/>
        <v>1086.7237419023638</v>
      </c>
      <c r="CP613" s="589">
        <f t="shared" si="1530"/>
        <v>2.0493935909569232E-3</v>
      </c>
      <c r="CQ613" s="196">
        <f>'Detailed Budget'!$AC$12</f>
        <v>292876014141.44696</v>
      </c>
      <c r="CR613" s="269">
        <f t="shared" si="1534"/>
        <v>0</v>
      </c>
      <c r="CS613" s="269">
        <f>'Detailed Budget'!$AC$16</f>
        <v>10488008800.000002</v>
      </c>
      <c r="CT613" s="607">
        <f t="shared" si="1602"/>
        <v>0</v>
      </c>
      <c r="CU613" s="269">
        <f>'Detailed Budget'!$AC$24</f>
        <v>30624985696</v>
      </c>
      <c r="CV613" s="269">
        <f t="shared" si="1589"/>
        <v>0</v>
      </c>
      <c r="CW613" s="269"/>
      <c r="CX613" s="269">
        <f t="shared" si="1522"/>
        <v>0</v>
      </c>
      <c r="CY613" s="196">
        <f>'Detailed Budget'!$AC$97</f>
        <v>74629165494.837845</v>
      </c>
      <c r="CZ613" s="269">
        <f t="shared" si="1603"/>
        <v>150276630.41134185</v>
      </c>
      <c r="DA613" s="269">
        <f>'Detailed Budget'!$AC$100</f>
        <v>14925833098.967569</v>
      </c>
      <c r="DB613" s="269">
        <f t="shared" si="1604"/>
        <v>30055326.082268372</v>
      </c>
      <c r="DC613" s="269">
        <f t="shared" si="1511"/>
        <v>180331956.4936102</v>
      </c>
      <c r="DD613" s="207">
        <v>0</v>
      </c>
      <c r="DE613" s="606">
        <v>0</v>
      </c>
      <c r="DF613" s="269">
        <f>'Detailed Budget'!$AC$147</f>
        <v>5913600671000</v>
      </c>
      <c r="DG613" s="269">
        <f t="shared" si="1584"/>
        <v>0</v>
      </c>
      <c r="DH613" s="269">
        <f>'Detailed Budget'!$AC$153</f>
        <v>226428026880.00003</v>
      </c>
      <c r="DI613" s="269"/>
      <c r="DJ613" s="269">
        <f>'Detailed Budget'!$AC$156</f>
        <v>27713070000</v>
      </c>
      <c r="DK613" s="269"/>
      <c r="DL613" s="269"/>
      <c r="DM613" s="196">
        <f>'Detailed Budget'!$AC$178</f>
        <v>5622683761.6229038</v>
      </c>
      <c r="DN613" s="269">
        <f t="shared" si="1639"/>
        <v>0</v>
      </c>
      <c r="DO613" s="196">
        <f>'Detailed Budget'!$AC$179</f>
        <v>26827890683.128094</v>
      </c>
      <c r="DP613" s="269">
        <f t="shared" si="1640"/>
        <v>0</v>
      </c>
      <c r="DQ613" s="269">
        <f t="shared" si="1531"/>
        <v>0</v>
      </c>
      <c r="DR613" s="269">
        <f>'Detailed Budget'!$AC$181</f>
        <v>50888946855.375237</v>
      </c>
      <c r="DS613" s="269">
        <f t="shared" si="1641"/>
        <v>0</v>
      </c>
      <c r="DT613" s="269">
        <f t="shared" si="1642"/>
        <v>0</v>
      </c>
      <c r="DU613" s="272">
        <f>'Detailed Budget'!$AC$192</f>
        <v>77498869683.252869</v>
      </c>
      <c r="DV613" s="269">
        <f t="shared" si="1605"/>
        <v>140861768.17174196</v>
      </c>
      <c r="DW613" s="140">
        <f>'Detailed Budget'!$AC$194</f>
        <v>2684962805.4134097</v>
      </c>
      <c r="DX613" s="269">
        <f t="shared" si="1606"/>
        <v>4880182.2502918737</v>
      </c>
      <c r="DY613" s="607">
        <f t="shared" si="1512"/>
        <v>145741950.42203385</v>
      </c>
      <c r="DZ613" s="196">
        <f>'Detailed Budget'!$AC$198</f>
        <v>18732540018.380611</v>
      </c>
      <c r="EA613" s="269">
        <f t="shared" si="1622"/>
        <v>23496654.964896724</v>
      </c>
      <c r="EB613" s="196">
        <f>'Detailed Budget'!$AC$200</f>
        <v>4683135004.5951529</v>
      </c>
      <c r="EC613" s="269">
        <f t="shared" si="1607"/>
        <v>5874163.7412241809</v>
      </c>
      <c r="ED613" s="269">
        <f t="shared" si="1513"/>
        <v>29370818.706120905</v>
      </c>
      <c r="EE613" s="196">
        <f>'Detailed Budget'!$AC$161</f>
        <v>251147290106.36197</v>
      </c>
      <c r="EF613" s="269">
        <f t="shared" si="1608"/>
        <v>456484739.71960902</v>
      </c>
      <c r="EG613" s="196">
        <f>'Detailed Budget'!$AC$163</f>
        <v>15696705631.647623</v>
      </c>
      <c r="EH613" s="269">
        <f t="shared" si="1609"/>
        <v>28530296.232475564</v>
      </c>
      <c r="EI613" s="269">
        <f t="shared" si="1514"/>
        <v>485015035.9520846</v>
      </c>
      <c r="EJ613" s="196">
        <f>'Detailed Budget'!$AC$204</f>
        <v>45012172507.531975</v>
      </c>
      <c r="EK613" s="269">
        <f t="shared" si="1610"/>
        <v>132581293.24267043</v>
      </c>
      <c r="EL613" s="201">
        <f>'Detailed Budget'!$AC$206</f>
        <v>11253043126.882994</v>
      </c>
      <c r="EM613" s="269">
        <f t="shared" si="1611"/>
        <v>33145323.310667608</v>
      </c>
      <c r="EN613" s="269">
        <f t="shared" si="1515"/>
        <v>165726616.55333805</v>
      </c>
      <c r="EO613" s="140">
        <f>'Detailed Budget'!$AC$209</f>
        <v>135789361677.54817</v>
      </c>
      <c r="EP613" s="269">
        <f t="shared" si="1612"/>
        <v>273697908.06573784</v>
      </c>
      <c r="EQ613" s="196">
        <f>'Detailed Budget'!$AC$211</f>
        <v>33947340419.387043</v>
      </c>
      <c r="ER613" s="269">
        <f t="shared" si="1613"/>
        <v>68424477.016434461</v>
      </c>
      <c r="ES613" s="269">
        <f t="shared" si="1516"/>
        <v>342122385.08217227</v>
      </c>
      <c r="ET613" s="196">
        <f>'Detailed Budget'!$AC$214</f>
        <v>22239745544.201103</v>
      </c>
      <c r="EU613" s="269">
        <f t="shared" si="1614"/>
        <v>43534083.013033934</v>
      </c>
      <c r="EV613" s="140">
        <f>'Detailed Budget'!$AC$217</f>
        <v>5559936386.0502758</v>
      </c>
      <c r="EW613" s="269">
        <f t="shared" si="1615"/>
        <v>10883520.753258483</v>
      </c>
      <c r="EX613" s="269">
        <f t="shared" si="1517"/>
        <v>54417603.766292416</v>
      </c>
      <c r="EY613" s="196">
        <f>'Detailed Budget'!$AC$219</f>
        <v>372777004.58170313</v>
      </c>
      <c r="EZ613" s="269">
        <f t="shared" si="1616"/>
        <v>763966.80404586194</v>
      </c>
      <c r="FA613" s="196">
        <f>'Detailed Budget'!$AC$222</f>
        <v>93194251.145425782</v>
      </c>
      <c r="FB613" s="269">
        <f t="shared" si="1617"/>
        <v>190991.70101146548</v>
      </c>
      <c r="FC613" s="269">
        <f t="shared" si="1518"/>
        <v>954958.50505732745</v>
      </c>
      <c r="FD613" s="269"/>
      <c r="FE613" s="269">
        <f t="shared" si="1519"/>
        <v>563221563.90686011</v>
      </c>
      <c r="FF613" s="140">
        <f>'Detailed Budget'!$AC$165</f>
        <v>14927760000</v>
      </c>
      <c r="FG613" s="1087">
        <f t="shared" si="1585"/>
        <v>768271494.9746058</v>
      </c>
      <c r="FH613" s="269">
        <f t="shared" si="1623"/>
        <v>20353723.440518126</v>
      </c>
      <c r="FJ613" s="140">
        <f>'Detailed Budget'!$AC$235</f>
        <v>3623696172</v>
      </c>
      <c r="FK613" s="269">
        <f t="shared" si="1624"/>
        <v>4681778</v>
      </c>
      <c r="FL613" s="269">
        <f t="shared" si="1586"/>
        <v>4681778</v>
      </c>
      <c r="FO613" s="607"/>
      <c r="FP613" s="607"/>
      <c r="FQ613" s="607"/>
      <c r="FR613" s="269">
        <f>'Detailed Budget'!$AC$257</f>
        <v>13636439388</v>
      </c>
      <c r="FS613" s="269">
        <f t="shared" si="1625"/>
        <v>12491700</v>
      </c>
      <c r="FT613" s="269">
        <f t="shared" si="1587"/>
        <v>12491700</v>
      </c>
      <c r="FU613" s="269"/>
      <c r="FV613" s="269"/>
      <c r="FW613" s="269"/>
      <c r="FX613" s="140">
        <f>'Detailed Budget'!$AC$278</f>
        <v>1114560000</v>
      </c>
      <c r="FY613" s="269">
        <f t="shared" si="1626"/>
        <v>1440000</v>
      </c>
      <c r="FZ613" s="269">
        <f t="shared" si="1588"/>
        <v>1440000</v>
      </c>
      <c r="GB613" s="269">
        <f t="shared" si="1596"/>
        <v>2210920021.8958335</v>
      </c>
      <c r="GC613" s="887">
        <f t="shared" si="1520"/>
        <v>1381825.0136848958</v>
      </c>
      <c r="GD613" s="1078">
        <f t="shared" si="1597"/>
        <v>1.2406168441739531E-3</v>
      </c>
    </row>
    <row r="614" spans="1:186" hidden="1" outlineLevel="1">
      <c r="A614" s="211" t="s">
        <v>1335</v>
      </c>
      <c r="B614" s="212" t="s">
        <v>1336</v>
      </c>
      <c r="C614" s="213" t="s">
        <v>215</v>
      </c>
      <c r="D614" s="214"/>
      <c r="E614" s="213"/>
      <c r="F614" s="213"/>
      <c r="G614" s="213" t="s">
        <v>215</v>
      </c>
      <c r="H614" s="213" t="s">
        <v>215</v>
      </c>
      <c r="I614" s="214" t="s">
        <v>215</v>
      </c>
      <c r="J614" s="214"/>
      <c r="K614" s="213"/>
      <c r="L614" s="213"/>
      <c r="M614" s="214" t="s">
        <v>215</v>
      </c>
      <c r="N614" s="213"/>
      <c r="O614" s="214"/>
      <c r="P614" s="213"/>
      <c r="Q614" s="214"/>
      <c r="R614" s="214" t="s">
        <v>215</v>
      </c>
      <c r="S614" s="214"/>
      <c r="T614" s="214"/>
      <c r="U614" s="215">
        <f t="shared" si="1627"/>
        <v>6</v>
      </c>
      <c r="V614" s="845" t="s">
        <v>1332</v>
      </c>
      <c r="W614" s="216">
        <v>79266</v>
      </c>
      <c r="X614" s="217">
        <v>2.96</v>
      </c>
      <c r="Y614" s="218">
        <f t="shared" si="1598"/>
        <v>1.0296000000000001</v>
      </c>
      <c r="Z614" s="196">
        <v>19</v>
      </c>
      <c r="AA614" s="218">
        <f t="shared" si="1599"/>
        <v>1.7406126843598355</v>
      </c>
      <c r="AB614" s="196">
        <f t="shared" si="1619"/>
        <v>137971.40503846674</v>
      </c>
      <c r="AC614">
        <v>12.5</v>
      </c>
      <c r="AD614" s="196">
        <f t="shared" si="1620"/>
        <v>17246.425629808342</v>
      </c>
      <c r="AE614" s="196">
        <f t="shared" si="1600"/>
        <v>16384.104348317924</v>
      </c>
      <c r="AF614" s="196">
        <f t="shared" si="1628"/>
        <v>0</v>
      </c>
      <c r="AG614" s="606">
        <f t="shared" si="1523"/>
        <v>7.5752905750040413E-4</v>
      </c>
      <c r="AH614" s="196">
        <f t="shared" si="1643"/>
        <v>6898.5702519233373</v>
      </c>
      <c r="AI614" s="248">
        <f t="shared" si="1503"/>
        <v>5.3442178506162322E-4</v>
      </c>
      <c r="AJ614" s="196">
        <f t="shared" si="1504"/>
        <v>24144.99588173168</v>
      </c>
      <c r="AK614" s="196">
        <f t="shared" si="1532"/>
        <v>5518.8562015386697</v>
      </c>
      <c r="AL614" s="196">
        <f t="shared" si="1533"/>
        <v>5518.8562015386697</v>
      </c>
      <c r="AM614" s="196">
        <f t="shared" si="1505"/>
        <v>11037.712403077339</v>
      </c>
      <c r="AN614" s="627">
        <f t="shared" si="1506"/>
        <v>5.3442178506162322E-4</v>
      </c>
      <c r="AO614" s="196">
        <f t="shared" si="1507"/>
        <v>5242.913391461736</v>
      </c>
      <c r="AP614" s="589">
        <f t="shared" si="1524"/>
        <v>5.3442178506162322E-4</v>
      </c>
      <c r="AQ614" s="196"/>
      <c r="AR614" s="589"/>
      <c r="AS614">
        <v>1</v>
      </c>
      <c r="AT614" s="589">
        <f t="shared" si="1525"/>
        <v>1.2919896640826874E-3</v>
      </c>
      <c r="AU614" s="196">
        <v>11</v>
      </c>
      <c r="AV614" s="245">
        <f t="shared" si="1536"/>
        <v>1.2498579706851495E-3</v>
      </c>
      <c r="AX614" s="245"/>
      <c r="AY614" s="245"/>
      <c r="AZ614" s="196">
        <v>16</v>
      </c>
      <c r="BA614" s="589">
        <f t="shared" si="1590"/>
        <v>5.8627386317833719E-4</v>
      </c>
      <c r="BI614" s="196">
        <v>0</v>
      </c>
      <c r="BK614" s="246">
        <f t="shared" si="1591"/>
        <v>0</v>
      </c>
      <c r="BL614" s="196">
        <f t="shared" si="1629"/>
        <v>0</v>
      </c>
      <c r="BM614" s="246">
        <f t="shared" si="1592"/>
        <v>0</v>
      </c>
      <c r="BN614" s="196">
        <v>1</v>
      </c>
      <c r="BO614" s="196">
        <f t="shared" si="1630"/>
        <v>6329.1745976555894</v>
      </c>
      <c r="BP614" s="196">
        <f t="shared" si="1508"/>
        <v>6329.1745976555894</v>
      </c>
      <c r="BQ614" s="248">
        <f t="shared" si="1593"/>
        <v>5.9206481023958452E-4</v>
      </c>
      <c r="BR614" s="248"/>
      <c r="BS614" s="248"/>
      <c r="BT614" s="276">
        <v>0</v>
      </c>
      <c r="BU614" s="196">
        <f t="shared" si="1631"/>
        <v>0</v>
      </c>
      <c r="BV614" s="264">
        <f t="shared" si="1594"/>
        <v>0</v>
      </c>
      <c r="BW614" s="196">
        <f t="shared" si="1632"/>
        <v>0</v>
      </c>
      <c r="BX614" s="247">
        <f t="shared" si="1595"/>
        <v>0</v>
      </c>
      <c r="BY614" s="196">
        <f t="shared" si="1633"/>
        <v>0</v>
      </c>
      <c r="BZ614" s="620">
        <v>1</v>
      </c>
      <c r="CA614" s="196">
        <f t="shared" si="1571"/>
        <v>42219.249941770831</v>
      </c>
      <c r="CB614" s="196">
        <f t="shared" si="1572"/>
        <v>84438.499883541663</v>
      </c>
      <c r="CC614" s="196">
        <f t="shared" si="1521"/>
        <v>126657.74982531249</v>
      </c>
      <c r="CD614" s="247">
        <f t="shared" si="1509"/>
        <v>5.3442178506162333E-4</v>
      </c>
      <c r="CE614" s="196">
        <f t="shared" si="1634"/>
        <v>8540.4713600473533</v>
      </c>
      <c r="CF614" s="247">
        <f t="shared" si="1510"/>
        <v>3.6880411372873777E-4</v>
      </c>
      <c r="CG614" s="196">
        <f t="shared" si="1601"/>
        <v>20971.653565846944</v>
      </c>
      <c r="CH614" s="589">
        <f t="shared" si="1526"/>
        <v>5.3442178506162322E-4</v>
      </c>
      <c r="CI614" s="196">
        <f t="shared" si="1635"/>
        <v>52678.926507413089</v>
      </c>
      <c r="CJ614" s="248">
        <f t="shared" si="1527"/>
        <v>8.6604141806507628E-4</v>
      </c>
      <c r="CK614" s="196">
        <f t="shared" si="1636"/>
        <v>41226.650328403557</v>
      </c>
      <c r="CL614" s="589">
        <f t="shared" si="1528"/>
        <v>5.9264157843098646E-4</v>
      </c>
      <c r="CM614" s="196">
        <f t="shared" si="1637"/>
        <v>3993.8131491661343</v>
      </c>
      <c r="CN614" s="589">
        <f t="shared" si="1529"/>
        <v>5.7555386308759382E-4</v>
      </c>
      <c r="CO614" s="196">
        <f t="shared" si="1638"/>
        <v>319.52551347104759</v>
      </c>
      <c r="CP614" s="589">
        <f t="shared" si="1530"/>
        <v>6.0257590241698993E-4</v>
      </c>
      <c r="CQ614" s="196">
        <f>'Detailed Budget'!$AC$12</f>
        <v>292876014141.44696</v>
      </c>
      <c r="CR614" s="269">
        <f t="shared" si="1534"/>
        <v>0</v>
      </c>
      <c r="CS614" s="269">
        <f>'Detailed Budget'!$AC$16</f>
        <v>10488008800.000002</v>
      </c>
      <c r="CT614" s="607">
        <f t="shared" si="1602"/>
        <v>0</v>
      </c>
      <c r="CU614" s="269">
        <f>'Detailed Budget'!$AC$24</f>
        <v>30624985696</v>
      </c>
      <c r="CV614" s="269">
        <f t="shared" si="1589"/>
        <v>0</v>
      </c>
      <c r="CW614" s="269"/>
      <c r="CX614" s="269">
        <f t="shared" si="1522"/>
        <v>0</v>
      </c>
      <c r="CY614" s="196">
        <f>'Detailed Budget'!$AC$97</f>
        <v>74629165494.837845</v>
      </c>
      <c r="CZ614" s="269">
        <f t="shared" si="1603"/>
        <v>44185302.707039714</v>
      </c>
      <c r="DA614" s="269">
        <f>'Detailed Budget'!$AC$100</f>
        <v>14925833098.967569</v>
      </c>
      <c r="DB614" s="269">
        <f t="shared" si="1604"/>
        <v>8837060.5414079446</v>
      </c>
      <c r="DC614" s="269">
        <f t="shared" si="1511"/>
        <v>53022363.248447657</v>
      </c>
      <c r="DD614" s="207">
        <v>0</v>
      </c>
      <c r="DE614" s="606">
        <v>0</v>
      </c>
      <c r="DF614" s="269">
        <f>'Detailed Budget'!$AC$147</f>
        <v>5913600671000</v>
      </c>
      <c r="DG614" s="269">
        <f t="shared" si="1584"/>
        <v>0</v>
      </c>
      <c r="DH614" s="269">
        <f>'Detailed Budget'!$AC$153</f>
        <v>226428026880.00003</v>
      </c>
      <c r="DI614" s="269"/>
      <c r="DJ614" s="269">
        <f>'Detailed Budget'!$AC$156</f>
        <v>27713070000</v>
      </c>
      <c r="DK614" s="269"/>
      <c r="DL614" s="269"/>
      <c r="DM614" s="196">
        <f>'Detailed Budget'!$AC$178</f>
        <v>5622683761.6229038</v>
      </c>
      <c r="DN614" s="269">
        <f t="shared" si="1639"/>
        <v>0</v>
      </c>
      <c r="DO614" s="196">
        <f>'Detailed Budget'!$AC$179</f>
        <v>26827890683.128094</v>
      </c>
      <c r="DP614" s="269">
        <f t="shared" si="1640"/>
        <v>0</v>
      </c>
      <c r="DQ614" s="269">
        <f t="shared" si="1531"/>
        <v>0</v>
      </c>
      <c r="DR614" s="269">
        <f>'Detailed Budget'!$AC$181</f>
        <v>50888946855.375237</v>
      </c>
      <c r="DS614" s="269">
        <f t="shared" si="1641"/>
        <v>0</v>
      </c>
      <c r="DT614" s="269">
        <f t="shared" si="1642"/>
        <v>0</v>
      </c>
      <c r="DU614" s="272">
        <f>'Detailed Budget'!$AC$192</f>
        <v>77498869683.252869</v>
      </c>
      <c r="DV614" s="269">
        <f t="shared" si="1605"/>
        <v>41417084.276382118</v>
      </c>
      <c r="DW614" s="140">
        <f>'Detailed Budget'!$AC$194</f>
        <v>2684962805.4134097</v>
      </c>
      <c r="DX614" s="269">
        <f t="shared" si="1606"/>
        <v>1434902.6152930981</v>
      </c>
      <c r="DY614" s="607">
        <f t="shared" si="1512"/>
        <v>42851986.891675219</v>
      </c>
      <c r="DZ614" s="196">
        <f>'Detailed Budget'!$AC$198</f>
        <v>18732540018.380611</v>
      </c>
      <c r="EA614" s="269">
        <f t="shared" si="1622"/>
        <v>6908637.8193669748</v>
      </c>
      <c r="EB614" s="196">
        <f>'Detailed Budget'!$AC$200</f>
        <v>4683135004.5951529</v>
      </c>
      <c r="EC614" s="269">
        <f t="shared" si="1607"/>
        <v>1727159.4548417437</v>
      </c>
      <c r="ED614" s="269">
        <f t="shared" si="1513"/>
        <v>8635797.2742087189</v>
      </c>
      <c r="EE614" s="196">
        <f>'Detailed Budget'!$AC$161</f>
        <v>251147290106.36197</v>
      </c>
      <c r="EF614" s="269">
        <f t="shared" si="1608"/>
        <v>134218583.0920313</v>
      </c>
      <c r="EG614" s="196">
        <f>'Detailed Budget'!$AC$163</f>
        <v>15696705631.647623</v>
      </c>
      <c r="EH614" s="269">
        <f t="shared" si="1609"/>
        <v>8388661.4432519563</v>
      </c>
      <c r="EI614" s="269">
        <f t="shared" si="1514"/>
        <v>142607244.53528327</v>
      </c>
      <c r="EJ614" s="196">
        <f>'Detailed Budget'!$AC$204</f>
        <v>45012172507.531975</v>
      </c>
      <c r="EK614" s="269">
        <f t="shared" si="1610"/>
        <v>38982405.708612829</v>
      </c>
      <c r="EL614" s="201">
        <f>'Detailed Budget'!$AC$206</f>
        <v>11253043126.882994</v>
      </c>
      <c r="EM614" s="269">
        <f t="shared" si="1611"/>
        <v>9745601.4271532074</v>
      </c>
      <c r="EN614" s="269">
        <f t="shared" si="1515"/>
        <v>48728007.135766037</v>
      </c>
      <c r="EO614" s="140">
        <f>'Detailed Budget'!$AC$209</f>
        <v>135789361677.54817</v>
      </c>
      <c r="EP614" s="269">
        <f t="shared" si="1612"/>
        <v>80474421.638718247</v>
      </c>
      <c r="EQ614" s="196">
        <f>'Detailed Budget'!$AC$211</f>
        <v>33947340419.387043</v>
      </c>
      <c r="ER614" s="269">
        <f t="shared" si="1613"/>
        <v>20118605.409679562</v>
      </c>
      <c r="ES614" s="269">
        <f t="shared" si="1516"/>
        <v>100593027.04839781</v>
      </c>
      <c r="ET614" s="196">
        <f>'Detailed Budget'!$AC$214</f>
        <v>22239745544.201103</v>
      </c>
      <c r="EU614" s="269">
        <f t="shared" si="1614"/>
        <v>12800171.462050047</v>
      </c>
      <c r="EV614" s="140">
        <f>'Detailed Budget'!$AC$217</f>
        <v>5559936386.0502758</v>
      </c>
      <c r="EW614" s="269">
        <f t="shared" si="1615"/>
        <v>3200042.8655125117</v>
      </c>
      <c r="EX614" s="269">
        <f t="shared" si="1517"/>
        <v>16000214.327562559</v>
      </c>
      <c r="EY614" s="196">
        <f>'Detailed Budget'!$AC$219</f>
        <v>372777004.58170313</v>
      </c>
      <c r="EZ614" s="269">
        <f t="shared" si="1616"/>
        <v>224626.43993612216</v>
      </c>
      <c r="FA614" s="196">
        <f>'Detailed Budget'!$AC$222</f>
        <v>93194251.145425782</v>
      </c>
      <c r="FB614" s="269">
        <f t="shared" si="1617"/>
        <v>56156.60998403054</v>
      </c>
      <c r="FC614" s="269">
        <f t="shared" si="1518"/>
        <v>280783.0499201527</v>
      </c>
      <c r="FD614" s="269"/>
      <c r="FE614" s="269">
        <f t="shared" si="1519"/>
        <v>165602031.56164655</v>
      </c>
      <c r="FF614" s="140">
        <f>'Detailed Budget'!$AC$165</f>
        <v>14927760000</v>
      </c>
      <c r="FG614" s="1087">
        <f t="shared" si="1585"/>
        <v>225892132.88669044</v>
      </c>
      <c r="FH614" s="269">
        <f t="shared" si="1623"/>
        <v>18657579.820474949</v>
      </c>
      <c r="FJ614" s="140">
        <f>'Detailed Budget'!$AC$235</f>
        <v>3623696172</v>
      </c>
      <c r="FK614" s="269">
        <f t="shared" si="1624"/>
        <v>4681778</v>
      </c>
      <c r="FL614" s="269">
        <f t="shared" si="1586"/>
        <v>4681778</v>
      </c>
      <c r="FO614" s="607"/>
      <c r="FP614" s="607"/>
      <c r="FQ614" s="607"/>
      <c r="FR614" s="269">
        <f>'Detailed Budget'!$AC$257</f>
        <v>13636439388</v>
      </c>
      <c r="FS614" s="269">
        <f t="shared" si="1625"/>
        <v>7994688</v>
      </c>
      <c r="FT614" s="269">
        <f t="shared" si="1587"/>
        <v>7994688</v>
      </c>
      <c r="FU614" s="269"/>
      <c r="FV614" s="269"/>
      <c r="FW614" s="269"/>
      <c r="FX614" s="140">
        <f>'Detailed Budget'!$AC$278</f>
        <v>1114560000</v>
      </c>
      <c r="FY614" s="269">
        <f t="shared" si="1626"/>
        <v>1440000</v>
      </c>
      <c r="FZ614" s="269">
        <f t="shared" si="1588"/>
        <v>1440000</v>
      </c>
      <c r="GB614" s="269">
        <f t="shared" si="1596"/>
        <v>671385602.21842682</v>
      </c>
      <c r="GC614" s="887">
        <f t="shared" si="1520"/>
        <v>419616.00138651679</v>
      </c>
      <c r="GD614" s="1078">
        <f t="shared" si="1597"/>
        <v>3.7673560273511193E-4</v>
      </c>
    </row>
    <row r="615" spans="1:186" hidden="1" outlineLevel="1">
      <c r="A615" s="211" t="s">
        <v>1337</v>
      </c>
      <c r="B615" s="212" t="s">
        <v>1338</v>
      </c>
      <c r="C615" s="213" t="s">
        <v>215</v>
      </c>
      <c r="D615" s="214"/>
      <c r="E615" s="213"/>
      <c r="F615" s="213"/>
      <c r="G615" s="213" t="s">
        <v>215</v>
      </c>
      <c r="H615" s="213" t="s">
        <v>215</v>
      </c>
      <c r="I615" s="214"/>
      <c r="J615" s="214" t="s">
        <v>215</v>
      </c>
      <c r="K615" s="213"/>
      <c r="L615" s="213" t="s">
        <v>215</v>
      </c>
      <c r="M615" s="214"/>
      <c r="N615" s="213"/>
      <c r="O615" s="214"/>
      <c r="P615" s="213"/>
      <c r="Q615" s="214"/>
      <c r="R615" s="214" t="s">
        <v>215</v>
      </c>
      <c r="S615" s="214"/>
      <c r="T615" s="214"/>
      <c r="U615" s="215">
        <f t="shared" si="1627"/>
        <v>6</v>
      </c>
      <c r="V615" s="845" t="s">
        <v>1332</v>
      </c>
      <c r="W615" s="216">
        <v>130966</v>
      </c>
      <c r="X615" s="217">
        <v>2.96</v>
      </c>
      <c r="Y615" s="218">
        <f t="shared" si="1598"/>
        <v>1.0296000000000001</v>
      </c>
      <c r="Z615" s="196">
        <v>19</v>
      </c>
      <c r="AA615" s="218">
        <f t="shared" si="1599"/>
        <v>1.7406126843598355</v>
      </c>
      <c r="AB615" s="196">
        <f t="shared" si="1619"/>
        <v>227961.08081987023</v>
      </c>
      <c r="AC615">
        <v>12.5</v>
      </c>
      <c r="AD615" s="196">
        <f t="shared" si="1620"/>
        <v>28495.135102483779</v>
      </c>
      <c r="AE615" s="196">
        <f t="shared" si="1600"/>
        <v>27070.378347359587</v>
      </c>
      <c r="AF615" s="196">
        <f t="shared" si="1628"/>
        <v>0</v>
      </c>
      <c r="AG615" s="606">
        <f t="shared" si="1523"/>
        <v>1.2516154535942008E-3</v>
      </c>
      <c r="AH615" s="196">
        <f t="shared" si="1643"/>
        <v>11398.054040993513</v>
      </c>
      <c r="AI615" s="248">
        <f t="shared" si="1503"/>
        <v>8.8298997681705339E-4</v>
      </c>
      <c r="AJ615" s="196">
        <f t="shared" si="1504"/>
        <v>39893.189143477292</v>
      </c>
      <c r="AK615" s="196">
        <f t="shared" si="1532"/>
        <v>9118.4432327948089</v>
      </c>
      <c r="AL615" s="196">
        <f t="shared" si="1533"/>
        <v>9118.4432327948089</v>
      </c>
      <c r="AM615" s="196">
        <f t="shared" si="1505"/>
        <v>18236.886465589618</v>
      </c>
      <c r="AN615" s="627">
        <f t="shared" si="1506"/>
        <v>8.8298997681705317E-4</v>
      </c>
      <c r="AO615" s="196">
        <f t="shared" si="1507"/>
        <v>8662.5210711550681</v>
      </c>
      <c r="AP615" s="589">
        <f t="shared" si="1524"/>
        <v>8.8298997681705317E-4</v>
      </c>
      <c r="AQ615" s="196"/>
      <c r="AR615" s="589"/>
      <c r="AS615">
        <v>1</v>
      </c>
      <c r="AT615" s="589">
        <f t="shared" si="1525"/>
        <v>1.2919896640826874E-3</v>
      </c>
      <c r="AU615" s="196">
        <v>13</v>
      </c>
      <c r="AV615" s="245">
        <f t="shared" si="1536"/>
        <v>1.4771048744460858E-3</v>
      </c>
      <c r="AX615" s="245"/>
      <c r="AY615" s="245"/>
      <c r="AZ615" s="196">
        <v>26</v>
      </c>
      <c r="BA615" s="589">
        <f t="shared" si="1590"/>
        <v>9.526950276647979E-4</v>
      </c>
      <c r="BI615" s="196">
        <v>0</v>
      </c>
      <c r="BK615" s="246">
        <f t="shared" si="1591"/>
        <v>0</v>
      </c>
      <c r="BL615" s="196">
        <f t="shared" si="1629"/>
        <v>0</v>
      </c>
      <c r="BM615" s="246">
        <f t="shared" si="1592"/>
        <v>0</v>
      </c>
      <c r="BN615" s="196">
        <v>1</v>
      </c>
      <c r="BO615" s="196">
        <f t="shared" si="1630"/>
        <v>10457.279039645773</v>
      </c>
      <c r="BP615" s="196">
        <f t="shared" si="1508"/>
        <v>10457.279039645773</v>
      </c>
      <c r="BQ615" s="248">
        <f t="shared" si="1593"/>
        <v>9.7822975724569708E-4</v>
      </c>
      <c r="BR615" s="248"/>
      <c r="BS615" s="248"/>
      <c r="BT615" s="276">
        <v>0</v>
      </c>
      <c r="BU615" s="196">
        <f t="shared" si="1631"/>
        <v>0</v>
      </c>
      <c r="BV615" s="264">
        <f t="shared" si="1594"/>
        <v>0</v>
      </c>
      <c r="BW615" s="196">
        <f t="shared" si="1632"/>
        <v>0</v>
      </c>
      <c r="BX615" s="247">
        <f t="shared" si="1595"/>
        <v>0</v>
      </c>
      <c r="BY615" s="196">
        <f t="shared" si="1633"/>
        <v>0</v>
      </c>
      <c r="BZ615" s="620">
        <v>1</v>
      </c>
      <c r="CA615" s="196">
        <f t="shared" si="1571"/>
        <v>69756.090730880285</v>
      </c>
      <c r="CB615" s="196">
        <f t="shared" si="1572"/>
        <v>139512.18146176057</v>
      </c>
      <c r="CC615" s="196">
        <f t="shared" si="1521"/>
        <v>209268.27219264087</v>
      </c>
      <c r="CD615" s="247">
        <f t="shared" si="1509"/>
        <v>8.8298997681705328E-4</v>
      </c>
      <c r="CE615" s="196">
        <f t="shared" si="1634"/>
        <v>14110.85928569578</v>
      </c>
      <c r="CF615" s="247">
        <f t="shared" si="1510"/>
        <v>6.0935078796202499E-4</v>
      </c>
      <c r="CG615" s="196">
        <f t="shared" si="1601"/>
        <v>34650.084284620272</v>
      </c>
      <c r="CH615" s="589">
        <f t="shared" si="1526"/>
        <v>8.8298997681705317E-4</v>
      </c>
      <c r="CI615" s="196">
        <f t="shared" si="1635"/>
        <v>87037.926588573435</v>
      </c>
      <c r="CJ615" s="248">
        <f t="shared" si="1527"/>
        <v>1.4309032921846789E-3</v>
      </c>
      <c r="CK615" s="196">
        <f t="shared" si="1636"/>
        <v>68116.083653895752</v>
      </c>
      <c r="CL615" s="589">
        <f t="shared" si="1528"/>
        <v>9.7918271340540191E-4</v>
      </c>
      <c r="CM615" s="196">
        <f t="shared" si="1637"/>
        <v>6598.7148701043561</v>
      </c>
      <c r="CN615" s="589">
        <f t="shared" si="1529"/>
        <v>9.5094980487384008E-4</v>
      </c>
      <c r="CO615" s="196">
        <f t="shared" si="1638"/>
        <v>527.93099686182234</v>
      </c>
      <c r="CP615" s="589">
        <f t="shared" si="1530"/>
        <v>9.9559654373809064E-4</v>
      </c>
      <c r="CQ615" s="196">
        <f>'Detailed Budget'!$AC$12</f>
        <v>292876014141.44696</v>
      </c>
      <c r="CR615" s="269">
        <f t="shared" si="1534"/>
        <v>0</v>
      </c>
      <c r="CS615" s="269">
        <f>'Detailed Budget'!$AC$16</f>
        <v>10488008800.000002</v>
      </c>
      <c r="CT615" s="607">
        <f t="shared" si="1602"/>
        <v>0</v>
      </c>
      <c r="CU615" s="269">
        <f>'Detailed Budget'!$AC$24</f>
        <v>30624985696</v>
      </c>
      <c r="CV615" s="269">
        <f t="shared" si="1589"/>
        <v>0</v>
      </c>
      <c r="CW615" s="269"/>
      <c r="CX615" s="269">
        <f t="shared" si="1522"/>
        <v>0</v>
      </c>
      <c r="CY615" s="196">
        <f>'Detailed Budget'!$AC$97</f>
        <v>74629165494.837845</v>
      </c>
      <c r="CZ615" s="269">
        <f t="shared" si="1603"/>
        <v>73004470.445464179</v>
      </c>
      <c r="DA615" s="269">
        <f>'Detailed Budget'!$AC$100</f>
        <v>14925833098.967569</v>
      </c>
      <c r="DB615" s="269">
        <f t="shared" si="1604"/>
        <v>14600894.089092836</v>
      </c>
      <c r="DC615" s="269">
        <f t="shared" si="1511"/>
        <v>87605364.534557015</v>
      </c>
      <c r="DD615" s="207">
        <v>0</v>
      </c>
      <c r="DE615" s="606">
        <v>0</v>
      </c>
      <c r="DF615" s="269">
        <f>'Detailed Budget'!$AC$147</f>
        <v>5913600671000</v>
      </c>
      <c r="DG615" s="269">
        <f t="shared" si="1584"/>
        <v>0</v>
      </c>
      <c r="DH615" s="269">
        <f>'Detailed Budget'!$AC$153</f>
        <v>226428026880.00003</v>
      </c>
      <c r="DI615" s="269"/>
      <c r="DJ615" s="269">
        <f>'Detailed Budget'!$AC$156</f>
        <v>27713070000</v>
      </c>
      <c r="DK615" s="269"/>
      <c r="DL615" s="269"/>
      <c r="DM615" s="196">
        <f>'Detailed Budget'!$AC$178</f>
        <v>5622683761.6229038</v>
      </c>
      <c r="DN615" s="269">
        <f t="shared" si="1639"/>
        <v>0</v>
      </c>
      <c r="DO615" s="196">
        <f>'Detailed Budget'!$AC$179</f>
        <v>26827890683.128094</v>
      </c>
      <c r="DP615" s="269">
        <f t="shared" si="1640"/>
        <v>0</v>
      </c>
      <c r="DQ615" s="269">
        <f t="shared" si="1531"/>
        <v>0</v>
      </c>
      <c r="DR615" s="269">
        <f>'Detailed Budget'!$AC$181</f>
        <v>50888946855.375237</v>
      </c>
      <c r="DS615" s="269">
        <f t="shared" si="1641"/>
        <v>0</v>
      </c>
      <c r="DT615" s="269">
        <f t="shared" si="1642"/>
        <v>0</v>
      </c>
      <c r="DU615" s="272">
        <f>'Detailed Budget'!$AC$192</f>
        <v>77498869683.252869</v>
      </c>
      <c r="DV615" s="269">
        <f t="shared" si="1605"/>
        <v>68430725.144963279</v>
      </c>
      <c r="DW615" s="140">
        <f>'Detailed Budget'!$AC$194</f>
        <v>2684962805.4134097</v>
      </c>
      <c r="DX615" s="269">
        <f t="shared" si="1606"/>
        <v>2370795.2453066367</v>
      </c>
      <c r="DY615" s="607">
        <f t="shared" si="1512"/>
        <v>70801520.39026992</v>
      </c>
      <c r="DZ615" s="196">
        <f>'Detailed Budget'!$AC$198</f>
        <v>18732540018.380611</v>
      </c>
      <c r="EA615" s="269">
        <f t="shared" si="1622"/>
        <v>11414688.020730391</v>
      </c>
      <c r="EB615" s="196">
        <f>'Detailed Budget'!$AC$200</f>
        <v>4683135004.5951529</v>
      </c>
      <c r="EC615" s="269">
        <f t="shared" si="1607"/>
        <v>2853672.0051825978</v>
      </c>
      <c r="ED615" s="269">
        <f t="shared" si="1513"/>
        <v>14268360.025912989</v>
      </c>
      <c r="EE615" s="196">
        <f>'Detailed Budget'!$AC$161</f>
        <v>251147290106.36197</v>
      </c>
      <c r="EF615" s="269">
        <f t="shared" si="1608"/>
        <v>221760539.8686823</v>
      </c>
      <c r="EG615" s="196">
        <f>'Detailed Budget'!$AC$163</f>
        <v>15696705631.647623</v>
      </c>
      <c r="EH615" s="269">
        <f t="shared" si="1609"/>
        <v>13860033.741792643</v>
      </c>
      <c r="EI615" s="269">
        <f t="shared" si="1514"/>
        <v>235620573.61047494</v>
      </c>
      <c r="EJ615" s="196">
        <f>'Detailed Budget'!$AC$204</f>
        <v>45012172507.531975</v>
      </c>
      <c r="EK615" s="269">
        <f t="shared" si="1610"/>
        <v>64408065.829412192</v>
      </c>
      <c r="EL615" s="201">
        <f>'Detailed Budget'!$AC$206</f>
        <v>11253043126.882994</v>
      </c>
      <c r="EM615" s="269">
        <f t="shared" si="1611"/>
        <v>16102016.457353048</v>
      </c>
      <c r="EN615" s="269">
        <f t="shared" si="1515"/>
        <v>80510082.286765248</v>
      </c>
      <c r="EO615" s="140">
        <f>'Detailed Budget'!$AC$209</f>
        <v>135789361677.54817</v>
      </c>
      <c r="EP615" s="269">
        <f t="shared" si="1612"/>
        <v>132962595.61900912</v>
      </c>
      <c r="EQ615" s="196">
        <f>'Detailed Budget'!$AC$211</f>
        <v>33947340419.387043</v>
      </c>
      <c r="ER615" s="269">
        <f t="shared" si="1613"/>
        <v>33240648.904752281</v>
      </c>
      <c r="ES615" s="269">
        <f t="shared" si="1516"/>
        <v>166203244.52376139</v>
      </c>
      <c r="ET615" s="196">
        <f>'Detailed Budget'!$AC$214</f>
        <v>22239745544.201103</v>
      </c>
      <c r="EU615" s="269">
        <f t="shared" si="1614"/>
        <v>21148881.685701892</v>
      </c>
      <c r="EV615" s="140">
        <f>'Detailed Budget'!$AC$217</f>
        <v>5559936386.0502758</v>
      </c>
      <c r="EW615" s="269">
        <f t="shared" si="1615"/>
        <v>5287220.4214254729</v>
      </c>
      <c r="EX615" s="269">
        <f t="shared" si="1517"/>
        <v>26436102.107127365</v>
      </c>
      <c r="EY615" s="196">
        <f>'Detailed Budget'!$AC$219</f>
        <v>372777004.58170313</v>
      </c>
      <c r="EZ615" s="269">
        <f t="shared" si="1616"/>
        <v>371135.49734658201</v>
      </c>
      <c r="FA615" s="196">
        <f>'Detailed Budget'!$AC$222</f>
        <v>93194251.145425782</v>
      </c>
      <c r="FB615" s="269">
        <f t="shared" si="1617"/>
        <v>92783.874336645502</v>
      </c>
      <c r="FC615" s="269">
        <f t="shared" si="1518"/>
        <v>463919.37168322748</v>
      </c>
      <c r="FD615" s="269"/>
      <c r="FE615" s="269">
        <f t="shared" si="1519"/>
        <v>273613348.28933722</v>
      </c>
      <c r="FF615" s="140">
        <f>'Detailed Budget'!$AC$165</f>
        <v>14927760000</v>
      </c>
      <c r="FG615" s="1087">
        <f t="shared" si="1585"/>
        <v>373226718.58852851</v>
      </c>
      <c r="FH615" s="269">
        <f t="shared" si="1623"/>
        <v>22049867.060561303</v>
      </c>
      <c r="FJ615" s="140">
        <f>'Detailed Budget'!$AC$235</f>
        <v>3623696172</v>
      </c>
      <c r="FK615" s="269">
        <f t="shared" si="1624"/>
        <v>4681778</v>
      </c>
      <c r="FL615" s="269">
        <f t="shared" si="1586"/>
        <v>4681778</v>
      </c>
      <c r="FO615" s="607"/>
      <c r="FP615" s="607"/>
      <c r="FQ615" s="607"/>
      <c r="FR615" s="269">
        <f>'Detailed Budget'!$AC$257</f>
        <v>13636439388</v>
      </c>
      <c r="FS615" s="269">
        <f t="shared" si="1625"/>
        <v>12991368</v>
      </c>
      <c r="FT615" s="269">
        <f t="shared" si="1587"/>
        <v>12991368</v>
      </c>
      <c r="FU615" s="269"/>
      <c r="FV615" s="269"/>
      <c r="FW615" s="269"/>
      <c r="FX615" s="140">
        <f>'Detailed Budget'!$AC$278</f>
        <v>1114560000</v>
      </c>
      <c r="FY615" s="269">
        <f t="shared" si="1626"/>
        <v>1440000</v>
      </c>
      <c r="FZ615" s="269">
        <f t="shared" si="1588"/>
        <v>1440000</v>
      </c>
      <c r="GB615" s="269">
        <f t="shared" si="1596"/>
        <v>1096298898.4996419</v>
      </c>
      <c r="GC615" s="887">
        <f t="shared" si="1520"/>
        <v>685186.81156227621</v>
      </c>
      <c r="GD615" s="1078">
        <f t="shared" si="1597"/>
        <v>6.1516783341703646E-4</v>
      </c>
    </row>
    <row r="616" spans="1:186" hidden="1" outlineLevel="1">
      <c r="A616" s="211" t="s">
        <v>1339</v>
      </c>
      <c r="B616" s="212" t="s">
        <v>1340</v>
      </c>
      <c r="C616" s="213" t="s">
        <v>215</v>
      </c>
      <c r="D616" s="214"/>
      <c r="E616" s="213"/>
      <c r="F616" s="213"/>
      <c r="G616" s="213" t="s">
        <v>215</v>
      </c>
      <c r="H616" s="213" t="s">
        <v>215</v>
      </c>
      <c r="I616" s="214"/>
      <c r="J616" s="214" t="s">
        <v>215</v>
      </c>
      <c r="K616" s="213"/>
      <c r="L616" s="213" t="s">
        <v>215</v>
      </c>
      <c r="M616" s="214"/>
      <c r="N616" s="213"/>
      <c r="O616" s="214"/>
      <c r="P616" s="213"/>
      <c r="Q616" s="214"/>
      <c r="R616" s="214" t="s">
        <v>215</v>
      </c>
      <c r="S616" s="214"/>
      <c r="T616" s="214"/>
      <c r="U616" s="215">
        <f t="shared" si="1627"/>
        <v>6</v>
      </c>
      <c r="V616" s="845" t="s">
        <v>1332</v>
      </c>
      <c r="W616" s="216">
        <v>179606</v>
      </c>
      <c r="X616" s="217">
        <v>2.96</v>
      </c>
      <c r="Y616" s="218">
        <f t="shared" si="1598"/>
        <v>1.0296000000000001</v>
      </c>
      <c r="Z616" s="196">
        <v>19</v>
      </c>
      <c r="AA616" s="218">
        <f t="shared" si="1599"/>
        <v>1.7406126843598355</v>
      </c>
      <c r="AB616" s="196">
        <f t="shared" si="1619"/>
        <v>312624.48178713262</v>
      </c>
      <c r="AC616">
        <v>12.5</v>
      </c>
      <c r="AD616" s="196">
        <f t="shared" si="1620"/>
        <v>39078.060223391578</v>
      </c>
      <c r="AE616" s="196">
        <f t="shared" si="1600"/>
        <v>37124.157212221995</v>
      </c>
      <c r="AF616" s="196">
        <f t="shared" si="1628"/>
        <v>0</v>
      </c>
      <c r="AG616" s="606">
        <f t="shared" si="1523"/>
        <v>1.7164580513892157E-3</v>
      </c>
      <c r="AH616" s="196">
        <f t="shared" si="1643"/>
        <v>15631.224089356632</v>
      </c>
      <c r="AI616" s="248">
        <f t="shared" si="1503"/>
        <v>1.2109272465846378E-3</v>
      </c>
      <c r="AJ616" s="196">
        <f t="shared" si="1504"/>
        <v>54709.284312748212</v>
      </c>
      <c r="AK616" s="196">
        <f t="shared" si="1532"/>
        <v>12504.979271485305</v>
      </c>
      <c r="AL616" s="196">
        <f t="shared" si="1533"/>
        <v>12504.979271485305</v>
      </c>
      <c r="AM616" s="196">
        <f t="shared" si="1505"/>
        <v>25009.958542970609</v>
      </c>
      <c r="AN616" s="627">
        <f t="shared" si="1506"/>
        <v>1.2109272465846378E-3</v>
      </c>
      <c r="AO616" s="196">
        <f t="shared" si="1507"/>
        <v>11879.730307911039</v>
      </c>
      <c r="AP616" s="589">
        <f t="shared" si="1524"/>
        <v>1.2109272465846376E-3</v>
      </c>
      <c r="AQ616" s="196"/>
      <c r="AR616" s="589"/>
      <c r="AS616">
        <v>1</v>
      </c>
      <c r="AT616" s="589">
        <f t="shared" si="1525"/>
        <v>1.2919896640826874E-3</v>
      </c>
      <c r="AU616" s="196">
        <v>13</v>
      </c>
      <c r="AV616" s="245">
        <f t="shared" si="1536"/>
        <v>1.4771048744460858E-3</v>
      </c>
      <c r="AX616" s="245"/>
      <c r="AY616" s="245"/>
      <c r="AZ616" s="196">
        <v>29</v>
      </c>
      <c r="BA616" s="589">
        <f t="shared" si="1590"/>
        <v>1.0626213770107361E-3</v>
      </c>
      <c r="BI616" s="196">
        <v>0</v>
      </c>
      <c r="BK616" s="246">
        <f t="shared" si="1591"/>
        <v>0</v>
      </c>
      <c r="BL616" s="196">
        <f t="shared" si="1629"/>
        <v>0</v>
      </c>
      <c r="BM616" s="246">
        <f t="shared" si="1592"/>
        <v>0</v>
      </c>
      <c r="BN616" s="196">
        <v>1</v>
      </c>
      <c r="BO616" s="196">
        <f t="shared" si="1630"/>
        <v>14341.050800930156</v>
      </c>
      <c r="BP616" s="196">
        <f t="shared" si="1508"/>
        <v>14341.050800930156</v>
      </c>
      <c r="BQ616" s="248">
        <f t="shared" si="1593"/>
        <v>1.341538519767502E-3</v>
      </c>
      <c r="BR616" s="248"/>
      <c r="BS616" s="248"/>
      <c r="BT616" s="276">
        <v>0</v>
      </c>
      <c r="BU616" s="196">
        <f t="shared" si="1631"/>
        <v>0</v>
      </c>
      <c r="BV616" s="264">
        <f t="shared" si="1594"/>
        <v>0</v>
      </c>
      <c r="BW616" s="196">
        <f t="shared" si="1632"/>
        <v>0</v>
      </c>
      <c r="BX616" s="247">
        <f t="shared" si="1595"/>
        <v>0</v>
      </c>
      <c r="BY616" s="196">
        <f t="shared" si="1633"/>
        <v>0</v>
      </c>
      <c r="BZ616" s="620">
        <v>1</v>
      </c>
      <c r="CA616" s="196">
        <f t="shared" si="1571"/>
        <v>95663.091426862578</v>
      </c>
      <c r="CB616" s="196">
        <f t="shared" si="1572"/>
        <v>191326.18285372516</v>
      </c>
      <c r="CC616" s="196">
        <f t="shared" si="1521"/>
        <v>286989.27428058774</v>
      </c>
      <c r="CD616" s="247">
        <f t="shared" si="1509"/>
        <v>1.2109272465846376E-3</v>
      </c>
      <c r="CE616" s="196">
        <f t="shared" si="1634"/>
        <v>19351.549202592094</v>
      </c>
      <c r="CF616" s="247">
        <f t="shared" si="1510"/>
        <v>8.3566007683450242E-4</v>
      </c>
      <c r="CG616" s="196">
        <f t="shared" si="1601"/>
        <v>47518.921231644155</v>
      </c>
      <c r="CH616" s="589">
        <f t="shared" si="1526"/>
        <v>1.2109272465846376E-3</v>
      </c>
      <c r="CI616" s="196">
        <f t="shared" si="1635"/>
        <v>119363.29919877923</v>
      </c>
      <c r="CJ616" s="248">
        <f t="shared" si="1527"/>
        <v>1.9623323358438178E-3</v>
      </c>
      <c r="CK616" s="196">
        <f t="shared" si="1636"/>
        <v>93413.995393778532</v>
      </c>
      <c r="CL616" s="589">
        <f t="shared" si="1528"/>
        <v>1.3428453982246582E-3</v>
      </c>
      <c r="CM616" s="196">
        <f t="shared" si="1637"/>
        <v>9049.4386555286328</v>
      </c>
      <c r="CN616" s="589">
        <f t="shared" si="1529"/>
        <v>1.3041269539740918E-3</v>
      </c>
      <c r="CO616" s="196">
        <f t="shared" si="1638"/>
        <v>724.00145551031926</v>
      </c>
      <c r="CP616" s="589">
        <f t="shared" si="1530"/>
        <v>1.3653552283388324E-3</v>
      </c>
      <c r="CQ616" s="196">
        <f>'Detailed Budget'!$AC$12</f>
        <v>292876014141.44696</v>
      </c>
      <c r="CR616" s="269">
        <f t="shared" si="1534"/>
        <v>0</v>
      </c>
      <c r="CS616" s="269">
        <f>'Detailed Budget'!$AC$16</f>
        <v>10488008800.000002</v>
      </c>
      <c r="CT616" s="607">
        <f t="shared" si="1602"/>
        <v>0</v>
      </c>
      <c r="CU616" s="269">
        <f>'Detailed Budget'!$AC$24</f>
        <v>30624985696</v>
      </c>
      <c r="CV616" s="269">
        <f t="shared" si="1589"/>
        <v>0</v>
      </c>
      <c r="CW616" s="269"/>
      <c r="CX616" s="269">
        <f t="shared" si="1522"/>
        <v>0</v>
      </c>
      <c r="CY616" s="196">
        <f>'Detailed Budget'!$AC$97</f>
        <v>74629165494.837845</v>
      </c>
      <c r="CZ616" s="269">
        <f t="shared" si="1603"/>
        <v>100117900.2094287</v>
      </c>
      <c r="DA616" s="269">
        <f>'Detailed Budget'!$AC$100</f>
        <v>14925833098.967569</v>
      </c>
      <c r="DB616" s="269">
        <f t="shared" si="1604"/>
        <v>20023580.041885741</v>
      </c>
      <c r="DC616" s="269">
        <f t="shared" si="1511"/>
        <v>120141480.25131443</v>
      </c>
      <c r="DD616" s="207">
        <v>0</v>
      </c>
      <c r="DE616" s="606">
        <v>0</v>
      </c>
      <c r="DF616" s="269">
        <f>'Detailed Budget'!$AC$147</f>
        <v>5913600671000</v>
      </c>
      <c r="DG616" s="269">
        <f t="shared" si="1584"/>
        <v>0</v>
      </c>
      <c r="DH616" s="269">
        <f>'Detailed Budget'!$AC$153</f>
        <v>226428026880.00003</v>
      </c>
      <c r="DI616" s="269"/>
      <c r="DJ616" s="269">
        <f>'Detailed Budget'!$AC$156</f>
        <v>27713070000</v>
      </c>
      <c r="DK616" s="269"/>
      <c r="DL616" s="269"/>
      <c r="DM616" s="196">
        <f>'Detailed Budget'!$AC$178</f>
        <v>5622683761.6229038</v>
      </c>
      <c r="DN616" s="269">
        <f t="shared" si="1639"/>
        <v>0</v>
      </c>
      <c r="DO616" s="196">
        <f>'Detailed Budget'!$AC$179</f>
        <v>26827890683.128094</v>
      </c>
      <c r="DP616" s="269">
        <f t="shared" si="1640"/>
        <v>0</v>
      </c>
      <c r="DQ616" s="269">
        <f t="shared" si="1531"/>
        <v>0</v>
      </c>
      <c r="DR616" s="269">
        <f>'Detailed Budget'!$AC$181</f>
        <v>50888946855.375237</v>
      </c>
      <c r="DS616" s="269">
        <f t="shared" si="1641"/>
        <v>0</v>
      </c>
      <c r="DT616" s="269">
        <f t="shared" si="1642"/>
        <v>0</v>
      </c>
      <c r="DU616" s="272">
        <f>'Detailed Budget'!$AC$192</f>
        <v>77498869683.252869</v>
      </c>
      <c r="DV616" s="269">
        <f t="shared" si="1605"/>
        <v>93845492.878963038</v>
      </c>
      <c r="DW616" s="140">
        <f>'Detailed Budget'!$AC$194</f>
        <v>2684962805.4134097</v>
      </c>
      <c r="DX616" s="269">
        <f t="shared" si="1606"/>
        <v>3251294.6171414247</v>
      </c>
      <c r="DY616" s="607">
        <f t="shared" si="1512"/>
        <v>97096787.496104464</v>
      </c>
      <c r="DZ616" s="196">
        <f>'Detailed Budget'!$AC$198</f>
        <v>18732540018.380611</v>
      </c>
      <c r="EA616" s="269">
        <f t="shared" si="1622"/>
        <v>15654035.831065333</v>
      </c>
      <c r="EB616" s="196">
        <f>'Detailed Budget'!$AC$200</f>
        <v>4683135004.5951529</v>
      </c>
      <c r="EC616" s="269">
        <f t="shared" si="1607"/>
        <v>3913508.9577663331</v>
      </c>
      <c r="ED616" s="269">
        <f t="shared" si="1513"/>
        <v>19567544.788831666</v>
      </c>
      <c r="EE616" s="196">
        <f>'Detailed Budget'!$AC$161</f>
        <v>251147290106.36197</v>
      </c>
      <c r="EF616" s="269">
        <f t="shared" si="1608"/>
        <v>304121096.49569011</v>
      </c>
      <c r="EG616" s="196">
        <f>'Detailed Budget'!$AC$163</f>
        <v>15696705631.647623</v>
      </c>
      <c r="EH616" s="269">
        <f t="shared" si="1609"/>
        <v>19007568.530980632</v>
      </c>
      <c r="EI616" s="269">
        <f t="shared" si="1514"/>
        <v>323128665.02667075</v>
      </c>
      <c r="EJ616" s="196">
        <f>'Detailed Budget'!$AC$204</f>
        <v>45012172507.531975</v>
      </c>
      <c r="EK616" s="269">
        <f t="shared" si="1610"/>
        <v>88328841.618110105</v>
      </c>
      <c r="EL616" s="201">
        <f>'Detailed Budget'!$AC$206</f>
        <v>11253043126.882994</v>
      </c>
      <c r="EM616" s="269">
        <f t="shared" si="1611"/>
        <v>22082210.404527526</v>
      </c>
      <c r="EN616" s="269">
        <f t="shared" si="1515"/>
        <v>110411052.02263764</v>
      </c>
      <c r="EO616" s="140">
        <f>'Detailed Budget'!$AC$209</f>
        <v>135789361677.54817</v>
      </c>
      <c r="EP616" s="269">
        <f t="shared" si="1612"/>
        <v>182344119.4565593</v>
      </c>
      <c r="EQ616" s="196">
        <f>'Detailed Budget'!$AC$211</f>
        <v>33947340419.387043</v>
      </c>
      <c r="ER616" s="269">
        <f t="shared" si="1613"/>
        <v>45586029.864139825</v>
      </c>
      <c r="ES616" s="269">
        <f t="shared" si="1516"/>
        <v>227930149.32069913</v>
      </c>
      <c r="ET616" s="196">
        <f>'Detailed Budget'!$AC$214</f>
        <v>22239745544.201103</v>
      </c>
      <c r="EU616" s="269">
        <f t="shared" si="1614"/>
        <v>29003451.613717865</v>
      </c>
      <c r="EV616" s="140">
        <f>'Detailed Budget'!$AC$217</f>
        <v>5559936386.0502758</v>
      </c>
      <c r="EW616" s="269">
        <f t="shared" si="1615"/>
        <v>7250862.9034294663</v>
      </c>
      <c r="EX616" s="269">
        <f t="shared" si="1517"/>
        <v>36254314.517147332</v>
      </c>
      <c r="EY616" s="196">
        <f>'Detailed Budget'!$AC$219</f>
        <v>372777004.58170313</v>
      </c>
      <c r="EZ616" s="269">
        <f t="shared" si="1616"/>
        <v>508973.03221011726</v>
      </c>
      <c r="FA616" s="196">
        <f>'Detailed Budget'!$AC$222</f>
        <v>93194251.145425782</v>
      </c>
      <c r="FB616" s="269">
        <f t="shared" si="1617"/>
        <v>127243.25805252932</v>
      </c>
      <c r="FC616" s="269">
        <f t="shared" si="1518"/>
        <v>636216.29026264662</v>
      </c>
      <c r="FD616" s="269"/>
      <c r="FE616" s="269">
        <f t="shared" si="1519"/>
        <v>375231732.15074676</v>
      </c>
      <c r="FF616" s="140">
        <f>'Detailed Budget'!$AC$165</f>
        <v>14927760000</v>
      </c>
      <c r="FG616" s="1087">
        <f t="shared" si="1585"/>
        <v>511840920.68789804</v>
      </c>
      <c r="FH616" s="269">
        <f t="shared" si="1623"/>
        <v>22049867.060561303</v>
      </c>
      <c r="FJ616" s="140">
        <f>'Detailed Budget'!$AC$235</f>
        <v>3623696172</v>
      </c>
      <c r="FK616" s="269">
        <f t="shared" si="1624"/>
        <v>4681778</v>
      </c>
      <c r="FL616" s="269">
        <f t="shared" si="1586"/>
        <v>4681778</v>
      </c>
      <c r="FO616" s="607"/>
      <c r="FP616" s="607"/>
      <c r="FQ616" s="607"/>
      <c r="FR616" s="269">
        <f>'Detailed Budget'!$AC$257</f>
        <v>13636439388</v>
      </c>
      <c r="FS616" s="269">
        <f t="shared" si="1625"/>
        <v>14490372</v>
      </c>
      <c r="FT616" s="269">
        <f t="shared" si="1587"/>
        <v>14490372</v>
      </c>
      <c r="FU616" s="269"/>
      <c r="FV616" s="269"/>
      <c r="FW616" s="269"/>
      <c r="FX616" s="140">
        <f>'Detailed Budget'!$AC$278</f>
        <v>1114560000</v>
      </c>
      <c r="FY616" s="269">
        <f t="shared" si="1626"/>
        <v>1440000</v>
      </c>
      <c r="FZ616" s="269">
        <f t="shared" si="1588"/>
        <v>1440000</v>
      </c>
      <c r="GB616" s="269">
        <f t="shared" si="1596"/>
        <v>1489669147.4621274</v>
      </c>
      <c r="GC616" s="887">
        <f t="shared" si="1520"/>
        <v>931043.2171638296</v>
      </c>
      <c r="GD616" s="1078">
        <f t="shared" si="1597"/>
        <v>8.3590026698615713E-4</v>
      </c>
    </row>
    <row r="617" spans="1:186" hidden="1" outlineLevel="1">
      <c r="A617" s="211" t="s">
        <v>1341</v>
      </c>
      <c r="B617" s="212" t="s">
        <v>1342</v>
      </c>
      <c r="C617" s="213" t="s">
        <v>215</v>
      </c>
      <c r="D617" s="214"/>
      <c r="E617" s="213"/>
      <c r="F617" s="213"/>
      <c r="G617" s="213" t="s">
        <v>215</v>
      </c>
      <c r="H617" s="213" t="s">
        <v>215</v>
      </c>
      <c r="I617" s="214"/>
      <c r="J617" s="214" t="s">
        <v>215</v>
      </c>
      <c r="K617" s="213"/>
      <c r="L617" s="213" t="s">
        <v>215</v>
      </c>
      <c r="M617" s="214"/>
      <c r="N617" s="213"/>
      <c r="O617" s="214"/>
      <c r="P617" s="213"/>
      <c r="Q617" s="214"/>
      <c r="R617" s="214" t="s">
        <v>215</v>
      </c>
      <c r="S617" s="214"/>
      <c r="T617" s="214"/>
      <c r="U617" s="215">
        <f t="shared" si="1627"/>
        <v>6</v>
      </c>
      <c r="V617" s="845" t="s">
        <v>1332</v>
      </c>
      <c r="W617" s="216">
        <v>186869</v>
      </c>
      <c r="X617" s="217">
        <v>2.96</v>
      </c>
      <c r="Y617" s="218">
        <f t="shared" si="1598"/>
        <v>1.0296000000000001</v>
      </c>
      <c r="Z617" s="196">
        <v>19</v>
      </c>
      <c r="AA617" s="218">
        <f t="shared" si="1599"/>
        <v>1.7406126843598355</v>
      </c>
      <c r="AB617" s="196">
        <f t="shared" si="1619"/>
        <v>325266.55171363812</v>
      </c>
      <c r="AC617">
        <v>12.5</v>
      </c>
      <c r="AD617" s="196">
        <f t="shared" si="1620"/>
        <v>40658.318964204766</v>
      </c>
      <c r="AE617" s="196">
        <f t="shared" si="1600"/>
        <v>38625.403015994525</v>
      </c>
      <c r="AF617" s="196">
        <f t="shared" si="1628"/>
        <v>0</v>
      </c>
      <c r="AG617" s="606">
        <f t="shared" si="1523"/>
        <v>1.785869066763089E-3</v>
      </c>
      <c r="AH617" s="196">
        <f t="shared" si="1643"/>
        <v>16263.327585681907</v>
      </c>
      <c r="AI617" s="248">
        <f t="shared" si="1503"/>
        <v>1.2598953467146126E-3</v>
      </c>
      <c r="AJ617" s="196">
        <f t="shared" si="1504"/>
        <v>56921.646549886675</v>
      </c>
      <c r="AK617" s="196">
        <f t="shared" si="1532"/>
        <v>13010.662068545525</v>
      </c>
      <c r="AL617" s="196">
        <f t="shared" si="1533"/>
        <v>13010.662068545525</v>
      </c>
      <c r="AM617" s="196">
        <f t="shared" si="1505"/>
        <v>26021.324137091051</v>
      </c>
      <c r="AN617" s="627">
        <f t="shared" si="1506"/>
        <v>1.2598953467146123E-3</v>
      </c>
      <c r="AO617" s="196">
        <f t="shared" si="1507"/>
        <v>12360.128965118249</v>
      </c>
      <c r="AP617" s="589">
        <f t="shared" si="1524"/>
        <v>1.2598953467146123E-3</v>
      </c>
      <c r="AQ617" s="196"/>
      <c r="AR617" s="589"/>
      <c r="AS617">
        <v>1</v>
      </c>
      <c r="AT617" s="589">
        <f t="shared" si="1525"/>
        <v>1.2919896640826874E-3</v>
      </c>
      <c r="AU617" s="196">
        <v>14</v>
      </c>
      <c r="AV617" s="245">
        <f t="shared" si="1536"/>
        <v>1.5907283263265539E-3</v>
      </c>
      <c r="AX617" s="245"/>
      <c r="AY617" s="245"/>
      <c r="AZ617" s="196">
        <v>35</v>
      </c>
      <c r="BA617" s="589">
        <f t="shared" si="1590"/>
        <v>1.2824740757026126E-3</v>
      </c>
      <c r="BI617" s="196">
        <v>0</v>
      </c>
      <c r="BK617" s="246">
        <f t="shared" si="1591"/>
        <v>0</v>
      </c>
      <c r="BL617" s="196">
        <f t="shared" si="1629"/>
        <v>0</v>
      </c>
      <c r="BM617" s="246">
        <f t="shared" si="1592"/>
        <v>0</v>
      </c>
      <c r="BN617" s="196">
        <v>1</v>
      </c>
      <c r="BO617" s="196">
        <f t="shared" si="1630"/>
        <v>14920.981604840694</v>
      </c>
      <c r="BP617" s="196">
        <f t="shared" si="1508"/>
        <v>14920.981604840694</v>
      </c>
      <c r="BQ617" s="248">
        <f t="shared" si="1593"/>
        <v>1.3957883458817265E-3</v>
      </c>
      <c r="BR617" s="248"/>
      <c r="BS617" s="248"/>
      <c r="BT617" s="276">
        <v>0</v>
      </c>
      <c r="BU617" s="196">
        <f t="shared" si="1631"/>
        <v>0</v>
      </c>
      <c r="BV617" s="264">
        <f t="shared" si="1594"/>
        <v>0</v>
      </c>
      <c r="BW617" s="196">
        <f t="shared" si="1632"/>
        <v>0</v>
      </c>
      <c r="BX617" s="247">
        <f t="shared" si="1595"/>
        <v>0</v>
      </c>
      <c r="BY617" s="196">
        <f t="shared" si="1633"/>
        <v>0</v>
      </c>
      <c r="BZ617" s="620">
        <v>1</v>
      </c>
      <c r="CA617" s="196">
        <f t="shared" si="1571"/>
        <v>99531.564824373287</v>
      </c>
      <c r="CB617" s="196">
        <f t="shared" si="1572"/>
        <v>199063.12964874657</v>
      </c>
      <c r="CC617" s="196">
        <f t="shared" si="1521"/>
        <v>298594.69447311986</v>
      </c>
      <c r="CD617" s="247">
        <f t="shared" si="1509"/>
        <v>1.2598953467146126E-3</v>
      </c>
      <c r="CE617" s="196">
        <f t="shared" si="1634"/>
        <v>20134.097123365489</v>
      </c>
      <c r="CF617" s="247">
        <f t="shared" si="1510"/>
        <v>8.6945292973501244E-4</v>
      </c>
      <c r="CG617" s="196">
        <f t="shared" si="1601"/>
        <v>49440.515860472995</v>
      </c>
      <c r="CH617" s="589">
        <f t="shared" si="1526"/>
        <v>1.2598953467146123E-3</v>
      </c>
      <c r="CI617" s="196">
        <f t="shared" si="1635"/>
        <v>124190.17381366255</v>
      </c>
      <c r="CJ617" s="248">
        <f t="shared" si="1527"/>
        <v>2.0416861422602722E-3</v>
      </c>
      <c r="CK617" s="196">
        <f t="shared" si="1636"/>
        <v>97191.518686680851</v>
      </c>
      <c r="CL617" s="589">
        <f t="shared" si="1528"/>
        <v>1.3971480725635205E-3</v>
      </c>
      <c r="CM617" s="196">
        <f t="shared" si="1637"/>
        <v>9415.3845201161439</v>
      </c>
      <c r="CN617" s="589">
        <f t="shared" si="1529"/>
        <v>1.3568639119082022E-3</v>
      </c>
      <c r="CO617" s="196">
        <f t="shared" si="1638"/>
        <v>753.27899953096141</v>
      </c>
      <c r="CP617" s="589">
        <f t="shared" si="1530"/>
        <v>1.4205681667898025E-3</v>
      </c>
      <c r="CQ617" s="196">
        <f>'Detailed Budget'!$AC$12</f>
        <v>292876014141.44696</v>
      </c>
      <c r="CR617" s="269">
        <f t="shared" si="1534"/>
        <v>0</v>
      </c>
      <c r="CS617" s="269">
        <f>'Detailed Budget'!$AC$16</f>
        <v>10488008800.000002</v>
      </c>
      <c r="CT617" s="607">
        <f t="shared" si="1602"/>
        <v>0</v>
      </c>
      <c r="CU617" s="269">
        <f>'Detailed Budget'!$AC$24</f>
        <v>30624985696</v>
      </c>
      <c r="CV617" s="269">
        <f t="shared" si="1589"/>
        <v>0</v>
      </c>
      <c r="CW617" s="269"/>
      <c r="CX617" s="269">
        <f t="shared" si="1522"/>
        <v>0</v>
      </c>
      <c r="CY617" s="196">
        <f>'Detailed Budget'!$AC$97</f>
        <v>74629165494.837845</v>
      </c>
      <c r="CZ617" s="269">
        <f t="shared" si="1603"/>
        <v>104166519.46057333</v>
      </c>
      <c r="DA617" s="269">
        <f>'Detailed Budget'!$AC$100</f>
        <v>14925833098.967569</v>
      </c>
      <c r="DB617" s="269">
        <f t="shared" si="1604"/>
        <v>20833303.892114669</v>
      </c>
      <c r="DC617" s="269">
        <f t="shared" si="1511"/>
        <v>124999823.352688</v>
      </c>
      <c r="DD617" s="207">
        <v>0</v>
      </c>
      <c r="DE617" s="606">
        <v>0</v>
      </c>
      <c r="DF617" s="269">
        <f>'Detailed Budget'!$AC$147</f>
        <v>5913600671000</v>
      </c>
      <c r="DG617" s="269">
        <f t="shared" si="1584"/>
        <v>0</v>
      </c>
      <c r="DH617" s="269">
        <f>'Detailed Budget'!$AC$153</f>
        <v>226428026880.00003</v>
      </c>
      <c r="DI617" s="269"/>
      <c r="DJ617" s="269">
        <f>'Detailed Budget'!$AC$156</f>
        <v>27713070000</v>
      </c>
      <c r="DK617" s="269"/>
      <c r="DL617" s="269"/>
      <c r="DM617" s="196">
        <f>'Detailed Budget'!$AC$178</f>
        <v>5622683761.6229038</v>
      </c>
      <c r="DN617" s="269">
        <f t="shared" si="1639"/>
        <v>0</v>
      </c>
      <c r="DO617" s="196">
        <f>'Detailed Budget'!$AC$179</f>
        <v>26827890683.128094</v>
      </c>
      <c r="DP617" s="269">
        <f t="shared" si="1640"/>
        <v>0</v>
      </c>
      <c r="DQ617" s="269">
        <f t="shared" si="1531"/>
        <v>0</v>
      </c>
      <c r="DR617" s="269">
        <f>'Detailed Budget'!$AC$181</f>
        <v>50888946855.375237</v>
      </c>
      <c r="DS617" s="269">
        <f t="shared" si="1641"/>
        <v>0</v>
      </c>
      <c r="DT617" s="269">
        <f t="shared" si="1642"/>
        <v>0</v>
      </c>
      <c r="DU617" s="272">
        <f>'Detailed Budget'!$AC$192</f>
        <v>77498869683.252869</v>
      </c>
      <c r="DV617" s="269">
        <f t="shared" si="1605"/>
        <v>97640465.289572448</v>
      </c>
      <c r="DW617" s="140">
        <f>'Detailed Budget'!$AC$194</f>
        <v>2684962805.4134097</v>
      </c>
      <c r="DX617" s="269">
        <f t="shared" si="1606"/>
        <v>3382772.1446421659</v>
      </c>
      <c r="DY617" s="607">
        <f t="shared" si="1512"/>
        <v>101023237.43421461</v>
      </c>
      <c r="DZ617" s="196">
        <f>'Detailed Budget'!$AC$198</f>
        <v>18732540018.380611</v>
      </c>
      <c r="EA617" s="269">
        <f t="shared" si="1622"/>
        <v>16287061.800359387</v>
      </c>
      <c r="EB617" s="196">
        <f>'Detailed Budget'!$AC$200</f>
        <v>4683135004.5951529</v>
      </c>
      <c r="EC617" s="269">
        <f t="shared" si="1607"/>
        <v>4071765.4500898467</v>
      </c>
      <c r="ED617" s="269">
        <f t="shared" si="1513"/>
        <v>20358827.250449233</v>
      </c>
      <c r="EE617" s="196">
        <f>'Detailed Budget'!$AC$161</f>
        <v>251147290106.36197</v>
      </c>
      <c r="EF617" s="269">
        <f t="shared" si="1608"/>
        <v>316419302.14499027</v>
      </c>
      <c r="EG617" s="196">
        <f>'Detailed Budget'!$AC$163</f>
        <v>15696705631.647623</v>
      </c>
      <c r="EH617" s="269">
        <f t="shared" si="1609"/>
        <v>19776206.384061892</v>
      </c>
      <c r="EI617" s="269">
        <f t="shared" si="1514"/>
        <v>336195508.52905214</v>
      </c>
      <c r="EJ617" s="196">
        <f>'Detailed Budget'!$AC$204</f>
        <v>45012172507.531975</v>
      </c>
      <c r="EK617" s="269">
        <f t="shared" si="1610"/>
        <v>91900728.841656834</v>
      </c>
      <c r="EL617" s="201">
        <f>'Detailed Budget'!$AC$206</f>
        <v>11253043126.882994</v>
      </c>
      <c r="EM617" s="269">
        <f t="shared" si="1611"/>
        <v>22975182.210414208</v>
      </c>
      <c r="EN617" s="269">
        <f t="shared" si="1515"/>
        <v>114875911.05207103</v>
      </c>
      <c r="EO617" s="140">
        <f>'Detailed Budget'!$AC$209</f>
        <v>135789361677.54817</v>
      </c>
      <c r="EP617" s="269">
        <f t="shared" si="1612"/>
        <v>189717844.9424172</v>
      </c>
      <c r="EQ617" s="196">
        <f>'Detailed Budget'!$AC$211</f>
        <v>33947340419.387043</v>
      </c>
      <c r="ER617" s="269">
        <f t="shared" si="1613"/>
        <v>47429461.235604301</v>
      </c>
      <c r="ES617" s="269">
        <f t="shared" si="1516"/>
        <v>237147306.17802149</v>
      </c>
      <c r="ET617" s="196">
        <f>'Detailed Budget'!$AC$214</f>
        <v>22239745544.201103</v>
      </c>
      <c r="EU617" s="269">
        <f t="shared" si="1614"/>
        <v>30176308.138947718</v>
      </c>
      <c r="EV617" s="140">
        <f>'Detailed Budget'!$AC$217</f>
        <v>5559936386.0502758</v>
      </c>
      <c r="EW617" s="269">
        <f t="shared" si="1615"/>
        <v>7544077.0347369295</v>
      </c>
      <c r="EX617" s="269">
        <f t="shared" si="1517"/>
        <v>37720385.173684649</v>
      </c>
      <c r="EY617" s="196">
        <f>'Detailed Budget'!$AC$219</f>
        <v>372777004.58170313</v>
      </c>
      <c r="EZ617" s="269">
        <f t="shared" si="1616"/>
        <v>529555.14602002385</v>
      </c>
      <c r="FA617" s="196">
        <f>'Detailed Budget'!$AC$222</f>
        <v>93194251.145425782</v>
      </c>
      <c r="FB617" s="269">
        <f t="shared" si="1617"/>
        <v>132388.78650500596</v>
      </c>
      <c r="FC617" s="269">
        <f t="shared" si="1518"/>
        <v>661943.93252502987</v>
      </c>
      <c r="FD617" s="269"/>
      <c r="FE617" s="269">
        <f t="shared" si="1519"/>
        <v>390405546.33630222</v>
      </c>
      <c r="FF617" s="140">
        <f>'Detailed Budget'!$AC$165</f>
        <v>14927760000</v>
      </c>
      <c r="FG617" s="1087">
        <f t="shared" si="1585"/>
        <v>532539007.65022779</v>
      </c>
      <c r="FH617" s="269">
        <f t="shared" si="1623"/>
        <v>23746010.68060448</v>
      </c>
      <c r="FJ617" s="140">
        <f>'Detailed Budget'!$AC$235</f>
        <v>3623696172</v>
      </c>
      <c r="FK617" s="269">
        <f t="shared" si="1624"/>
        <v>4681778</v>
      </c>
      <c r="FL617" s="269">
        <f t="shared" si="1586"/>
        <v>4681778</v>
      </c>
      <c r="FO617" s="607"/>
      <c r="FP617" s="607"/>
      <c r="FQ617" s="607"/>
      <c r="FR617" s="269">
        <f>'Detailed Budget'!$AC$257</f>
        <v>13636439388</v>
      </c>
      <c r="FS617" s="269">
        <f t="shared" si="1625"/>
        <v>17488380</v>
      </c>
      <c r="FT617" s="269">
        <f t="shared" si="1587"/>
        <v>17488380</v>
      </c>
      <c r="FU617" s="269"/>
      <c r="FV617" s="269"/>
      <c r="FW617" s="269"/>
      <c r="FX617" s="140">
        <f>'Detailed Budget'!$AC$278</f>
        <v>1114560000</v>
      </c>
      <c r="FY617" s="269">
        <f t="shared" si="1626"/>
        <v>1440000</v>
      </c>
      <c r="FZ617" s="269">
        <f t="shared" si="1588"/>
        <v>1440000</v>
      </c>
      <c r="GB617" s="269">
        <f t="shared" si="1596"/>
        <v>1552878119.2335384</v>
      </c>
      <c r="GC617" s="887">
        <f t="shared" si="1520"/>
        <v>970548.8245209615</v>
      </c>
      <c r="GD617" s="1078">
        <f t="shared" si="1597"/>
        <v>8.7136881144091584E-4</v>
      </c>
    </row>
    <row r="618" spans="1:186" hidden="1" outlineLevel="1">
      <c r="A618" s="211" t="s">
        <v>1343</v>
      </c>
      <c r="B618" s="212" t="s">
        <v>1344</v>
      </c>
      <c r="C618" s="213" t="s">
        <v>215</v>
      </c>
      <c r="D618" s="214"/>
      <c r="E618" s="213"/>
      <c r="F618" s="213"/>
      <c r="G618" s="213" t="s">
        <v>215</v>
      </c>
      <c r="H618" s="213" t="s">
        <v>215</v>
      </c>
      <c r="I618" s="214"/>
      <c r="J618" s="214" t="s">
        <v>215</v>
      </c>
      <c r="K618" s="213"/>
      <c r="L618" s="213" t="s">
        <v>215</v>
      </c>
      <c r="M618" s="214"/>
      <c r="N618" s="213"/>
      <c r="O618" s="214"/>
      <c r="P618" s="213"/>
      <c r="Q618" s="214"/>
      <c r="R618" s="214" t="s">
        <v>215</v>
      </c>
      <c r="S618" s="214"/>
      <c r="T618" s="214"/>
      <c r="U618" s="215">
        <f t="shared" si="1627"/>
        <v>6</v>
      </c>
      <c r="V618" s="845" t="s">
        <v>1332</v>
      </c>
      <c r="W618" s="216">
        <v>321808</v>
      </c>
      <c r="X618" s="217">
        <v>2.96</v>
      </c>
      <c r="Y618" s="218">
        <f t="shared" si="1598"/>
        <v>1.0296000000000001</v>
      </c>
      <c r="Z618" s="196">
        <v>19</v>
      </c>
      <c r="AA618" s="218">
        <f t="shared" si="1599"/>
        <v>1.7406126843598355</v>
      </c>
      <c r="AB618" s="196">
        <f t="shared" si="1619"/>
        <v>560143.08672846993</v>
      </c>
      <c r="AC618">
        <v>12.5</v>
      </c>
      <c r="AD618" s="196">
        <f t="shared" si="1620"/>
        <v>70017.885841058742</v>
      </c>
      <c r="AE618" s="196">
        <f t="shared" si="1600"/>
        <v>66516.991549005805</v>
      </c>
      <c r="AF618" s="196">
        <f t="shared" si="1628"/>
        <v>0</v>
      </c>
      <c r="AG618" s="606">
        <f t="shared" si="1523"/>
        <v>3.0754536741615579E-3</v>
      </c>
      <c r="AH618" s="196">
        <f t="shared" si="1643"/>
        <v>28007.154336423497</v>
      </c>
      <c r="AI618" s="248">
        <f t="shared" si="1503"/>
        <v>2.1696718114590217E-3</v>
      </c>
      <c r="AJ618" s="196">
        <f t="shared" si="1504"/>
        <v>98025.040177482239</v>
      </c>
      <c r="AK618" s="196">
        <f t="shared" si="1532"/>
        <v>22405.723469138797</v>
      </c>
      <c r="AL618" s="196">
        <f t="shared" si="1533"/>
        <v>22405.723469138797</v>
      </c>
      <c r="AM618" s="196">
        <f t="shared" si="1505"/>
        <v>44811.446938277593</v>
      </c>
      <c r="AN618" s="627">
        <f t="shared" si="1506"/>
        <v>2.1696718114590217E-3</v>
      </c>
      <c r="AO618" s="196">
        <f t="shared" si="1507"/>
        <v>21285.437295681855</v>
      </c>
      <c r="AP618" s="589">
        <f t="shared" si="1524"/>
        <v>2.1696718114590217E-3</v>
      </c>
      <c r="AQ618" s="196"/>
      <c r="AR618" s="589"/>
      <c r="AS618">
        <v>1</v>
      </c>
      <c r="AT618" s="589">
        <f t="shared" si="1525"/>
        <v>1.2919896640826874E-3</v>
      </c>
      <c r="AU618" s="196">
        <v>17</v>
      </c>
      <c r="AV618" s="245">
        <f t="shared" si="1536"/>
        <v>1.9315986819679581E-3</v>
      </c>
      <c r="AX618" s="245"/>
      <c r="AY618" s="245"/>
      <c r="AZ618" s="196">
        <v>41</v>
      </c>
      <c r="BA618" s="589">
        <f t="shared" si="1590"/>
        <v>1.5023267743944891E-3</v>
      </c>
      <c r="BI618" s="196">
        <v>0</v>
      </c>
      <c r="BK618" s="246">
        <f t="shared" si="1591"/>
        <v>0</v>
      </c>
      <c r="BL618" s="196">
        <f t="shared" si="1629"/>
        <v>0</v>
      </c>
      <c r="BM618" s="246">
        <f t="shared" si="1592"/>
        <v>0</v>
      </c>
      <c r="BN618" s="196">
        <v>1</v>
      </c>
      <c r="BO618" s="196">
        <f t="shared" si="1630"/>
        <v>25695.493892997623</v>
      </c>
      <c r="BP618" s="196">
        <f t="shared" si="1508"/>
        <v>25695.493892997623</v>
      </c>
      <c r="BQ618" s="248">
        <f t="shared" si="1593"/>
        <v>2.4036937962503492E-3</v>
      </c>
      <c r="BR618" s="248"/>
      <c r="BS618" s="248"/>
      <c r="BT618" s="276">
        <v>0</v>
      </c>
      <c r="BU618" s="196">
        <f t="shared" si="1631"/>
        <v>0</v>
      </c>
      <c r="BV618" s="264">
        <f t="shared" si="1594"/>
        <v>0</v>
      </c>
      <c r="BW618" s="196">
        <f t="shared" si="1632"/>
        <v>0</v>
      </c>
      <c r="BX618" s="247">
        <f t="shared" si="1595"/>
        <v>0</v>
      </c>
      <c r="BY618" s="196">
        <f t="shared" si="1633"/>
        <v>0</v>
      </c>
      <c r="BZ618" s="620">
        <v>1</v>
      </c>
      <c r="CA618" s="196">
        <f t="shared" si="1571"/>
        <v>171403.78453891177</v>
      </c>
      <c r="CB618" s="196">
        <f t="shared" si="1572"/>
        <v>342807.56907782354</v>
      </c>
      <c r="CC618" s="196">
        <f t="shared" si="1521"/>
        <v>514211.35361673532</v>
      </c>
      <c r="CD618" s="247">
        <f t="shared" si="1509"/>
        <v>2.1696718114590213E-3</v>
      </c>
      <c r="CE618" s="196">
        <f t="shared" si="1634"/>
        <v>34673.025098202488</v>
      </c>
      <c r="CF618" s="247">
        <f t="shared" si="1510"/>
        <v>1.4972890549645199E-3</v>
      </c>
      <c r="CG618" s="196">
        <f t="shared" si="1601"/>
        <v>85141.749182727421</v>
      </c>
      <c r="CH618" s="589">
        <f t="shared" si="1526"/>
        <v>2.1696718114590217E-3</v>
      </c>
      <c r="CI618" s="196">
        <f t="shared" si="1635"/>
        <v>213868.49319377274</v>
      </c>
      <c r="CJ618" s="248">
        <f t="shared" si="1527"/>
        <v>3.515997485235612E-3</v>
      </c>
      <c r="CK618" s="196">
        <f t="shared" si="1636"/>
        <v>167373.97987640213</v>
      </c>
      <c r="CL618" s="589">
        <f t="shared" si="1528"/>
        <v>2.4060353880821397E-3</v>
      </c>
      <c r="CM618" s="196">
        <f t="shared" si="1637"/>
        <v>16214.278781657396</v>
      </c>
      <c r="CN618" s="589">
        <f t="shared" si="1529"/>
        <v>2.3366618420570277E-3</v>
      </c>
      <c r="CO618" s="196">
        <f t="shared" si="1638"/>
        <v>1297.2253732885583</v>
      </c>
      <c r="CP618" s="589">
        <f t="shared" si="1530"/>
        <v>2.4463672445311567E-3</v>
      </c>
      <c r="CQ618" s="196">
        <f>'Detailed Budget'!$AC$12</f>
        <v>292876014141.44696</v>
      </c>
      <c r="CR618" s="269">
        <f t="shared" si="1534"/>
        <v>0</v>
      </c>
      <c r="CS618" s="269">
        <f>'Detailed Budget'!$AC$16</f>
        <v>10488008800.000002</v>
      </c>
      <c r="CT618" s="607">
        <f t="shared" si="1602"/>
        <v>0</v>
      </c>
      <c r="CU618" s="269">
        <f>'Detailed Budget'!$AC$24</f>
        <v>30624985696</v>
      </c>
      <c r="CV618" s="269">
        <f t="shared" si="1589"/>
        <v>0</v>
      </c>
      <c r="CW618" s="269"/>
      <c r="CX618" s="269">
        <f t="shared" si="1522"/>
        <v>0</v>
      </c>
      <c r="CY618" s="196">
        <f>'Detailed Budget'!$AC$97</f>
        <v>74629165494.837845</v>
      </c>
      <c r="CZ618" s="269">
        <f t="shared" si="1603"/>
        <v>179385662.11928236</v>
      </c>
      <c r="DA618" s="269">
        <f>'Detailed Budget'!$AC$100</f>
        <v>14925833098.967569</v>
      </c>
      <c r="DB618" s="269">
        <f t="shared" si="1604"/>
        <v>35877132.423856474</v>
      </c>
      <c r="DC618" s="269">
        <f t="shared" si="1511"/>
        <v>215262794.54313883</v>
      </c>
      <c r="DD618" s="207">
        <v>0</v>
      </c>
      <c r="DE618" s="606">
        <v>0</v>
      </c>
      <c r="DF618" s="269">
        <f>'Detailed Budget'!$AC$147</f>
        <v>5913600671000</v>
      </c>
      <c r="DG618" s="269">
        <f t="shared" si="1584"/>
        <v>0</v>
      </c>
      <c r="DH618" s="269">
        <f>'Detailed Budget'!$AC$153</f>
        <v>226428026880.00003</v>
      </c>
      <c r="DI618" s="269"/>
      <c r="DJ618" s="269">
        <f>'Detailed Budget'!$AC$156</f>
        <v>27713070000</v>
      </c>
      <c r="DK618" s="269"/>
      <c r="DL618" s="269"/>
      <c r="DM618" s="196">
        <f>'Detailed Budget'!$AC$178</f>
        <v>5622683761.6229038</v>
      </c>
      <c r="DN618" s="269">
        <f t="shared" si="1639"/>
        <v>0</v>
      </c>
      <c r="DO618" s="196">
        <f>'Detailed Budget'!$AC$179</f>
        <v>26827890683.128094</v>
      </c>
      <c r="DP618" s="269">
        <f t="shared" si="1640"/>
        <v>0</v>
      </c>
      <c r="DQ618" s="269">
        <f t="shared" si="1531"/>
        <v>0</v>
      </c>
      <c r="DR618" s="269">
        <f>'Detailed Budget'!$AC$181</f>
        <v>50888946855.375237</v>
      </c>
      <c r="DS618" s="269">
        <f t="shared" si="1641"/>
        <v>0</v>
      </c>
      <c r="DT618" s="269">
        <f t="shared" si="1642"/>
        <v>0</v>
      </c>
      <c r="DU618" s="272">
        <f>'Detailed Budget'!$AC$192</f>
        <v>77498869683.252869</v>
      </c>
      <c r="DV618" s="269">
        <f t="shared" si="1605"/>
        <v>168147112.97168988</v>
      </c>
      <c r="DW618" s="140">
        <f>'Detailed Budget'!$AC$194</f>
        <v>2684962805.4134097</v>
      </c>
      <c r="DX618" s="269">
        <f t="shared" si="1606"/>
        <v>5825488.1137214098</v>
      </c>
      <c r="DY618" s="607">
        <f t="shared" si="1512"/>
        <v>173972601.08541128</v>
      </c>
      <c r="DZ618" s="196">
        <f>'Detailed Budget'!$AC$198</f>
        <v>18732540018.380611</v>
      </c>
      <c r="EA618" s="269">
        <f t="shared" si="1622"/>
        <v>28048027.141206156</v>
      </c>
      <c r="EB618" s="196">
        <f>'Detailed Budget'!$AC$200</f>
        <v>4683135004.5951529</v>
      </c>
      <c r="EC618" s="269">
        <f t="shared" si="1607"/>
        <v>7012006.7853015391</v>
      </c>
      <c r="ED618" s="269">
        <f t="shared" si="1513"/>
        <v>35060033.926507697</v>
      </c>
      <c r="EE618" s="196">
        <f>'Detailed Budget'!$AC$161</f>
        <v>251147290106.36197</v>
      </c>
      <c r="EF618" s="269">
        <f t="shared" si="1608"/>
        <v>544907195.8680948</v>
      </c>
      <c r="EG618" s="196">
        <f>'Detailed Budget'!$AC$163</f>
        <v>15696705631.647623</v>
      </c>
      <c r="EH618" s="269">
        <f t="shared" si="1609"/>
        <v>34056699.741755925</v>
      </c>
      <c r="EI618" s="269">
        <f t="shared" si="1514"/>
        <v>578963895.60985076</v>
      </c>
      <c r="EJ618" s="196">
        <f>'Detailed Budget'!$AC$204</f>
        <v>45012172507.531975</v>
      </c>
      <c r="EK618" s="269">
        <f t="shared" si="1610"/>
        <v>158262685.34147397</v>
      </c>
      <c r="EL618" s="201">
        <f>'Detailed Budget'!$AC$206</f>
        <v>11253043126.882994</v>
      </c>
      <c r="EM618" s="269">
        <f t="shared" si="1611"/>
        <v>39565671.335368492</v>
      </c>
      <c r="EN618" s="269">
        <f t="shared" si="1515"/>
        <v>197828356.67684245</v>
      </c>
      <c r="EO618" s="140">
        <f>'Detailed Budget'!$AC$209</f>
        <v>135789361677.54817</v>
      </c>
      <c r="EP618" s="269">
        <f t="shared" si="1612"/>
        <v>326714009.52126563</v>
      </c>
      <c r="EQ618" s="196">
        <f>'Detailed Budget'!$AC$211</f>
        <v>33947340419.387043</v>
      </c>
      <c r="ER618" s="269">
        <f t="shared" si="1613"/>
        <v>81678502.380316406</v>
      </c>
      <c r="ES618" s="269">
        <f t="shared" si="1516"/>
        <v>408392511.901582</v>
      </c>
      <c r="ET618" s="196">
        <f>'Detailed Budget'!$AC$214</f>
        <v>22239745544.201103</v>
      </c>
      <c r="EU618" s="269">
        <f t="shared" si="1614"/>
        <v>51966764.790192522</v>
      </c>
      <c r="EV618" s="140">
        <f>'Detailed Budget'!$AC$217</f>
        <v>5559936386.0502758</v>
      </c>
      <c r="EW618" s="269">
        <f t="shared" si="1615"/>
        <v>12991691.197548131</v>
      </c>
      <c r="EX618" s="269">
        <f t="shared" si="1517"/>
        <v>64958455.987740651</v>
      </c>
      <c r="EY618" s="196">
        <f>'Detailed Budget'!$AC$219</f>
        <v>372777004.58170313</v>
      </c>
      <c r="EZ618" s="269">
        <f t="shared" si="1616"/>
        <v>911949.45352311945</v>
      </c>
      <c r="FA618" s="196">
        <f>'Detailed Budget'!$AC$222</f>
        <v>93194251.145425782</v>
      </c>
      <c r="FB618" s="269">
        <f t="shared" si="1617"/>
        <v>227987.36338077986</v>
      </c>
      <c r="FC618" s="269">
        <f t="shared" si="1518"/>
        <v>1139936.8169038994</v>
      </c>
      <c r="FD618" s="269"/>
      <c r="FE618" s="269">
        <f t="shared" si="1519"/>
        <v>672319261.38306904</v>
      </c>
      <c r="FF618" s="140">
        <f>'Detailed Budget'!$AC$165</f>
        <v>14927760000</v>
      </c>
      <c r="FG618" s="1087">
        <f t="shared" si="1585"/>
        <v>917087975.92915094</v>
      </c>
      <c r="FH618" s="269">
        <f t="shared" si="1623"/>
        <v>28834441.540734008</v>
      </c>
      <c r="FJ618" s="140">
        <f>'Detailed Budget'!$AC$235</f>
        <v>3623696172</v>
      </c>
      <c r="FK618" s="269">
        <f t="shared" si="1624"/>
        <v>4681778</v>
      </c>
      <c r="FL618" s="269">
        <f t="shared" si="1586"/>
        <v>4681778</v>
      </c>
      <c r="FO618" s="607"/>
      <c r="FP618" s="607"/>
      <c r="FQ618" s="607"/>
      <c r="FR618" s="269">
        <f>'Detailed Budget'!$AC$257</f>
        <v>13636439388</v>
      </c>
      <c r="FS618" s="269">
        <f t="shared" si="1625"/>
        <v>20486388</v>
      </c>
      <c r="FT618" s="269">
        <f t="shared" si="1587"/>
        <v>20486388</v>
      </c>
      <c r="FU618" s="269"/>
      <c r="FV618" s="269"/>
      <c r="FW618" s="269"/>
      <c r="FX618" s="140">
        <f>'Detailed Budget'!$AC$278</f>
        <v>1114560000</v>
      </c>
      <c r="FY618" s="269">
        <f t="shared" si="1626"/>
        <v>1440000</v>
      </c>
      <c r="FZ618" s="269">
        <f t="shared" si="1588"/>
        <v>1440000</v>
      </c>
      <c r="GB618" s="269">
        <f t="shared" si="1596"/>
        <v>2648109170.0178623</v>
      </c>
      <c r="GC618" s="887">
        <f t="shared" si="1520"/>
        <v>1655068.2312611639</v>
      </c>
      <c r="GD618" s="1078">
        <f t="shared" si="1597"/>
        <v>1.4859374418793206E-3</v>
      </c>
    </row>
    <row r="619" spans="1:186" hidden="1" outlineLevel="1">
      <c r="A619" s="211" t="s">
        <v>1345</v>
      </c>
      <c r="B619" s="212" t="s">
        <v>1346</v>
      </c>
      <c r="C619" s="213" t="s">
        <v>215</v>
      </c>
      <c r="D619" s="214"/>
      <c r="E619" s="213"/>
      <c r="F619" s="213"/>
      <c r="G619" s="213" t="s">
        <v>215</v>
      </c>
      <c r="H619" s="213" t="s">
        <v>215</v>
      </c>
      <c r="I619" s="214"/>
      <c r="J619" s="214" t="s">
        <v>215</v>
      </c>
      <c r="K619" s="213"/>
      <c r="L619" s="213" t="s">
        <v>215</v>
      </c>
      <c r="M619" s="214"/>
      <c r="N619" s="213"/>
      <c r="O619" s="214"/>
      <c r="P619" s="213"/>
      <c r="Q619" s="214"/>
      <c r="R619" s="214" t="s">
        <v>215</v>
      </c>
      <c r="S619" s="214"/>
      <c r="T619" s="214"/>
      <c r="U619" s="215">
        <f t="shared" si="1627"/>
        <v>6</v>
      </c>
      <c r="V619" s="845" t="s">
        <v>1332</v>
      </c>
      <c r="W619" s="216">
        <v>352285</v>
      </c>
      <c r="X619" s="217">
        <v>2.96</v>
      </c>
      <c r="Y619" s="218">
        <f t="shared" si="1598"/>
        <v>1.0296000000000001</v>
      </c>
      <c r="Z619" s="196">
        <v>19</v>
      </c>
      <c r="AA619" s="218">
        <f t="shared" si="1599"/>
        <v>1.7406126843598355</v>
      </c>
      <c r="AB619" s="196">
        <f t="shared" si="1619"/>
        <v>613191.73950970464</v>
      </c>
      <c r="AC619">
        <v>12.5</v>
      </c>
      <c r="AD619" s="196">
        <f t="shared" si="1620"/>
        <v>76648.96743871308</v>
      </c>
      <c r="AE619" s="196">
        <f t="shared" si="1600"/>
        <v>72816.51906677743</v>
      </c>
      <c r="AF619" s="196">
        <f t="shared" si="1628"/>
        <v>0</v>
      </c>
      <c r="AG619" s="606">
        <f t="shared" si="1523"/>
        <v>3.3667161711393267E-3</v>
      </c>
      <c r="AH619" s="196">
        <f t="shared" si="1643"/>
        <v>30659.586975485232</v>
      </c>
      <c r="AI619" s="248">
        <f t="shared" ref="AI619:AI679" si="1644">AH619/12908475</f>
        <v>2.3751517491791426E-3</v>
      </c>
      <c r="AJ619" s="196">
        <f t="shared" si="1504"/>
        <v>107308.55441419831</v>
      </c>
      <c r="AK619" s="196">
        <f t="shared" si="1532"/>
        <v>24527.669580388185</v>
      </c>
      <c r="AL619" s="196">
        <f t="shared" si="1533"/>
        <v>24527.669580388185</v>
      </c>
      <c r="AM619" s="196">
        <f t="shared" si="1505"/>
        <v>49055.33916077637</v>
      </c>
      <c r="AN619" s="627">
        <f t="shared" si="1506"/>
        <v>2.3751517491791426E-3</v>
      </c>
      <c r="AO619" s="196">
        <f t="shared" si="1507"/>
        <v>23301.286101368776</v>
      </c>
      <c r="AP619" s="589">
        <f t="shared" si="1524"/>
        <v>2.3751517491791426E-3</v>
      </c>
      <c r="AQ619" s="196"/>
      <c r="AR619" s="589"/>
      <c r="AS619">
        <v>1</v>
      </c>
      <c r="AT619" s="589">
        <f t="shared" si="1525"/>
        <v>1.2919896640826874E-3</v>
      </c>
      <c r="AU619" s="196">
        <v>15</v>
      </c>
      <c r="AV619" s="245">
        <f t="shared" si="1536"/>
        <v>1.7043517782070218E-3</v>
      </c>
      <c r="AX619" s="245"/>
      <c r="AY619" s="245"/>
      <c r="AZ619" s="196">
        <v>34</v>
      </c>
      <c r="BA619" s="589">
        <f t="shared" si="1590"/>
        <v>1.2458319592539666E-3</v>
      </c>
      <c r="BI619" s="196">
        <v>0</v>
      </c>
      <c r="BK619" s="246">
        <f t="shared" si="1591"/>
        <v>0</v>
      </c>
      <c r="BL619" s="196">
        <f t="shared" si="1629"/>
        <v>0</v>
      </c>
      <c r="BM619" s="246">
        <f t="shared" si="1592"/>
        <v>0</v>
      </c>
      <c r="BN619" s="196">
        <v>1</v>
      </c>
      <c r="BO619" s="196">
        <f t="shared" si="1630"/>
        <v>28128.999484458644</v>
      </c>
      <c r="BP619" s="196">
        <f t="shared" si="1508"/>
        <v>28128.999484458644</v>
      </c>
      <c r="BQ619" s="248">
        <f t="shared" si="1593"/>
        <v>2.6313369121092525E-3</v>
      </c>
      <c r="BR619" s="248"/>
      <c r="BS619" s="248"/>
      <c r="BT619" s="276">
        <v>0</v>
      </c>
      <c r="BU619" s="196">
        <f t="shared" si="1631"/>
        <v>0</v>
      </c>
      <c r="BV619" s="264">
        <f t="shared" si="1594"/>
        <v>0</v>
      </c>
      <c r="BW619" s="196">
        <f t="shared" si="1632"/>
        <v>0</v>
      </c>
      <c r="BX619" s="247">
        <f t="shared" si="1595"/>
        <v>0</v>
      </c>
      <c r="BY619" s="196">
        <f t="shared" si="1633"/>
        <v>0</v>
      </c>
      <c r="BZ619" s="620">
        <v>1</v>
      </c>
      <c r="CA619" s="196">
        <f t="shared" si="1571"/>
        <v>187636.6722899696</v>
      </c>
      <c r="CB619" s="196">
        <f t="shared" si="1572"/>
        <v>375273.34457993921</v>
      </c>
      <c r="CC619" s="196">
        <f t="shared" si="1521"/>
        <v>562910.01686990878</v>
      </c>
      <c r="CD619" s="247">
        <f t="shared" si="1509"/>
        <v>2.3751517491791422E-3</v>
      </c>
      <c r="CE619" s="196">
        <f t="shared" si="1634"/>
        <v>37956.752618705141</v>
      </c>
      <c r="CF619" s="247">
        <f t="shared" si="1510"/>
        <v>1.6390906215139956E-3</v>
      </c>
      <c r="CG619" s="196">
        <f t="shared" si="1601"/>
        <v>93205.144405475105</v>
      </c>
      <c r="CH619" s="589">
        <f t="shared" si="1526"/>
        <v>2.3751517491791426E-3</v>
      </c>
      <c r="CI619" s="196">
        <f t="shared" si="1635"/>
        <v>234123.02405399561</v>
      </c>
      <c r="CJ619" s="248">
        <f t="shared" si="1527"/>
        <v>3.8489819211648792E-3</v>
      </c>
      <c r="CK619" s="196">
        <f t="shared" si="1636"/>
        <v>183225.22280601578</v>
      </c>
      <c r="CL619" s="589">
        <f t="shared" si="1528"/>
        <v>2.6339002656569029E-3</v>
      </c>
      <c r="CM619" s="196">
        <f t="shared" si="1637"/>
        <v>17749.86078840854</v>
      </c>
      <c r="CN619" s="589">
        <f t="shared" si="1529"/>
        <v>2.5579566605835155E-3</v>
      </c>
      <c r="CO619" s="196">
        <f t="shared" si="1638"/>
        <v>1420.0798010893445</v>
      </c>
      <c r="CP619" s="589">
        <f t="shared" si="1530"/>
        <v>2.6780517722979494E-3</v>
      </c>
      <c r="CQ619" s="196">
        <f>'Detailed Budget'!$AC$12</f>
        <v>292876014141.44696</v>
      </c>
      <c r="CR619" s="269">
        <f t="shared" si="1534"/>
        <v>0</v>
      </c>
      <c r="CS619" s="269">
        <f>'Detailed Budget'!$AC$16</f>
        <v>10488008800.000002</v>
      </c>
      <c r="CT619" s="607">
        <f t="shared" si="1602"/>
        <v>0</v>
      </c>
      <c r="CU619" s="269">
        <f>'Detailed Budget'!$AC$24</f>
        <v>30624985696</v>
      </c>
      <c r="CV619" s="269">
        <f t="shared" si="1589"/>
        <v>0</v>
      </c>
      <c r="CW619" s="269"/>
      <c r="CX619" s="269">
        <f t="shared" si="1522"/>
        <v>0</v>
      </c>
      <c r="CY619" s="196">
        <f>'Detailed Budget'!$AC$97</f>
        <v>74629165494.837845</v>
      </c>
      <c r="CZ619" s="269">
        <f t="shared" si="1603"/>
        <v>196374477.88647699</v>
      </c>
      <c r="DA619" s="269">
        <f>'Detailed Budget'!$AC$100</f>
        <v>14925833098.967569</v>
      </c>
      <c r="DB619" s="269">
        <f t="shared" si="1604"/>
        <v>39274895.5772954</v>
      </c>
      <c r="DC619" s="269">
        <f t="shared" si="1511"/>
        <v>235649373.46377239</v>
      </c>
      <c r="DD619" s="207">
        <v>0</v>
      </c>
      <c r="DE619" s="606">
        <v>0</v>
      </c>
      <c r="DF619" s="269">
        <f>'Detailed Budget'!$AC$147</f>
        <v>5913600671000</v>
      </c>
      <c r="DG619" s="269">
        <f t="shared" si="1584"/>
        <v>0</v>
      </c>
      <c r="DH619" s="269">
        <f>'Detailed Budget'!$AC$153</f>
        <v>226428026880.00003</v>
      </c>
      <c r="DI619" s="269"/>
      <c r="DJ619" s="269">
        <f>'Detailed Budget'!$AC$156</f>
        <v>27713070000</v>
      </c>
      <c r="DK619" s="269"/>
      <c r="DL619" s="269"/>
      <c r="DM619" s="196">
        <f>'Detailed Budget'!$AC$178</f>
        <v>5622683761.6229038</v>
      </c>
      <c r="DN619" s="269">
        <f t="shared" si="1639"/>
        <v>0</v>
      </c>
      <c r="DO619" s="196">
        <f>'Detailed Budget'!$AC$179</f>
        <v>26827890683.128094</v>
      </c>
      <c r="DP619" s="269">
        <f t="shared" si="1640"/>
        <v>0</v>
      </c>
      <c r="DQ619" s="269">
        <f t="shared" si="1531"/>
        <v>0</v>
      </c>
      <c r="DR619" s="269">
        <f>'Detailed Budget'!$AC$181</f>
        <v>50888946855.375237</v>
      </c>
      <c r="DS619" s="269">
        <f t="shared" si="1641"/>
        <v>0</v>
      </c>
      <c r="DT619" s="269">
        <f t="shared" si="1642"/>
        <v>0</v>
      </c>
      <c r="DU619" s="272">
        <f>'Detailed Budget'!$AC$192</f>
        <v>77498869683.252869</v>
      </c>
      <c r="DV619" s="269">
        <f t="shared" si="1605"/>
        <v>184071575.88758445</v>
      </c>
      <c r="DW619" s="140">
        <f>'Detailed Budget'!$AC$194</f>
        <v>2684962805.4134097</v>
      </c>
      <c r="DX619" s="269">
        <f t="shared" si="1606"/>
        <v>6377194.1037585977</v>
      </c>
      <c r="DY619" s="607">
        <f t="shared" si="1512"/>
        <v>190448769.99134305</v>
      </c>
      <c r="DZ619" s="196">
        <f>'Detailed Budget'!$AC$198</f>
        <v>18732540018.380611</v>
      </c>
      <c r="EA619" s="269">
        <f t="shared" si="1622"/>
        <v>30704330.661263272</v>
      </c>
      <c r="EB619" s="196">
        <f>'Detailed Budget'!$AC$200</f>
        <v>4683135004.5951529</v>
      </c>
      <c r="EC619" s="269">
        <f t="shared" si="1607"/>
        <v>7676082.665315818</v>
      </c>
      <c r="ED619" s="269">
        <f t="shared" si="1513"/>
        <v>38380413.326579094</v>
      </c>
      <c r="EE619" s="196">
        <f>'Detailed Budget'!$AC$161</f>
        <v>251147290106.36197</v>
      </c>
      <c r="EF619" s="269">
        <f t="shared" si="1608"/>
        <v>596512925.39772725</v>
      </c>
      <c r="EG619" s="196">
        <f>'Detailed Budget'!$AC$163</f>
        <v>15696705631.647623</v>
      </c>
      <c r="EH619" s="269">
        <f t="shared" si="1609"/>
        <v>37282057.837357953</v>
      </c>
      <c r="EI619" s="269">
        <f t="shared" si="1514"/>
        <v>633794983.23508525</v>
      </c>
      <c r="EJ619" s="196">
        <f>'Detailed Budget'!$AC$204</f>
        <v>45012172507.531975</v>
      </c>
      <c r="EK619" s="269">
        <f t="shared" si="1610"/>
        <v>173251038.21384537</v>
      </c>
      <c r="EL619" s="201">
        <f>'Detailed Budget'!$AC$206</f>
        <v>11253043126.882994</v>
      </c>
      <c r="EM619" s="269">
        <f t="shared" si="1611"/>
        <v>43312759.553461343</v>
      </c>
      <c r="EN619" s="269">
        <f t="shared" si="1515"/>
        <v>216563797.76730672</v>
      </c>
      <c r="EO619" s="140">
        <f>'Detailed Budget'!$AC$209</f>
        <v>135789361677.54817</v>
      </c>
      <c r="EP619" s="269">
        <f t="shared" si="1612"/>
        <v>357655635.79587543</v>
      </c>
      <c r="EQ619" s="196">
        <f>'Detailed Budget'!$AC$211</f>
        <v>33947340419.387043</v>
      </c>
      <c r="ER619" s="269">
        <f t="shared" si="1613"/>
        <v>89413908.948968858</v>
      </c>
      <c r="ES619" s="269">
        <f t="shared" si="1516"/>
        <v>447069544.74484432</v>
      </c>
      <c r="ET619" s="196">
        <f>'Detailed Budget'!$AC$214</f>
        <v>22239745544.201103</v>
      </c>
      <c r="EU619" s="269">
        <f t="shared" si="1614"/>
        <v>56888305.244471774</v>
      </c>
      <c r="EV619" s="140">
        <f>'Detailed Budget'!$AC$217</f>
        <v>5559936386.0502758</v>
      </c>
      <c r="EW619" s="269">
        <f t="shared" si="1615"/>
        <v>14222076.311117943</v>
      </c>
      <c r="EX619" s="269">
        <f t="shared" si="1517"/>
        <v>71110381.555589721</v>
      </c>
      <c r="EY619" s="196">
        <f>'Detailed Budget'!$AC$219</f>
        <v>372777004.58170313</v>
      </c>
      <c r="EZ619" s="269">
        <f t="shared" si="1616"/>
        <v>998316.11779195082</v>
      </c>
      <c r="FA619" s="196">
        <f>'Detailed Budget'!$AC$222</f>
        <v>93194251.145425782</v>
      </c>
      <c r="FB619" s="269">
        <f t="shared" si="1617"/>
        <v>249579.0294479877</v>
      </c>
      <c r="FC619" s="269">
        <f t="shared" si="1518"/>
        <v>1247895.1472399386</v>
      </c>
      <c r="FD619" s="269"/>
      <c r="FE619" s="269">
        <f t="shared" si="1519"/>
        <v>735991619.2149806</v>
      </c>
      <c r="FF619" s="140">
        <f>'Detailed Budget'!$AC$165</f>
        <v>14927760000</v>
      </c>
      <c r="FG619" s="1087">
        <f t="shared" si="1585"/>
        <v>1003941286.7306</v>
      </c>
      <c r="FH619" s="269">
        <f t="shared" si="1623"/>
        <v>25442154.300647654</v>
      </c>
      <c r="FJ619" s="140">
        <f>'Detailed Budget'!$AC$235</f>
        <v>3623696172</v>
      </c>
      <c r="FK619" s="269">
        <f t="shared" si="1624"/>
        <v>4681778</v>
      </c>
      <c r="FL619" s="269">
        <f t="shared" si="1586"/>
        <v>4681778</v>
      </c>
      <c r="FO619" s="607"/>
      <c r="FP619" s="607"/>
      <c r="FQ619" s="607"/>
      <c r="FR619" s="269">
        <f>'Detailed Budget'!$AC$257</f>
        <v>13636439388</v>
      </c>
      <c r="FS619" s="269">
        <f t="shared" si="1625"/>
        <v>16988712</v>
      </c>
      <c r="FT619" s="269">
        <f t="shared" si="1587"/>
        <v>16988712</v>
      </c>
      <c r="FU619" s="269"/>
      <c r="FV619" s="269"/>
      <c r="FW619" s="269"/>
      <c r="FX619" s="140">
        <f>'Detailed Budget'!$AC$278</f>
        <v>1114560000</v>
      </c>
      <c r="FY619" s="269">
        <f t="shared" si="1626"/>
        <v>1440000</v>
      </c>
      <c r="FZ619" s="269">
        <f t="shared" si="1588"/>
        <v>1440000</v>
      </c>
      <c r="GB619" s="269">
        <f t="shared" si="1596"/>
        <v>2886759090.2630081</v>
      </c>
      <c r="GC619" s="887">
        <f t="shared" si="1520"/>
        <v>1804224.43141438</v>
      </c>
      <c r="GD619" s="1078">
        <f t="shared" si="1597"/>
        <v>1.6198514270007814E-3</v>
      </c>
    </row>
    <row r="620" spans="1:186" hidden="1" outlineLevel="1">
      <c r="A620" s="211"/>
      <c r="B620" s="212"/>
      <c r="C620" s="213"/>
      <c r="D620" s="214"/>
      <c r="E620" s="213"/>
      <c r="F620" s="213"/>
      <c r="G620" s="213"/>
      <c r="H620" s="213"/>
      <c r="I620" s="214"/>
      <c r="J620" s="214"/>
      <c r="K620" s="213"/>
      <c r="L620" s="213"/>
      <c r="M620" s="214"/>
      <c r="N620" s="213"/>
      <c r="O620" s="214"/>
      <c r="P620" s="213"/>
      <c r="Q620" s="214"/>
      <c r="R620" s="214"/>
      <c r="S620" s="214"/>
      <c r="T620" s="214"/>
      <c r="U620" s="215"/>
      <c r="V620" s="845"/>
      <c r="W620" s="216"/>
      <c r="X620" s="217"/>
      <c r="Y620" s="218"/>
      <c r="Z620" s="196"/>
      <c r="AA620" s="218"/>
      <c r="AF620" s="196">
        <f t="shared" si="1628"/>
        <v>0</v>
      </c>
      <c r="AG620" s="606">
        <f t="shared" si="1523"/>
        <v>0</v>
      </c>
      <c r="AJ620" s="196"/>
      <c r="AK620" s="196"/>
      <c r="AL620" s="196"/>
      <c r="AM620" s="196"/>
      <c r="AO620" s="196"/>
      <c r="AP620" s="589"/>
      <c r="AQ620" s="196"/>
      <c r="AR620" s="589"/>
      <c r="AS620"/>
      <c r="AT620" s="589">
        <f t="shared" si="1525"/>
        <v>0</v>
      </c>
      <c r="AV620" s="245">
        <f t="shared" ref="AV620:AV680" si="1645">AU620/8801</f>
        <v>0</v>
      </c>
      <c r="AX620" s="245"/>
      <c r="AY620" s="245"/>
      <c r="BA620" s="589">
        <f t="shared" si="1590"/>
        <v>0</v>
      </c>
      <c r="BK620" s="246">
        <f t="shared" si="1591"/>
        <v>0</v>
      </c>
      <c r="BL620" s="196">
        <f t="shared" si="1629"/>
        <v>0</v>
      </c>
      <c r="BM620" s="246">
        <f t="shared" si="1592"/>
        <v>0</v>
      </c>
      <c r="BN620" s="196"/>
      <c r="BQ620" s="248">
        <f t="shared" si="1593"/>
        <v>0</v>
      </c>
      <c r="BR620" s="248"/>
      <c r="BS620" s="248"/>
      <c r="BT620" s="276"/>
      <c r="BV620" s="264">
        <f t="shared" si="1594"/>
        <v>0</v>
      </c>
      <c r="BX620" s="247">
        <f t="shared" si="1595"/>
        <v>0</v>
      </c>
      <c r="BY620" s="196"/>
      <c r="BZ620" s="620"/>
      <c r="CA620" s="196">
        <f t="shared" si="1571"/>
        <v>0</v>
      </c>
      <c r="CB620" s="196">
        <f t="shared" si="1572"/>
        <v>0</v>
      </c>
      <c r="CC620" s="196">
        <f t="shared" si="1521"/>
        <v>0</v>
      </c>
      <c r="CD620" s="247">
        <f t="shared" ref="CD620:CD680" si="1646">CC620/236999601</f>
        <v>0</v>
      </c>
      <c r="CF620" s="247">
        <f t="shared" ref="CF620:CF680" si="1647">CE620/23157202</f>
        <v>0</v>
      </c>
      <c r="CG620" s="196">
        <f t="shared" si="1601"/>
        <v>0</v>
      </c>
      <c r="CH620" s="589">
        <f t="shared" si="1526"/>
        <v>0</v>
      </c>
      <c r="CI620" s="196"/>
      <c r="CJ620" s="248">
        <f t="shared" si="1527"/>
        <v>0</v>
      </c>
      <c r="CK620" s="196"/>
      <c r="CL620" s="589">
        <f t="shared" si="1528"/>
        <v>0</v>
      </c>
      <c r="CM620" s="196"/>
      <c r="CN620" s="589">
        <f t="shared" si="1529"/>
        <v>0</v>
      </c>
      <c r="CO620" s="196"/>
      <c r="CP620" s="589">
        <f t="shared" si="1530"/>
        <v>0</v>
      </c>
      <c r="CQ620" s="196"/>
      <c r="CR620" s="269">
        <f t="shared" si="1534"/>
        <v>0</v>
      </c>
      <c r="CS620" s="269">
        <f>'Detailed Budget'!$AC$16</f>
        <v>10488008800.000002</v>
      </c>
      <c r="CT620" s="607">
        <f t="shared" si="1602"/>
        <v>0</v>
      </c>
      <c r="CU620" s="269">
        <f>'Detailed Budget'!$AC$24</f>
        <v>30624985696</v>
      </c>
      <c r="CV620" s="269">
        <f t="shared" si="1589"/>
        <v>0</v>
      </c>
      <c r="CW620" s="269"/>
      <c r="CX620" s="269">
        <f t="shared" si="1522"/>
        <v>0</v>
      </c>
      <c r="CY620" s="196">
        <f>'Detailed Budget'!$AC$97</f>
        <v>74629165494.837845</v>
      </c>
      <c r="CZ620" s="269">
        <f t="shared" si="1603"/>
        <v>0</v>
      </c>
      <c r="DA620" s="269">
        <f>'Detailed Budget'!$AC$100</f>
        <v>14925833098.967569</v>
      </c>
      <c r="DB620" s="269">
        <f t="shared" si="1604"/>
        <v>0</v>
      </c>
      <c r="DC620" s="269"/>
      <c r="DD620" s="207"/>
      <c r="DE620" s="606">
        <v>0</v>
      </c>
      <c r="DF620" s="269">
        <f>'Detailed Budget'!$AC$147</f>
        <v>5913600671000</v>
      </c>
      <c r="DG620" s="269">
        <f t="shared" si="1584"/>
        <v>0</v>
      </c>
      <c r="DH620" s="269">
        <f>'Detailed Budget'!$AC$153</f>
        <v>226428026880.00003</v>
      </c>
      <c r="DI620" s="269"/>
      <c r="DJ620" s="269">
        <f>'Detailed Budget'!$AC$156</f>
        <v>27713070000</v>
      </c>
      <c r="DK620" s="269"/>
      <c r="DL620" s="269"/>
      <c r="DM620" s="196"/>
      <c r="DN620" s="269"/>
      <c r="DO620" s="196"/>
      <c r="DP620" s="269"/>
      <c r="DQ620" s="269"/>
      <c r="DR620" s="269"/>
      <c r="DS620" s="269"/>
      <c r="DT620" s="269"/>
      <c r="DU620" s="272">
        <f>'Detailed Budget'!$AC$192</f>
        <v>77498869683.252869</v>
      </c>
      <c r="DV620" s="269">
        <f t="shared" si="1605"/>
        <v>0</v>
      </c>
      <c r="DW620" s="140">
        <f>'Detailed Budget'!$AC$194</f>
        <v>2684962805.4134097</v>
      </c>
      <c r="DX620" s="269">
        <f t="shared" si="1606"/>
        <v>0</v>
      </c>
      <c r="DY620" s="607">
        <f t="shared" ref="DY620:DY680" si="1648">DV620+DX620</f>
        <v>0</v>
      </c>
      <c r="DZ620" s="196"/>
      <c r="EA620" s="269"/>
      <c r="EB620" s="196">
        <f>'Detailed Budget'!$AC$200</f>
        <v>4683135004.5951529</v>
      </c>
      <c r="EC620" s="269">
        <f t="shared" si="1607"/>
        <v>0</v>
      </c>
      <c r="ED620" s="269">
        <f t="shared" ref="ED620:ED680" si="1649">EA620+EC620</f>
        <v>0</v>
      </c>
      <c r="EE620" s="196">
        <f>'Detailed Budget'!$AC$161</f>
        <v>251147290106.36197</v>
      </c>
      <c r="EF620" s="269">
        <f t="shared" si="1608"/>
        <v>0</v>
      </c>
      <c r="EG620" s="196">
        <f>'Detailed Budget'!$AC$163</f>
        <v>15696705631.647623</v>
      </c>
      <c r="EH620" s="269">
        <f t="shared" si="1609"/>
        <v>0</v>
      </c>
      <c r="EI620" s="269">
        <f t="shared" ref="EI620:EI680" si="1650">EF620+EH620</f>
        <v>0</v>
      </c>
      <c r="EJ620" s="196">
        <f>'Detailed Budget'!$AC$204</f>
        <v>45012172507.531975</v>
      </c>
      <c r="EK620" s="269">
        <f t="shared" si="1610"/>
        <v>0</v>
      </c>
      <c r="EL620" s="201">
        <f>'Detailed Budget'!$AC$206</f>
        <v>11253043126.882994</v>
      </c>
      <c r="EM620" s="269">
        <f t="shared" si="1611"/>
        <v>0</v>
      </c>
      <c r="EN620" s="269">
        <f t="shared" ref="EN620:EN680" si="1651">EK620+EM620</f>
        <v>0</v>
      </c>
      <c r="EO620" s="140">
        <f>'Detailed Budget'!$AC$209</f>
        <v>135789361677.54817</v>
      </c>
      <c r="EP620" s="269">
        <f t="shared" si="1612"/>
        <v>0</v>
      </c>
      <c r="EQ620" s="196">
        <f>'Detailed Budget'!$AC$211</f>
        <v>33947340419.387043</v>
      </c>
      <c r="ER620" s="269">
        <f t="shared" si="1613"/>
        <v>0</v>
      </c>
      <c r="ES620" s="269">
        <f t="shared" ref="ES620:ES680" si="1652">EP620+ER620</f>
        <v>0</v>
      </c>
      <c r="ET620" s="196">
        <f>'Detailed Budget'!$AC$214</f>
        <v>22239745544.201103</v>
      </c>
      <c r="EU620" s="269">
        <f t="shared" si="1614"/>
        <v>0</v>
      </c>
      <c r="EV620" s="140">
        <f>'Detailed Budget'!$AC$217</f>
        <v>5559936386.0502758</v>
      </c>
      <c r="EW620" s="269">
        <f t="shared" si="1615"/>
        <v>0</v>
      </c>
      <c r="EX620" s="269">
        <f t="shared" ref="EX620:EX680" si="1653">EU620+EW620</f>
        <v>0</v>
      </c>
      <c r="EY620" s="196">
        <f>'Detailed Budget'!$AC$219</f>
        <v>372777004.58170313</v>
      </c>
      <c r="EZ620" s="269">
        <f t="shared" si="1616"/>
        <v>0</v>
      </c>
      <c r="FA620" s="196">
        <f>'Detailed Budget'!$AC$222</f>
        <v>93194251.145425782</v>
      </c>
      <c r="FB620" s="269">
        <f t="shared" si="1617"/>
        <v>0</v>
      </c>
      <c r="FC620" s="269">
        <f t="shared" ref="FC620:FC680" si="1654">EZ620+FB620</f>
        <v>0</v>
      </c>
      <c r="FD620" s="269"/>
      <c r="FE620" s="269"/>
      <c r="FF620" s="140"/>
      <c r="FG620" s="1087">
        <f t="shared" si="1585"/>
        <v>0</v>
      </c>
      <c r="FJ620" s="140"/>
      <c r="FL620" s="269">
        <f t="shared" si="1586"/>
        <v>0</v>
      </c>
      <c r="FO620" s="607"/>
      <c r="FP620" s="607"/>
      <c r="FQ620" s="607"/>
      <c r="FT620" s="269">
        <f t="shared" si="1587"/>
        <v>0</v>
      </c>
      <c r="FU620" s="269"/>
      <c r="FV620" s="269"/>
      <c r="FW620" s="269"/>
      <c r="FX620" s="140">
        <f>'Detailed Budget'!$AC$278</f>
        <v>1114560000</v>
      </c>
      <c r="FY620" s="269"/>
      <c r="FZ620" s="269"/>
      <c r="GB620" s="269">
        <f t="shared" si="1596"/>
        <v>0</v>
      </c>
      <c r="GD620" s="1078">
        <f t="shared" si="1597"/>
        <v>0</v>
      </c>
    </row>
    <row r="621" spans="1:186" s="210" customFormat="1" collapsed="1">
      <c r="A621" s="203">
        <v>5.3</v>
      </c>
      <c r="B621" s="204" t="s">
        <v>1347</v>
      </c>
      <c r="C621" s="205">
        <f t="shared" ref="C621:T621" si="1655">COUNTA(C622:C639)</f>
        <v>18</v>
      </c>
      <c r="D621" s="205">
        <f t="shared" si="1655"/>
        <v>0</v>
      </c>
      <c r="E621" s="205">
        <f t="shared" si="1655"/>
        <v>0</v>
      </c>
      <c r="F621" s="205">
        <f t="shared" si="1655"/>
        <v>0</v>
      </c>
      <c r="G621" s="205">
        <f t="shared" si="1655"/>
        <v>18</v>
      </c>
      <c r="H621" s="205">
        <f t="shared" si="1655"/>
        <v>18</v>
      </c>
      <c r="I621" s="205">
        <f t="shared" si="1655"/>
        <v>18</v>
      </c>
      <c r="J621" s="205">
        <f t="shared" si="1655"/>
        <v>0</v>
      </c>
      <c r="K621" s="205">
        <f t="shared" si="1655"/>
        <v>4</v>
      </c>
      <c r="L621" s="205">
        <f t="shared" si="1655"/>
        <v>0</v>
      </c>
      <c r="M621" s="205">
        <f t="shared" si="1655"/>
        <v>12</v>
      </c>
      <c r="N621" s="205">
        <f t="shared" si="1655"/>
        <v>2</v>
      </c>
      <c r="O621" s="205">
        <f t="shared" si="1655"/>
        <v>0</v>
      </c>
      <c r="P621" s="205">
        <f t="shared" si="1655"/>
        <v>0</v>
      </c>
      <c r="Q621" s="205">
        <f t="shared" si="1655"/>
        <v>0</v>
      </c>
      <c r="R621" s="205">
        <f t="shared" si="1655"/>
        <v>18</v>
      </c>
      <c r="S621" s="205">
        <f t="shared" si="1655"/>
        <v>0</v>
      </c>
      <c r="T621" s="205">
        <f t="shared" si="1655"/>
        <v>0</v>
      </c>
      <c r="U621" s="206">
        <f>SUM(C621:T621)</f>
        <v>108</v>
      </c>
      <c r="V621" s="844"/>
      <c r="W621" s="207">
        <f>SUM(W622:W639)</f>
        <v>2892988</v>
      </c>
      <c r="X621" s="208">
        <v>2.89</v>
      </c>
      <c r="Y621" s="209">
        <f t="shared" si="1598"/>
        <v>1.0288999999999999</v>
      </c>
      <c r="Z621" s="207">
        <v>19</v>
      </c>
      <c r="AA621" s="209">
        <f t="shared" si="1599"/>
        <v>1.7182651319612778</v>
      </c>
      <c r="AB621" s="207">
        <f t="shared" si="1619"/>
        <v>4970920.4075823929</v>
      </c>
      <c r="AC621" s="210">
        <v>12.9</v>
      </c>
      <c r="AD621" s="207">
        <f t="shared" si="1620"/>
        <v>641248.73257812869</v>
      </c>
      <c r="AE621" s="207">
        <f t="shared" si="1600"/>
        <v>609186.29594922229</v>
      </c>
      <c r="AF621" s="207">
        <f>SUM(AF622:AF639)</f>
        <v>0</v>
      </c>
      <c r="AG621" s="588">
        <f t="shared" si="1523"/>
        <v>2.816609994674223E-2</v>
      </c>
      <c r="AH621" s="207">
        <f>SUM(AH622:AH639)</f>
        <v>248546.0203791197</v>
      </c>
      <c r="AI621" s="633">
        <f t="shared" si="1644"/>
        <v>1.9254483614766244E-2</v>
      </c>
      <c r="AJ621" s="207">
        <f>SUM(AJ622:AJ639)</f>
        <v>889794.75295724825</v>
      </c>
      <c r="AK621" s="207">
        <f t="shared" si="1532"/>
        <v>198836.81630329572</v>
      </c>
      <c r="AL621" s="207">
        <f t="shared" si="1533"/>
        <v>198836.81630329572</v>
      </c>
      <c r="AM621" s="207">
        <f t="shared" ref="AM621:AM680" si="1656">AK621+AL621</f>
        <v>397673.63260659145</v>
      </c>
      <c r="AN621" s="632">
        <f t="shared" ref="AN621:AN680" si="1657">AM621/20653560</f>
        <v>1.9254483614766241E-2</v>
      </c>
      <c r="AO621" s="207">
        <f t="shared" ref="AO621:AO680" si="1658">AB621*0.038</f>
        <v>188894.97548813093</v>
      </c>
      <c r="AP621" s="588">
        <f t="shared" si="1524"/>
        <v>1.9254483614766241E-2</v>
      </c>
      <c r="AQ621" s="207">
        <v>1</v>
      </c>
      <c r="AR621" s="588">
        <f>AQ621/37</f>
        <v>2.7027027027027029E-2</v>
      </c>
      <c r="AS621" s="207">
        <f>SUM(AS622:AS639)</f>
        <v>18</v>
      </c>
      <c r="AT621" s="588">
        <f t="shared" si="1525"/>
        <v>2.3255813953488372E-2</v>
      </c>
      <c r="AU621" s="207">
        <f>SUM(AU622:AU639)</f>
        <v>193</v>
      </c>
      <c r="AV621" s="892">
        <f t="shared" si="1645"/>
        <v>2.1929326212930349E-2</v>
      </c>
      <c r="AW621" s="207">
        <v>21050</v>
      </c>
      <c r="AX621" s="208">
        <f>AW621*0.002</f>
        <v>42.1</v>
      </c>
      <c r="AY621" s="207">
        <f>AX621*100</f>
        <v>4210</v>
      </c>
      <c r="AZ621" s="207">
        <f>SUM(AZ622:AZ639)</f>
        <v>1029</v>
      </c>
      <c r="BA621" s="588">
        <f t="shared" si="1590"/>
        <v>3.7704737825656809E-2</v>
      </c>
      <c r="BB621" s="207">
        <v>30</v>
      </c>
      <c r="BC621" s="207">
        <v>3</v>
      </c>
      <c r="BD621" s="207">
        <f>BB621+BC621</f>
        <v>33</v>
      </c>
      <c r="BE621" s="633">
        <f>BD621/1306</f>
        <v>2.5267993874425729E-2</v>
      </c>
      <c r="BF621" s="207">
        <f>AZ621+BD621</f>
        <v>1062</v>
      </c>
      <c r="BG621" s="588">
        <f>BF621/28597</f>
        <v>3.713676259747526E-2</v>
      </c>
      <c r="BH621" s="1084">
        <v>26.4</v>
      </c>
      <c r="BI621" s="207"/>
      <c r="BJ621" s="207"/>
      <c r="BK621" s="892">
        <f t="shared" si="1591"/>
        <v>0</v>
      </c>
      <c r="BL621" s="207"/>
      <c r="BM621" s="892">
        <f t="shared" si="1592"/>
        <v>0</v>
      </c>
      <c r="BN621" s="207"/>
      <c r="BO621" s="207">
        <v>348676</v>
      </c>
      <c r="BP621" s="207">
        <f>SUM(BP622:BP639)</f>
        <v>348675.90319356881</v>
      </c>
      <c r="BQ621" s="633">
        <f t="shared" si="1593"/>
        <v>3.2617007047946463E-2</v>
      </c>
      <c r="BR621" s="207">
        <f>AY621*0.5*24</f>
        <v>50520</v>
      </c>
      <c r="BS621" s="633">
        <f>BR621/2211211</f>
        <v>2.2847209063268949E-2</v>
      </c>
      <c r="BT621" s="634"/>
      <c r="BU621" s="207"/>
      <c r="BV621" s="264">
        <f t="shared" si="1594"/>
        <v>0</v>
      </c>
      <c r="BW621" s="207"/>
      <c r="BX621" s="247">
        <f t="shared" si="1595"/>
        <v>0</v>
      </c>
      <c r="BY621" s="207">
        <f>SUM(BY622:BY639)</f>
        <v>0</v>
      </c>
      <c r="CA621" s="207">
        <f>SUM(CA622:CA639)</f>
        <v>1521101.6447202121</v>
      </c>
      <c r="CB621" s="207">
        <f>SUM(CB622:CB639)</f>
        <v>3042203.2894404242</v>
      </c>
      <c r="CC621" s="207">
        <f>SUM(CC622:CC639)</f>
        <v>4563304.9341606377</v>
      </c>
      <c r="CD621" s="633">
        <f t="shared" si="1646"/>
        <v>1.9254483614766244E-2</v>
      </c>
      <c r="CE621" s="207">
        <f>SUM(CE622:CE639)</f>
        <v>412849.03385087335</v>
      </c>
      <c r="CF621" s="633">
        <f t="shared" si="1647"/>
        <v>1.782810521974431E-2</v>
      </c>
      <c r="CG621" s="207">
        <f t="shared" si="1601"/>
        <v>755579.90195252374</v>
      </c>
      <c r="CH621" s="588">
        <f t="shared" si="1526"/>
        <v>1.9254483614766241E-2</v>
      </c>
      <c r="CI621" s="207">
        <f t="shared" ref="CI621:CO621" si="1659">SUM(CI622:CI639)</f>
        <v>1529415.3621833506</v>
      </c>
      <c r="CJ621" s="633">
        <f t="shared" si="1527"/>
        <v>2.5143584672124811E-2</v>
      </c>
      <c r="CK621" s="207">
        <f t="shared" si="1659"/>
        <v>1386002.4219912768</v>
      </c>
      <c r="CL621" s="588">
        <f t="shared" si="1528"/>
        <v>1.9924069904659853E-2</v>
      </c>
      <c r="CM621" s="207">
        <f t="shared" si="1659"/>
        <v>134268.94400542183</v>
      </c>
      <c r="CN621" s="588">
        <f t="shared" si="1529"/>
        <v>1.9349680750875235E-2</v>
      </c>
      <c r="CO621" s="207">
        <f t="shared" si="1659"/>
        <v>10741.995520233573</v>
      </c>
      <c r="CP621" s="588">
        <f t="shared" si="1530"/>
        <v>2.0257748979254888E-2</v>
      </c>
      <c r="CQ621" s="207">
        <f>'Detailed Budget'!$AC$12</f>
        <v>292876014141.44696</v>
      </c>
      <c r="CR621" s="605">
        <f t="shared" si="1534"/>
        <v>0</v>
      </c>
      <c r="CS621" s="605">
        <f>'Detailed Budget'!$AC$16</f>
        <v>10488008800.000002</v>
      </c>
      <c r="CT621" s="605">
        <f t="shared" si="1602"/>
        <v>0</v>
      </c>
      <c r="CU621" s="605">
        <f>'Detailed Budget'!$AC$24</f>
        <v>30624985696</v>
      </c>
      <c r="CV621" s="605">
        <f t="shared" si="1589"/>
        <v>0</v>
      </c>
      <c r="CW621" s="605"/>
      <c r="CX621" s="605">
        <f t="shared" ref="CX621:CX681" si="1660">CR621+CT621+CV621+CW621</f>
        <v>0</v>
      </c>
      <c r="CY621" s="207">
        <f>'Detailed Budget'!$AC$97</f>
        <v>74629165494.837845</v>
      </c>
      <c r="CZ621" s="605">
        <f t="shared" si="1603"/>
        <v>2434180016.9274888</v>
      </c>
      <c r="DA621" s="605">
        <f>'Detailed Budget'!$AC$100</f>
        <v>14925833098.967569</v>
      </c>
      <c r="DB621" s="605">
        <f t="shared" si="1604"/>
        <v>486836003.38549781</v>
      </c>
      <c r="DC621" s="605">
        <f t="shared" ref="DC621:DC680" si="1661">CZ621+DB621</f>
        <v>2921016020.3129864</v>
      </c>
      <c r="DD621" s="207">
        <f>SUM(DD622:DD639)</f>
        <v>0</v>
      </c>
      <c r="DE621" s="606">
        <v>0</v>
      </c>
      <c r="DF621" s="605">
        <f>'Detailed Budget'!$AC$147</f>
        <v>5913600671000</v>
      </c>
      <c r="DG621" s="605">
        <f t="shared" si="1584"/>
        <v>0</v>
      </c>
      <c r="DH621" s="605">
        <f>'Detailed Budget'!$AC$153</f>
        <v>226428026880.00003</v>
      </c>
      <c r="DI621" s="605">
        <f>BS621*DH621</f>
        <v>5173248467.9108419</v>
      </c>
      <c r="DJ621" s="605">
        <f>'Detailed Budget'!$AC$156</f>
        <v>27713070000</v>
      </c>
      <c r="DK621" s="605">
        <f>AT621*DJ621</f>
        <v>644490000</v>
      </c>
      <c r="DL621" s="605">
        <f>DI621+DK621</f>
        <v>5817738467.9108419</v>
      </c>
      <c r="DM621" s="207">
        <f>'Detailed Budget'!$AC$178</f>
        <v>5622683761.6229038</v>
      </c>
      <c r="DN621" s="605">
        <f>SUM(DN622:DN639)</f>
        <v>0</v>
      </c>
      <c r="DO621" s="605">
        <f>'Detailed Budget'!$AC$179</f>
        <v>26827890683.128094</v>
      </c>
      <c r="DP621" s="605">
        <f>SUM(DP622:DP639)</f>
        <v>0</v>
      </c>
      <c r="DQ621" s="605">
        <f>SUM(DQ622:DQ639)</f>
        <v>0</v>
      </c>
      <c r="DR621" s="605">
        <f>'Detailed Budget'!$AC$181</f>
        <v>50888946855.375237</v>
      </c>
      <c r="DS621" s="605">
        <f>SUM(DS622:DS639)</f>
        <v>0</v>
      </c>
      <c r="DT621" s="605">
        <f>SUM(DT622:DT639)</f>
        <v>0</v>
      </c>
      <c r="DU621" s="634">
        <f>'Detailed Budget'!$AC$192</f>
        <v>77498869683.252869</v>
      </c>
      <c r="DV621" s="605">
        <f t="shared" si="1605"/>
        <v>0</v>
      </c>
      <c r="DW621" s="930">
        <f>'Detailed Budget'!$AC$194</f>
        <v>2684962805.4134097</v>
      </c>
      <c r="DX621" s="605">
        <f t="shared" si="1606"/>
        <v>0</v>
      </c>
      <c r="DY621" s="605">
        <f t="shared" si="1648"/>
        <v>0</v>
      </c>
      <c r="DZ621" s="207">
        <f>'Detailed Budget'!$AC$198</f>
        <v>18732540018.380611</v>
      </c>
      <c r="EA621" s="605">
        <f t="shared" ref="EA621:EA639" si="1662">CF621*DZ621</f>
        <v>333965694.48076057</v>
      </c>
      <c r="EB621" s="207">
        <f>'Detailed Budget'!$AC$200</f>
        <v>4683135004.5951529</v>
      </c>
      <c r="EC621" s="605">
        <f t="shared" si="1607"/>
        <v>83491423.620190144</v>
      </c>
      <c r="ED621" s="605">
        <f t="shared" si="1649"/>
        <v>417457118.10095072</v>
      </c>
      <c r="EE621" s="207">
        <f>'Detailed Budget'!$AC$161</f>
        <v>251147290106.36197</v>
      </c>
      <c r="EF621" s="605">
        <f t="shared" si="1608"/>
        <v>4835711382.2458897</v>
      </c>
      <c r="EG621" s="207">
        <f>'Detailed Budget'!$AC$163</f>
        <v>15696705631.647623</v>
      </c>
      <c r="EH621" s="605">
        <f t="shared" si="1609"/>
        <v>302231961.3903681</v>
      </c>
      <c r="EI621" s="605">
        <f t="shared" si="1650"/>
        <v>5137943343.6362581</v>
      </c>
      <c r="EJ621" s="207">
        <f>'Detailed Budget'!$AC$204</f>
        <v>45012172507.531975</v>
      </c>
      <c r="EK621" s="605">
        <f t="shared" si="1610"/>
        <v>1131767370.7194188</v>
      </c>
      <c r="EL621" s="207">
        <f>'Detailed Budget'!$AC$206</f>
        <v>11253043126.882994</v>
      </c>
      <c r="EM621" s="605">
        <f t="shared" si="1611"/>
        <v>282941842.67985469</v>
      </c>
      <c r="EN621" s="605">
        <f t="shared" si="1651"/>
        <v>1414709213.3992734</v>
      </c>
      <c r="EO621" s="930">
        <f>'Detailed Budget'!$AC$209</f>
        <v>135789361677.54817</v>
      </c>
      <c r="EP621" s="605">
        <f t="shared" si="1612"/>
        <v>2705476734.3726096</v>
      </c>
      <c r="EQ621" s="207">
        <f>'Detailed Budget'!$AC$211</f>
        <v>33947340419.387043</v>
      </c>
      <c r="ER621" s="605">
        <f t="shared" si="1613"/>
        <v>676369183.5931524</v>
      </c>
      <c r="ES621" s="605">
        <f t="shared" si="1652"/>
        <v>3381845917.9657621</v>
      </c>
      <c r="ET621" s="207">
        <f>'Detailed Budget'!$AC$214</f>
        <v>22239745544.201103</v>
      </c>
      <c r="EU621" s="605">
        <f t="shared" si="1614"/>
        <v>430331976.26099133</v>
      </c>
      <c r="EV621" s="930">
        <f>'Detailed Budget'!$AC$217</f>
        <v>5559936386.0502758</v>
      </c>
      <c r="EW621" s="605">
        <f t="shared" si="1615"/>
        <v>107582994.06524783</v>
      </c>
      <c r="EX621" s="605">
        <f t="shared" si="1653"/>
        <v>537914970.32623911</v>
      </c>
      <c r="EY621" s="207">
        <f>'Detailed Budget'!$AC$219</f>
        <v>372777004.58170313</v>
      </c>
      <c r="EZ621" s="605">
        <f t="shared" si="1616"/>
        <v>7551622.9840546912</v>
      </c>
      <c r="FA621" s="207">
        <f>'Detailed Budget'!$AC$222</f>
        <v>93194251.145425782</v>
      </c>
      <c r="FB621" s="605">
        <f t="shared" si="1617"/>
        <v>1887905.7460136728</v>
      </c>
      <c r="FC621" s="605">
        <f t="shared" si="1654"/>
        <v>9439528.7300683632</v>
      </c>
      <c r="FD621" s="605"/>
      <c r="FE621" s="605">
        <f t="shared" ref="FE621:FE680" si="1663">EN621+ES621+EX621+FC621</f>
        <v>5343909630.4213428</v>
      </c>
      <c r="FF621" s="930">
        <f>'Detailed Budget'!$AC$165</f>
        <v>14927760000</v>
      </c>
      <c r="FG621" s="1087">
        <f t="shared" si="1585"/>
        <v>7289446469.8655195</v>
      </c>
      <c r="FH621" s="605">
        <f t="shared" ref="FH621:FH639" si="1664">AV621*FF621</f>
        <v>327355718.66833317</v>
      </c>
      <c r="FI621" s="605"/>
      <c r="FJ621" s="930">
        <f>'Detailed Budget'!$AC$235</f>
        <v>3623696172</v>
      </c>
      <c r="FK621" s="605">
        <f t="shared" ref="FK621:FK639" si="1665">AT621*FJ621</f>
        <v>84272004</v>
      </c>
      <c r="FL621" s="605">
        <f t="shared" si="1586"/>
        <v>84272004</v>
      </c>
      <c r="FM621" s="605"/>
      <c r="FN621" s="605">
        <f>'Detailed Budget'!$AC$251</f>
        <v>1047595800</v>
      </c>
      <c r="FO621" s="605">
        <f>AR621*FN621</f>
        <v>28313400</v>
      </c>
      <c r="FP621" s="605">
        <f>'Detailed Budget'!$AB$254</f>
        <v>2773297530</v>
      </c>
      <c r="FQ621" s="605">
        <f>BE621*FP621</f>
        <v>70075665</v>
      </c>
      <c r="FR621" s="605">
        <f>'Detailed Budget'!$AC$257</f>
        <v>13636439388</v>
      </c>
      <c r="FS621" s="605">
        <f t="shared" ref="FS621:FS639" si="1666">BA621*FR621</f>
        <v>514158372</v>
      </c>
      <c r="FT621" s="605">
        <f t="shared" si="1587"/>
        <v>612547437</v>
      </c>
      <c r="FU621" s="605"/>
      <c r="FV621" s="605">
        <f>'Detailed Budget'!$AC$265</f>
        <v>6277805540</v>
      </c>
      <c r="FW621" s="605">
        <f>AR621*FV621</f>
        <v>169670420</v>
      </c>
      <c r="FX621" s="930">
        <f>'Detailed Budget'!$AC$278</f>
        <v>1114560000</v>
      </c>
      <c r="FY621" s="605">
        <f t="shared" ref="FY621:FY639" si="1667">AT621*FX621</f>
        <v>25920000</v>
      </c>
      <c r="FZ621" s="605">
        <f t="shared" si="1588"/>
        <v>195590420</v>
      </c>
      <c r="GB621" s="269">
        <f t="shared" si="1596"/>
        <v>28147276629.916233</v>
      </c>
      <c r="GC621" s="889">
        <f t="shared" ref="GC621:GC680" si="1668">GB621/1600</f>
        <v>17592047.893697646</v>
      </c>
      <c r="GD621" s="1078">
        <f t="shared" si="1597"/>
        <v>1.5794323249537778E-2</v>
      </c>
    </row>
    <row r="622" spans="1:186" hidden="1" outlineLevel="1">
      <c r="A622" s="211" t="s">
        <v>1348</v>
      </c>
      <c r="B622" s="212" t="s">
        <v>1349</v>
      </c>
      <c r="C622" s="213" t="s">
        <v>215</v>
      </c>
      <c r="D622" s="214"/>
      <c r="E622" s="213"/>
      <c r="F622" s="213"/>
      <c r="G622" s="213" t="s">
        <v>215</v>
      </c>
      <c r="H622" s="213" t="s">
        <v>215</v>
      </c>
      <c r="I622" s="214" t="s">
        <v>215</v>
      </c>
      <c r="J622" s="214"/>
      <c r="K622" s="213" t="s">
        <v>215</v>
      </c>
      <c r="L622" s="213"/>
      <c r="M622" s="214"/>
      <c r="N622" s="213"/>
      <c r="O622" s="214"/>
      <c r="P622" s="213"/>
      <c r="Q622" s="214"/>
      <c r="R622" s="214" t="s">
        <v>215</v>
      </c>
      <c r="S622" s="214"/>
      <c r="T622" s="214"/>
      <c r="U622" s="215">
        <f t="shared" ref="U622:U639" si="1669">COUNTA(C622:T622)</f>
        <v>6</v>
      </c>
      <c r="V622" s="845" t="s">
        <v>216</v>
      </c>
      <c r="W622" s="216">
        <v>144317</v>
      </c>
      <c r="X622" s="217">
        <v>2.89</v>
      </c>
      <c r="Y622" s="218">
        <f t="shared" si="1598"/>
        <v>1.0288999999999999</v>
      </c>
      <c r="Z622" s="196">
        <v>19</v>
      </c>
      <c r="AA622" s="218">
        <f t="shared" si="1599"/>
        <v>1.7182651319612778</v>
      </c>
      <c r="AB622" s="196">
        <f t="shared" si="1619"/>
        <v>247974.86904925574</v>
      </c>
      <c r="AC622">
        <v>12.9</v>
      </c>
      <c r="AD622" s="196">
        <f t="shared" si="1620"/>
        <v>31988.758107353988</v>
      </c>
      <c r="AE622" s="196">
        <f t="shared" si="1600"/>
        <v>30389.320201986287</v>
      </c>
      <c r="AF622" s="196">
        <f t="shared" ref="AF622:AF639" si="1670">AE622*BT622</f>
        <v>0</v>
      </c>
      <c r="AG622" s="606">
        <f t="shared" ref="AG622:AG682" si="1671">AE622/21628351</f>
        <v>1.4050687545243874E-3</v>
      </c>
      <c r="AH622" s="196">
        <f>AB622*0.05</f>
        <v>12398.743452462788</v>
      </c>
      <c r="AI622" s="248">
        <f t="shared" si="1644"/>
        <v>9.6051186933102388E-4</v>
      </c>
      <c r="AJ622" s="196">
        <f t="shared" ref="AJ622:AJ680" si="1672">AD622+AH622</f>
        <v>44387.501559816774</v>
      </c>
      <c r="AK622" s="196">
        <f t="shared" si="1532"/>
        <v>9918.9947619702289</v>
      </c>
      <c r="AL622" s="196">
        <f t="shared" si="1533"/>
        <v>9918.9947619702289</v>
      </c>
      <c r="AM622" s="196">
        <f t="shared" si="1656"/>
        <v>19837.989523940458</v>
      </c>
      <c r="AN622" s="627">
        <f t="shared" si="1657"/>
        <v>9.6051186933102366E-4</v>
      </c>
      <c r="AO622" s="196">
        <f t="shared" si="1658"/>
        <v>9423.0450238717185</v>
      </c>
      <c r="AP622" s="589">
        <f t="shared" ref="AP622:AP682" si="1673">AO622/9810441</f>
        <v>9.6051186933102377E-4</v>
      </c>
      <c r="AQ622" s="196"/>
      <c r="AR622" s="589"/>
      <c r="AS622">
        <v>1</v>
      </c>
      <c r="AT622" s="589">
        <f t="shared" ref="AT622:AT682" si="1674">AS622/774</f>
        <v>1.2919896640826874E-3</v>
      </c>
      <c r="AU622" s="196">
        <v>10</v>
      </c>
      <c r="AV622" s="245">
        <f t="shared" si="1645"/>
        <v>1.1362345188046814E-3</v>
      </c>
      <c r="AX622" s="245"/>
      <c r="AY622" s="245"/>
      <c r="AZ622" s="196">
        <v>49</v>
      </c>
      <c r="BA622" s="589">
        <f t="shared" si="1590"/>
        <v>1.7954637059836576E-3</v>
      </c>
      <c r="BI622" s="196">
        <v>0</v>
      </c>
      <c r="BK622" s="246">
        <f t="shared" si="1591"/>
        <v>0</v>
      </c>
      <c r="BL622" s="196">
        <f t="shared" si="1629"/>
        <v>0</v>
      </c>
      <c r="BM622" s="246">
        <f t="shared" si="1592"/>
        <v>0</v>
      </c>
      <c r="BN622" s="196">
        <v>1</v>
      </c>
      <c r="BO622" s="196">
        <f t="shared" ref="BO622:BO639" si="1675">AJ622/889795*348676</f>
        <v>17393.732819211924</v>
      </c>
      <c r="BP622" s="196">
        <f t="shared" ref="BP622:BP680" si="1676">BN622*BO622</f>
        <v>17393.732819211924</v>
      </c>
      <c r="BQ622" s="248">
        <f t="shared" si="1593"/>
        <v>1.6271027070069038E-3</v>
      </c>
      <c r="BR622" s="248"/>
      <c r="BS622" s="248"/>
      <c r="BT622" s="276">
        <v>0</v>
      </c>
      <c r="BU622" s="196">
        <f t="shared" ref="BU622:BU639" si="1677">AD622*BT622*0.18*4</f>
        <v>0</v>
      </c>
      <c r="BV622" s="264">
        <f t="shared" si="1594"/>
        <v>0</v>
      </c>
      <c r="BW622" s="196">
        <f t="shared" ref="BW622:BW639" si="1678">AD622*BT622*0.77*4</f>
        <v>0</v>
      </c>
      <c r="BX622" s="247">
        <f t="shared" si="1595"/>
        <v>0</v>
      </c>
      <c r="BY622" s="196">
        <f t="shared" ref="BY622:BY639" si="1679">BU622+BW622</f>
        <v>0</v>
      </c>
      <c r="BZ622" s="620">
        <v>1</v>
      </c>
      <c r="CA622" s="196">
        <f t="shared" ref="CA622:CA639" si="1680">AK622*0.85*0.75*12</f>
        <v>75880.309929072246</v>
      </c>
      <c r="CB622" s="196">
        <f t="shared" ref="CB622:CB639" si="1681">AL622*0.85*0.75*2*12</f>
        <v>151760.61985814449</v>
      </c>
      <c r="CC622" s="196">
        <f t="shared" ref="CC622:CC681" si="1682">CA622+CB622</f>
        <v>227640.92978721674</v>
      </c>
      <c r="CD622" s="247">
        <f t="shared" si="1646"/>
        <v>9.6051186933102366E-4</v>
      </c>
      <c r="CE622" s="196">
        <f t="shared" ref="CE622:CE639" si="1683">AH622/248546*412849</f>
        <v>20595.015955218791</v>
      </c>
      <c r="CF622" s="247">
        <f t="shared" si="1647"/>
        <v>8.8935683832696156E-4</v>
      </c>
      <c r="CG622" s="196">
        <f t="shared" si="1601"/>
        <v>37692.180095486874</v>
      </c>
      <c r="CH622" s="589">
        <f t="shared" ref="CH622:CH682" si="1684">CG622/39241764</f>
        <v>9.6051186933102377E-4</v>
      </c>
      <c r="CI622" s="196">
        <f t="shared" ref="CI622:CI639" si="1685">AD622/641249*1529416</f>
        <v>76295.040568510682</v>
      </c>
      <c r="CJ622" s="248">
        <f t="shared" ref="CJ622:CJ682" si="1686">CI622/60827260</f>
        <v>1.2542902732838974E-3</v>
      </c>
      <c r="CK622" s="196">
        <f t="shared" ref="CK622:CK639" si="1687">AD622/641249*1386003</f>
        <v>69140.871491521932</v>
      </c>
      <c r="CL622" s="589">
        <f t="shared" ref="CL622:CL682" si="1688">CK622/69564222</f>
        <v>9.9391424936114332E-4</v>
      </c>
      <c r="CM622" s="196">
        <f t="shared" ref="CM622:CM639" si="1689">AD622/641249*134269</f>
        <v>6698.0198991597845</v>
      </c>
      <c r="CN622" s="589">
        <f t="shared" ref="CN622:CN682" si="1690">CM622/6939078</f>
        <v>9.6526078812772889E-4</v>
      </c>
      <c r="CO622" s="196">
        <f t="shared" ref="CO622:CO639" si="1691">AD622/641249*10742</f>
        <v>535.86553677151392</v>
      </c>
      <c r="CP622" s="589">
        <f t="shared" ref="CP622:CP682" si="1692">CO622/530266</f>
        <v>1.0105598638636343E-3</v>
      </c>
      <c r="CQ622" s="196">
        <f>'Detailed Budget'!$AC$12</f>
        <v>292876014141.44696</v>
      </c>
      <c r="CR622" s="269">
        <f t="shared" si="1534"/>
        <v>0</v>
      </c>
      <c r="CS622" s="269">
        <f>'Detailed Budget'!$AC$16</f>
        <v>10488008800.000002</v>
      </c>
      <c r="CT622" s="607">
        <f t="shared" si="1602"/>
        <v>0</v>
      </c>
      <c r="CU622" s="269">
        <f>'Detailed Budget'!$AC$24</f>
        <v>30624985696</v>
      </c>
      <c r="CV622" s="269">
        <f t="shared" si="1589"/>
        <v>0</v>
      </c>
      <c r="CW622" s="269"/>
      <c r="CX622" s="269">
        <f t="shared" si="1660"/>
        <v>0</v>
      </c>
      <c r="CY622" s="196">
        <f>'Detailed Budget'!$AC$97</f>
        <v>74629165494.837845</v>
      </c>
      <c r="CZ622" s="269">
        <f t="shared" si="1603"/>
        <v>121429317.19831687</v>
      </c>
      <c r="DA622" s="269">
        <f>'Detailed Budget'!$AC$100</f>
        <v>14925833098.967569</v>
      </c>
      <c r="DB622" s="269">
        <f t="shared" si="1604"/>
        <v>24285863.439663377</v>
      </c>
      <c r="DC622" s="269">
        <f t="shared" si="1661"/>
        <v>145715180.63798025</v>
      </c>
      <c r="DD622" s="207">
        <v>0</v>
      </c>
      <c r="DE622" s="606">
        <v>0</v>
      </c>
      <c r="DF622" s="269">
        <f>'Detailed Budget'!$AC$147</f>
        <v>5913600671000</v>
      </c>
      <c r="DG622" s="269">
        <f t="shared" si="1584"/>
        <v>0</v>
      </c>
      <c r="DH622" s="269">
        <f>'Detailed Budget'!$AC$153</f>
        <v>226428026880.00003</v>
      </c>
      <c r="DI622" s="269"/>
      <c r="DJ622" s="269">
        <f>'Detailed Budget'!$AC$156</f>
        <v>27713070000</v>
      </c>
      <c r="DK622" s="269"/>
      <c r="DL622" s="269"/>
      <c r="DM622" s="196">
        <f>'Detailed Budget'!$AC$178</f>
        <v>5622683761.6229038</v>
      </c>
      <c r="DN622" s="269">
        <f t="shared" ref="DN622:DN639" si="1693">BT622*BV622*DM622</f>
        <v>0</v>
      </c>
      <c r="DO622" s="196">
        <f>'Detailed Budget'!$AC$179</f>
        <v>26827890683.128094</v>
      </c>
      <c r="DP622" s="269">
        <f t="shared" ref="DP622:DP639" si="1694">BT622*BX622*DO622</f>
        <v>0</v>
      </c>
      <c r="DQ622" s="269">
        <f t="shared" si="1531"/>
        <v>0</v>
      </c>
      <c r="DR622" s="269">
        <f>'Detailed Budget'!$AC$181</f>
        <v>50888946855.375237</v>
      </c>
      <c r="DS622" s="269">
        <f t="shared" ref="DS622:DS639" si="1695">BT622*AG622*DR622</f>
        <v>0</v>
      </c>
      <c r="DT622" s="269">
        <f t="shared" ref="DT622:DT639" si="1696">DQ622+DS622</f>
        <v>0</v>
      </c>
      <c r="DU622" s="272">
        <f>'Detailed Budget'!$AC$192</f>
        <v>77498869683.252869</v>
      </c>
      <c r="DV622" s="269">
        <f t="shared" si="1605"/>
        <v>74438584.190502614</v>
      </c>
      <c r="DW622" s="140">
        <f>'Detailed Budget'!$AC$194</f>
        <v>2684962805.4134097</v>
      </c>
      <c r="DX622" s="269">
        <f t="shared" si="1606"/>
        <v>2578938.6433119038</v>
      </c>
      <c r="DY622" s="607">
        <f t="shared" si="1648"/>
        <v>77017522.833814517</v>
      </c>
      <c r="DZ622" s="196">
        <f>'Detailed Budget'!$AC$198</f>
        <v>18732540018.380611</v>
      </c>
      <c r="EA622" s="269">
        <f t="shared" si="1662"/>
        <v>16659912.564580264</v>
      </c>
      <c r="EB622" s="196">
        <f>'Detailed Budget'!$AC$200</f>
        <v>4683135004.5951529</v>
      </c>
      <c r="EC622" s="269">
        <f t="shared" si="1607"/>
        <v>4164978.1411450659</v>
      </c>
      <c r="ED622" s="269">
        <f t="shared" si="1649"/>
        <v>20824890.705725331</v>
      </c>
      <c r="EE622" s="196">
        <f>'Detailed Budget'!$AC$161</f>
        <v>251147290106.36197</v>
      </c>
      <c r="EF622" s="269">
        <f t="shared" si="1608"/>
        <v>241229953.09748268</v>
      </c>
      <c r="EG622" s="196">
        <f>'Detailed Budget'!$AC$163</f>
        <v>15696705631.647623</v>
      </c>
      <c r="EH622" s="269">
        <f t="shared" si="1609"/>
        <v>15076872.068592668</v>
      </c>
      <c r="EI622" s="269">
        <f t="shared" si="1650"/>
        <v>256306825.16607535</v>
      </c>
      <c r="EJ622" s="196">
        <f>'Detailed Budget'!$AC$204</f>
        <v>45012172507.531975</v>
      </c>
      <c r="EK622" s="269">
        <f t="shared" si="1610"/>
        <v>56458330.15557421</v>
      </c>
      <c r="EL622" s="201">
        <f>'Detailed Budget'!$AC$206</f>
        <v>11253043126.882994</v>
      </c>
      <c r="EM622" s="269">
        <f t="shared" si="1611"/>
        <v>14114582.538893552</v>
      </c>
      <c r="EN622" s="269">
        <f t="shared" si="1651"/>
        <v>70572912.694467768</v>
      </c>
      <c r="EO622" s="140">
        <f>'Detailed Budget'!$AC$209</f>
        <v>135789361677.54817</v>
      </c>
      <c r="EP622" s="269">
        <f t="shared" si="1612"/>
        <v>134962981.48296911</v>
      </c>
      <c r="EQ622" s="196">
        <f>'Detailed Budget'!$AC$211</f>
        <v>33947340419.387043</v>
      </c>
      <c r="ER622" s="269">
        <f t="shared" si="1613"/>
        <v>33740745.370742276</v>
      </c>
      <c r="ES622" s="269">
        <f t="shared" si="1652"/>
        <v>168703726.85371137</v>
      </c>
      <c r="ET622" s="196">
        <f>'Detailed Budget'!$AC$214</f>
        <v>22239745544.201103</v>
      </c>
      <c r="EU622" s="269">
        <f t="shared" si="1614"/>
        <v>21467154.311755702</v>
      </c>
      <c r="EV622" s="140">
        <f>'Detailed Budget'!$AC$217</f>
        <v>5559936386.0502758</v>
      </c>
      <c r="EW622" s="269">
        <f t="shared" si="1615"/>
        <v>5366788.5779389255</v>
      </c>
      <c r="EX622" s="269">
        <f t="shared" si="1653"/>
        <v>26833942.889694627</v>
      </c>
      <c r="EY622" s="196">
        <f>'Detailed Budget'!$AC$219</f>
        <v>372777004.58170313</v>
      </c>
      <c r="EZ622" s="269">
        <f t="shared" si="1616"/>
        <v>376713.47900157928</v>
      </c>
      <c r="FA622" s="196">
        <f>'Detailed Budget'!$AC$222</f>
        <v>93194251.145425782</v>
      </c>
      <c r="FB622" s="269">
        <f t="shared" si="1617"/>
        <v>94178.369750394821</v>
      </c>
      <c r="FC622" s="269">
        <f t="shared" si="1654"/>
        <v>470891.84875197412</v>
      </c>
      <c r="FD622" s="269"/>
      <c r="FE622" s="269">
        <f t="shared" si="1663"/>
        <v>266581474.28662574</v>
      </c>
      <c r="FF622" s="140">
        <f>'Detailed Budget'!$AC$165</f>
        <v>14927760000</v>
      </c>
      <c r="FG622" s="1087">
        <f t="shared" si="1585"/>
        <v>363634776.98199302</v>
      </c>
      <c r="FH622" s="269">
        <f t="shared" si="1664"/>
        <v>16961436.200431772</v>
      </c>
      <c r="FJ622" s="140">
        <f>'Detailed Budget'!$AC$235</f>
        <v>3623696172</v>
      </c>
      <c r="FK622" s="269">
        <f t="shared" si="1665"/>
        <v>4681778</v>
      </c>
      <c r="FL622" s="269">
        <f t="shared" si="1586"/>
        <v>4681778</v>
      </c>
      <c r="FO622" s="607"/>
      <c r="FP622" s="607"/>
      <c r="FQ622" s="607"/>
      <c r="FR622" s="269">
        <f>'Detailed Budget'!$AC$257</f>
        <v>13636439388</v>
      </c>
      <c r="FS622" s="269">
        <f t="shared" si="1666"/>
        <v>24483732</v>
      </c>
      <c r="FT622" s="269">
        <f t="shared" si="1587"/>
        <v>24483732</v>
      </c>
      <c r="FU622" s="269"/>
      <c r="FV622" s="269"/>
      <c r="FW622" s="269"/>
      <c r="FX622" s="140">
        <f>'Detailed Budget'!$AC$278</f>
        <v>1114560000</v>
      </c>
      <c r="FY622" s="269">
        <f t="shared" si="1667"/>
        <v>1440000</v>
      </c>
      <c r="FZ622" s="269">
        <f t="shared" si="1588"/>
        <v>1440000</v>
      </c>
      <c r="GB622" s="269">
        <f t="shared" si="1596"/>
        <v>1177647616.8126462</v>
      </c>
      <c r="GC622" s="887">
        <f t="shared" si="1668"/>
        <v>736029.76050790388</v>
      </c>
      <c r="GD622" s="1078">
        <f t="shared" si="1597"/>
        <v>6.6081516086062954E-4</v>
      </c>
    </row>
    <row r="623" spans="1:186" hidden="1" outlineLevel="1">
      <c r="A623" s="211" t="s">
        <v>1350</v>
      </c>
      <c r="B623" s="212" t="s">
        <v>1351</v>
      </c>
      <c r="C623" s="213" t="s">
        <v>215</v>
      </c>
      <c r="D623" s="214"/>
      <c r="E623" s="213"/>
      <c r="F623" s="213"/>
      <c r="G623" s="213" t="s">
        <v>215</v>
      </c>
      <c r="H623" s="213" t="s">
        <v>215</v>
      </c>
      <c r="I623" s="214" t="s">
        <v>215</v>
      </c>
      <c r="J623" s="214"/>
      <c r="K623" s="213" t="s">
        <v>215</v>
      </c>
      <c r="L623" s="213"/>
      <c r="M623" s="214"/>
      <c r="N623" s="213"/>
      <c r="O623" s="214"/>
      <c r="P623" s="213"/>
      <c r="Q623" s="214"/>
      <c r="R623" s="214" t="s">
        <v>215</v>
      </c>
      <c r="S623" s="214"/>
      <c r="T623" s="214"/>
      <c r="U623" s="215">
        <f t="shared" si="1669"/>
        <v>6</v>
      </c>
      <c r="V623" s="845" t="s">
        <v>216</v>
      </c>
      <c r="W623" s="216">
        <v>149705</v>
      </c>
      <c r="X623" s="217">
        <v>2.89</v>
      </c>
      <c r="Y623" s="218">
        <f t="shared" si="1598"/>
        <v>1.0288999999999999</v>
      </c>
      <c r="Z623" s="196">
        <v>19</v>
      </c>
      <c r="AA623" s="218">
        <f t="shared" si="1599"/>
        <v>1.7182651319612778</v>
      </c>
      <c r="AB623" s="196">
        <f t="shared" si="1619"/>
        <v>257232.88158026309</v>
      </c>
      <c r="AC623">
        <v>12.9</v>
      </c>
      <c r="AD623" s="196">
        <f t="shared" si="1620"/>
        <v>33183.041723853938</v>
      </c>
      <c r="AE623" s="196">
        <f t="shared" si="1600"/>
        <v>31523.889637661239</v>
      </c>
      <c r="AF623" s="196">
        <f t="shared" si="1670"/>
        <v>0</v>
      </c>
      <c r="AG623" s="606">
        <f t="shared" si="1671"/>
        <v>1.4575262643768468E-3</v>
      </c>
      <c r="AH623" s="196">
        <f t="shared" ref="AH623:AH639" si="1697">AB623*0.05</f>
        <v>12861.644079013155</v>
      </c>
      <c r="AI623" s="248">
        <f t="shared" si="1644"/>
        <v>9.9637207950692506E-4</v>
      </c>
      <c r="AJ623" s="196">
        <f t="shared" si="1672"/>
        <v>46044.68580286709</v>
      </c>
      <c r="AK623" s="196">
        <f t="shared" si="1532"/>
        <v>10289.315263210523</v>
      </c>
      <c r="AL623" s="196">
        <f t="shared" si="1533"/>
        <v>10289.315263210523</v>
      </c>
      <c r="AM623" s="196">
        <f t="shared" si="1656"/>
        <v>20578.630526421046</v>
      </c>
      <c r="AN623" s="627">
        <f t="shared" si="1657"/>
        <v>9.9637207950692506E-4</v>
      </c>
      <c r="AO623" s="196">
        <f t="shared" si="1658"/>
        <v>9774.849500049997</v>
      </c>
      <c r="AP623" s="589">
        <f t="shared" si="1673"/>
        <v>9.9637207950692506E-4</v>
      </c>
      <c r="AQ623" s="196"/>
      <c r="AR623" s="589"/>
      <c r="AS623">
        <v>1</v>
      </c>
      <c r="AT623" s="589">
        <f t="shared" si="1674"/>
        <v>1.2919896640826874E-3</v>
      </c>
      <c r="AU623" s="196">
        <v>10</v>
      </c>
      <c r="AV623" s="245">
        <f t="shared" si="1645"/>
        <v>1.1362345188046814E-3</v>
      </c>
      <c r="AX623" s="245"/>
      <c r="AY623" s="245"/>
      <c r="AZ623" s="196">
        <v>52</v>
      </c>
      <c r="BA623" s="589">
        <f t="shared" si="1590"/>
        <v>1.9053900553295958E-3</v>
      </c>
      <c r="BI623" s="196">
        <v>0</v>
      </c>
      <c r="BK623" s="246">
        <f t="shared" si="1591"/>
        <v>0</v>
      </c>
      <c r="BL623" s="196">
        <f t="shared" si="1629"/>
        <v>0</v>
      </c>
      <c r="BM623" s="246">
        <f t="shared" si="1592"/>
        <v>0</v>
      </c>
      <c r="BN623" s="196">
        <v>1</v>
      </c>
      <c r="BO623" s="196">
        <f t="shared" si="1675"/>
        <v>18043.118771178175</v>
      </c>
      <c r="BP623" s="196">
        <f t="shared" si="1676"/>
        <v>18043.118771178175</v>
      </c>
      <c r="BQ623" s="248">
        <f t="shared" si="1593"/>
        <v>1.6878497387866191E-3</v>
      </c>
      <c r="BR623" s="248"/>
      <c r="BS623" s="248"/>
      <c r="BT623" s="276">
        <v>0</v>
      </c>
      <c r="BU623" s="196">
        <f t="shared" si="1677"/>
        <v>0</v>
      </c>
      <c r="BV623" s="264">
        <f t="shared" si="1594"/>
        <v>0</v>
      </c>
      <c r="BW623" s="196">
        <f t="shared" si="1678"/>
        <v>0</v>
      </c>
      <c r="BX623" s="247">
        <f t="shared" si="1595"/>
        <v>0</v>
      </c>
      <c r="BY623" s="196">
        <f t="shared" si="1679"/>
        <v>0</v>
      </c>
      <c r="BZ623" s="620">
        <v>1</v>
      </c>
      <c r="CA623" s="196">
        <f t="shared" si="1680"/>
        <v>78713.261763560498</v>
      </c>
      <c r="CB623" s="196">
        <f t="shared" si="1681"/>
        <v>157426.523527121</v>
      </c>
      <c r="CC623" s="196">
        <f t="shared" si="1682"/>
        <v>236139.7852906815</v>
      </c>
      <c r="CD623" s="247">
        <f t="shared" si="1646"/>
        <v>9.9637207950692506E-4</v>
      </c>
      <c r="CE623" s="196">
        <f t="shared" si="1683"/>
        <v>21363.920145069733</v>
      </c>
      <c r="CF623" s="247">
        <f t="shared" si="1647"/>
        <v>9.225605124949781E-4</v>
      </c>
      <c r="CG623" s="196">
        <f t="shared" si="1601"/>
        <v>39099.398000199988</v>
      </c>
      <c r="CH623" s="589">
        <f t="shared" si="1684"/>
        <v>9.9637207950692506E-4</v>
      </c>
      <c r="CI623" s="196">
        <f t="shared" si="1685"/>
        <v>79143.476155330922</v>
      </c>
      <c r="CJ623" s="248">
        <f t="shared" si="1686"/>
        <v>1.3011185471009366E-3</v>
      </c>
      <c r="CK623" s="196">
        <f t="shared" si="1687"/>
        <v>71722.209903464536</v>
      </c>
      <c r="CL623" s="589">
        <f t="shared" si="1688"/>
        <v>1.031021519991477E-3</v>
      </c>
      <c r="CM623" s="196">
        <f t="shared" si="1689"/>
        <v>6948.0869821553633</v>
      </c>
      <c r="CN623" s="589">
        <f t="shared" si="1690"/>
        <v>1.0012982967125264E-3</v>
      </c>
      <c r="CO623" s="196">
        <f t="shared" si="1691"/>
        <v>555.87179737923805</v>
      </c>
      <c r="CP623" s="589">
        <f t="shared" si="1692"/>
        <v>1.0482885898383794E-3</v>
      </c>
      <c r="CQ623" s="196">
        <f>'Detailed Budget'!$AC$12</f>
        <v>292876014141.44696</v>
      </c>
      <c r="CR623" s="269">
        <f t="shared" si="1534"/>
        <v>0</v>
      </c>
      <c r="CS623" s="269">
        <f>'Detailed Budget'!$AC$16</f>
        <v>10488008800.000002</v>
      </c>
      <c r="CT623" s="607">
        <f t="shared" si="1602"/>
        <v>0</v>
      </c>
      <c r="CU623" s="269">
        <f>'Detailed Budget'!$AC$24</f>
        <v>30624985696</v>
      </c>
      <c r="CV623" s="269">
        <f t="shared" si="1589"/>
        <v>0</v>
      </c>
      <c r="CW623" s="269"/>
      <c r="CX623" s="269">
        <f t="shared" si="1660"/>
        <v>0</v>
      </c>
      <c r="CY623" s="196">
        <f>'Detailed Budget'!$AC$97</f>
        <v>74629165494.837845</v>
      </c>
      <c r="CZ623" s="269">
        <f t="shared" si="1603"/>
        <v>125962817.48632543</v>
      </c>
      <c r="DA623" s="269">
        <f>'Detailed Budget'!$AC$100</f>
        <v>14925833098.967569</v>
      </c>
      <c r="DB623" s="269">
        <f t="shared" si="1604"/>
        <v>25192563.497265086</v>
      </c>
      <c r="DC623" s="269">
        <f t="shared" si="1661"/>
        <v>151155380.98359051</v>
      </c>
      <c r="DD623" s="207">
        <v>0</v>
      </c>
      <c r="DE623" s="606">
        <v>0</v>
      </c>
      <c r="DF623" s="269">
        <f>'Detailed Budget'!$AC$147</f>
        <v>5913600671000</v>
      </c>
      <c r="DG623" s="269">
        <f t="shared" si="1584"/>
        <v>0</v>
      </c>
      <c r="DH623" s="269">
        <f>'Detailed Budget'!$AC$153</f>
        <v>226428026880.00003</v>
      </c>
      <c r="DI623" s="269"/>
      <c r="DJ623" s="269">
        <f>'Detailed Budget'!$AC$156</f>
        <v>27713070000</v>
      </c>
      <c r="DK623" s="269"/>
      <c r="DL623" s="269"/>
      <c r="DM623" s="196">
        <f>'Detailed Budget'!$AC$178</f>
        <v>5622683761.6229038</v>
      </c>
      <c r="DN623" s="269">
        <f t="shared" si="1693"/>
        <v>0</v>
      </c>
      <c r="DO623" s="196">
        <f>'Detailed Budget'!$AC$179</f>
        <v>26827890683.128094</v>
      </c>
      <c r="DP623" s="269">
        <f t="shared" si="1694"/>
        <v>0</v>
      </c>
      <c r="DQ623" s="269">
        <f t="shared" si="1531"/>
        <v>0</v>
      </c>
      <c r="DR623" s="269">
        <f>'Detailed Budget'!$AC$181</f>
        <v>50888946855.375237</v>
      </c>
      <c r="DS623" s="269">
        <f t="shared" si="1695"/>
        <v>0</v>
      </c>
      <c r="DT623" s="269">
        <f t="shared" si="1696"/>
        <v>0</v>
      </c>
      <c r="DU623" s="272">
        <f>'Detailed Budget'!$AC$192</f>
        <v>77498869683.252869</v>
      </c>
      <c r="DV623" s="269">
        <f t="shared" si="1605"/>
        <v>77217709.945738852</v>
      </c>
      <c r="DW623" s="140">
        <f>'Detailed Budget'!$AC$194</f>
        <v>2684962805.4134097</v>
      </c>
      <c r="DX623" s="269">
        <f t="shared" si="1606"/>
        <v>2675221.9738285062</v>
      </c>
      <c r="DY623" s="607">
        <f t="shared" si="1648"/>
        <v>79892931.919567361</v>
      </c>
      <c r="DZ623" s="196">
        <f>'Detailed Budget'!$AC$198</f>
        <v>18732540018.380611</v>
      </c>
      <c r="EA623" s="269">
        <f t="shared" si="1662"/>
        <v>17281901.719689902</v>
      </c>
      <c r="EB623" s="196">
        <f>'Detailed Budget'!$AC$200</f>
        <v>4683135004.5951529</v>
      </c>
      <c r="EC623" s="269">
        <f t="shared" si="1607"/>
        <v>4320475.4299224755</v>
      </c>
      <c r="ED623" s="269">
        <f t="shared" si="1649"/>
        <v>21602377.149612378</v>
      </c>
      <c r="EE623" s="196">
        <f>'Detailed Budget'!$AC$161</f>
        <v>251147290106.36197</v>
      </c>
      <c r="EF623" s="269">
        <f t="shared" si="1608"/>
        <v>250236147.70580485</v>
      </c>
      <c r="EG623" s="196">
        <f>'Detailed Budget'!$AC$163</f>
        <v>15696705631.647623</v>
      </c>
      <c r="EH623" s="269">
        <f t="shared" si="1609"/>
        <v>15639759.231612803</v>
      </c>
      <c r="EI623" s="269">
        <f t="shared" si="1650"/>
        <v>265875906.93741766</v>
      </c>
      <c r="EJ623" s="196">
        <f>'Detailed Budget'!$AC$204</f>
        <v>45012172507.531975</v>
      </c>
      <c r="EK623" s="269">
        <f t="shared" si="1610"/>
        <v>58566172.494856723</v>
      </c>
      <c r="EL623" s="201">
        <f>'Detailed Budget'!$AC$206</f>
        <v>11253043126.882994</v>
      </c>
      <c r="EM623" s="269">
        <f t="shared" si="1611"/>
        <v>14641543.123714181</v>
      </c>
      <c r="EN623" s="269">
        <f t="shared" si="1651"/>
        <v>73207715.618570909</v>
      </c>
      <c r="EO623" s="140">
        <f>'Detailed Budget'!$AC$209</f>
        <v>135789361677.54817</v>
      </c>
      <c r="EP623" s="269">
        <f t="shared" si="1612"/>
        <v>140001754.07545814</v>
      </c>
      <c r="EQ623" s="196">
        <f>'Detailed Budget'!$AC$211</f>
        <v>33947340419.387043</v>
      </c>
      <c r="ER623" s="269">
        <f t="shared" si="1613"/>
        <v>35000438.518864535</v>
      </c>
      <c r="ES623" s="269">
        <f t="shared" si="1652"/>
        <v>175002192.59432268</v>
      </c>
      <c r="ET623" s="196">
        <f>'Detailed Budget'!$AC$214</f>
        <v>22239745544.201103</v>
      </c>
      <c r="EU623" s="269">
        <f t="shared" si="1614"/>
        <v>22268619.332728561</v>
      </c>
      <c r="EV623" s="140">
        <f>'Detailed Budget'!$AC$217</f>
        <v>5559936386.0502758</v>
      </c>
      <c r="EW623" s="269">
        <f t="shared" si="1615"/>
        <v>5567154.8331821403</v>
      </c>
      <c r="EX623" s="269">
        <f t="shared" si="1653"/>
        <v>27835774.165910702</v>
      </c>
      <c r="EY623" s="196">
        <f>'Detailed Budget'!$AC$219</f>
        <v>372777004.58170313</v>
      </c>
      <c r="EZ623" s="269">
        <f t="shared" si="1616"/>
        <v>390777.88045712869</v>
      </c>
      <c r="FA623" s="196">
        <f>'Detailed Budget'!$AC$222</f>
        <v>93194251.145425782</v>
      </c>
      <c r="FB623" s="269">
        <f t="shared" si="1617"/>
        <v>97694.470114282172</v>
      </c>
      <c r="FC623" s="269">
        <f t="shared" si="1654"/>
        <v>488472.35057141085</v>
      </c>
      <c r="FD623" s="269"/>
      <c r="FE623" s="269">
        <f t="shared" si="1663"/>
        <v>276534154.72937572</v>
      </c>
      <c r="FF623" s="140">
        <f>'Detailed Budget'!$AC$165</f>
        <v>14927760000</v>
      </c>
      <c r="FG623" s="1087">
        <f t="shared" si="1585"/>
        <v>377210891.9121744</v>
      </c>
      <c r="FH623" s="269">
        <f t="shared" si="1664"/>
        <v>16961436.200431772</v>
      </c>
      <c r="FJ623" s="140">
        <f>'Detailed Budget'!$AC$235</f>
        <v>3623696172</v>
      </c>
      <c r="FK623" s="269">
        <f t="shared" si="1665"/>
        <v>4681778</v>
      </c>
      <c r="FL623" s="269">
        <f t="shared" si="1586"/>
        <v>4681778</v>
      </c>
      <c r="FO623" s="607"/>
      <c r="FP623" s="607"/>
      <c r="FQ623" s="607"/>
      <c r="FR623" s="269">
        <f>'Detailed Budget'!$AC$257</f>
        <v>13636439388</v>
      </c>
      <c r="FS623" s="269">
        <f t="shared" si="1666"/>
        <v>25982736</v>
      </c>
      <c r="FT623" s="269">
        <f t="shared" si="1587"/>
        <v>25982736</v>
      </c>
      <c r="FU623" s="269"/>
      <c r="FV623" s="269"/>
      <c r="FW623" s="269"/>
      <c r="FX623" s="140">
        <f>'Detailed Budget'!$AC$278</f>
        <v>1114560000</v>
      </c>
      <c r="FY623" s="269">
        <f t="shared" si="1667"/>
        <v>1440000</v>
      </c>
      <c r="FZ623" s="269">
        <f t="shared" si="1588"/>
        <v>1440000</v>
      </c>
      <c r="GB623" s="269">
        <f t="shared" si="1596"/>
        <v>1221337593.8321698</v>
      </c>
      <c r="GC623" s="887">
        <f t="shared" si="1668"/>
        <v>763335.99614510615</v>
      </c>
      <c r="GD623" s="1078">
        <f t="shared" si="1597"/>
        <v>6.853309827244688E-4</v>
      </c>
    </row>
    <row r="624" spans="1:186" hidden="1" outlineLevel="1">
      <c r="A624" s="211" t="s">
        <v>1352</v>
      </c>
      <c r="B624" s="212" t="s">
        <v>1353</v>
      </c>
      <c r="C624" s="213" t="s">
        <v>215</v>
      </c>
      <c r="D624" s="214"/>
      <c r="E624" s="213"/>
      <c r="F624" s="213"/>
      <c r="G624" s="213" t="s">
        <v>215</v>
      </c>
      <c r="H624" s="213" t="s">
        <v>215</v>
      </c>
      <c r="I624" s="214" t="s">
        <v>215</v>
      </c>
      <c r="J624" s="214"/>
      <c r="K624" s="213"/>
      <c r="L624" s="213"/>
      <c r="M624" s="214" t="s">
        <v>215</v>
      </c>
      <c r="N624" s="213"/>
      <c r="O624" s="214"/>
      <c r="P624" s="213"/>
      <c r="Q624" s="214"/>
      <c r="R624" s="214" t="s">
        <v>215</v>
      </c>
      <c r="S624" s="214"/>
      <c r="T624" s="214"/>
      <c r="U624" s="215">
        <f t="shared" si="1669"/>
        <v>6</v>
      </c>
      <c r="V624" s="845" t="s">
        <v>216</v>
      </c>
      <c r="W624" s="216">
        <v>272262</v>
      </c>
      <c r="X624" s="217">
        <v>2.89</v>
      </c>
      <c r="Y624" s="218">
        <f t="shared" si="1598"/>
        <v>1.0288999999999999</v>
      </c>
      <c r="Z624" s="196">
        <v>19</v>
      </c>
      <c r="AA624" s="218">
        <f t="shared" si="1599"/>
        <v>1.7182651319612778</v>
      </c>
      <c r="AB624" s="196">
        <f t="shared" si="1619"/>
        <v>467818.30135804141</v>
      </c>
      <c r="AC624">
        <v>12.9</v>
      </c>
      <c r="AD624" s="196">
        <f t="shared" si="1620"/>
        <v>60348.560875187337</v>
      </c>
      <c r="AE624" s="196">
        <f t="shared" si="1600"/>
        <v>57331.132831427967</v>
      </c>
      <c r="AF624" s="196">
        <f t="shared" si="1670"/>
        <v>0</v>
      </c>
      <c r="AG624" s="606">
        <f t="shared" si="1671"/>
        <v>2.6507398937361416E-3</v>
      </c>
      <c r="AH624" s="196">
        <f t="shared" si="1697"/>
        <v>23390.915067902071</v>
      </c>
      <c r="AI624" s="248">
        <f t="shared" si="1644"/>
        <v>1.8120587496123339E-3</v>
      </c>
      <c r="AJ624" s="196">
        <f t="shared" si="1672"/>
        <v>83739.475943089405</v>
      </c>
      <c r="AK624" s="196">
        <f t="shared" si="1532"/>
        <v>18712.732054321656</v>
      </c>
      <c r="AL624" s="196">
        <f t="shared" si="1533"/>
        <v>18712.732054321656</v>
      </c>
      <c r="AM624" s="196">
        <f t="shared" si="1656"/>
        <v>37425.464108643311</v>
      </c>
      <c r="AN624" s="627">
        <f t="shared" si="1657"/>
        <v>1.8120587496123336E-3</v>
      </c>
      <c r="AO624" s="196">
        <f t="shared" si="1658"/>
        <v>17777.095451605572</v>
      </c>
      <c r="AP624" s="589">
        <f t="shared" si="1673"/>
        <v>1.8120587496123336E-3</v>
      </c>
      <c r="AQ624" s="196"/>
      <c r="AR624" s="589"/>
      <c r="AS624">
        <v>1</v>
      </c>
      <c r="AT624" s="589">
        <f t="shared" si="1674"/>
        <v>1.2919896640826874E-3</v>
      </c>
      <c r="AU624" s="196">
        <v>10</v>
      </c>
      <c r="AV624" s="245">
        <f t="shared" si="1645"/>
        <v>1.1362345188046814E-3</v>
      </c>
      <c r="AX624" s="245"/>
      <c r="AY624" s="245"/>
      <c r="AZ624" s="196">
        <v>51</v>
      </c>
      <c r="BA624" s="589">
        <f t="shared" si="1590"/>
        <v>1.8687479388809498E-3</v>
      </c>
      <c r="BI624" s="196">
        <v>0</v>
      </c>
      <c r="BK624" s="246">
        <f t="shared" si="1591"/>
        <v>0</v>
      </c>
      <c r="BL624" s="196">
        <f t="shared" si="1629"/>
        <v>0</v>
      </c>
      <c r="BM624" s="246">
        <f t="shared" si="1592"/>
        <v>0</v>
      </c>
      <c r="BN624" s="196">
        <v>1</v>
      </c>
      <c r="BO624" s="196">
        <f t="shared" si="1675"/>
        <v>32814.238688611018</v>
      </c>
      <c r="BP624" s="196">
        <f t="shared" si="1676"/>
        <v>32814.238688611018</v>
      </c>
      <c r="BQ624" s="248">
        <f t="shared" si="1593"/>
        <v>3.069619221679453E-3</v>
      </c>
      <c r="BR624" s="248"/>
      <c r="BS624" s="248"/>
      <c r="BT624" s="276">
        <v>0</v>
      </c>
      <c r="BU624" s="196">
        <f t="shared" si="1677"/>
        <v>0</v>
      </c>
      <c r="BV624" s="264">
        <f t="shared" si="1594"/>
        <v>0</v>
      </c>
      <c r="BW624" s="196">
        <f t="shared" si="1678"/>
        <v>0</v>
      </c>
      <c r="BX624" s="247">
        <f t="shared" si="1595"/>
        <v>0</v>
      </c>
      <c r="BY624" s="196">
        <f t="shared" si="1679"/>
        <v>0</v>
      </c>
      <c r="BZ624" s="620">
        <v>1</v>
      </c>
      <c r="CA624" s="196">
        <f t="shared" si="1680"/>
        <v>143152.40021556066</v>
      </c>
      <c r="CB624" s="196">
        <f t="shared" si="1681"/>
        <v>286304.80043112132</v>
      </c>
      <c r="CC624" s="196">
        <f t="shared" si="1682"/>
        <v>429457.20064668194</v>
      </c>
      <c r="CD624" s="247">
        <f t="shared" si="1646"/>
        <v>1.8120587496123334E-3</v>
      </c>
      <c r="CE624" s="196">
        <f t="shared" si="1683"/>
        <v>38853.636328358945</v>
      </c>
      <c r="CF624" s="247">
        <f t="shared" si="1647"/>
        <v>1.6778208493564528E-3</v>
      </c>
      <c r="CG624" s="196">
        <f t="shared" si="1601"/>
        <v>71108.381806422287</v>
      </c>
      <c r="CH624" s="589">
        <f t="shared" si="1684"/>
        <v>1.8120587496123336E-3</v>
      </c>
      <c r="CI624" s="196">
        <f t="shared" si="1685"/>
        <v>143934.81249793063</v>
      </c>
      <c r="CJ624" s="248">
        <f t="shared" si="1686"/>
        <v>2.3662879521111199E-3</v>
      </c>
      <c r="CK624" s="196">
        <f t="shared" si="1687"/>
        <v>130438.07696962064</v>
      </c>
      <c r="CL624" s="589">
        <f t="shared" si="1688"/>
        <v>1.8750741864060614E-3</v>
      </c>
      <c r="CM624" s="196">
        <f t="shared" si="1689"/>
        <v>12636.18488317413</v>
      </c>
      <c r="CN624" s="589">
        <f t="shared" si="1690"/>
        <v>1.8210178474970494E-3</v>
      </c>
      <c r="CO624" s="196">
        <f t="shared" si="1691"/>
        <v>1010.9399639161423</v>
      </c>
      <c r="CP624" s="589">
        <f t="shared" si="1692"/>
        <v>1.9064770585256123E-3</v>
      </c>
      <c r="CQ624" s="196">
        <f>'Detailed Budget'!$AC$12</f>
        <v>292876014141.44696</v>
      </c>
      <c r="CR624" s="269">
        <f t="shared" si="1534"/>
        <v>0</v>
      </c>
      <c r="CS624" s="269">
        <f>'Detailed Budget'!$AC$16</f>
        <v>10488008800.000002</v>
      </c>
      <c r="CT624" s="607">
        <f t="shared" si="1602"/>
        <v>0</v>
      </c>
      <c r="CU624" s="269">
        <f>'Detailed Budget'!$AC$24</f>
        <v>30624985696</v>
      </c>
      <c r="CV624" s="269">
        <f t="shared" si="1589"/>
        <v>0</v>
      </c>
      <c r="CW624" s="269"/>
      <c r="CX624" s="269">
        <f t="shared" si="1660"/>
        <v>0</v>
      </c>
      <c r="CY624" s="196">
        <f>'Detailed Budget'!$AC$97</f>
        <v>74629165494.837845</v>
      </c>
      <c r="CZ624" s="269">
        <f t="shared" si="1603"/>
        <v>229083120.90085125</v>
      </c>
      <c r="DA624" s="269">
        <f>'Detailed Budget'!$AC$100</f>
        <v>14925833098.967569</v>
      </c>
      <c r="DB624" s="269">
        <f t="shared" si="1604"/>
        <v>45816624.180170245</v>
      </c>
      <c r="DC624" s="269">
        <f t="shared" si="1661"/>
        <v>274899745.08102149</v>
      </c>
      <c r="DD624" s="207">
        <v>0</v>
      </c>
      <c r="DE624" s="606">
        <v>0</v>
      </c>
      <c r="DF624" s="269">
        <f>'Detailed Budget'!$AC$147</f>
        <v>5913600671000</v>
      </c>
      <c r="DG624" s="269">
        <f t="shared" si="1584"/>
        <v>0</v>
      </c>
      <c r="DH624" s="269">
        <f>'Detailed Budget'!$AC$153</f>
        <v>226428026880.00003</v>
      </c>
      <c r="DI624" s="269"/>
      <c r="DJ624" s="269">
        <f>'Detailed Budget'!$AC$156</f>
        <v>27713070000</v>
      </c>
      <c r="DK624" s="269"/>
      <c r="DL624" s="269"/>
      <c r="DM624" s="196">
        <f>'Detailed Budget'!$AC$178</f>
        <v>5622683761.6229038</v>
      </c>
      <c r="DN624" s="269">
        <f t="shared" si="1693"/>
        <v>0</v>
      </c>
      <c r="DO624" s="196">
        <f>'Detailed Budget'!$AC$179</f>
        <v>26827890683.128094</v>
      </c>
      <c r="DP624" s="269">
        <f t="shared" si="1694"/>
        <v>0</v>
      </c>
      <c r="DQ624" s="269">
        <f t="shared" si="1531"/>
        <v>0</v>
      </c>
      <c r="DR624" s="269">
        <f>'Detailed Budget'!$AC$181</f>
        <v>50888946855.375237</v>
      </c>
      <c r="DS624" s="269">
        <f t="shared" si="1695"/>
        <v>0</v>
      </c>
      <c r="DT624" s="269">
        <f t="shared" si="1696"/>
        <v>0</v>
      </c>
      <c r="DU624" s="272">
        <f>'Detailed Budget'!$AC$192</f>
        <v>77498869683.252869</v>
      </c>
      <c r="DV624" s="269">
        <f t="shared" si="1605"/>
        <v>140432504.89460436</v>
      </c>
      <c r="DW624" s="140">
        <f>'Detailed Budget'!$AC$194</f>
        <v>2684962805.4134097</v>
      </c>
      <c r="DX624" s="269">
        <f t="shared" si="1606"/>
        <v>4865310.3439330468</v>
      </c>
      <c r="DY624" s="607">
        <f t="shared" si="1648"/>
        <v>145297815.2385374</v>
      </c>
      <c r="DZ624" s="196">
        <f>'Detailed Budget'!$AC$198</f>
        <v>18732540018.380611</v>
      </c>
      <c r="EA624" s="269">
        <f t="shared" si="1662"/>
        <v>31429846.204243101</v>
      </c>
      <c r="EB624" s="196">
        <f>'Detailed Budget'!$AC$200</f>
        <v>4683135004.5951529</v>
      </c>
      <c r="EC624" s="269">
        <f t="shared" si="1607"/>
        <v>7857461.5510607753</v>
      </c>
      <c r="ED624" s="269">
        <f t="shared" si="1649"/>
        <v>39287307.755303875</v>
      </c>
      <c r="EE624" s="196">
        <f>'Detailed Budget'!$AC$161</f>
        <v>251147290106.36197</v>
      </c>
      <c r="EF624" s="269">
        <f t="shared" si="1608"/>
        <v>455093644.47866029</v>
      </c>
      <c r="EG624" s="196">
        <f>'Detailed Budget'!$AC$163</f>
        <v>15696705631.647623</v>
      </c>
      <c r="EH624" s="269">
        <f t="shared" si="1609"/>
        <v>28443352.779916268</v>
      </c>
      <c r="EI624" s="269">
        <f t="shared" si="1650"/>
        <v>483536997.25857657</v>
      </c>
      <c r="EJ624" s="196">
        <f>'Detailed Budget'!$AC$204</f>
        <v>45012172507.531975</v>
      </c>
      <c r="EK624" s="269">
        <f t="shared" si="1610"/>
        <v>106511761.50292028</v>
      </c>
      <c r="EL624" s="201">
        <f>'Detailed Budget'!$AC$206</f>
        <v>11253043126.882994</v>
      </c>
      <c r="EM624" s="269">
        <f t="shared" si="1611"/>
        <v>26627940.375730071</v>
      </c>
      <c r="EN624" s="269">
        <f t="shared" si="1651"/>
        <v>133139701.87865035</v>
      </c>
      <c r="EO624" s="140">
        <f>'Detailed Budget'!$AC$209</f>
        <v>135789361677.54817</v>
      </c>
      <c r="EP624" s="269">
        <f t="shared" si="1612"/>
        <v>254615126.87012705</v>
      </c>
      <c r="EQ624" s="196">
        <f>'Detailed Budget'!$AC$211</f>
        <v>33947340419.387043</v>
      </c>
      <c r="ER624" s="269">
        <f t="shared" si="1613"/>
        <v>63653781.717531763</v>
      </c>
      <c r="ES624" s="269">
        <f t="shared" si="1652"/>
        <v>318268908.58765882</v>
      </c>
      <c r="ET624" s="196">
        <f>'Detailed Budget'!$AC$214</f>
        <v>22239745544.201103</v>
      </c>
      <c r="EU624" s="269">
        <f t="shared" si="1614"/>
        <v>40498973.55978319</v>
      </c>
      <c r="EV624" s="140">
        <f>'Detailed Budget'!$AC$217</f>
        <v>5559936386.0502758</v>
      </c>
      <c r="EW624" s="269">
        <f t="shared" si="1615"/>
        <v>10124743.389945798</v>
      </c>
      <c r="EX624" s="269">
        <f t="shared" si="1653"/>
        <v>50623716.949728988</v>
      </c>
      <c r="EY624" s="196">
        <f>'Detailed Budget'!$AC$219</f>
        <v>372777004.58170313</v>
      </c>
      <c r="EZ624" s="269">
        <f t="shared" si="1616"/>
        <v>710690.8071809141</v>
      </c>
      <c r="FA624" s="196">
        <f>'Detailed Budget'!$AC$222</f>
        <v>93194251.145425782</v>
      </c>
      <c r="FB624" s="269">
        <f t="shared" si="1617"/>
        <v>177672.70179522852</v>
      </c>
      <c r="FC624" s="269">
        <f t="shared" si="1654"/>
        <v>888363.50897614262</v>
      </c>
      <c r="FD624" s="269"/>
      <c r="FE624" s="269">
        <f t="shared" si="1663"/>
        <v>502920690.92501432</v>
      </c>
      <c r="FF624" s="140">
        <f>'Detailed Budget'!$AC$165</f>
        <v>14927760000</v>
      </c>
      <c r="FG624" s="1087">
        <f t="shared" si="1585"/>
        <v>686017112.68022048</v>
      </c>
      <c r="FH624" s="269">
        <f t="shared" si="1664"/>
        <v>16961436.200431772</v>
      </c>
      <c r="FJ624" s="140">
        <f>'Detailed Budget'!$AC$235</f>
        <v>3623696172</v>
      </c>
      <c r="FK624" s="269">
        <f t="shared" si="1665"/>
        <v>4681778</v>
      </c>
      <c r="FL624" s="269">
        <f t="shared" si="1586"/>
        <v>4681778</v>
      </c>
      <c r="FO624" s="607"/>
      <c r="FP624" s="607"/>
      <c r="FQ624" s="607"/>
      <c r="FR624" s="269">
        <f>'Detailed Budget'!$AC$257</f>
        <v>13636439388</v>
      </c>
      <c r="FS624" s="269">
        <f t="shared" si="1666"/>
        <v>25483068</v>
      </c>
      <c r="FT624" s="269">
        <f t="shared" si="1587"/>
        <v>25483068</v>
      </c>
      <c r="FU624" s="269"/>
      <c r="FV624" s="269"/>
      <c r="FW624" s="269"/>
      <c r="FX624" s="140">
        <f>'Detailed Budget'!$AC$278</f>
        <v>1114560000</v>
      </c>
      <c r="FY624" s="269">
        <f t="shared" si="1667"/>
        <v>1440000</v>
      </c>
      <c r="FZ624" s="269">
        <f t="shared" si="1588"/>
        <v>1440000</v>
      </c>
      <c r="GB624" s="269">
        <f t="shared" si="1596"/>
        <v>2180525951.1391058</v>
      </c>
      <c r="GC624" s="887">
        <f t="shared" si="1668"/>
        <v>1362828.7194619412</v>
      </c>
      <c r="GD624" s="1078">
        <f t="shared" si="1597"/>
        <v>1.2235617739903297E-3</v>
      </c>
    </row>
    <row r="625" spans="1:186" hidden="1" outlineLevel="1">
      <c r="A625" s="211" t="s">
        <v>1354</v>
      </c>
      <c r="B625" s="212" t="s">
        <v>1355</v>
      </c>
      <c r="C625" s="213" t="s">
        <v>215</v>
      </c>
      <c r="D625" s="214"/>
      <c r="E625" s="213"/>
      <c r="F625" s="213"/>
      <c r="G625" s="213" t="s">
        <v>215</v>
      </c>
      <c r="H625" s="213" t="s">
        <v>215</v>
      </c>
      <c r="I625" s="214" t="s">
        <v>215</v>
      </c>
      <c r="J625" s="214"/>
      <c r="K625" s="213"/>
      <c r="L625" s="213"/>
      <c r="M625" s="214" t="s">
        <v>215</v>
      </c>
      <c r="N625" s="213"/>
      <c r="O625" s="214"/>
      <c r="P625" s="213"/>
      <c r="Q625" s="214"/>
      <c r="R625" s="214" t="s">
        <v>215</v>
      </c>
      <c r="S625" s="214"/>
      <c r="T625" s="214"/>
      <c r="U625" s="215">
        <f t="shared" si="1669"/>
        <v>6</v>
      </c>
      <c r="V625" s="845" t="s">
        <v>216</v>
      </c>
      <c r="W625" s="216">
        <v>31641</v>
      </c>
      <c r="X625" s="217">
        <v>2.89</v>
      </c>
      <c r="Y625" s="218">
        <f t="shared" si="1598"/>
        <v>1.0288999999999999</v>
      </c>
      <c r="Z625" s="196">
        <v>19</v>
      </c>
      <c r="AA625" s="218">
        <f t="shared" si="1599"/>
        <v>1.7182651319612778</v>
      </c>
      <c r="AB625" s="196">
        <f t="shared" si="1619"/>
        <v>54367.627040386789</v>
      </c>
      <c r="AC625">
        <v>12.9</v>
      </c>
      <c r="AD625" s="196">
        <f t="shared" si="1620"/>
        <v>7013.4238882098962</v>
      </c>
      <c r="AE625" s="196">
        <f t="shared" si="1600"/>
        <v>6662.7526937994007</v>
      </c>
      <c r="AF625" s="196">
        <f t="shared" si="1670"/>
        <v>0</v>
      </c>
      <c r="AG625" s="606">
        <f t="shared" si="1671"/>
        <v>3.0805643452889222E-4</v>
      </c>
      <c r="AH625" s="196">
        <f t="shared" si="1697"/>
        <v>2718.3813520193398</v>
      </c>
      <c r="AI625" s="248">
        <f t="shared" si="1644"/>
        <v>2.1058888459088622E-4</v>
      </c>
      <c r="AJ625" s="196">
        <f t="shared" si="1672"/>
        <v>9731.805240229236</v>
      </c>
      <c r="AK625" s="196">
        <f t="shared" si="1532"/>
        <v>2174.7050816154715</v>
      </c>
      <c r="AL625" s="196">
        <f t="shared" si="1533"/>
        <v>2174.7050816154715</v>
      </c>
      <c r="AM625" s="196">
        <f t="shared" si="1656"/>
        <v>4349.410163230943</v>
      </c>
      <c r="AN625" s="627">
        <f t="shared" si="1657"/>
        <v>2.1058888459088616E-4</v>
      </c>
      <c r="AO625" s="196">
        <f t="shared" si="1658"/>
        <v>2065.9698275346977</v>
      </c>
      <c r="AP625" s="589">
        <f t="shared" si="1673"/>
        <v>2.1058888459088616E-4</v>
      </c>
      <c r="AQ625" s="196"/>
      <c r="AR625" s="589"/>
      <c r="AS625">
        <v>1</v>
      </c>
      <c r="AT625" s="589">
        <f t="shared" si="1674"/>
        <v>1.2919896640826874E-3</v>
      </c>
      <c r="AU625" s="196">
        <v>10</v>
      </c>
      <c r="AV625" s="245">
        <f t="shared" si="1645"/>
        <v>1.1362345188046814E-3</v>
      </c>
      <c r="AX625" s="245"/>
      <c r="AY625" s="245"/>
      <c r="AZ625" s="196">
        <v>35</v>
      </c>
      <c r="BA625" s="589">
        <f t="shared" si="1590"/>
        <v>1.2824740757026126E-3</v>
      </c>
      <c r="BI625" s="196">
        <v>0</v>
      </c>
      <c r="BK625" s="246">
        <f t="shared" si="1591"/>
        <v>0</v>
      </c>
      <c r="BL625" s="196">
        <f t="shared" si="1629"/>
        <v>0</v>
      </c>
      <c r="BM625" s="246">
        <f t="shared" si="1592"/>
        <v>0</v>
      </c>
      <c r="BN625" s="196">
        <v>1</v>
      </c>
      <c r="BO625" s="196">
        <f t="shared" si="1675"/>
        <v>3813.5153871871266</v>
      </c>
      <c r="BP625" s="196">
        <f t="shared" si="1676"/>
        <v>3813.5153871871266</v>
      </c>
      <c r="BQ625" s="248">
        <f t="shared" si="1593"/>
        <v>3.5673660589123564E-4</v>
      </c>
      <c r="BR625" s="248"/>
      <c r="BS625" s="248"/>
      <c r="BT625" s="276">
        <v>0</v>
      </c>
      <c r="BU625" s="196">
        <f t="shared" si="1677"/>
        <v>0</v>
      </c>
      <c r="BV625" s="264">
        <f t="shared" si="1594"/>
        <v>0</v>
      </c>
      <c r="BW625" s="196">
        <f t="shared" si="1678"/>
        <v>0</v>
      </c>
      <c r="BX625" s="247">
        <f t="shared" si="1595"/>
        <v>0</v>
      </c>
      <c r="BY625" s="196">
        <f t="shared" si="1679"/>
        <v>0</v>
      </c>
      <c r="BZ625" s="620">
        <v>1</v>
      </c>
      <c r="CA625" s="196">
        <f t="shared" si="1680"/>
        <v>16636.493874358355</v>
      </c>
      <c r="CB625" s="196">
        <f t="shared" si="1681"/>
        <v>33272.98774871671</v>
      </c>
      <c r="CC625" s="196">
        <f t="shared" si="1682"/>
        <v>49909.481623075066</v>
      </c>
      <c r="CD625" s="247">
        <f t="shared" si="1646"/>
        <v>2.1058888459088616E-4</v>
      </c>
      <c r="CE625" s="196">
        <f t="shared" si="1683"/>
        <v>4515.3855736959458</v>
      </c>
      <c r="CF625" s="247">
        <f t="shared" si="1647"/>
        <v>1.9498839167598683E-4</v>
      </c>
      <c r="CG625" s="196">
        <f t="shared" si="1601"/>
        <v>8263.879310138791</v>
      </c>
      <c r="CH625" s="589">
        <f t="shared" si="1684"/>
        <v>2.1058888459088616E-4</v>
      </c>
      <c r="CI625" s="196">
        <f t="shared" si="1685"/>
        <v>16727.422123715478</v>
      </c>
      <c r="CJ625" s="248">
        <f t="shared" si="1686"/>
        <v>2.7499877725407126E-4</v>
      </c>
      <c r="CK625" s="196">
        <f t="shared" si="1687"/>
        <v>15158.895451424612</v>
      </c>
      <c r="CL625" s="589">
        <f t="shared" si="1688"/>
        <v>2.1791224016599528E-4</v>
      </c>
      <c r="CM625" s="196">
        <f t="shared" si="1689"/>
        <v>1468.5175525358395</v>
      </c>
      <c r="CN625" s="589">
        <f t="shared" si="1690"/>
        <v>2.1163006850994319E-4</v>
      </c>
      <c r="CO625" s="196">
        <f t="shared" si="1691"/>
        <v>117.48665402542647</v>
      </c>
      <c r="CP625" s="589">
        <f t="shared" si="1692"/>
        <v>2.2156173321583221E-4</v>
      </c>
      <c r="CQ625" s="196">
        <f>'Detailed Budget'!$AC$12</f>
        <v>292876014141.44696</v>
      </c>
      <c r="CR625" s="269">
        <f t="shared" si="1534"/>
        <v>0</v>
      </c>
      <c r="CS625" s="269">
        <f>'Detailed Budget'!$AC$16</f>
        <v>10488008800.000002</v>
      </c>
      <c r="CT625" s="607">
        <f t="shared" si="1602"/>
        <v>0</v>
      </c>
      <c r="CU625" s="269">
        <f>'Detailed Budget'!$AC$24</f>
        <v>30624985696</v>
      </c>
      <c r="CV625" s="269">
        <f t="shared" si="1589"/>
        <v>0</v>
      </c>
      <c r="CW625" s="269"/>
      <c r="CX625" s="269">
        <f t="shared" si="1660"/>
        <v>0</v>
      </c>
      <c r="CY625" s="196">
        <f>'Detailed Budget'!$AC$97</f>
        <v>74629165494.837845</v>
      </c>
      <c r="CZ625" s="269">
        <f t="shared" si="1603"/>
        <v>26622955.19912377</v>
      </c>
      <c r="DA625" s="269">
        <f>'Detailed Budget'!$AC$100</f>
        <v>14925833098.967569</v>
      </c>
      <c r="DB625" s="269">
        <f t="shared" si="1604"/>
        <v>5324591.039824754</v>
      </c>
      <c r="DC625" s="269">
        <f t="shared" si="1661"/>
        <v>31947546.238948524</v>
      </c>
      <c r="DD625" s="207">
        <v>0</v>
      </c>
      <c r="DE625" s="606">
        <v>0</v>
      </c>
      <c r="DF625" s="269">
        <f>'Detailed Budget'!$AC$147</f>
        <v>5913600671000</v>
      </c>
      <c r="DG625" s="269">
        <f t="shared" si="1584"/>
        <v>0</v>
      </c>
      <c r="DH625" s="269">
        <f>'Detailed Budget'!$AC$153</f>
        <v>226428026880.00003</v>
      </c>
      <c r="DI625" s="269"/>
      <c r="DJ625" s="269">
        <f>'Detailed Budget'!$AC$156</f>
        <v>27713070000</v>
      </c>
      <c r="DK625" s="269"/>
      <c r="DL625" s="269"/>
      <c r="DM625" s="196">
        <f>'Detailed Budget'!$AC$178</f>
        <v>5622683761.6229038</v>
      </c>
      <c r="DN625" s="269">
        <f t="shared" si="1693"/>
        <v>0</v>
      </c>
      <c r="DO625" s="196">
        <f>'Detailed Budget'!$AC$179</f>
        <v>26827890683.128094</v>
      </c>
      <c r="DP625" s="269">
        <f t="shared" si="1694"/>
        <v>0</v>
      </c>
      <c r="DQ625" s="269">
        <f t="shared" si="1531"/>
        <v>0</v>
      </c>
      <c r="DR625" s="269">
        <f>'Detailed Budget'!$AC$181</f>
        <v>50888946855.375237</v>
      </c>
      <c r="DS625" s="269">
        <f t="shared" si="1695"/>
        <v>0</v>
      </c>
      <c r="DT625" s="269">
        <f t="shared" si="1696"/>
        <v>0</v>
      </c>
      <c r="DU625" s="272">
        <f>'Detailed Budget'!$AC$192</f>
        <v>77498869683.252869</v>
      </c>
      <c r="DV625" s="269">
        <f t="shared" si="1605"/>
        <v>16320400.523650665</v>
      </c>
      <c r="DW625" s="140">
        <f>'Detailed Budget'!$AC$194</f>
        <v>2684962805.4134097</v>
      </c>
      <c r="DX625" s="269">
        <f t="shared" si="1606"/>
        <v>565423.32236002642</v>
      </c>
      <c r="DY625" s="607">
        <f t="shared" si="1648"/>
        <v>16885823.846010692</v>
      </c>
      <c r="DZ625" s="196">
        <f>'Detailed Budget'!$AC$198</f>
        <v>18732540018.380611</v>
      </c>
      <c r="EA625" s="269">
        <f t="shared" si="1662"/>
        <v>3652627.8501900961</v>
      </c>
      <c r="EB625" s="196">
        <f>'Detailed Budget'!$AC$200</f>
        <v>4683135004.5951529</v>
      </c>
      <c r="EC625" s="269">
        <f t="shared" si="1607"/>
        <v>913156.96254752402</v>
      </c>
      <c r="ED625" s="269">
        <f t="shared" si="1649"/>
        <v>4565784.8127376204</v>
      </c>
      <c r="EE625" s="196">
        <f>'Detailed Budget'!$AC$161</f>
        <v>251147290106.36197</v>
      </c>
      <c r="EF625" s="269">
        <f t="shared" si="1608"/>
        <v>52888827.691522464</v>
      </c>
      <c r="EG625" s="196">
        <f>'Detailed Budget'!$AC$163</f>
        <v>15696705631.647623</v>
      </c>
      <c r="EH625" s="269">
        <f t="shared" si="1609"/>
        <v>3305551.730720154</v>
      </c>
      <c r="EI625" s="269">
        <f t="shared" si="1650"/>
        <v>56194379.422242619</v>
      </c>
      <c r="EJ625" s="196">
        <f>'Detailed Budget'!$AC$204</f>
        <v>45012172507.531975</v>
      </c>
      <c r="EK625" s="269">
        <f t="shared" si="1610"/>
        <v>12378292.401120616</v>
      </c>
      <c r="EL625" s="201">
        <f>'Detailed Budget'!$AC$206</f>
        <v>11253043126.882994</v>
      </c>
      <c r="EM625" s="269">
        <f t="shared" si="1611"/>
        <v>3094573.100280154</v>
      </c>
      <c r="EN625" s="269">
        <f t="shared" si="1651"/>
        <v>15472865.501400771</v>
      </c>
      <c r="EO625" s="140">
        <f>'Detailed Budget'!$AC$209</f>
        <v>135789361677.54817</v>
      </c>
      <c r="EP625" s="269">
        <f t="shared" si="1612"/>
        <v>29590163.993865073</v>
      </c>
      <c r="EQ625" s="196">
        <f>'Detailed Budget'!$AC$211</f>
        <v>33947340419.387043</v>
      </c>
      <c r="ER625" s="269">
        <f t="shared" si="1613"/>
        <v>7397540.9984662682</v>
      </c>
      <c r="ES625" s="269">
        <f t="shared" si="1652"/>
        <v>36987704.992331341</v>
      </c>
      <c r="ET625" s="196">
        <f>'Detailed Budget'!$AC$214</f>
        <v>22239745544.201103</v>
      </c>
      <c r="EU625" s="269">
        <f t="shared" si="1614"/>
        <v>4706598.873162983</v>
      </c>
      <c r="EV625" s="140">
        <f>'Detailed Budget'!$AC$217</f>
        <v>5559936386.0502758</v>
      </c>
      <c r="EW625" s="269">
        <f t="shared" si="1615"/>
        <v>1176649.7182907457</v>
      </c>
      <c r="EX625" s="269">
        <f t="shared" si="1653"/>
        <v>5883248.5914537292</v>
      </c>
      <c r="EY625" s="196">
        <f>'Detailed Budget'!$AC$219</f>
        <v>372777004.58170313</v>
      </c>
      <c r="EZ625" s="269">
        <f t="shared" si="1616"/>
        <v>82593.119238128362</v>
      </c>
      <c r="FA625" s="196">
        <f>'Detailed Budget'!$AC$222</f>
        <v>93194251.145425782</v>
      </c>
      <c r="FB625" s="269">
        <f t="shared" si="1617"/>
        <v>20648.27980953209</v>
      </c>
      <c r="FC625" s="269">
        <f t="shared" si="1654"/>
        <v>103241.39904766045</v>
      </c>
      <c r="FD625" s="269"/>
      <c r="FE625" s="269">
        <f t="shared" si="1663"/>
        <v>58447060.484233499</v>
      </c>
      <c r="FF625" s="140">
        <f>'Detailed Budget'!$AC$165</f>
        <v>14927760000</v>
      </c>
      <c r="FG625" s="1087">
        <f t="shared" si="1585"/>
        <v>79725659.336649477</v>
      </c>
      <c r="FH625" s="269">
        <f t="shared" si="1664"/>
        <v>16961436.200431772</v>
      </c>
      <c r="FJ625" s="140">
        <f>'Detailed Budget'!$AC$235</f>
        <v>3623696172</v>
      </c>
      <c r="FK625" s="269">
        <f t="shared" si="1665"/>
        <v>4681778</v>
      </c>
      <c r="FL625" s="269">
        <f t="shared" si="1586"/>
        <v>4681778</v>
      </c>
      <c r="FO625" s="607"/>
      <c r="FP625" s="607"/>
      <c r="FQ625" s="607"/>
      <c r="FR625" s="269">
        <f>'Detailed Budget'!$AC$257</f>
        <v>13636439388</v>
      </c>
      <c r="FS625" s="269">
        <f t="shared" si="1666"/>
        <v>17488380</v>
      </c>
      <c r="FT625" s="269">
        <f t="shared" si="1587"/>
        <v>17488380</v>
      </c>
      <c r="FU625" s="269"/>
      <c r="FV625" s="269"/>
      <c r="FW625" s="269"/>
      <c r="FX625" s="140">
        <f>'Detailed Budget'!$AC$278</f>
        <v>1114560000</v>
      </c>
      <c r="FY625" s="269">
        <f t="shared" si="1667"/>
        <v>1440000</v>
      </c>
      <c r="FZ625" s="269">
        <f t="shared" si="1588"/>
        <v>1440000</v>
      </c>
      <c r="GB625" s="269">
        <f t="shared" si="1596"/>
        <v>288337848.34125423</v>
      </c>
      <c r="GC625" s="887">
        <f t="shared" si="1668"/>
        <v>180211.1552132839</v>
      </c>
      <c r="GD625" s="1078">
        <f t="shared" si="1597"/>
        <v>1.6179544620447078E-4</v>
      </c>
    </row>
    <row r="626" spans="1:186" hidden="1" outlineLevel="1">
      <c r="A626" s="211" t="s">
        <v>1356</v>
      </c>
      <c r="B626" s="212" t="s">
        <v>1357</v>
      </c>
      <c r="C626" s="213" t="s">
        <v>215</v>
      </c>
      <c r="D626" s="214"/>
      <c r="E626" s="213"/>
      <c r="F626" s="213"/>
      <c r="G626" s="213" t="s">
        <v>215</v>
      </c>
      <c r="H626" s="213" t="s">
        <v>215</v>
      </c>
      <c r="I626" s="214" t="s">
        <v>215</v>
      </c>
      <c r="J626" s="214"/>
      <c r="K626" s="213"/>
      <c r="L626" s="213"/>
      <c r="M626" s="214" t="s">
        <v>215</v>
      </c>
      <c r="N626" s="213"/>
      <c r="O626" s="214"/>
      <c r="P626" s="213"/>
      <c r="Q626" s="214"/>
      <c r="R626" s="214" t="s">
        <v>215</v>
      </c>
      <c r="S626" s="214"/>
      <c r="T626" s="214"/>
      <c r="U626" s="215">
        <f t="shared" si="1669"/>
        <v>6</v>
      </c>
      <c r="V626" s="845" t="s">
        <v>216</v>
      </c>
      <c r="W626" s="216">
        <v>105497</v>
      </c>
      <c r="X626" s="217">
        <v>2.89</v>
      </c>
      <c r="Y626" s="218">
        <f t="shared" si="1598"/>
        <v>1.0288999999999999</v>
      </c>
      <c r="Z626" s="196">
        <v>19</v>
      </c>
      <c r="AA626" s="218">
        <f t="shared" si="1599"/>
        <v>1.7182651319612778</v>
      </c>
      <c r="AB626" s="196">
        <f t="shared" si="1619"/>
        <v>181271.81662651894</v>
      </c>
      <c r="AC626">
        <v>12.9</v>
      </c>
      <c r="AD626" s="196">
        <f t="shared" si="1620"/>
        <v>23384.064344820945</v>
      </c>
      <c r="AE626" s="196">
        <f t="shared" si="1600"/>
        <v>22214.861127579898</v>
      </c>
      <c r="AF626" s="196">
        <f t="shared" si="1670"/>
        <v>0</v>
      </c>
      <c r="AG626" s="606">
        <f t="shared" si="1671"/>
        <v>1.027117653471589E-3</v>
      </c>
      <c r="AH626" s="196">
        <f t="shared" si="1697"/>
        <v>9063.5908313259479</v>
      </c>
      <c r="AI626" s="248">
        <f t="shared" si="1644"/>
        <v>7.0214264902135597E-4</v>
      </c>
      <c r="AJ626" s="196">
        <f t="shared" si="1672"/>
        <v>32447.655176146895</v>
      </c>
      <c r="AK626" s="196">
        <f t="shared" si="1532"/>
        <v>7250.8726650607578</v>
      </c>
      <c r="AL626" s="196">
        <f t="shared" si="1533"/>
        <v>7250.8726650607578</v>
      </c>
      <c r="AM626" s="196">
        <f t="shared" si="1656"/>
        <v>14501.745330121516</v>
      </c>
      <c r="AN626" s="627">
        <f t="shared" si="1657"/>
        <v>7.0214264902135586E-4</v>
      </c>
      <c r="AO626" s="196">
        <f t="shared" si="1658"/>
        <v>6888.3290318077197</v>
      </c>
      <c r="AP626" s="589">
        <f t="shared" si="1673"/>
        <v>7.0214264902135586E-4</v>
      </c>
      <c r="AQ626" s="196"/>
      <c r="AR626" s="589"/>
      <c r="AS626">
        <v>1</v>
      </c>
      <c r="AT626" s="589">
        <f t="shared" si="1674"/>
        <v>1.2919896640826874E-3</v>
      </c>
      <c r="AU626" s="196">
        <v>10</v>
      </c>
      <c r="AV626" s="245">
        <f t="shared" si="1645"/>
        <v>1.1362345188046814E-3</v>
      </c>
      <c r="AX626" s="245"/>
      <c r="AY626" s="245"/>
      <c r="AZ626" s="196">
        <v>58</v>
      </c>
      <c r="BA626" s="589">
        <f t="shared" si="1590"/>
        <v>2.1252427540214723E-3</v>
      </c>
      <c r="BI626" s="196">
        <v>0</v>
      </c>
      <c r="BK626" s="246">
        <f t="shared" si="1591"/>
        <v>0</v>
      </c>
      <c r="BL626" s="196">
        <f t="shared" si="1629"/>
        <v>0</v>
      </c>
      <c r="BM626" s="246">
        <f t="shared" si="1592"/>
        <v>0</v>
      </c>
      <c r="BN626" s="196">
        <v>1</v>
      </c>
      <c r="BO626" s="196">
        <f t="shared" si="1675"/>
        <v>12714.972118519652</v>
      </c>
      <c r="BP626" s="196">
        <f t="shared" si="1676"/>
        <v>12714.972118519652</v>
      </c>
      <c r="BQ626" s="248">
        <f t="shared" si="1593"/>
        <v>1.1894264312666378E-3</v>
      </c>
      <c r="BR626" s="248"/>
      <c r="BS626" s="248"/>
      <c r="BT626" s="276">
        <v>0</v>
      </c>
      <c r="BU626" s="196">
        <f t="shared" si="1677"/>
        <v>0</v>
      </c>
      <c r="BV626" s="264">
        <f t="shared" si="1594"/>
        <v>0</v>
      </c>
      <c r="BW626" s="196">
        <f t="shared" si="1678"/>
        <v>0</v>
      </c>
      <c r="BX626" s="247">
        <f t="shared" si="1595"/>
        <v>0</v>
      </c>
      <c r="BY626" s="196">
        <f t="shared" si="1679"/>
        <v>0</v>
      </c>
      <c r="BZ626" s="620">
        <v>1</v>
      </c>
      <c r="CA626" s="196">
        <f t="shared" si="1680"/>
        <v>55469.175887714788</v>
      </c>
      <c r="CB626" s="196">
        <f t="shared" si="1681"/>
        <v>110938.35177542958</v>
      </c>
      <c r="CC626" s="196">
        <f t="shared" si="1682"/>
        <v>166407.52766314437</v>
      </c>
      <c r="CD626" s="247">
        <f t="shared" si="1646"/>
        <v>7.0214264902135586E-4</v>
      </c>
      <c r="CE626" s="196">
        <f t="shared" si="1683"/>
        <v>15055.138329009866</v>
      </c>
      <c r="CF626" s="247">
        <f t="shared" si="1647"/>
        <v>6.5012769370884559E-4</v>
      </c>
      <c r="CG626" s="196">
        <f t="shared" si="1601"/>
        <v>27553.316127230879</v>
      </c>
      <c r="CH626" s="589">
        <f t="shared" si="1684"/>
        <v>7.0214264902135586E-4</v>
      </c>
      <c r="CI626" s="196">
        <f t="shared" si="1685"/>
        <v>55772.347643425055</v>
      </c>
      <c r="CJ626" s="248">
        <f t="shared" si="1686"/>
        <v>9.1689725368897192E-4</v>
      </c>
      <c r="CK626" s="196">
        <f t="shared" si="1687"/>
        <v>50542.58694222504</v>
      </c>
      <c r="CL626" s="589">
        <f t="shared" si="1688"/>
        <v>7.265600834610792E-4</v>
      </c>
      <c r="CM626" s="196">
        <f t="shared" si="1689"/>
        <v>4896.3116285791693</v>
      </c>
      <c r="CN626" s="589">
        <f t="shared" si="1690"/>
        <v>7.0561415055129357E-4</v>
      </c>
      <c r="CO626" s="196">
        <f t="shared" si="1691"/>
        <v>391.72243417466007</v>
      </c>
      <c r="CP626" s="589">
        <f t="shared" si="1692"/>
        <v>7.3872817449102918E-4</v>
      </c>
      <c r="CQ626" s="196">
        <f>'Detailed Budget'!$AC$12</f>
        <v>292876014141.44696</v>
      </c>
      <c r="CR626" s="269">
        <f t="shared" si="1534"/>
        <v>0</v>
      </c>
      <c r="CS626" s="269">
        <f>'Detailed Budget'!$AC$16</f>
        <v>10488008800.000002</v>
      </c>
      <c r="CT626" s="607">
        <f t="shared" si="1602"/>
        <v>0</v>
      </c>
      <c r="CU626" s="269">
        <f>'Detailed Budget'!$AC$24</f>
        <v>30624985696</v>
      </c>
      <c r="CV626" s="269">
        <f t="shared" si="1589"/>
        <v>0</v>
      </c>
      <c r="CW626" s="269"/>
      <c r="CX626" s="269">
        <f t="shared" si="1660"/>
        <v>0</v>
      </c>
      <c r="CY626" s="196">
        <f>'Detailed Budget'!$AC$97</f>
        <v>74629165494.837845</v>
      </c>
      <c r="CZ626" s="269">
        <f t="shared" si="1603"/>
        <v>88765901.982932284</v>
      </c>
      <c r="DA626" s="269">
        <f>'Detailed Budget'!$AC$100</f>
        <v>14925833098.967569</v>
      </c>
      <c r="DB626" s="269">
        <f t="shared" si="1604"/>
        <v>17753180.396586455</v>
      </c>
      <c r="DC626" s="269">
        <f t="shared" si="1661"/>
        <v>106519082.37951875</v>
      </c>
      <c r="DD626" s="207">
        <v>0</v>
      </c>
      <c r="DE626" s="606">
        <v>0</v>
      </c>
      <c r="DF626" s="269">
        <f>'Detailed Budget'!$AC$147</f>
        <v>5913600671000</v>
      </c>
      <c r="DG626" s="269">
        <f t="shared" si="1584"/>
        <v>0</v>
      </c>
      <c r="DH626" s="269">
        <f>'Detailed Budget'!$AC$153</f>
        <v>226428026880.00003</v>
      </c>
      <c r="DI626" s="269"/>
      <c r="DJ626" s="269">
        <f>'Detailed Budget'!$AC$156</f>
        <v>27713070000</v>
      </c>
      <c r="DK626" s="269"/>
      <c r="DL626" s="269"/>
      <c r="DM626" s="196">
        <f>'Detailed Budget'!$AC$178</f>
        <v>5622683761.6229038</v>
      </c>
      <c r="DN626" s="269">
        <f t="shared" si="1693"/>
        <v>0</v>
      </c>
      <c r="DO626" s="196">
        <f>'Detailed Budget'!$AC$179</f>
        <v>26827890683.128094</v>
      </c>
      <c r="DP626" s="269">
        <f t="shared" si="1694"/>
        <v>0</v>
      </c>
      <c r="DQ626" s="269">
        <f t="shared" si="1531"/>
        <v>0</v>
      </c>
      <c r="DR626" s="269">
        <f>'Detailed Budget'!$AC$181</f>
        <v>50888946855.375237</v>
      </c>
      <c r="DS626" s="269">
        <f t="shared" si="1695"/>
        <v>0</v>
      </c>
      <c r="DT626" s="269">
        <f t="shared" si="1696"/>
        <v>0</v>
      </c>
      <c r="DU626" s="272">
        <f>'Detailed Budget'!$AC$192</f>
        <v>77498869683.252869</v>
      </c>
      <c r="DV626" s="269">
        <f t="shared" si="1605"/>
        <v>54415261.655560017</v>
      </c>
      <c r="DW626" s="140">
        <f>'Detailed Budget'!$AC$194</f>
        <v>2684962805.4134097</v>
      </c>
      <c r="DX626" s="269">
        <f t="shared" si="1606"/>
        <v>1885226.8967167828</v>
      </c>
      <c r="DY626" s="607">
        <f t="shared" si="1648"/>
        <v>56300488.552276798</v>
      </c>
      <c r="DZ626" s="196">
        <f>'Detailed Budget'!$AC$198</f>
        <v>18732540018.380611</v>
      </c>
      <c r="EA626" s="269">
        <f t="shared" si="1662"/>
        <v>12178543.039458442</v>
      </c>
      <c r="EB626" s="196">
        <f>'Detailed Budget'!$AC$200</f>
        <v>4683135004.5951529</v>
      </c>
      <c r="EC626" s="269">
        <f t="shared" si="1607"/>
        <v>3044635.7598646106</v>
      </c>
      <c r="ED626" s="269">
        <f t="shared" si="1649"/>
        <v>15223178.799323052</v>
      </c>
      <c r="EE626" s="196">
        <f>'Detailed Budget'!$AC$161</f>
        <v>251147290106.36197</v>
      </c>
      <c r="EF626" s="269">
        <f t="shared" si="1608"/>
        <v>176341223.56981596</v>
      </c>
      <c r="EG626" s="196">
        <f>'Detailed Budget'!$AC$163</f>
        <v>15696705631.647623</v>
      </c>
      <c r="EH626" s="269">
        <f t="shared" si="1609"/>
        <v>11021326.473113498</v>
      </c>
      <c r="EI626" s="269">
        <f t="shared" si="1650"/>
        <v>187362550.04292947</v>
      </c>
      <c r="EJ626" s="196">
        <f>'Detailed Budget'!$AC$204</f>
        <v>45012172507.531975</v>
      </c>
      <c r="EK626" s="269">
        <f t="shared" si="1610"/>
        <v>41271537.354730316</v>
      </c>
      <c r="EL626" s="201">
        <f>'Detailed Budget'!$AC$206</f>
        <v>11253043126.882994</v>
      </c>
      <c r="EM626" s="269">
        <f t="shared" si="1611"/>
        <v>10317884.338682579</v>
      </c>
      <c r="EN626" s="269">
        <f t="shared" si="1651"/>
        <v>51589421.693412893</v>
      </c>
      <c r="EO626" s="140">
        <f>'Detailed Budget'!$AC$209</f>
        <v>135789361677.54817</v>
      </c>
      <c r="EP626" s="269">
        <f t="shared" si="1612"/>
        <v>98659129.953566074</v>
      </c>
      <c r="EQ626" s="196">
        <f>'Detailed Budget'!$AC$211</f>
        <v>33947340419.387043</v>
      </c>
      <c r="ER626" s="269">
        <f t="shared" si="1613"/>
        <v>24664782.488391519</v>
      </c>
      <c r="ES626" s="269">
        <f t="shared" si="1652"/>
        <v>123323912.44195759</v>
      </c>
      <c r="ET626" s="196">
        <f>'Detailed Budget'!$AC$214</f>
        <v>22239745544.201103</v>
      </c>
      <c r="EU626" s="269">
        <f t="shared" si="1614"/>
        <v>15692679.160648378</v>
      </c>
      <c r="EV626" s="140">
        <f>'Detailed Budget'!$AC$217</f>
        <v>5559936386.0502758</v>
      </c>
      <c r="EW626" s="269">
        <f t="shared" si="1615"/>
        <v>3923169.7901620944</v>
      </c>
      <c r="EX626" s="269">
        <f t="shared" si="1653"/>
        <v>19615848.950810473</v>
      </c>
      <c r="EY626" s="196">
        <f>'Detailed Budget'!$AC$219</f>
        <v>372777004.58170313</v>
      </c>
      <c r="EZ626" s="269">
        <f t="shared" si="1616"/>
        <v>275380.87608687556</v>
      </c>
      <c r="FA626" s="196">
        <f>'Detailed Budget'!$AC$222</f>
        <v>93194251.145425782</v>
      </c>
      <c r="FB626" s="269">
        <f t="shared" si="1617"/>
        <v>68845.219021718891</v>
      </c>
      <c r="FC626" s="269">
        <f t="shared" si="1654"/>
        <v>344226.09510859445</v>
      </c>
      <c r="FD626" s="269"/>
      <c r="FE626" s="269">
        <f t="shared" si="1663"/>
        <v>194873409.18128955</v>
      </c>
      <c r="FF626" s="140">
        <f>'Detailed Budget'!$AC$165</f>
        <v>14927760000</v>
      </c>
      <c r="FG626" s="1087">
        <f t="shared" si="1585"/>
        <v>265820229.5451633</v>
      </c>
      <c r="FH626" s="269">
        <f t="shared" si="1664"/>
        <v>16961436.200431772</v>
      </c>
      <c r="FJ626" s="140">
        <f>'Detailed Budget'!$AC$235</f>
        <v>3623696172</v>
      </c>
      <c r="FK626" s="269">
        <f t="shared" si="1665"/>
        <v>4681778</v>
      </c>
      <c r="FL626" s="269">
        <f t="shared" si="1586"/>
        <v>4681778</v>
      </c>
      <c r="FO626" s="607"/>
      <c r="FP626" s="607"/>
      <c r="FQ626" s="607"/>
      <c r="FR626" s="269">
        <f>'Detailed Budget'!$AC$257</f>
        <v>13636439388</v>
      </c>
      <c r="FS626" s="269">
        <f t="shared" si="1666"/>
        <v>28980744</v>
      </c>
      <c r="FT626" s="269">
        <f t="shared" si="1587"/>
        <v>28980744</v>
      </c>
      <c r="FU626" s="269"/>
      <c r="FV626" s="269"/>
      <c r="FW626" s="269"/>
      <c r="FX626" s="140">
        <f>'Detailed Budget'!$AC$278</f>
        <v>1114560000</v>
      </c>
      <c r="FY626" s="269">
        <f t="shared" si="1667"/>
        <v>1440000</v>
      </c>
      <c r="FZ626" s="269">
        <f t="shared" si="1588"/>
        <v>1440000</v>
      </c>
      <c r="GB626" s="269">
        <f t="shared" si="1596"/>
        <v>878162896.70093274</v>
      </c>
      <c r="GC626" s="887">
        <f t="shared" si="1668"/>
        <v>548851.81043808302</v>
      </c>
      <c r="GD626" s="1078">
        <f t="shared" si="1597"/>
        <v>4.9276485390076132E-4</v>
      </c>
    </row>
    <row r="627" spans="1:186" hidden="1" outlineLevel="1">
      <c r="A627" s="211" t="s">
        <v>1358</v>
      </c>
      <c r="B627" s="212" t="s">
        <v>1359</v>
      </c>
      <c r="C627" s="213" t="s">
        <v>215</v>
      </c>
      <c r="D627" s="214"/>
      <c r="E627" s="213"/>
      <c r="F627" s="213"/>
      <c r="G627" s="213" t="s">
        <v>215</v>
      </c>
      <c r="H627" s="213" t="s">
        <v>215</v>
      </c>
      <c r="I627" s="214" t="s">
        <v>215</v>
      </c>
      <c r="J627" s="214"/>
      <c r="K627" s="213" t="s">
        <v>215</v>
      </c>
      <c r="L627" s="213"/>
      <c r="M627" s="214"/>
      <c r="N627" s="213"/>
      <c r="O627" s="214"/>
      <c r="P627" s="213"/>
      <c r="Q627" s="214"/>
      <c r="R627" s="214" t="s">
        <v>215</v>
      </c>
      <c r="S627" s="214"/>
      <c r="T627" s="214"/>
      <c r="U627" s="215">
        <f t="shared" si="1669"/>
        <v>6</v>
      </c>
      <c r="V627" s="845" t="s">
        <v>216</v>
      </c>
      <c r="W627" s="216">
        <v>168113</v>
      </c>
      <c r="X627" s="217">
        <v>2.89</v>
      </c>
      <c r="Y627" s="218">
        <f t="shared" si="1598"/>
        <v>1.0288999999999999</v>
      </c>
      <c r="Z627" s="196">
        <v>19</v>
      </c>
      <c r="AA627" s="218">
        <f t="shared" si="1599"/>
        <v>1.7182651319612778</v>
      </c>
      <c r="AB627" s="196">
        <f t="shared" si="1619"/>
        <v>288862.70612940629</v>
      </c>
      <c r="AC627">
        <v>12.9</v>
      </c>
      <c r="AD627" s="196">
        <f t="shared" si="1620"/>
        <v>37263.289090693412</v>
      </c>
      <c r="AE627" s="196">
        <f t="shared" si="1600"/>
        <v>35400.12463615874</v>
      </c>
      <c r="AF627" s="196">
        <f t="shared" si="1670"/>
        <v>0</v>
      </c>
      <c r="AG627" s="606">
        <f t="shared" si="1671"/>
        <v>1.6367463537168756E-3</v>
      </c>
      <c r="AH627" s="196">
        <f t="shared" si="1697"/>
        <v>14443.135306470314</v>
      </c>
      <c r="AI627" s="248">
        <f t="shared" si="1644"/>
        <v>1.1188878087047707E-3</v>
      </c>
      <c r="AJ627" s="196">
        <f t="shared" si="1672"/>
        <v>51706.424397163726</v>
      </c>
      <c r="AK627" s="196">
        <f t="shared" si="1532"/>
        <v>11554.508245176252</v>
      </c>
      <c r="AL627" s="196">
        <f t="shared" si="1533"/>
        <v>11554.508245176252</v>
      </c>
      <c r="AM627" s="196">
        <f t="shared" si="1656"/>
        <v>23109.016490352504</v>
      </c>
      <c r="AN627" s="627">
        <f t="shared" si="1657"/>
        <v>1.1188878087047707E-3</v>
      </c>
      <c r="AO627" s="196">
        <f t="shared" si="1658"/>
        <v>10976.782832917439</v>
      </c>
      <c r="AP627" s="589">
        <f t="shared" si="1673"/>
        <v>1.1188878087047707E-3</v>
      </c>
      <c r="AQ627" s="196"/>
      <c r="AR627" s="589"/>
      <c r="AS627">
        <v>1</v>
      </c>
      <c r="AT627" s="589">
        <f t="shared" si="1674"/>
        <v>1.2919896640826874E-3</v>
      </c>
      <c r="AU627" s="196">
        <v>11</v>
      </c>
      <c r="AV627" s="245">
        <f t="shared" si="1645"/>
        <v>1.2498579706851495E-3</v>
      </c>
      <c r="AX627" s="245"/>
      <c r="AY627" s="245"/>
      <c r="AZ627" s="196">
        <v>52</v>
      </c>
      <c r="BA627" s="589">
        <f t="shared" si="1590"/>
        <v>1.9053900553295958E-3</v>
      </c>
      <c r="BI627" s="196">
        <v>0</v>
      </c>
      <c r="BK627" s="246">
        <f t="shared" si="1591"/>
        <v>0</v>
      </c>
      <c r="BL627" s="196">
        <f t="shared" si="1629"/>
        <v>0</v>
      </c>
      <c r="BM627" s="246">
        <f t="shared" si="1592"/>
        <v>0</v>
      </c>
      <c r="BN627" s="196">
        <v>1</v>
      </c>
      <c r="BO627" s="196">
        <f t="shared" si="1675"/>
        <v>20261.733582572906</v>
      </c>
      <c r="BP627" s="196">
        <f t="shared" si="1676"/>
        <v>20261.733582572906</v>
      </c>
      <c r="BQ627" s="248">
        <f t="shared" si="1593"/>
        <v>1.8953908228625293E-3</v>
      </c>
      <c r="BR627" s="248"/>
      <c r="BS627" s="248"/>
      <c r="BT627" s="276">
        <v>0</v>
      </c>
      <c r="BU627" s="196">
        <f t="shared" si="1677"/>
        <v>0</v>
      </c>
      <c r="BV627" s="264">
        <f t="shared" si="1594"/>
        <v>0</v>
      </c>
      <c r="BW627" s="196">
        <f t="shared" si="1678"/>
        <v>0</v>
      </c>
      <c r="BX627" s="247">
        <f t="shared" si="1595"/>
        <v>0</v>
      </c>
      <c r="BY627" s="196">
        <f t="shared" si="1679"/>
        <v>0</v>
      </c>
      <c r="BZ627" s="620">
        <v>1</v>
      </c>
      <c r="CA627" s="196">
        <f t="shared" si="1680"/>
        <v>88391.988075598318</v>
      </c>
      <c r="CB627" s="196">
        <f t="shared" si="1681"/>
        <v>176783.97615119664</v>
      </c>
      <c r="CC627" s="196">
        <f t="shared" si="1682"/>
        <v>265175.96422679495</v>
      </c>
      <c r="CD627" s="247">
        <f t="shared" si="1646"/>
        <v>1.1188878087047705E-3</v>
      </c>
      <c r="CE627" s="196">
        <f t="shared" si="1683"/>
        <v>23990.866753602804</v>
      </c>
      <c r="CF627" s="247">
        <f t="shared" si="1647"/>
        <v>1.0360002367126567E-3</v>
      </c>
      <c r="CG627" s="196">
        <f t="shared" si="1601"/>
        <v>43907.131331669756</v>
      </c>
      <c r="CH627" s="589">
        <f t="shared" si="1684"/>
        <v>1.1188878087047707E-3</v>
      </c>
      <c r="CI627" s="196">
        <f t="shared" si="1685"/>
        <v>88875.102414088688</v>
      </c>
      <c r="CJ627" s="248">
        <f t="shared" si="1686"/>
        <v>1.4611064580927809E-3</v>
      </c>
      <c r="CK627" s="196">
        <f t="shared" si="1687"/>
        <v>80541.303720658179</v>
      </c>
      <c r="CL627" s="589">
        <f t="shared" si="1688"/>
        <v>1.1577978076238412E-3</v>
      </c>
      <c r="CM627" s="196">
        <f t="shared" si="1689"/>
        <v>7802.4364372003911</v>
      </c>
      <c r="CN627" s="589">
        <f t="shared" si="1690"/>
        <v>1.1244197625679365E-3</v>
      </c>
      <c r="CO627" s="196">
        <f t="shared" si="1691"/>
        <v>624.22280800785438</v>
      </c>
      <c r="CP627" s="589">
        <f t="shared" si="1692"/>
        <v>1.1771880678901805E-3</v>
      </c>
      <c r="CQ627" s="196">
        <f>'Detailed Budget'!$AC$12</f>
        <v>292876014141.44696</v>
      </c>
      <c r="CR627" s="269">
        <f t="shared" si="1534"/>
        <v>0</v>
      </c>
      <c r="CS627" s="269">
        <f>'Detailed Budget'!$AC$16</f>
        <v>10488008800.000002</v>
      </c>
      <c r="CT627" s="607">
        <f t="shared" si="1602"/>
        <v>0</v>
      </c>
      <c r="CU627" s="269">
        <f>'Detailed Budget'!$AC$24</f>
        <v>30624985696</v>
      </c>
      <c r="CV627" s="269">
        <f t="shared" si="1589"/>
        <v>0</v>
      </c>
      <c r="CW627" s="269"/>
      <c r="CX627" s="269">
        <f t="shared" si="1660"/>
        <v>0</v>
      </c>
      <c r="CY627" s="196">
        <f>'Detailed Budget'!$AC$97</f>
        <v>74629165494.837845</v>
      </c>
      <c r="CZ627" s="269">
        <f t="shared" si="1603"/>
        <v>141451435.39680457</v>
      </c>
      <c r="DA627" s="269">
        <f>'Detailed Budget'!$AC$100</f>
        <v>14925833098.967569</v>
      </c>
      <c r="DB627" s="269">
        <f t="shared" si="1604"/>
        <v>28290287.079360917</v>
      </c>
      <c r="DC627" s="269">
        <f t="shared" si="1661"/>
        <v>169741722.47616547</v>
      </c>
      <c r="DD627" s="207">
        <v>0</v>
      </c>
      <c r="DE627" s="606">
        <v>0</v>
      </c>
      <c r="DF627" s="269">
        <f>'Detailed Budget'!$AC$147</f>
        <v>5913600671000</v>
      </c>
      <c r="DG627" s="269">
        <f t="shared" si="1584"/>
        <v>0</v>
      </c>
      <c r="DH627" s="269">
        <f>'Detailed Budget'!$AC$153</f>
        <v>226428026880.00003</v>
      </c>
      <c r="DI627" s="269"/>
      <c r="DJ627" s="269">
        <f>'Detailed Budget'!$AC$156</f>
        <v>27713070000</v>
      </c>
      <c r="DK627" s="269"/>
      <c r="DL627" s="269"/>
      <c r="DM627" s="196">
        <f>'Detailed Budget'!$AC$178</f>
        <v>5622683761.6229038</v>
      </c>
      <c r="DN627" s="269">
        <f t="shared" si="1693"/>
        <v>0</v>
      </c>
      <c r="DO627" s="196">
        <f>'Detailed Budget'!$AC$179</f>
        <v>26827890683.128094</v>
      </c>
      <c r="DP627" s="269">
        <f t="shared" si="1694"/>
        <v>0</v>
      </c>
      <c r="DQ627" s="269">
        <f t="shared" si="1531"/>
        <v>0</v>
      </c>
      <c r="DR627" s="269">
        <f>'Detailed Budget'!$AC$181</f>
        <v>50888946855.375237</v>
      </c>
      <c r="DS627" s="269">
        <f t="shared" si="1695"/>
        <v>0</v>
      </c>
      <c r="DT627" s="269">
        <f t="shared" si="1696"/>
        <v>0</v>
      </c>
      <c r="DU627" s="272">
        <f>'Detailed Budget'!$AC$192</f>
        <v>77498869683.252869</v>
      </c>
      <c r="DV627" s="269">
        <f t="shared" si="1605"/>
        <v>86712540.47699137</v>
      </c>
      <c r="DW627" s="140">
        <f>'Detailed Budget'!$AC$194</f>
        <v>2684962805.4134097</v>
      </c>
      <c r="DX627" s="269">
        <f t="shared" si="1606"/>
        <v>3004172.1498028236</v>
      </c>
      <c r="DY627" s="607">
        <f t="shared" si="1648"/>
        <v>89716712.626794189</v>
      </c>
      <c r="DZ627" s="196">
        <f>'Detailed Budget'!$AC$198</f>
        <v>18732540018.380611</v>
      </c>
      <c r="EA627" s="269">
        <f t="shared" si="1662"/>
        <v>19406915.893271629</v>
      </c>
      <c r="EB627" s="196">
        <f>'Detailed Budget'!$AC$200</f>
        <v>4683135004.5951529</v>
      </c>
      <c r="EC627" s="269">
        <f t="shared" si="1607"/>
        <v>4851728.9733179072</v>
      </c>
      <c r="ED627" s="269">
        <f t="shared" si="1649"/>
        <v>24258644.866589535</v>
      </c>
      <c r="EE627" s="196">
        <f>'Detailed Budget'!$AC$161</f>
        <v>251147290106.36197</v>
      </c>
      <c r="EF627" s="269">
        <f t="shared" si="1608"/>
        <v>281005641.08924872</v>
      </c>
      <c r="EG627" s="196">
        <f>'Detailed Budget'!$AC$163</f>
        <v>15696705631.647623</v>
      </c>
      <c r="EH627" s="269">
        <f t="shared" si="1609"/>
        <v>17562852.568078045</v>
      </c>
      <c r="EI627" s="269">
        <f t="shared" si="1650"/>
        <v>298568493.65732676</v>
      </c>
      <c r="EJ627" s="196">
        <f>'Detailed Budget'!$AC$204</f>
        <v>45012172507.531975</v>
      </c>
      <c r="EK627" s="269">
        <f t="shared" si="1610"/>
        <v>65767575.943541296</v>
      </c>
      <c r="EL627" s="201">
        <f>'Detailed Budget'!$AC$206</f>
        <v>11253043126.882994</v>
      </c>
      <c r="EM627" s="269">
        <f t="shared" si="1611"/>
        <v>16441893.985885324</v>
      </c>
      <c r="EN627" s="269">
        <f t="shared" si="1651"/>
        <v>82209469.929426625</v>
      </c>
      <c r="EO627" s="140">
        <f>'Detailed Budget'!$AC$209</f>
        <v>135789361677.54817</v>
      </c>
      <c r="EP627" s="269">
        <f t="shared" si="1612"/>
        <v>157216625.24890611</v>
      </c>
      <c r="EQ627" s="196">
        <f>'Detailed Budget'!$AC$211</f>
        <v>33947340419.387043</v>
      </c>
      <c r="ER627" s="269">
        <f t="shared" si="1613"/>
        <v>39304156.312226526</v>
      </c>
      <c r="ES627" s="269">
        <f t="shared" si="1652"/>
        <v>196520781.56113264</v>
      </c>
      <c r="ET627" s="196">
        <f>'Detailed Budget'!$AC$214</f>
        <v>22239745544.201103</v>
      </c>
      <c r="EU627" s="269">
        <f t="shared" si="1614"/>
        <v>25006809.404381927</v>
      </c>
      <c r="EV627" s="140">
        <f>'Detailed Budget'!$AC$217</f>
        <v>5559936386.0502758</v>
      </c>
      <c r="EW627" s="269">
        <f t="shared" si="1615"/>
        <v>6251702.3510954818</v>
      </c>
      <c r="EX627" s="269">
        <f t="shared" si="1653"/>
        <v>31258511.75547741</v>
      </c>
      <c r="EY627" s="196">
        <f>'Detailed Budget'!$AC$219</f>
        <v>372777004.58170313</v>
      </c>
      <c r="EZ627" s="269">
        <f t="shared" si="1616"/>
        <v>438828.64177742408</v>
      </c>
      <c r="FA627" s="196">
        <f>'Detailed Budget'!$AC$222</f>
        <v>93194251.145425782</v>
      </c>
      <c r="FB627" s="269">
        <f t="shared" si="1617"/>
        <v>109707.16044435602</v>
      </c>
      <c r="FC627" s="269">
        <f t="shared" si="1654"/>
        <v>548535.80222178006</v>
      </c>
      <c r="FD627" s="269"/>
      <c r="FE627" s="269">
        <f t="shared" si="1663"/>
        <v>310537299.04825848</v>
      </c>
      <c r="FF627" s="140">
        <f>'Detailed Budget'!$AC$165</f>
        <v>14927760000</v>
      </c>
      <c r="FG627" s="1087">
        <f t="shared" si="1585"/>
        <v>423593431.56228161</v>
      </c>
      <c r="FH627" s="269">
        <f t="shared" si="1664"/>
        <v>18657579.820474949</v>
      </c>
      <c r="FJ627" s="140">
        <f>'Detailed Budget'!$AC$235</f>
        <v>3623696172</v>
      </c>
      <c r="FK627" s="269">
        <f t="shared" si="1665"/>
        <v>4681778</v>
      </c>
      <c r="FL627" s="269">
        <f t="shared" si="1586"/>
        <v>4681778</v>
      </c>
      <c r="FO627" s="607"/>
      <c r="FP627" s="607"/>
      <c r="FQ627" s="607"/>
      <c r="FR627" s="269">
        <f>'Detailed Budget'!$AC$257</f>
        <v>13636439388</v>
      </c>
      <c r="FS627" s="269">
        <f t="shared" si="1666"/>
        <v>25982736</v>
      </c>
      <c r="FT627" s="269">
        <f t="shared" si="1587"/>
        <v>25982736</v>
      </c>
      <c r="FU627" s="269"/>
      <c r="FV627" s="269"/>
      <c r="FW627" s="269"/>
      <c r="FX627" s="140">
        <f>'Detailed Budget'!$AC$278</f>
        <v>1114560000</v>
      </c>
      <c r="FY627" s="269">
        <f t="shared" si="1667"/>
        <v>1440000</v>
      </c>
      <c r="FZ627" s="269">
        <f t="shared" si="1588"/>
        <v>1440000</v>
      </c>
      <c r="GB627" s="269">
        <f t="shared" si="1596"/>
        <v>1367178398.0578909</v>
      </c>
      <c r="GC627" s="887">
        <f t="shared" si="1668"/>
        <v>854486.49878618179</v>
      </c>
      <c r="GD627" s="1078">
        <f t="shared" si="1597"/>
        <v>7.6716685037162067E-4</v>
      </c>
    </row>
    <row r="628" spans="1:186" hidden="1" outlineLevel="1">
      <c r="A628" s="211" t="s">
        <v>1360</v>
      </c>
      <c r="B628" s="212" t="s">
        <v>1361</v>
      </c>
      <c r="C628" s="213" t="s">
        <v>215</v>
      </c>
      <c r="D628" s="214"/>
      <c r="E628" s="213"/>
      <c r="F628" s="213"/>
      <c r="G628" s="213" t="s">
        <v>215</v>
      </c>
      <c r="H628" s="213" t="s">
        <v>215</v>
      </c>
      <c r="I628" s="214" t="s">
        <v>215</v>
      </c>
      <c r="J628" s="214"/>
      <c r="K628" s="213"/>
      <c r="L628" s="213"/>
      <c r="M628" s="214" t="s">
        <v>215</v>
      </c>
      <c r="N628" s="213"/>
      <c r="O628" s="214"/>
      <c r="P628" s="213"/>
      <c r="Q628" s="214"/>
      <c r="R628" s="214" t="s">
        <v>215</v>
      </c>
      <c r="S628" s="214"/>
      <c r="T628" s="214"/>
      <c r="U628" s="215">
        <f t="shared" si="1669"/>
        <v>6</v>
      </c>
      <c r="V628" s="845" t="s">
        <v>216</v>
      </c>
      <c r="W628" s="216">
        <v>186611</v>
      </c>
      <c r="X628" s="217">
        <v>2.89</v>
      </c>
      <c r="Y628" s="218">
        <f t="shared" si="1598"/>
        <v>1.0288999999999999</v>
      </c>
      <c r="Z628" s="196">
        <v>19</v>
      </c>
      <c r="AA628" s="218">
        <f t="shared" si="1599"/>
        <v>1.7182651319612778</v>
      </c>
      <c r="AB628" s="196">
        <f t="shared" si="1619"/>
        <v>320647.174540426</v>
      </c>
      <c r="AC628">
        <v>12.9</v>
      </c>
      <c r="AD628" s="196">
        <f t="shared" si="1620"/>
        <v>41363.48551571495</v>
      </c>
      <c r="AE628" s="196">
        <f t="shared" si="1600"/>
        <v>39295.3112399292</v>
      </c>
      <c r="AF628" s="196">
        <f t="shared" si="1670"/>
        <v>0</v>
      </c>
      <c r="AG628" s="606">
        <f t="shared" si="1671"/>
        <v>1.8168426820856199E-3</v>
      </c>
      <c r="AH628" s="196">
        <f t="shared" si="1697"/>
        <v>16032.358727021301</v>
      </c>
      <c r="AI628" s="248">
        <f t="shared" si="1644"/>
        <v>1.2420025391861782E-3</v>
      </c>
      <c r="AJ628" s="196">
        <f t="shared" si="1672"/>
        <v>57395.844242736253</v>
      </c>
      <c r="AK628" s="196">
        <f t="shared" si="1532"/>
        <v>12825.886981617041</v>
      </c>
      <c r="AL628" s="196">
        <f t="shared" si="1533"/>
        <v>12825.886981617041</v>
      </c>
      <c r="AM628" s="196">
        <f t="shared" si="1656"/>
        <v>25651.773963234082</v>
      </c>
      <c r="AN628" s="627">
        <f t="shared" si="1657"/>
        <v>1.2420025391861782E-3</v>
      </c>
      <c r="AO628" s="196">
        <f t="shared" si="1658"/>
        <v>12184.592632536187</v>
      </c>
      <c r="AP628" s="589">
        <f t="shared" si="1673"/>
        <v>1.242002539186178E-3</v>
      </c>
      <c r="AQ628" s="196"/>
      <c r="AR628" s="589"/>
      <c r="AS628">
        <v>1</v>
      </c>
      <c r="AT628" s="589">
        <f t="shared" si="1674"/>
        <v>1.2919896640826874E-3</v>
      </c>
      <c r="AU628" s="196">
        <v>11</v>
      </c>
      <c r="AV628" s="245">
        <f t="shared" si="1645"/>
        <v>1.2498579706851495E-3</v>
      </c>
      <c r="AX628" s="245"/>
      <c r="AY628" s="245"/>
      <c r="AZ628" s="196">
        <v>92</v>
      </c>
      <c r="BA628" s="589">
        <f t="shared" si="1590"/>
        <v>3.3710747132754387E-3</v>
      </c>
      <c r="BI628" s="196">
        <v>0</v>
      </c>
      <c r="BK628" s="246">
        <f t="shared" si="1591"/>
        <v>0</v>
      </c>
      <c r="BL628" s="196">
        <f t="shared" si="1629"/>
        <v>0</v>
      </c>
      <c r="BM628" s="246">
        <f t="shared" si="1592"/>
        <v>0</v>
      </c>
      <c r="BN628" s="196">
        <v>1</v>
      </c>
      <c r="BO628" s="196">
        <f t="shared" si="1675"/>
        <v>22491.195598065067</v>
      </c>
      <c r="BP628" s="196">
        <f t="shared" si="1676"/>
        <v>22491.195598065067</v>
      </c>
      <c r="BQ628" s="248">
        <f t="shared" si="1593"/>
        <v>2.103946612369058E-3</v>
      </c>
      <c r="BR628" s="248"/>
      <c r="BS628" s="248"/>
      <c r="BT628" s="276">
        <v>0</v>
      </c>
      <c r="BU628" s="196">
        <f t="shared" si="1677"/>
        <v>0</v>
      </c>
      <c r="BV628" s="264">
        <f t="shared" si="1594"/>
        <v>0</v>
      </c>
      <c r="BW628" s="196">
        <f t="shared" si="1678"/>
        <v>0</v>
      </c>
      <c r="BX628" s="247">
        <f t="shared" si="1595"/>
        <v>0</v>
      </c>
      <c r="BY628" s="196">
        <f t="shared" si="1679"/>
        <v>0</v>
      </c>
      <c r="BZ628" s="620">
        <v>1</v>
      </c>
      <c r="CA628" s="196">
        <f t="shared" si="1680"/>
        <v>98118.03540937035</v>
      </c>
      <c r="CB628" s="196">
        <f t="shared" si="1681"/>
        <v>196236.0708187407</v>
      </c>
      <c r="CC628" s="196">
        <f t="shared" si="1682"/>
        <v>294354.10622811108</v>
      </c>
      <c r="CD628" s="247">
        <f t="shared" si="1646"/>
        <v>1.2420025391861782E-3</v>
      </c>
      <c r="CE628" s="196">
        <f t="shared" si="1683"/>
        <v>26630.656973324923</v>
      </c>
      <c r="CF628" s="247">
        <f t="shared" si="1647"/>
        <v>1.1499945880044111E-3</v>
      </c>
      <c r="CG628" s="196">
        <f t="shared" si="1601"/>
        <v>48738.370530144748</v>
      </c>
      <c r="CH628" s="589">
        <f t="shared" si="1684"/>
        <v>1.242002539186178E-3</v>
      </c>
      <c r="CI628" s="196">
        <f t="shared" si="1685"/>
        <v>98654.308331869048</v>
      </c>
      <c r="CJ628" s="248">
        <f t="shared" si="1686"/>
        <v>1.6218765785581833E-3</v>
      </c>
      <c r="CK628" s="196">
        <f t="shared" si="1687"/>
        <v>89403.515662772916</v>
      </c>
      <c r="CL628" s="589">
        <f t="shared" si="1688"/>
        <v>1.2851939271709661E-3</v>
      </c>
      <c r="CM628" s="196">
        <f t="shared" si="1689"/>
        <v>8660.9629593333175</v>
      </c>
      <c r="CN628" s="589">
        <f t="shared" si="1690"/>
        <v>1.2481431912616226E-3</v>
      </c>
      <c r="CO628" s="196">
        <f t="shared" si="1691"/>
        <v>692.90799893615429</v>
      </c>
      <c r="CP628" s="589">
        <f t="shared" si="1692"/>
        <v>1.3067177585139426E-3</v>
      </c>
      <c r="CQ628" s="196">
        <f>'Detailed Budget'!$AC$12</f>
        <v>292876014141.44696</v>
      </c>
      <c r="CR628" s="269">
        <f t="shared" si="1534"/>
        <v>0</v>
      </c>
      <c r="CS628" s="269">
        <f>'Detailed Budget'!$AC$16</f>
        <v>10488008800.000002</v>
      </c>
      <c r="CT628" s="607">
        <f t="shared" si="1602"/>
        <v>0</v>
      </c>
      <c r="CU628" s="269">
        <f>'Detailed Budget'!$AC$24</f>
        <v>30624985696</v>
      </c>
      <c r="CV628" s="269">
        <f t="shared" si="1589"/>
        <v>0</v>
      </c>
      <c r="CW628" s="269"/>
      <c r="CX628" s="269">
        <f t="shared" si="1660"/>
        <v>0</v>
      </c>
      <c r="CY628" s="196">
        <f>'Detailed Budget'!$AC$97</f>
        <v>74629165494.837845</v>
      </c>
      <c r="CZ628" s="269">
        <f t="shared" si="1603"/>
        <v>157015779.92679387</v>
      </c>
      <c r="DA628" s="269">
        <f>'Detailed Budget'!$AC$100</f>
        <v>14925833098.967569</v>
      </c>
      <c r="DB628" s="269">
        <f t="shared" si="1604"/>
        <v>31403155.985358775</v>
      </c>
      <c r="DC628" s="269">
        <f t="shared" si="1661"/>
        <v>188418935.91215265</v>
      </c>
      <c r="DD628" s="207">
        <v>0</v>
      </c>
      <c r="DE628" s="606">
        <v>0</v>
      </c>
      <c r="DF628" s="269">
        <f>'Detailed Budget'!$AC$147</f>
        <v>5913600671000</v>
      </c>
      <c r="DG628" s="269">
        <f t="shared" si="1584"/>
        <v>0</v>
      </c>
      <c r="DH628" s="269">
        <f>'Detailed Budget'!$AC$153</f>
        <v>226428026880.00003</v>
      </c>
      <c r="DI628" s="269"/>
      <c r="DJ628" s="269">
        <f>'Detailed Budget'!$AC$156</f>
        <v>27713070000</v>
      </c>
      <c r="DK628" s="269"/>
      <c r="DL628" s="269"/>
      <c r="DM628" s="196">
        <f>'Detailed Budget'!$AC$178</f>
        <v>5622683761.6229038</v>
      </c>
      <c r="DN628" s="269">
        <f t="shared" si="1693"/>
        <v>0</v>
      </c>
      <c r="DO628" s="196">
        <f>'Detailed Budget'!$AC$179</f>
        <v>26827890683.128094</v>
      </c>
      <c r="DP628" s="269">
        <f t="shared" si="1694"/>
        <v>0</v>
      </c>
      <c r="DQ628" s="269">
        <f t="shared" si="1531"/>
        <v>0</v>
      </c>
      <c r="DR628" s="269">
        <f>'Detailed Budget'!$AC$181</f>
        <v>50888946855.375237</v>
      </c>
      <c r="DS628" s="269">
        <f t="shared" si="1695"/>
        <v>0</v>
      </c>
      <c r="DT628" s="269">
        <f t="shared" si="1696"/>
        <v>0</v>
      </c>
      <c r="DU628" s="272">
        <f>'Detailed Budget'!$AC$192</f>
        <v>77498869683.252869</v>
      </c>
      <c r="DV628" s="269">
        <f t="shared" si="1605"/>
        <v>96253792.930658787</v>
      </c>
      <c r="DW628" s="140">
        <f>'Detailed Budget'!$AC$194</f>
        <v>2684962805.4134097</v>
      </c>
      <c r="DX628" s="269">
        <f t="shared" si="1606"/>
        <v>3334730.6219438994</v>
      </c>
      <c r="DY628" s="607">
        <f t="shared" si="1648"/>
        <v>99588523.552602693</v>
      </c>
      <c r="DZ628" s="196">
        <f>'Detailed Budget'!$AC$198</f>
        <v>18732540018.380611</v>
      </c>
      <c r="EA628" s="269">
        <f t="shared" si="1662"/>
        <v>21542319.640713755</v>
      </c>
      <c r="EB628" s="196">
        <f>'Detailed Budget'!$AC$200</f>
        <v>4683135004.5951529</v>
      </c>
      <c r="EC628" s="269">
        <f t="shared" si="1607"/>
        <v>5385579.9101784388</v>
      </c>
      <c r="ED628" s="269">
        <f t="shared" si="1649"/>
        <v>26927899.550892193</v>
      </c>
      <c r="EE628" s="196">
        <f>'Detailed Budget'!$AC$161</f>
        <v>251147290106.36197</v>
      </c>
      <c r="EF628" s="269">
        <f t="shared" si="1608"/>
        <v>311925572.02182925</v>
      </c>
      <c r="EG628" s="196">
        <f>'Detailed Budget'!$AC$163</f>
        <v>15696705631.647623</v>
      </c>
      <c r="EH628" s="269">
        <f t="shared" si="1609"/>
        <v>19495348.251364328</v>
      </c>
      <c r="EI628" s="269">
        <f t="shared" si="1650"/>
        <v>331420920.2731936</v>
      </c>
      <c r="EJ628" s="196">
        <f>'Detailed Budget'!$AC$204</f>
        <v>45012172507.531975</v>
      </c>
      <c r="EK628" s="269">
        <f t="shared" si="1610"/>
        <v>73004188.339986682</v>
      </c>
      <c r="EL628" s="201">
        <f>'Detailed Budget'!$AC$206</f>
        <v>11253043126.882994</v>
      </c>
      <c r="EM628" s="269">
        <f t="shared" si="1611"/>
        <v>18251047.08499667</v>
      </c>
      <c r="EN628" s="269">
        <f t="shared" si="1651"/>
        <v>91255235.424983352</v>
      </c>
      <c r="EO628" s="140">
        <f>'Detailed Budget'!$AC$209</f>
        <v>135789361677.54817</v>
      </c>
      <c r="EP628" s="269">
        <f t="shared" si="1612"/>
        <v>174515663.00240681</v>
      </c>
      <c r="EQ628" s="196">
        <f>'Detailed Budget'!$AC$211</f>
        <v>33947340419.387043</v>
      </c>
      <c r="ER628" s="269">
        <f t="shared" si="1613"/>
        <v>43628915.750601701</v>
      </c>
      <c r="ES628" s="269">
        <f t="shared" si="1652"/>
        <v>218144578.75300851</v>
      </c>
      <c r="ET628" s="196">
        <f>'Detailed Budget'!$AC$214</f>
        <v>22239745544.201103</v>
      </c>
      <c r="EU628" s="269">
        <f t="shared" si="1614"/>
        <v>27758386.976385616</v>
      </c>
      <c r="EV628" s="140">
        <f>'Detailed Budget'!$AC$217</f>
        <v>5559936386.0502758</v>
      </c>
      <c r="EW628" s="269">
        <f t="shared" si="1615"/>
        <v>6939596.7440964039</v>
      </c>
      <c r="EX628" s="269">
        <f t="shared" si="1653"/>
        <v>34697983.720482022</v>
      </c>
      <c r="EY628" s="196">
        <f>'Detailed Budget'!$AC$219</f>
        <v>372777004.58170313</v>
      </c>
      <c r="EZ628" s="269">
        <f t="shared" si="1616"/>
        <v>487114.33185254486</v>
      </c>
      <c r="FA628" s="196">
        <f>'Detailed Budget'!$AC$222</f>
        <v>93194251.145425782</v>
      </c>
      <c r="FB628" s="269">
        <f t="shared" si="1617"/>
        <v>121778.58296313621</v>
      </c>
      <c r="FC628" s="269">
        <f t="shared" si="1654"/>
        <v>608892.91481568106</v>
      </c>
      <c r="FD628" s="269"/>
      <c r="FE628" s="269">
        <f t="shared" si="1663"/>
        <v>344706690.81328952</v>
      </c>
      <c r="FF628" s="140">
        <f>'Detailed Budget'!$AC$165</f>
        <v>14927760000</v>
      </c>
      <c r="FG628" s="1087">
        <f t="shared" si="1585"/>
        <v>470202743.73349422</v>
      </c>
      <c r="FH628" s="269">
        <f t="shared" si="1664"/>
        <v>18657579.820474949</v>
      </c>
      <c r="FJ628" s="140">
        <f>'Detailed Budget'!$AC$235</f>
        <v>3623696172</v>
      </c>
      <c r="FK628" s="269">
        <f t="shared" si="1665"/>
        <v>4681778</v>
      </c>
      <c r="FL628" s="269">
        <f t="shared" si="1586"/>
        <v>4681778</v>
      </c>
      <c r="FO628" s="607"/>
      <c r="FP628" s="607"/>
      <c r="FQ628" s="607"/>
      <c r="FR628" s="269">
        <f>'Detailed Budget'!$AC$257</f>
        <v>13636439388</v>
      </c>
      <c r="FS628" s="269">
        <f t="shared" si="1666"/>
        <v>45969456</v>
      </c>
      <c r="FT628" s="269">
        <f t="shared" si="1587"/>
        <v>45969456</v>
      </c>
      <c r="FU628" s="269"/>
      <c r="FV628" s="269"/>
      <c r="FW628" s="269"/>
      <c r="FX628" s="140">
        <f>'Detailed Budget'!$AC$278</f>
        <v>1114560000</v>
      </c>
      <c r="FY628" s="269">
        <f t="shared" si="1667"/>
        <v>1440000</v>
      </c>
      <c r="FZ628" s="269">
        <f t="shared" si="1588"/>
        <v>1440000</v>
      </c>
      <c r="GB628" s="269">
        <f t="shared" si="1596"/>
        <v>1532014527.6560998</v>
      </c>
      <c r="GC628" s="887">
        <f t="shared" si="1668"/>
        <v>957509.07978506235</v>
      </c>
      <c r="GD628" s="1078">
        <f t="shared" si="1597"/>
        <v>8.5966159323103174E-4</v>
      </c>
    </row>
    <row r="629" spans="1:186" hidden="1" outlineLevel="1">
      <c r="A629" s="211" t="s">
        <v>1362</v>
      </c>
      <c r="B629" s="212" t="s">
        <v>1365</v>
      </c>
      <c r="C629" s="213" t="s">
        <v>215</v>
      </c>
      <c r="D629" s="214"/>
      <c r="E629" s="213"/>
      <c r="F629" s="213"/>
      <c r="G629" s="213" t="s">
        <v>215</v>
      </c>
      <c r="H629" s="213" t="s">
        <v>215</v>
      </c>
      <c r="I629" s="214" t="s">
        <v>215</v>
      </c>
      <c r="J629" s="214"/>
      <c r="K629" s="213"/>
      <c r="L629" s="213"/>
      <c r="M629" s="214"/>
      <c r="N629" s="213" t="s">
        <v>215</v>
      </c>
      <c r="O629" s="214"/>
      <c r="P629" s="213"/>
      <c r="Q629" s="214"/>
      <c r="R629" s="214" t="s">
        <v>215</v>
      </c>
      <c r="S629" s="214"/>
      <c r="T629" s="214"/>
      <c r="U629" s="215">
        <f>COUNTA(C629:T629)</f>
        <v>6</v>
      </c>
      <c r="V629" s="845" t="s">
        <v>216</v>
      </c>
      <c r="W629" s="216">
        <v>191515</v>
      </c>
      <c r="X629" s="217">
        <v>2.89</v>
      </c>
      <c r="Y629" s="218">
        <f>1+X629/100</f>
        <v>1.0288999999999999</v>
      </c>
      <c r="Z629" s="196">
        <v>19</v>
      </c>
      <c r="AA629" s="218">
        <f>POWER(Y629,Z629)</f>
        <v>1.7182651319612778</v>
      </c>
      <c r="AB629" s="196">
        <f>W629*AA629</f>
        <v>329073.54674756411</v>
      </c>
      <c r="AC629">
        <v>12.9</v>
      </c>
      <c r="AD629" s="196">
        <f>AB629*AC629/100</f>
        <v>42450.48753043577</v>
      </c>
      <c r="AE629" s="196">
        <f t="shared" si="1600"/>
        <v>40327.963153913981</v>
      </c>
      <c r="AF629" s="196">
        <f t="shared" si="1670"/>
        <v>0</v>
      </c>
      <c r="AG629" s="606">
        <f t="shared" si="1671"/>
        <v>1.8645879731614297E-3</v>
      </c>
      <c r="AH629" s="196">
        <f t="shared" si="1697"/>
        <v>16453.677337378205</v>
      </c>
      <c r="AI629" s="248">
        <f t="shared" si="1644"/>
        <v>1.2746414535704802E-3</v>
      </c>
      <c r="AJ629" s="196">
        <f t="shared" si="1672"/>
        <v>58904.164867813975</v>
      </c>
      <c r="AK629" s="196">
        <f t="shared" ref="AK629:AK689" si="1698">AB629*0.04</f>
        <v>13162.941869902565</v>
      </c>
      <c r="AL629" s="196">
        <f t="shared" ref="AL629:AL689" si="1699">AB629*0.04</f>
        <v>13162.941869902565</v>
      </c>
      <c r="AM629" s="196">
        <f t="shared" si="1656"/>
        <v>26325.883739805129</v>
      </c>
      <c r="AN629" s="627">
        <f t="shared" si="1657"/>
        <v>1.2746414535704804E-3</v>
      </c>
      <c r="AO629" s="196">
        <f t="shared" si="1658"/>
        <v>12504.794776407436</v>
      </c>
      <c r="AP629" s="589">
        <f t="shared" si="1673"/>
        <v>1.2746414535704802E-3</v>
      </c>
      <c r="AQ629" s="196"/>
      <c r="AR629" s="589"/>
      <c r="AS629">
        <v>1</v>
      </c>
      <c r="AT629" s="589">
        <f t="shared" si="1674"/>
        <v>1.2919896640826874E-3</v>
      </c>
      <c r="AU629" s="196">
        <v>10</v>
      </c>
      <c r="AV629" s="245">
        <f t="shared" si="1645"/>
        <v>1.1362345188046814E-3</v>
      </c>
      <c r="AX629" s="245"/>
      <c r="AY629" s="245"/>
      <c r="AZ629" s="196">
        <v>56</v>
      </c>
      <c r="BA629" s="589">
        <f t="shared" si="1590"/>
        <v>2.0519585211241803E-3</v>
      </c>
      <c r="BI629" s="196">
        <v>0</v>
      </c>
      <c r="BK629" s="246">
        <f t="shared" si="1591"/>
        <v>0</v>
      </c>
      <c r="BL629" s="196">
        <f t="shared" si="1629"/>
        <v>0</v>
      </c>
      <c r="BM629" s="246">
        <f t="shared" si="1592"/>
        <v>0</v>
      </c>
      <c r="BN629" s="196">
        <v>1</v>
      </c>
      <c r="BO629" s="196">
        <f t="shared" si="1675"/>
        <v>23082.247696885133</v>
      </c>
      <c r="BP629" s="196">
        <f t="shared" si="1676"/>
        <v>23082.247696885133</v>
      </c>
      <c r="BQ629" s="248">
        <f t="shared" si="1593"/>
        <v>2.1592367838330013E-3</v>
      </c>
      <c r="BR629" s="248"/>
      <c r="BS629" s="248"/>
      <c r="BT629" s="276">
        <v>0</v>
      </c>
      <c r="BU629" s="196">
        <f t="shared" si="1677"/>
        <v>0</v>
      </c>
      <c r="BV629" s="264">
        <f t="shared" si="1594"/>
        <v>0</v>
      </c>
      <c r="BW629" s="196">
        <f t="shared" si="1678"/>
        <v>0</v>
      </c>
      <c r="BX629" s="247">
        <f t="shared" si="1595"/>
        <v>0</v>
      </c>
      <c r="BY629" s="196">
        <f t="shared" si="1679"/>
        <v>0</v>
      </c>
      <c r="BZ629" s="620">
        <v>1</v>
      </c>
      <c r="CA629" s="196">
        <f t="shared" si="1680"/>
        <v>100696.50530475462</v>
      </c>
      <c r="CB629" s="196">
        <f t="shared" si="1681"/>
        <v>201393.01060950925</v>
      </c>
      <c r="CC629" s="196">
        <f t="shared" si="1682"/>
        <v>302089.5159142639</v>
      </c>
      <c r="CD629" s="247">
        <f t="shared" si="1646"/>
        <v>1.2746414535704804E-3</v>
      </c>
      <c r="CE629" s="196">
        <f t="shared" si="1683"/>
        <v>27330.491076336995</v>
      </c>
      <c r="CF629" s="247">
        <f t="shared" si="1647"/>
        <v>1.180215601018508E-3</v>
      </c>
      <c r="CG629" s="196">
        <f t="shared" si="1601"/>
        <v>50019.179105629744</v>
      </c>
      <c r="CH629" s="589">
        <f t="shared" si="1684"/>
        <v>1.2746414535704802E-3</v>
      </c>
      <c r="CI629" s="196">
        <f t="shared" si="1685"/>
        <v>101246.87108572325</v>
      </c>
      <c r="CJ629" s="248">
        <f t="shared" si="1686"/>
        <v>1.6644983036507523E-3</v>
      </c>
      <c r="CK629" s="196">
        <f t="shared" si="1687"/>
        <v>91752.974380695436</v>
      </c>
      <c r="CL629" s="589">
        <f t="shared" si="1688"/>
        <v>1.3189678795041428E-3</v>
      </c>
      <c r="CM629" s="196">
        <f t="shared" si="1689"/>
        <v>8888.5667037673047</v>
      </c>
      <c r="CN629" s="589">
        <f t="shared" si="1690"/>
        <v>1.2809434774716908E-3</v>
      </c>
      <c r="CO629" s="196">
        <f t="shared" si="1691"/>
        <v>711.11711215446894</v>
      </c>
      <c r="CP629" s="589">
        <f t="shared" si="1692"/>
        <v>1.3410573413239184E-3</v>
      </c>
      <c r="CQ629" s="196">
        <f>'Detailed Budget'!$AC$12</f>
        <v>292876014141.44696</v>
      </c>
      <c r="CR629" s="269">
        <f t="shared" si="1534"/>
        <v>0</v>
      </c>
      <c r="CS629" s="269">
        <f>'Detailed Budget'!$AC$16</f>
        <v>10488008800.000002</v>
      </c>
      <c r="CT629" s="607">
        <f t="shared" si="1602"/>
        <v>0</v>
      </c>
      <c r="CU629" s="269">
        <f>'Detailed Budget'!$AC$24</f>
        <v>30624985696</v>
      </c>
      <c r="CV629" s="269">
        <f t="shared" si="1589"/>
        <v>0</v>
      </c>
      <c r="CW629" s="269"/>
      <c r="CX629" s="269">
        <f t="shared" si="1660"/>
        <v>0</v>
      </c>
      <c r="CY629" s="196">
        <f>'Detailed Budget'!$AC$97</f>
        <v>74629165494.837845</v>
      </c>
      <c r="CZ629" s="269">
        <f t="shared" si="1603"/>
        <v>161142039.28321445</v>
      </c>
      <c r="DA629" s="269">
        <f>'Detailed Budget'!$AC$100</f>
        <v>14925833098.967569</v>
      </c>
      <c r="DB629" s="269">
        <f t="shared" si="1604"/>
        <v>32228407.856642894</v>
      </c>
      <c r="DC629" s="269">
        <f t="shared" si="1661"/>
        <v>193370447.13985735</v>
      </c>
      <c r="DD629" s="207">
        <v>0</v>
      </c>
      <c r="DE629" s="606">
        <v>0</v>
      </c>
      <c r="DF629" s="269">
        <f>'Detailed Budget'!$AC$147</f>
        <v>5913600671000</v>
      </c>
      <c r="DG629" s="269">
        <f t="shared" si="1584"/>
        <v>0</v>
      </c>
      <c r="DH629" s="269">
        <f>'Detailed Budget'!$AC$153</f>
        <v>226428026880.00003</v>
      </c>
      <c r="DI629" s="269"/>
      <c r="DJ629" s="269">
        <f>'Detailed Budget'!$AC$156</f>
        <v>27713070000</v>
      </c>
      <c r="DK629" s="269"/>
      <c r="DL629" s="269"/>
      <c r="DM629" s="196">
        <f>'Detailed Budget'!$AC$178</f>
        <v>5622683761.6229038</v>
      </c>
      <c r="DN629" s="269">
        <f t="shared" si="1693"/>
        <v>0</v>
      </c>
      <c r="DO629" s="196">
        <f>'Detailed Budget'!$AC$179</f>
        <v>26827890683.128094</v>
      </c>
      <c r="DP629" s="269">
        <f t="shared" si="1694"/>
        <v>0</v>
      </c>
      <c r="DQ629" s="269">
        <f t="shared" si="1531"/>
        <v>0</v>
      </c>
      <c r="DR629" s="269">
        <f>'Detailed Budget'!$AC$181</f>
        <v>50888946855.375237</v>
      </c>
      <c r="DS629" s="269">
        <f t="shared" si="1695"/>
        <v>0</v>
      </c>
      <c r="DT629" s="269">
        <f t="shared" si="1696"/>
        <v>0</v>
      </c>
      <c r="DU629" s="272">
        <f>'Detailed Budget'!$AC$192</f>
        <v>77498869683.252869</v>
      </c>
      <c r="DV629" s="269">
        <f t="shared" si="1605"/>
        <v>98783271.903130665</v>
      </c>
      <c r="DW629" s="140">
        <f>'Detailed Budget'!$AC$194</f>
        <v>2684962805.4134097</v>
      </c>
      <c r="DX629" s="269">
        <f t="shared" si="1606"/>
        <v>3422364.8930748235</v>
      </c>
      <c r="DY629" s="607">
        <f t="shared" si="1648"/>
        <v>102205636.79620549</v>
      </c>
      <c r="DZ629" s="196">
        <f>'Detailed Budget'!$AC$198</f>
        <v>18732540018.380611</v>
      </c>
      <c r="EA629" s="269">
        <f t="shared" si="1662"/>
        <v>22108435.976396326</v>
      </c>
      <c r="EB629" s="196">
        <f>'Detailed Budget'!$AC$200</f>
        <v>4683135004.5951529</v>
      </c>
      <c r="EC629" s="269">
        <f t="shared" si="1607"/>
        <v>5527108.9940990815</v>
      </c>
      <c r="ED629" s="269">
        <f t="shared" si="1649"/>
        <v>27635544.970495407</v>
      </c>
      <c r="EE629" s="196">
        <f>'Detailed Budget'!$AC$161</f>
        <v>251147290106.36197</v>
      </c>
      <c r="EF629" s="269">
        <f t="shared" si="1608"/>
        <v>320122746.92146027</v>
      </c>
      <c r="EG629" s="196">
        <f>'Detailed Budget'!$AC$163</f>
        <v>15696705631.647623</v>
      </c>
      <c r="EH629" s="269">
        <f t="shared" si="1609"/>
        <v>20007671.682591267</v>
      </c>
      <c r="EI629" s="269">
        <f t="shared" si="1650"/>
        <v>340130418.60405153</v>
      </c>
      <c r="EJ629" s="196">
        <f>'Detailed Budget'!$AC$204</f>
        <v>45012172507.531975</v>
      </c>
      <c r="EK629" s="269">
        <f t="shared" si="1610"/>
        <v>74922684.782422006</v>
      </c>
      <c r="EL629" s="201">
        <f>'Detailed Budget'!$AC$206</f>
        <v>11253043126.882994</v>
      </c>
      <c r="EM629" s="269">
        <f t="shared" si="1611"/>
        <v>18730671.195605502</v>
      </c>
      <c r="EN629" s="269">
        <f t="shared" si="1651"/>
        <v>93653355.978027508</v>
      </c>
      <c r="EO629" s="140">
        <f>'Detailed Budget'!$AC$209</f>
        <v>135789361677.54817</v>
      </c>
      <c r="EP629" s="269">
        <f t="shared" si="1612"/>
        <v>179101806.43105683</v>
      </c>
      <c r="EQ629" s="196">
        <f>'Detailed Budget'!$AC$211</f>
        <v>33947340419.387043</v>
      </c>
      <c r="ER629" s="269">
        <f t="shared" si="1613"/>
        <v>44775451.607764207</v>
      </c>
      <c r="ES629" s="269">
        <f t="shared" si="1652"/>
        <v>223877258.03882104</v>
      </c>
      <c r="ET629" s="196">
        <f>'Detailed Budget'!$AC$214</f>
        <v>22239745544.201103</v>
      </c>
      <c r="EU629" s="269">
        <f t="shared" si="1614"/>
        <v>28487856.995474502</v>
      </c>
      <c r="EV629" s="140">
        <f>'Detailed Budget'!$AC$217</f>
        <v>5559936386.0502758</v>
      </c>
      <c r="EW629" s="269">
        <f t="shared" si="1615"/>
        <v>7121964.2488686256</v>
      </c>
      <c r="EX629" s="269">
        <f t="shared" si="1653"/>
        <v>35609821.244343132</v>
      </c>
      <c r="EY629" s="196">
        <f>'Detailed Budget'!$AC$219</f>
        <v>372777004.58170313</v>
      </c>
      <c r="EZ629" s="269">
        <f t="shared" si="1616"/>
        <v>499915.33867103298</v>
      </c>
      <c r="FA629" s="196">
        <f>'Detailed Budget'!$AC$222</f>
        <v>93194251.145425782</v>
      </c>
      <c r="FB629" s="269">
        <f t="shared" si="1617"/>
        <v>124978.83466775824</v>
      </c>
      <c r="FC629" s="269">
        <f t="shared" si="1654"/>
        <v>624894.17333879124</v>
      </c>
      <c r="FD629" s="269"/>
      <c r="FE629" s="269">
        <f t="shared" si="1663"/>
        <v>353765329.4345305</v>
      </c>
      <c r="FF629" s="140">
        <f>'Detailed Budget'!$AC$165</f>
        <v>14927760000</v>
      </c>
      <c r="FG629" s="1087">
        <f t="shared" si="1585"/>
        <v>482559326.43906403</v>
      </c>
      <c r="FH629" s="269">
        <f t="shared" si="1664"/>
        <v>16961436.200431772</v>
      </c>
      <c r="FJ629" s="140">
        <f>'Detailed Budget'!$AC$235</f>
        <v>3623696172</v>
      </c>
      <c r="FK629" s="269">
        <f t="shared" si="1665"/>
        <v>4681778</v>
      </c>
      <c r="FL629" s="269">
        <f t="shared" si="1586"/>
        <v>4681778</v>
      </c>
      <c r="FO629" s="607"/>
      <c r="FP629" s="607"/>
      <c r="FQ629" s="607"/>
      <c r="FR629" s="269">
        <f>'Detailed Budget'!$AC$257</f>
        <v>13636439388</v>
      </c>
      <c r="FS629" s="269">
        <f t="shared" si="1666"/>
        <v>27981408</v>
      </c>
      <c r="FT629" s="269">
        <f t="shared" si="1587"/>
        <v>27981408</v>
      </c>
      <c r="FU629" s="269"/>
      <c r="FV629" s="269"/>
      <c r="FW629" s="269"/>
      <c r="FX629" s="140">
        <f>'Detailed Budget'!$AC$278</f>
        <v>1114560000</v>
      </c>
      <c r="FY629" s="269">
        <f t="shared" si="1667"/>
        <v>1440000</v>
      </c>
      <c r="FZ629" s="269">
        <f t="shared" si="1588"/>
        <v>1440000</v>
      </c>
      <c r="GB629" s="269">
        <f t="shared" si="1596"/>
        <v>1550731325.5846362</v>
      </c>
      <c r="GC629" s="887">
        <f t="shared" si="1668"/>
        <v>969207.07849039766</v>
      </c>
      <c r="GD629" s="1078">
        <f t="shared" si="1597"/>
        <v>8.7016417792391051E-4</v>
      </c>
    </row>
    <row r="630" spans="1:186" hidden="1" outlineLevel="1">
      <c r="A630" s="211" t="s">
        <v>1364</v>
      </c>
      <c r="B630" s="212" t="s">
        <v>1363</v>
      </c>
      <c r="C630" s="213" t="s">
        <v>215</v>
      </c>
      <c r="D630" s="214"/>
      <c r="E630" s="213"/>
      <c r="F630" s="213"/>
      <c r="G630" s="213" t="s">
        <v>215</v>
      </c>
      <c r="H630" s="213" t="s">
        <v>215</v>
      </c>
      <c r="I630" s="214" t="s">
        <v>215</v>
      </c>
      <c r="J630" s="214"/>
      <c r="K630" s="213"/>
      <c r="L630" s="213"/>
      <c r="M630" s="214"/>
      <c r="N630" s="213" t="s">
        <v>215</v>
      </c>
      <c r="O630" s="214"/>
      <c r="P630" s="213"/>
      <c r="Q630" s="214"/>
      <c r="R630" s="214" t="s">
        <v>215</v>
      </c>
      <c r="S630" s="214"/>
      <c r="T630" s="214"/>
      <c r="U630" s="215">
        <f t="shared" si="1669"/>
        <v>6</v>
      </c>
      <c r="V630" s="845" t="s">
        <v>216</v>
      </c>
      <c r="W630" s="216">
        <v>183681</v>
      </c>
      <c r="X630" s="217">
        <v>2.89</v>
      </c>
      <c r="Y630" s="218">
        <f t="shared" si="1598"/>
        <v>1.0288999999999999</v>
      </c>
      <c r="Z630" s="196">
        <v>19</v>
      </c>
      <c r="AA630" s="218">
        <f t="shared" si="1599"/>
        <v>1.7182651319612778</v>
      </c>
      <c r="AB630" s="196">
        <f t="shared" si="1619"/>
        <v>315612.65770377946</v>
      </c>
      <c r="AC630">
        <v>12.9</v>
      </c>
      <c r="AD630" s="196">
        <f t="shared" si="1620"/>
        <v>40714.032843787551</v>
      </c>
      <c r="AE630" s="196">
        <f t="shared" si="1600"/>
        <v>38678.331201598172</v>
      </c>
      <c r="AF630" s="196">
        <f t="shared" si="1670"/>
        <v>0</v>
      </c>
      <c r="AG630" s="606">
        <f t="shared" si="1671"/>
        <v>1.7883162337063131E-3</v>
      </c>
      <c r="AH630" s="196">
        <f t="shared" si="1697"/>
        <v>15780.632885188974</v>
      </c>
      <c r="AI630" s="248">
        <f t="shared" si="1644"/>
        <v>1.2225017196213321E-3</v>
      </c>
      <c r="AJ630" s="196">
        <f t="shared" si="1672"/>
        <v>56494.665728976528</v>
      </c>
      <c r="AK630" s="196">
        <f t="shared" si="1698"/>
        <v>12624.506308151178</v>
      </c>
      <c r="AL630" s="196">
        <f t="shared" si="1699"/>
        <v>12624.506308151178</v>
      </c>
      <c r="AM630" s="196">
        <f t="shared" si="1656"/>
        <v>25249.012616302356</v>
      </c>
      <c r="AN630" s="627">
        <f t="shared" si="1657"/>
        <v>1.2225017196213319E-3</v>
      </c>
      <c r="AO630" s="196">
        <f t="shared" si="1658"/>
        <v>11993.280992743619</v>
      </c>
      <c r="AP630" s="589">
        <f t="shared" si="1673"/>
        <v>1.2225017196213319E-3</v>
      </c>
      <c r="AQ630" s="196"/>
      <c r="AR630" s="589"/>
      <c r="AS630">
        <v>1</v>
      </c>
      <c r="AT630" s="589">
        <f t="shared" si="1674"/>
        <v>1.2919896640826874E-3</v>
      </c>
      <c r="AU630" s="196">
        <v>12</v>
      </c>
      <c r="AV630" s="245">
        <f t="shared" si="1645"/>
        <v>1.3634814225656176E-3</v>
      </c>
      <c r="AX630" s="245"/>
      <c r="AY630" s="245"/>
      <c r="AZ630" s="196">
        <v>34</v>
      </c>
      <c r="BA630" s="589">
        <f t="shared" si="1590"/>
        <v>1.2458319592539666E-3</v>
      </c>
      <c r="BI630" s="196">
        <v>0</v>
      </c>
      <c r="BK630" s="246">
        <f t="shared" si="1591"/>
        <v>0</v>
      </c>
      <c r="BL630" s="196">
        <f t="shared" si="1629"/>
        <v>0</v>
      </c>
      <c r="BM630" s="246">
        <f t="shared" si="1592"/>
        <v>0</v>
      </c>
      <c r="BN630" s="196">
        <v>1</v>
      </c>
      <c r="BO630" s="196">
        <f t="shared" si="1675"/>
        <v>22138.058842448674</v>
      </c>
      <c r="BP630" s="196">
        <f t="shared" si="1676"/>
        <v>22138.058842448674</v>
      </c>
      <c r="BQ630" s="248">
        <f t="shared" si="1593"/>
        <v>2.070912313350022E-3</v>
      </c>
      <c r="BR630" s="248"/>
      <c r="BS630" s="248"/>
      <c r="BT630" s="276">
        <v>0</v>
      </c>
      <c r="BU630" s="196">
        <f t="shared" si="1677"/>
        <v>0</v>
      </c>
      <c r="BV630" s="264">
        <f t="shared" si="1594"/>
        <v>0</v>
      </c>
      <c r="BW630" s="196">
        <f t="shared" si="1678"/>
        <v>0</v>
      </c>
      <c r="BX630" s="247">
        <f t="shared" si="1595"/>
        <v>0</v>
      </c>
      <c r="BY630" s="196">
        <f t="shared" si="1679"/>
        <v>0</v>
      </c>
      <c r="BZ630" s="620">
        <v>1</v>
      </c>
      <c r="CA630" s="196">
        <f t="shared" si="1680"/>
        <v>96577.473257356527</v>
      </c>
      <c r="CB630" s="196">
        <f t="shared" si="1681"/>
        <v>193154.94651471305</v>
      </c>
      <c r="CC630" s="196">
        <f t="shared" si="1682"/>
        <v>289732.41977206955</v>
      </c>
      <c r="CD630" s="247">
        <f t="shared" si="1646"/>
        <v>1.2225017196213319E-3</v>
      </c>
      <c r="CE630" s="196">
        <f t="shared" si="1683"/>
        <v>26212.526075725953</v>
      </c>
      <c r="CF630" s="247">
        <f t="shared" si="1647"/>
        <v>1.1319383954817147E-3</v>
      </c>
      <c r="CG630" s="196">
        <f t="shared" si="1601"/>
        <v>47973.123970974477</v>
      </c>
      <c r="CH630" s="589">
        <f t="shared" si="1684"/>
        <v>1.2225017196213319E-3</v>
      </c>
      <c r="CI630" s="196">
        <f t="shared" si="1685"/>
        <v>97105.326099244106</v>
      </c>
      <c r="CJ630" s="248">
        <f t="shared" si="1686"/>
        <v>1.5964113145856662E-3</v>
      </c>
      <c r="CK630" s="196">
        <f t="shared" si="1687"/>
        <v>87999.781151452989</v>
      </c>
      <c r="CL630" s="589">
        <f t="shared" si="1688"/>
        <v>1.2650149548348716E-3</v>
      </c>
      <c r="CM630" s="196">
        <f t="shared" si="1689"/>
        <v>8524.9762196939264</v>
      </c>
      <c r="CN630" s="589">
        <f t="shared" si="1690"/>
        <v>1.2285459566377444E-3</v>
      </c>
      <c r="CO630" s="196">
        <f t="shared" si="1691"/>
        <v>682.0285736242331</v>
      </c>
      <c r="CP630" s="589">
        <f t="shared" si="1692"/>
        <v>1.2862008381156497E-3</v>
      </c>
      <c r="CQ630" s="196">
        <f>'Detailed Budget'!$AC$12</f>
        <v>292876014141.44696</v>
      </c>
      <c r="CR630" s="269">
        <f t="shared" si="1534"/>
        <v>0</v>
      </c>
      <c r="CS630" s="269">
        <f>'Detailed Budget'!$AC$16</f>
        <v>10488008800.000002</v>
      </c>
      <c r="CT630" s="607">
        <f t="shared" si="1602"/>
        <v>0</v>
      </c>
      <c r="CU630" s="269">
        <f>'Detailed Budget'!$AC$24</f>
        <v>30624985696</v>
      </c>
      <c r="CV630" s="269">
        <f t="shared" si="1589"/>
        <v>0</v>
      </c>
      <c r="CW630" s="269"/>
      <c r="CX630" s="269">
        <f t="shared" si="1660"/>
        <v>0</v>
      </c>
      <c r="CY630" s="196">
        <f>'Detailed Budget'!$AC$97</f>
        <v>74629165494.837845</v>
      </c>
      <c r="CZ630" s="269">
        <f t="shared" si="1603"/>
        <v>154550457.75829628</v>
      </c>
      <c r="DA630" s="269">
        <f>'Detailed Budget'!$AC$100</f>
        <v>14925833098.967569</v>
      </c>
      <c r="DB630" s="269">
        <f t="shared" si="1604"/>
        <v>30910091.551659256</v>
      </c>
      <c r="DC630" s="269">
        <f t="shared" si="1661"/>
        <v>185460549.30995554</v>
      </c>
      <c r="DD630" s="207">
        <v>0</v>
      </c>
      <c r="DE630" s="606">
        <v>0</v>
      </c>
      <c r="DF630" s="269">
        <f>'Detailed Budget'!$AC$147</f>
        <v>5913600671000</v>
      </c>
      <c r="DG630" s="269">
        <f t="shared" si="1584"/>
        <v>0</v>
      </c>
      <c r="DH630" s="269">
        <f>'Detailed Budget'!$AC$153</f>
        <v>226428026880.00003</v>
      </c>
      <c r="DI630" s="269"/>
      <c r="DJ630" s="269">
        <f>'Detailed Budget'!$AC$156</f>
        <v>27713070000</v>
      </c>
      <c r="DK630" s="269"/>
      <c r="DL630" s="269"/>
      <c r="DM630" s="196">
        <f>'Detailed Budget'!$AC$178</f>
        <v>5622683761.6229038</v>
      </c>
      <c r="DN630" s="269">
        <f t="shared" si="1693"/>
        <v>0</v>
      </c>
      <c r="DO630" s="196">
        <f>'Detailed Budget'!$AC$179</f>
        <v>26827890683.128094</v>
      </c>
      <c r="DP630" s="269">
        <f t="shared" si="1694"/>
        <v>0</v>
      </c>
      <c r="DQ630" s="269">
        <f t="shared" si="1531"/>
        <v>0</v>
      </c>
      <c r="DR630" s="269">
        <f>'Detailed Budget'!$AC$181</f>
        <v>50888946855.375237</v>
      </c>
      <c r="DS630" s="269">
        <f t="shared" si="1695"/>
        <v>0</v>
      </c>
      <c r="DT630" s="269">
        <f t="shared" si="1696"/>
        <v>0</v>
      </c>
      <c r="DU630" s="272">
        <f>'Detailed Budget'!$AC$192</f>
        <v>77498869683.252869</v>
      </c>
      <c r="DV630" s="269">
        <f t="shared" si="1605"/>
        <v>94742501.456486136</v>
      </c>
      <c r="DW630" s="140">
        <f>'Detailed Budget'!$AC$194</f>
        <v>2684962805.4134097</v>
      </c>
      <c r="DX630" s="269">
        <f t="shared" si="1606"/>
        <v>3282371.6467372091</v>
      </c>
      <c r="DY630" s="607">
        <f t="shared" si="1648"/>
        <v>98024873.103223339</v>
      </c>
      <c r="DZ630" s="196">
        <f>'Detailed Budget'!$AC$198</f>
        <v>18732540018.380611</v>
      </c>
      <c r="EA630" s="269">
        <f t="shared" si="1662"/>
        <v>21204081.291702759</v>
      </c>
      <c r="EB630" s="196">
        <f>'Detailed Budget'!$AC$200</f>
        <v>4683135004.5951529</v>
      </c>
      <c r="EC630" s="269">
        <f t="shared" si="1607"/>
        <v>5301020.3229256896</v>
      </c>
      <c r="ED630" s="269">
        <f t="shared" si="1649"/>
        <v>26505101.614628449</v>
      </c>
      <c r="EE630" s="196">
        <f>'Detailed Budget'!$AC$161</f>
        <v>251147290106.36197</v>
      </c>
      <c r="EF630" s="269">
        <f t="shared" si="1608"/>
        <v>307027994.03326499</v>
      </c>
      <c r="EG630" s="196">
        <f>'Detailed Budget'!$AC$163</f>
        <v>15696705631.647623</v>
      </c>
      <c r="EH630" s="269">
        <f t="shared" si="1609"/>
        <v>19189249.627079062</v>
      </c>
      <c r="EI630" s="269">
        <f t="shared" si="1650"/>
        <v>326217243.66034406</v>
      </c>
      <c r="EJ630" s="196">
        <f>'Detailed Budget'!$AC$204</f>
        <v>45012172507.531975</v>
      </c>
      <c r="EK630" s="269">
        <f t="shared" si="1610"/>
        <v>71857941.485105902</v>
      </c>
      <c r="EL630" s="201">
        <f>'Detailed Budget'!$AC$206</f>
        <v>11253043126.882994</v>
      </c>
      <c r="EM630" s="269">
        <f t="shared" si="1611"/>
        <v>17964485.371276475</v>
      </c>
      <c r="EN630" s="269">
        <f t="shared" si="1651"/>
        <v>89822426.85638237</v>
      </c>
      <c r="EO630" s="140">
        <f>'Detailed Budget'!$AC$209</f>
        <v>135789361677.54817</v>
      </c>
      <c r="EP630" s="269">
        <f t="shared" si="1612"/>
        <v>171775573.22957966</v>
      </c>
      <c r="EQ630" s="196">
        <f>'Detailed Budget'!$AC$211</f>
        <v>33947340419.387043</v>
      </c>
      <c r="ER630" s="269">
        <f t="shared" si="1613"/>
        <v>42943893.307394914</v>
      </c>
      <c r="ES630" s="269">
        <f t="shared" si="1652"/>
        <v>214719466.53697458</v>
      </c>
      <c r="ET630" s="196">
        <f>'Detailed Budget'!$AC$214</f>
        <v>22239745544.201103</v>
      </c>
      <c r="EU630" s="269">
        <f t="shared" si="1614"/>
        <v>27322549.464980558</v>
      </c>
      <c r="EV630" s="140">
        <f>'Detailed Budget'!$AC$217</f>
        <v>5559936386.0502758</v>
      </c>
      <c r="EW630" s="269">
        <f t="shared" si="1615"/>
        <v>6830637.3662451394</v>
      </c>
      <c r="EX630" s="269">
        <f t="shared" si="1653"/>
        <v>34153186.831225693</v>
      </c>
      <c r="EY630" s="196">
        <f>'Detailed Budget'!$AC$219</f>
        <v>372777004.58170313</v>
      </c>
      <c r="EZ630" s="269">
        <f t="shared" si="1616"/>
        <v>479466.09572322795</v>
      </c>
      <c r="FA630" s="196">
        <f>'Detailed Budget'!$AC$222</f>
        <v>93194251.145425782</v>
      </c>
      <c r="FB630" s="269">
        <f t="shared" si="1617"/>
        <v>119866.52393080699</v>
      </c>
      <c r="FC630" s="269">
        <f t="shared" si="1654"/>
        <v>599332.61965403496</v>
      </c>
      <c r="FD630" s="269"/>
      <c r="FE630" s="269">
        <f t="shared" si="1663"/>
        <v>339294412.84423667</v>
      </c>
      <c r="FF630" s="140">
        <f>'Detailed Budget'!$AC$165</f>
        <v>14927760000</v>
      </c>
      <c r="FG630" s="1087">
        <f t="shared" si="1585"/>
        <v>462820038.32417154</v>
      </c>
      <c r="FH630" s="269">
        <f t="shared" si="1664"/>
        <v>20353723.440518126</v>
      </c>
      <c r="FJ630" s="140">
        <f>'Detailed Budget'!$AC$235</f>
        <v>3623696172</v>
      </c>
      <c r="FK630" s="269">
        <f t="shared" si="1665"/>
        <v>4681778</v>
      </c>
      <c r="FL630" s="269">
        <f t="shared" si="1586"/>
        <v>4681778</v>
      </c>
      <c r="FO630" s="607"/>
      <c r="FP630" s="607"/>
      <c r="FQ630" s="607"/>
      <c r="FR630" s="269">
        <f>'Detailed Budget'!$AC$257</f>
        <v>13636439388</v>
      </c>
      <c r="FS630" s="269">
        <f t="shared" si="1666"/>
        <v>16988712</v>
      </c>
      <c r="FT630" s="269">
        <f t="shared" si="1587"/>
        <v>16988712</v>
      </c>
      <c r="FU630" s="269"/>
      <c r="FV630" s="269"/>
      <c r="FW630" s="269"/>
      <c r="FX630" s="140">
        <f>'Detailed Budget'!$AC$278</f>
        <v>1114560000</v>
      </c>
      <c r="FY630" s="269">
        <f t="shared" si="1667"/>
        <v>1440000</v>
      </c>
      <c r="FZ630" s="269">
        <f t="shared" si="1588"/>
        <v>1440000</v>
      </c>
      <c r="GB630" s="269">
        <f t="shared" si="1596"/>
        <v>1481786432.2970777</v>
      </c>
      <c r="GC630" s="887">
        <f t="shared" si="1668"/>
        <v>926116.52018567349</v>
      </c>
      <c r="GD630" s="1078">
        <f t="shared" si="1597"/>
        <v>8.3147702728741826E-4</v>
      </c>
    </row>
    <row r="631" spans="1:186" hidden="1" outlineLevel="1">
      <c r="A631" s="211" t="s">
        <v>1366</v>
      </c>
      <c r="B631" s="212" t="s">
        <v>1367</v>
      </c>
      <c r="C631" s="213" t="s">
        <v>215</v>
      </c>
      <c r="D631" s="214"/>
      <c r="E631" s="213"/>
      <c r="F631" s="213"/>
      <c r="G631" s="213" t="s">
        <v>215</v>
      </c>
      <c r="H631" s="213" t="s">
        <v>215</v>
      </c>
      <c r="I631" s="214" t="s">
        <v>215</v>
      </c>
      <c r="J631" s="214"/>
      <c r="K631" s="213"/>
      <c r="L631" s="213"/>
      <c r="M631" s="214" t="s">
        <v>215</v>
      </c>
      <c r="N631" s="213"/>
      <c r="O631" s="214"/>
      <c r="P631" s="213"/>
      <c r="Q631" s="214"/>
      <c r="R631" s="214" t="s">
        <v>215</v>
      </c>
      <c r="S631" s="214"/>
      <c r="T631" s="214"/>
      <c r="U631" s="215">
        <f t="shared" si="1669"/>
        <v>6</v>
      </c>
      <c r="V631" s="845" t="s">
        <v>216</v>
      </c>
      <c r="W631" s="216">
        <v>80036</v>
      </c>
      <c r="X631" s="217">
        <v>2.89</v>
      </c>
      <c r="Y631" s="218">
        <f t="shared" si="1598"/>
        <v>1.0288999999999999</v>
      </c>
      <c r="Z631" s="196">
        <v>19</v>
      </c>
      <c r="AA631" s="218">
        <f t="shared" si="1599"/>
        <v>1.7182651319612778</v>
      </c>
      <c r="AB631" s="196">
        <f t="shared" si="1619"/>
        <v>137523.06810165284</v>
      </c>
      <c r="AC631">
        <v>12.9</v>
      </c>
      <c r="AD631" s="196">
        <f t="shared" si="1620"/>
        <v>17740.475785113216</v>
      </c>
      <c r="AE631" s="196">
        <f t="shared" si="1600"/>
        <v>16853.451995857555</v>
      </c>
      <c r="AF631" s="196">
        <f t="shared" si="1670"/>
        <v>0</v>
      </c>
      <c r="AG631" s="606">
        <f t="shared" si="1671"/>
        <v>7.7922963224785627E-4</v>
      </c>
      <c r="AH631" s="196">
        <f t="shared" si="1697"/>
        <v>6876.1534050826422</v>
      </c>
      <c r="AI631" s="248">
        <f t="shared" si="1644"/>
        <v>5.3268518590171511E-4</v>
      </c>
      <c r="AJ631" s="196">
        <f t="shared" si="1672"/>
        <v>24616.629190195858</v>
      </c>
      <c r="AK631" s="196">
        <f t="shared" si="1698"/>
        <v>5500.9227240661139</v>
      </c>
      <c r="AL631" s="196">
        <f t="shared" si="1699"/>
        <v>5500.9227240661139</v>
      </c>
      <c r="AM631" s="196">
        <f t="shared" si="1656"/>
        <v>11001.845448132228</v>
      </c>
      <c r="AN631" s="627">
        <f t="shared" si="1657"/>
        <v>5.3268518590171511E-4</v>
      </c>
      <c r="AO631" s="196">
        <f t="shared" si="1658"/>
        <v>5225.8765878628074</v>
      </c>
      <c r="AP631" s="589">
        <f t="shared" si="1673"/>
        <v>5.3268518590171511E-4</v>
      </c>
      <c r="AQ631" s="196"/>
      <c r="AR631" s="589"/>
      <c r="AS631">
        <v>1</v>
      </c>
      <c r="AT631" s="589">
        <f t="shared" si="1674"/>
        <v>1.2919896640826874E-3</v>
      </c>
      <c r="AU631" s="196">
        <v>10</v>
      </c>
      <c r="AV631" s="245">
        <f t="shared" si="1645"/>
        <v>1.1362345188046814E-3</v>
      </c>
      <c r="AX631" s="245"/>
      <c r="AY631" s="245"/>
      <c r="AZ631" s="196">
        <v>31</v>
      </c>
      <c r="BA631" s="589">
        <f t="shared" si="1590"/>
        <v>1.1359056099080284E-3</v>
      </c>
      <c r="BI631" s="196">
        <v>0</v>
      </c>
      <c r="BK631" s="246">
        <f t="shared" si="1591"/>
        <v>0</v>
      </c>
      <c r="BL631" s="196">
        <f t="shared" si="1629"/>
        <v>0</v>
      </c>
      <c r="BM631" s="246">
        <f t="shared" si="1592"/>
        <v>0</v>
      </c>
      <c r="BN631" s="196">
        <v>1</v>
      </c>
      <c r="BO631" s="196">
        <f t="shared" si="1675"/>
        <v>9646.2980793561783</v>
      </c>
      <c r="BP631" s="196">
        <f t="shared" si="1676"/>
        <v>9646.2980793561783</v>
      </c>
      <c r="BQ631" s="248">
        <f t="shared" si="1593"/>
        <v>9.0236626494456351E-4</v>
      </c>
      <c r="BR631" s="248"/>
      <c r="BS631" s="248"/>
      <c r="BT631" s="276">
        <v>0</v>
      </c>
      <c r="BU631" s="196">
        <f t="shared" si="1677"/>
        <v>0</v>
      </c>
      <c r="BV631" s="264">
        <f t="shared" si="1594"/>
        <v>0</v>
      </c>
      <c r="BW631" s="196">
        <f t="shared" si="1678"/>
        <v>0</v>
      </c>
      <c r="BX631" s="247">
        <f t="shared" si="1595"/>
        <v>0</v>
      </c>
      <c r="BY631" s="196">
        <f t="shared" si="1679"/>
        <v>0</v>
      </c>
      <c r="BZ631" s="620">
        <v>1</v>
      </c>
      <c r="CA631" s="196">
        <f t="shared" si="1680"/>
        <v>42082.058839105775</v>
      </c>
      <c r="CB631" s="196">
        <f t="shared" si="1681"/>
        <v>84164.117678211551</v>
      </c>
      <c r="CC631" s="196">
        <f t="shared" si="1682"/>
        <v>126246.17651731733</v>
      </c>
      <c r="CD631" s="247">
        <f t="shared" si="1646"/>
        <v>5.3268518590171522E-4</v>
      </c>
      <c r="CE631" s="196">
        <f t="shared" si="1683"/>
        <v>11421.680723628479</v>
      </c>
      <c r="CF631" s="247">
        <f t="shared" si="1647"/>
        <v>4.9322369445274432E-4</v>
      </c>
      <c r="CG631" s="196">
        <f t="shared" si="1601"/>
        <v>20903.506351451229</v>
      </c>
      <c r="CH631" s="589">
        <f t="shared" si="1684"/>
        <v>5.3268518590171511E-4</v>
      </c>
      <c r="CI631" s="196">
        <f t="shared" si="1685"/>
        <v>42312.062105928766</v>
      </c>
      <c r="CJ631" s="248">
        <f t="shared" si="1686"/>
        <v>6.95610193619255E-4</v>
      </c>
      <c r="CK631" s="196">
        <f t="shared" si="1687"/>
        <v>38344.46940204862</v>
      </c>
      <c r="CL631" s="589">
        <f t="shared" si="1688"/>
        <v>5.5120963477531054E-4</v>
      </c>
      <c r="CM631" s="196">
        <f t="shared" si="1689"/>
        <v>3714.6193494124227</v>
      </c>
      <c r="CN631" s="589">
        <f t="shared" si="1690"/>
        <v>5.3531886360297766E-4</v>
      </c>
      <c r="CO631" s="196">
        <f t="shared" si="1691"/>
        <v>297.18282739417322</v>
      </c>
      <c r="CP631" s="589">
        <f t="shared" si="1692"/>
        <v>5.6044103788320055E-4</v>
      </c>
      <c r="CQ631" s="196">
        <f>'Detailed Budget'!$AC$12</f>
        <v>292876014141.44696</v>
      </c>
      <c r="CR631" s="269">
        <f t="shared" si="1534"/>
        <v>0</v>
      </c>
      <c r="CS631" s="269">
        <f>'Detailed Budget'!$AC$16</f>
        <v>10488008800.000002</v>
      </c>
      <c r="CT631" s="607">
        <f t="shared" si="1602"/>
        <v>0</v>
      </c>
      <c r="CU631" s="269">
        <f>'Detailed Budget'!$AC$24</f>
        <v>30624985696</v>
      </c>
      <c r="CV631" s="269">
        <f t="shared" si="1589"/>
        <v>0</v>
      </c>
      <c r="CW631" s="269"/>
      <c r="CX631" s="269">
        <f t="shared" si="1660"/>
        <v>0</v>
      </c>
      <c r="CY631" s="196">
        <f>'Detailed Budget'!$AC$97</f>
        <v>74629165494.837845</v>
      </c>
      <c r="CZ631" s="269">
        <f t="shared" si="1603"/>
        <v>67342841.323506519</v>
      </c>
      <c r="DA631" s="269">
        <f>'Detailed Budget'!$AC$100</f>
        <v>14925833098.967569</v>
      </c>
      <c r="DB631" s="269">
        <f t="shared" si="1604"/>
        <v>13468568.264701305</v>
      </c>
      <c r="DC631" s="269">
        <f t="shared" si="1661"/>
        <v>80811409.588207826</v>
      </c>
      <c r="DD631" s="207">
        <v>0</v>
      </c>
      <c r="DE631" s="606">
        <v>0</v>
      </c>
      <c r="DF631" s="269">
        <f>'Detailed Budget'!$AC$147</f>
        <v>5913600671000</v>
      </c>
      <c r="DG631" s="269">
        <f t="shared" si="1584"/>
        <v>0</v>
      </c>
      <c r="DH631" s="269">
        <f>'Detailed Budget'!$AC$153</f>
        <v>226428026880.00003</v>
      </c>
      <c r="DI631" s="269"/>
      <c r="DJ631" s="269">
        <f>'Detailed Budget'!$AC$156</f>
        <v>27713070000</v>
      </c>
      <c r="DK631" s="269"/>
      <c r="DL631" s="269"/>
      <c r="DM631" s="196">
        <f>'Detailed Budget'!$AC$178</f>
        <v>5622683761.6229038</v>
      </c>
      <c r="DN631" s="269">
        <f t="shared" si="1693"/>
        <v>0</v>
      </c>
      <c r="DO631" s="196">
        <f>'Detailed Budget'!$AC$179</f>
        <v>26827890683.128094</v>
      </c>
      <c r="DP631" s="269">
        <f t="shared" si="1694"/>
        <v>0</v>
      </c>
      <c r="DQ631" s="269">
        <f t="shared" si="1531"/>
        <v>0</v>
      </c>
      <c r="DR631" s="269">
        <f>'Detailed Budget'!$AC$181</f>
        <v>50888946855.375237</v>
      </c>
      <c r="DS631" s="269">
        <f t="shared" si="1695"/>
        <v>0</v>
      </c>
      <c r="DT631" s="269">
        <f t="shared" si="1696"/>
        <v>0</v>
      </c>
      <c r="DU631" s="272">
        <f>'Detailed Budget'!$AC$192</f>
        <v>77498869683.252869</v>
      </c>
      <c r="DV631" s="269">
        <f t="shared" si="1605"/>
        <v>41282499.804396354</v>
      </c>
      <c r="DW631" s="140">
        <f>'Detailed Budget'!$AC$194</f>
        <v>2684962805.4134097</v>
      </c>
      <c r="DX631" s="269">
        <f t="shared" si="1606"/>
        <v>1430239.9111408326</v>
      </c>
      <c r="DY631" s="607">
        <f t="shared" si="1648"/>
        <v>42712739.715537183</v>
      </c>
      <c r="DZ631" s="196">
        <f>'Detailed Budget'!$AC$198</f>
        <v>18732540018.380611</v>
      </c>
      <c r="EA631" s="269">
        <f t="shared" si="1662"/>
        <v>9239332.594349565</v>
      </c>
      <c r="EB631" s="196">
        <f>'Detailed Budget'!$AC$200</f>
        <v>4683135004.5951529</v>
      </c>
      <c r="EC631" s="269">
        <f t="shared" si="1607"/>
        <v>2309833.1485873912</v>
      </c>
      <c r="ED631" s="269">
        <f t="shared" si="1649"/>
        <v>11549165.742936956</v>
      </c>
      <c r="EE631" s="196">
        <f>'Detailed Budget'!$AC$161</f>
        <v>251147290106.36197</v>
      </c>
      <c r="EF631" s="269">
        <f t="shared" si="1608"/>
        <v>133782440.9190194</v>
      </c>
      <c r="EG631" s="196">
        <f>'Detailed Budget'!$AC$163</f>
        <v>15696705631.647623</v>
      </c>
      <c r="EH631" s="269">
        <f t="shared" si="1609"/>
        <v>8361402.5574387126</v>
      </c>
      <c r="EI631" s="269">
        <f t="shared" si="1650"/>
        <v>142143843.4764581</v>
      </c>
      <c r="EJ631" s="196">
        <f>'Detailed Budget'!$AC$204</f>
        <v>45012172507.531975</v>
      </c>
      <c r="EK631" s="269">
        <f t="shared" si="1610"/>
        <v>31310926.033187624</v>
      </c>
      <c r="EL631" s="201">
        <f>'Detailed Budget'!$AC$206</f>
        <v>11253043126.882994</v>
      </c>
      <c r="EM631" s="269">
        <f t="shared" si="1611"/>
        <v>7827731.508296906</v>
      </c>
      <c r="EN631" s="269">
        <f t="shared" si="1651"/>
        <v>39138657.541484527</v>
      </c>
      <c r="EO631" s="140">
        <f>'Detailed Budget'!$AC$209</f>
        <v>135789361677.54817</v>
      </c>
      <c r="EP631" s="269">
        <f t="shared" si="1612"/>
        <v>74848404.456653878</v>
      </c>
      <c r="EQ631" s="196">
        <f>'Detailed Budget'!$AC$211</f>
        <v>33947340419.387043</v>
      </c>
      <c r="ER631" s="269">
        <f t="shared" si="1613"/>
        <v>18712101.11416347</v>
      </c>
      <c r="ES631" s="269">
        <f t="shared" si="1652"/>
        <v>93560505.570817351</v>
      </c>
      <c r="ET631" s="196">
        <f>'Detailed Budget'!$AC$214</f>
        <v>22239745544.201103</v>
      </c>
      <c r="EU631" s="269">
        <f t="shared" si="1614"/>
        <v>11905355.311541121</v>
      </c>
      <c r="EV631" s="140">
        <f>'Detailed Budget'!$AC$217</f>
        <v>5559936386.0502758</v>
      </c>
      <c r="EW631" s="269">
        <f t="shared" si="1615"/>
        <v>2976338.8278852804</v>
      </c>
      <c r="EX631" s="269">
        <f t="shared" si="1653"/>
        <v>14881694.139426403</v>
      </c>
      <c r="EY631" s="196">
        <f>'Detailed Budget'!$AC$219</f>
        <v>372777004.58170313</v>
      </c>
      <c r="EZ631" s="269">
        <f t="shared" si="1616"/>
        <v>208919.53134676031</v>
      </c>
      <c r="FA631" s="196">
        <f>'Detailed Budget'!$AC$222</f>
        <v>93194251.145425782</v>
      </c>
      <c r="FB631" s="269">
        <f t="shared" si="1617"/>
        <v>52229.882836690078</v>
      </c>
      <c r="FC631" s="269">
        <f t="shared" si="1654"/>
        <v>261149.4141834504</v>
      </c>
      <c r="FD631" s="269"/>
      <c r="FE631" s="269">
        <f t="shared" si="1663"/>
        <v>147842006.66591173</v>
      </c>
      <c r="FF631" s="140">
        <f>'Detailed Budget'!$AC$165</f>
        <v>14927760000</v>
      </c>
      <c r="FG631" s="1087">
        <f t="shared" si="1585"/>
        <v>201666283.32442334</v>
      </c>
      <c r="FH631" s="269">
        <f t="shared" si="1664"/>
        <v>16961436.200431772</v>
      </c>
      <c r="FJ631" s="140">
        <f>'Detailed Budget'!$AC$235</f>
        <v>3623696172</v>
      </c>
      <c r="FK631" s="269">
        <f t="shared" si="1665"/>
        <v>4681778</v>
      </c>
      <c r="FL631" s="269">
        <f t="shared" si="1586"/>
        <v>4681778</v>
      </c>
      <c r="FO631" s="607"/>
      <c r="FP631" s="607"/>
      <c r="FQ631" s="607"/>
      <c r="FR631" s="269">
        <f>'Detailed Budget'!$AC$257</f>
        <v>13636439388</v>
      </c>
      <c r="FS631" s="269">
        <f t="shared" si="1666"/>
        <v>15489708.000000002</v>
      </c>
      <c r="FT631" s="269">
        <f t="shared" si="1587"/>
        <v>15489708.000000002</v>
      </c>
      <c r="FU631" s="269"/>
      <c r="FV631" s="269"/>
      <c r="FW631" s="269"/>
      <c r="FX631" s="140">
        <f>'Detailed Budget'!$AC$278</f>
        <v>1114560000</v>
      </c>
      <c r="FY631" s="269">
        <f t="shared" si="1667"/>
        <v>1440000</v>
      </c>
      <c r="FZ631" s="269">
        <f t="shared" si="1588"/>
        <v>1440000</v>
      </c>
      <c r="GB631" s="269">
        <f t="shared" si="1596"/>
        <v>665298370.713907</v>
      </c>
      <c r="GC631" s="887">
        <f t="shared" si="1668"/>
        <v>415811.48169619188</v>
      </c>
      <c r="GD631" s="1078">
        <f t="shared" si="1597"/>
        <v>3.7331986545646625E-4</v>
      </c>
    </row>
    <row r="632" spans="1:186" hidden="1" outlineLevel="1">
      <c r="A632" s="211" t="s">
        <v>1368</v>
      </c>
      <c r="B632" s="212" t="s">
        <v>1369</v>
      </c>
      <c r="C632" s="213" t="s">
        <v>215</v>
      </c>
      <c r="D632" s="214"/>
      <c r="E632" s="213"/>
      <c r="F632" s="213"/>
      <c r="G632" s="213" t="s">
        <v>215</v>
      </c>
      <c r="H632" s="213" t="s">
        <v>215</v>
      </c>
      <c r="I632" s="214" t="s">
        <v>215</v>
      </c>
      <c r="J632" s="214"/>
      <c r="K632" s="213"/>
      <c r="L632" s="213"/>
      <c r="M632" s="214" t="s">
        <v>215</v>
      </c>
      <c r="N632" s="213"/>
      <c r="O632" s="214"/>
      <c r="P632" s="213"/>
      <c r="Q632" s="214"/>
      <c r="R632" s="214" t="s">
        <v>215</v>
      </c>
      <c r="S632" s="214"/>
      <c r="T632" s="214"/>
      <c r="U632" s="215">
        <f t="shared" si="1669"/>
        <v>6</v>
      </c>
      <c r="V632" s="845" t="s">
        <v>216</v>
      </c>
      <c r="W632" s="216">
        <v>163691</v>
      </c>
      <c r="X632" s="217">
        <v>2.89</v>
      </c>
      <c r="Y632" s="218">
        <f t="shared" si="1598"/>
        <v>1.0288999999999999</v>
      </c>
      <c r="Z632" s="196">
        <v>19</v>
      </c>
      <c r="AA632" s="218">
        <f t="shared" si="1599"/>
        <v>1.7182651319612778</v>
      </c>
      <c r="AB632" s="196">
        <f t="shared" si="1619"/>
        <v>281264.53771587351</v>
      </c>
      <c r="AC632">
        <v>12.9</v>
      </c>
      <c r="AD632" s="196">
        <f t="shared" si="1620"/>
        <v>36283.125365347689</v>
      </c>
      <c r="AE632" s="196">
        <f t="shared" si="1600"/>
        <v>34468.969097080306</v>
      </c>
      <c r="AF632" s="196">
        <f t="shared" si="1670"/>
        <v>0</v>
      </c>
      <c r="AG632" s="606">
        <f t="shared" si="1671"/>
        <v>1.5936938094393005E-3</v>
      </c>
      <c r="AH632" s="196">
        <f t="shared" si="1697"/>
        <v>14063.226885793676</v>
      </c>
      <c r="AI632" s="248">
        <f t="shared" si="1644"/>
        <v>1.089456878972433E-3</v>
      </c>
      <c r="AJ632" s="196">
        <f t="shared" si="1672"/>
        <v>50346.352251141361</v>
      </c>
      <c r="AK632" s="196">
        <f t="shared" si="1698"/>
        <v>11250.581508634941</v>
      </c>
      <c r="AL632" s="196">
        <f t="shared" si="1699"/>
        <v>11250.581508634941</v>
      </c>
      <c r="AM632" s="196">
        <f t="shared" si="1656"/>
        <v>22501.163017269882</v>
      </c>
      <c r="AN632" s="627">
        <f t="shared" si="1657"/>
        <v>1.089456878972433E-3</v>
      </c>
      <c r="AO632" s="196">
        <f t="shared" si="1658"/>
        <v>10688.052433203193</v>
      </c>
      <c r="AP632" s="589">
        <f t="shared" si="1673"/>
        <v>1.0894568789724327E-3</v>
      </c>
      <c r="AQ632" s="196"/>
      <c r="AR632" s="589"/>
      <c r="AS632">
        <v>1</v>
      </c>
      <c r="AT632" s="589">
        <f t="shared" si="1674"/>
        <v>1.2919896640826874E-3</v>
      </c>
      <c r="AU632" s="196">
        <v>11</v>
      </c>
      <c r="AV632" s="245">
        <f t="shared" si="1645"/>
        <v>1.2498579706851495E-3</v>
      </c>
      <c r="AX632" s="245"/>
      <c r="AY632" s="245"/>
      <c r="AZ632" s="196">
        <v>67</v>
      </c>
      <c r="BA632" s="589">
        <f t="shared" si="1590"/>
        <v>2.455021802059287E-3</v>
      </c>
      <c r="BI632" s="196">
        <v>0</v>
      </c>
      <c r="BK632" s="246">
        <f t="shared" si="1591"/>
        <v>0</v>
      </c>
      <c r="BL632" s="196">
        <f t="shared" si="1629"/>
        <v>0</v>
      </c>
      <c r="BM632" s="246">
        <f t="shared" si="1592"/>
        <v>0</v>
      </c>
      <c r="BN632" s="196">
        <v>1</v>
      </c>
      <c r="BO632" s="196">
        <f t="shared" si="1675"/>
        <v>19728.774287919088</v>
      </c>
      <c r="BP632" s="196">
        <f t="shared" si="1676"/>
        <v>19728.774287919088</v>
      </c>
      <c r="BQ632" s="248">
        <f t="shared" si="1593"/>
        <v>1.8455349627047896E-3</v>
      </c>
      <c r="BR632" s="248"/>
      <c r="BS632" s="248"/>
      <c r="BT632" s="276">
        <v>0</v>
      </c>
      <c r="BU632" s="196">
        <f t="shared" si="1677"/>
        <v>0</v>
      </c>
      <c r="BV632" s="264">
        <f t="shared" si="1594"/>
        <v>0</v>
      </c>
      <c r="BW632" s="196">
        <f t="shared" si="1678"/>
        <v>0</v>
      </c>
      <c r="BX632" s="247">
        <f t="shared" si="1595"/>
        <v>0</v>
      </c>
      <c r="BY632" s="196">
        <f t="shared" si="1679"/>
        <v>0</v>
      </c>
      <c r="BZ632" s="620">
        <v>1</v>
      </c>
      <c r="CA632" s="196">
        <f t="shared" si="1680"/>
        <v>86066.948541057296</v>
      </c>
      <c r="CB632" s="196">
        <f t="shared" si="1681"/>
        <v>172133.89708211459</v>
      </c>
      <c r="CC632" s="196">
        <f t="shared" si="1682"/>
        <v>258200.84562317189</v>
      </c>
      <c r="CD632" s="247">
        <f t="shared" si="1646"/>
        <v>1.089456878972433E-3</v>
      </c>
      <c r="CE632" s="196">
        <f t="shared" si="1683"/>
        <v>23359.81732384763</v>
      </c>
      <c r="CF632" s="247">
        <f t="shared" si="1647"/>
        <v>1.0087495598063889E-3</v>
      </c>
      <c r="CG632" s="196">
        <f t="shared" si="1601"/>
        <v>42752.209732812771</v>
      </c>
      <c r="CH632" s="589">
        <f t="shared" si="1684"/>
        <v>1.0894568789724327E-3</v>
      </c>
      <c r="CI632" s="196">
        <f t="shared" si="1685"/>
        <v>86537.355167444475</v>
      </c>
      <c r="CJ632" s="248">
        <f t="shared" si="1686"/>
        <v>1.4226738992919371E-3</v>
      </c>
      <c r="CK632" s="196">
        <f t="shared" si="1687"/>
        <v>78422.766516201969</v>
      </c>
      <c r="CL632" s="589">
        <f t="shared" si="1688"/>
        <v>1.1273433995452715E-3</v>
      </c>
      <c r="CM632" s="196">
        <f t="shared" si="1689"/>
        <v>7597.2032076149344</v>
      </c>
      <c r="CN632" s="589">
        <f t="shared" si="1690"/>
        <v>1.0948433217806363E-3</v>
      </c>
      <c r="CO632" s="196">
        <f t="shared" si="1691"/>
        <v>607.80341595006757</v>
      </c>
      <c r="CP632" s="589">
        <f t="shared" si="1692"/>
        <v>1.1462236235211527E-3</v>
      </c>
      <c r="CQ632" s="196">
        <f>'Detailed Budget'!$AC$12</f>
        <v>292876014141.44696</v>
      </c>
      <c r="CR632" s="269">
        <f t="shared" si="1534"/>
        <v>0</v>
      </c>
      <c r="CS632" s="269">
        <f>'Detailed Budget'!$AC$16</f>
        <v>10488008800.000002</v>
      </c>
      <c r="CT632" s="607">
        <f t="shared" si="1602"/>
        <v>0</v>
      </c>
      <c r="CU632" s="269">
        <f>'Detailed Budget'!$AC$24</f>
        <v>30624985696</v>
      </c>
      <c r="CV632" s="269">
        <f t="shared" si="1589"/>
        <v>0</v>
      </c>
      <c r="CW632" s="269"/>
      <c r="CX632" s="269">
        <f t="shared" si="1660"/>
        <v>0</v>
      </c>
      <c r="CY632" s="196">
        <f>'Detailed Budget'!$AC$97</f>
        <v>74629165494.837845</v>
      </c>
      <c r="CZ632" s="269">
        <f t="shared" si="1603"/>
        <v>137730734.15820512</v>
      </c>
      <c r="DA632" s="269">
        <f>'Detailed Budget'!$AC$100</f>
        <v>14925833098.967569</v>
      </c>
      <c r="DB632" s="269">
        <f t="shared" si="1604"/>
        <v>27546146.831641026</v>
      </c>
      <c r="DC632" s="269">
        <f t="shared" si="1661"/>
        <v>165276880.98984614</v>
      </c>
      <c r="DD632" s="207">
        <v>0</v>
      </c>
      <c r="DE632" s="606">
        <v>0</v>
      </c>
      <c r="DF632" s="269">
        <f>'Detailed Budget'!$AC$147</f>
        <v>5913600671000</v>
      </c>
      <c r="DG632" s="269">
        <f t="shared" si="1584"/>
        <v>0</v>
      </c>
      <c r="DH632" s="269">
        <f>'Detailed Budget'!$AC$153</f>
        <v>226428026880.00003</v>
      </c>
      <c r="DI632" s="269"/>
      <c r="DJ632" s="269">
        <f>'Detailed Budget'!$AC$156</f>
        <v>27713070000</v>
      </c>
      <c r="DK632" s="269"/>
      <c r="DL632" s="269"/>
      <c r="DM632" s="196">
        <f>'Detailed Budget'!$AC$178</f>
        <v>5622683761.6229038</v>
      </c>
      <c r="DN632" s="269">
        <f t="shared" si="1693"/>
        <v>0</v>
      </c>
      <c r="DO632" s="196">
        <f>'Detailed Budget'!$AC$179</f>
        <v>26827890683.128094</v>
      </c>
      <c r="DP632" s="269">
        <f t="shared" si="1694"/>
        <v>0</v>
      </c>
      <c r="DQ632" s="269">
        <f t="shared" ref="DQ632:DQ698" si="1700">DN632+DP632</f>
        <v>0</v>
      </c>
      <c r="DR632" s="269">
        <f>'Detailed Budget'!$AC$181</f>
        <v>50888946855.375237</v>
      </c>
      <c r="DS632" s="269">
        <f t="shared" si="1695"/>
        <v>0</v>
      </c>
      <c r="DT632" s="269">
        <f t="shared" si="1696"/>
        <v>0</v>
      </c>
      <c r="DU632" s="272">
        <f>'Detailed Budget'!$AC$192</f>
        <v>77498869683.252869</v>
      </c>
      <c r="DV632" s="269">
        <f t="shared" si="1605"/>
        <v>84431676.689007968</v>
      </c>
      <c r="DW632" s="140">
        <f>'Detailed Budget'!$AC$194</f>
        <v>2684962805.4134097</v>
      </c>
      <c r="DX632" s="269">
        <f t="shared" si="1606"/>
        <v>2925151.1981427614</v>
      </c>
      <c r="DY632" s="607">
        <f t="shared" si="1648"/>
        <v>87356827.887150735</v>
      </c>
      <c r="DZ632" s="196">
        <f>'Detailed Budget'!$AC$198</f>
        <v>18732540018.380611</v>
      </c>
      <c r="EA632" s="269">
        <f t="shared" si="1662"/>
        <v>18896441.497597005</v>
      </c>
      <c r="EB632" s="196">
        <f>'Detailed Budget'!$AC$200</f>
        <v>4683135004.5951529</v>
      </c>
      <c r="EC632" s="269">
        <f t="shared" si="1607"/>
        <v>4724110.3743992513</v>
      </c>
      <c r="ED632" s="269">
        <f t="shared" si="1649"/>
        <v>23620551.871996257</v>
      </c>
      <c r="EE632" s="196">
        <f>'Detailed Budget'!$AC$161</f>
        <v>251147290106.36197</v>
      </c>
      <c r="EF632" s="269">
        <f t="shared" si="1608"/>
        <v>273614142.84166127</v>
      </c>
      <c r="EG632" s="196">
        <f>'Detailed Budget'!$AC$163</f>
        <v>15696705631.647623</v>
      </c>
      <c r="EH632" s="269">
        <f t="shared" si="1609"/>
        <v>17100883.92760383</v>
      </c>
      <c r="EI632" s="269">
        <f t="shared" si="1650"/>
        <v>290715026.76926512</v>
      </c>
      <c r="EJ632" s="196">
        <f>'Detailed Budget'!$AC$204</f>
        <v>45012172507.531975</v>
      </c>
      <c r="EK632" s="269">
        <f t="shared" si="1610"/>
        <v>64037642.976891845</v>
      </c>
      <c r="EL632" s="201">
        <f>'Detailed Budget'!$AC$206</f>
        <v>11253043126.882994</v>
      </c>
      <c r="EM632" s="269">
        <f t="shared" si="1611"/>
        <v>16009410.744222961</v>
      </c>
      <c r="EN632" s="269">
        <f t="shared" si="1651"/>
        <v>80047053.721114814</v>
      </c>
      <c r="EO632" s="140">
        <f>'Detailed Budget'!$AC$209</f>
        <v>135789361677.54817</v>
      </c>
      <c r="EP632" s="269">
        <f t="shared" si="1612"/>
        <v>153081240.61564955</v>
      </c>
      <c r="EQ632" s="196">
        <f>'Detailed Budget'!$AC$211</f>
        <v>33947340419.387043</v>
      </c>
      <c r="ER632" s="269">
        <f t="shared" si="1613"/>
        <v>38270310.153912388</v>
      </c>
      <c r="ES632" s="269">
        <f t="shared" si="1652"/>
        <v>191351550.76956195</v>
      </c>
      <c r="ET632" s="196">
        <f>'Detailed Budget'!$AC$214</f>
        <v>22239745544.201103</v>
      </c>
      <c r="EU632" s="269">
        <f t="shared" si="1614"/>
        <v>24349036.887169242</v>
      </c>
      <c r="EV632" s="140">
        <f>'Detailed Budget'!$AC$217</f>
        <v>5559936386.0502758</v>
      </c>
      <c r="EW632" s="269">
        <f t="shared" si="1615"/>
        <v>6087259.2217923105</v>
      </c>
      <c r="EX632" s="269">
        <f t="shared" si="1653"/>
        <v>30436296.108961552</v>
      </c>
      <c r="EY632" s="196">
        <f>'Detailed Budget'!$AC$219</f>
        <v>372777004.58170313</v>
      </c>
      <c r="EZ632" s="269">
        <f t="shared" si="1616"/>
        <v>427285.80895700108</v>
      </c>
      <c r="FA632" s="196">
        <f>'Detailed Budget'!$AC$222</f>
        <v>93194251.145425782</v>
      </c>
      <c r="FB632" s="269">
        <f t="shared" si="1617"/>
        <v>106821.45223925027</v>
      </c>
      <c r="FC632" s="269">
        <f t="shared" si="1654"/>
        <v>534107.26119625138</v>
      </c>
      <c r="FD632" s="269"/>
      <c r="FE632" s="269">
        <f t="shared" si="1663"/>
        <v>302369007.8608346</v>
      </c>
      <c r="FF632" s="140">
        <f>'Detailed Budget'!$AC$165</f>
        <v>14927760000</v>
      </c>
      <c r="FG632" s="1087">
        <f t="shared" si="1585"/>
        <v>412451341.69196588</v>
      </c>
      <c r="FH632" s="269">
        <f t="shared" si="1664"/>
        <v>18657579.820474949</v>
      </c>
      <c r="FJ632" s="140">
        <f>'Detailed Budget'!$AC$235</f>
        <v>3623696172</v>
      </c>
      <c r="FK632" s="269">
        <f t="shared" si="1665"/>
        <v>4681778</v>
      </c>
      <c r="FL632" s="269">
        <f t="shared" si="1586"/>
        <v>4681778</v>
      </c>
      <c r="FO632" s="607"/>
      <c r="FP632" s="607"/>
      <c r="FQ632" s="607"/>
      <c r="FR632" s="269">
        <f>'Detailed Budget'!$AC$257</f>
        <v>13636439388</v>
      </c>
      <c r="FS632" s="269">
        <f t="shared" si="1666"/>
        <v>33477756</v>
      </c>
      <c r="FT632" s="269">
        <f t="shared" si="1587"/>
        <v>33477756</v>
      </c>
      <c r="FU632" s="269"/>
      <c r="FV632" s="269"/>
      <c r="FW632" s="269"/>
      <c r="FX632" s="140">
        <f>'Detailed Budget'!$AC$278</f>
        <v>1114560000</v>
      </c>
      <c r="FY632" s="269">
        <f t="shared" si="1667"/>
        <v>1440000</v>
      </c>
      <c r="FZ632" s="269">
        <f t="shared" si="1588"/>
        <v>1440000</v>
      </c>
      <c r="GB632" s="269">
        <f t="shared" si="1596"/>
        <v>1340046750.8915336</v>
      </c>
      <c r="GC632" s="887">
        <f t="shared" si="1668"/>
        <v>837529.21930720855</v>
      </c>
      <c r="GD632" s="1078">
        <f t="shared" si="1597"/>
        <v>7.5194242879534658E-4</v>
      </c>
    </row>
    <row r="633" spans="1:186" hidden="1" outlineLevel="1">
      <c r="A633" s="211" t="s">
        <v>1370</v>
      </c>
      <c r="B633" s="212" t="s">
        <v>1371</v>
      </c>
      <c r="C633" s="213" t="s">
        <v>215</v>
      </c>
      <c r="D633" s="214"/>
      <c r="E633" s="213"/>
      <c r="F633" s="213"/>
      <c r="G633" s="213" t="s">
        <v>215</v>
      </c>
      <c r="H633" s="213" t="s">
        <v>215</v>
      </c>
      <c r="I633" s="214" t="s">
        <v>215</v>
      </c>
      <c r="J633" s="214"/>
      <c r="K633" s="213"/>
      <c r="L633" s="213"/>
      <c r="M633" s="214" t="s">
        <v>215</v>
      </c>
      <c r="N633" s="213"/>
      <c r="O633" s="214"/>
      <c r="P633" s="213"/>
      <c r="Q633" s="214"/>
      <c r="R633" s="214" t="s">
        <v>215</v>
      </c>
      <c r="S633" s="214"/>
      <c r="T633" s="214"/>
      <c r="U633" s="215">
        <f t="shared" si="1669"/>
        <v>6</v>
      </c>
      <c r="V633" s="845" t="s">
        <v>216</v>
      </c>
      <c r="W633" s="216">
        <v>109633</v>
      </c>
      <c r="X633" s="217">
        <v>2.89</v>
      </c>
      <c r="Y633" s="218">
        <f t="shared" si="1598"/>
        <v>1.0288999999999999</v>
      </c>
      <c r="Z633" s="196">
        <v>19</v>
      </c>
      <c r="AA633" s="218">
        <f t="shared" si="1599"/>
        <v>1.7182651319612778</v>
      </c>
      <c r="AB633" s="196">
        <f t="shared" si="1619"/>
        <v>188378.56121231077</v>
      </c>
      <c r="AC633">
        <v>12.9</v>
      </c>
      <c r="AD633" s="196">
        <f t="shared" si="1620"/>
        <v>24300.834396388087</v>
      </c>
      <c r="AE633" s="196">
        <f t="shared" si="1600"/>
        <v>23085.792676568683</v>
      </c>
      <c r="AF633" s="196">
        <f t="shared" si="1670"/>
        <v>0</v>
      </c>
      <c r="AG633" s="606">
        <f t="shared" si="1671"/>
        <v>1.0673857048356891E-3</v>
      </c>
      <c r="AH633" s="196">
        <f t="shared" si="1697"/>
        <v>9418.9280606155389</v>
      </c>
      <c r="AI633" s="248">
        <f t="shared" si="1644"/>
        <v>7.2967008578593052E-4</v>
      </c>
      <c r="AJ633" s="196">
        <f t="shared" si="1672"/>
        <v>33719.762457003628</v>
      </c>
      <c r="AK633" s="196">
        <f t="shared" si="1698"/>
        <v>7535.142448492431</v>
      </c>
      <c r="AL633" s="196">
        <f t="shared" si="1699"/>
        <v>7535.142448492431</v>
      </c>
      <c r="AM633" s="196">
        <f t="shared" si="1656"/>
        <v>15070.284896984862</v>
      </c>
      <c r="AN633" s="627">
        <f t="shared" si="1657"/>
        <v>7.2967008578593041E-4</v>
      </c>
      <c r="AO633" s="196">
        <f t="shared" si="1658"/>
        <v>7158.3853260678088</v>
      </c>
      <c r="AP633" s="589">
        <f t="shared" si="1673"/>
        <v>7.2967008578593041E-4</v>
      </c>
      <c r="AQ633" s="196"/>
      <c r="AR633" s="589"/>
      <c r="AS633">
        <v>1</v>
      </c>
      <c r="AT633" s="589">
        <f t="shared" si="1674"/>
        <v>1.2919896640826874E-3</v>
      </c>
      <c r="AU633" s="196">
        <v>10</v>
      </c>
      <c r="AV633" s="245">
        <f t="shared" si="1645"/>
        <v>1.1362345188046814E-3</v>
      </c>
      <c r="AX633" s="245"/>
      <c r="AY633" s="245"/>
      <c r="AZ633" s="196">
        <v>63</v>
      </c>
      <c r="BA633" s="589">
        <f t="shared" si="1590"/>
        <v>2.3084533362647025E-3</v>
      </c>
      <c r="BI633" s="196">
        <v>0</v>
      </c>
      <c r="BK633" s="246">
        <f t="shared" si="1591"/>
        <v>0</v>
      </c>
      <c r="BL633" s="196">
        <f t="shared" si="1629"/>
        <v>0</v>
      </c>
      <c r="BM633" s="246">
        <f t="shared" si="1592"/>
        <v>0</v>
      </c>
      <c r="BN633" s="196">
        <v>1</v>
      </c>
      <c r="BO633" s="196">
        <f t="shared" si="1675"/>
        <v>13213.461409041631</v>
      </c>
      <c r="BP633" s="196">
        <f t="shared" si="1676"/>
        <v>13213.461409041631</v>
      </c>
      <c r="BQ633" s="248">
        <f t="shared" si="1593"/>
        <v>1.2360577830559665E-3</v>
      </c>
      <c r="BR633" s="248"/>
      <c r="BS633" s="248"/>
      <c r="BT633" s="276">
        <v>0</v>
      </c>
      <c r="BU633" s="196">
        <f t="shared" si="1677"/>
        <v>0</v>
      </c>
      <c r="BV633" s="264">
        <f t="shared" si="1594"/>
        <v>0</v>
      </c>
      <c r="BW633" s="196">
        <f t="shared" si="1678"/>
        <v>0</v>
      </c>
      <c r="BX633" s="247">
        <f t="shared" si="1595"/>
        <v>0</v>
      </c>
      <c r="BY633" s="196">
        <f t="shared" si="1679"/>
        <v>0</v>
      </c>
      <c r="BZ633" s="620">
        <v>1</v>
      </c>
      <c r="CA633" s="196">
        <f t="shared" si="1680"/>
        <v>57643.839730967098</v>
      </c>
      <c r="CB633" s="196">
        <f t="shared" si="1681"/>
        <v>115287.6794619342</v>
      </c>
      <c r="CC633" s="196">
        <f t="shared" si="1682"/>
        <v>172931.51919290129</v>
      </c>
      <c r="CD633" s="247">
        <f t="shared" si="1646"/>
        <v>7.2967008578593052E-4</v>
      </c>
      <c r="CE633" s="196">
        <f t="shared" si="1683"/>
        <v>15645.373616542069</v>
      </c>
      <c r="CF633" s="247">
        <f t="shared" si="1647"/>
        <v>6.7561588902416056E-4</v>
      </c>
      <c r="CG633" s="196">
        <f t="shared" si="1601"/>
        <v>28633.541304271235</v>
      </c>
      <c r="CH633" s="589">
        <f t="shared" si="1684"/>
        <v>7.2967008578593041E-4</v>
      </c>
      <c r="CI633" s="196">
        <f t="shared" si="1685"/>
        <v>57958.89730695296</v>
      </c>
      <c r="CJ633" s="248">
        <f t="shared" si="1686"/>
        <v>9.5284412460717386E-4</v>
      </c>
      <c r="CK633" s="196">
        <f t="shared" si="1687"/>
        <v>52524.10432748757</v>
      </c>
      <c r="CL633" s="589">
        <f t="shared" si="1688"/>
        <v>7.5504480345496528E-4</v>
      </c>
      <c r="CM633" s="196">
        <f t="shared" si="1689"/>
        <v>5088.2710671964114</v>
      </c>
      <c r="CN633" s="589">
        <f t="shared" si="1690"/>
        <v>7.3327768720807165E-4</v>
      </c>
      <c r="CO633" s="196">
        <f t="shared" si="1691"/>
        <v>407.07987550234122</v>
      </c>
      <c r="CP633" s="589">
        <f t="shared" si="1692"/>
        <v>7.6768994335360216E-4</v>
      </c>
      <c r="CQ633" s="196">
        <f>'Detailed Budget'!$AC$12</f>
        <v>292876014141.44696</v>
      </c>
      <c r="CR633" s="269">
        <f t="shared" si="1534"/>
        <v>0</v>
      </c>
      <c r="CS633" s="269">
        <f>'Detailed Budget'!$AC$16</f>
        <v>10488008800.000002</v>
      </c>
      <c r="CT633" s="607">
        <f t="shared" si="1602"/>
        <v>0</v>
      </c>
      <c r="CU633" s="269">
        <f>'Detailed Budget'!$AC$24</f>
        <v>30624985696</v>
      </c>
      <c r="CV633" s="269">
        <f t="shared" si="1589"/>
        <v>0</v>
      </c>
      <c r="CW633" s="269"/>
      <c r="CX633" s="269">
        <f t="shared" si="1660"/>
        <v>0</v>
      </c>
      <c r="CY633" s="196">
        <f>'Detailed Budget'!$AC$97</f>
        <v>74629165494.837845</v>
      </c>
      <c r="CZ633" s="269">
        <f t="shared" si="1603"/>
        <v>92245960.852866098</v>
      </c>
      <c r="DA633" s="269">
        <f>'Detailed Budget'!$AC$100</f>
        <v>14925833098.967569</v>
      </c>
      <c r="DB633" s="269">
        <f t="shared" si="1604"/>
        <v>18449192.17057322</v>
      </c>
      <c r="DC633" s="269">
        <f t="shared" si="1661"/>
        <v>110695153.02343932</v>
      </c>
      <c r="DD633" s="207">
        <v>0</v>
      </c>
      <c r="DE633" s="606">
        <v>0</v>
      </c>
      <c r="DF633" s="269">
        <f>'Detailed Budget'!$AC$147</f>
        <v>5913600671000</v>
      </c>
      <c r="DG633" s="269">
        <f t="shared" si="1584"/>
        <v>0</v>
      </c>
      <c r="DH633" s="269">
        <f>'Detailed Budget'!$AC$153</f>
        <v>226428026880.00003</v>
      </c>
      <c r="DI633" s="269"/>
      <c r="DJ633" s="269">
        <f>'Detailed Budget'!$AC$156</f>
        <v>27713070000</v>
      </c>
      <c r="DK633" s="269"/>
      <c r="DL633" s="269"/>
      <c r="DM633" s="196">
        <f>'Detailed Budget'!$AC$178</f>
        <v>5622683761.6229038</v>
      </c>
      <c r="DN633" s="269">
        <f t="shared" si="1693"/>
        <v>0</v>
      </c>
      <c r="DO633" s="196">
        <f>'Detailed Budget'!$AC$179</f>
        <v>26827890683.128094</v>
      </c>
      <c r="DP633" s="269">
        <f t="shared" si="1694"/>
        <v>0</v>
      </c>
      <c r="DQ633" s="269">
        <f t="shared" si="1700"/>
        <v>0</v>
      </c>
      <c r="DR633" s="269">
        <f>'Detailed Budget'!$AC$181</f>
        <v>50888946855.375237</v>
      </c>
      <c r="DS633" s="269">
        <f t="shared" si="1695"/>
        <v>0</v>
      </c>
      <c r="DT633" s="269">
        <f t="shared" si="1696"/>
        <v>0</v>
      </c>
      <c r="DU633" s="272">
        <f>'Detailed Budget'!$AC$192</f>
        <v>77498869683.252869</v>
      </c>
      <c r="DV633" s="269">
        <f t="shared" si="1605"/>
        <v>56548606.890091769</v>
      </c>
      <c r="DW633" s="140">
        <f>'Detailed Budget'!$AC$194</f>
        <v>2684962805.4134097</v>
      </c>
      <c r="DX633" s="269">
        <f t="shared" si="1606"/>
        <v>1959137.040558035</v>
      </c>
      <c r="DY633" s="607">
        <f t="shared" si="1648"/>
        <v>58507743.930649802</v>
      </c>
      <c r="DZ633" s="196">
        <f>'Detailed Budget'!$AC$198</f>
        <v>18732540018.380611</v>
      </c>
      <c r="EA633" s="269">
        <f t="shared" si="1662"/>
        <v>12656001.678198881</v>
      </c>
      <c r="EB633" s="196">
        <f>'Detailed Budget'!$AC$200</f>
        <v>4683135004.5951529</v>
      </c>
      <c r="EC633" s="269">
        <f t="shared" si="1607"/>
        <v>3164000.4195497204</v>
      </c>
      <c r="ED633" s="269">
        <f t="shared" si="1649"/>
        <v>15820002.097748602</v>
      </c>
      <c r="EE633" s="196">
        <f>'Detailed Budget'!$AC$161</f>
        <v>251147290106.36197</v>
      </c>
      <c r="EF633" s="269">
        <f t="shared" si="1608"/>
        <v>183254664.71681309</v>
      </c>
      <c r="EG633" s="196">
        <f>'Detailed Budget'!$AC$163</f>
        <v>15696705631.647623</v>
      </c>
      <c r="EH633" s="269">
        <f t="shared" si="1609"/>
        <v>11453416.544800818</v>
      </c>
      <c r="EI633" s="269">
        <f t="shared" si="1650"/>
        <v>194708081.26161391</v>
      </c>
      <c r="EJ633" s="196">
        <f>'Detailed Budget'!$AC$204</f>
        <v>45012172507.531975</v>
      </c>
      <c r="EK633" s="269">
        <f t="shared" si="1610"/>
        <v>42889584.1096064</v>
      </c>
      <c r="EL633" s="201">
        <f>'Detailed Budget'!$AC$206</f>
        <v>11253043126.882994</v>
      </c>
      <c r="EM633" s="269">
        <f t="shared" si="1611"/>
        <v>10722396.0274016</v>
      </c>
      <c r="EN633" s="269">
        <f t="shared" si="1651"/>
        <v>53611980.137007996</v>
      </c>
      <c r="EO633" s="140">
        <f>'Detailed Budget'!$AC$209</f>
        <v>135789361677.54817</v>
      </c>
      <c r="EP633" s="269">
        <f t="shared" si="1612"/>
        <v>102527051.89909956</v>
      </c>
      <c r="EQ633" s="196">
        <f>'Detailed Budget'!$AC$211</f>
        <v>33947340419.387043</v>
      </c>
      <c r="ER633" s="269">
        <f t="shared" si="1613"/>
        <v>25631762.97477489</v>
      </c>
      <c r="ES633" s="269">
        <f t="shared" si="1652"/>
        <v>128158814.87387446</v>
      </c>
      <c r="ET633" s="196">
        <f>'Detailed Budget'!$AC$214</f>
        <v>22239745544.201103</v>
      </c>
      <c r="EU633" s="269">
        <f t="shared" si="1614"/>
        <v>16307909.176747803</v>
      </c>
      <c r="EV633" s="140">
        <f>'Detailed Budget'!$AC$217</f>
        <v>5559936386.0502758</v>
      </c>
      <c r="EW633" s="269">
        <f t="shared" si="1615"/>
        <v>4076977.2941869507</v>
      </c>
      <c r="EX633" s="269">
        <f t="shared" si="1653"/>
        <v>20384886.470934752</v>
      </c>
      <c r="EY633" s="196">
        <f>'Detailed Budget'!$AC$219</f>
        <v>372777004.58170313</v>
      </c>
      <c r="EZ633" s="269">
        <f t="shared" si="1616"/>
        <v>286177.15753085318</v>
      </c>
      <c r="FA633" s="196">
        <f>'Detailed Budget'!$AC$222</f>
        <v>93194251.145425782</v>
      </c>
      <c r="FB633" s="269">
        <f t="shared" si="1617"/>
        <v>71544.289382713294</v>
      </c>
      <c r="FC633" s="269">
        <f t="shared" si="1654"/>
        <v>357721.44691356644</v>
      </c>
      <c r="FD633" s="269"/>
      <c r="FE633" s="269">
        <f t="shared" si="1663"/>
        <v>202513402.92873076</v>
      </c>
      <c r="FF633" s="140">
        <f>'Detailed Budget'!$AC$165</f>
        <v>14927760000</v>
      </c>
      <c r="FG633" s="1087">
        <f t="shared" si="1585"/>
        <v>276241686.73729938</v>
      </c>
      <c r="FH633" s="269">
        <f t="shared" si="1664"/>
        <v>16961436.200431772</v>
      </c>
      <c r="FJ633" s="140">
        <f>'Detailed Budget'!$AC$235</f>
        <v>3623696172</v>
      </c>
      <c r="FK633" s="269">
        <f t="shared" si="1665"/>
        <v>4681778</v>
      </c>
      <c r="FL633" s="269">
        <f t="shared" si="1586"/>
        <v>4681778</v>
      </c>
      <c r="FO633" s="607"/>
      <c r="FP633" s="607"/>
      <c r="FQ633" s="607"/>
      <c r="FR633" s="269">
        <f>'Detailed Budget'!$AC$257</f>
        <v>13636439388</v>
      </c>
      <c r="FS633" s="269">
        <f t="shared" si="1666"/>
        <v>31479084</v>
      </c>
      <c r="FT633" s="269">
        <f t="shared" si="1587"/>
        <v>31479084</v>
      </c>
      <c r="FU633" s="269"/>
      <c r="FV633" s="269"/>
      <c r="FW633" s="269"/>
      <c r="FX633" s="140">
        <f>'Detailed Budget'!$AC$278</f>
        <v>1114560000</v>
      </c>
      <c r="FY633" s="269">
        <f t="shared" si="1667"/>
        <v>1440000</v>
      </c>
      <c r="FZ633" s="269">
        <f t="shared" si="1588"/>
        <v>1440000</v>
      </c>
      <c r="GB633" s="269">
        <f t="shared" si="1596"/>
        <v>913048368.17991352</v>
      </c>
      <c r="GC633" s="887">
        <f t="shared" si="1668"/>
        <v>570655.23011244601</v>
      </c>
      <c r="GD633" s="1078">
        <f t="shared" si="1597"/>
        <v>5.1234019045982057E-4</v>
      </c>
    </row>
    <row r="634" spans="1:186" hidden="1" outlineLevel="1">
      <c r="A634" s="211" t="s">
        <v>1372</v>
      </c>
      <c r="B634" s="212" t="s">
        <v>1373</v>
      </c>
      <c r="C634" s="213" t="s">
        <v>215</v>
      </c>
      <c r="D634" s="214"/>
      <c r="E634" s="213"/>
      <c r="F634" s="213"/>
      <c r="G634" s="213" t="s">
        <v>215</v>
      </c>
      <c r="H634" s="213" t="s">
        <v>215</v>
      </c>
      <c r="I634" s="214" t="s">
        <v>215</v>
      </c>
      <c r="J634" s="214"/>
      <c r="K634" s="213"/>
      <c r="L634" s="213"/>
      <c r="M634" s="214" t="s">
        <v>215</v>
      </c>
      <c r="N634" s="213"/>
      <c r="O634" s="214"/>
      <c r="P634" s="213"/>
      <c r="Q634" s="214"/>
      <c r="R634" s="214" t="s">
        <v>215</v>
      </c>
      <c r="S634" s="214"/>
      <c r="T634" s="214"/>
      <c r="U634" s="215">
        <f t="shared" si="1669"/>
        <v>6</v>
      </c>
      <c r="V634" s="845" t="s">
        <v>216</v>
      </c>
      <c r="W634" s="216">
        <v>172543</v>
      </c>
      <c r="X634" s="217">
        <v>2.89</v>
      </c>
      <c r="Y634" s="218">
        <f t="shared" si="1598"/>
        <v>1.0288999999999999</v>
      </c>
      <c r="Z634" s="196">
        <v>19</v>
      </c>
      <c r="AA634" s="218">
        <f t="shared" si="1599"/>
        <v>1.7182651319612778</v>
      </c>
      <c r="AB634" s="196">
        <f t="shared" si="1619"/>
        <v>296474.62066399475</v>
      </c>
      <c r="AC634">
        <v>12.9</v>
      </c>
      <c r="AD634" s="196">
        <f t="shared" si="1620"/>
        <v>38245.226065655326</v>
      </c>
      <c r="AE634" s="196">
        <f t="shared" si="1600"/>
        <v>36332.964762372561</v>
      </c>
      <c r="AF634" s="196">
        <f t="shared" si="1670"/>
        <v>0</v>
      </c>
      <c r="AG634" s="606">
        <f t="shared" si="1671"/>
        <v>1.6798767859081149E-3</v>
      </c>
      <c r="AH634" s="196">
        <f t="shared" si="1697"/>
        <v>14823.731033199738</v>
      </c>
      <c r="AI634" s="248">
        <f t="shared" si="1644"/>
        <v>1.1483719829956474E-3</v>
      </c>
      <c r="AJ634" s="196">
        <f t="shared" si="1672"/>
        <v>53068.957098855062</v>
      </c>
      <c r="AK634" s="196">
        <f t="shared" si="1698"/>
        <v>11858.98482655979</v>
      </c>
      <c r="AL634" s="196">
        <f t="shared" si="1699"/>
        <v>11858.98482655979</v>
      </c>
      <c r="AM634" s="196">
        <f t="shared" si="1656"/>
        <v>23717.96965311958</v>
      </c>
      <c r="AN634" s="627">
        <f t="shared" si="1657"/>
        <v>1.1483719829956474E-3</v>
      </c>
      <c r="AO634" s="196">
        <f t="shared" si="1658"/>
        <v>11266.035585231801</v>
      </c>
      <c r="AP634" s="589">
        <f t="shared" si="1673"/>
        <v>1.1483719829956474E-3</v>
      </c>
      <c r="AQ634" s="196"/>
      <c r="AR634" s="589"/>
      <c r="AS634">
        <v>1</v>
      </c>
      <c r="AT634" s="589">
        <f t="shared" si="1674"/>
        <v>1.2919896640826874E-3</v>
      </c>
      <c r="AU634" s="196">
        <v>11</v>
      </c>
      <c r="AV634" s="245">
        <f t="shared" si="1645"/>
        <v>1.2498579706851495E-3</v>
      </c>
      <c r="AX634" s="245"/>
      <c r="AY634" s="245"/>
      <c r="AZ634" s="196">
        <v>56</v>
      </c>
      <c r="BA634" s="589">
        <f t="shared" si="1590"/>
        <v>2.0519585211241803E-3</v>
      </c>
      <c r="BI634" s="196">
        <v>0</v>
      </c>
      <c r="BK634" s="246">
        <f t="shared" si="1591"/>
        <v>0</v>
      </c>
      <c r="BL634" s="196">
        <f t="shared" si="1629"/>
        <v>0</v>
      </c>
      <c r="BM634" s="246">
        <f t="shared" si="1592"/>
        <v>0</v>
      </c>
      <c r="BN634" s="196">
        <v>1</v>
      </c>
      <c r="BO634" s="196">
        <f t="shared" si="1675"/>
        <v>20795.6570731465</v>
      </c>
      <c r="BP634" s="196">
        <f t="shared" si="1676"/>
        <v>20795.6570731465</v>
      </c>
      <c r="BQ634" s="248">
        <f t="shared" si="1593"/>
        <v>1.9453368790585466E-3</v>
      </c>
      <c r="BR634" s="248"/>
      <c r="BS634" s="248"/>
      <c r="BT634" s="276">
        <v>0</v>
      </c>
      <c r="BU634" s="196">
        <f t="shared" si="1677"/>
        <v>0</v>
      </c>
      <c r="BV634" s="264">
        <f t="shared" si="1594"/>
        <v>0</v>
      </c>
      <c r="BW634" s="196">
        <f t="shared" si="1678"/>
        <v>0</v>
      </c>
      <c r="BX634" s="247">
        <f t="shared" si="1595"/>
        <v>0</v>
      </c>
      <c r="BY634" s="196">
        <f t="shared" si="1679"/>
        <v>0</v>
      </c>
      <c r="BZ634" s="620">
        <v>1</v>
      </c>
      <c r="CA634" s="196">
        <f t="shared" si="1680"/>
        <v>90721.233923182401</v>
      </c>
      <c r="CB634" s="196">
        <f t="shared" si="1681"/>
        <v>181442.4678463648</v>
      </c>
      <c r="CC634" s="196">
        <f t="shared" si="1682"/>
        <v>272163.70176954719</v>
      </c>
      <c r="CD634" s="247">
        <f t="shared" si="1646"/>
        <v>1.1483719829956474E-3</v>
      </c>
      <c r="CE634" s="196">
        <f t="shared" si="1683"/>
        <v>24623.057837685898</v>
      </c>
      <c r="CF634" s="247">
        <f t="shared" si="1647"/>
        <v>1.0633002138032866E-3</v>
      </c>
      <c r="CG634" s="196">
        <f t="shared" si="1601"/>
        <v>45064.142340927203</v>
      </c>
      <c r="CH634" s="589">
        <f t="shared" si="1684"/>
        <v>1.1483719829956474E-3</v>
      </c>
      <c r="CI634" s="196">
        <f t="shared" si="1685"/>
        <v>91217.078963757143</v>
      </c>
      <c r="CJ634" s="248">
        <f t="shared" si="1686"/>
        <v>1.4996085466246079E-3</v>
      </c>
      <c r="CK634" s="196">
        <f t="shared" si="1687"/>
        <v>82663.673647329633</v>
      </c>
      <c r="CL634" s="589">
        <f t="shared" si="1688"/>
        <v>1.1883073118726121E-3</v>
      </c>
      <c r="CM634" s="196">
        <f t="shared" si="1689"/>
        <v>8008.0409616381075</v>
      </c>
      <c r="CN634" s="589">
        <f t="shared" si="1690"/>
        <v>1.1540497111630836E-3</v>
      </c>
      <c r="CO634" s="196">
        <f t="shared" si="1691"/>
        <v>640.67190498116872</v>
      </c>
      <c r="CP634" s="589">
        <f t="shared" si="1692"/>
        <v>1.2082085311544935E-3</v>
      </c>
      <c r="CQ634" s="196">
        <f>'Detailed Budget'!$AC$12</f>
        <v>292876014141.44696</v>
      </c>
      <c r="CR634" s="269">
        <f t="shared" si="1534"/>
        <v>0</v>
      </c>
      <c r="CS634" s="269">
        <f>'Detailed Budget'!$AC$16</f>
        <v>10488008800.000002</v>
      </c>
      <c r="CT634" s="607">
        <f t="shared" si="1602"/>
        <v>0</v>
      </c>
      <c r="CU634" s="269">
        <f>'Detailed Budget'!$AC$24</f>
        <v>30624985696</v>
      </c>
      <c r="CV634" s="269">
        <f t="shared" si="1589"/>
        <v>0</v>
      </c>
      <c r="CW634" s="269"/>
      <c r="CX634" s="269">
        <f t="shared" si="1660"/>
        <v>0</v>
      </c>
      <c r="CY634" s="196">
        <f>'Detailed Budget'!$AC$97</f>
        <v>74629165494.837845</v>
      </c>
      <c r="CZ634" s="269">
        <f t="shared" si="1603"/>
        <v>145178867.89047164</v>
      </c>
      <c r="DA634" s="269">
        <f>'Detailed Budget'!$AC$100</f>
        <v>14925833098.967569</v>
      </c>
      <c r="DB634" s="269">
        <f t="shared" si="1604"/>
        <v>29035773.578094326</v>
      </c>
      <c r="DC634" s="269">
        <f t="shared" si="1661"/>
        <v>174214641.46856597</v>
      </c>
      <c r="DD634" s="207">
        <v>0</v>
      </c>
      <c r="DE634" s="606">
        <v>0</v>
      </c>
      <c r="DF634" s="269">
        <f>'Detailed Budget'!$AC$147</f>
        <v>5913600671000</v>
      </c>
      <c r="DG634" s="269">
        <f t="shared" si="1584"/>
        <v>0</v>
      </c>
      <c r="DH634" s="269">
        <f>'Detailed Budget'!$AC$153</f>
        <v>226428026880.00003</v>
      </c>
      <c r="DI634" s="269"/>
      <c r="DJ634" s="269">
        <f>'Detailed Budget'!$AC$156</f>
        <v>27713070000</v>
      </c>
      <c r="DK634" s="269"/>
      <c r="DL634" s="269"/>
      <c r="DM634" s="196">
        <f>'Detailed Budget'!$AC$178</f>
        <v>5622683761.6229038</v>
      </c>
      <c r="DN634" s="269">
        <f t="shared" si="1693"/>
        <v>0</v>
      </c>
      <c r="DO634" s="196">
        <f>'Detailed Budget'!$AC$179</f>
        <v>26827890683.128094</v>
      </c>
      <c r="DP634" s="269">
        <f t="shared" si="1694"/>
        <v>0</v>
      </c>
      <c r="DQ634" s="269">
        <f t="shared" si="1700"/>
        <v>0</v>
      </c>
      <c r="DR634" s="269">
        <f>'Detailed Budget'!$AC$181</f>
        <v>50888946855.375237</v>
      </c>
      <c r="DS634" s="269">
        <f t="shared" si="1695"/>
        <v>0</v>
      </c>
      <c r="DT634" s="269">
        <f t="shared" si="1696"/>
        <v>0</v>
      </c>
      <c r="DU634" s="272">
        <f>'Detailed Budget'!$AC$192</f>
        <v>77498869683.252869</v>
      </c>
      <c r="DV634" s="269">
        <f t="shared" si="1605"/>
        <v>88997530.658078358</v>
      </c>
      <c r="DW634" s="140">
        <f>'Detailed Budget'!$AC$194</f>
        <v>2684962805.4134097</v>
      </c>
      <c r="DX634" s="269">
        <f t="shared" si="1606"/>
        <v>3083336.0611221539</v>
      </c>
      <c r="DY634" s="607">
        <f t="shared" si="1648"/>
        <v>92080866.719200507</v>
      </c>
      <c r="DZ634" s="196">
        <f>'Detailed Budget'!$AC$198</f>
        <v>18732540018.380611</v>
      </c>
      <c r="EA634" s="269">
        <f t="shared" si="1662"/>
        <v>19918313.806622725</v>
      </c>
      <c r="EB634" s="196">
        <f>'Detailed Budget'!$AC$200</f>
        <v>4683135004.5951529</v>
      </c>
      <c r="EC634" s="269">
        <f t="shared" si="1607"/>
        <v>4979578.4516556812</v>
      </c>
      <c r="ED634" s="269">
        <f t="shared" si="1649"/>
        <v>24897892.258278407</v>
      </c>
      <c r="EE634" s="196">
        <f>'Detailed Budget'!$AC$161</f>
        <v>251147290106.36197</v>
      </c>
      <c r="EF634" s="269">
        <f t="shared" si="1608"/>
        <v>288410511.56342602</v>
      </c>
      <c r="EG634" s="196">
        <f>'Detailed Budget'!$AC$163</f>
        <v>15696705631.647623</v>
      </c>
      <c r="EH634" s="269">
        <f t="shared" si="1609"/>
        <v>18025656.972714126</v>
      </c>
      <c r="EI634" s="269">
        <f t="shared" si="1650"/>
        <v>306436168.53614014</v>
      </c>
      <c r="EJ634" s="196">
        <f>'Detailed Budget'!$AC$204</f>
        <v>45012172507.531975</v>
      </c>
      <c r="EK634" s="269">
        <f t="shared" si="1610"/>
        <v>67500638.594436154</v>
      </c>
      <c r="EL634" s="201">
        <f>'Detailed Budget'!$AC$206</f>
        <v>11253043126.882994</v>
      </c>
      <c r="EM634" s="269">
        <f t="shared" si="1611"/>
        <v>16875159.648609038</v>
      </c>
      <c r="EN634" s="269">
        <f t="shared" si="1651"/>
        <v>84375798.243045196</v>
      </c>
      <c r="EO634" s="140">
        <f>'Detailed Budget'!$AC$209</f>
        <v>135789361677.54817</v>
      </c>
      <c r="EP634" s="269">
        <f t="shared" si="1612"/>
        <v>161359491.35594517</v>
      </c>
      <c r="EQ634" s="196">
        <f>'Detailed Budget'!$AC$211</f>
        <v>33947340419.387043</v>
      </c>
      <c r="ER634" s="269">
        <f t="shared" si="1613"/>
        <v>40339872.838986292</v>
      </c>
      <c r="ES634" s="269">
        <f t="shared" si="1652"/>
        <v>201699364.19493145</v>
      </c>
      <c r="ET634" s="196">
        <f>'Detailed Budget'!$AC$214</f>
        <v>22239745544.201103</v>
      </c>
      <c r="EU634" s="269">
        <f t="shared" si="1614"/>
        <v>25665771.921625759</v>
      </c>
      <c r="EV634" s="140">
        <f>'Detailed Budget'!$AC$217</f>
        <v>5559936386.0502758</v>
      </c>
      <c r="EW634" s="269">
        <f t="shared" si="1615"/>
        <v>6416442.9804064399</v>
      </c>
      <c r="EX634" s="269">
        <f t="shared" si="1653"/>
        <v>32082214.9020322</v>
      </c>
      <c r="EY634" s="196">
        <f>'Detailed Budget'!$AC$219</f>
        <v>372777004.58170313</v>
      </c>
      <c r="EZ634" s="269">
        <f t="shared" si="1616"/>
        <v>450392.35715383146</v>
      </c>
      <c r="FA634" s="196">
        <f>'Detailed Budget'!$AC$222</f>
        <v>93194251.145425782</v>
      </c>
      <c r="FB634" s="269">
        <f t="shared" si="1617"/>
        <v>112598.08928845786</v>
      </c>
      <c r="FC634" s="269">
        <f t="shared" si="1654"/>
        <v>562990.44644228928</v>
      </c>
      <c r="FD634" s="269"/>
      <c r="FE634" s="269">
        <f t="shared" si="1663"/>
        <v>318720367.78645116</v>
      </c>
      <c r="FF634" s="140">
        <f>'Detailed Budget'!$AC$165</f>
        <v>14927760000</v>
      </c>
      <c r="FG634" s="1087">
        <f t="shared" si="1585"/>
        <v>434755678.9900291</v>
      </c>
      <c r="FH634" s="269">
        <f t="shared" si="1664"/>
        <v>18657579.820474949</v>
      </c>
      <c r="FJ634" s="140">
        <f>'Detailed Budget'!$AC$235</f>
        <v>3623696172</v>
      </c>
      <c r="FK634" s="269">
        <f t="shared" si="1665"/>
        <v>4681778</v>
      </c>
      <c r="FL634" s="269">
        <f t="shared" si="1586"/>
        <v>4681778</v>
      </c>
      <c r="FO634" s="607"/>
      <c r="FP634" s="607"/>
      <c r="FQ634" s="607"/>
      <c r="FR634" s="269">
        <f>'Detailed Budget'!$AC$257</f>
        <v>13636439388</v>
      </c>
      <c r="FS634" s="269">
        <f t="shared" si="1666"/>
        <v>27981408</v>
      </c>
      <c r="FT634" s="269">
        <f t="shared" si="1587"/>
        <v>27981408</v>
      </c>
      <c r="FU634" s="269"/>
      <c r="FV634" s="269"/>
      <c r="FW634" s="269"/>
      <c r="FX634" s="140">
        <f>'Detailed Budget'!$AC$278</f>
        <v>1114560000</v>
      </c>
      <c r="FY634" s="269">
        <f t="shared" si="1667"/>
        <v>1440000</v>
      </c>
      <c r="FZ634" s="269">
        <f t="shared" si="1588"/>
        <v>1440000</v>
      </c>
      <c r="GB634" s="269">
        <f t="shared" si="1596"/>
        <v>1403866381.5791402</v>
      </c>
      <c r="GC634" s="887">
        <f t="shared" si="1668"/>
        <v>877416.48848696263</v>
      </c>
      <c r="GD634" s="1078">
        <f t="shared" si="1597"/>
        <v>7.8775363319708404E-4</v>
      </c>
    </row>
    <row r="635" spans="1:186" hidden="1" outlineLevel="1">
      <c r="A635" s="211" t="s">
        <v>1374</v>
      </c>
      <c r="B635" s="212" t="s">
        <v>1375</v>
      </c>
      <c r="C635" s="213" t="s">
        <v>215</v>
      </c>
      <c r="D635" s="214"/>
      <c r="E635" s="213"/>
      <c r="F635" s="213"/>
      <c r="G635" s="213" t="s">
        <v>215</v>
      </c>
      <c r="H635" s="213" t="s">
        <v>215</v>
      </c>
      <c r="I635" s="214" t="s">
        <v>215</v>
      </c>
      <c r="J635" s="214"/>
      <c r="K635" s="213"/>
      <c r="L635" s="213"/>
      <c r="M635" s="214" t="s">
        <v>215</v>
      </c>
      <c r="N635" s="213"/>
      <c r="O635" s="214"/>
      <c r="P635" s="213"/>
      <c r="Q635" s="214"/>
      <c r="R635" s="214" t="s">
        <v>215</v>
      </c>
      <c r="S635" s="214"/>
      <c r="T635" s="214"/>
      <c r="U635" s="215">
        <f t="shared" si="1669"/>
        <v>6</v>
      </c>
      <c r="V635" s="845" t="s">
        <v>216</v>
      </c>
      <c r="W635" s="216">
        <v>161457</v>
      </c>
      <c r="X635" s="217">
        <v>2.89</v>
      </c>
      <c r="Y635" s="218">
        <f t="shared" si="1598"/>
        <v>1.0288999999999999</v>
      </c>
      <c r="Z635" s="196">
        <v>19</v>
      </c>
      <c r="AA635" s="218">
        <f t="shared" si="1599"/>
        <v>1.7182651319612778</v>
      </c>
      <c r="AB635" s="196">
        <f t="shared" si="1619"/>
        <v>277425.93341107201</v>
      </c>
      <c r="AC635">
        <v>12.9</v>
      </c>
      <c r="AD635" s="196">
        <f t="shared" si="1620"/>
        <v>35787.945410028289</v>
      </c>
      <c r="AE635" s="196">
        <f t="shared" si="1600"/>
        <v>33998.548139526873</v>
      </c>
      <c r="AF635" s="196">
        <f t="shared" si="1670"/>
        <v>0</v>
      </c>
      <c r="AG635" s="606">
        <f t="shared" si="1671"/>
        <v>1.5719436095487295E-3</v>
      </c>
      <c r="AH635" s="196">
        <f t="shared" si="1697"/>
        <v>13871.296670553602</v>
      </c>
      <c r="AI635" s="248">
        <f t="shared" si="1644"/>
        <v>1.0745883360004649E-3</v>
      </c>
      <c r="AJ635" s="196">
        <f t="shared" si="1672"/>
        <v>49659.242080581891</v>
      </c>
      <c r="AK635" s="196">
        <f t="shared" si="1698"/>
        <v>11097.03733644288</v>
      </c>
      <c r="AL635" s="196">
        <f t="shared" si="1699"/>
        <v>11097.03733644288</v>
      </c>
      <c r="AM635" s="196">
        <f t="shared" si="1656"/>
        <v>22194.074672885759</v>
      </c>
      <c r="AN635" s="627">
        <f t="shared" si="1657"/>
        <v>1.0745883360004649E-3</v>
      </c>
      <c r="AO635" s="196">
        <f t="shared" si="1658"/>
        <v>10542.185469620736</v>
      </c>
      <c r="AP635" s="589">
        <f t="shared" si="1673"/>
        <v>1.0745883360004647E-3</v>
      </c>
      <c r="AQ635" s="196"/>
      <c r="AR635" s="589"/>
      <c r="AS635">
        <v>1</v>
      </c>
      <c r="AT635" s="589">
        <f t="shared" si="1674"/>
        <v>1.2919896640826874E-3</v>
      </c>
      <c r="AU635" s="196">
        <v>10</v>
      </c>
      <c r="AV635" s="245">
        <f t="shared" si="1645"/>
        <v>1.1362345188046814E-3</v>
      </c>
      <c r="AX635" s="245"/>
      <c r="AY635" s="245"/>
      <c r="AZ635" s="196">
        <v>67</v>
      </c>
      <c r="BA635" s="589">
        <f t="shared" si="1590"/>
        <v>2.455021802059287E-3</v>
      </c>
      <c r="BI635" s="196">
        <v>0</v>
      </c>
      <c r="BK635" s="246">
        <f t="shared" si="1591"/>
        <v>0</v>
      </c>
      <c r="BL635" s="196">
        <f t="shared" si="1629"/>
        <v>0</v>
      </c>
      <c r="BM635" s="246">
        <f t="shared" si="1592"/>
        <v>0</v>
      </c>
      <c r="BN635" s="196">
        <v>1</v>
      </c>
      <c r="BO635" s="196">
        <f t="shared" si="1675"/>
        <v>19459.522577322834</v>
      </c>
      <c r="BP635" s="196">
        <f t="shared" si="1676"/>
        <v>19459.522577322834</v>
      </c>
      <c r="BQ635" s="248">
        <f t="shared" si="1593"/>
        <v>1.8203477190158724E-3</v>
      </c>
      <c r="BR635" s="248"/>
      <c r="BS635" s="248"/>
      <c r="BT635" s="276">
        <v>0</v>
      </c>
      <c r="BU635" s="196">
        <f t="shared" si="1677"/>
        <v>0</v>
      </c>
      <c r="BV635" s="264">
        <f t="shared" si="1594"/>
        <v>0</v>
      </c>
      <c r="BW635" s="196">
        <f t="shared" si="1678"/>
        <v>0</v>
      </c>
      <c r="BX635" s="247">
        <f t="shared" si="1595"/>
        <v>0</v>
      </c>
      <c r="BY635" s="196">
        <f t="shared" si="1679"/>
        <v>0</v>
      </c>
      <c r="BZ635" s="620">
        <v>1</v>
      </c>
      <c r="CA635" s="196">
        <f t="shared" si="1680"/>
        <v>84892.335623788022</v>
      </c>
      <c r="CB635" s="196">
        <f t="shared" si="1681"/>
        <v>169784.67124757604</v>
      </c>
      <c r="CC635" s="196">
        <f t="shared" si="1682"/>
        <v>254677.00687136408</v>
      </c>
      <c r="CD635" s="247">
        <f t="shared" si="1646"/>
        <v>1.0745883360004647E-3</v>
      </c>
      <c r="CE635" s="196">
        <f t="shared" si="1683"/>
        <v>23041.010352777288</v>
      </c>
      <c r="CF635" s="247">
        <f t="shared" si="1647"/>
        <v>9.9498248332321364E-4</v>
      </c>
      <c r="CG635" s="196">
        <f t="shared" si="1601"/>
        <v>42168.741878482942</v>
      </c>
      <c r="CH635" s="589">
        <f t="shared" si="1684"/>
        <v>1.0745883360004647E-3</v>
      </c>
      <c r="CI635" s="196">
        <f t="shared" si="1685"/>
        <v>85356.322297927676</v>
      </c>
      <c r="CJ635" s="248">
        <f t="shared" si="1686"/>
        <v>1.4032577219149388E-3</v>
      </c>
      <c r="CK635" s="196">
        <f t="shared" si="1687"/>
        <v>77352.478837605115</v>
      </c>
      <c r="CL635" s="589">
        <f t="shared" si="1688"/>
        <v>1.1119577940166586E-3</v>
      </c>
      <c r="CM635" s="196">
        <f t="shared" si="1689"/>
        <v>7493.5191201219623</v>
      </c>
      <c r="CN635" s="589">
        <f t="shared" si="1690"/>
        <v>1.0799012664394264E-3</v>
      </c>
      <c r="CO635" s="196">
        <f t="shared" si="1691"/>
        <v>599.50831828903256</v>
      </c>
      <c r="CP635" s="589">
        <f t="shared" si="1692"/>
        <v>1.1305803470126928E-3</v>
      </c>
      <c r="CQ635" s="196">
        <f>'Detailed Budget'!$AC$12</f>
        <v>292876014141.44696</v>
      </c>
      <c r="CR635" s="269">
        <f t="shared" ref="CR635:CR698" si="1701">BK635*CQ635</f>
        <v>0</v>
      </c>
      <c r="CS635" s="269">
        <f>'Detailed Budget'!$AC$16</f>
        <v>10488008800.000002</v>
      </c>
      <c r="CT635" s="607">
        <f t="shared" si="1602"/>
        <v>0</v>
      </c>
      <c r="CU635" s="269">
        <f>'Detailed Budget'!$AC$24</f>
        <v>30624985696</v>
      </c>
      <c r="CV635" s="269">
        <f t="shared" si="1589"/>
        <v>0</v>
      </c>
      <c r="CW635" s="269"/>
      <c r="CX635" s="269">
        <f t="shared" si="1660"/>
        <v>0</v>
      </c>
      <c r="CY635" s="196">
        <f>'Detailed Budget'!$AC$97</f>
        <v>74629165494.837845</v>
      </c>
      <c r="CZ635" s="269">
        <f t="shared" si="1603"/>
        <v>135851031.18058613</v>
      </c>
      <c r="DA635" s="269">
        <f>'Detailed Budget'!$AC$100</f>
        <v>14925833098.967569</v>
      </c>
      <c r="DB635" s="269">
        <f t="shared" si="1604"/>
        <v>27170206.236117225</v>
      </c>
      <c r="DC635" s="269">
        <f t="shared" si="1661"/>
        <v>163021237.41670334</v>
      </c>
      <c r="DD635" s="207">
        <v>0</v>
      </c>
      <c r="DE635" s="606">
        <v>0</v>
      </c>
      <c r="DF635" s="269">
        <f>'Detailed Budget'!$AC$147</f>
        <v>5913600671000</v>
      </c>
      <c r="DG635" s="269">
        <f t="shared" si="1584"/>
        <v>0</v>
      </c>
      <c r="DH635" s="269">
        <f>'Detailed Budget'!$AC$153</f>
        <v>226428026880.00003</v>
      </c>
      <c r="DI635" s="269"/>
      <c r="DJ635" s="269">
        <f>'Detailed Budget'!$AC$156</f>
        <v>27713070000</v>
      </c>
      <c r="DK635" s="269"/>
      <c r="DL635" s="269"/>
      <c r="DM635" s="196">
        <f>'Detailed Budget'!$AC$178</f>
        <v>5622683761.6229038</v>
      </c>
      <c r="DN635" s="269">
        <f t="shared" si="1693"/>
        <v>0</v>
      </c>
      <c r="DO635" s="196">
        <f>'Detailed Budget'!$AC$179</f>
        <v>26827890683.128094</v>
      </c>
      <c r="DP635" s="269">
        <f t="shared" si="1694"/>
        <v>0</v>
      </c>
      <c r="DQ635" s="269">
        <f t="shared" si="1700"/>
        <v>0</v>
      </c>
      <c r="DR635" s="269">
        <f>'Detailed Budget'!$AC$181</f>
        <v>50888946855.375237</v>
      </c>
      <c r="DS635" s="269">
        <f t="shared" si="1695"/>
        <v>0</v>
      </c>
      <c r="DT635" s="269">
        <f t="shared" si="1696"/>
        <v>0</v>
      </c>
      <c r="DU635" s="272">
        <f>'Detailed Budget'!$AC$192</f>
        <v>77498869683.252869</v>
      </c>
      <c r="DV635" s="269">
        <f t="shared" si="1605"/>
        <v>83279381.414843559</v>
      </c>
      <c r="DW635" s="140">
        <f>'Detailed Budget'!$AC$194</f>
        <v>2684962805.4134097</v>
      </c>
      <c r="DX635" s="269">
        <f t="shared" si="1606"/>
        <v>2885229.7132923361</v>
      </c>
      <c r="DY635" s="607">
        <f t="shared" si="1648"/>
        <v>86164611.12813589</v>
      </c>
      <c r="DZ635" s="196">
        <f>'Detailed Budget'!$AC$198</f>
        <v>18732540018.380611</v>
      </c>
      <c r="EA635" s="269">
        <f t="shared" si="1662"/>
        <v>18638549.18643982</v>
      </c>
      <c r="EB635" s="196">
        <f>'Detailed Budget'!$AC$200</f>
        <v>4683135004.5951529</v>
      </c>
      <c r="EC635" s="269">
        <f t="shared" si="1607"/>
        <v>4659637.2966099549</v>
      </c>
      <c r="ED635" s="269">
        <f t="shared" si="1649"/>
        <v>23298186.483049773</v>
      </c>
      <c r="EE635" s="196">
        <f>'Detailed Budget'!$AC$161</f>
        <v>251147290106.36197</v>
      </c>
      <c r="EF635" s="269">
        <f t="shared" si="1608"/>
        <v>269879948.56642145</v>
      </c>
      <c r="EG635" s="196">
        <f>'Detailed Budget'!$AC$163</f>
        <v>15696705631.647623</v>
      </c>
      <c r="EH635" s="269">
        <f t="shared" si="1609"/>
        <v>16867496.785401341</v>
      </c>
      <c r="EI635" s="269">
        <f t="shared" si="1650"/>
        <v>286747445.35182279</v>
      </c>
      <c r="EJ635" s="196">
        <f>'Detailed Budget'!$AC$204</f>
        <v>45012172507.531975</v>
      </c>
      <c r="EK635" s="269">
        <f t="shared" si="1610"/>
        <v>63163678.651361562</v>
      </c>
      <c r="EL635" s="201">
        <f>'Detailed Budget'!$AC$206</f>
        <v>11253043126.882994</v>
      </c>
      <c r="EM635" s="269">
        <f t="shared" si="1611"/>
        <v>15790919.662840391</v>
      </c>
      <c r="EN635" s="269">
        <f t="shared" si="1651"/>
        <v>78954598.314201951</v>
      </c>
      <c r="EO635" s="140">
        <f>'Detailed Budget'!$AC$209</f>
        <v>135789361677.54817</v>
      </c>
      <c r="EP635" s="269">
        <f t="shared" si="1612"/>
        <v>150992039.06189668</v>
      </c>
      <c r="EQ635" s="196">
        <f>'Detailed Budget'!$AC$211</f>
        <v>33947340419.387043</v>
      </c>
      <c r="ER635" s="269">
        <f t="shared" si="1613"/>
        <v>37748009.76547417</v>
      </c>
      <c r="ES635" s="269">
        <f t="shared" si="1652"/>
        <v>188740048.82737085</v>
      </c>
      <c r="ET635" s="196">
        <f>'Detailed Budget'!$AC$214</f>
        <v>22239745544.201103</v>
      </c>
      <c r="EU635" s="269">
        <f t="shared" si="1614"/>
        <v>24016729.37847336</v>
      </c>
      <c r="EV635" s="140">
        <f>'Detailed Budget'!$AC$217</f>
        <v>5559936386.0502758</v>
      </c>
      <c r="EW635" s="269">
        <f t="shared" si="1615"/>
        <v>6004182.34461834</v>
      </c>
      <c r="EX635" s="269">
        <f t="shared" si="1653"/>
        <v>30020911.723091699</v>
      </c>
      <c r="EY635" s="196">
        <f>'Detailed Budget'!$AC$219</f>
        <v>372777004.58170313</v>
      </c>
      <c r="EZ635" s="269">
        <f t="shared" si="1616"/>
        <v>421454.35519833409</v>
      </c>
      <c r="FA635" s="196">
        <f>'Detailed Budget'!$AC$222</f>
        <v>93194251.145425782</v>
      </c>
      <c r="FB635" s="269">
        <f t="shared" si="1617"/>
        <v>105363.58879958352</v>
      </c>
      <c r="FC635" s="269">
        <f t="shared" si="1654"/>
        <v>526817.94399791758</v>
      </c>
      <c r="FD635" s="269"/>
      <c r="FE635" s="269">
        <f t="shared" si="1663"/>
        <v>298242376.80866241</v>
      </c>
      <c r="FF635" s="140">
        <f>'Detailed Budget'!$AC$165</f>
        <v>14927760000</v>
      </c>
      <c r="FG635" s="1087">
        <f t="shared" si="1585"/>
        <v>406822343.77919197</v>
      </c>
      <c r="FH635" s="269">
        <f t="shared" si="1664"/>
        <v>16961436.200431772</v>
      </c>
      <c r="FJ635" s="140">
        <f>'Detailed Budget'!$AC$235</f>
        <v>3623696172</v>
      </c>
      <c r="FK635" s="269">
        <f t="shared" si="1665"/>
        <v>4681778</v>
      </c>
      <c r="FL635" s="269">
        <f t="shared" si="1586"/>
        <v>4681778</v>
      </c>
      <c r="FO635" s="607"/>
      <c r="FP635" s="607"/>
      <c r="FQ635" s="607"/>
      <c r="FR635" s="269">
        <f>'Detailed Budget'!$AC$257</f>
        <v>13636439388</v>
      </c>
      <c r="FS635" s="269">
        <f t="shared" si="1666"/>
        <v>33477756</v>
      </c>
      <c r="FT635" s="269">
        <f t="shared" si="1587"/>
        <v>33477756</v>
      </c>
      <c r="FU635" s="269"/>
      <c r="FV635" s="269"/>
      <c r="FW635" s="269"/>
      <c r="FX635" s="140">
        <f>'Detailed Budget'!$AC$278</f>
        <v>1114560000</v>
      </c>
      <c r="FY635" s="269">
        <f t="shared" si="1667"/>
        <v>1440000</v>
      </c>
      <c r="FZ635" s="269">
        <f t="shared" si="1588"/>
        <v>1440000</v>
      </c>
      <c r="GB635" s="269">
        <f t="shared" si="1596"/>
        <v>1320857171.1679981</v>
      </c>
      <c r="GC635" s="887">
        <f t="shared" si="1668"/>
        <v>825535.73197999876</v>
      </c>
      <c r="GD635" s="1078">
        <f t="shared" si="1597"/>
        <v>7.4117455134981914E-4</v>
      </c>
    </row>
    <row r="636" spans="1:186" hidden="1" outlineLevel="1">
      <c r="A636" s="211" t="s">
        <v>1376</v>
      </c>
      <c r="B636" s="212" t="s">
        <v>1377</v>
      </c>
      <c r="C636" s="213" t="s">
        <v>215</v>
      </c>
      <c r="D636" s="214"/>
      <c r="E636" s="213"/>
      <c r="F636" s="213"/>
      <c r="G636" s="213" t="s">
        <v>215</v>
      </c>
      <c r="H636" s="213" t="s">
        <v>215</v>
      </c>
      <c r="I636" s="214" t="s">
        <v>215</v>
      </c>
      <c r="J636" s="214"/>
      <c r="K636" s="213"/>
      <c r="L636" s="213"/>
      <c r="M636" s="214" t="s">
        <v>215</v>
      </c>
      <c r="N636" s="213"/>
      <c r="O636" s="214"/>
      <c r="P636" s="213"/>
      <c r="Q636" s="214"/>
      <c r="R636" s="214" t="s">
        <v>215</v>
      </c>
      <c r="S636" s="214"/>
      <c r="T636" s="214"/>
      <c r="U636" s="215">
        <f t="shared" si="1669"/>
        <v>6</v>
      </c>
      <c r="V636" s="845" t="s">
        <v>216</v>
      </c>
      <c r="W636" s="216">
        <v>192884</v>
      </c>
      <c r="X636" s="217">
        <v>2.89</v>
      </c>
      <c r="Y636" s="218">
        <f t="shared" si="1598"/>
        <v>1.0288999999999999</v>
      </c>
      <c r="Z636" s="196">
        <v>19</v>
      </c>
      <c r="AA636" s="218">
        <f t="shared" si="1599"/>
        <v>1.7182651319612778</v>
      </c>
      <c r="AB636" s="196">
        <f t="shared" si="1619"/>
        <v>331425.85171321913</v>
      </c>
      <c r="AC636">
        <v>12.9</v>
      </c>
      <c r="AD636" s="196">
        <f t="shared" si="1620"/>
        <v>42753.934871005265</v>
      </c>
      <c r="AE636" s="196">
        <f t="shared" si="1600"/>
        <v>40616.238127454999</v>
      </c>
      <c r="AF636" s="196">
        <f t="shared" si="1670"/>
        <v>0</v>
      </c>
      <c r="AG636" s="606">
        <f t="shared" si="1671"/>
        <v>1.8779165423871195E-3</v>
      </c>
      <c r="AH636" s="196">
        <f t="shared" si="1697"/>
        <v>16571.292585660958</v>
      </c>
      <c r="AI636" s="248">
        <f t="shared" si="1644"/>
        <v>1.2837529286504376E-3</v>
      </c>
      <c r="AJ636" s="196">
        <f t="shared" si="1672"/>
        <v>59325.227456666224</v>
      </c>
      <c r="AK636" s="196">
        <f t="shared" si="1698"/>
        <v>13257.034068528767</v>
      </c>
      <c r="AL636" s="196">
        <f t="shared" si="1699"/>
        <v>13257.034068528767</v>
      </c>
      <c r="AM636" s="196">
        <f t="shared" si="1656"/>
        <v>26514.068137057533</v>
      </c>
      <c r="AN636" s="627">
        <f t="shared" si="1657"/>
        <v>1.2837529286504376E-3</v>
      </c>
      <c r="AO636" s="196">
        <f t="shared" si="1658"/>
        <v>12594.182365102326</v>
      </c>
      <c r="AP636" s="589">
        <f t="shared" si="1673"/>
        <v>1.2837529286504373E-3</v>
      </c>
      <c r="AQ636" s="196"/>
      <c r="AR636" s="589"/>
      <c r="AS636">
        <v>1</v>
      </c>
      <c r="AT636" s="589">
        <f t="shared" si="1674"/>
        <v>1.2919896640826874E-3</v>
      </c>
      <c r="AU636" s="196">
        <v>13</v>
      </c>
      <c r="AV636" s="245">
        <f t="shared" si="1645"/>
        <v>1.4771048744460858E-3</v>
      </c>
      <c r="AX636" s="245"/>
      <c r="AY636" s="245"/>
      <c r="AZ636" s="196">
        <v>49</v>
      </c>
      <c r="BA636" s="589">
        <f t="shared" si="1590"/>
        <v>1.7954637059836576E-3</v>
      </c>
      <c r="BI636" s="196">
        <v>0</v>
      </c>
      <c r="BK636" s="246">
        <f t="shared" si="1591"/>
        <v>0</v>
      </c>
      <c r="BL636" s="196">
        <f t="shared" si="1629"/>
        <v>0</v>
      </c>
      <c r="BM636" s="246">
        <f t="shared" si="1592"/>
        <v>0</v>
      </c>
      <c r="BN636" s="196">
        <v>1</v>
      </c>
      <c r="BO636" s="196">
        <f t="shared" si="1675"/>
        <v>23247.245723656069</v>
      </c>
      <c r="BP636" s="196">
        <f t="shared" si="1676"/>
        <v>23247.245723656069</v>
      </c>
      <c r="BQ636" s="248">
        <f t="shared" si="1593"/>
        <v>2.1746715808831922E-3</v>
      </c>
      <c r="BR636" s="248"/>
      <c r="BS636" s="248"/>
      <c r="BT636" s="276">
        <v>0</v>
      </c>
      <c r="BU636" s="196">
        <f t="shared" si="1677"/>
        <v>0</v>
      </c>
      <c r="BV636" s="264">
        <f t="shared" si="1594"/>
        <v>0</v>
      </c>
      <c r="BW636" s="196">
        <f t="shared" si="1678"/>
        <v>0</v>
      </c>
      <c r="BX636" s="247">
        <f t="shared" si="1595"/>
        <v>0</v>
      </c>
      <c r="BY636" s="196">
        <f t="shared" si="1679"/>
        <v>0</v>
      </c>
      <c r="BZ636" s="620">
        <v>1</v>
      </c>
      <c r="CA636" s="196">
        <f t="shared" si="1680"/>
        <v>101416.31062424506</v>
      </c>
      <c r="CB636" s="196">
        <f t="shared" si="1681"/>
        <v>202832.62124849012</v>
      </c>
      <c r="CC636" s="196">
        <f t="shared" si="1682"/>
        <v>304248.93187273515</v>
      </c>
      <c r="CD636" s="247">
        <f t="shared" si="1646"/>
        <v>1.2837529286504376E-3</v>
      </c>
      <c r="CE636" s="196">
        <f t="shared" si="1683"/>
        <v>27525.856673201502</v>
      </c>
      <c r="CF636" s="247">
        <f t="shared" si="1647"/>
        <v>1.1886520950675087E-3</v>
      </c>
      <c r="CG636" s="196">
        <f t="shared" si="1601"/>
        <v>50376.729460409304</v>
      </c>
      <c r="CH636" s="589">
        <f t="shared" si="1684"/>
        <v>1.2837529286504373E-3</v>
      </c>
      <c r="CI636" s="196">
        <f t="shared" si="1685"/>
        <v>101970.61056574495</v>
      </c>
      <c r="CJ636" s="248">
        <f t="shared" si="1686"/>
        <v>1.6763965788652152E-3</v>
      </c>
      <c r="CK636" s="196">
        <f t="shared" si="1687"/>
        <v>92408.848969772909</v>
      </c>
      <c r="CL636" s="589">
        <f t="shared" si="1688"/>
        <v>1.3283962116297787E-3</v>
      </c>
      <c r="CM636" s="196">
        <f t="shared" si="1689"/>
        <v>8952.1045353599075</v>
      </c>
      <c r="CN636" s="589">
        <f t="shared" si="1690"/>
        <v>1.2901000010894685E-3</v>
      </c>
      <c r="CO636" s="196">
        <f t="shared" si="1691"/>
        <v>716.20036582410034</v>
      </c>
      <c r="CP636" s="589">
        <f t="shared" si="1692"/>
        <v>1.3506435747796396E-3</v>
      </c>
      <c r="CQ636" s="196">
        <f>'Detailed Budget'!$AC$12</f>
        <v>292876014141.44696</v>
      </c>
      <c r="CR636" s="269">
        <f t="shared" si="1701"/>
        <v>0</v>
      </c>
      <c r="CS636" s="269">
        <f>'Detailed Budget'!$AC$16</f>
        <v>10488008800.000002</v>
      </c>
      <c r="CT636" s="607">
        <f t="shared" si="1602"/>
        <v>0</v>
      </c>
      <c r="CU636" s="269">
        <f>'Detailed Budget'!$AC$24</f>
        <v>30624985696</v>
      </c>
      <c r="CV636" s="269">
        <f t="shared" si="1589"/>
        <v>0</v>
      </c>
      <c r="CW636" s="269"/>
      <c r="CX636" s="269">
        <f t="shared" si="1660"/>
        <v>0</v>
      </c>
      <c r="CY636" s="196">
        <f>'Detailed Budget'!$AC$97</f>
        <v>74629165494.837845</v>
      </c>
      <c r="CZ636" s="269">
        <f t="shared" si="1603"/>
        <v>162293925.3066524</v>
      </c>
      <c r="DA636" s="269">
        <f>'Detailed Budget'!$AC$100</f>
        <v>14925833098.967569</v>
      </c>
      <c r="DB636" s="269">
        <f t="shared" si="1604"/>
        <v>32458785.061330479</v>
      </c>
      <c r="DC636" s="269">
        <f t="shared" si="1661"/>
        <v>194752710.36798286</v>
      </c>
      <c r="DD636" s="207">
        <v>0</v>
      </c>
      <c r="DE636" s="606">
        <v>0</v>
      </c>
      <c r="DF636" s="269">
        <f>'Detailed Budget'!$AC$147</f>
        <v>5913600671000</v>
      </c>
      <c r="DG636" s="269">
        <f t="shared" si="1584"/>
        <v>0</v>
      </c>
      <c r="DH636" s="269">
        <f>'Detailed Budget'!$AC$153</f>
        <v>226428026880.00003</v>
      </c>
      <c r="DI636" s="269"/>
      <c r="DJ636" s="269">
        <f>'Detailed Budget'!$AC$156</f>
        <v>27713070000</v>
      </c>
      <c r="DK636" s="269"/>
      <c r="DL636" s="269"/>
      <c r="DM636" s="196">
        <f>'Detailed Budget'!$AC$178</f>
        <v>5622683761.6229038</v>
      </c>
      <c r="DN636" s="269">
        <f t="shared" si="1693"/>
        <v>0</v>
      </c>
      <c r="DO636" s="196">
        <f>'Detailed Budget'!$AC$179</f>
        <v>26827890683.128094</v>
      </c>
      <c r="DP636" s="269">
        <f t="shared" si="1694"/>
        <v>0</v>
      </c>
      <c r="DQ636" s="269">
        <f t="shared" si="1700"/>
        <v>0</v>
      </c>
      <c r="DR636" s="269">
        <f>'Detailed Budget'!$AC$181</f>
        <v>50888946855.375237</v>
      </c>
      <c r="DS636" s="269">
        <f t="shared" si="1695"/>
        <v>0</v>
      </c>
      <c r="DT636" s="269">
        <f t="shared" si="1696"/>
        <v>0</v>
      </c>
      <c r="DU636" s="272">
        <f>'Detailed Budget'!$AC$192</f>
        <v>77498869683.252869</v>
      </c>
      <c r="DV636" s="269">
        <f t="shared" si="1605"/>
        <v>99489400.922974482</v>
      </c>
      <c r="DW636" s="140">
        <f>'Detailed Budget'!$AC$194</f>
        <v>2684962805.4134097</v>
      </c>
      <c r="DX636" s="269">
        <f t="shared" si="1606"/>
        <v>3446828.8647669596</v>
      </c>
      <c r="DY636" s="607">
        <f t="shared" si="1648"/>
        <v>102936229.78774144</v>
      </c>
      <c r="DZ636" s="196">
        <f>'Detailed Budget'!$AC$198</f>
        <v>18732540018.380611</v>
      </c>
      <c r="EA636" s="269">
        <f t="shared" si="1662"/>
        <v>22266472.938784063</v>
      </c>
      <c r="EB636" s="196">
        <f>'Detailed Budget'!$AC$200</f>
        <v>4683135004.5951529</v>
      </c>
      <c r="EC636" s="269">
        <f t="shared" si="1607"/>
        <v>5566618.2346960157</v>
      </c>
      <c r="ED636" s="269">
        <f t="shared" si="1649"/>
        <v>27833091.173480079</v>
      </c>
      <c r="EE636" s="196">
        <f>'Detailed Budget'!$AC$161</f>
        <v>251147290106.36197</v>
      </c>
      <c r="EF636" s="269">
        <f t="shared" si="1608"/>
        <v>322411069.1966632</v>
      </c>
      <c r="EG636" s="196">
        <f>'Detailed Budget'!$AC$163</f>
        <v>15696705631.647623</v>
      </c>
      <c r="EH636" s="269">
        <f t="shared" si="1609"/>
        <v>20150691.82479145</v>
      </c>
      <c r="EI636" s="269">
        <f t="shared" si="1650"/>
        <v>342561761.02145463</v>
      </c>
      <c r="EJ636" s="196">
        <f>'Detailed Budget'!$AC$204</f>
        <v>45012172507.531975</v>
      </c>
      <c r="EK636" s="269">
        <f t="shared" si="1610"/>
        <v>75458251.998917505</v>
      </c>
      <c r="EL636" s="201">
        <f>'Detailed Budget'!$AC$206</f>
        <v>11253043126.882994</v>
      </c>
      <c r="EM636" s="269">
        <f t="shared" si="1611"/>
        <v>18864562.999729376</v>
      </c>
      <c r="EN636" s="269">
        <f t="shared" si="1651"/>
        <v>94322814.998646885</v>
      </c>
      <c r="EO636" s="140">
        <f>'Detailed Budget'!$AC$209</f>
        <v>135789361677.54817</v>
      </c>
      <c r="EP636" s="269">
        <f t="shared" si="1612"/>
        <v>180382073.63208085</v>
      </c>
      <c r="EQ636" s="196">
        <f>'Detailed Budget'!$AC$211</f>
        <v>33947340419.387043</v>
      </c>
      <c r="ER636" s="269">
        <f t="shared" si="1613"/>
        <v>45095518.408020213</v>
      </c>
      <c r="ES636" s="269">
        <f t="shared" si="1652"/>
        <v>225477592.04010105</v>
      </c>
      <c r="ET636" s="196">
        <f>'Detailed Budget'!$AC$214</f>
        <v>22239745544.201103</v>
      </c>
      <c r="EU636" s="269">
        <f t="shared" si="1614"/>
        <v>28691495.750803348</v>
      </c>
      <c r="EV636" s="140">
        <f>'Detailed Budget'!$AC$217</f>
        <v>5559936386.0502758</v>
      </c>
      <c r="EW636" s="269">
        <f t="shared" si="1615"/>
        <v>7172873.9377008369</v>
      </c>
      <c r="EX636" s="269">
        <f t="shared" si="1653"/>
        <v>35864369.688504182</v>
      </c>
      <c r="EY636" s="196">
        <f>'Detailed Budget'!$AC$219</f>
        <v>372777004.58170313</v>
      </c>
      <c r="EZ636" s="269">
        <f t="shared" si="1616"/>
        <v>503488.86606387759</v>
      </c>
      <c r="FA636" s="196">
        <f>'Detailed Budget'!$AC$222</f>
        <v>93194251.145425782</v>
      </c>
      <c r="FB636" s="269">
        <f t="shared" si="1617"/>
        <v>125872.2165159694</v>
      </c>
      <c r="FC636" s="269">
        <f t="shared" si="1654"/>
        <v>629361.08257984696</v>
      </c>
      <c r="FD636" s="269"/>
      <c r="FE636" s="269">
        <f t="shared" si="1663"/>
        <v>356294137.80983192</v>
      </c>
      <c r="FF636" s="140">
        <f>'Detailed Budget'!$AC$165</f>
        <v>14927760000</v>
      </c>
      <c r="FG636" s="1087">
        <f t="shared" si="1585"/>
        <v>486008788.45454609</v>
      </c>
      <c r="FH636" s="269">
        <f t="shared" si="1664"/>
        <v>22049867.060561303</v>
      </c>
      <c r="FJ636" s="140">
        <f>'Detailed Budget'!$AC$235</f>
        <v>3623696172</v>
      </c>
      <c r="FK636" s="269">
        <f t="shared" si="1665"/>
        <v>4681778</v>
      </c>
      <c r="FL636" s="269">
        <f t="shared" si="1586"/>
        <v>4681778</v>
      </c>
      <c r="FO636" s="607"/>
      <c r="FP636" s="607"/>
      <c r="FQ636" s="607"/>
      <c r="FR636" s="269">
        <f>'Detailed Budget'!$AC$257</f>
        <v>13636439388</v>
      </c>
      <c r="FS636" s="269">
        <f t="shared" si="1666"/>
        <v>24483732</v>
      </c>
      <c r="FT636" s="269">
        <f t="shared" si="1587"/>
        <v>24483732</v>
      </c>
      <c r="FU636" s="269"/>
      <c r="FV636" s="269"/>
      <c r="FW636" s="269"/>
      <c r="FX636" s="140">
        <f>'Detailed Budget'!$AC$278</f>
        <v>1114560000</v>
      </c>
      <c r="FY636" s="269">
        <f t="shared" si="1667"/>
        <v>1440000</v>
      </c>
      <c r="FZ636" s="269">
        <f t="shared" si="1588"/>
        <v>1440000</v>
      </c>
      <c r="GB636" s="269">
        <f t="shared" si="1596"/>
        <v>1563042095.6755984</v>
      </c>
      <c r="GC636" s="887">
        <f t="shared" si="1668"/>
        <v>976901.30979724904</v>
      </c>
      <c r="GD636" s="1078">
        <f t="shared" si="1597"/>
        <v>8.7707213867705628E-4</v>
      </c>
    </row>
    <row r="637" spans="1:186" hidden="1" outlineLevel="1">
      <c r="A637" s="211" t="s">
        <v>1378</v>
      </c>
      <c r="B637" s="212" t="s">
        <v>1379</v>
      </c>
      <c r="C637" s="213" t="s">
        <v>215</v>
      </c>
      <c r="D637" s="214"/>
      <c r="E637" s="213"/>
      <c r="F637" s="213"/>
      <c r="G637" s="213" t="s">
        <v>215</v>
      </c>
      <c r="H637" s="213" t="s">
        <v>215</v>
      </c>
      <c r="I637" s="214" t="s">
        <v>215</v>
      </c>
      <c r="J637" s="214"/>
      <c r="K637" s="213"/>
      <c r="L637" s="213"/>
      <c r="M637" s="214" t="s">
        <v>215</v>
      </c>
      <c r="N637" s="213"/>
      <c r="O637" s="214"/>
      <c r="P637" s="213"/>
      <c r="Q637" s="214"/>
      <c r="R637" s="214" t="s">
        <v>215</v>
      </c>
      <c r="S637" s="214"/>
      <c r="T637" s="214"/>
      <c r="U637" s="215">
        <f t="shared" si="1669"/>
        <v>6</v>
      </c>
      <c r="V637" s="845" t="s">
        <v>216</v>
      </c>
      <c r="W637" s="216">
        <v>171574</v>
      </c>
      <c r="X637" s="217">
        <v>2.89</v>
      </c>
      <c r="Y637" s="218">
        <f t="shared" si="1598"/>
        <v>1.0288999999999999</v>
      </c>
      <c r="Z637" s="196">
        <v>19</v>
      </c>
      <c r="AA637" s="218">
        <f t="shared" si="1599"/>
        <v>1.7182651319612778</v>
      </c>
      <c r="AB637" s="196">
        <f t="shared" si="1619"/>
        <v>294809.62175112427</v>
      </c>
      <c r="AC637">
        <v>12.9</v>
      </c>
      <c r="AD637" s="196">
        <f t="shared" si="1620"/>
        <v>38030.441205895033</v>
      </c>
      <c r="AE637" s="196">
        <f t="shared" si="1600"/>
        <v>36128.919145600281</v>
      </c>
      <c r="AF637" s="196">
        <f t="shared" si="1670"/>
        <v>0</v>
      </c>
      <c r="AG637" s="606">
        <f t="shared" si="1671"/>
        <v>1.6704426123656066E-3</v>
      </c>
      <c r="AH637" s="196">
        <f t="shared" si="1697"/>
        <v>14740.481087556214</v>
      </c>
      <c r="AI637" s="248">
        <f t="shared" si="1644"/>
        <v>1.1419227358426317E-3</v>
      </c>
      <c r="AJ637" s="196">
        <f t="shared" si="1672"/>
        <v>52770.922293451251</v>
      </c>
      <c r="AK637" s="196">
        <f t="shared" si="1698"/>
        <v>11792.384870044971</v>
      </c>
      <c r="AL637" s="196">
        <f t="shared" si="1699"/>
        <v>11792.384870044971</v>
      </c>
      <c r="AM637" s="196">
        <f t="shared" si="1656"/>
        <v>23584.769740089941</v>
      </c>
      <c r="AN637" s="627">
        <f t="shared" si="1657"/>
        <v>1.1419227358426315E-3</v>
      </c>
      <c r="AO637" s="196">
        <f t="shared" si="1658"/>
        <v>11202.765626542721</v>
      </c>
      <c r="AP637" s="589">
        <f t="shared" si="1673"/>
        <v>1.1419227358426315E-3</v>
      </c>
      <c r="AQ637" s="196"/>
      <c r="AR637" s="589"/>
      <c r="AS637">
        <v>1</v>
      </c>
      <c r="AT637" s="589">
        <f t="shared" si="1674"/>
        <v>1.2919896640826874E-3</v>
      </c>
      <c r="AU637" s="196">
        <v>10</v>
      </c>
      <c r="AV637" s="245">
        <f t="shared" si="1645"/>
        <v>1.1362345188046814E-3</v>
      </c>
      <c r="AX637" s="245"/>
      <c r="AY637" s="245"/>
      <c r="AZ637" s="196">
        <v>55</v>
      </c>
      <c r="BA637" s="589">
        <f t="shared" si="1590"/>
        <v>2.015316404675534E-3</v>
      </c>
      <c r="BI637" s="196">
        <v>0</v>
      </c>
      <c r="BK637" s="246">
        <f t="shared" si="1591"/>
        <v>0</v>
      </c>
      <c r="BL637" s="196">
        <f t="shared" si="1629"/>
        <v>0</v>
      </c>
      <c r="BM637" s="246">
        <f t="shared" si="1592"/>
        <v>0</v>
      </c>
      <c r="BN637" s="196">
        <v>1</v>
      </c>
      <c r="BO637" s="196">
        <f t="shared" si="1675"/>
        <v>20678.868842364147</v>
      </c>
      <c r="BP637" s="196">
        <f t="shared" si="1676"/>
        <v>20678.868842364147</v>
      </c>
      <c r="BQ637" s="248">
        <f t="shared" si="1593"/>
        <v>1.9344118839222165E-3</v>
      </c>
      <c r="BR637" s="248"/>
      <c r="BS637" s="248"/>
      <c r="BT637" s="276">
        <v>0</v>
      </c>
      <c r="BU637" s="196">
        <f t="shared" si="1677"/>
        <v>0</v>
      </c>
      <c r="BV637" s="264">
        <f t="shared" si="1594"/>
        <v>0</v>
      </c>
      <c r="BW637" s="196">
        <f t="shared" si="1678"/>
        <v>0</v>
      </c>
      <c r="BX637" s="247">
        <f t="shared" si="1595"/>
        <v>0</v>
      </c>
      <c r="BY637" s="196">
        <f t="shared" si="1679"/>
        <v>0</v>
      </c>
      <c r="BZ637" s="620">
        <v>1</v>
      </c>
      <c r="CA637" s="196">
        <f t="shared" si="1680"/>
        <v>90211.744255844023</v>
      </c>
      <c r="CB637" s="196">
        <f t="shared" si="1681"/>
        <v>180423.48851168805</v>
      </c>
      <c r="CC637" s="196">
        <f t="shared" si="1682"/>
        <v>270635.23276753206</v>
      </c>
      <c r="CD637" s="247">
        <f t="shared" si="1646"/>
        <v>1.1419227358426315E-3</v>
      </c>
      <c r="CE637" s="196">
        <f t="shared" si="1683"/>
        <v>24484.774957217156</v>
      </c>
      <c r="CF637" s="247">
        <f t="shared" si="1647"/>
        <v>1.0573287289724015E-3</v>
      </c>
      <c r="CG637" s="196">
        <f t="shared" si="1601"/>
        <v>44811.062506170885</v>
      </c>
      <c r="CH637" s="589">
        <f t="shared" si="1684"/>
        <v>1.1419227358426315E-3</v>
      </c>
      <c r="CI637" s="196">
        <f t="shared" si="1685"/>
        <v>90704.804634947039</v>
      </c>
      <c r="CJ637" s="248">
        <f t="shared" si="1686"/>
        <v>1.4911867579592939E-3</v>
      </c>
      <c r="CK637" s="196">
        <f t="shared" si="1687"/>
        <v>82199.435169012562</v>
      </c>
      <c r="CL637" s="589">
        <f t="shared" si="1688"/>
        <v>1.1816337882570233E-3</v>
      </c>
      <c r="CM637" s="196">
        <f t="shared" si="1689"/>
        <v>7963.0678726583901</v>
      </c>
      <c r="CN637" s="589">
        <f t="shared" si="1690"/>
        <v>1.147568577937644E-3</v>
      </c>
      <c r="CO637" s="196">
        <f t="shared" si="1691"/>
        <v>637.07389708790879</v>
      </c>
      <c r="CP637" s="589">
        <f t="shared" si="1692"/>
        <v>1.2014232424630445E-3</v>
      </c>
      <c r="CQ637" s="196">
        <f>'Detailed Budget'!$AC$12</f>
        <v>292876014141.44696</v>
      </c>
      <c r="CR637" s="269">
        <f t="shared" si="1701"/>
        <v>0</v>
      </c>
      <c r="CS637" s="269">
        <f>'Detailed Budget'!$AC$16</f>
        <v>10488008800.000002</v>
      </c>
      <c r="CT637" s="607">
        <f t="shared" si="1602"/>
        <v>0</v>
      </c>
      <c r="CU637" s="269">
        <f>'Detailed Budget'!$AC$24</f>
        <v>30624985696</v>
      </c>
      <c r="CV637" s="269">
        <f t="shared" si="1589"/>
        <v>0</v>
      </c>
      <c r="CW637" s="269"/>
      <c r="CX637" s="269">
        <f t="shared" si="1660"/>
        <v>0</v>
      </c>
      <c r="CY637" s="196">
        <f>'Detailed Budget'!$AC$97</f>
        <v>74629165494.837845</v>
      </c>
      <c r="CZ637" s="269">
        <f t="shared" si="1603"/>
        <v>144363544.62041214</v>
      </c>
      <c r="DA637" s="269">
        <f>'Detailed Budget'!$AC$100</f>
        <v>14925833098.967569</v>
      </c>
      <c r="DB637" s="269">
        <f t="shared" si="1604"/>
        <v>28872708.924082432</v>
      </c>
      <c r="DC637" s="269">
        <f t="shared" si="1661"/>
        <v>173236253.54449457</v>
      </c>
      <c r="DD637" s="207">
        <v>0</v>
      </c>
      <c r="DE637" s="606">
        <v>0</v>
      </c>
      <c r="DF637" s="269">
        <f>'Detailed Budget'!$AC$147</f>
        <v>5913600671000</v>
      </c>
      <c r="DG637" s="269">
        <f t="shared" si="1584"/>
        <v>0</v>
      </c>
      <c r="DH637" s="269">
        <f>'Detailed Budget'!$AC$153</f>
        <v>226428026880.00003</v>
      </c>
      <c r="DI637" s="269"/>
      <c r="DJ637" s="269">
        <f>'Detailed Budget'!$AC$156</f>
        <v>27713070000</v>
      </c>
      <c r="DK637" s="269"/>
      <c r="DL637" s="269"/>
      <c r="DM637" s="196">
        <f>'Detailed Budget'!$AC$178</f>
        <v>5622683761.6229038</v>
      </c>
      <c r="DN637" s="269">
        <f t="shared" si="1693"/>
        <v>0</v>
      </c>
      <c r="DO637" s="196">
        <f>'Detailed Budget'!$AC$179</f>
        <v>26827890683.128094</v>
      </c>
      <c r="DP637" s="269">
        <f t="shared" si="1694"/>
        <v>0</v>
      </c>
      <c r="DQ637" s="269">
        <f t="shared" si="1700"/>
        <v>0</v>
      </c>
      <c r="DR637" s="269">
        <f>'Detailed Budget'!$AC$181</f>
        <v>50888946855.375237</v>
      </c>
      <c r="DS637" s="269">
        <f t="shared" si="1695"/>
        <v>0</v>
      </c>
      <c r="DT637" s="269">
        <f t="shared" si="1696"/>
        <v>0</v>
      </c>
      <c r="DU637" s="272">
        <f>'Detailed Budget'!$AC$192</f>
        <v>77498869683.252869</v>
      </c>
      <c r="DV637" s="269">
        <f t="shared" si="1605"/>
        <v>88497721.293411687</v>
      </c>
      <c r="DW637" s="140">
        <f>'Detailed Budget'!$AC$194</f>
        <v>2684962805.4134097</v>
      </c>
      <c r="DX637" s="269">
        <f t="shared" si="1606"/>
        <v>3066020.072393388</v>
      </c>
      <c r="DY637" s="607">
        <f t="shared" si="1648"/>
        <v>91563741.365805075</v>
      </c>
      <c r="DZ637" s="196">
        <f>'Detailed Budget'!$AC$198</f>
        <v>18732540018.380611</v>
      </c>
      <c r="EA637" s="269">
        <f t="shared" si="1662"/>
        <v>19806452.72805902</v>
      </c>
      <c r="EB637" s="196">
        <f>'Detailed Budget'!$AC$200</f>
        <v>4683135004.5951529</v>
      </c>
      <c r="EC637" s="269">
        <f t="shared" si="1607"/>
        <v>4951613.182014755</v>
      </c>
      <c r="ED637" s="269">
        <f t="shared" si="1649"/>
        <v>24758065.910073776</v>
      </c>
      <c r="EE637" s="196">
        <f>'Detailed Budget'!$AC$161</f>
        <v>251147290106.36197</v>
      </c>
      <c r="EF637" s="269">
        <f t="shared" si="1608"/>
        <v>286790800.61771989</v>
      </c>
      <c r="EG637" s="196">
        <f>'Detailed Budget'!$AC$163</f>
        <v>15696705631.647623</v>
      </c>
      <c r="EH637" s="269">
        <f t="shared" si="1609"/>
        <v>17924425.038607493</v>
      </c>
      <c r="EI637" s="269">
        <f t="shared" si="1650"/>
        <v>304715225.65632737</v>
      </c>
      <c r="EJ637" s="196">
        <f>'Detailed Budget'!$AC$204</f>
        <v>45012172507.531975</v>
      </c>
      <c r="EK637" s="269">
        <f t="shared" si="1610"/>
        <v>67121555.590211064</v>
      </c>
      <c r="EL637" s="201">
        <f>'Detailed Budget'!$AC$206</f>
        <v>11253043126.882994</v>
      </c>
      <c r="EM637" s="269">
        <f t="shared" si="1611"/>
        <v>16780388.897552766</v>
      </c>
      <c r="EN637" s="269">
        <f t="shared" si="1651"/>
        <v>83901944.487763822</v>
      </c>
      <c r="EO637" s="140">
        <f>'Detailed Budget'!$AC$209</f>
        <v>135789361677.54817</v>
      </c>
      <c r="EP637" s="269">
        <f t="shared" si="1612"/>
        <v>160453297.84404433</v>
      </c>
      <c r="EQ637" s="196">
        <f>'Detailed Budget'!$AC$211</f>
        <v>33947340419.387043</v>
      </c>
      <c r="ER637" s="269">
        <f t="shared" si="1613"/>
        <v>40113324.461011082</v>
      </c>
      <c r="ES637" s="269">
        <f t="shared" si="1652"/>
        <v>200566622.30505541</v>
      </c>
      <c r="ET637" s="196">
        <f>'Detailed Budget'!$AC$214</f>
        <v>22239745544.201103</v>
      </c>
      <c r="EU637" s="269">
        <f t="shared" si="1614"/>
        <v>25521633.167853914</v>
      </c>
      <c r="EV637" s="140">
        <f>'Detailed Budget'!$AC$217</f>
        <v>5559936386.0502758</v>
      </c>
      <c r="EW637" s="269">
        <f t="shared" si="1615"/>
        <v>6380408.2919634786</v>
      </c>
      <c r="EX637" s="269">
        <f t="shared" si="1653"/>
        <v>31902041.459817395</v>
      </c>
      <c r="EY637" s="196">
        <f>'Detailed Budget'!$AC$219</f>
        <v>372777004.58170313</v>
      </c>
      <c r="EZ637" s="269">
        <f t="shared" si="1616"/>
        <v>447862.95756021095</v>
      </c>
      <c r="FA637" s="196">
        <f>'Detailed Budget'!$AC$222</f>
        <v>93194251.145425782</v>
      </c>
      <c r="FB637" s="269">
        <f t="shared" si="1617"/>
        <v>111965.73939005274</v>
      </c>
      <c r="FC637" s="269">
        <f t="shared" si="1654"/>
        <v>559828.69695026369</v>
      </c>
      <c r="FD637" s="269"/>
      <c r="FE637" s="269">
        <f t="shared" si="1663"/>
        <v>316930436.94958693</v>
      </c>
      <c r="FF637" s="140">
        <f>'Detailed Budget'!$AC$165</f>
        <v>14927760000</v>
      </c>
      <c r="FG637" s="1087">
        <f t="shared" si="1585"/>
        <v>432314094.84612679</v>
      </c>
      <c r="FH637" s="269">
        <f t="shared" si="1664"/>
        <v>16961436.200431772</v>
      </c>
      <c r="FJ637" s="140">
        <f>'Detailed Budget'!$AC$235</f>
        <v>3623696172</v>
      </c>
      <c r="FK637" s="269">
        <f t="shared" si="1665"/>
        <v>4681778</v>
      </c>
      <c r="FL637" s="269">
        <f t="shared" si="1586"/>
        <v>4681778</v>
      </c>
      <c r="FO637" s="607"/>
      <c r="FP637" s="607"/>
      <c r="FQ637" s="607"/>
      <c r="FR637" s="269">
        <f>'Detailed Budget'!$AC$257</f>
        <v>13636439388</v>
      </c>
      <c r="FS637" s="269">
        <f t="shared" si="1666"/>
        <v>27481740</v>
      </c>
      <c r="FT637" s="269">
        <f t="shared" si="1587"/>
        <v>27481740</v>
      </c>
      <c r="FU637" s="269"/>
      <c r="FV637" s="269"/>
      <c r="FW637" s="269"/>
      <c r="FX637" s="140">
        <f>'Detailed Budget'!$AC$278</f>
        <v>1114560000</v>
      </c>
      <c r="FY637" s="269">
        <f t="shared" si="1667"/>
        <v>1440000</v>
      </c>
      <c r="FZ637" s="269">
        <f t="shared" si="1588"/>
        <v>1440000</v>
      </c>
      <c r="GB637" s="269">
        <f t="shared" si="1596"/>
        <v>1394082772.4728463</v>
      </c>
      <c r="GC637" s="887">
        <f t="shared" si="1668"/>
        <v>871301.73279552895</v>
      </c>
      <c r="GD637" s="1078">
        <f t="shared" si="1597"/>
        <v>7.8226374205046811E-4</v>
      </c>
    </row>
    <row r="638" spans="1:186" hidden="1" outlineLevel="1">
      <c r="A638" s="211" t="s">
        <v>1380</v>
      </c>
      <c r="B638" s="212" t="s">
        <v>1381</v>
      </c>
      <c r="C638" s="213" t="s">
        <v>215</v>
      </c>
      <c r="D638" s="214"/>
      <c r="E638" s="213"/>
      <c r="F638" s="213"/>
      <c r="G638" s="213" t="s">
        <v>215</v>
      </c>
      <c r="H638" s="213" t="s">
        <v>215</v>
      </c>
      <c r="I638" s="214" t="s">
        <v>215</v>
      </c>
      <c r="J638" s="214"/>
      <c r="K638" s="213" t="s">
        <v>215</v>
      </c>
      <c r="L638" s="213"/>
      <c r="M638" s="214"/>
      <c r="N638" s="213"/>
      <c r="O638" s="214"/>
      <c r="P638" s="213"/>
      <c r="Q638" s="214"/>
      <c r="R638" s="214" t="s">
        <v>215</v>
      </c>
      <c r="S638" s="214"/>
      <c r="T638" s="214"/>
      <c r="U638" s="215">
        <f t="shared" si="1669"/>
        <v>6</v>
      </c>
      <c r="V638" s="845" t="s">
        <v>216</v>
      </c>
      <c r="W638" s="216">
        <v>196271</v>
      </c>
      <c r="X638" s="217">
        <v>2.89</v>
      </c>
      <c r="Y638" s="218">
        <f t="shared" si="1598"/>
        <v>1.0288999999999999</v>
      </c>
      <c r="Z638" s="196">
        <v>19</v>
      </c>
      <c r="AA638" s="218">
        <f t="shared" si="1599"/>
        <v>1.7182651319612778</v>
      </c>
      <c r="AB638" s="196">
        <f t="shared" si="1619"/>
        <v>337245.61571517197</v>
      </c>
      <c r="AC638">
        <v>12.9</v>
      </c>
      <c r="AD638" s="196">
        <f t="shared" si="1620"/>
        <v>43504.684427257191</v>
      </c>
      <c r="AE638" s="196">
        <f t="shared" si="1600"/>
        <v>41329.450205894333</v>
      </c>
      <c r="AF638" s="196">
        <f t="shared" si="1670"/>
        <v>0</v>
      </c>
      <c r="AG638" s="606">
        <f t="shared" si="1671"/>
        <v>1.9108923378344624E-3</v>
      </c>
      <c r="AH638" s="196">
        <f t="shared" si="1697"/>
        <v>16862.280785758598</v>
      </c>
      <c r="AI638" s="248">
        <f t="shared" si="1644"/>
        <v>1.3062953436218142E-3</v>
      </c>
      <c r="AJ638" s="196">
        <f t="shared" si="1672"/>
        <v>60366.965213015792</v>
      </c>
      <c r="AK638" s="196">
        <f t="shared" si="1698"/>
        <v>13489.824628606879</v>
      </c>
      <c r="AL638" s="196">
        <f t="shared" si="1699"/>
        <v>13489.824628606879</v>
      </c>
      <c r="AM638" s="196">
        <f t="shared" si="1656"/>
        <v>26979.649257213758</v>
      </c>
      <c r="AN638" s="627">
        <f t="shared" si="1657"/>
        <v>1.3062953436218142E-3</v>
      </c>
      <c r="AO638" s="196">
        <f t="shared" si="1658"/>
        <v>12815.333397176535</v>
      </c>
      <c r="AP638" s="589">
        <f t="shared" si="1673"/>
        <v>1.3062953436218142E-3</v>
      </c>
      <c r="AQ638" s="196"/>
      <c r="AR638" s="589"/>
      <c r="AS638">
        <v>1</v>
      </c>
      <c r="AT638" s="589">
        <f t="shared" si="1674"/>
        <v>1.2919896640826874E-3</v>
      </c>
      <c r="AU638" s="196">
        <v>13</v>
      </c>
      <c r="AV638" s="245">
        <f t="shared" si="1645"/>
        <v>1.4771048744460858E-3</v>
      </c>
      <c r="AX638" s="245"/>
      <c r="AY638" s="245"/>
      <c r="AZ638" s="196">
        <v>44</v>
      </c>
      <c r="BA638" s="589">
        <f t="shared" si="1590"/>
        <v>1.6122531237404273E-3</v>
      </c>
      <c r="BI638" s="196">
        <v>0</v>
      </c>
      <c r="BK638" s="246">
        <f t="shared" si="1591"/>
        <v>0</v>
      </c>
      <c r="BL638" s="196">
        <f t="shared" si="1629"/>
        <v>0</v>
      </c>
      <c r="BM638" s="246">
        <f t="shared" si="1592"/>
        <v>0</v>
      </c>
      <c r="BN638" s="196">
        <v>1</v>
      </c>
      <c r="BO638" s="196">
        <f t="shared" si="1675"/>
        <v>23655.462171189421</v>
      </c>
      <c r="BP638" s="196">
        <f t="shared" si="1676"/>
        <v>23655.462171189421</v>
      </c>
      <c r="BQ638" s="248">
        <f t="shared" si="1593"/>
        <v>2.2128583285888153E-3</v>
      </c>
      <c r="BR638" s="248"/>
      <c r="BS638" s="248"/>
      <c r="BT638" s="276">
        <v>0</v>
      </c>
      <c r="BU638" s="196">
        <f t="shared" si="1677"/>
        <v>0</v>
      </c>
      <c r="BV638" s="264">
        <f t="shared" si="1594"/>
        <v>0</v>
      </c>
      <c r="BW638" s="196">
        <f t="shared" si="1678"/>
        <v>0</v>
      </c>
      <c r="BX638" s="247">
        <f t="shared" si="1595"/>
        <v>0</v>
      </c>
      <c r="BY638" s="196">
        <f t="shared" si="1679"/>
        <v>0</v>
      </c>
      <c r="BZ638" s="620">
        <v>1</v>
      </c>
      <c r="CA638" s="196">
        <f t="shared" si="1680"/>
        <v>103197.15840884262</v>
      </c>
      <c r="CB638" s="196">
        <f t="shared" si="1681"/>
        <v>206394.31681768523</v>
      </c>
      <c r="CC638" s="196">
        <f t="shared" si="1682"/>
        <v>309591.47522652784</v>
      </c>
      <c r="CD638" s="247">
        <f t="shared" si="1646"/>
        <v>1.306295343621814E-3</v>
      </c>
      <c r="CE638" s="196">
        <f t="shared" si="1683"/>
        <v>28009.204574282634</v>
      </c>
      <c r="CF638" s="247">
        <f t="shared" si="1647"/>
        <v>1.2095245606219022E-3</v>
      </c>
      <c r="CG638" s="196">
        <f t="shared" si="1601"/>
        <v>51261.33358870614</v>
      </c>
      <c r="CH638" s="589">
        <f t="shared" si="1684"/>
        <v>1.3062953436218142E-3</v>
      </c>
      <c r="CI638" s="196">
        <f t="shared" si="1685"/>
        <v>103761.1917336292</v>
      </c>
      <c r="CJ638" s="248">
        <f t="shared" si="1686"/>
        <v>1.7058337287201362E-3</v>
      </c>
      <c r="CK638" s="196">
        <f t="shared" si="1687"/>
        <v>94031.527737636628</v>
      </c>
      <c r="CL638" s="589">
        <f t="shared" si="1688"/>
        <v>1.3517225526886022E-3</v>
      </c>
      <c r="CM638" s="196">
        <f t="shared" si="1689"/>
        <v>9109.3014934345247</v>
      </c>
      <c r="CN638" s="589">
        <f t="shared" si="1690"/>
        <v>1.3127538692365938E-3</v>
      </c>
      <c r="CO638" s="196">
        <f t="shared" si="1691"/>
        <v>728.77668443552625</v>
      </c>
      <c r="CP638" s="589">
        <f t="shared" si="1692"/>
        <v>1.3743605745711138E-3</v>
      </c>
      <c r="CQ638" s="196">
        <f>'Detailed Budget'!$AC$12</f>
        <v>292876014141.44696</v>
      </c>
      <c r="CR638" s="269">
        <f t="shared" si="1701"/>
        <v>0</v>
      </c>
      <c r="CS638" s="269">
        <f>'Detailed Budget'!$AC$16</f>
        <v>10488008800.000002</v>
      </c>
      <c r="CT638" s="607">
        <f t="shared" si="1602"/>
        <v>0</v>
      </c>
      <c r="CU638" s="269">
        <f>'Detailed Budget'!$AC$24</f>
        <v>30624985696</v>
      </c>
      <c r="CV638" s="269">
        <f t="shared" si="1589"/>
        <v>0</v>
      </c>
      <c r="CW638" s="269"/>
      <c r="CX638" s="269">
        <f t="shared" si="1660"/>
        <v>0</v>
      </c>
      <c r="CY638" s="196">
        <f>'Detailed Budget'!$AC$97</f>
        <v>74629165494.837845</v>
      </c>
      <c r="CZ638" s="269">
        <f t="shared" si="1603"/>
        <v>165143770.42088497</v>
      </c>
      <c r="DA638" s="269">
        <f>'Detailed Budget'!$AC$100</f>
        <v>14925833098.967569</v>
      </c>
      <c r="DB638" s="269">
        <f t="shared" si="1604"/>
        <v>33028754.084176991</v>
      </c>
      <c r="DC638" s="269">
        <f t="shared" si="1661"/>
        <v>198172524.50506195</v>
      </c>
      <c r="DD638" s="207">
        <v>0</v>
      </c>
      <c r="DE638" s="606">
        <v>0</v>
      </c>
      <c r="DF638" s="269">
        <f>'Detailed Budget'!$AC$147</f>
        <v>5913600671000</v>
      </c>
      <c r="DG638" s="269">
        <f t="shared" si="1584"/>
        <v>0</v>
      </c>
      <c r="DH638" s="269">
        <f>'Detailed Budget'!$AC$153</f>
        <v>226428026880.00003</v>
      </c>
      <c r="DI638" s="269"/>
      <c r="DJ638" s="269">
        <f>'Detailed Budget'!$AC$156</f>
        <v>27713070000</v>
      </c>
      <c r="DK638" s="269"/>
      <c r="DL638" s="269"/>
      <c r="DM638" s="196">
        <f>'Detailed Budget'!$AC$178</f>
        <v>5622683761.6229038</v>
      </c>
      <c r="DN638" s="269">
        <f t="shared" si="1693"/>
        <v>0</v>
      </c>
      <c r="DO638" s="196">
        <f>'Detailed Budget'!$AC$179</f>
        <v>26827890683.128094</v>
      </c>
      <c r="DP638" s="269">
        <f t="shared" si="1694"/>
        <v>0</v>
      </c>
      <c r="DQ638" s="269">
        <f t="shared" si="1700"/>
        <v>0</v>
      </c>
      <c r="DR638" s="269">
        <f>'Detailed Budget'!$AC$181</f>
        <v>50888946855.375237</v>
      </c>
      <c r="DS638" s="269">
        <f t="shared" si="1695"/>
        <v>0</v>
      </c>
      <c r="DT638" s="269">
        <f t="shared" si="1696"/>
        <v>0</v>
      </c>
      <c r="DU638" s="272">
        <f>'Detailed Budget'!$AC$192</f>
        <v>77498869683.252869</v>
      </c>
      <c r="DV638" s="269">
        <f t="shared" si="1605"/>
        <v>101236412.60318699</v>
      </c>
      <c r="DW638" s="140">
        <f>'Detailed Budget'!$AC$194</f>
        <v>2684962805.4134097</v>
      </c>
      <c r="DX638" s="269">
        <f t="shared" si="1606"/>
        <v>3507354.4105093004</v>
      </c>
      <c r="DY638" s="607">
        <f t="shared" si="1648"/>
        <v>104743767.0136963</v>
      </c>
      <c r="DZ638" s="196">
        <f>'Detailed Budget'!$AC$198</f>
        <v>18732540018.380611</v>
      </c>
      <c r="EA638" s="269">
        <f t="shared" si="1662"/>
        <v>22657467.235064007</v>
      </c>
      <c r="EB638" s="196">
        <f>'Detailed Budget'!$AC$200</f>
        <v>4683135004.5951529</v>
      </c>
      <c r="EC638" s="269">
        <f t="shared" si="1607"/>
        <v>5664366.8087660018</v>
      </c>
      <c r="ED638" s="269">
        <f t="shared" si="1649"/>
        <v>28321834.043830007</v>
      </c>
      <c r="EE638" s="196">
        <f>'Detailed Budget'!$AC$161</f>
        <v>251147290106.36197</v>
      </c>
      <c r="EF638" s="269">
        <f t="shared" si="1608"/>
        <v>328072535.62917757</v>
      </c>
      <c r="EG638" s="196">
        <f>'Detailed Budget'!$AC$163</f>
        <v>15696705631.647623</v>
      </c>
      <c r="EH638" s="269">
        <f t="shared" si="1609"/>
        <v>20504533.476823598</v>
      </c>
      <c r="EI638" s="269">
        <f t="shared" si="1650"/>
        <v>348577069.10600114</v>
      </c>
      <c r="EJ638" s="196">
        <f>'Detailed Budget'!$AC$204</f>
        <v>45012172507.531975</v>
      </c>
      <c r="EK638" s="269">
        <f t="shared" si="1610"/>
        <v>76783282.066317275</v>
      </c>
      <c r="EL638" s="201">
        <f>'Detailed Budget'!$AC$206</f>
        <v>11253043126.882994</v>
      </c>
      <c r="EM638" s="269">
        <f t="shared" si="1611"/>
        <v>19195820.516579319</v>
      </c>
      <c r="EN638" s="269">
        <f t="shared" si="1651"/>
        <v>95979102.58289659</v>
      </c>
      <c r="EO638" s="140">
        <f>'Detailed Budget'!$AC$209</f>
        <v>135789361677.54817</v>
      </c>
      <c r="EP638" s="269">
        <f t="shared" si="1612"/>
        <v>183549542.59473127</v>
      </c>
      <c r="EQ638" s="196">
        <f>'Detailed Budget'!$AC$211</f>
        <v>33947340419.387043</v>
      </c>
      <c r="ER638" s="269">
        <f t="shared" si="1613"/>
        <v>45887385.648682818</v>
      </c>
      <c r="ES638" s="269">
        <f t="shared" si="1652"/>
        <v>229436928.2434141</v>
      </c>
      <c r="ET638" s="196">
        <f>'Detailed Budget'!$AC$214</f>
        <v>22239745544.201103</v>
      </c>
      <c r="EU638" s="269">
        <f t="shared" si="1614"/>
        <v>29195312.013987295</v>
      </c>
      <c r="EV638" s="140">
        <f>'Detailed Budget'!$AC$217</f>
        <v>5559936386.0502758</v>
      </c>
      <c r="EW638" s="269">
        <f t="shared" si="1615"/>
        <v>7298828.0034968238</v>
      </c>
      <c r="EX638" s="269">
        <f t="shared" si="1653"/>
        <v>36494140.017484121</v>
      </c>
      <c r="EY638" s="196">
        <f>'Detailed Budget'!$AC$219</f>
        <v>372777004.58170313</v>
      </c>
      <c r="EZ638" s="269">
        <f t="shared" si="1616"/>
        <v>512330.01820380823</v>
      </c>
      <c r="FA638" s="196">
        <f>'Detailed Budget'!$AC$222</f>
        <v>93194251.145425782</v>
      </c>
      <c r="FB638" s="269">
        <f t="shared" si="1617"/>
        <v>128082.50455095206</v>
      </c>
      <c r="FC638" s="269">
        <f t="shared" si="1654"/>
        <v>640412.52275476023</v>
      </c>
      <c r="FD638" s="269"/>
      <c r="FE638" s="269">
        <f t="shared" si="1663"/>
        <v>362550583.36654961</v>
      </c>
      <c r="FF638" s="140">
        <f>'Detailed Budget'!$AC$165</f>
        <v>14927760000</v>
      </c>
      <c r="FG638" s="1087">
        <f t="shared" si="1585"/>
        <v>494542994.33214921</v>
      </c>
      <c r="FH638" s="269">
        <f t="shared" si="1664"/>
        <v>22049867.060561303</v>
      </c>
      <c r="FJ638" s="140">
        <f>'Detailed Budget'!$AC$235</f>
        <v>3623696172</v>
      </c>
      <c r="FK638" s="269">
        <f t="shared" si="1665"/>
        <v>4681778</v>
      </c>
      <c r="FL638" s="269">
        <f t="shared" si="1586"/>
        <v>4681778</v>
      </c>
      <c r="FO638" s="607"/>
      <c r="FP638" s="607"/>
      <c r="FQ638" s="607"/>
      <c r="FR638" s="269">
        <f>'Detailed Budget'!$AC$257</f>
        <v>13636439388</v>
      </c>
      <c r="FS638" s="269">
        <f t="shared" si="1666"/>
        <v>21985392</v>
      </c>
      <c r="FT638" s="269">
        <f t="shared" si="1587"/>
        <v>21985392</v>
      </c>
      <c r="FU638" s="269"/>
      <c r="FV638" s="269"/>
      <c r="FW638" s="269"/>
      <c r="FX638" s="140">
        <f>'Detailed Budget'!$AC$278</f>
        <v>1114560000</v>
      </c>
      <c r="FY638" s="269">
        <f t="shared" si="1667"/>
        <v>1440000</v>
      </c>
      <c r="FZ638" s="269">
        <f t="shared" si="1588"/>
        <v>1440000</v>
      </c>
      <c r="GB638" s="269">
        <f t="shared" si="1596"/>
        <v>1587065809.4278495</v>
      </c>
      <c r="GC638" s="887">
        <f t="shared" si="1668"/>
        <v>991916.13089240598</v>
      </c>
      <c r="GD638" s="1078">
        <f t="shared" si="1597"/>
        <v>8.9055260094864021E-4</v>
      </c>
    </row>
    <row r="639" spans="1:186" hidden="1" outlineLevel="1">
      <c r="A639" s="211" t="s">
        <v>1382</v>
      </c>
      <c r="B639" s="212" t="s">
        <v>1383</v>
      </c>
      <c r="C639" s="213" t="s">
        <v>215</v>
      </c>
      <c r="D639" s="214"/>
      <c r="E639" s="213"/>
      <c r="F639" s="213"/>
      <c r="G639" s="213" t="s">
        <v>215</v>
      </c>
      <c r="H639" s="213" t="s">
        <v>215</v>
      </c>
      <c r="I639" s="214" t="s">
        <v>215</v>
      </c>
      <c r="J639" s="214"/>
      <c r="K639" s="213"/>
      <c r="L639" s="213"/>
      <c r="M639" s="214" t="s">
        <v>215</v>
      </c>
      <c r="N639" s="213"/>
      <c r="O639" s="214"/>
      <c r="P639" s="213"/>
      <c r="Q639" s="214"/>
      <c r="R639" s="214" t="s">
        <v>215</v>
      </c>
      <c r="S639" s="214"/>
      <c r="T639" s="214"/>
      <c r="U639" s="215">
        <f t="shared" si="1669"/>
        <v>6</v>
      </c>
      <c r="V639" s="845" t="s">
        <v>216</v>
      </c>
      <c r="W639" s="216">
        <v>211557</v>
      </c>
      <c r="X639" s="217">
        <v>2.89</v>
      </c>
      <c r="Y639" s="218">
        <f t="shared" si="1598"/>
        <v>1.0288999999999999</v>
      </c>
      <c r="Z639" s="196">
        <v>19</v>
      </c>
      <c r="AA639" s="218">
        <f t="shared" si="1599"/>
        <v>1.7182651319612778</v>
      </c>
      <c r="AB639" s="196">
        <f t="shared" si="1619"/>
        <v>363511.01652233204</v>
      </c>
      <c r="AC639">
        <v>12.9</v>
      </c>
      <c r="AD639" s="196">
        <f t="shared" si="1620"/>
        <v>46892.921131380834</v>
      </c>
      <c r="AE639" s="196">
        <f t="shared" si="1600"/>
        <v>44548.275074811791</v>
      </c>
      <c r="AF639" s="196">
        <f t="shared" si="1670"/>
        <v>0</v>
      </c>
      <c r="AG639" s="606">
        <f t="shared" si="1671"/>
        <v>2.0597166688672564E-3</v>
      </c>
      <c r="AH639" s="196">
        <f t="shared" si="1697"/>
        <v>18175.550826116603</v>
      </c>
      <c r="AI639" s="248">
        <f t="shared" si="1644"/>
        <v>1.4080323838498818E-3</v>
      </c>
      <c r="AJ639" s="196">
        <f t="shared" si="1672"/>
        <v>65068.471957497437</v>
      </c>
      <c r="AK639" s="196">
        <f t="shared" si="1698"/>
        <v>14540.440660893282</v>
      </c>
      <c r="AL639" s="196">
        <f t="shared" si="1699"/>
        <v>14540.440660893282</v>
      </c>
      <c r="AM639" s="196">
        <f t="shared" si="1656"/>
        <v>29080.881321786565</v>
      </c>
      <c r="AN639" s="627">
        <f t="shared" si="1657"/>
        <v>1.4080323838498818E-3</v>
      </c>
      <c r="AO639" s="196">
        <f t="shared" si="1658"/>
        <v>13813.418627848618</v>
      </c>
      <c r="AP639" s="589">
        <f t="shared" si="1673"/>
        <v>1.4080323838498818E-3</v>
      </c>
      <c r="AQ639" s="196"/>
      <c r="AR639" s="589"/>
      <c r="AS639">
        <v>1</v>
      </c>
      <c r="AT639" s="589">
        <f t="shared" si="1674"/>
        <v>1.2919896640826874E-3</v>
      </c>
      <c r="AU639" s="196">
        <v>11</v>
      </c>
      <c r="AV639" s="245">
        <f t="shared" si="1645"/>
        <v>1.2498579706851495E-3</v>
      </c>
      <c r="AX639" s="245"/>
      <c r="AY639" s="245"/>
      <c r="AZ639" s="196">
        <v>118</v>
      </c>
      <c r="BA639" s="589">
        <f t="shared" si="1590"/>
        <v>4.323769740940237E-3</v>
      </c>
      <c r="BI639" s="196">
        <v>0</v>
      </c>
      <c r="BK639" s="246">
        <f t="shared" si="1591"/>
        <v>0</v>
      </c>
      <c r="BL639" s="196">
        <f t="shared" si="1629"/>
        <v>0</v>
      </c>
      <c r="BM639" s="246">
        <f t="shared" si="1592"/>
        <v>0</v>
      </c>
      <c r="BN639" s="196">
        <v>1</v>
      </c>
      <c r="BO639" s="196">
        <f t="shared" si="1675"/>
        <v>25497.799524893235</v>
      </c>
      <c r="BP639" s="196">
        <f t="shared" si="1676"/>
        <v>25497.799524893235</v>
      </c>
      <c r="BQ639" s="248">
        <f t="shared" si="1593"/>
        <v>2.3852004087270354E-3</v>
      </c>
      <c r="BR639" s="248"/>
      <c r="BS639" s="248"/>
      <c r="BT639" s="276">
        <v>0</v>
      </c>
      <c r="BU639" s="196">
        <f t="shared" si="1677"/>
        <v>0</v>
      </c>
      <c r="BV639" s="264">
        <f t="shared" si="1594"/>
        <v>0</v>
      </c>
      <c r="BW639" s="196">
        <f t="shared" si="1678"/>
        <v>0</v>
      </c>
      <c r="BX639" s="247">
        <f t="shared" si="1595"/>
        <v>0</v>
      </c>
      <c r="BY639" s="196">
        <f t="shared" si="1679"/>
        <v>0</v>
      </c>
      <c r="BZ639" s="620">
        <v>1</v>
      </c>
      <c r="CA639" s="196">
        <f t="shared" si="1680"/>
        <v>111234.3710558336</v>
      </c>
      <c r="CB639" s="196">
        <f t="shared" si="1681"/>
        <v>222468.7421116672</v>
      </c>
      <c r="CC639" s="196">
        <f t="shared" si="1682"/>
        <v>333703.11316750082</v>
      </c>
      <c r="CD639" s="247">
        <f t="shared" si="1646"/>
        <v>1.4080323838498818E-3</v>
      </c>
      <c r="CE639" s="196">
        <f t="shared" si="1683"/>
        <v>30190.620581346764</v>
      </c>
      <c r="CF639" s="247">
        <f t="shared" si="1647"/>
        <v>1.3037248878921886E-3</v>
      </c>
      <c r="CG639" s="196">
        <f t="shared" si="1601"/>
        <v>55253.674511394471</v>
      </c>
      <c r="CH639" s="589">
        <f t="shared" si="1684"/>
        <v>1.4080323838498818E-3</v>
      </c>
      <c r="CI639" s="196">
        <f t="shared" si="1685"/>
        <v>111842.33248718041</v>
      </c>
      <c r="CJ639" s="248">
        <f t="shared" si="1686"/>
        <v>1.8386876621958709E-3</v>
      </c>
      <c r="CK639" s="196">
        <f t="shared" si="1687"/>
        <v>101354.90171034532</v>
      </c>
      <c r="CL639" s="589">
        <f t="shared" si="1688"/>
        <v>1.4569975599000493E-3</v>
      </c>
      <c r="CM639" s="196">
        <f t="shared" si="1689"/>
        <v>9818.753132385973</v>
      </c>
      <c r="CN639" s="589">
        <f t="shared" si="1690"/>
        <v>1.414993913079803E-3</v>
      </c>
      <c r="CO639" s="196">
        <f t="shared" si="1691"/>
        <v>785.5353517795628</v>
      </c>
      <c r="CP639" s="589">
        <f t="shared" si="1692"/>
        <v>1.4813986787377709E-3</v>
      </c>
      <c r="CQ639" s="196">
        <f>'Detailed Budget'!$AC$12</f>
        <v>292876014141.44696</v>
      </c>
      <c r="CR639" s="269">
        <f t="shared" si="1701"/>
        <v>0</v>
      </c>
      <c r="CS639" s="269">
        <f>'Detailed Budget'!$AC$16</f>
        <v>10488008800.000002</v>
      </c>
      <c r="CT639" s="607">
        <f t="shared" si="1602"/>
        <v>0</v>
      </c>
      <c r="CU639" s="269">
        <f>'Detailed Budget'!$AC$24</f>
        <v>30624985696</v>
      </c>
      <c r="CV639" s="269">
        <f t="shared" si="1589"/>
        <v>0</v>
      </c>
      <c r="CW639" s="269"/>
      <c r="CX639" s="269">
        <f t="shared" si="1660"/>
        <v>0</v>
      </c>
      <c r="CY639" s="196">
        <f>'Detailed Budget'!$AC$97</f>
        <v>74629165494.837845</v>
      </c>
      <c r="CZ639" s="269">
        <f t="shared" si="1603"/>
        <v>178005516.0412448</v>
      </c>
      <c r="DA639" s="269">
        <f>'Detailed Budget'!$AC$100</f>
        <v>14925833098.967569</v>
      </c>
      <c r="DB639" s="269">
        <f t="shared" si="1604"/>
        <v>35601103.208248958</v>
      </c>
      <c r="DC639" s="269">
        <f t="shared" si="1661"/>
        <v>213606619.24949378</v>
      </c>
      <c r="DD639" s="207">
        <v>0</v>
      </c>
      <c r="DE639" s="606">
        <v>0</v>
      </c>
      <c r="DF639" s="269">
        <f>'Detailed Budget'!$AC$147</f>
        <v>5913600671000</v>
      </c>
      <c r="DG639" s="269">
        <f t="shared" si="1584"/>
        <v>0</v>
      </c>
      <c r="DH639" s="269">
        <f>'Detailed Budget'!$AC$153</f>
        <v>226428026880.00003</v>
      </c>
      <c r="DI639" s="269"/>
      <c r="DJ639" s="269">
        <f>'Detailed Budget'!$AC$156</f>
        <v>27713070000</v>
      </c>
      <c r="DK639" s="269"/>
      <c r="DL639" s="269"/>
      <c r="DM639" s="196">
        <f>'Detailed Budget'!$AC$178</f>
        <v>5622683761.6229038</v>
      </c>
      <c r="DN639" s="269">
        <f t="shared" si="1693"/>
        <v>0</v>
      </c>
      <c r="DO639" s="196">
        <f>'Detailed Budget'!$AC$179</f>
        <v>26827890683.128094</v>
      </c>
      <c r="DP639" s="269">
        <f t="shared" si="1694"/>
        <v>0</v>
      </c>
      <c r="DQ639" s="269">
        <f t="shared" si="1700"/>
        <v>0</v>
      </c>
      <c r="DR639" s="269">
        <f>'Detailed Budget'!$AC$181</f>
        <v>50888946855.375237</v>
      </c>
      <c r="DS639" s="269">
        <f t="shared" si="1695"/>
        <v>0</v>
      </c>
      <c r="DT639" s="269">
        <f t="shared" si="1696"/>
        <v>0</v>
      </c>
      <c r="DU639" s="272">
        <f>'Detailed Budget'!$AC$192</f>
        <v>77498869683.252869</v>
      </c>
      <c r="DV639" s="269">
        <f t="shared" si="1605"/>
        <v>109120918.22578187</v>
      </c>
      <c r="DW639" s="140">
        <f>'Detailed Budget'!$AC$194</f>
        <v>2684962805.4134097</v>
      </c>
      <c r="DX639" s="269">
        <f t="shared" si="1606"/>
        <v>3780514.5794545095</v>
      </c>
      <c r="DY639" s="607">
        <f t="shared" si="1648"/>
        <v>112901432.80523638</v>
      </c>
      <c r="DZ639" s="196">
        <f>'Detailed Budget'!$AC$198</f>
        <v>18732540018.380611</v>
      </c>
      <c r="EA639" s="269">
        <f t="shared" si="1662"/>
        <v>24422078.6353992</v>
      </c>
      <c r="EB639" s="196">
        <f>'Detailed Budget'!$AC$200</f>
        <v>4683135004.5951529</v>
      </c>
      <c r="EC639" s="269">
        <f t="shared" si="1607"/>
        <v>6105519.6588498</v>
      </c>
      <c r="ED639" s="269">
        <f t="shared" si="1649"/>
        <v>30527598.294248998</v>
      </c>
      <c r="EE639" s="196">
        <f>'Detailed Budget'!$AC$161</f>
        <v>251147290106.36197</v>
      </c>
      <c r="EF639" s="269">
        <f t="shared" si="1608"/>
        <v>353623517.5858987</v>
      </c>
      <c r="EG639" s="196">
        <f>'Detailed Budget'!$AC$163</f>
        <v>15696705631.647623</v>
      </c>
      <c r="EH639" s="269">
        <f t="shared" si="1609"/>
        <v>22101469.849118669</v>
      </c>
      <c r="EI639" s="269">
        <f t="shared" si="1650"/>
        <v>375724987.43501735</v>
      </c>
      <c r="EJ639" s="196">
        <f>'Detailed Budget'!$AC$204</f>
        <v>45012172507.531975</v>
      </c>
      <c r="EK639" s="269">
        <f t="shared" si="1610"/>
        <v>82763326.238231227</v>
      </c>
      <c r="EL639" s="201">
        <f>'Detailed Budget'!$AC$206</f>
        <v>11253043126.882994</v>
      </c>
      <c r="EM639" s="269">
        <f t="shared" si="1611"/>
        <v>20690831.559557807</v>
      </c>
      <c r="EN639" s="269">
        <f t="shared" si="1651"/>
        <v>103454157.79778904</v>
      </c>
      <c r="EO639" s="140">
        <f>'Detailed Budget'!$AC$209</f>
        <v>135789361677.54817</v>
      </c>
      <c r="EP639" s="269">
        <f t="shared" si="1612"/>
        <v>197844768.62457296</v>
      </c>
      <c r="EQ639" s="196">
        <f>'Detailed Budget'!$AC$211</f>
        <v>33947340419.387043</v>
      </c>
      <c r="ER639" s="269">
        <f t="shared" si="1613"/>
        <v>49461192.156143241</v>
      </c>
      <c r="ES639" s="269">
        <f t="shared" si="1652"/>
        <v>247305960.78071621</v>
      </c>
      <c r="ET639" s="196">
        <f>'Detailed Budget'!$AC$214</f>
        <v>22239745544.201103</v>
      </c>
      <c r="EU639" s="269">
        <f t="shared" si="1614"/>
        <v>31469104.573488232</v>
      </c>
      <c r="EV639" s="140">
        <f>'Detailed Budget'!$AC$217</f>
        <v>5559936386.0502758</v>
      </c>
      <c r="EW639" s="269">
        <f t="shared" si="1615"/>
        <v>7867276.1433720579</v>
      </c>
      <c r="EX639" s="269">
        <f t="shared" si="1653"/>
        <v>39336380.716860287</v>
      </c>
      <c r="EY639" s="196">
        <f>'Detailed Budget'!$AC$219</f>
        <v>372777004.58170313</v>
      </c>
      <c r="EZ639" s="269">
        <f t="shared" si="1616"/>
        <v>552231.36205115903</v>
      </c>
      <c r="FA639" s="196">
        <f>'Detailed Budget'!$AC$222</f>
        <v>93194251.145425782</v>
      </c>
      <c r="FB639" s="269">
        <f t="shared" si="1617"/>
        <v>138057.84051278976</v>
      </c>
      <c r="FC639" s="269">
        <f t="shared" si="1654"/>
        <v>690289.20256394881</v>
      </c>
      <c r="FD639" s="269"/>
      <c r="FE639" s="269">
        <f t="shared" si="1663"/>
        <v>390786788.49792951</v>
      </c>
      <c r="FF639" s="140">
        <f>'Detailed Budget'!$AC$165</f>
        <v>14927760000</v>
      </c>
      <c r="FG639" s="1087">
        <f t="shared" si="1585"/>
        <v>533059047.19457519</v>
      </c>
      <c r="FH639" s="269">
        <f t="shared" si="1664"/>
        <v>18657579.820474949</v>
      </c>
      <c r="FJ639" s="140">
        <f>'Detailed Budget'!$AC$235</f>
        <v>3623696172</v>
      </c>
      <c r="FK639" s="269">
        <f t="shared" si="1665"/>
        <v>4681778</v>
      </c>
      <c r="FL639" s="269">
        <f t="shared" si="1586"/>
        <v>4681778</v>
      </c>
      <c r="FO639" s="607"/>
      <c r="FP639" s="607"/>
      <c r="FQ639" s="607"/>
      <c r="FR639" s="269">
        <f>'Detailed Budget'!$AC$257</f>
        <v>13636439388</v>
      </c>
      <c r="FS639" s="269">
        <f t="shared" si="1666"/>
        <v>58960824.000000007</v>
      </c>
      <c r="FT639" s="269">
        <f t="shared" si="1587"/>
        <v>58960824.000000007</v>
      </c>
      <c r="FU639" s="269"/>
      <c r="FV639" s="269"/>
      <c r="FW639" s="269"/>
      <c r="FX639" s="140">
        <f>'Detailed Budget'!$AC$278</f>
        <v>1114560000</v>
      </c>
      <c r="FY639" s="269">
        <f t="shared" si="1667"/>
        <v>1440000</v>
      </c>
      <c r="FZ639" s="269">
        <f t="shared" si="1588"/>
        <v>1440000</v>
      </c>
      <c r="GB639" s="269">
        <f t="shared" si="1596"/>
        <v>1740346655.2969763</v>
      </c>
      <c r="GC639" s="887">
        <f t="shared" si="1668"/>
        <v>1087716.6595606103</v>
      </c>
      <c r="GD639" s="1078">
        <f t="shared" si="1597"/>
        <v>9.7656331024214421E-4</v>
      </c>
    </row>
    <row r="640" spans="1:186" hidden="1" outlineLevel="1">
      <c r="A640" s="211"/>
      <c r="B640" s="212"/>
      <c r="C640" s="213"/>
      <c r="D640" s="214"/>
      <c r="E640" s="213"/>
      <c r="F640" s="213"/>
      <c r="G640" s="213"/>
      <c r="H640" s="213"/>
      <c r="I640" s="214"/>
      <c r="J640" s="214"/>
      <c r="K640" s="213"/>
      <c r="L640" s="213"/>
      <c r="M640" s="214"/>
      <c r="N640" s="213"/>
      <c r="O640" s="214"/>
      <c r="P640" s="213"/>
      <c r="Q640" s="214"/>
      <c r="R640" s="214"/>
      <c r="S640" s="214"/>
      <c r="T640" s="214"/>
      <c r="U640" s="215"/>
      <c r="V640" s="845"/>
      <c r="W640" s="216"/>
      <c r="X640" s="217"/>
      <c r="Y640" s="218"/>
      <c r="Z640" s="196"/>
      <c r="AA640" s="218"/>
      <c r="AG640" s="606"/>
      <c r="AJ640" s="196"/>
      <c r="AK640" s="196"/>
      <c r="AL640" s="196"/>
      <c r="AM640" s="196"/>
      <c r="AO640" s="196"/>
      <c r="AP640" s="589"/>
      <c r="AQ640" s="196"/>
      <c r="AR640" s="589"/>
      <c r="AS640"/>
      <c r="AT640" s="589"/>
      <c r="AV640" s="245"/>
      <c r="AX640" s="245"/>
      <c r="AY640" s="245"/>
      <c r="BA640" s="589">
        <f t="shared" si="1590"/>
        <v>0</v>
      </c>
      <c r="BK640" s="246">
        <f t="shared" si="1591"/>
        <v>0</v>
      </c>
      <c r="BL640" s="196"/>
      <c r="BM640" s="246">
        <f t="shared" si="1592"/>
        <v>0</v>
      </c>
      <c r="BN640" s="196"/>
      <c r="BQ640" s="248">
        <f t="shared" si="1593"/>
        <v>0</v>
      </c>
      <c r="BR640" s="248"/>
      <c r="BS640" s="248"/>
      <c r="BT640" s="276"/>
      <c r="BV640" s="264">
        <f t="shared" si="1594"/>
        <v>0</v>
      </c>
      <c r="BX640" s="247">
        <f t="shared" si="1595"/>
        <v>0</v>
      </c>
      <c r="BY640" s="196"/>
      <c r="BZ640" s="620"/>
      <c r="CA640" s="196"/>
      <c r="CB640" s="196"/>
      <c r="CC640" s="196"/>
      <c r="CD640" s="247"/>
      <c r="CF640" s="247"/>
      <c r="CG640" s="196"/>
      <c r="CH640" s="589"/>
      <c r="CI640" s="196"/>
      <c r="CJ640" s="248"/>
      <c r="CK640" s="196"/>
      <c r="CL640" s="589"/>
      <c r="CM640" s="196"/>
      <c r="CN640" s="589"/>
      <c r="CO640" s="196"/>
      <c r="CP640" s="589"/>
      <c r="CQ640" s="196"/>
      <c r="CR640" s="269">
        <f t="shared" si="1701"/>
        <v>0</v>
      </c>
      <c r="CS640" s="269"/>
      <c r="CT640" s="607"/>
      <c r="CU640" s="269">
        <f>'Detailed Budget'!$AC$24</f>
        <v>30624985696</v>
      </c>
      <c r="CV640" s="269">
        <f t="shared" si="1589"/>
        <v>0</v>
      </c>
      <c r="CW640" s="269"/>
      <c r="CX640" s="269"/>
      <c r="CY640" s="196"/>
      <c r="DC640" s="269"/>
      <c r="DD640" s="207"/>
      <c r="DE640" s="606">
        <v>0</v>
      </c>
      <c r="DF640" s="269">
        <f>'Detailed Budget'!$AC$147</f>
        <v>5913600671000</v>
      </c>
      <c r="DG640" s="269">
        <f t="shared" si="1584"/>
        <v>0</v>
      </c>
      <c r="DH640" s="269">
        <f>'Detailed Budget'!$AC$153</f>
        <v>226428026880.00003</v>
      </c>
      <c r="DI640" s="269"/>
      <c r="DJ640" s="269">
        <f>'Detailed Budget'!$AC$156</f>
        <v>27713070000</v>
      </c>
      <c r="DK640" s="269"/>
      <c r="DL640" s="269"/>
      <c r="DM640" s="196"/>
      <c r="DN640" s="269"/>
      <c r="DO640" s="196"/>
      <c r="DP640" s="269"/>
      <c r="DQ640" s="269"/>
      <c r="DR640" s="269"/>
      <c r="DS640" s="269"/>
      <c r="DT640" s="269"/>
      <c r="DU640" s="272"/>
      <c r="DV640" s="269"/>
      <c r="DW640" s="140"/>
      <c r="DX640" s="269"/>
      <c r="DY640" s="607"/>
      <c r="DZ640" s="196"/>
      <c r="EA640" s="269"/>
      <c r="EB640" s="196"/>
      <c r="ED640" s="269"/>
      <c r="EE640" s="196"/>
      <c r="EG640" s="196"/>
      <c r="EI640" s="269"/>
      <c r="EJ640" s="196"/>
      <c r="EL640" s="201"/>
      <c r="EN640" s="269"/>
      <c r="EO640" s="140"/>
      <c r="EQ640" s="196"/>
      <c r="ES640" s="269"/>
      <c r="ET640" s="196"/>
      <c r="EV640" s="140"/>
      <c r="EX640" s="269"/>
      <c r="EY640" s="196"/>
      <c r="FA640" s="196"/>
      <c r="FC640" s="269"/>
      <c r="FD640" s="269"/>
      <c r="FE640" s="269"/>
      <c r="FF640" s="140"/>
      <c r="FG640" s="1087">
        <f t="shared" si="1585"/>
        <v>0</v>
      </c>
      <c r="FJ640" s="140"/>
      <c r="FL640" s="269">
        <f t="shared" si="1586"/>
        <v>0</v>
      </c>
      <c r="FO640" s="607"/>
      <c r="FP640" s="607"/>
      <c r="FQ640" s="607"/>
      <c r="FT640" s="269">
        <f t="shared" si="1587"/>
        <v>0</v>
      </c>
      <c r="FU640" s="269"/>
      <c r="FV640" s="269"/>
      <c r="FW640" s="269"/>
      <c r="FX640" s="140">
        <f>'Detailed Budget'!$AC$278</f>
        <v>1114560000</v>
      </c>
      <c r="FY640" s="269"/>
      <c r="FZ640" s="269"/>
      <c r="GB640" s="269">
        <f t="shared" si="1596"/>
        <v>0</v>
      </c>
      <c r="GD640" s="1078">
        <f t="shared" si="1597"/>
        <v>0</v>
      </c>
    </row>
    <row r="641" spans="1:186" s="210" customFormat="1" collapsed="1">
      <c r="A641" s="203">
        <v>5.4</v>
      </c>
      <c r="B641" s="204" t="s">
        <v>1384</v>
      </c>
      <c r="C641" s="205">
        <f>COUNTA(C642:C666)</f>
        <v>25</v>
      </c>
      <c r="D641" s="205">
        <f t="shared" ref="D641:T641" si="1702">COUNTA(D642:D666)</f>
        <v>0</v>
      </c>
      <c r="E641" s="205">
        <f t="shared" si="1702"/>
        <v>0</v>
      </c>
      <c r="F641" s="205">
        <f t="shared" si="1702"/>
        <v>0</v>
      </c>
      <c r="G641" s="205">
        <f t="shared" si="1702"/>
        <v>25</v>
      </c>
      <c r="H641" s="205">
        <f t="shared" si="1702"/>
        <v>25</v>
      </c>
      <c r="I641" s="205">
        <f t="shared" si="1702"/>
        <v>25</v>
      </c>
      <c r="J641" s="205">
        <f t="shared" si="1702"/>
        <v>0</v>
      </c>
      <c r="K641" s="205">
        <f t="shared" si="1702"/>
        <v>2</v>
      </c>
      <c r="L641" s="205">
        <f t="shared" si="1702"/>
        <v>0</v>
      </c>
      <c r="M641" s="205">
        <f t="shared" si="1702"/>
        <v>20</v>
      </c>
      <c r="N641" s="205">
        <f t="shared" si="1702"/>
        <v>3</v>
      </c>
      <c r="O641" s="205">
        <f t="shared" si="1702"/>
        <v>0</v>
      </c>
      <c r="P641" s="205">
        <f t="shared" si="1702"/>
        <v>0</v>
      </c>
      <c r="Q641" s="205">
        <f t="shared" si="1702"/>
        <v>3</v>
      </c>
      <c r="R641" s="205">
        <f t="shared" si="1702"/>
        <v>22</v>
      </c>
      <c r="S641" s="205">
        <f t="shared" si="1702"/>
        <v>0</v>
      </c>
      <c r="T641" s="205">
        <f t="shared" si="1702"/>
        <v>0</v>
      </c>
      <c r="U641" s="206">
        <f>SUM(C641:T641)</f>
        <v>150</v>
      </c>
      <c r="V641" s="844"/>
      <c r="W641" s="207">
        <f>SUM(W642:W666)</f>
        <v>4112445</v>
      </c>
      <c r="X641" s="208">
        <v>3.22</v>
      </c>
      <c r="Y641" s="209">
        <f t="shared" si="1598"/>
        <v>1.0322</v>
      </c>
      <c r="Z641" s="207">
        <v>19</v>
      </c>
      <c r="AA641" s="209">
        <f t="shared" si="1599"/>
        <v>1.8260524174418462</v>
      </c>
      <c r="AB641" s="207">
        <f t="shared" si="1619"/>
        <v>7509540.1338466331</v>
      </c>
      <c r="AC641" s="210">
        <v>12.7</v>
      </c>
      <c r="AD641" s="207">
        <f t="shared" si="1620"/>
        <v>953711.59699852229</v>
      </c>
      <c r="AE641" s="207">
        <f t="shared" si="1600"/>
        <v>906026.01714859612</v>
      </c>
      <c r="AF641" s="207">
        <f>SUM(AF642:AF666)</f>
        <v>0</v>
      </c>
      <c r="AG641" s="588">
        <f t="shared" si="1671"/>
        <v>4.1890665504207697E-2</v>
      </c>
      <c r="AH641" s="207">
        <f>SUM(AH642:AH666)</f>
        <v>375477.00669233163</v>
      </c>
      <c r="AI641" s="633">
        <f t="shared" si="1644"/>
        <v>2.9087634805221502E-2</v>
      </c>
      <c r="AJ641" s="207">
        <f>SUM(AJ642:AJ666)</f>
        <v>1329188.6036908543</v>
      </c>
      <c r="AK641" s="207">
        <f t="shared" si="1698"/>
        <v>300381.60535386531</v>
      </c>
      <c r="AL641" s="207">
        <f t="shared" si="1699"/>
        <v>300381.60535386531</v>
      </c>
      <c r="AM641" s="207">
        <f t="shared" si="1656"/>
        <v>600763.21070773061</v>
      </c>
      <c r="AN641" s="632">
        <f t="shared" si="1657"/>
        <v>2.9087634805221502E-2</v>
      </c>
      <c r="AO641" s="207">
        <f t="shared" si="1658"/>
        <v>285362.52508617204</v>
      </c>
      <c r="AP641" s="588">
        <f t="shared" si="1673"/>
        <v>2.9087634805221502E-2</v>
      </c>
      <c r="AQ641" s="207">
        <v>1</v>
      </c>
      <c r="AR641" s="588">
        <f>AQ641/37</f>
        <v>2.7027027027027029E-2</v>
      </c>
      <c r="AS641" s="207">
        <f>SUM(AS642:AS666)</f>
        <v>25</v>
      </c>
      <c r="AT641" s="588">
        <f t="shared" si="1674"/>
        <v>3.2299741602067181E-2</v>
      </c>
      <c r="AU641" s="207">
        <f>SUM(AU642:AU666)</f>
        <v>270</v>
      </c>
      <c r="AV641" s="892">
        <f t="shared" si="1645"/>
        <v>3.0678332007726395E-2</v>
      </c>
      <c r="AW641" s="207">
        <v>18050</v>
      </c>
      <c r="AX641" s="208">
        <f>AW641*0.002</f>
        <v>36.1</v>
      </c>
      <c r="AY641" s="207">
        <f>AX641*100</f>
        <v>3610</v>
      </c>
      <c r="AZ641" s="207">
        <f>SUM(AZ642:AZ666)</f>
        <v>474</v>
      </c>
      <c r="BA641" s="588">
        <f t="shared" si="1590"/>
        <v>1.736836319665824E-2</v>
      </c>
      <c r="BB641" s="207">
        <v>74</v>
      </c>
      <c r="BC641" s="207">
        <v>2</v>
      </c>
      <c r="BD641" s="207">
        <f>BB641+BC641</f>
        <v>76</v>
      </c>
      <c r="BE641" s="633">
        <f>BD641/1306</f>
        <v>5.8192955589586523E-2</v>
      </c>
      <c r="BF641" s="207">
        <f>AZ641+BD641</f>
        <v>550</v>
      </c>
      <c r="BG641" s="588">
        <f>BF641/28597</f>
        <v>1.923278665594293E-2</v>
      </c>
      <c r="BH641" s="1084">
        <v>24.9</v>
      </c>
      <c r="BI641" s="207"/>
      <c r="BJ641" s="207">
        <v>4171967</v>
      </c>
      <c r="BK641" s="892">
        <f t="shared" si="1591"/>
        <v>7.955689358307938E-2</v>
      </c>
      <c r="BL641" s="207">
        <f>BJ641/50</f>
        <v>83439.34</v>
      </c>
      <c r="BM641" s="892">
        <f t="shared" si="1592"/>
        <v>7.9556884480468645E-2</v>
      </c>
      <c r="BN641" s="207"/>
      <c r="BO641" s="207">
        <v>385271</v>
      </c>
      <c r="BP641" s="207">
        <f>SUM(BP642:BP666)</f>
        <v>0</v>
      </c>
      <c r="BQ641" s="633">
        <f t="shared" si="1593"/>
        <v>0</v>
      </c>
      <c r="BR641" s="207">
        <f>AY641*0.5*24</f>
        <v>43320</v>
      </c>
      <c r="BS641" s="633">
        <f>BR641/2211211</f>
        <v>1.9591074754964587E-2</v>
      </c>
      <c r="BT641" s="634"/>
      <c r="BU641" s="207"/>
      <c r="BV641" s="264">
        <f t="shared" si="1594"/>
        <v>0</v>
      </c>
      <c r="BW641" s="207"/>
      <c r="BX641" s="247">
        <f t="shared" si="1595"/>
        <v>0</v>
      </c>
      <c r="BY641" s="207">
        <f>SUM(BY642:BY666)</f>
        <v>0</v>
      </c>
      <c r="CA641" s="207">
        <f>SUM(CA642:CA666)</f>
        <v>2297919.2809570692</v>
      </c>
      <c r="CB641" s="207">
        <f>SUM(CB642:CB666)</f>
        <v>4595838.5619141385</v>
      </c>
      <c r="CC641" s="207">
        <f>SUM(CC642:CC666)</f>
        <v>6893757.8428712096</v>
      </c>
      <c r="CD641" s="633">
        <f t="shared" si="1646"/>
        <v>2.9087634805221505E-2</v>
      </c>
      <c r="CE641" s="207">
        <f>SUM(CE642:CE666)</f>
        <v>530688.0094587421</v>
      </c>
      <c r="CF641" s="633">
        <f t="shared" si="1647"/>
        <v>2.2916758659303576E-2</v>
      </c>
      <c r="CG641" s="207">
        <f t="shared" ref="CG641:CG686" si="1703">AO641*4</f>
        <v>1141450.1003446882</v>
      </c>
      <c r="CH641" s="588">
        <f t="shared" si="1684"/>
        <v>2.9087634805221502E-2</v>
      </c>
      <c r="CI641" s="207">
        <f t="shared" ref="CI641:CO641" si="1704">SUM(CI642:CI666)</f>
        <v>1669481.2945420493</v>
      </c>
      <c r="CJ641" s="633">
        <f t="shared" si="1686"/>
        <v>2.7446268244567473E-2</v>
      </c>
      <c r="CK641" s="207">
        <f t="shared" si="1704"/>
        <v>1771508.2514294202</v>
      </c>
      <c r="CL641" s="588">
        <f t="shared" si="1688"/>
        <v>2.5465795497999249E-2</v>
      </c>
      <c r="CM641" s="207">
        <f t="shared" si="1704"/>
        <v>171614.92748219735</v>
      </c>
      <c r="CN641" s="588">
        <f t="shared" si="1690"/>
        <v>2.4731661393948497E-2</v>
      </c>
      <c r="CO641" s="207">
        <f t="shared" si="1704"/>
        <v>13728.994198660306</v>
      </c>
      <c r="CP641" s="588">
        <f t="shared" si="1692"/>
        <v>2.5890768404273151E-2</v>
      </c>
      <c r="CQ641" s="207">
        <f>'Detailed Budget'!$AC$12</f>
        <v>292876014141.44696</v>
      </c>
      <c r="CR641" s="605">
        <f t="shared" si="1701"/>
        <v>23300305890.087547</v>
      </c>
      <c r="CS641" s="605">
        <f>'Detailed Budget'!$AC$16</f>
        <v>10488008800.000002</v>
      </c>
      <c r="CT641" s="605">
        <f t="shared" ref="CT641:CT686" si="1705">BM641*CS641</f>
        <v>834393304.53173876</v>
      </c>
      <c r="CU641" s="605">
        <f>'Detailed Budget'!$AC$24</f>
        <v>30624985696</v>
      </c>
      <c r="CV641" s="605">
        <f t="shared" si="1589"/>
        <v>2436428728</v>
      </c>
      <c r="CW641" s="605"/>
      <c r="CX641" s="605">
        <f t="shared" si="1660"/>
        <v>26571127922.619286</v>
      </c>
      <c r="CY641" s="207">
        <f>'Detailed Budget'!$AC$97</f>
        <v>74629165494.837845</v>
      </c>
      <c r="CZ641" s="605">
        <f t="shared" ref="CZ641:CZ686" si="1706">BQ641*CY641</f>
        <v>0</v>
      </c>
      <c r="DA641" s="605">
        <f>'Detailed Budget'!$AC$100</f>
        <v>14925833098.967569</v>
      </c>
      <c r="DB641" s="605">
        <f t="shared" ref="DB641:DB686" si="1707">BQ641*DA641</f>
        <v>0</v>
      </c>
      <c r="DC641" s="605">
        <f t="shared" si="1661"/>
        <v>0</v>
      </c>
      <c r="DD641" s="207">
        <f>SUM(DD642:DD666)</f>
        <v>0</v>
      </c>
      <c r="DE641" s="606">
        <v>0</v>
      </c>
      <c r="DF641" s="605">
        <f>'Detailed Budget'!$AC$147</f>
        <v>5913600671000</v>
      </c>
      <c r="DG641" s="605">
        <f t="shared" si="1584"/>
        <v>0</v>
      </c>
      <c r="DH641" s="605">
        <f>'Detailed Budget'!$AC$153</f>
        <v>226428026880.00003</v>
      </c>
      <c r="DI641" s="605">
        <f>BS641*DH641</f>
        <v>4435968401.2252111</v>
      </c>
      <c r="DJ641" s="605">
        <f>'Detailed Budget'!$AC$156</f>
        <v>27713070000</v>
      </c>
      <c r="DK641" s="605">
        <f>AT641*DJ641</f>
        <v>895124999.99999988</v>
      </c>
      <c r="DL641" s="605">
        <f>DI641+DK641</f>
        <v>5331093401.2252111</v>
      </c>
      <c r="DM641" s="207">
        <f>'Detailed Budget'!$AC$178</f>
        <v>5622683761.6229038</v>
      </c>
      <c r="DN641" s="605">
        <f>SUM(DN642:DN666)</f>
        <v>0</v>
      </c>
      <c r="DO641" s="605">
        <f>'Detailed Budget'!$AC$179</f>
        <v>26827890683.128094</v>
      </c>
      <c r="DP641" s="605">
        <f>SUM(DP642:DP666)</f>
        <v>0</v>
      </c>
      <c r="DQ641" s="605">
        <f>SUM(DQ642:DQ666)</f>
        <v>0</v>
      </c>
      <c r="DR641" s="605">
        <f>'Detailed Budget'!$AC$181</f>
        <v>50888946855.375237</v>
      </c>
      <c r="DS641" s="605">
        <f>SUM(DS642:DS666)</f>
        <v>0</v>
      </c>
      <c r="DT641" s="605">
        <f>SUM(DT642:DT666)</f>
        <v>0</v>
      </c>
      <c r="DU641" s="634">
        <f>'Detailed Budget'!$AC$192</f>
        <v>77498869683.252869</v>
      </c>
      <c r="DV641" s="605">
        <f t="shared" ref="DV641:DV686" si="1708">BZ641*CD641*DU641</f>
        <v>0</v>
      </c>
      <c r="DW641" s="930">
        <f>'Detailed Budget'!$AC$194</f>
        <v>2684962805.4134097</v>
      </c>
      <c r="DX641" s="605">
        <f t="shared" ref="DX641:DX686" si="1709">BZ641*AN641*DW641</f>
        <v>0</v>
      </c>
      <c r="DY641" s="605">
        <f t="shared" si="1648"/>
        <v>0</v>
      </c>
      <c r="DZ641" s="207">
        <f>'Detailed Budget'!$AC$198</f>
        <v>18732540018.380611</v>
      </c>
      <c r="EA641" s="605">
        <f t="shared" ref="EA641:EA666" si="1710">CF641*DZ641</f>
        <v>429289098.67697465</v>
      </c>
      <c r="EB641" s="207">
        <f>'Detailed Budget'!$AC$200</f>
        <v>4683135004.5951529</v>
      </c>
      <c r="EC641" s="605">
        <f t="shared" ref="EC641:EC686" si="1711">CF641*EB641</f>
        <v>107322274.66924366</v>
      </c>
      <c r="ED641" s="605">
        <f t="shared" si="1649"/>
        <v>536611373.34621835</v>
      </c>
      <c r="EE641" s="207">
        <f>'Detailed Budget'!$AC$161</f>
        <v>251147290106.36197</v>
      </c>
      <c r="EF641" s="605">
        <f t="shared" ref="EF641:EF686" si="1712">CH641*EE641</f>
        <v>7305280656.9348764</v>
      </c>
      <c r="EG641" s="207">
        <f>'Detailed Budget'!$AC$163</f>
        <v>15696705631.647623</v>
      </c>
      <c r="EH641" s="605">
        <f t="shared" ref="EH641:EH686" si="1713">AP641*EG641</f>
        <v>456580041.05842978</v>
      </c>
      <c r="EI641" s="605">
        <f t="shared" si="1650"/>
        <v>7761860697.9933062</v>
      </c>
      <c r="EJ641" s="207">
        <f>'Detailed Budget'!$AC$204</f>
        <v>45012172507.531975</v>
      </c>
      <c r="EK641" s="605">
        <f t="shared" ref="EK641:EK686" si="1714">CJ641*EJ641</f>
        <v>1235416160.912468</v>
      </c>
      <c r="EL641" s="207">
        <f>'Detailed Budget'!$AC$206</f>
        <v>11253043126.882994</v>
      </c>
      <c r="EM641" s="605">
        <f t="shared" ref="EM641:EM686" si="1715">CJ641*EL641</f>
        <v>308854040.22811699</v>
      </c>
      <c r="EN641" s="605">
        <f t="shared" si="1651"/>
        <v>1544270201.1405849</v>
      </c>
      <c r="EO641" s="930">
        <f>'Detailed Budget'!$AC$209</f>
        <v>135789361677.54817</v>
      </c>
      <c r="EP641" s="605">
        <f t="shared" ref="EP641:EP686" si="1716">CL641*EO641</f>
        <v>3457984115.2842979</v>
      </c>
      <c r="EQ641" s="207">
        <f>'Detailed Budget'!$AC$211</f>
        <v>33947340419.387043</v>
      </c>
      <c r="ER641" s="605">
        <f t="shared" ref="ER641:ER686" si="1717">CL641*EQ641</f>
        <v>864496028.82107449</v>
      </c>
      <c r="ES641" s="605">
        <f t="shared" si="1652"/>
        <v>4322480144.1053724</v>
      </c>
      <c r="ET641" s="207">
        <f>'Detailed Budget'!$AC$214</f>
        <v>22239745544.201103</v>
      </c>
      <c r="EU641" s="605">
        <f t="shared" ref="EU641:EU686" si="1718">CN641*ET641</f>
        <v>550025856.28675652</v>
      </c>
      <c r="EV641" s="930">
        <f>'Detailed Budget'!$AC$217</f>
        <v>5559936386.0502758</v>
      </c>
      <c r="EW641" s="605">
        <f t="shared" ref="EW641:EW686" si="1719">CN641*EV641</f>
        <v>137506464.07168913</v>
      </c>
      <c r="EX641" s="605">
        <f t="shared" si="1653"/>
        <v>687532320.35844564</v>
      </c>
      <c r="EY641" s="207">
        <f>'Detailed Budget'!$AC$219</f>
        <v>372777004.58170313</v>
      </c>
      <c r="EZ641" s="605">
        <f t="shared" ref="EZ641:EZ686" si="1720">CP641*EY641</f>
        <v>9651483.0920635462</v>
      </c>
      <c r="FA641" s="207">
        <f>'Detailed Budget'!$AC$222</f>
        <v>93194251.145425782</v>
      </c>
      <c r="FB641" s="605">
        <f t="shared" ref="FB641:FB686" si="1721">CP641*FA641</f>
        <v>2412870.7730158865</v>
      </c>
      <c r="FC641" s="605">
        <f t="shared" si="1654"/>
        <v>12064353.865079433</v>
      </c>
      <c r="FD641" s="605"/>
      <c r="FE641" s="605">
        <f t="shared" si="1663"/>
        <v>6566347019.4694824</v>
      </c>
      <c r="FF641" s="930">
        <f>'Detailed Budget'!$AC$165</f>
        <v>14927760000</v>
      </c>
      <c r="FG641" s="1087">
        <f t="shared" si="1585"/>
        <v>8956931986.3685379</v>
      </c>
      <c r="FH641" s="605">
        <f t="shared" ref="FH641:FH686" si="1722">AV641*FF641</f>
        <v>457958777.41165775</v>
      </c>
      <c r="FI641" s="605"/>
      <c r="FJ641" s="930">
        <f>'Detailed Budget'!$AC$235</f>
        <v>3623696172</v>
      </c>
      <c r="FK641" s="605">
        <f t="shared" ref="FK641:FK686" si="1723">AT641*FJ641</f>
        <v>117044449.99999999</v>
      </c>
      <c r="FL641" s="605">
        <f t="shared" si="1586"/>
        <v>117044449.99999999</v>
      </c>
      <c r="FM641" s="605"/>
      <c r="FN641" s="605">
        <f>'Detailed Budget'!$AC$251</f>
        <v>1047595800</v>
      </c>
      <c r="FO641" s="605">
        <f>AR641*FN641</f>
        <v>28313400</v>
      </c>
      <c r="FP641" s="605">
        <f>'Detailed Budget'!$AB$254</f>
        <v>2773297530</v>
      </c>
      <c r="FQ641" s="605">
        <f>BE641*FP641</f>
        <v>161386380</v>
      </c>
      <c r="FR641" s="605">
        <f>'Detailed Budget'!$AC$257</f>
        <v>13636439388</v>
      </c>
      <c r="FS641" s="605">
        <f t="shared" ref="FS641:FS666" si="1724">BA641*FR641</f>
        <v>236842632</v>
      </c>
      <c r="FT641" s="605">
        <f t="shared" si="1587"/>
        <v>426542412</v>
      </c>
      <c r="FU641" s="605"/>
      <c r="FV641" s="605">
        <f>'Detailed Budget'!$AC$265</f>
        <v>6277805540</v>
      </c>
      <c r="FW641" s="605">
        <f>AR641*FV641</f>
        <v>169670420</v>
      </c>
      <c r="FX641" s="930">
        <f>'Detailed Budget'!$AC$278</f>
        <v>1114560000</v>
      </c>
      <c r="FY641" s="605">
        <f t="shared" ref="FY641:FY666" si="1725">AT641*FX641</f>
        <v>36000000</v>
      </c>
      <c r="FZ641" s="605">
        <f t="shared" si="1588"/>
        <v>205670420</v>
      </c>
      <c r="GB641" s="269">
        <f t="shared" si="1596"/>
        <v>56931188460.433701</v>
      </c>
      <c r="GC641" s="889">
        <f t="shared" si="1668"/>
        <v>35581992.787771061</v>
      </c>
      <c r="GD641" s="1078">
        <f t="shared" si="1597"/>
        <v>3.1945882557204291E-2</v>
      </c>
    </row>
    <row r="642" spans="1:186" hidden="1" outlineLevel="1">
      <c r="A642" s="211" t="s">
        <v>1385</v>
      </c>
      <c r="B642" s="212" t="s">
        <v>1386</v>
      </c>
      <c r="C642" s="213" t="s">
        <v>215</v>
      </c>
      <c r="D642" s="214"/>
      <c r="E642" s="213"/>
      <c r="F642" s="213"/>
      <c r="G642" s="213" t="s">
        <v>215</v>
      </c>
      <c r="H642" s="213" t="s">
        <v>215</v>
      </c>
      <c r="I642" s="214" t="s">
        <v>215</v>
      </c>
      <c r="J642" s="214"/>
      <c r="K642" s="213"/>
      <c r="L642" s="213"/>
      <c r="M642" s="214" t="s">
        <v>215</v>
      </c>
      <c r="N642" s="213"/>
      <c r="O642" s="214"/>
      <c r="P642" s="213"/>
      <c r="Q642" s="214"/>
      <c r="R642" s="214" t="s">
        <v>215</v>
      </c>
      <c r="S642" s="214"/>
      <c r="T642" s="214"/>
      <c r="U642" s="215">
        <f t="shared" ref="U642:U666" si="1726">COUNTA(C642:T642)</f>
        <v>6</v>
      </c>
      <c r="V642" s="845" t="s">
        <v>216</v>
      </c>
      <c r="W642" s="216">
        <v>104062</v>
      </c>
      <c r="X642" s="217">
        <v>3.22</v>
      </c>
      <c r="Y642" s="218">
        <f t="shared" si="1598"/>
        <v>1.0322</v>
      </c>
      <c r="Z642" s="196">
        <v>19</v>
      </c>
      <c r="AA642" s="218">
        <f t="shared" si="1599"/>
        <v>1.8260524174418462</v>
      </c>
      <c r="AB642" s="196">
        <f t="shared" si="1619"/>
        <v>190022.6666638334</v>
      </c>
      <c r="AC642">
        <v>12.7</v>
      </c>
      <c r="AD642" s="196">
        <f t="shared" si="1620"/>
        <v>24132.878666306842</v>
      </c>
      <c r="AE642" s="196">
        <f t="shared" si="1600"/>
        <v>22926.234732991499</v>
      </c>
      <c r="AF642" s="196">
        <f t="shared" ref="AF642:AF667" si="1727">AE642*BT642</f>
        <v>0</v>
      </c>
      <c r="AG642" s="606">
        <f t="shared" si="1671"/>
        <v>1.0600084459971774E-3</v>
      </c>
      <c r="AH642" s="196">
        <f>AB642*0.05</f>
        <v>9501.1333331916703</v>
      </c>
      <c r="AI642" s="248">
        <f t="shared" si="1644"/>
        <v>7.3603840369924954E-4</v>
      </c>
      <c r="AJ642" s="196">
        <f t="shared" si="1672"/>
        <v>33634.011999498514</v>
      </c>
      <c r="AK642" s="196">
        <f t="shared" si="1698"/>
        <v>7600.9066665533364</v>
      </c>
      <c r="AL642" s="196">
        <f t="shared" si="1699"/>
        <v>7600.9066665533364</v>
      </c>
      <c r="AM642" s="196">
        <f t="shared" si="1656"/>
        <v>15201.813333106673</v>
      </c>
      <c r="AN642" s="627">
        <f t="shared" si="1657"/>
        <v>7.3603840369924954E-4</v>
      </c>
      <c r="AO642" s="196">
        <f t="shared" si="1658"/>
        <v>7220.8613332256691</v>
      </c>
      <c r="AP642" s="589">
        <f t="shared" si="1673"/>
        <v>7.3603840369924954E-4</v>
      </c>
      <c r="AQ642" s="196"/>
      <c r="AR642" s="589"/>
      <c r="AS642">
        <v>1</v>
      </c>
      <c r="AT642" s="589">
        <f t="shared" si="1674"/>
        <v>1.2919896640826874E-3</v>
      </c>
      <c r="AU642" s="196">
        <v>10</v>
      </c>
      <c r="AV642" s="245">
        <f t="shared" si="1645"/>
        <v>1.1362345188046814E-3</v>
      </c>
      <c r="AX642" s="245"/>
      <c r="AY642" s="245"/>
      <c r="AZ642" s="196">
        <v>19</v>
      </c>
      <c r="BA642" s="589">
        <f t="shared" si="1590"/>
        <v>6.9620021252427542E-4</v>
      </c>
      <c r="BI642" s="196">
        <v>1</v>
      </c>
      <c r="BJ642" s="196">
        <f t="shared" ref="BJ642:BJ666" si="1728">AB642/7509540*4171967</f>
        <v>105568.15658129701</v>
      </c>
      <c r="BK642" s="246">
        <f t="shared" si="1591"/>
        <v>2.0131210527072978E-3</v>
      </c>
      <c r="BL642" s="196">
        <f>BJ642/50</f>
        <v>2111.3631316259402</v>
      </c>
      <c r="BM642" s="246">
        <f t="shared" si="1592"/>
        <v>2.0131208223733007E-3</v>
      </c>
      <c r="BN642" s="196">
        <v>0</v>
      </c>
      <c r="BO642" s="196">
        <f t="shared" ref="BO642:BO666" si="1729">AJ642/1329189*385271</f>
        <v>9748.9592804776385</v>
      </c>
      <c r="BP642" s="196">
        <f t="shared" si="1676"/>
        <v>0</v>
      </c>
      <c r="BQ642" s="248">
        <f t="shared" si="1593"/>
        <v>0</v>
      </c>
      <c r="BR642" s="248"/>
      <c r="BS642" s="248"/>
      <c r="BT642" s="276">
        <v>0</v>
      </c>
      <c r="BU642" s="196">
        <f t="shared" ref="BU642:BU666" si="1730">AD642*BT642*0.18*4</f>
        <v>0</v>
      </c>
      <c r="BV642" s="264">
        <f t="shared" si="1594"/>
        <v>0</v>
      </c>
      <c r="BW642" s="196">
        <f t="shared" ref="BW642:BW666" si="1731">AD642*BT642*0.77*4</f>
        <v>0</v>
      </c>
      <c r="BX642" s="247">
        <f t="shared" si="1595"/>
        <v>0</v>
      </c>
      <c r="BY642" s="196">
        <f t="shared" ref="BY642:BY666" si="1732">BU642+BW642</f>
        <v>0</v>
      </c>
      <c r="BZ642" s="620">
        <v>1</v>
      </c>
      <c r="CA642" s="196">
        <f t="shared" ref="CA642:CA667" si="1733">AK642*0.85*0.75*12</f>
        <v>58146.935999133013</v>
      </c>
      <c r="CB642" s="196">
        <f t="shared" ref="CB642:CB667" si="1734">AL642*0.85*0.75*2*12</f>
        <v>116293.87199826603</v>
      </c>
      <c r="CC642" s="196">
        <f t="shared" si="1682"/>
        <v>174440.80799739904</v>
      </c>
      <c r="CD642" s="247">
        <f t="shared" si="1646"/>
        <v>7.3603840369924943E-4</v>
      </c>
      <c r="CE642" s="196">
        <f t="shared" ref="CE642:CE666" si="1735">AH642/375477*530688</f>
        <v>13428.61865393838</v>
      </c>
      <c r="CF642" s="247">
        <f t="shared" si="1647"/>
        <v>5.7988951575144436E-4</v>
      </c>
      <c r="CG642" s="196">
        <f t="shared" si="1703"/>
        <v>28883.445332902676</v>
      </c>
      <c r="CH642" s="589">
        <f t="shared" si="1684"/>
        <v>7.3603840369924954E-4</v>
      </c>
      <c r="CI642" s="196">
        <f t="shared" ref="CI642:CI666" si="1736">AD642/953712*1669482</f>
        <v>42244.835486586395</v>
      </c>
      <c r="CJ642" s="248">
        <f t="shared" si="1686"/>
        <v>6.9450498816791011E-4</v>
      </c>
      <c r="CK642" s="196">
        <f t="shared" ref="CK642:CK666" si="1737">AD642/953712*1771509</f>
        <v>44826.542764766062</v>
      </c>
      <c r="CL642" s="589">
        <f t="shared" si="1688"/>
        <v>6.4439077266998063E-4</v>
      </c>
      <c r="CM642" s="196">
        <f t="shared" ref="CM642:CM666" si="1738">AD642/953712*171615</f>
        <v>4342.572990922049</v>
      </c>
      <c r="CN642" s="589">
        <f t="shared" si="1690"/>
        <v>6.2581411981851897E-4</v>
      </c>
      <c r="CO642" s="196">
        <f t="shared" ref="CO642:CO666" si="1739">AD642/953712*13729</f>
        <v>347.40077844226209</v>
      </c>
      <c r="CP642" s="589">
        <f t="shared" si="1692"/>
        <v>6.5514435857147565E-4</v>
      </c>
      <c r="CQ642" s="196">
        <f>'Detailed Budget'!$AC$12</f>
        <v>292876014141.44696</v>
      </c>
      <c r="CR642" s="269">
        <f t="shared" si="1701"/>
        <v>589594869.90114713</v>
      </c>
      <c r="CS642" s="269">
        <f>'Detailed Budget'!$AC$16</f>
        <v>10488008800.000002</v>
      </c>
      <c r="CT642" s="607">
        <f t="shared" si="1705"/>
        <v>21113628.90051442</v>
      </c>
      <c r="CU642" s="269">
        <f>'Detailed Budget'!$AC$24</f>
        <v>30624985696</v>
      </c>
      <c r="CV642" s="269">
        <f t="shared" si="1589"/>
        <v>61651803.443477459</v>
      </c>
      <c r="CW642" s="269"/>
      <c r="CX642" s="269">
        <f t="shared" si="1660"/>
        <v>672360302.245139</v>
      </c>
      <c r="CY642" s="196">
        <f>'Detailed Budget'!$AC$97</f>
        <v>74629165494.837845</v>
      </c>
      <c r="CZ642" s="269">
        <f t="shared" si="1706"/>
        <v>0</v>
      </c>
      <c r="DA642" s="269">
        <f>'Detailed Budget'!$AC$100</f>
        <v>14925833098.967569</v>
      </c>
      <c r="DB642" s="269">
        <f t="shared" si="1707"/>
        <v>0</v>
      </c>
      <c r="DC642" s="269">
        <f t="shared" si="1661"/>
        <v>0</v>
      </c>
      <c r="DD642" s="207">
        <v>0</v>
      </c>
      <c r="DE642" s="606">
        <v>0</v>
      </c>
      <c r="DF642" s="269">
        <f>'Detailed Budget'!$AC$147</f>
        <v>5913600671000</v>
      </c>
      <c r="DG642" s="269">
        <f t="shared" si="1584"/>
        <v>0</v>
      </c>
      <c r="DH642" s="269">
        <f>'Detailed Budget'!$AC$153</f>
        <v>226428026880.00003</v>
      </c>
      <c r="DI642" s="269"/>
      <c r="DJ642" s="269">
        <f>'Detailed Budget'!$AC$156</f>
        <v>27713070000</v>
      </c>
      <c r="DK642" s="269"/>
      <c r="DL642" s="269"/>
      <c r="DM642" s="196">
        <f>'Detailed Budget'!$AC$178</f>
        <v>5622683761.6229038</v>
      </c>
      <c r="DN642" s="269">
        <f t="shared" ref="DN642:DN666" si="1740">BT642*BV642*DM642</f>
        <v>0</v>
      </c>
      <c r="DO642" s="196">
        <f>'Detailed Budget'!$AC$179</f>
        <v>26827890683.128094</v>
      </c>
      <c r="DP642" s="269">
        <f t="shared" ref="DP642:DP666" si="1741">BT642*BX642*DO642</f>
        <v>0</v>
      </c>
      <c r="DQ642" s="269">
        <f t="shared" si="1700"/>
        <v>0</v>
      </c>
      <c r="DR642" s="269">
        <f>'Detailed Budget'!$AC$181</f>
        <v>50888946855.375237</v>
      </c>
      <c r="DS642" s="269">
        <f t="shared" ref="DS642:DS666" si="1742">BT642*AG642*DR642</f>
        <v>0</v>
      </c>
      <c r="DT642" s="269">
        <f t="shared" ref="DT642:DT666" si="1743">DQ642+DS642</f>
        <v>0</v>
      </c>
      <c r="DU642" s="272">
        <f>'Detailed Budget'!$AC$192</f>
        <v>77498869683.252869</v>
      </c>
      <c r="DV642" s="269">
        <f t="shared" si="1708"/>
        <v>57042144.3301576</v>
      </c>
      <c r="DW642" s="140">
        <f>'Detailed Budget'!$AC$194</f>
        <v>2684962805.4134097</v>
      </c>
      <c r="DX642" s="269">
        <f t="shared" si="1709"/>
        <v>1976235.7372883449</v>
      </c>
      <c r="DY642" s="607">
        <f t="shared" si="1648"/>
        <v>59018380.067445949</v>
      </c>
      <c r="DZ642" s="196">
        <f>'Detailed Budget'!$AC$198</f>
        <v>18732540018.380611</v>
      </c>
      <c r="EA642" s="269">
        <f t="shared" si="1710"/>
        <v>10862803.560053285</v>
      </c>
      <c r="EB642" s="196">
        <f>'Detailed Budget'!$AC$200</f>
        <v>4683135004.5951529</v>
      </c>
      <c r="EC642" s="269">
        <f t="shared" si="1711"/>
        <v>2715700.8900133213</v>
      </c>
      <c r="ED642" s="269">
        <f t="shared" si="1649"/>
        <v>13578504.450066607</v>
      </c>
      <c r="EE642" s="196">
        <f>'Detailed Budget'!$AC$161</f>
        <v>251147290106.36197</v>
      </c>
      <c r="EF642" s="269">
        <f t="shared" si="1712"/>
        <v>184854050.503279</v>
      </c>
      <c r="EG642" s="196">
        <f>'Detailed Budget'!$AC$163</f>
        <v>15696705631.647623</v>
      </c>
      <c r="EH642" s="269">
        <f t="shared" si="1713"/>
        <v>11553378.156454938</v>
      </c>
      <c r="EI642" s="269">
        <f t="shared" si="1650"/>
        <v>196407428.65973395</v>
      </c>
      <c r="EJ642" s="196">
        <f>'Detailed Budget'!$AC$204</f>
        <v>45012172507.531975</v>
      </c>
      <c r="EK642" s="269">
        <f t="shared" si="1714"/>
        <v>31261178.334755424</v>
      </c>
      <c r="EL642" s="201">
        <f>'Detailed Budget'!$AC$206</f>
        <v>11253043126.882994</v>
      </c>
      <c r="EM642" s="269">
        <f t="shared" si="1715"/>
        <v>7815294.5836888561</v>
      </c>
      <c r="EN642" s="269">
        <f t="shared" si="1651"/>
        <v>39076472.918444283</v>
      </c>
      <c r="EO642" s="140">
        <f>'Detailed Budget'!$AC$209</f>
        <v>135789361677.54817</v>
      </c>
      <c r="EP642" s="269">
        <f t="shared" si="1716"/>
        <v>87501411.691758722</v>
      </c>
      <c r="EQ642" s="196">
        <f>'Detailed Budget'!$AC$211</f>
        <v>33947340419.387043</v>
      </c>
      <c r="ER642" s="269">
        <f t="shared" si="1717"/>
        <v>21875352.922939681</v>
      </c>
      <c r="ES642" s="269">
        <f t="shared" si="1652"/>
        <v>109376764.61469841</v>
      </c>
      <c r="ET642" s="196">
        <f>'Detailed Budget'!$AC$214</f>
        <v>22239745544.201103</v>
      </c>
      <c r="EU642" s="269">
        <f t="shared" si="1718"/>
        <v>13917946.782732043</v>
      </c>
      <c r="EV642" s="140">
        <f>'Detailed Budget'!$AC$217</f>
        <v>5559936386.0502758</v>
      </c>
      <c r="EW642" s="269">
        <f t="shared" si="1719"/>
        <v>3479486.6956830109</v>
      </c>
      <c r="EX642" s="269">
        <f t="shared" si="1653"/>
        <v>17397433.478415053</v>
      </c>
      <c r="EY642" s="196">
        <f>'Detailed Budget'!$AC$219</f>
        <v>372777004.58170313</v>
      </c>
      <c r="EZ642" s="269">
        <f t="shared" si="1720"/>
        <v>244222.75155687594</v>
      </c>
      <c r="FA642" s="196">
        <f>'Detailed Budget'!$AC$222</f>
        <v>93194251.145425782</v>
      </c>
      <c r="FB642" s="269">
        <f t="shared" si="1721"/>
        <v>61055.687889218985</v>
      </c>
      <c r="FC642" s="269">
        <f t="shared" si="1654"/>
        <v>305278.43944609491</v>
      </c>
      <c r="FD642" s="269"/>
      <c r="FE642" s="269">
        <f t="shared" si="1663"/>
        <v>166155949.45100382</v>
      </c>
      <c r="FF642" s="140">
        <f>'Detailed Budget'!$AC$165</f>
        <v>14927760000</v>
      </c>
      <c r="FG642" s="1087">
        <f t="shared" si="1585"/>
        <v>226647713.55373335</v>
      </c>
      <c r="FH642" s="269">
        <f t="shared" si="1722"/>
        <v>16961436.200431772</v>
      </c>
      <c r="FJ642" s="140">
        <f>'Detailed Budget'!$AC$235</f>
        <v>3623696172</v>
      </c>
      <c r="FK642" s="269">
        <f t="shared" si="1723"/>
        <v>4681778</v>
      </c>
      <c r="FL642" s="269">
        <f t="shared" si="1586"/>
        <v>4681778</v>
      </c>
      <c r="FO642" s="607"/>
      <c r="FP642" s="607"/>
      <c r="FQ642" s="607"/>
      <c r="FR642" s="269">
        <f>'Detailed Budget'!$AC$257</f>
        <v>13636439388</v>
      </c>
      <c r="FS642" s="269">
        <f t="shared" si="1724"/>
        <v>9493692</v>
      </c>
      <c r="FT642" s="269">
        <f t="shared" si="1587"/>
        <v>9493692</v>
      </c>
      <c r="FU642" s="269"/>
      <c r="FV642" s="269"/>
      <c r="FW642" s="269"/>
      <c r="FX642" s="140">
        <f>'Detailed Budget'!$AC$278</f>
        <v>1114560000</v>
      </c>
      <c r="FY642" s="269">
        <f t="shared" si="1725"/>
        <v>1440000</v>
      </c>
      <c r="FZ642" s="269">
        <f t="shared" si="1588"/>
        <v>1440000</v>
      </c>
      <c r="GB642" s="269">
        <f t="shared" si="1596"/>
        <v>1366745184.6275544</v>
      </c>
      <c r="GC642" s="887">
        <f t="shared" si="1668"/>
        <v>854215.74039222149</v>
      </c>
      <c r="GD642" s="1078">
        <f t="shared" si="1597"/>
        <v>7.669237606743566E-4</v>
      </c>
    </row>
    <row r="643" spans="1:186" hidden="1" outlineLevel="1">
      <c r="A643" s="211" t="s">
        <v>1387</v>
      </c>
      <c r="B643" s="212" t="s">
        <v>1388</v>
      </c>
      <c r="C643" s="213" t="s">
        <v>215</v>
      </c>
      <c r="D643" s="214"/>
      <c r="E643" s="213"/>
      <c r="F643" s="213"/>
      <c r="G643" s="213" t="s">
        <v>215</v>
      </c>
      <c r="H643" s="213" t="s">
        <v>215</v>
      </c>
      <c r="I643" s="214" t="s">
        <v>215</v>
      </c>
      <c r="J643" s="214"/>
      <c r="K643" s="213"/>
      <c r="L643" s="213"/>
      <c r="M643" s="214" t="s">
        <v>215</v>
      </c>
      <c r="N643" s="213"/>
      <c r="O643" s="214"/>
      <c r="P643" s="213"/>
      <c r="Q643" s="214"/>
      <c r="R643" s="214" t="s">
        <v>215</v>
      </c>
      <c r="S643" s="214"/>
      <c r="T643" s="214"/>
      <c r="U643" s="215">
        <f t="shared" si="1726"/>
        <v>6</v>
      </c>
      <c r="V643" s="845" t="s">
        <v>216</v>
      </c>
      <c r="W643" s="216">
        <v>142045</v>
      </c>
      <c r="X643" s="217">
        <v>3.22</v>
      </c>
      <c r="Y643" s="218">
        <f t="shared" si="1598"/>
        <v>1.0322</v>
      </c>
      <c r="Z643" s="196">
        <v>19</v>
      </c>
      <c r="AA643" s="218">
        <f t="shared" si="1599"/>
        <v>1.8260524174418462</v>
      </c>
      <c r="AB643" s="196">
        <f t="shared" si="1619"/>
        <v>259381.61563552704</v>
      </c>
      <c r="AC643">
        <v>12.7</v>
      </c>
      <c r="AD643" s="196">
        <f t="shared" si="1620"/>
        <v>32941.465185711932</v>
      </c>
      <c r="AE643" s="196">
        <f t="shared" si="1600"/>
        <v>31294.391926426335</v>
      </c>
      <c r="AF643" s="196">
        <f t="shared" si="1727"/>
        <v>0</v>
      </c>
      <c r="AG643" s="606">
        <f t="shared" si="1671"/>
        <v>1.4469152977231753E-3</v>
      </c>
      <c r="AH643" s="196">
        <f t="shared" ref="AH643:AH666" si="1744">AB643*0.05</f>
        <v>12969.080781776353</v>
      </c>
      <c r="AI643" s="248">
        <f t="shared" si="1644"/>
        <v>1.0046950380874853E-3</v>
      </c>
      <c r="AJ643" s="196">
        <f t="shared" si="1672"/>
        <v>45910.545967488288</v>
      </c>
      <c r="AK643" s="196">
        <f t="shared" si="1698"/>
        <v>10375.264625421081</v>
      </c>
      <c r="AL643" s="196">
        <f t="shared" si="1699"/>
        <v>10375.264625421081</v>
      </c>
      <c r="AM643" s="196">
        <f t="shared" si="1656"/>
        <v>20750.529250842163</v>
      </c>
      <c r="AN643" s="627">
        <f t="shared" si="1657"/>
        <v>1.0046950380874853E-3</v>
      </c>
      <c r="AO643" s="196">
        <f t="shared" si="1658"/>
        <v>9856.5013941500274</v>
      </c>
      <c r="AP643" s="589">
        <f t="shared" si="1673"/>
        <v>1.0046950380874853E-3</v>
      </c>
      <c r="AQ643" s="196"/>
      <c r="AR643" s="589"/>
      <c r="AS643">
        <v>1</v>
      </c>
      <c r="AT643" s="589">
        <f t="shared" si="1674"/>
        <v>1.2919896640826874E-3</v>
      </c>
      <c r="AU643" s="196">
        <v>11</v>
      </c>
      <c r="AV643" s="245">
        <f t="shared" si="1645"/>
        <v>1.2498579706851495E-3</v>
      </c>
      <c r="AX643" s="245"/>
      <c r="AY643" s="245"/>
      <c r="AZ643" s="196">
        <v>23</v>
      </c>
      <c r="BA643" s="589">
        <f t="shared" si="1590"/>
        <v>8.4276867831885966E-4</v>
      </c>
      <c r="BI643" s="196">
        <v>1</v>
      </c>
      <c r="BJ643" s="196">
        <f t="shared" si="1728"/>
        <v>144100.90908871955</v>
      </c>
      <c r="BK643" s="246">
        <f t="shared" si="1591"/>
        <v>2.7479173947435962E-3</v>
      </c>
      <c r="BL643" s="196">
        <f t="shared" ref="BL643:BL666" si="1745">BJ643/50</f>
        <v>2882.018181774391</v>
      </c>
      <c r="BM643" s="246">
        <f t="shared" si="1592"/>
        <v>2.7479170803368712E-3</v>
      </c>
      <c r="BN643" s="196">
        <v>0</v>
      </c>
      <c r="BO643" s="196">
        <f t="shared" si="1729"/>
        <v>13307.364080984857</v>
      </c>
      <c r="BP643" s="196">
        <f t="shared" si="1676"/>
        <v>0</v>
      </c>
      <c r="BQ643" s="248">
        <f t="shared" si="1593"/>
        <v>0</v>
      </c>
      <c r="BR643" s="248"/>
      <c r="BS643" s="248"/>
      <c r="BT643" s="276">
        <v>0</v>
      </c>
      <c r="BU643" s="196">
        <f t="shared" si="1730"/>
        <v>0</v>
      </c>
      <c r="BV643" s="264">
        <f t="shared" si="1594"/>
        <v>0</v>
      </c>
      <c r="BW643" s="196">
        <f t="shared" si="1731"/>
        <v>0</v>
      </c>
      <c r="BX643" s="247">
        <f t="shared" si="1595"/>
        <v>0</v>
      </c>
      <c r="BY643" s="196">
        <f t="shared" si="1732"/>
        <v>0</v>
      </c>
      <c r="BZ643" s="620">
        <v>1</v>
      </c>
      <c r="CA643" s="196">
        <f t="shared" si="1733"/>
        <v>79370.774384471282</v>
      </c>
      <c r="CB643" s="196">
        <f t="shared" si="1734"/>
        <v>158741.54876894256</v>
      </c>
      <c r="CC643" s="196">
        <f t="shared" si="1682"/>
        <v>238112.32315341383</v>
      </c>
      <c r="CD643" s="247">
        <f t="shared" si="1646"/>
        <v>1.0046950380874853E-3</v>
      </c>
      <c r="CE643" s="196">
        <f t="shared" si="1735"/>
        <v>18330.112209054958</v>
      </c>
      <c r="CF643" s="247">
        <f t="shared" si="1647"/>
        <v>7.9155125084001763E-4</v>
      </c>
      <c r="CG643" s="196">
        <f t="shared" si="1703"/>
        <v>39426.00557660011</v>
      </c>
      <c r="CH643" s="589">
        <f t="shared" si="1684"/>
        <v>1.0046950380874853E-3</v>
      </c>
      <c r="CI643" s="196">
        <f t="shared" si="1736"/>
        <v>57664.350643771628</v>
      </c>
      <c r="CJ643" s="248">
        <f t="shared" si="1686"/>
        <v>9.4800177821213099E-4</v>
      </c>
      <c r="CK643" s="196">
        <f t="shared" si="1737"/>
        <v>61188.39025793464</v>
      </c>
      <c r="CL643" s="589">
        <f t="shared" si="1688"/>
        <v>8.7959569587272375E-4</v>
      </c>
      <c r="CM643" s="196">
        <f t="shared" si="1738"/>
        <v>5927.6275729423069</v>
      </c>
      <c r="CN643" s="589">
        <f t="shared" si="1690"/>
        <v>8.5423849867984005E-4</v>
      </c>
      <c r="CO643" s="196">
        <f t="shared" si="1739"/>
        <v>474.20329778239039</v>
      </c>
      <c r="CP643" s="589">
        <f t="shared" si="1692"/>
        <v>8.9427437886342026E-4</v>
      </c>
      <c r="CQ643" s="196">
        <f>'Detailed Budget'!$AC$12</f>
        <v>292876014141.44696</v>
      </c>
      <c r="CR643" s="269">
        <f t="shared" si="1701"/>
        <v>804799093.76245356</v>
      </c>
      <c r="CS643" s="269">
        <f>'Detailed Budget'!$AC$16</f>
        <v>10488008800.000002</v>
      </c>
      <c r="CT643" s="607">
        <f t="shared" si="1705"/>
        <v>28820178.520243417</v>
      </c>
      <c r="CU643" s="269">
        <f>'Detailed Budget'!$AC$24</f>
        <v>30624985696</v>
      </c>
      <c r="CV643" s="269">
        <f t="shared" si="1589"/>
        <v>84154930.907812223</v>
      </c>
      <c r="CW643" s="269"/>
      <c r="CX643" s="269">
        <f t="shared" si="1660"/>
        <v>917774203.1905092</v>
      </c>
      <c r="CY643" s="196">
        <f>'Detailed Budget'!$AC$97</f>
        <v>74629165494.837845</v>
      </c>
      <c r="CZ643" s="269">
        <f t="shared" si="1706"/>
        <v>0</v>
      </c>
      <c r="DA643" s="269">
        <f>'Detailed Budget'!$AC$100</f>
        <v>14925833098.967569</v>
      </c>
      <c r="DB643" s="269">
        <f t="shared" si="1707"/>
        <v>0</v>
      </c>
      <c r="DC643" s="269">
        <f t="shared" si="1661"/>
        <v>0</v>
      </c>
      <c r="DD643" s="207">
        <v>0</v>
      </c>
      <c r="DE643" s="606">
        <v>0</v>
      </c>
      <c r="DF643" s="269">
        <f>'Detailed Budget'!$AC$147</f>
        <v>5913600671000</v>
      </c>
      <c r="DG643" s="269">
        <f t="shared" si="1584"/>
        <v>0</v>
      </c>
      <c r="DH643" s="269">
        <f>'Detailed Budget'!$AC$153</f>
        <v>226428026880.00003</v>
      </c>
      <c r="DI643" s="269"/>
      <c r="DJ643" s="269">
        <f>'Detailed Budget'!$AC$156</f>
        <v>27713070000</v>
      </c>
      <c r="DK643" s="269"/>
      <c r="DL643" s="269"/>
      <c r="DM643" s="196">
        <f>'Detailed Budget'!$AC$178</f>
        <v>5622683761.6229038</v>
      </c>
      <c r="DN643" s="269">
        <f t="shared" si="1740"/>
        <v>0</v>
      </c>
      <c r="DO643" s="196">
        <f>'Detailed Budget'!$AC$179</f>
        <v>26827890683.128094</v>
      </c>
      <c r="DP643" s="269">
        <f t="shared" si="1741"/>
        <v>0</v>
      </c>
      <c r="DQ643" s="269">
        <f t="shared" si="1700"/>
        <v>0</v>
      </c>
      <c r="DR643" s="269">
        <f>'Detailed Budget'!$AC$181</f>
        <v>50888946855.375237</v>
      </c>
      <c r="DS643" s="269">
        <f t="shared" si="1742"/>
        <v>0</v>
      </c>
      <c r="DT643" s="269">
        <f t="shared" si="1743"/>
        <v>0</v>
      </c>
      <c r="DU643" s="272">
        <f>'Detailed Budget'!$AC$192</f>
        <v>77498869683.252869</v>
      </c>
      <c r="DV643" s="269">
        <f t="shared" si="1708"/>
        <v>77862729.828152806</v>
      </c>
      <c r="DW643" s="140">
        <f>'Detailed Budget'!$AC$194</f>
        <v>2684962805.4134097</v>
      </c>
      <c r="DX643" s="269">
        <f t="shared" si="1709"/>
        <v>2697568.808048307</v>
      </c>
      <c r="DY643" s="607">
        <f t="shared" si="1648"/>
        <v>80560298.636201113</v>
      </c>
      <c r="DZ643" s="196">
        <f>'Detailed Budget'!$AC$198</f>
        <v>18732540018.380611</v>
      </c>
      <c r="EA643" s="269">
        <f t="shared" si="1710"/>
        <v>14827765.482959859</v>
      </c>
      <c r="EB643" s="196">
        <f>'Detailed Budget'!$AC$200</f>
        <v>4683135004.5951529</v>
      </c>
      <c r="EC643" s="269">
        <f t="shared" si="1711"/>
        <v>3706941.3707399648</v>
      </c>
      <c r="ED643" s="269">
        <f t="shared" si="1649"/>
        <v>18534706.853699826</v>
      </c>
      <c r="EE643" s="196">
        <f>'Detailed Budget'!$AC$161</f>
        <v>251147290106.36197</v>
      </c>
      <c r="EF643" s="269">
        <f t="shared" si="1712"/>
        <v>252326436.19898006</v>
      </c>
      <c r="EG643" s="196">
        <f>'Detailed Budget'!$AC$163</f>
        <v>15696705631.647623</v>
      </c>
      <c r="EH643" s="269">
        <f t="shared" si="1713"/>
        <v>15770402.262436254</v>
      </c>
      <c r="EI643" s="269">
        <f t="shared" si="1650"/>
        <v>268096838.4614163</v>
      </c>
      <c r="EJ643" s="196">
        <f>'Detailed Budget'!$AC$204</f>
        <v>45012172507.531975</v>
      </c>
      <c r="EK643" s="269">
        <f t="shared" si="1714"/>
        <v>42671619.578331508</v>
      </c>
      <c r="EL643" s="201">
        <f>'Detailed Budget'!$AC$206</f>
        <v>11253043126.882994</v>
      </c>
      <c r="EM643" s="269">
        <f t="shared" si="1715"/>
        <v>10667904.894582877</v>
      </c>
      <c r="EN643" s="269">
        <f t="shared" si="1651"/>
        <v>53339524.472914383</v>
      </c>
      <c r="EO643" s="140">
        <f>'Detailed Budget'!$AC$209</f>
        <v>135789361677.54817</v>
      </c>
      <c r="EP643" s="269">
        <f t="shared" si="1716"/>
        <v>119439738.07687595</v>
      </c>
      <c r="EQ643" s="196">
        <f>'Detailed Budget'!$AC$211</f>
        <v>33947340419.387043</v>
      </c>
      <c r="ER643" s="269">
        <f t="shared" si="1717"/>
        <v>29859934.519218989</v>
      </c>
      <c r="ES643" s="269">
        <f t="shared" si="1652"/>
        <v>149299672.59609494</v>
      </c>
      <c r="ET643" s="196">
        <f>'Detailed Budget'!$AC$214</f>
        <v>22239745544.201103</v>
      </c>
      <c r="EU643" s="269">
        <f t="shared" si="1718"/>
        <v>18998046.844700012</v>
      </c>
      <c r="EV643" s="140">
        <f>'Detailed Budget'!$AC$217</f>
        <v>5559936386.0502758</v>
      </c>
      <c r="EW643" s="269">
        <f t="shared" si="1719"/>
        <v>4749511.7111750031</v>
      </c>
      <c r="EX643" s="269">
        <f t="shared" si="1653"/>
        <v>23747558.555875015</v>
      </c>
      <c r="EY643" s="196">
        <f>'Detailed Budget'!$AC$219</f>
        <v>372777004.58170313</v>
      </c>
      <c r="EZ643" s="269">
        <f t="shared" si="1720"/>
        <v>333364.92422686896</v>
      </c>
      <c r="FA643" s="196">
        <f>'Detailed Budget'!$AC$222</f>
        <v>93194251.145425782</v>
      </c>
      <c r="FB643" s="269">
        <f t="shared" si="1721"/>
        <v>83341.231056717239</v>
      </c>
      <c r="FC643" s="269">
        <f t="shared" si="1654"/>
        <v>416706.15528358618</v>
      </c>
      <c r="FD643" s="269"/>
      <c r="FE643" s="269">
        <f t="shared" si="1663"/>
        <v>226803461.78016791</v>
      </c>
      <c r="FF643" s="140">
        <f>'Detailed Budget'!$AC$165</f>
        <v>14927760000</v>
      </c>
      <c r="FG643" s="1087">
        <f t="shared" si="1585"/>
        <v>309374934.86325502</v>
      </c>
      <c r="FH643" s="269">
        <f t="shared" si="1722"/>
        <v>18657579.820474949</v>
      </c>
      <c r="FJ643" s="140">
        <f>'Detailed Budget'!$AC$235</f>
        <v>3623696172</v>
      </c>
      <c r="FK643" s="269">
        <f t="shared" si="1723"/>
        <v>4681778</v>
      </c>
      <c r="FL643" s="269">
        <f t="shared" si="1586"/>
        <v>4681778</v>
      </c>
      <c r="FO643" s="607"/>
      <c r="FP643" s="607"/>
      <c r="FQ643" s="607"/>
      <c r="FR643" s="269">
        <f>'Detailed Budget'!$AC$257</f>
        <v>13636439388</v>
      </c>
      <c r="FS643" s="269">
        <f t="shared" si="1724"/>
        <v>11492364</v>
      </c>
      <c r="FT643" s="269">
        <f t="shared" si="1587"/>
        <v>11492364</v>
      </c>
      <c r="FU643" s="269"/>
      <c r="FV643" s="269"/>
      <c r="FW643" s="269"/>
      <c r="FX643" s="140">
        <f>'Detailed Budget'!$AC$278</f>
        <v>1114560000</v>
      </c>
      <c r="FY643" s="269">
        <f t="shared" si="1725"/>
        <v>1440000</v>
      </c>
      <c r="FZ643" s="269">
        <f t="shared" si="1588"/>
        <v>1440000</v>
      </c>
      <c r="GB643" s="269">
        <f t="shared" si="1596"/>
        <v>1857416165.6057241</v>
      </c>
      <c r="GC643" s="887">
        <f t="shared" si="1668"/>
        <v>1160885.1035035776</v>
      </c>
      <c r="GD643" s="1078">
        <f t="shared" si="1597"/>
        <v>1.0422546988902461E-3</v>
      </c>
    </row>
    <row r="644" spans="1:186" hidden="1" outlineLevel="1">
      <c r="A644" s="211" t="s">
        <v>1389</v>
      </c>
      <c r="B644" s="212" t="s">
        <v>1390</v>
      </c>
      <c r="C644" s="213" t="s">
        <v>215</v>
      </c>
      <c r="D644" s="214"/>
      <c r="E644" s="213"/>
      <c r="F644" s="213"/>
      <c r="G644" s="213" t="s">
        <v>215</v>
      </c>
      <c r="H644" s="213" t="s">
        <v>215</v>
      </c>
      <c r="I644" s="214" t="s">
        <v>215</v>
      </c>
      <c r="J644" s="214"/>
      <c r="K644" s="213" t="s">
        <v>215</v>
      </c>
      <c r="L644" s="213"/>
      <c r="M644" s="214"/>
      <c r="N644" s="213"/>
      <c r="O644" s="214"/>
      <c r="P644" s="213"/>
      <c r="Q644" s="214"/>
      <c r="R644" s="214" t="s">
        <v>215</v>
      </c>
      <c r="S644" s="214"/>
      <c r="T644" s="214"/>
      <c r="U644" s="215">
        <f t="shared" si="1726"/>
        <v>6</v>
      </c>
      <c r="V644" s="845" t="s">
        <v>216</v>
      </c>
      <c r="W644" s="216">
        <v>86016</v>
      </c>
      <c r="X644" s="217">
        <v>3.22</v>
      </c>
      <c r="Y644" s="218">
        <f t="shared" si="1598"/>
        <v>1.0322</v>
      </c>
      <c r="Z644" s="196">
        <v>19</v>
      </c>
      <c r="AA644" s="218">
        <f t="shared" si="1599"/>
        <v>1.8260524174418462</v>
      </c>
      <c r="AB644" s="196">
        <f t="shared" si="1619"/>
        <v>157069.72473867785</v>
      </c>
      <c r="AC644">
        <v>12.7</v>
      </c>
      <c r="AD644" s="196">
        <f t="shared" si="1620"/>
        <v>19947.855041812087</v>
      </c>
      <c r="AE644" s="196">
        <f t="shared" si="1600"/>
        <v>18950.462289721483</v>
      </c>
      <c r="AF644" s="196">
        <f t="shared" si="1727"/>
        <v>0</v>
      </c>
      <c r="AG644" s="606">
        <f t="shared" si="1671"/>
        <v>8.7618618218843788E-4</v>
      </c>
      <c r="AH644" s="196">
        <f t="shared" si="1744"/>
        <v>7853.4862369338925</v>
      </c>
      <c r="AI644" s="248">
        <f t="shared" si="1644"/>
        <v>6.0839767958135202E-4</v>
      </c>
      <c r="AJ644" s="196">
        <f t="shared" si="1672"/>
        <v>27801.341278745978</v>
      </c>
      <c r="AK644" s="196">
        <f t="shared" si="1698"/>
        <v>6282.7889895471144</v>
      </c>
      <c r="AL644" s="196">
        <f t="shared" si="1699"/>
        <v>6282.7889895471144</v>
      </c>
      <c r="AM644" s="196">
        <f t="shared" si="1656"/>
        <v>12565.577979094229</v>
      </c>
      <c r="AN644" s="627">
        <f t="shared" si="1657"/>
        <v>6.0839767958135202E-4</v>
      </c>
      <c r="AO644" s="196">
        <f t="shared" si="1658"/>
        <v>5968.6495400697577</v>
      </c>
      <c r="AP644" s="589">
        <f t="shared" si="1673"/>
        <v>6.0839767958135191E-4</v>
      </c>
      <c r="AQ644" s="196"/>
      <c r="AR644" s="589"/>
      <c r="AS644">
        <v>1</v>
      </c>
      <c r="AT644" s="589">
        <f t="shared" si="1674"/>
        <v>1.2919896640826874E-3</v>
      </c>
      <c r="AU644" s="196">
        <v>10</v>
      </c>
      <c r="AV644" s="245">
        <f t="shared" si="1645"/>
        <v>1.1362345188046814E-3</v>
      </c>
      <c r="AX644" s="245"/>
      <c r="AY644" s="245"/>
      <c r="AZ644" s="196">
        <v>10</v>
      </c>
      <c r="BA644" s="589">
        <f t="shared" si="1590"/>
        <v>3.6642116448646071E-4</v>
      </c>
      <c r="BI644" s="196">
        <v>1</v>
      </c>
      <c r="BJ644" s="196">
        <f t="shared" si="1728"/>
        <v>87260.965160162625</v>
      </c>
      <c r="BK644" s="246">
        <f t="shared" si="1591"/>
        <v>1.6640139577335715E-3</v>
      </c>
      <c r="BL644" s="196">
        <f t="shared" si="1745"/>
        <v>1745.2193032032526</v>
      </c>
      <c r="BM644" s="246">
        <f t="shared" si="1592"/>
        <v>1.66401376734314E-3</v>
      </c>
      <c r="BN644" s="196">
        <v>0</v>
      </c>
      <c r="BO644" s="196">
        <f t="shared" si="1729"/>
        <v>8058.3352373543121</v>
      </c>
      <c r="BP644" s="196">
        <f t="shared" si="1676"/>
        <v>0</v>
      </c>
      <c r="BQ644" s="248">
        <f t="shared" si="1593"/>
        <v>0</v>
      </c>
      <c r="BR644" s="248"/>
      <c r="BS644" s="248"/>
      <c r="BT644" s="276">
        <v>0</v>
      </c>
      <c r="BU644" s="196">
        <f t="shared" si="1730"/>
        <v>0</v>
      </c>
      <c r="BV644" s="264">
        <f t="shared" si="1594"/>
        <v>0</v>
      </c>
      <c r="BW644" s="196">
        <f t="shared" si="1731"/>
        <v>0</v>
      </c>
      <c r="BX644" s="247">
        <f t="shared" si="1595"/>
        <v>0</v>
      </c>
      <c r="BY644" s="196">
        <f t="shared" si="1732"/>
        <v>0</v>
      </c>
      <c r="BZ644" s="620">
        <v>1</v>
      </c>
      <c r="CA644" s="196">
        <f t="shared" si="1733"/>
        <v>48063.335770035425</v>
      </c>
      <c r="CB644" s="196">
        <f t="shared" si="1734"/>
        <v>96126.671540070849</v>
      </c>
      <c r="CC644" s="196">
        <f t="shared" si="1682"/>
        <v>144190.00731010627</v>
      </c>
      <c r="CD644" s="247">
        <f t="shared" si="1646"/>
        <v>6.0839767958135202E-4</v>
      </c>
      <c r="CE644" s="196">
        <f t="shared" si="1735"/>
        <v>11099.883359316213</v>
      </c>
      <c r="CF644" s="247">
        <f t="shared" si="1647"/>
        <v>4.793274834894221E-4</v>
      </c>
      <c r="CG644" s="196">
        <f t="shared" si="1703"/>
        <v>23874.598160279031</v>
      </c>
      <c r="CH644" s="589">
        <f t="shared" si="1684"/>
        <v>6.0839767958135191E-4</v>
      </c>
      <c r="CI644" s="196">
        <f t="shared" si="1736"/>
        <v>34918.911506738434</v>
      </c>
      <c r="CJ644" s="248">
        <f t="shared" si="1686"/>
        <v>5.7406681653486341E-4</v>
      </c>
      <c r="CK644" s="196">
        <f t="shared" si="1737"/>
        <v>37052.909827354051</v>
      </c>
      <c r="CL644" s="589">
        <f t="shared" si="1688"/>
        <v>5.3264320022660577E-4</v>
      </c>
      <c r="CM644" s="196">
        <f t="shared" si="1738"/>
        <v>3589.5020121384455</v>
      </c>
      <c r="CN644" s="589">
        <f t="shared" si="1690"/>
        <v>5.1728803338692048E-4</v>
      </c>
      <c r="CO644" s="196">
        <f t="shared" si="1739"/>
        <v>287.15597776796153</v>
      </c>
      <c r="CP644" s="589">
        <f t="shared" si="1692"/>
        <v>5.4153194390732485E-4</v>
      </c>
      <c r="CQ644" s="196">
        <f>'Detailed Budget'!$AC$12</f>
        <v>292876014141.44696</v>
      </c>
      <c r="CR644" s="269">
        <f t="shared" si="1701"/>
        <v>487349775.41674262</v>
      </c>
      <c r="CS644" s="269">
        <f>'Detailed Budget'!$AC$16</f>
        <v>10488008800.000002</v>
      </c>
      <c r="CT644" s="607">
        <f t="shared" si="1705"/>
        <v>17452191.035216007</v>
      </c>
      <c r="CU644" s="269">
        <f>'Detailed Budget'!$AC$24</f>
        <v>30624985696</v>
      </c>
      <c r="CV644" s="269">
        <f t="shared" si="1589"/>
        <v>50960403.653534979</v>
      </c>
      <c r="CW644" s="269"/>
      <c r="CX644" s="269">
        <f t="shared" si="1660"/>
        <v>555762370.10549366</v>
      </c>
      <c r="CY644" s="196">
        <f>'Detailed Budget'!$AC$97</f>
        <v>74629165494.837845</v>
      </c>
      <c r="CZ644" s="269">
        <f t="shared" si="1706"/>
        <v>0</v>
      </c>
      <c r="DA644" s="269">
        <f>'Detailed Budget'!$AC$100</f>
        <v>14925833098.967569</v>
      </c>
      <c r="DB644" s="269">
        <f t="shared" si="1707"/>
        <v>0</v>
      </c>
      <c r="DC644" s="269">
        <f t="shared" si="1661"/>
        <v>0</v>
      </c>
      <c r="DD644" s="207">
        <v>0</v>
      </c>
      <c r="DE644" s="606">
        <v>0</v>
      </c>
      <c r="DF644" s="269">
        <f>'Detailed Budget'!$AC$147</f>
        <v>5913600671000</v>
      </c>
      <c r="DG644" s="269">
        <f t="shared" si="1584"/>
        <v>0</v>
      </c>
      <c r="DH644" s="269">
        <f>'Detailed Budget'!$AC$153</f>
        <v>226428026880.00003</v>
      </c>
      <c r="DI644" s="269"/>
      <c r="DJ644" s="269">
        <f>'Detailed Budget'!$AC$156</f>
        <v>27713070000</v>
      </c>
      <c r="DK644" s="269"/>
      <c r="DL644" s="269"/>
      <c r="DM644" s="196">
        <f>'Detailed Budget'!$AC$178</f>
        <v>5622683761.6229038</v>
      </c>
      <c r="DN644" s="269">
        <f t="shared" si="1740"/>
        <v>0</v>
      </c>
      <c r="DO644" s="196">
        <f>'Detailed Budget'!$AC$179</f>
        <v>26827890683.128094</v>
      </c>
      <c r="DP644" s="269">
        <f t="shared" si="1741"/>
        <v>0</v>
      </c>
      <c r="DQ644" s="269">
        <f t="shared" si="1700"/>
        <v>0</v>
      </c>
      <c r="DR644" s="269">
        <f>'Detailed Budget'!$AC$181</f>
        <v>50888946855.375237</v>
      </c>
      <c r="DS644" s="269">
        <f t="shared" si="1742"/>
        <v>0</v>
      </c>
      <c r="DT644" s="269">
        <f t="shared" si="1743"/>
        <v>0</v>
      </c>
      <c r="DU644" s="272">
        <f>'Detailed Budget'!$AC$192</f>
        <v>77498869683.252869</v>
      </c>
      <c r="DV644" s="269">
        <f t="shared" si="1708"/>
        <v>47150132.485468633</v>
      </c>
      <c r="DW644" s="140">
        <f>'Detailed Budget'!$AC$194</f>
        <v>2684962805.4134097</v>
      </c>
      <c r="DX644" s="269">
        <f t="shared" si="1709"/>
        <v>1633525.1405757556</v>
      </c>
      <c r="DY644" s="607">
        <f t="shared" si="1648"/>
        <v>48783657.626044393</v>
      </c>
      <c r="DZ644" s="196">
        <f>'Detailed Budget'!$AC$198</f>
        <v>18732540018.380611</v>
      </c>
      <c r="EA644" s="269">
        <f t="shared" si="1710"/>
        <v>8979021.2663752716</v>
      </c>
      <c r="EB644" s="196">
        <f>'Detailed Budget'!$AC$200</f>
        <v>4683135004.5951529</v>
      </c>
      <c r="EC644" s="269">
        <f t="shared" si="1711"/>
        <v>2244755.3165938179</v>
      </c>
      <c r="ED644" s="269">
        <f t="shared" si="1649"/>
        <v>11223776.58296909</v>
      </c>
      <c r="EE644" s="196">
        <f>'Detailed Budget'!$AC$161</f>
        <v>251147290106.36197</v>
      </c>
      <c r="EF644" s="269">
        <f t="shared" si="1712"/>
        <v>152797428.53385523</v>
      </c>
      <c r="EG644" s="196">
        <f>'Detailed Budget'!$AC$163</f>
        <v>15696705631.647623</v>
      </c>
      <c r="EH644" s="269">
        <f t="shared" si="1713"/>
        <v>9549839.2833659519</v>
      </c>
      <c r="EI644" s="269">
        <f t="shared" si="1650"/>
        <v>162347267.81722119</v>
      </c>
      <c r="EJ644" s="196">
        <f>'Detailed Budget'!$AC$204</f>
        <v>45012172507.531975</v>
      </c>
      <c r="EK644" s="269">
        <f t="shared" si="1714"/>
        <v>25839994.576716982</v>
      </c>
      <c r="EL644" s="201">
        <f>'Detailed Budget'!$AC$206</f>
        <v>11253043126.882994</v>
      </c>
      <c r="EM644" s="269">
        <f t="shared" si="1715"/>
        <v>6459998.6441792455</v>
      </c>
      <c r="EN644" s="269">
        <f t="shared" si="1651"/>
        <v>32299993.220896229</v>
      </c>
      <c r="EO644" s="140">
        <f>'Detailed Budget'!$AC$209</f>
        <v>135789361677.54817</v>
      </c>
      <c r="EP644" s="269">
        <f t="shared" si="1716"/>
        <v>72327280.160657272</v>
      </c>
      <c r="EQ644" s="196">
        <f>'Detailed Budget'!$AC$211</f>
        <v>33947340419.387043</v>
      </c>
      <c r="ER644" s="269">
        <f t="shared" si="1717"/>
        <v>18081820.040164318</v>
      </c>
      <c r="ES644" s="269">
        <f t="shared" si="1652"/>
        <v>90409100.200821593</v>
      </c>
      <c r="ET644" s="196">
        <f>'Detailed Budget'!$AC$214</f>
        <v>22239745544.201103</v>
      </c>
      <c r="EU644" s="269">
        <f t="shared" si="1718"/>
        <v>11504354.235585317</v>
      </c>
      <c r="EV644" s="140">
        <f>'Detailed Budget'!$AC$217</f>
        <v>5559936386.0502758</v>
      </c>
      <c r="EW644" s="269">
        <f t="shared" si="1719"/>
        <v>2876088.5588963293</v>
      </c>
      <c r="EX644" s="269">
        <f t="shared" si="1653"/>
        <v>14380442.794481646</v>
      </c>
      <c r="EY644" s="196">
        <f>'Detailed Budget'!$AC$219</f>
        <v>372777004.58170313</v>
      </c>
      <c r="EZ644" s="269">
        <f t="shared" si="1720"/>
        <v>201870.65593507944</v>
      </c>
      <c r="FA644" s="196">
        <f>'Detailed Budget'!$AC$222</f>
        <v>93194251.145425782</v>
      </c>
      <c r="FB644" s="269">
        <f t="shared" si="1721"/>
        <v>50467.66398376986</v>
      </c>
      <c r="FC644" s="269">
        <f t="shared" si="1654"/>
        <v>252338.3199188493</v>
      </c>
      <c r="FD644" s="269"/>
      <c r="FE644" s="269">
        <f t="shared" si="1663"/>
        <v>137341874.5361183</v>
      </c>
      <c r="FF644" s="140">
        <f>'Detailed Budget'!$AC$165</f>
        <v>14927760000</v>
      </c>
      <c r="FG644" s="1087">
        <f t="shared" si="1585"/>
        <v>187343408.0551779</v>
      </c>
      <c r="FH644" s="269">
        <f t="shared" si="1722"/>
        <v>16961436.200431772</v>
      </c>
      <c r="FJ644" s="140">
        <f>'Detailed Budget'!$AC$235</f>
        <v>3623696172</v>
      </c>
      <c r="FK644" s="269">
        <f t="shared" si="1723"/>
        <v>4681778</v>
      </c>
      <c r="FL644" s="269">
        <f t="shared" si="1586"/>
        <v>4681778</v>
      </c>
      <c r="FO644" s="607"/>
      <c r="FP644" s="607"/>
      <c r="FQ644" s="607"/>
      <c r="FR644" s="269">
        <f>'Detailed Budget'!$AC$257</f>
        <v>13636439388</v>
      </c>
      <c r="FS644" s="269">
        <f t="shared" si="1724"/>
        <v>4996680</v>
      </c>
      <c r="FT644" s="269">
        <f t="shared" si="1587"/>
        <v>4996680</v>
      </c>
      <c r="FU644" s="269"/>
      <c r="FV644" s="269"/>
      <c r="FW644" s="269"/>
      <c r="FX644" s="140">
        <f>'Detailed Budget'!$AC$278</f>
        <v>1114560000</v>
      </c>
      <c r="FY644" s="269">
        <f t="shared" si="1725"/>
        <v>1440000</v>
      </c>
      <c r="FZ644" s="269">
        <f t="shared" si="1588"/>
        <v>1440000</v>
      </c>
      <c r="GB644" s="269">
        <f t="shared" si="1596"/>
        <v>1130882248.9234562</v>
      </c>
      <c r="GC644" s="887">
        <f t="shared" si="1668"/>
        <v>706801.40557716007</v>
      </c>
      <c r="GD644" s="1078">
        <f t="shared" si="1597"/>
        <v>6.3457364033852074E-4</v>
      </c>
    </row>
    <row r="645" spans="1:186" hidden="1" outlineLevel="1">
      <c r="A645" s="211" t="s">
        <v>1391</v>
      </c>
      <c r="B645" s="212" t="s">
        <v>1392</v>
      </c>
      <c r="C645" s="213" t="s">
        <v>215</v>
      </c>
      <c r="D645" s="214"/>
      <c r="E645" s="213"/>
      <c r="F645" s="213"/>
      <c r="G645" s="213" t="s">
        <v>215</v>
      </c>
      <c r="H645" s="213" t="s">
        <v>215</v>
      </c>
      <c r="I645" s="214" t="s">
        <v>215</v>
      </c>
      <c r="J645" s="214"/>
      <c r="K645" s="213" t="s">
        <v>215</v>
      </c>
      <c r="L645" s="213"/>
      <c r="M645" s="214"/>
      <c r="N645" s="213"/>
      <c r="O645" s="214"/>
      <c r="P645" s="213"/>
      <c r="Q645" s="214"/>
      <c r="R645" s="214" t="s">
        <v>215</v>
      </c>
      <c r="S645" s="214"/>
      <c r="T645" s="214"/>
      <c r="U645" s="215">
        <f t="shared" si="1726"/>
        <v>6</v>
      </c>
      <c r="V645" s="845" t="s">
        <v>216</v>
      </c>
      <c r="W645" s="216">
        <v>207977</v>
      </c>
      <c r="X645" s="217">
        <v>3.22</v>
      </c>
      <c r="Y645" s="218">
        <f t="shared" si="1598"/>
        <v>1.0322</v>
      </c>
      <c r="Z645" s="196">
        <v>19</v>
      </c>
      <c r="AA645" s="218">
        <f t="shared" si="1599"/>
        <v>1.8260524174418462</v>
      </c>
      <c r="AB645" s="196">
        <f t="shared" ref="AB645:AB677" si="1746">W645*AA645</f>
        <v>379776.90362230287</v>
      </c>
      <c r="AC645">
        <v>12.7</v>
      </c>
      <c r="AD645" s="196">
        <f t="shared" ref="AD645:AD677" si="1747">AB645*AC645/100</f>
        <v>48231.666760032465</v>
      </c>
      <c r="AE645" s="196">
        <f t="shared" si="1600"/>
        <v>45820.083422030839</v>
      </c>
      <c r="AF645" s="196">
        <f t="shared" si="1727"/>
        <v>0</v>
      </c>
      <c r="AG645" s="606">
        <f t="shared" si="1671"/>
        <v>2.1185195034994042E-3</v>
      </c>
      <c r="AH645" s="196">
        <f t="shared" si="1744"/>
        <v>18988.845181115143</v>
      </c>
      <c r="AI645" s="248">
        <f t="shared" si="1644"/>
        <v>1.4710370652703084E-3</v>
      </c>
      <c r="AJ645" s="196">
        <f t="shared" si="1672"/>
        <v>67220.511941147604</v>
      </c>
      <c r="AK645" s="196">
        <f t="shared" si="1698"/>
        <v>15191.076144892115</v>
      </c>
      <c r="AL645" s="196">
        <f t="shared" si="1699"/>
        <v>15191.076144892115</v>
      </c>
      <c r="AM645" s="196">
        <f t="shared" si="1656"/>
        <v>30382.15228978423</v>
      </c>
      <c r="AN645" s="627">
        <f t="shared" si="1657"/>
        <v>1.4710370652703084E-3</v>
      </c>
      <c r="AO645" s="196">
        <f t="shared" si="1658"/>
        <v>14431.522337647508</v>
      </c>
      <c r="AP645" s="589">
        <f t="shared" si="1673"/>
        <v>1.4710370652703082E-3</v>
      </c>
      <c r="AQ645" s="196"/>
      <c r="AR645" s="589"/>
      <c r="AS645">
        <v>1</v>
      </c>
      <c r="AT645" s="589">
        <f t="shared" si="1674"/>
        <v>1.2919896640826874E-3</v>
      </c>
      <c r="AU645" s="196">
        <v>11</v>
      </c>
      <c r="AV645" s="245">
        <f t="shared" si="1645"/>
        <v>1.2498579706851495E-3</v>
      </c>
      <c r="AX645" s="245"/>
      <c r="AY645" s="245"/>
      <c r="AZ645" s="196">
        <v>21</v>
      </c>
      <c r="BA645" s="589">
        <f t="shared" si="1590"/>
        <v>7.6948444542156754E-4</v>
      </c>
      <c r="BI645" s="196">
        <v>1</v>
      </c>
      <c r="BJ645" s="196">
        <f t="shared" si="1728"/>
        <v>210987.18553658787</v>
      </c>
      <c r="BK645" s="246">
        <f t="shared" si="1591"/>
        <v>4.0233983315610469E-3</v>
      </c>
      <c r="BL645" s="196">
        <f t="shared" si="1745"/>
        <v>4219.7437107317573</v>
      </c>
      <c r="BM645" s="246">
        <f t="shared" si="1592"/>
        <v>4.023397871218427E-3</v>
      </c>
      <c r="BN645" s="196">
        <v>0</v>
      </c>
      <c r="BO645" s="196">
        <f t="shared" si="1729"/>
        <v>19484.146991946127</v>
      </c>
      <c r="BP645" s="196">
        <f t="shared" si="1676"/>
        <v>0</v>
      </c>
      <c r="BQ645" s="248">
        <f t="shared" si="1593"/>
        <v>0</v>
      </c>
      <c r="BR645" s="248"/>
      <c r="BS645" s="248"/>
      <c r="BT645" s="276">
        <v>0</v>
      </c>
      <c r="BU645" s="196">
        <f t="shared" si="1730"/>
        <v>0</v>
      </c>
      <c r="BV645" s="264">
        <f t="shared" si="1594"/>
        <v>0</v>
      </c>
      <c r="BW645" s="196">
        <f t="shared" si="1731"/>
        <v>0</v>
      </c>
      <c r="BX645" s="247">
        <f t="shared" si="1595"/>
        <v>0</v>
      </c>
      <c r="BY645" s="196">
        <f t="shared" si="1732"/>
        <v>0</v>
      </c>
      <c r="BZ645" s="620">
        <v>1</v>
      </c>
      <c r="CA645" s="196">
        <f t="shared" si="1733"/>
        <v>116211.73250842467</v>
      </c>
      <c r="CB645" s="196">
        <f t="shared" si="1734"/>
        <v>232423.46501684934</v>
      </c>
      <c r="CC645" s="196">
        <f t="shared" si="1682"/>
        <v>348635.19752527401</v>
      </c>
      <c r="CD645" s="247">
        <f t="shared" si="1646"/>
        <v>1.4710370652703082E-3</v>
      </c>
      <c r="CE645" s="196">
        <f t="shared" si="1735"/>
        <v>26838.267780651368</v>
      </c>
      <c r="CF645" s="247">
        <f t="shared" si="1647"/>
        <v>1.1589598683230974E-3</v>
      </c>
      <c r="CG645" s="196">
        <f t="shared" si="1703"/>
        <v>57726.089350590031</v>
      </c>
      <c r="CH645" s="589">
        <f t="shared" si="1684"/>
        <v>1.4710370652703082E-3</v>
      </c>
      <c r="CI645" s="196">
        <f t="shared" si="1736"/>
        <v>84429.995099015767</v>
      </c>
      <c r="CJ645" s="248">
        <f t="shared" si="1686"/>
        <v>1.3880289051161562E-3</v>
      </c>
      <c r="CK645" s="196">
        <f t="shared" si="1737"/>
        <v>89589.762685588896</v>
      </c>
      <c r="CL645" s="589">
        <f t="shared" si="1688"/>
        <v>1.2878712664333239E-3</v>
      </c>
      <c r="CM645" s="196">
        <f t="shared" si="1738"/>
        <v>8679.0115789913216</v>
      </c>
      <c r="CN645" s="589">
        <f t="shared" si="1690"/>
        <v>1.2507442024706052E-3</v>
      </c>
      <c r="CO645" s="196">
        <f t="shared" si="1739"/>
        <v>694.3108118053309</v>
      </c>
      <c r="CP645" s="589">
        <f t="shared" si="1692"/>
        <v>1.3093632475122503E-3</v>
      </c>
      <c r="CQ645" s="196">
        <f>'Detailed Budget'!$AC$12</f>
        <v>292876014141.44696</v>
      </c>
      <c r="CR645" s="269">
        <f t="shared" si="1701"/>
        <v>1178356866.6509473</v>
      </c>
      <c r="CS645" s="269">
        <f>'Detailed Budget'!$AC$16</f>
        <v>10488008800.000002</v>
      </c>
      <c r="CT645" s="607">
        <f t="shared" si="1705"/>
        <v>42197432.279240139</v>
      </c>
      <c r="CU645" s="269">
        <f>'Detailed Budget'!$AC$24</f>
        <v>30624985696</v>
      </c>
      <c r="CV645" s="269">
        <f t="shared" si="1589"/>
        <v>123216516.35336733</v>
      </c>
      <c r="CW645" s="269"/>
      <c r="CX645" s="269">
        <f t="shared" si="1660"/>
        <v>1343770815.2835548</v>
      </c>
      <c r="CY645" s="196">
        <f>'Detailed Budget'!$AC$97</f>
        <v>74629165494.837845</v>
      </c>
      <c r="CZ645" s="269">
        <f t="shared" si="1706"/>
        <v>0</v>
      </c>
      <c r="DA645" s="269">
        <f>'Detailed Budget'!$AC$100</f>
        <v>14925833098.967569</v>
      </c>
      <c r="DB645" s="269">
        <f t="shared" si="1707"/>
        <v>0</v>
      </c>
      <c r="DC645" s="269">
        <f t="shared" si="1661"/>
        <v>0</v>
      </c>
      <c r="DD645" s="207">
        <v>0</v>
      </c>
      <c r="DE645" s="606">
        <v>0</v>
      </c>
      <c r="DF645" s="269">
        <f>'Detailed Budget'!$AC$147</f>
        <v>5913600671000</v>
      </c>
      <c r="DG645" s="269">
        <f t="shared" si="1584"/>
        <v>0</v>
      </c>
      <c r="DH645" s="269">
        <f>'Detailed Budget'!$AC$153</f>
        <v>226428026880.00003</v>
      </c>
      <c r="DI645" s="269"/>
      <c r="DJ645" s="269">
        <f>'Detailed Budget'!$AC$156</f>
        <v>27713070000</v>
      </c>
      <c r="DK645" s="269"/>
      <c r="DL645" s="269"/>
      <c r="DM645" s="196">
        <f>'Detailed Budget'!$AC$178</f>
        <v>5622683761.6229038</v>
      </c>
      <c r="DN645" s="269">
        <f t="shared" si="1740"/>
        <v>0</v>
      </c>
      <c r="DO645" s="196">
        <f>'Detailed Budget'!$AC$179</f>
        <v>26827890683.128094</v>
      </c>
      <c r="DP645" s="269">
        <f t="shared" si="1741"/>
        <v>0</v>
      </c>
      <c r="DQ645" s="269">
        <f t="shared" si="1700"/>
        <v>0</v>
      </c>
      <c r="DR645" s="269">
        <f>'Detailed Budget'!$AC$181</f>
        <v>50888946855.375237</v>
      </c>
      <c r="DS645" s="269">
        <f t="shared" si="1742"/>
        <v>0</v>
      </c>
      <c r="DT645" s="269">
        <f t="shared" si="1743"/>
        <v>0</v>
      </c>
      <c r="DU645" s="272">
        <f>'Detailed Budget'!$AC$192</f>
        <v>77498869683.252869</v>
      </c>
      <c r="DV645" s="269">
        <f t="shared" si="1708"/>
        <v>114003709.82061836</v>
      </c>
      <c r="DW645" s="140">
        <f>'Detailed Budget'!$AC$194</f>
        <v>2684962805.4134097</v>
      </c>
      <c r="DX645" s="269">
        <f t="shared" si="1709"/>
        <v>3949679.8056352763</v>
      </c>
      <c r="DY645" s="607">
        <f t="shared" si="1648"/>
        <v>117953389.62625363</v>
      </c>
      <c r="DZ645" s="196">
        <f>'Detailed Budget'!$AC$198</f>
        <v>18732540018.380611</v>
      </c>
      <c r="EA645" s="269">
        <f t="shared" si="1710"/>
        <v>21710262.113059547</v>
      </c>
      <c r="EB645" s="196">
        <f>'Detailed Budget'!$AC$200</f>
        <v>4683135004.5951529</v>
      </c>
      <c r="EC645" s="269">
        <f t="shared" si="1711"/>
        <v>5427565.5282648867</v>
      </c>
      <c r="ED645" s="269">
        <f t="shared" si="1649"/>
        <v>27137827.641324434</v>
      </c>
      <c r="EE645" s="196">
        <f>'Detailed Budget'!$AC$161</f>
        <v>251147290106.36197</v>
      </c>
      <c r="EF645" s="269">
        <f t="shared" si="1712"/>
        <v>369446972.58865339</v>
      </c>
      <c r="EG645" s="196">
        <f>'Detailed Budget'!$AC$163</f>
        <v>15696705631.647623</v>
      </c>
      <c r="EH645" s="269">
        <f t="shared" si="1713"/>
        <v>23090435.786790837</v>
      </c>
      <c r="EI645" s="269">
        <f t="shared" si="1650"/>
        <v>392537408.37544423</v>
      </c>
      <c r="EJ645" s="196">
        <f>'Detailed Budget'!$AC$204</f>
        <v>45012172507.531975</v>
      </c>
      <c r="EK645" s="269">
        <f t="shared" si="1714"/>
        <v>62478196.522529155</v>
      </c>
      <c r="EL645" s="201">
        <f>'Detailed Budget'!$AC$206</f>
        <v>11253043126.882994</v>
      </c>
      <c r="EM645" s="269">
        <f t="shared" si="1715"/>
        <v>15619549.130632289</v>
      </c>
      <c r="EN645" s="269">
        <f t="shared" si="1651"/>
        <v>78097745.653161436</v>
      </c>
      <c r="EO645" s="140">
        <f>'Detailed Budget'!$AC$209</f>
        <v>135789361677.54817</v>
      </c>
      <c r="EP645" s="269">
        <f t="shared" si="1716"/>
        <v>174879217.19183663</v>
      </c>
      <c r="EQ645" s="196">
        <f>'Detailed Budget'!$AC$211</f>
        <v>33947340419.387043</v>
      </c>
      <c r="ER645" s="269">
        <f t="shared" si="1717"/>
        <v>43719804.297959156</v>
      </c>
      <c r="ES645" s="269">
        <f t="shared" si="1652"/>
        <v>218599021.48979577</v>
      </c>
      <c r="ET645" s="196">
        <f>'Detailed Budget'!$AC$214</f>
        <v>22239745544.201103</v>
      </c>
      <c r="EU645" s="269">
        <f t="shared" si="1718"/>
        <v>27816232.803831004</v>
      </c>
      <c r="EV645" s="140">
        <f>'Detailed Budget'!$AC$217</f>
        <v>5559936386.0502758</v>
      </c>
      <c r="EW645" s="269">
        <f t="shared" si="1719"/>
        <v>6954058.2009577509</v>
      </c>
      <c r="EX645" s="269">
        <f t="shared" si="1653"/>
        <v>34770291.004788756</v>
      </c>
      <c r="EY645" s="196">
        <f>'Detailed Budget'!$AC$219</f>
        <v>372777004.58170313</v>
      </c>
      <c r="EZ645" s="269">
        <f t="shared" si="1720"/>
        <v>488100.50931698782</v>
      </c>
      <c r="FA645" s="196">
        <f>'Detailed Budget'!$AC$222</f>
        <v>93194251.145425782</v>
      </c>
      <c r="FB645" s="269">
        <f t="shared" si="1721"/>
        <v>122025.12732924696</v>
      </c>
      <c r="FC645" s="269">
        <f t="shared" si="1654"/>
        <v>610125.63664623478</v>
      </c>
      <c r="FD645" s="269"/>
      <c r="FE645" s="269">
        <f t="shared" si="1663"/>
        <v>332077183.78439218</v>
      </c>
      <c r="FF645" s="140">
        <f>'Detailed Budget'!$AC$165</f>
        <v>14927760000</v>
      </c>
      <c r="FG645" s="1087">
        <f t="shared" si="1585"/>
        <v>452975260.15034109</v>
      </c>
      <c r="FH645" s="269">
        <f t="shared" si="1722"/>
        <v>18657579.820474949</v>
      </c>
      <c r="FJ645" s="140">
        <f>'Detailed Budget'!$AC$235</f>
        <v>3623696172</v>
      </c>
      <c r="FK645" s="269">
        <f t="shared" si="1723"/>
        <v>4681778</v>
      </c>
      <c r="FL645" s="269">
        <f t="shared" si="1586"/>
        <v>4681778</v>
      </c>
      <c r="FO645" s="607"/>
      <c r="FP645" s="607"/>
      <c r="FQ645" s="607"/>
      <c r="FR645" s="269">
        <f>'Detailed Budget'!$AC$257</f>
        <v>13636439388</v>
      </c>
      <c r="FS645" s="269">
        <f t="shared" si="1724"/>
        <v>10493028</v>
      </c>
      <c r="FT645" s="269">
        <f t="shared" si="1587"/>
        <v>10493028</v>
      </c>
      <c r="FU645" s="269"/>
      <c r="FV645" s="269"/>
      <c r="FW645" s="269"/>
      <c r="FX645" s="140">
        <f>'Detailed Budget'!$AC$278</f>
        <v>1114560000</v>
      </c>
      <c r="FY645" s="269">
        <f t="shared" si="1725"/>
        <v>1440000</v>
      </c>
      <c r="FZ645" s="269">
        <f t="shared" si="1588"/>
        <v>1440000</v>
      </c>
      <c r="GB645" s="269">
        <f t="shared" si="1596"/>
        <v>2701724270.6817856</v>
      </c>
      <c r="GC645" s="887">
        <f t="shared" si="1668"/>
        <v>1688577.6691761159</v>
      </c>
      <c r="GD645" s="1078">
        <f t="shared" si="1597"/>
        <v>1.5160225631532728E-3</v>
      </c>
    </row>
    <row r="646" spans="1:186" hidden="1" outlineLevel="1">
      <c r="A646" s="211" t="s">
        <v>1393</v>
      </c>
      <c r="B646" s="212" t="s">
        <v>1394</v>
      </c>
      <c r="C646" s="213" t="s">
        <v>215</v>
      </c>
      <c r="D646" s="214"/>
      <c r="E646" s="213"/>
      <c r="F646" s="213"/>
      <c r="G646" s="213" t="s">
        <v>215</v>
      </c>
      <c r="H646" s="213" t="s">
        <v>215</v>
      </c>
      <c r="I646" s="214" t="s">
        <v>215</v>
      </c>
      <c r="J646" s="214"/>
      <c r="K646" s="213"/>
      <c r="L646" s="213"/>
      <c r="M646" s="214" t="s">
        <v>215</v>
      </c>
      <c r="N646" s="213"/>
      <c r="O646" s="214"/>
      <c r="P646" s="213"/>
      <c r="Q646" s="214"/>
      <c r="R646" s="214" t="s">
        <v>215</v>
      </c>
      <c r="S646" s="214"/>
      <c r="T646" s="214"/>
      <c r="U646" s="215">
        <f t="shared" si="1726"/>
        <v>6</v>
      </c>
      <c r="V646" s="845" t="s">
        <v>216</v>
      </c>
      <c r="W646" s="216">
        <v>200942</v>
      </c>
      <c r="X646" s="217">
        <v>3.22</v>
      </c>
      <c r="Y646" s="218">
        <f t="shared" si="1598"/>
        <v>1.0322</v>
      </c>
      <c r="Z646" s="196">
        <v>19</v>
      </c>
      <c r="AA646" s="218">
        <f t="shared" si="1599"/>
        <v>1.8260524174418462</v>
      </c>
      <c r="AB646" s="196">
        <f t="shared" si="1746"/>
        <v>366930.62486559944</v>
      </c>
      <c r="AC646">
        <v>12.7</v>
      </c>
      <c r="AD646" s="196">
        <f t="shared" si="1747"/>
        <v>46600.189357931129</v>
      </c>
      <c r="AE646" s="196">
        <f t="shared" si="1600"/>
        <v>44270.179890034568</v>
      </c>
      <c r="AF646" s="196">
        <f t="shared" si="1727"/>
        <v>0</v>
      </c>
      <c r="AG646" s="606">
        <f t="shared" si="1671"/>
        <v>2.0468587683838942E-3</v>
      </c>
      <c r="AH646" s="196">
        <f t="shared" si="1744"/>
        <v>18346.531243279973</v>
      </c>
      <c r="AI646" s="248">
        <f t="shared" si="1644"/>
        <v>1.4212779777068921E-3</v>
      </c>
      <c r="AJ646" s="196">
        <f t="shared" si="1672"/>
        <v>64946.720601211098</v>
      </c>
      <c r="AK646" s="196">
        <f t="shared" si="1698"/>
        <v>14677.224994623977</v>
      </c>
      <c r="AL646" s="196">
        <f t="shared" si="1699"/>
        <v>14677.224994623977</v>
      </c>
      <c r="AM646" s="196">
        <f t="shared" si="1656"/>
        <v>29354.449989247954</v>
      </c>
      <c r="AN646" s="627">
        <f t="shared" si="1657"/>
        <v>1.4212779777068919E-3</v>
      </c>
      <c r="AO646" s="196">
        <f t="shared" si="1658"/>
        <v>13943.363744892778</v>
      </c>
      <c r="AP646" s="589">
        <f t="shared" si="1673"/>
        <v>1.4212779777068919E-3</v>
      </c>
      <c r="AQ646" s="196"/>
      <c r="AR646" s="589"/>
      <c r="AS646">
        <v>1</v>
      </c>
      <c r="AT646" s="589">
        <f t="shared" si="1674"/>
        <v>1.2919896640826874E-3</v>
      </c>
      <c r="AU646" s="196">
        <v>11</v>
      </c>
      <c r="AV646" s="245">
        <f t="shared" si="1645"/>
        <v>1.2498579706851495E-3</v>
      </c>
      <c r="AX646" s="245"/>
      <c r="AY646" s="245"/>
      <c r="AZ646" s="196">
        <v>20</v>
      </c>
      <c r="BA646" s="589">
        <f t="shared" si="1590"/>
        <v>7.3284232897292143E-4</v>
      </c>
      <c r="BI646" s="196">
        <v>1</v>
      </c>
      <c r="BJ646" s="196">
        <f t="shared" si="1728"/>
        <v>203850.36343486558</v>
      </c>
      <c r="BK646" s="246">
        <f t="shared" si="1591"/>
        <v>3.8873034399983641E-3</v>
      </c>
      <c r="BL646" s="196">
        <f t="shared" si="1745"/>
        <v>4077.0072686973117</v>
      </c>
      <c r="BM646" s="246">
        <f t="shared" si="1592"/>
        <v>3.8873029952272279E-3</v>
      </c>
      <c r="BN646" s="196">
        <v>0</v>
      </c>
      <c r="BO646" s="196">
        <f t="shared" si="1729"/>
        <v>18825.07904650821</v>
      </c>
      <c r="BP646" s="196">
        <f t="shared" si="1676"/>
        <v>0</v>
      </c>
      <c r="BQ646" s="248">
        <f t="shared" si="1593"/>
        <v>0</v>
      </c>
      <c r="BR646" s="248"/>
      <c r="BS646" s="248"/>
      <c r="BT646" s="276">
        <v>0</v>
      </c>
      <c r="BU646" s="196">
        <f t="shared" si="1730"/>
        <v>0</v>
      </c>
      <c r="BV646" s="264">
        <f t="shared" si="1594"/>
        <v>0</v>
      </c>
      <c r="BW646" s="196">
        <f t="shared" si="1731"/>
        <v>0</v>
      </c>
      <c r="BX646" s="247">
        <f t="shared" si="1595"/>
        <v>0</v>
      </c>
      <c r="BY646" s="196">
        <f t="shared" si="1732"/>
        <v>0</v>
      </c>
      <c r="BZ646" s="620">
        <v>1</v>
      </c>
      <c r="CA646" s="196">
        <f t="shared" si="1733"/>
        <v>112280.77120887343</v>
      </c>
      <c r="CB646" s="196">
        <f t="shared" si="1734"/>
        <v>224561.54241774685</v>
      </c>
      <c r="CC646" s="196">
        <f t="shared" si="1682"/>
        <v>336842.31362662028</v>
      </c>
      <c r="CD646" s="247">
        <f t="shared" si="1646"/>
        <v>1.4212779777068919E-3</v>
      </c>
      <c r="CE646" s="196">
        <f t="shared" si="1735"/>
        <v>25930.440406293226</v>
      </c>
      <c r="CF646" s="247">
        <f t="shared" si="1647"/>
        <v>1.1197570590045043E-3</v>
      </c>
      <c r="CG646" s="196">
        <f t="shared" si="1703"/>
        <v>55773.454979571114</v>
      </c>
      <c r="CH646" s="589">
        <f t="shared" si="1684"/>
        <v>1.4212779777068919E-3</v>
      </c>
      <c r="CI646" s="196">
        <f t="shared" si="1736"/>
        <v>81574.078264358192</v>
      </c>
      <c r="CJ646" s="248">
        <f t="shared" si="1686"/>
        <v>1.341077639603661E-3</v>
      </c>
      <c r="CK646" s="196">
        <f t="shared" si="1737"/>
        <v>86559.312296877062</v>
      </c>
      <c r="CL646" s="589">
        <f t="shared" si="1688"/>
        <v>1.2443079187585402E-3</v>
      </c>
      <c r="CM646" s="196">
        <f t="shared" si="1738"/>
        <v>8385.4365853227719</v>
      </c>
      <c r="CN646" s="589">
        <f t="shared" si="1690"/>
        <v>1.2084367095056103E-3</v>
      </c>
      <c r="CO646" s="196">
        <f t="shared" si="1739"/>
        <v>670.82515444393744</v>
      </c>
      <c r="CP646" s="589">
        <f t="shared" si="1692"/>
        <v>1.2650729151858452E-3</v>
      </c>
      <c r="CQ646" s="196">
        <f>'Detailed Budget'!$AC$12</f>
        <v>292876014141.44696</v>
      </c>
      <c r="CR646" s="269">
        <f t="shared" si="1701"/>
        <v>1138497937.2650564</v>
      </c>
      <c r="CS646" s="269">
        <f>'Detailed Budget'!$AC$16</f>
        <v>10488008800.000002</v>
      </c>
      <c r="CT646" s="607">
        <f t="shared" si="1705"/>
        <v>40770068.022209533</v>
      </c>
      <c r="CU646" s="269">
        <f>'Detailed Budget'!$AC$24</f>
        <v>30624985696</v>
      </c>
      <c r="CV646" s="269">
        <f t="shared" si="1589"/>
        <v>119048612.24596149</v>
      </c>
      <c r="CW646" s="269"/>
      <c r="CX646" s="269">
        <f t="shared" si="1660"/>
        <v>1298316617.5332274</v>
      </c>
      <c r="CY646" s="196">
        <f>'Detailed Budget'!$AC$97</f>
        <v>74629165494.837845</v>
      </c>
      <c r="CZ646" s="269">
        <f t="shared" si="1706"/>
        <v>0</v>
      </c>
      <c r="DA646" s="269">
        <f>'Detailed Budget'!$AC$100</f>
        <v>14925833098.967569</v>
      </c>
      <c r="DB646" s="269">
        <f t="shared" si="1707"/>
        <v>0</v>
      </c>
      <c r="DC646" s="269">
        <f t="shared" si="1661"/>
        <v>0</v>
      </c>
      <c r="DD646" s="207">
        <v>0</v>
      </c>
      <c r="DE646" s="606">
        <v>0</v>
      </c>
      <c r="DF646" s="269">
        <f>'Detailed Budget'!$AC$147</f>
        <v>5913600671000</v>
      </c>
      <c r="DG646" s="269">
        <f t="shared" si="1584"/>
        <v>0</v>
      </c>
      <c r="DH646" s="269">
        <f>'Detailed Budget'!$AC$153</f>
        <v>226428026880.00003</v>
      </c>
      <c r="DI646" s="269"/>
      <c r="DJ646" s="269">
        <f>'Detailed Budget'!$AC$156</f>
        <v>27713070000</v>
      </c>
      <c r="DK646" s="269"/>
      <c r="DL646" s="269"/>
      <c r="DM646" s="196">
        <f>'Detailed Budget'!$AC$178</f>
        <v>5622683761.6229038</v>
      </c>
      <c r="DN646" s="269">
        <f t="shared" si="1740"/>
        <v>0</v>
      </c>
      <c r="DO646" s="196">
        <f>'Detailed Budget'!$AC$179</f>
        <v>26827890683.128094</v>
      </c>
      <c r="DP646" s="269">
        <f t="shared" si="1741"/>
        <v>0</v>
      </c>
      <c r="DQ646" s="269">
        <f t="shared" si="1700"/>
        <v>0</v>
      </c>
      <c r="DR646" s="269">
        <f>'Detailed Budget'!$AC$181</f>
        <v>50888946855.375237</v>
      </c>
      <c r="DS646" s="269">
        <f t="shared" si="1742"/>
        <v>0</v>
      </c>
      <c r="DT646" s="269">
        <f t="shared" si="1743"/>
        <v>0</v>
      </c>
      <c r="DU646" s="272">
        <f>'Detailed Budget'!$AC$192</f>
        <v>77498869683.252869</v>
      </c>
      <c r="DV646" s="269">
        <f t="shared" si="1708"/>
        <v>110147436.77798359</v>
      </c>
      <c r="DW646" s="140">
        <f>'Detailed Budget'!$AC$194</f>
        <v>2684962805.4134097</v>
      </c>
      <c r="DX646" s="269">
        <f t="shared" si="1709"/>
        <v>3816078.5062961942</v>
      </c>
      <c r="DY646" s="607">
        <f t="shared" si="1648"/>
        <v>113963515.28427978</v>
      </c>
      <c r="DZ646" s="196">
        <f>'Detailed Budget'!$AC$198</f>
        <v>18732540018.380611</v>
      </c>
      <c r="EA646" s="269">
        <f t="shared" si="1710"/>
        <v>20975893.918666057</v>
      </c>
      <c r="EB646" s="196">
        <f>'Detailed Budget'!$AC$200</f>
        <v>4683135004.5951529</v>
      </c>
      <c r="EC646" s="269">
        <f t="shared" si="1711"/>
        <v>5243973.4796665143</v>
      </c>
      <c r="ED646" s="269">
        <f t="shared" si="1649"/>
        <v>26219867.398332573</v>
      </c>
      <c r="EE646" s="196">
        <f>'Detailed Budget'!$AC$161</f>
        <v>251147290106.36197</v>
      </c>
      <c r="EF646" s="269">
        <f t="shared" si="1712"/>
        <v>356950112.58893621</v>
      </c>
      <c r="EG646" s="196">
        <f>'Detailed Budget'!$AC$163</f>
        <v>15696705631.647623</v>
      </c>
      <c r="EH646" s="269">
        <f t="shared" si="1713"/>
        <v>22309382.036808513</v>
      </c>
      <c r="EI646" s="269">
        <f t="shared" si="1650"/>
        <v>379259494.6257447</v>
      </c>
      <c r="EJ646" s="196">
        <f>'Detailed Budget'!$AC$204</f>
        <v>45012172507.531975</v>
      </c>
      <c r="EK646" s="269">
        <f t="shared" si="1714"/>
        <v>60364818.059833787</v>
      </c>
      <c r="EL646" s="201">
        <f>'Detailed Budget'!$AC$206</f>
        <v>11253043126.882994</v>
      </c>
      <c r="EM646" s="269">
        <f t="shared" si="1715"/>
        <v>15091204.514958447</v>
      </c>
      <c r="EN646" s="269">
        <f t="shared" si="1651"/>
        <v>75456022.574792236</v>
      </c>
      <c r="EO646" s="140">
        <f>'Detailed Budget'!$AC$209</f>
        <v>135789361677.54817</v>
      </c>
      <c r="EP646" s="269">
        <f t="shared" si="1716"/>
        <v>168963778.01854065</v>
      </c>
      <c r="EQ646" s="196">
        <f>'Detailed Budget'!$AC$211</f>
        <v>33947340419.387043</v>
      </c>
      <c r="ER646" s="269">
        <f t="shared" si="1717"/>
        <v>42240944.504635163</v>
      </c>
      <c r="ES646" s="269">
        <f t="shared" si="1652"/>
        <v>211204722.52317581</v>
      </c>
      <c r="ET646" s="196">
        <f>'Detailed Budget'!$AC$214</f>
        <v>22239745544.201103</v>
      </c>
      <c r="EU646" s="269">
        <f t="shared" si="1718"/>
        <v>26875324.925676439</v>
      </c>
      <c r="EV646" s="140">
        <f>'Detailed Budget'!$AC$217</f>
        <v>5559936386.0502758</v>
      </c>
      <c r="EW646" s="269">
        <f t="shared" si="1719"/>
        <v>6718831.2314191097</v>
      </c>
      <c r="EX646" s="269">
        <f t="shared" si="1653"/>
        <v>33594156.157095551</v>
      </c>
      <c r="EY646" s="196">
        <f>'Detailed Budget'!$AC$219</f>
        <v>372777004.58170313</v>
      </c>
      <c r="EZ646" s="269">
        <f t="shared" si="1720"/>
        <v>471590.09190042235</v>
      </c>
      <c r="FA646" s="196">
        <f>'Detailed Budget'!$AC$222</f>
        <v>93194251.145425782</v>
      </c>
      <c r="FB646" s="269">
        <f t="shared" si="1721"/>
        <v>117897.52297510559</v>
      </c>
      <c r="FC646" s="269">
        <f t="shared" si="1654"/>
        <v>589487.61487552791</v>
      </c>
      <c r="FD646" s="269"/>
      <c r="FE646" s="269">
        <f t="shared" si="1663"/>
        <v>320844388.86993915</v>
      </c>
      <c r="FF646" s="140">
        <f>'Detailed Budget'!$AC$165</f>
        <v>14927760000</v>
      </c>
      <c r="FG646" s="1087">
        <f t="shared" si="1585"/>
        <v>437652984.345047</v>
      </c>
      <c r="FH646" s="269">
        <f t="shared" si="1722"/>
        <v>18657579.820474949</v>
      </c>
      <c r="FJ646" s="140">
        <f>'Detailed Budget'!$AC$235</f>
        <v>3623696172</v>
      </c>
      <c r="FK646" s="269">
        <f t="shared" si="1723"/>
        <v>4681778</v>
      </c>
      <c r="FL646" s="269">
        <f t="shared" si="1586"/>
        <v>4681778</v>
      </c>
      <c r="FO646" s="607"/>
      <c r="FP646" s="607"/>
      <c r="FQ646" s="607"/>
      <c r="FR646" s="269">
        <f>'Detailed Budget'!$AC$257</f>
        <v>13636439388</v>
      </c>
      <c r="FS646" s="269">
        <f t="shared" si="1724"/>
        <v>9993360</v>
      </c>
      <c r="FT646" s="269">
        <f t="shared" si="1587"/>
        <v>9993360</v>
      </c>
      <c r="FU646" s="269"/>
      <c r="FV646" s="269"/>
      <c r="FW646" s="269"/>
      <c r="FX646" s="140">
        <f>'Detailed Budget'!$AC$278</f>
        <v>1114560000</v>
      </c>
      <c r="FY646" s="269">
        <f t="shared" si="1725"/>
        <v>1440000</v>
      </c>
      <c r="FZ646" s="269">
        <f t="shared" si="1588"/>
        <v>1440000</v>
      </c>
      <c r="GB646" s="269">
        <f t="shared" si="1596"/>
        <v>2611029585.8770461</v>
      </c>
      <c r="GC646" s="887">
        <f t="shared" si="1668"/>
        <v>1631893.4911731537</v>
      </c>
      <c r="GD646" s="1078">
        <f t="shared" si="1597"/>
        <v>1.465130919615066E-3</v>
      </c>
    </row>
    <row r="647" spans="1:186" hidden="1" outlineLevel="1">
      <c r="A647" s="211" t="s">
        <v>1395</v>
      </c>
      <c r="B647" s="212" t="s">
        <v>1396</v>
      </c>
      <c r="C647" s="213" t="s">
        <v>215</v>
      </c>
      <c r="D647" s="214"/>
      <c r="E647" s="213"/>
      <c r="F647" s="213"/>
      <c r="G647" s="213" t="s">
        <v>215</v>
      </c>
      <c r="H647" s="213" t="s">
        <v>215</v>
      </c>
      <c r="I647" s="214" t="s">
        <v>215</v>
      </c>
      <c r="J647" s="214"/>
      <c r="K647" s="213"/>
      <c r="L647" s="213"/>
      <c r="M647" s="214" t="s">
        <v>215</v>
      </c>
      <c r="N647" s="213"/>
      <c r="O647" s="214"/>
      <c r="P647" s="213"/>
      <c r="Q647" s="214"/>
      <c r="R647" s="214" t="s">
        <v>215</v>
      </c>
      <c r="S647" s="214"/>
      <c r="T647" s="214"/>
      <c r="U647" s="215">
        <f t="shared" si="1726"/>
        <v>6</v>
      </c>
      <c r="V647" s="845" t="s">
        <v>216</v>
      </c>
      <c r="W647" s="216">
        <v>202712</v>
      </c>
      <c r="X647" s="217">
        <v>3.22</v>
      </c>
      <c r="Y647" s="218">
        <f t="shared" si="1598"/>
        <v>1.0322</v>
      </c>
      <c r="Z647" s="196">
        <v>19</v>
      </c>
      <c r="AA647" s="218">
        <f t="shared" si="1599"/>
        <v>1.8260524174418462</v>
      </c>
      <c r="AB647" s="196">
        <f t="shared" si="1746"/>
        <v>370162.73764447152</v>
      </c>
      <c r="AC647">
        <v>12.7</v>
      </c>
      <c r="AD647" s="196">
        <f t="shared" si="1747"/>
        <v>47010.667680847881</v>
      </c>
      <c r="AE647" s="196">
        <f t="shared" si="1600"/>
        <v>44660.134296805481</v>
      </c>
      <c r="AF647" s="196">
        <f t="shared" si="1727"/>
        <v>0</v>
      </c>
      <c r="AG647" s="606">
        <f t="shared" si="1671"/>
        <v>2.0648885482210588E-3</v>
      </c>
      <c r="AH647" s="196">
        <f t="shared" si="1744"/>
        <v>18508.136882223578</v>
      </c>
      <c r="AI647" s="248">
        <f t="shared" si="1644"/>
        <v>1.4337973216993936E-3</v>
      </c>
      <c r="AJ647" s="196">
        <f t="shared" si="1672"/>
        <v>65518.804563071462</v>
      </c>
      <c r="AK647" s="196">
        <f t="shared" si="1698"/>
        <v>14806.50950577886</v>
      </c>
      <c r="AL647" s="196">
        <f t="shared" si="1699"/>
        <v>14806.50950577886</v>
      </c>
      <c r="AM647" s="196">
        <f t="shared" si="1656"/>
        <v>29613.019011557721</v>
      </c>
      <c r="AN647" s="627">
        <f t="shared" si="1657"/>
        <v>1.4337973216993934E-3</v>
      </c>
      <c r="AO647" s="196">
        <f t="shared" si="1658"/>
        <v>14066.184030489918</v>
      </c>
      <c r="AP647" s="589">
        <f t="shared" si="1673"/>
        <v>1.4337973216993934E-3</v>
      </c>
      <c r="AQ647" s="196"/>
      <c r="AR647" s="589"/>
      <c r="AS647">
        <v>1</v>
      </c>
      <c r="AT647" s="589">
        <f t="shared" si="1674"/>
        <v>1.2919896640826874E-3</v>
      </c>
      <c r="AU647" s="196">
        <v>11</v>
      </c>
      <c r="AV647" s="245">
        <f t="shared" si="1645"/>
        <v>1.2498579706851495E-3</v>
      </c>
      <c r="AX647" s="245"/>
      <c r="AY647" s="245"/>
      <c r="AZ647" s="196">
        <v>18</v>
      </c>
      <c r="BA647" s="589">
        <f t="shared" si="1590"/>
        <v>6.5955809607562931E-4</v>
      </c>
      <c r="BI647" s="196">
        <v>1</v>
      </c>
      <c r="BJ647" s="196">
        <f t="shared" si="1728"/>
        <v>205645.98178881701</v>
      </c>
      <c r="BK647" s="246">
        <f t="shared" si="1591"/>
        <v>3.9215447986431324E-3</v>
      </c>
      <c r="BL647" s="196">
        <f t="shared" si="1745"/>
        <v>4112.9196357763403</v>
      </c>
      <c r="BM647" s="246">
        <f t="shared" si="1592"/>
        <v>3.9215443499542244E-3</v>
      </c>
      <c r="BN647" s="196">
        <v>0</v>
      </c>
      <c r="BO647" s="196">
        <f t="shared" si="1729"/>
        <v>18990.899979475533</v>
      </c>
      <c r="BP647" s="196">
        <f t="shared" si="1676"/>
        <v>0</v>
      </c>
      <c r="BQ647" s="248">
        <f t="shared" si="1593"/>
        <v>0</v>
      </c>
      <c r="BR647" s="248"/>
      <c r="BS647" s="248"/>
      <c r="BT647" s="276">
        <v>0</v>
      </c>
      <c r="BU647" s="196">
        <f t="shared" si="1730"/>
        <v>0</v>
      </c>
      <c r="BV647" s="264">
        <f t="shared" si="1594"/>
        <v>0</v>
      </c>
      <c r="BW647" s="196">
        <f t="shared" si="1731"/>
        <v>0</v>
      </c>
      <c r="BX647" s="247">
        <f t="shared" si="1595"/>
        <v>0</v>
      </c>
      <c r="BY647" s="196">
        <f t="shared" si="1732"/>
        <v>0</v>
      </c>
      <c r="BZ647" s="620">
        <v>1</v>
      </c>
      <c r="CA647" s="196">
        <f t="shared" si="1733"/>
        <v>113269.79771920829</v>
      </c>
      <c r="CB647" s="196">
        <f t="shared" si="1734"/>
        <v>226539.59543841658</v>
      </c>
      <c r="CC647" s="196">
        <f t="shared" si="1682"/>
        <v>339809.39315762487</v>
      </c>
      <c r="CD647" s="247">
        <f t="shared" si="1646"/>
        <v>1.4337973216993934E-3</v>
      </c>
      <c r="CE647" s="196">
        <f t="shared" si="1735"/>
        <v>26158.848999415321</v>
      </c>
      <c r="CF647" s="247">
        <f t="shared" si="1647"/>
        <v>1.1296204523938307E-3</v>
      </c>
      <c r="CG647" s="196">
        <f t="shared" si="1703"/>
        <v>56264.736121959671</v>
      </c>
      <c r="CH647" s="589">
        <f t="shared" si="1684"/>
        <v>1.4337973216993934E-3</v>
      </c>
      <c r="CI647" s="196">
        <f t="shared" si="1736"/>
        <v>82292.624504208055</v>
      </c>
      <c r="CJ647" s="248">
        <f t="shared" si="1686"/>
        <v>1.3528905379628813E-3</v>
      </c>
      <c r="CK647" s="196">
        <f t="shared" si="1737"/>
        <v>87321.771030071075</v>
      </c>
      <c r="CL647" s="589">
        <f t="shared" si="1688"/>
        <v>1.2552684198792747E-3</v>
      </c>
      <c r="CM647" s="196">
        <f t="shared" si="1738"/>
        <v>8459.299803345988</v>
      </c>
      <c r="CN647" s="589">
        <f t="shared" si="1690"/>
        <v>1.2190812386524532E-3</v>
      </c>
      <c r="CO647" s="196">
        <f t="shared" si="1739"/>
        <v>676.73412580565252</v>
      </c>
      <c r="CP647" s="589">
        <f t="shared" si="1692"/>
        <v>1.276216325024898E-3</v>
      </c>
      <c r="CQ647" s="196">
        <f>'Detailed Budget'!$AC$12</f>
        <v>292876014141.44696</v>
      </c>
      <c r="CR647" s="269">
        <f t="shared" si="1701"/>
        <v>1148526409.9037237</v>
      </c>
      <c r="CS647" s="269">
        <f>'Detailed Budget'!$AC$16</f>
        <v>10488008800.000002</v>
      </c>
      <c r="CT647" s="607">
        <f t="shared" si="1705"/>
        <v>41129191.651910193</v>
      </c>
      <c r="CU647" s="269">
        <f>'Detailed Budget'!$AC$24</f>
        <v>30624985696</v>
      </c>
      <c r="CV647" s="269">
        <f t="shared" si="1589"/>
        <v>120097253.36466913</v>
      </c>
      <c r="CW647" s="269"/>
      <c r="CX647" s="269">
        <f t="shared" si="1660"/>
        <v>1309752854.9203031</v>
      </c>
      <c r="CY647" s="196">
        <f>'Detailed Budget'!$AC$97</f>
        <v>74629165494.837845</v>
      </c>
      <c r="CZ647" s="269">
        <f t="shared" si="1706"/>
        <v>0</v>
      </c>
      <c r="DA647" s="269">
        <f>'Detailed Budget'!$AC$100</f>
        <v>14925833098.967569</v>
      </c>
      <c r="DB647" s="269">
        <f t="shared" si="1707"/>
        <v>0</v>
      </c>
      <c r="DC647" s="269">
        <f t="shared" si="1661"/>
        <v>0</v>
      </c>
      <c r="DD647" s="207">
        <v>0</v>
      </c>
      <c r="DE647" s="606">
        <v>0</v>
      </c>
      <c r="DF647" s="269">
        <f>'Detailed Budget'!$AC$147</f>
        <v>5913600671000</v>
      </c>
      <c r="DG647" s="269">
        <f t="shared" ref="DG647:DG710" si="1748">DE647*DF647</f>
        <v>0</v>
      </c>
      <c r="DH647" s="269">
        <f>'Detailed Budget'!$AC$153</f>
        <v>226428026880.00003</v>
      </c>
      <c r="DI647" s="269"/>
      <c r="DJ647" s="269">
        <f>'Detailed Budget'!$AC$156</f>
        <v>27713070000</v>
      </c>
      <c r="DK647" s="269"/>
      <c r="DL647" s="269"/>
      <c r="DM647" s="196">
        <f>'Detailed Budget'!$AC$178</f>
        <v>5622683761.6229038</v>
      </c>
      <c r="DN647" s="269">
        <f t="shared" si="1740"/>
        <v>0</v>
      </c>
      <c r="DO647" s="196">
        <f>'Detailed Budget'!$AC$179</f>
        <v>26827890683.128094</v>
      </c>
      <c r="DP647" s="269">
        <f t="shared" si="1741"/>
        <v>0</v>
      </c>
      <c r="DQ647" s="269">
        <f t="shared" si="1700"/>
        <v>0</v>
      </c>
      <c r="DR647" s="269">
        <f>'Detailed Budget'!$AC$181</f>
        <v>50888946855.375237</v>
      </c>
      <c r="DS647" s="269">
        <f t="shared" si="1742"/>
        <v>0</v>
      </c>
      <c r="DT647" s="269">
        <f t="shared" si="1743"/>
        <v>0</v>
      </c>
      <c r="DU647" s="272">
        <f>'Detailed Budget'!$AC$192</f>
        <v>77498869683.252869</v>
      </c>
      <c r="DV647" s="269">
        <f t="shared" si="1708"/>
        <v>111117671.78657828</v>
      </c>
      <c r="DW647" s="140">
        <f>'Detailed Budget'!$AC$194</f>
        <v>2684962805.4134097</v>
      </c>
      <c r="DX647" s="269">
        <f t="shared" si="1709"/>
        <v>3849692.4792642365</v>
      </c>
      <c r="DY647" s="607">
        <f t="shared" si="1648"/>
        <v>114967364.26584251</v>
      </c>
      <c r="DZ647" s="196">
        <f>'Detailed Budget'!$AC$198</f>
        <v>18732540018.380611</v>
      </c>
      <c r="EA647" s="269">
        <f t="shared" si="1710"/>
        <v>21160660.330048643</v>
      </c>
      <c r="EB647" s="196">
        <f>'Detailed Budget'!$AC$200</f>
        <v>4683135004.5951529</v>
      </c>
      <c r="EC647" s="269">
        <f t="shared" si="1711"/>
        <v>5290165.0825121608</v>
      </c>
      <c r="ED647" s="269">
        <f t="shared" si="1649"/>
        <v>26450825.412560806</v>
      </c>
      <c r="EE647" s="196">
        <f>'Detailed Budget'!$AC$161</f>
        <v>251147290106.36197</v>
      </c>
      <c r="EF647" s="269">
        <f t="shared" si="1712"/>
        <v>360094311.90656233</v>
      </c>
      <c r="EG647" s="196">
        <f>'Detailed Budget'!$AC$163</f>
        <v>15696705631.647623</v>
      </c>
      <c r="EH647" s="269">
        <f t="shared" si="1713"/>
        <v>22505894.494160146</v>
      </c>
      <c r="EI647" s="269">
        <f t="shared" si="1650"/>
        <v>382600206.4007225</v>
      </c>
      <c r="EJ647" s="196">
        <f>'Detailed Budget'!$AC$204</f>
        <v>45012172507.531975</v>
      </c>
      <c r="EK647" s="269">
        <f t="shared" si="1714"/>
        <v>60896542.278592952</v>
      </c>
      <c r="EL647" s="201">
        <f>'Detailed Budget'!$AC$206</f>
        <v>11253043126.882994</v>
      </c>
      <c r="EM647" s="269">
        <f t="shared" si="1715"/>
        <v>15224135.569648238</v>
      </c>
      <c r="EN647" s="269">
        <f t="shared" si="1651"/>
        <v>76120677.848241195</v>
      </c>
      <c r="EO647" s="140">
        <f>'Detailed Budget'!$AC$209</f>
        <v>135789361677.54817</v>
      </c>
      <c r="EP647" s="269">
        <f t="shared" si="1716"/>
        <v>170452097.46939123</v>
      </c>
      <c r="EQ647" s="196">
        <f>'Detailed Budget'!$AC$211</f>
        <v>33947340419.387043</v>
      </c>
      <c r="ER647" s="269">
        <f t="shared" si="1717"/>
        <v>42613024.367347807</v>
      </c>
      <c r="ES647" s="269">
        <f t="shared" si="1652"/>
        <v>213065121.83673903</v>
      </c>
      <c r="ET647" s="196">
        <f>'Detailed Budget'!$AC$214</f>
        <v>22239745544.201103</v>
      </c>
      <c r="EU647" s="269">
        <f t="shared" si="1718"/>
        <v>27112056.545340057</v>
      </c>
      <c r="EV647" s="140">
        <f>'Detailed Budget'!$AC$217</f>
        <v>5559936386.0502758</v>
      </c>
      <c r="EW647" s="269">
        <f t="shared" si="1719"/>
        <v>6778014.1363350144</v>
      </c>
      <c r="EX647" s="269">
        <f t="shared" si="1653"/>
        <v>33890070.681675069</v>
      </c>
      <c r="EY647" s="196">
        <f>'Detailed Budget'!$AC$219</f>
        <v>372777004.58170313</v>
      </c>
      <c r="EZ647" s="269">
        <f t="shared" si="1720"/>
        <v>475744.0988410507</v>
      </c>
      <c r="FA647" s="196">
        <f>'Detailed Budget'!$AC$222</f>
        <v>93194251.145425782</v>
      </c>
      <c r="FB647" s="269">
        <f t="shared" si="1721"/>
        <v>118936.02471026267</v>
      </c>
      <c r="FC647" s="269">
        <f t="shared" si="1654"/>
        <v>594680.12355131342</v>
      </c>
      <c r="FD647" s="269"/>
      <c r="FE647" s="269">
        <f t="shared" si="1663"/>
        <v>323670550.4902066</v>
      </c>
      <c r="FF647" s="140">
        <f>'Detailed Budget'!$AC$165</f>
        <v>14927760000</v>
      </c>
      <c r="FG647" s="1087">
        <f t="shared" ref="FG647:FG710" si="1749">FE647/0.423*0.577</f>
        <v>441508055.86961985</v>
      </c>
      <c r="FH647" s="269">
        <f t="shared" si="1722"/>
        <v>18657579.820474949</v>
      </c>
      <c r="FJ647" s="140">
        <f>'Detailed Budget'!$AC$235</f>
        <v>3623696172</v>
      </c>
      <c r="FK647" s="269">
        <f t="shared" si="1723"/>
        <v>4681778</v>
      </c>
      <c r="FL647" s="269">
        <f t="shared" ref="FL647:FL710" si="1750">FI647+FK647</f>
        <v>4681778</v>
      </c>
      <c r="FO647" s="607"/>
      <c r="FP647" s="607"/>
      <c r="FQ647" s="607"/>
      <c r="FR647" s="269">
        <f>'Detailed Budget'!$AC$257</f>
        <v>13636439388</v>
      </c>
      <c r="FS647" s="269">
        <f t="shared" si="1724"/>
        <v>8994024</v>
      </c>
      <c r="FT647" s="269">
        <f t="shared" ref="FT647:FT710" si="1751">FM647+FO647+FQ647+FS647</f>
        <v>8994024</v>
      </c>
      <c r="FU647" s="269"/>
      <c r="FV647" s="269"/>
      <c r="FW647" s="269"/>
      <c r="FX647" s="140">
        <f>'Detailed Budget'!$AC$278</f>
        <v>1114560000</v>
      </c>
      <c r="FY647" s="269">
        <f t="shared" si="1725"/>
        <v>1440000</v>
      </c>
      <c r="FZ647" s="269">
        <f t="shared" ref="FZ647:FZ710" si="1752">FU647+FW647+FY647</f>
        <v>1440000</v>
      </c>
      <c r="GB647" s="269">
        <f t="shared" si="1596"/>
        <v>2632723239.1797304</v>
      </c>
      <c r="GC647" s="887">
        <f t="shared" si="1668"/>
        <v>1645452.0244873315</v>
      </c>
      <c r="GD647" s="1078">
        <f t="shared" si="1597"/>
        <v>1.4773039115968847E-3</v>
      </c>
    </row>
    <row r="648" spans="1:186" hidden="1" outlineLevel="1">
      <c r="A648" s="211" t="s">
        <v>1397</v>
      </c>
      <c r="B648" s="212" t="s">
        <v>1398</v>
      </c>
      <c r="C648" s="213" t="s">
        <v>215</v>
      </c>
      <c r="D648" s="214"/>
      <c r="E648" s="213"/>
      <c r="F648" s="213"/>
      <c r="G648" s="213" t="s">
        <v>215</v>
      </c>
      <c r="H648" s="213" t="s">
        <v>215</v>
      </c>
      <c r="I648" s="214" t="s">
        <v>215</v>
      </c>
      <c r="J648" s="214"/>
      <c r="K648" s="213"/>
      <c r="L648" s="213"/>
      <c r="M648" s="214"/>
      <c r="N648" s="213" t="s">
        <v>215</v>
      </c>
      <c r="O648" s="214"/>
      <c r="P648" s="213"/>
      <c r="Q648" s="214"/>
      <c r="R648" s="214" t="s">
        <v>215</v>
      </c>
      <c r="S648" s="214"/>
      <c r="T648" s="214"/>
      <c r="U648" s="215">
        <f t="shared" si="1726"/>
        <v>6</v>
      </c>
      <c r="V648" s="845" t="s">
        <v>216</v>
      </c>
      <c r="W648" s="216">
        <v>182819</v>
      </c>
      <c r="X648" s="217">
        <v>3.22</v>
      </c>
      <c r="Y648" s="218">
        <f t="shared" si="1598"/>
        <v>1.0322</v>
      </c>
      <c r="Z648" s="196">
        <v>19</v>
      </c>
      <c r="AA648" s="218">
        <f t="shared" si="1599"/>
        <v>1.8260524174418462</v>
      </c>
      <c r="AB648" s="196">
        <f t="shared" si="1746"/>
        <v>333837.07690430089</v>
      </c>
      <c r="AC648">
        <v>12.7</v>
      </c>
      <c r="AD648" s="196">
        <f t="shared" si="1747"/>
        <v>42397.30876684621</v>
      </c>
      <c r="AE648" s="196">
        <f t="shared" si="1600"/>
        <v>40277.443328503898</v>
      </c>
      <c r="AF648" s="196">
        <f t="shared" si="1727"/>
        <v>0</v>
      </c>
      <c r="AG648" s="606">
        <f t="shared" si="1671"/>
        <v>1.8622521582206566E-3</v>
      </c>
      <c r="AH648" s="196">
        <f t="shared" si="1744"/>
        <v>16691.853845215046</v>
      </c>
      <c r="AI648" s="248">
        <f t="shared" si="1644"/>
        <v>1.2930926267599424E-3</v>
      </c>
      <c r="AJ648" s="196">
        <f t="shared" si="1672"/>
        <v>59089.162612061256</v>
      </c>
      <c r="AK648" s="196">
        <f t="shared" si="1698"/>
        <v>13353.483076172037</v>
      </c>
      <c r="AL648" s="196">
        <f t="shared" si="1699"/>
        <v>13353.483076172037</v>
      </c>
      <c r="AM648" s="196">
        <f t="shared" si="1656"/>
        <v>26706.966152344074</v>
      </c>
      <c r="AN648" s="627">
        <f t="shared" si="1657"/>
        <v>1.2930926267599424E-3</v>
      </c>
      <c r="AO648" s="196">
        <f t="shared" si="1658"/>
        <v>12685.808922363434</v>
      </c>
      <c r="AP648" s="589">
        <f t="shared" si="1673"/>
        <v>1.2930926267599421E-3</v>
      </c>
      <c r="AQ648" s="196"/>
      <c r="AR648" s="589"/>
      <c r="AS648">
        <v>1</v>
      </c>
      <c r="AT648" s="589">
        <f t="shared" si="1674"/>
        <v>1.2919896640826874E-3</v>
      </c>
      <c r="AU648" s="196">
        <v>14</v>
      </c>
      <c r="AV648" s="245">
        <f t="shared" si="1645"/>
        <v>1.5907283263265539E-3</v>
      </c>
      <c r="AX648" s="245"/>
      <c r="AY648" s="245"/>
      <c r="AZ648" s="196">
        <v>17</v>
      </c>
      <c r="BA648" s="589">
        <f t="shared" si="1590"/>
        <v>6.229159796269833E-4</v>
      </c>
      <c r="BI648" s="196">
        <v>1</v>
      </c>
      <c r="BJ648" s="196">
        <f t="shared" si="1728"/>
        <v>185465.05754296607</v>
      </c>
      <c r="BK648" s="246">
        <f t="shared" si="1591"/>
        <v>3.5367067491965886E-3</v>
      </c>
      <c r="BL648" s="196">
        <f t="shared" si="1745"/>
        <v>3709.3011508593213</v>
      </c>
      <c r="BM648" s="246">
        <f t="shared" si="1592"/>
        <v>3.5367063445394514E-3</v>
      </c>
      <c r="BN648" s="196">
        <v>0</v>
      </c>
      <c r="BO648" s="196">
        <f t="shared" si="1729"/>
        <v>17127.241324380091</v>
      </c>
      <c r="BP648" s="196">
        <f t="shared" si="1676"/>
        <v>0</v>
      </c>
      <c r="BQ648" s="248">
        <f t="shared" si="1593"/>
        <v>0</v>
      </c>
      <c r="BR648" s="248"/>
      <c r="BS648" s="248"/>
      <c r="BT648" s="276">
        <v>0</v>
      </c>
      <c r="BU648" s="196">
        <f t="shared" si="1730"/>
        <v>0</v>
      </c>
      <c r="BV648" s="264">
        <f t="shared" si="1594"/>
        <v>0</v>
      </c>
      <c r="BW648" s="196">
        <f t="shared" si="1731"/>
        <v>0</v>
      </c>
      <c r="BX648" s="247">
        <f t="shared" si="1595"/>
        <v>0</v>
      </c>
      <c r="BY648" s="196">
        <f t="shared" si="1732"/>
        <v>0</v>
      </c>
      <c r="BZ648" s="620">
        <v>1</v>
      </c>
      <c r="CA648" s="196">
        <f t="shared" si="1733"/>
        <v>102154.14553271607</v>
      </c>
      <c r="CB648" s="196">
        <f t="shared" si="1734"/>
        <v>204308.29106543213</v>
      </c>
      <c r="CC648" s="196">
        <f t="shared" si="1682"/>
        <v>306462.4365981482</v>
      </c>
      <c r="CD648" s="247">
        <f t="shared" si="1646"/>
        <v>1.2930926267599421E-3</v>
      </c>
      <c r="CE648" s="196">
        <f t="shared" si="1735"/>
        <v>23591.768692648238</v>
      </c>
      <c r="CF648" s="247">
        <f t="shared" si="1647"/>
        <v>1.0187659412673534E-3</v>
      </c>
      <c r="CG648" s="196">
        <f t="shared" si="1703"/>
        <v>50743.235689453737</v>
      </c>
      <c r="CH648" s="589">
        <f t="shared" si="1684"/>
        <v>1.2930926267599421E-3</v>
      </c>
      <c r="CI648" s="196">
        <f t="shared" si="1736"/>
        <v>74216.895493285134</v>
      </c>
      <c r="CJ648" s="248">
        <f t="shared" si="1686"/>
        <v>1.2201255735222192E-3</v>
      </c>
      <c r="CK648" s="196">
        <f t="shared" si="1737"/>
        <v>78752.510250732885</v>
      </c>
      <c r="CL648" s="589">
        <f t="shared" si="1688"/>
        <v>1.1320835335545459E-3</v>
      </c>
      <c r="CM648" s="196">
        <f t="shared" si="1738"/>
        <v>7629.1523479019997</v>
      </c>
      <c r="CN648" s="589">
        <f t="shared" si="1690"/>
        <v>1.0994475559868329E-3</v>
      </c>
      <c r="CO648" s="196">
        <f t="shared" si="1739"/>
        <v>610.32329682339287</v>
      </c>
      <c r="CP648" s="589">
        <f t="shared" si="1692"/>
        <v>1.1509757307151371E-3</v>
      </c>
      <c r="CQ648" s="196">
        <f>'Detailed Budget'!$AC$12</f>
        <v>292876014141.44696</v>
      </c>
      <c r="CR648" s="269">
        <f t="shared" si="1701"/>
        <v>1035816575.8918509</v>
      </c>
      <c r="CS648" s="269">
        <f>'Detailed Budget'!$AC$16</f>
        <v>10488008800.000002</v>
      </c>
      <c r="CT648" s="607">
        <f t="shared" si="1705"/>
        <v>37093007.264545605</v>
      </c>
      <c r="CU648" s="269">
        <f>'Detailed Budget'!$AC$24</f>
        <v>30624985696</v>
      </c>
      <c r="CV648" s="269">
        <f t="shared" ref="CV648:CV711" si="1753">BK648*CU648</f>
        <v>108311593.60509218</v>
      </c>
      <c r="CW648" s="269"/>
      <c r="CX648" s="269">
        <f t="shared" si="1660"/>
        <v>1181221176.7614887</v>
      </c>
      <c r="CY648" s="196">
        <f>'Detailed Budget'!$AC$97</f>
        <v>74629165494.837845</v>
      </c>
      <c r="CZ648" s="269">
        <f t="shared" si="1706"/>
        <v>0</v>
      </c>
      <c r="DA648" s="269">
        <f>'Detailed Budget'!$AC$100</f>
        <v>14925833098.967569</v>
      </c>
      <c r="DB648" s="269">
        <f t="shared" si="1707"/>
        <v>0</v>
      </c>
      <c r="DC648" s="269">
        <f t="shared" si="1661"/>
        <v>0</v>
      </c>
      <c r="DD648" s="207">
        <v>0</v>
      </c>
      <c r="DE648" s="606">
        <v>0</v>
      </c>
      <c r="DF648" s="269">
        <f>'Detailed Budget'!$AC$147</f>
        <v>5913600671000</v>
      </c>
      <c r="DG648" s="269">
        <f t="shared" si="1748"/>
        <v>0</v>
      </c>
      <c r="DH648" s="269">
        <f>'Detailed Budget'!$AC$153</f>
        <v>226428026880.00003</v>
      </c>
      <c r="DI648" s="269"/>
      <c r="DJ648" s="269">
        <f>'Detailed Budget'!$AC$156</f>
        <v>27713070000</v>
      </c>
      <c r="DK648" s="269"/>
      <c r="DL648" s="269"/>
      <c r="DM648" s="196">
        <f>'Detailed Budget'!$AC$178</f>
        <v>5622683761.6229038</v>
      </c>
      <c r="DN648" s="269">
        <f t="shared" si="1740"/>
        <v>0</v>
      </c>
      <c r="DO648" s="196">
        <f>'Detailed Budget'!$AC$179</f>
        <v>26827890683.128094</v>
      </c>
      <c r="DP648" s="269">
        <f t="shared" si="1741"/>
        <v>0</v>
      </c>
      <c r="DQ648" s="269">
        <f t="shared" si="1700"/>
        <v>0</v>
      </c>
      <c r="DR648" s="269">
        <f>'Detailed Budget'!$AC$181</f>
        <v>50888946855.375237</v>
      </c>
      <c r="DS648" s="269">
        <f t="shared" si="1742"/>
        <v>0</v>
      </c>
      <c r="DT648" s="269">
        <f t="shared" si="1743"/>
        <v>0</v>
      </c>
      <c r="DU648" s="272">
        <f>'Detailed Budget'!$AC$192</f>
        <v>77498869683.252869</v>
      </c>
      <c r="DV648" s="269">
        <f t="shared" si="1708"/>
        <v>100213216.96964389</v>
      </c>
      <c r="DW648" s="140">
        <f>'Detailed Budget'!$AC$194</f>
        <v>2684962805.4134097</v>
      </c>
      <c r="DX648" s="269">
        <f t="shared" si="1709"/>
        <v>3471905.60680477</v>
      </c>
      <c r="DY648" s="607">
        <f t="shared" si="1648"/>
        <v>103685122.57644866</v>
      </c>
      <c r="DZ648" s="196">
        <f>'Detailed Budget'!$AC$198</f>
        <v>18732540018.380611</v>
      </c>
      <c r="EA648" s="269">
        <f t="shared" si="1710"/>
        <v>19084073.76415389</v>
      </c>
      <c r="EB648" s="196">
        <f>'Detailed Budget'!$AC$200</f>
        <v>4683135004.5951529</v>
      </c>
      <c r="EC648" s="269">
        <f t="shared" si="1711"/>
        <v>4771018.4410384726</v>
      </c>
      <c r="ED648" s="269">
        <f t="shared" si="1649"/>
        <v>23855092.205192365</v>
      </c>
      <c r="EE648" s="196">
        <f>'Detailed Budget'!$AC$161</f>
        <v>251147290106.36197</v>
      </c>
      <c r="EF648" s="269">
        <f t="shared" si="1712"/>
        <v>324756709.06727684</v>
      </c>
      <c r="EG648" s="196">
        <f>'Detailed Budget'!$AC$163</f>
        <v>15696705631.647623</v>
      </c>
      <c r="EH648" s="269">
        <f t="shared" si="1713"/>
        <v>20297294.316704802</v>
      </c>
      <c r="EI648" s="269">
        <f t="shared" si="1650"/>
        <v>345054003.38398165</v>
      </c>
      <c r="EJ648" s="196">
        <f>'Detailed Budget'!$AC$204</f>
        <v>45012172507.531975</v>
      </c>
      <c r="EK648" s="269">
        <f t="shared" si="1714"/>
        <v>54920502.79623352</v>
      </c>
      <c r="EL648" s="201">
        <f>'Detailed Budget'!$AC$206</f>
        <v>11253043126.882994</v>
      </c>
      <c r="EM648" s="269">
        <f t="shared" si="1715"/>
        <v>13730125.69905838</v>
      </c>
      <c r="EN648" s="269">
        <f t="shared" si="1651"/>
        <v>68650628.495291904</v>
      </c>
      <c r="EO648" s="140">
        <f>'Detailed Budget'!$AC$209</f>
        <v>135789361677.54817</v>
      </c>
      <c r="EP648" s="269">
        <f t="shared" si="1716"/>
        <v>153724900.38703498</v>
      </c>
      <c r="EQ648" s="196">
        <f>'Detailed Budget'!$AC$211</f>
        <v>33947340419.387043</v>
      </c>
      <c r="ER648" s="269">
        <f t="shared" si="1717"/>
        <v>38431225.096758746</v>
      </c>
      <c r="ES648" s="269">
        <f t="shared" si="1652"/>
        <v>192156125.48379374</v>
      </c>
      <c r="ET648" s="196">
        <f>'Detailed Budget'!$AC$214</f>
        <v>22239745544.201103</v>
      </c>
      <c r="EU648" s="269">
        <f t="shared" si="1718"/>
        <v>24451433.884340961</v>
      </c>
      <c r="EV648" s="140">
        <f>'Detailed Budget'!$AC$217</f>
        <v>5559936386.0502758</v>
      </c>
      <c r="EW648" s="269">
        <f t="shared" si="1719"/>
        <v>6112858.4710852401</v>
      </c>
      <c r="EX648" s="269">
        <f t="shared" si="1653"/>
        <v>30564292.3554262</v>
      </c>
      <c r="EY648" s="196">
        <f>'Detailed Budget'!$AC$219</f>
        <v>372777004.58170313</v>
      </c>
      <c r="EZ648" s="269">
        <f t="shared" si="1720"/>
        <v>429057.28524222574</v>
      </c>
      <c r="FA648" s="196">
        <f>'Detailed Budget'!$AC$222</f>
        <v>93194251.145425782</v>
      </c>
      <c r="FB648" s="269">
        <f t="shared" si="1721"/>
        <v>107264.32131055644</v>
      </c>
      <c r="FC648" s="269">
        <f t="shared" si="1654"/>
        <v>536321.60655278224</v>
      </c>
      <c r="FD648" s="269"/>
      <c r="FE648" s="269">
        <f t="shared" si="1663"/>
        <v>291907367.9410646</v>
      </c>
      <c r="FF648" s="140">
        <f>'Detailed Budget'!$AC$165</f>
        <v>14927760000</v>
      </c>
      <c r="FG648" s="1087">
        <f t="shared" si="1749"/>
        <v>398180972.3451401</v>
      </c>
      <c r="FH648" s="269">
        <f t="shared" si="1722"/>
        <v>23746010.68060448</v>
      </c>
      <c r="FJ648" s="140">
        <f>'Detailed Budget'!$AC$235</f>
        <v>3623696172</v>
      </c>
      <c r="FK648" s="269">
        <f t="shared" si="1723"/>
        <v>4681778</v>
      </c>
      <c r="FL648" s="269">
        <f t="shared" si="1750"/>
        <v>4681778</v>
      </c>
      <c r="FO648" s="607"/>
      <c r="FP648" s="607"/>
      <c r="FQ648" s="607"/>
      <c r="FR648" s="269">
        <f>'Detailed Budget'!$AC$257</f>
        <v>13636439388</v>
      </c>
      <c r="FS648" s="269">
        <f t="shared" si="1724"/>
        <v>8494356</v>
      </c>
      <c r="FT648" s="269">
        <f t="shared" si="1751"/>
        <v>8494356</v>
      </c>
      <c r="FU648" s="269"/>
      <c r="FV648" s="269"/>
      <c r="FW648" s="269"/>
      <c r="FX648" s="140">
        <f>'Detailed Budget'!$AC$278</f>
        <v>1114560000</v>
      </c>
      <c r="FY648" s="269">
        <f t="shared" si="1725"/>
        <v>1440000</v>
      </c>
      <c r="FZ648" s="269">
        <f t="shared" si="1752"/>
        <v>1440000</v>
      </c>
      <c r="GB648" s="269">
        <f t="shared" si="1596"/>
        <v>2382265879.8939204</v>
      </c>
      <c r="GC648" s="887">
        <f t="shared" si="1668"/>
        <v>1488916.1749337004</v>
      </c>
      <c r="GD648" s="1078">
        <f t="shared" si="1597"/>
        <v>1.3367644006240435E-3</v>
      </c>
    </row>
    <row r="649" spans="1:186" hidden="1" outlineLevel="1">
      <c r="A649" s="211" t="s">
        <v>1399</v>
      </c>
      <c r="B649" s="212" t="s">
        <v>1400</v>
      </c>
      <c r="C649" s="213" t="s">
        <v>215</v>
      </c>
      <c r="D649" s="214"/>
      <c r="E649" s="213"/>
      <c r="F649" s="213"/>
      <c r="G649" s="213" t="s">
        <v>215</v>
      </c>
      <c r="H649" s="213" t="s">
        <v>215</v>
      </c>
      <c r="I649" s="214" t="s">
        <v>215</v>
      </c>
      <c r="J649" s="214"/>
      <c r="K649" s="213"/>
      <c r="L649" s="213"/>
      <c r="M649" s="214"/>
      <c r="N649" s="213" t="s">
        <v>215</v>
      </c>
      <c r="O649" s="214"/>
      <c r="P649" s="213"/>
      <c r="Q649" s="214"/>
      <c r="R649" s="214" t="s">
        <v>215</v>
      </c>
      <c r="S649" s="214"/>
      <c r="T649" s="214"/>
      <c r="U649" s="215">
        <f t="shared" si="1726"/>
        <v>6</v>
      </c>
      <c r="V649" s="845" t="s">
        <v>216</v>
      </c>
      <c r="W649" s="216">
        <v>167060</v>
      </c>
      <c r="X649" s="217">
        <v>3.22</v>
      </c>
      <c r="Y649" s="218">
        <f t="shared" si="1598"/>
        <v>1.0322</v>
      </c>
      <c r="Z649" s="196">
        <v>19</v>
      </c>
      <c r="AA649" s="218">
        <f t="shared" si="1599"/>
        <v>1.8260524174418462</v>
      </c>
      <c r="AB649" s="196">
        <f t="shared" si="1746"/>
        <v>305060.31685783481</v>
      </c>
      <c r="AC649">
        <v>12.7</v>
      </c>
      <c r="AD649" s="196">
        <f t="shared" si="1747"/>
        <v>38742.660240945021</v>
      </c>
      <c r="AE649" s="196">
        <f t="shared" si="1600"/>
        <v>36805.527228897765</v>
      </c>
      <c r="AF649" s="196">
        <f t="shared" si="1727"/>
        <v>0</v>
      </c>
      <c r="AG649" s="606">
        <f t="shared" si="1671"/>
        <v>1.7017259997721401E-3</v>
      </c>
      <c r="AH649" s="196">
        <f t="shared" si="1744"/>
        <v>15253.015842891742</v>
      </c>
      <c r="AI649" s="248">
        <f t="shared" si="1644"/>
        <v>1.1816280267724687E-3</v>
      </c>
      <c r="AJ649" s="196">
        <f t="shared" si="1672"/>
        <v>53995.676083836763</v>
      </c>
      <c r="AK649" s="196">
        <f t="shared" si="1698"/>
        <v>12202.412674313393</v>
      </c>
      <c r="AL649" s="196">
        <f t="shared" si="1699"/>
        <v>12202.412674313393</v>
      </c>
      <c r="AM649" s="196">
        <f t="shared" si="1656"/>
        <v>24404.825348626786</v>
      </c>
      <c r="AN649" s="627">
        <f t="shared" si="1657"/>
        <v>1.1816280267724685E-3</v>
      </c>
      <c r="AO649" s="196">
        <f t="shared" si="1658"/>
        <v>11592.292040597722</v>
      </c>
      <c r="AP649" s="589">
        <f t="shared" si="1673"/>
        <v>1.1816280267724685E-3</v>
      </c>
      <c r="AQ649" s="196"/>
      <c r="AR649" s="589"/>
      <c r="AS649">
        <v>1</v>
      </c>
      <c r="AT649" s="589">
        <f t="shared" si="1674"/>
        <v>1.2919896640826874E-3</v>
      </c>
      <c r="AU649" s="196">
        <v>12</v>
      </c>
      <c r="AV649" s="245">
        <f t="shared" si="1645"/>
        <v>1.3634814225656176E-3</v>
      </c>
      <c r="AX649" s="245"/>
      <c r="AY649" s="245"/>
      <c r="AZ649" s="196">
        <v>26</v>
      </c>
      <c r="BA649" s="589">
        <f t="shared" ref="BA649:BA712" si="1754">AZ649/27291</f>
        <v>9.526950276647979E-4</v>
      </c>
      <c r="BI649" s="196">
        <v>1</v>
      </c>
      <c r="BJ649" s="196">
        <f t="shared" si="1728"/>
        <v>169477.96735092037</v>
      </c>
      <c r="BK649" s="246">
        <f t="shared" ref="BK649:BK712" si="1755">BJ649/52440044</f>
        <v>3.2318425848559618E-3</v>
      </c>
      <c r="BL649" s="196">
        <f t="shared" si="1745"/>
        <v>3389.5593470184076</v>
      </c>
      <c r="BM649" s="246">
        <f t="shared" ref="BM649:BM712" si="1756">BL649/1048801</f>
        <v>3.2318422150802752E-3</v>
      </c>
      <c r="BN649" s="196">
        <v>0</v>
      </c>
      <c r="BO649" s="196">
        <f t="shared" si="1729"/>
        <v>15650.872916113414</v>
      </c>
      <c r="BP649" s="196">
        <f t="shared" si="1676"/>
        <v>0</v>
      </c>
      <c r="BQ649" s="248">
        <f t="shared" ref="BQ649:BQ711" si="1757">BP649/10690003</f>
        <v>0</v>
      </c>
      <c r="BR649" s="248"/>
      <c r="BS649" s="248"/>
      <c r="BT649" s="276">
        <v>0</v>
      </c>
      <c r="BU649" s="196">
        <f t="shared" si="1730"/>
        <v>0</v>
      </c>
      <c r="BV649" s="264">
        <f t="shared" ref="BV649:BV712" si="1758">BU649/14417138</f>
        <v>0</v>
      </c>
      <c r="BW649" s="196">
        <f t="shared" si="1731"/>
        <v>0</v>
      </c>
      <c r="BX649" s="247">
        <f t="shared" ref="BX649:BX712" si="1759">BW649/61673312</f>
        <v>0</v>
      </c>
      <c r="BY649" s="196">
        <f t="shared" si="1732"/>
        <v>0</v>
      </c>
      <c r="BZ649" s="620">
        <v>1</v>
      </c>
      <c r="CA649" s="196">
        <f t="shared" si="1733"/>
        <v>93348.456958497467</v>
      </c>
      <c r="CB649" s="196">
        <f t="shared" si="1734"/>
        <v>186696.91391699493</v>
      </c>
      <c r="CC649" s="196">
        <f t="shared" si="1682"/>
        <v>280045.3708754924</v>
      </c>
      <c r="CD649" s="247">
        <f t="shared" si="1646"/>
        <v>1.1816280267724687E-3</v>
      </c>
      <c r="CE649" s="196">
        <f t="shared" si="1735"/>
        <v>21558.157947444273</v>
      </c>
      <c r="CF649" s="247">
        <f t="shared" si="1647"/>
        <v>9.3094830487052251E-4</v>
      </c>
      <c r="CG649" s="196">
        <f t="shared" si="1703"/>
        <v>46369.168162390888</v>
      </c>
      <c r="CH649" s="589">
        <f t="shared" si="1684"/>
        <v>1.1816280267724685E-3</v>
      </c>
      <c r="CI649" s="196">
        <f t="shared" si="1736"/>
        <v>67819.398208655621</v>
      </c>
      <c r="CJ649" s="248">
        <f t="shared" si="1686"/>
        <v>1.1149507344019049E-3</v>
      </c>
      <c r="CK649" s="196">
        <f t="shared" si="1737"/>
        <v>71964.042919430882</v>
      </c>
      <c r="CL649" s="589">
        <f t="shared" si="1688"/>
        <v>1.0344979193389224E-3</v>
      </c>
      <c r="CM649" s="196">
        <f t="shared" si="1738"/>
        <v>6971.5193237054573</v>
      </c>
      <c r="CN649" s="589">
        <f t="shared" si="1690"/>
        <v>1.0046751634302795E-3</v>
      </c>
      <c r="CO649" s="196">
        <f t="shared" si="1739"/>
        <v>557.71342129273216</v>
      </c>
      <c r="CP649" s="589">
        <f t="shared" si="1692"/>
        <v>1.0517616088769263E-3</v>
      </c>
      <c r="CQ649" s="196">
        <f>'Detailed Budget'!$AC$12</f>
        <v>292876014141.44696</v>
      </c>
      <c r="CR649" s="269">
        <f t="shared" si="1701"/>
        <v>946529174.5852052</v>
      </c>
      <c r="CS649" s="269">
        <f>'Detailed Budget'!$AC$16</f>
        <v>10488008800.000002</v>
      </c>
      <c r="CT649" s="607">
        <f t="shared" si="1705"/>
        <v>33895589.591973424</v>
      </c>
      <c r="CU649" s="269">
        <f>'Detailed Budget'!$AC$24</f>
        <v>30624985696</v>
      </c>
      <c r="CV649" s="269">
        <f t="shared" si="1753"/>
        <v>98975132.932937503</v>
      </c>
      <c r="CW649" s="269"/>
      <c r="CX649" s="269">
        <f t="shared" si="1660"/>
        <v>1079399897.110116</v>
      </c>
      <c r="CY649" s="196">
        <f>'Detailed Budget'!$AC$97</f>
        <v>74629165494.837845</v>
      </c>
      <c r="CZ649" s="269">
        <f t="shared" si="1706"/>
        <v>0</v>
      </c>
      <c r="DA649" s="269">
        <f>'Detailed Budget'!$AC$100</f>
        <v>14925833098.967569</v>
      </c>
      <c r="DB649" s="269">
        <f t="shared" si="1707"/>
        <v>0</v>
      </c>
      <c r="DC649" s="269">
        <f t="shared" si="1661"/>
        <v>0</v>
      </c>
      <c r="DD649" s="207">
        <v>0</v>
      </c>
      <c r="DE649" s="606">
        <v>0</v>
      </c>
      <c r="DF649" s="269">
        <f>'Detailed Budget'!$AC$147</f>
        <v>5913600671000</v>
      </c>
      <c r="DG649" s="269">
        <f t="shared" si="1748"/>
        <v>0</v>
      </c>
      <c r="DH649" s="269">
        <f>'Detailed Budget'!$AC$153</f>
        <v>226428026880.00003</v>
      </c>
      <c r="DI649" s="269"/>
      <c r="DJ649" s="269">
        <f>'Detailed Budget'!$AC$156</f>
        <v>27713070000</v>
      </c>
      <c r="DK649" s="269"/>
      <c r="DL649" s="269"/>
      <c r="DM649" s="196">
        <f>'Detailed Budget'!$AC$178</f>
        <v>5622683761.6229038</v>
      </c>
      <c r="DN649" s="269">
        <f t="shared" si="1740"/>
        <v>0</v>
      </c>
      <c r="DO649" s="196">
        <f>'Detailed Budget'!$AC$179</f>
        <v>26827890683.128094</v>
      </c>
      <c r="DP649" s="269">
        <f t="shared" si="1741"/>
        <v>0</v>
      </c>
      <c r="DQ649" s="269">
        <f t="shared" si="1700"/>
        <v>0</v>
      </c>
      <c r="DR649" s="269">
        <f>'Detailed Budget'!$AC$181</f>
        <v>50888946855.375237</v>
      </c>
      <c r="DS649" s="269">
        <f t="shared" si="1742"/>
        <v>0</v>
      </c>
      <c r="DT649" s="269">
        <f t="shared" si="1743"/>
        <v>0</v>
      </c>
      <c r="DU649" s="272">
        <f>'Detailed Budget'!$AC$192</f>
        <v>77498869683.252869</v>
      </c>
      <c r="DV649" s="269">
        <f t="shared" si="1708"/>
        <v>91574836.460918784</v>
      </c>
      <c r="DW649" s="140">
        <f>'Detailed Budget'!$AC$194</f>
        <v>2684962805.4134097</v>
      </c>
      <c r="DX649" s="269">
        <f t="shared" si="1709"/>
        <v>3172627.3017181186</v>
      </c>
      <c r="DY649" s="607">
        <f t="shared" si="1648"/>
        <v>94747463.7626369</v>
      </c>
      <c r="DZ649" s="196">
        <f>'Detailed Budget'!$AC$198</f>
        <v>18732540018.380611</v>
      </c>
      <c r="EA649" s="269">
        <f t="shared" si="1710"/>
        <v>17439026.376030657</v>
      </c>
      <c r="EB649" s="196">
        <f>'Detailed Budget'!$AC$200</f>
        <v>4683135004.5951529</v>
      </c>
      <c r="EC649" s="269">
        <f t="shared" si="1711"/>
        <v>4359756.5940076644</v>
      </c>
      <c r="ED649" s="269">
        <f t="shared" si="1649"/>
        <v>21798782.970038321</v>
      </c>
      <c r="EE649" s="196">
        <f>'Detailed Budget'!$AC$161</f>
        <v>251147290106.36197</v>
      </c>
      <c r="EF649" s="269">
        <f t="shared" si="1712"/>
        <v>296762676.83763319</v>
      </c>
      <c r="EG649" s="196">
        <f>'Detailed Budget'!$AC$163</f>
        <v>15696705631.647623</v>
      </c>
      <c r="EH649" s="269">
        <f t="shared" si="1713"/>
        <v>18547667.302352075</v>
      </c>
      <c r="EI649" s="269">
        <f t="shared" si="1650"/>
        <v>315310344.13998526</v>
      </c>
      <c r="EJ649" s="196">
        <f>'Detailed Budget'!$AC$204</f>
        <v>45012172507.531975</v>
      </c>
      <c r="EK649" s="269">
        <f t="shared" si="1714"/>
        <v>50186354.794298008</v>
      </c>
      <c r="EL649" s="201">
        <f>'Detailed Budget'!$AC$206</f>
        <v>11253043126.882994</v>
      </c>
      <c r="EM649" s="269">
        <f t="shared" si="1715"/>
        <v>12546588.698574502</v>
      </c>
      <c r="EN649" s="269">
        <f t="shared" si="1651"/>
        <v>62732943.492872506</v>
      </c>
      <c r="EO649" s="140">
        <f>'Detailed Budget'!$AC$209</f>
        <v>135789361677.54817</v>
      </c>
      <c r="EP649" s="269">
        <f t="shared" si="1716"/>
        <v>140473812.12378398</v>
      </c>
      <c r="EQ649" s="196">
        <f>'Detailed Budget'!$AC$211</f>
        <v>33947340419.387043</v>
      </c>
      <c r="ER649" s="269">
        <f t="shared" si="1717"/>
        <v>35118453.030945994</v>
      </c>
      <c r="ES649" s="269">
        <f t="shared" si="1652"/>
        <v>175592265.15472996</v>
      </c>
      <c r="ET649" s="196">
        <f>'Detailed Budget'!$AC$214</f>
        <v>22239745544.201103</v>
      </c>
      <c r="EU649" s="269">
        <f t="shared" si="1718"/>
        <v>22343719.989268076</v>
      </c>
      <c r="EV649" s="140">
        <f>'Detailed Budget'!$AC$217</f>
        <v>5559936386.0502758</v>
      </c>
      <c r="EW649" s="269">
        <f t="shared" si="1719"/>
        <v>5585929.9973170189</v>
      </c>
      <c r="EX649" s="269">
        <f t="shared" si="1653"/>
        <v>27929649.986585096</v>
      </c>
      <c r="EY649" s="196">
        <f>'Detailed Budget'!$AC$219</f>
        <v>372777004.58170313</v>
      </c>
      <c r="EZ649" s="269">
        <f t="shared" si="1720"/>
        <v>392072.54209117341</v>
      </c>
      <c r="FA649" s="196">
        <f>'Detailed Budget'!$AC$222</f>
        <v>93194251.145425782</v>
      </c>
      <c r="FB649" s="269">
        <f t="shared" si="1721"/>
        <v>98018.135522793353</v>
      </c>
      <c r="FC649" s="269">
        <f t="shared" si="1654"/>
        <v>490090.67761396675</v>
      </c>
      <c r="FD649" s="269"/>
      <c r="FE649" s="269">
        <f t="shared" si="1663"/>
        <v>266744949.31180155</v>
      </c>
      <c r="FF649" s="140">
        <f>'Detailed Budget'!$AC$165</f>
        <v>14927760000</v>
      </c>
      <c r="FG649" s="1087">
        <f t="shared" si="1749"/>
        <v>363857767.73737466</v>
      </c>
      <c r="FH649" s="269">
        <f t="shared" si="1722"/>
        <v>20353723.440518126</v>
      </c>
      <c r="FJ649" s="140">
        <f>'Detailed Budget'!$AC$235</f>
        <v>3623696172</v>
      </c>
      <c r="FK649" s="269">
        <f t="shared" si="1723"/>
        <v>4681778</v>
      </c>
      <c r="FL649" s="269">
        <f t="shared" si="1750"/>
        <v>4681778</v>
      </c>
      <c r="FO649" s="607"/>
      <c r="FP649" s="607"/>
      <c r="FQ649" s="607"/>
      <c r="FR649" s="269">
        <f>'Detailed Budget'!$AC$257</f>
        <v>13636439388</v>
      </c>
      <c r="FS649" s="269">
        <f t="shared" si="1724"/>
        <v>12991368</v>
      </c>
      <c r="FT649" s="269">
        <f t="shared" si="1751"/>
        <v>12991368</v>
      </c>
      <c r="FU649" s="269"/>
      <c r="FV649" s="269"/>
      <c r="FW649" s="269"/>
      <c r="FX649" s="140">
        <f>'Detailed Budget'!$AC$278</f>
        <v>1114560000</v>
      </c>
      <c r="FY649" s="269">
        <f t="shared" si="1725"/>
        <v>1440000</v>
      </c>
      <c r="FZ649" s="269">
        <f t="shared" si="1752"/>
        <v>1440000</v>
      </c>
      <c r="GB649" s="269">
        <f t="shared" ref="GB649:GB712" si="1760">SUM(CX649,DC649,DG649,DL649,DT649,DY649,ED649,EI649,FE649,FG649,FH649,FL649,FT649,FZ649,GA649)</f>
        <v>2181326074.4724708</v>
      </c>
      <c r="GC649" s="887">
        <f t="shared" si="1668"/>
        <v>1363328.7965452941</v>
      </c>
      <c r="GD649" s="1078">
        <f t="shared" ref="GD649:GD712" si="1761">GB649/1782113496426</f>
        <v>1.2240107483878469E-3</v>
      </c>
    </row>
    <row r="650" spans="1:186" hidden="1" outlineLevel="1">
      <c r="A650" s="211" t="s">
        <v>1401</v>
      </c>
      <c r="B650" s="212" t="s">
        <v>1402</v>
      </c>
      <c r="C650" s="213" t="s">
        <v>215</v>
      </c>
      <c r="D650" s="214"/>
      <c r="E650" s="213"/>
      <c r="F650" s="213"/>
      <c r="G650" s="213" t="s">
        <v>215</v>
      </c>
      <c r="H650" s="213" t="s">
        <v>215</v>
      </c>
      <c r="I650" s="214" t="s">
        <v>215</v>
      </c>
      <c r="J650" s="214"/>
      <c r="K650" s="213"/>
      <c r="L650" s="213"/>
      <c r="M650" s="214" t="s">
        <v>215</v>
      </c>
      <c r="N650" s="213"/>
      <c r="O650" s="214"/>
      <c r="P650" s="213"/>
      <c r="Q650" s="214"/>
      <c r="R650" s="214" t="s">
        <v>215</v>
      </c>
      <c r="S650" s="214"/>
      <c r="T650" s="214"/>
      <c r="U650" s="215">
        <f t="shared" si="1726"/>
        <v>6</v>
      </c>
      <c r="V650" s="845" t="s">
        <v>216</v>
      </c>
      <c r="W650" s="216">
        <v>143559</v>
      </c>
      <c r="X650" s="217">
        <v>3.22</v>
      </c>
      <c r="Y650" s="218">
        <f t="shared" si="1598"/>
        <v>1.0322</v>
      </c>
      <c r="Z650" s="196">
        <v>19</v>
      </c>
      <c r="AA650" s="218">
        <f t="shared" si="1599"/>
        <v>1.8260524174418462</v>
      </c>
      <c r="AB650" s="196">
        <f t="shared" si="1746"/>
        <v>262146.25899553398</v>
      </c>
      <c r="AC650">
        <v>12.7</v>
      </c>
      <c r="AD650" s="196">
        <f t="shared" si="1747"/>
        <v>33292.574892432815</v>
      </c>
      <c r="AE650" s="196">
        <f t="shared" si="1600"/>
        <v>31627.946147811173</v>
      </c>
      <c r="AF650" s="196">
        <f t="shared" si="1727"/>
        <v>0</v>
      </c>
      <c r="AG650" s="606">
        <f t="shared" si="1671"/>
        <v>1.4623373805895408E-3</v>
      </c>
      <c r="AH650" s="196">
        <f t="shared" si="1744"/>
        <v>13107.3129497767</v>
      </c>
      <c r="AI650" s="248">
        <f t="shared" si="1644"/>
        <v>1.0154036747002802E-3</v>
      </c>
      <c r="AJ650" s="196">
        <f t="shared" si="1672"/>
        <v>46399.887842209515</v>
      </c>
      <c r="AK650" s="196">
        <f t="shared" si="1698"/>
        <v>10485.850359821359</v>
      </c>
      <c r="AL650" s="196">
        <f t="shared" si="1699"/>
        <v>10485.850359821359</v>
      </c>
      <c r="AM650" s="196">
        <f t="shared" si="1656"/>
        <v>20971.700719642718</v>
      </c>
      <c r="AN650" s="627">
        <f t="shared" si="1657"/>
        <v>1.0154036747002802E-3</v>
      </c>
      <c r="AO650" s="196">
        <f t="shared" si="1658"/>
        <v>9961.5578418302903</v>
      </c>
      <c r="AP650" s="589">
        <f t="shared" si="1673"/>
        <v>1.01540367470028E-3</v>
      </c>
      <c r="AQ650" s="196"/>
      <c r="AR650" s="589"/>
      <c r="AS650">
        <v>1</v>
      </c>
      <c r="AT650" s="589">
        <f t="shared" si="1674"/>
        <v>1.2919896640826874E-3</v>
      </c>
      <c r="AU650" s="196">
        <v>13</v>
      </c>
      <c r="AV650" s="245">
        <f t="shared" si="1645"/>
        <v>1.4771048744460858E-3</v>
      </c>
      <c r="AX650" s="245"/>
      <c r="AY650" s="245"/>
      <c r="AZ650" s="196">
        <v>22</v>
      </c>
      <c r="BA650" s="589">
        <f t="shared" si="1754"/>
        <v>8.0612656187021366E-4</v>
      </c>
      <c r="BI650" s="196">
        <v>1</v>
      </c>
      <c r="BJ650" s="196">
        <f t="shared" si="1728"/>
        <v>145636.8221892181</v>
      </c>
      <c r="BK650" s="246">
        <f t="shared" si="1755"/>
        <v>2.7772063308951094E-3</v>
      </c>
      <c r="BL650" s="196">
        <f t="shared" si="1745"/>
        <v>2912.7364437843621</v>
      </c>
      <c r="BM650" s="246">
        <f t="shared" si="1756"/>
        <v>2.7772060131372512E-3</v>
      </c>
      <c r="BN650" s="196">
        <v>0</v>
      </c>
      <c r="BO650" s="196">
        <f t="shared" si="1729"/>
        <v>13449.201873364815</v>
      </c>
      <c r="BP650" s="196">
        <f t="shared" si="1676"/>
        <v>0</v>
      </c>
      <c r="BQ650" s="248">
        <f t="shared" si="1757"/>
        <v>0</v>
      </c>
      <c r="BR650" s="248"/>
      <c r="BS650" s="248"/>
      <c r="BT650" s="276">
        <v>0</v>
      </c>
      <c r="BU650" s="196">
        <f t="shared" si="1730"/>
        <v>0</v>
      </c>
      <c r="BV650" s="264">
        <f t="shared" si="1758"/>
        <v>0</v>
      </c>
      <c r="BW650" s="196">
        <f t="shared" si="1731"/>
        <v>0</v>
      </c>
      <c r="BX650" s="247">
        <f t="shared" si="1759"/>
        <v>0</v>
      </c>
      <c r="BY650" s="196">
        <f t="shared" si="1732"/>
        <v>0</v>
      </c>
      <c r="BZ650" s="620">
        <v>1</v>
      </c>
      <c r="CA650" s="196">
        <f t="shared" si="1733"/>
        <v>80216.755252633404</v>
      </c>
      <c r="CB650" s="196">
        <f t="shared" si="1734"/>
        <v>160433.51050526681</v>
      </c>
      <c r="CC650" s="196">
        <f t="shared" si="1682"/>
        <v>240650.2657579002</v>
      </c>
      <c r="CD650" s="247">
        <f t="shared" si="1646"/>
        <v>1.0154036747002802E-3</v>
      </c>
      <c r="CE650" s="196">
        <f t="shared" si="1735"/>
        <v>18525.485435036229</v>
      </c>
      <c r="CF650" s="247">
        <f t="shared" si="1647"/>
        <v>7.999880743380063E-4</v>
      </c>
      <c r="CG650" s="196">
        <f t="shared" si="1703"/>
        <v>39846.231367321161</v>
      </c>
      <c r="CH650" s="589">
        <f t="shared" si="1684"/>
        <v>1.01540367470028E-3</v>
      </c>
      <c r="CI650" s="196">
        <f t="shared" si="1736"/>
        <v>58278.971551756214</v>
      </c>
      <c r="CJ650" s="248">
        <f t="shared" si="1686"/>
        <v>9.581061443792835E-4</v>
      </c>
      <c r="CK650" s="196">
        <f t="shared" si="1737"/>
        <v>61840.572473785345</v>
      </c>
      <c r="CL650" s="589">
        <f t="shared" si="1688"/>
        <v>8.889709493737362E-4</v>
      </c>
      <c r="CM650" s="196">
        <f t="shared" si="1738"/>
        <v>5990.8077492627317</v>
      </c>
      <c r="CN650" s="589">
        <f t="shared" si="1690"/>
        <v>8.6334348010826969E-4</v>
      </c>
      <c r="CO650" s="196">
        <f t="shared" si="1739"/>
        <v>479.25763825789141</v>
      </c>
      <c r="CP650" s="589">
        <f t="shared" si="1692"/>
        <v>9.0380608648846315E-4</v>
      </c>
      <c r="CQ650" s="196">
        <f>'Detailed Budget'!$AC$12</f>
        <v>292876014141.44696</v>
      </c>
      <c r="CR650" s="269">
        <f t="shared" si="1701"/>
        <v>813377120.64095211</v>
      </c>
      <c r="CS650" s="269">
        <f>'Detailed Budget'!$AC$16</f>
        <v>10488008800.000002</v>
      </c>
      <c r="CT650" s="607">
        <f t="shared" si="1705"/>
        <v>29127361.105196413</v>
      </c>
      <c r="CU650" s="269">
        <f>'Detailed Budget'!$AC$24</f>
        <v>30624985696</v>
      </c>
      <c r="CV650" s="269">
        <f t="shared" si="1753"/>
        <v>85051904.158503368</v>
      </c>
      <c r="CW650" s="269"/>
      <c r="CX650" s="269">
        <f t="shared" si="1660"/>
        <v>927556385.90465188</v>
      </c>
      <c r="CY650" s="196">
        <f>'Detailed Budget'!$AC$97</f>
        <v>74629165494.837845</v>
      </c>
      <c r="CZ650" s="269">
        <f t="shared" si="1706"/>
        <v>0</v>
      </c>
      <c r="DA650" s="269">
        <f>'Detailed Budget'!$AC$100</f>
        <v>14925833098.967569</v>
      </c>
      <c r="DB650" s="269">
        <f t="shared" si="1707"/>
        <v>0</v>
      </c>
      <c r="DC650" s="269">
        <f t="shared" si="1661"/>
        <v>0</v>
      </c>
      <c r="DD650" s="207">
        <v>0</v>
      </c>
      <c r="DE650" s="606">
        <v>0</v>
      </c>
      <c r="DF650" s="269">
        <f>'Detailed Budget'!$AC$147</f>
        <v>5913600671000</v>
      </c>
      <c r="DG650" s="269">
        <f t="shared" si="1748"/>
        <v>0</v>
      </c>
      <c r="DH650" s="269">
        <f>'Detailed Budget'!$AC$153</f>
        <v>226428026880.00003</v>
      </c>
      <c r="DI650" s="269"/>
      <c r="DJ650" s="269">
        <f>'Detailed Budget'!$AC$156</f>
        <v>27713070000</v>
      </c>
      <c r="DK650" s="269"/>
      <c r="DL650" s="269"/>
      <c r="DM650" s="196">
        <f>'Detailed Budget'!$AC$178</f>
        <v>5622683761.6229038</v>
      </c>
      <c r="DN650" s="269">
        <f t="shared" si="1740"/>
        <v>0</v>
      </c>
      <c r="DO650" s="196">
        <f>'Detailed Budget'!$AC$179</f>
        <v>26827890683.128094</v>
      </c>
      <c r="DP650" s="269">
        <f t="shared" si="1741"/>
        <v>0</v>
      </c>
      <c r="DQ650" s="269">
        <f t="shared" si="1700"/>
        <v>0</v>
      </c>
      <c r="DR650" s="269">
        <f>'Detailed Budget'!$AC$181</f>
        <v>50888946855.375237</v>
      </c>
      <c r="DS650" s="269">
        <f t="shared" si="1742"/>
        <v>0</v>
      </c>
      <c r="DT650" s="269">
        <f t="shared" si="1743"/>
        <v>0</v>
      </c>
      <c r="DU650" s="272">
        <f>'Detailed Budget'!$AC$192</f>
        <v>77498869683.252869</v>
      </c>
      <c r="DV650" s="269">
        <f t="shared" si="1708"/>
        <v>78692637.061493114</v>
      </c>
      <c r="DW650" s="140">
        <f>'Detailed Budget'!$AC$194</f>
        <v>2684962805.4134097</v>
      </c>
      <c r="DX650" s="269">
        <f t="shared" si="1709"/>
        <v>2726321.0990503496</v>
      </c>
      <c r="DY650" s="607">
        <f t="shared" si="1648"/>
        <v>81418958.160543457</v>
      </c>
      <c r="DZ650" s="196">
        <f>'Detailed Budget'!$AC$198</f>
        <v>18732540018.380611</v>
      </c>
      <c r="EA650" s="269">
        <f t="shared" si="1710"/>
        <v>14985808.616763946</v>
      </c>
      <c r="EB650" s="196">
        <f>'Detailed Budget'!$AC$200</f>
        <v>4683135004.5951529</v>
      </c>
      <c r="EC650" s="269">
        <f t="shared" si="1711"/>
        <v>3746452.1541909864</v>
      </c>
      <c r="ED650" s="269">
        <f t="shared" si="1649"/>
        <v>18732260.770954933</v>
      </c>
      <c r="EE650" s="196">
        <f>'Detailed Budget'!$AC$161</f>
        <v>251147290106.36197</v>
      </c>
      <c r="EF650" s="269">
        <f t="shared" si="1712"/>
        <v>255015881.26501721</v>
      </c>
      <c r="EG650" s="196">
        <f>'Detailed Budget'!$AC$163</f>
        <v>15696705631.647623</v>
      </c>
      <c r="EH650" s="269">
        <f t="shared" si="1713"/>
        <v>15938492.579063576</v>
      </c>
      <c r="EI650" s="269">
        <f t="shared" si="1650"/>
        <v>270954373.84408081</v>
      </c>
      <c r="EJ650" s="196">
        <f>'Detailed Budget'!$AC$204</f>
        <v>45012172507.531975</v>
      </c>
      <c r="EK650" s="269">
        <f t="shared" si="1714"/>
        <v>43126439.051326647</v>
      </c>
      <c r="EL650" s="201">
        <f>'Detailed Budget'!$AC$206</f>
        <v>11253043126.882994</v>
      </c>
      <c r="EM650" s="269">
        <f t="shared" si="1715"/>
        <v>10781609.762831662</v>
      </c>
      <c r="EN650" s="269">
        <f t="shared" si="1651"/>
        <v>53908048.814158306</v>
      </c>
      <c r="EO650" s="140">
        <f>'Detailed Budget'!$AC$209</f>
        <v>135789361677.54817</v>
      </c>
      <c r="EP650" s="269">
        <f t="shared" si="1716"/>
        <v>120712797.76534364</v>
      </c>
      <c r="EQ650" s="196">
        <f>'Detailed Budget'!$AC$211</f>
        <v>33947340419.387043</v>
      </c>
      <c r="ER650" s="269">
        <f t="shared" si="1717"/>
        <v>30178199.441335909</v>
      </c>
      <c r="ES650" s="269">
        <f t="shared" si="1652"/>
        <v>150890997.20667955</v>
      </c>
      <c r="ET650" s="196">
        <f>'Detailed Budget'!$AC$214</f>
        <v>22239745544.201103</v>
      </c>
      <c r="EU650" s="269">
        <f t="shared" si="1718"/>
        <v>19200539.314852964</v>
      </c>
      <c r="EV650" s="140">
        <f>'Detailed Budget'!$AC$217</f>
        <v>5559936386.0502758</v>
      </c>
      <c r="EW650" s="269">
        <f t="shared" si="1719"/>
        <v>4800134.828713241</v>
      </c>
      <c r="EX650" s="269">
        <f t="shared" si="1653"/>
        <v>24000674.143566206</v>
      </c>
      <c r="EY650" s="196">
        <f>'Detailed Budget'!$AC$219</f>
        <v>372777004.58170313</v>
      </c>
      <c r="EZ650" s="269">
        <f t="shared" si="1720"/>
        <v>336918.12564388098</v>
      </c>
      <c r="FA650" s="196">
        <f>'Detailed Budget'!$AC$222</f>
        <v>93194251.145425782</v>
      </c>
      <c r="FB650" s="269">
        <f t="shared" si="1721"/>
        <v>84229.531410970245</v>
      </c>
      <c r="FC650" s="269">
        <f t="shared" si="1654"/>
        <v>421147.65705485124</v>
      </c>
      <c r="FD650" s="269"/>
      <c r="FE650" s="269">
        <f t="shared" si="1663"/>
        <v>229220867.82145888</v>
      </c>
      <c r="FF650" s="140">
        <f>'Detailed Budget'!$AC$165</f>
        <v>14927760000</v>
      </c>
      <c r="FG650" s="1087">
        <f t="shared" si="1749"/>
        <v>312672436.7209971</v>
      </c>
      <c r="FH650" s="269">
        <f t="shared" si="1722"/>
        <v>22049867.060561303</v>
      </c>
      <c r="FJ650" s="140">
        <f>'Detailed Budget'!$AC$235</f>
        <v>3623696172</v>
      </c>
      <c r="FK650" s="269">
        <f t="shared" si="1723"/>
        <v>4681778</v>
      </c>
      <c r="FL650" s="269">
        <f t="shared" si="1750"/>
        <v>4681778</v>
      </c>
      <c r="FO650" s="607"/>
      <c r="FP650" s="607"/>
      <c r="FQ650" s="607"/>
      <c r="FR650" s="269">
        <f>'Detailed Budget'!$AC$257</f>
        <v>13636439388</v>
      </c>
      <c r="FS650" s="269">
        <f t="shared" si="1724"/>
        <v>10992696</v>
      </c>
      <c r="FT650" s="269">
        <f t="shared" si="1751"/>
        <v>10992696</v>
      </c>
      <c r="FU650" s="269"/>
      <c r="FV650" s="269"/>
      <c r="FW650" s="269"/>
      <c r="FX650" s="140">
        <f>'Detailed Budget'!$AC$278</f>
        <v>1114560000</v>
      </c>
      <c r="FY650" s="269">
        <f t="shared" si="1725"/>
        <v>1440000</v>
      </c>
      <c r="FZ650" s="269">
        <f t="shared" si="1752"/>
        <v>1440000</v>
      </c>
      <c r="GB650" s="269">
        <f t="shared" si="1760"/>
        <v>1879719624.2832484</v>
      </c>
      <c r="GC650" s="887">
        <f t="shared" si="1668"/>
        <v>1174824.7651770303</v>
      </c>
      <c r="GD650" s="1078">
        <f t="shared" si="1761"/>
        <v>1.0547698718701116E-3</v>
      </c>
    </row>
    <row r="651" spans="1:186" hidden="1" outlineLevel="1">
      <c r="A651" s="211" t="s">
        <v>1403</v>
      </c>
      <c r="B651" s="212" t="s">
        <v>1404</v>
      </c>
      <c r="C651" s="213" t="s">
        <v>215</v>
      </c>
      <c r="D651" s="214"/>
      <c r="E651" s="213"/>
      <c r="F651" s="213"/>
      <c r="G651" s="213" t="s">
        <v>215</v>
      </c>
      <c r="H651" s="213" t="s">
        <v>215</v>
      </c>
      <c r="I651" s="214" t="s">
        <v>215</v>
      </c>
      <c r="J651" s="214"/>
      <c r="K651" s="213"/>
      <c r="L651" s="213"/>
      <c r="M651" s="214" t="s">
        <v>215</v>
      </c>
      <c r="N651" s="213"/>
      <c r="O651" s="214"/>
      <c r="P651" s="213"/>
      <c r="Q651" s="214"/>
      <c r="R651" s="214" t="s">
        <v>215</v>
      </c>
      <c r="S651" s="214"/>
      <c r="T651" s="214"/>
      <c r="U651" s="215">
        <f t="shared" si="1726"/>
        <v>6</v>
      </c>
      <c r="V651" s="845" t="s">
        <v>216</v>
      </c>
      <c r="W651" s="216">
        <v>235147</v>
      </c>
      <c r="X651" s="217">
        <v>3.22</v>
      </c>
      <c r="Y651" s="218">
        <f t="shared" si="1598"/>
        <v>1.0322</v>
      </c>
      <c r="Z651" s="196">
        <v>19</v>
      </c>
      <c r="AA651" s="218">
        <f t="shared" si="1599"/>
        <v>1.8260524174418462</v>
      </c>
      <c r="AB651" s="196">
        <f t="shared" si="1746"/>
        <v>429390.74780419783</v>
      </c>
      <c r="AC651">
        <v>12.7</v>
      </c>
      <c r="AD651" s="196">
        <f t="shared" si="1747"/>
        <v>54532.624971133126</v>
      </c>
      <c r="AE651" s="196">
        <f t="shared" si="1600"/>
        <v>51805.993722576466</v>
      </c>
      <c r="AF651" s="196">
        <f t="shared" si="1727"/>
        <v>0</v>
      </c>
      <c r="AG651" s="606">
        <f t="shared" si="1671"/>
        <v>2.3952817171580239E-3</v>
      </c>
      <c r="AH651" s="196">
        <f t="shared" si="1744"/>
        <v>21469.537390209895</v>
      </c>
      <c r="AI651" s="248">
        <f t="shared" si="1644"/>
        <v>1.6632125320930548E-3</v>
      </c>
      <c r="AJ651" s="196">
        <f t="shared" si="1672"/>
        <v>76002.162361343013</v>
      </c>
      <c r="AK651" s="196">
        <f t="shared" si="1698"/>
        <v>17175.629912167915</v>
      </c>
      <c r="AL651" s="196">
        <f t="shared" si="1699"/>
        <v>17175.629912167915</v>
      </c>
      <c r="AM651" s="196">
        <f t="shared" si="1656"/>
        <v>34351.25982433583</v>
      </c>
      <c r="AN651" s="627">
        <f t="shared" si="1657"/>
        <v>1.6632125320930546E-3</v>
      </c>
      <c r="AO651" s="196">
        <f t="shared" si="1658"/>
        <v>16316.848416559516</v>
      </c>
      <c r="AP651" s="589">
        <f t="shared" si="1673"/>
        <v>1.6632125320930544E-3</v>
      </c>
      <c r="AQ651" s="196"/>
      <c r="AR651" s="589"/>
      <c r="AS651">
        <v>1</v>
      </c>
      <c r="AT651" s="589">
        <f t="shared" si="1674"/>
        <v>1.2919896640826874E-3</v>
      </c>
      <c r="AU651" s="196">
        <v>11</v>
      </c>
      <c r="AV651" s="245">
        <f t="shared" si="1645"/>
        <v>1.2498579706851495E-3</v>
      </c>
      <c r="AX651" s="245"/>
      <c r="AY651" s="245"/>
      <c r="AZ651" s="196">
        <v>20</v>
      </c>
      <c r="BA651" s="589">
        <f t="shared" si="1754"/>
        <v>7.3284232897292143E-4</v>
      </c>
      <c r="BI651" s="196">
        <v>1</v>
      </c>
      <c r="BJ651" s="196">
        <f t="shared" si="1728"/>
        <v>238550.43450656577</v>
      </c>
      <c r="BK651" s="246">
        <f t="shared" si="1755"/>
        <v>4.5490128594584279E-3</v>
      </c>
      <c r="BL651" s="196">
        <f t="shared" si="1745"/>
        <v>4771.0086901313152</v>
      </c>
      <c r="BM651" s="246">
        <f t="shared" si="1756"/>
        <v>4.5490123389769037E-3</v>
      </c>
      <c r="BN651" s="196">
        <v>0</v>
      </c>
      <c r="BO651" s="196">
        <f t="shared" si="1729"/>
        <v>22029.545155065971</v>
      </c>
      <c r="BP651" s="196">
        <f t="shared" si="1676"/>
        <v>0</v>
      </c>
      <c r="BQ651" s="248">
        <f t="shared" si="1757"/>
        <v>0</v>
      </c>
      <c r="BR651" s="248"/>
      <c r="BS651" s="248"/>
      <c r="BT651" s="276">
        <v>0</v>
      </c>
      <c r="BU651" s="196">
        <f t="shared" si="1730"/>
        <v>0</v>
      </c>
      <c r="BV651" s="264">
        <f t="shared" si="1758"/>
        <v>0</v>
      </c>
      <c r="BW651" s="196">
        <f t="shared" si="1731"/>
        <v>0</v>
      </c>
      <c r="BX651" s="247">
        <f t="shared" si="1759"/>
        <v>0</v>
      </c>
      <c r="BY651" s="196">
        <f t="shared" si="1732"/>
        <v>0</v>
      </c>
      <c r="BZ651" s="620">
        <v>1</v>
      </c>
      <c r="CA651" s="196">
        <f t="shared" si="1733"/>
        <v>131393.56882808454</v>
      </c>
      <c r="CB651" s="196">
        <f t="shared" si="1734"/>
        <v>262787.13765616907</v>
      </c>
      <c r="CC651" s="196">
        <f t="shared" si="1682"/>
        <v>394180.70648425363</v>
      </c>
      <c r="CD651" s="247">
        <f t="shared" si="1646"/>
        <v>1.6632125320930546E-3</v>
      </c>
      <c r="CE651" s="196">
        <f t="shared" si="1735"/>
        <v>30344.404207276901</v>
      </c>
      <c r="CF651" s="247">
        <f t="shared" si="1647"/>
        <v>1.3103657431185727E-3</v>
      </c>
      <c r="CG651" s="196">
        <f t="shared" si="1703"/>
        <v>65267.393666238066</v>
      </c>
      <c r="CH651" s="589">
        <f t="shared" si="1684"/>
        <v>1.6632125320930544E-3</v>
      </c>
      <c r="CI651" s="196">
        <f t="shared" si="1736"/>
        <v>95459.882859875172</v>
      </c>
      <c r="CJ651" s="248">
        <f t="shared" si="1686"/>
        <v>1.5693602319071279E-3</v>
      </c>
      <c r="CK651" s="196">
        <f t="shared" si="1737"/>
        <v>101293.71962394001</v>
      </c>
      <c r="CL651" s="589">
        <f t="shared" si="1688"/>
        <v>1.4561180548233546E-3</v>
      </c>
      <c r="CM651" s="196">
        <f t="shared" si="1738"/>
        <v>9812.8328409635305</v>
      </c>
      <c r="CN651" s="589">
        <f t="shared" si="1690"/>
        <v>1.4141407318037829E-3</v>
      </c>
      <c r="CO651" s="196">
        <f t="shared" si="1739"/>
        <v>785.0151914086083</v>
      </c>
      <c r="CP651" s="589">
        <f t="shared" si="1692"/>
        <v>1.4804177363975973E-3</v>
      </c>
      <c r="CQ651" s="196">
        <f>'Detailed Budget'!$AC$12</f>
        <v>292876014141.44696</v>
      </c>
      <c r="CR651" s="269">
        <f t="shared" si="1701"/>
        <v>1332296754.5563705</v>
      </c>
      <c r="CS651" s="269">
        <f>'Detailed Budget'!$AC$16</f>
        <v>10488008800.000002</v>
      </c>
      <c r="CT651" s="607">
        <f t="shared" si="1705"/>
        <v>47710081.442498356</v>
      </c>
      <c r="CU651" s="269">
        <f>'Detailed Budget'!$AC$24</f>
        <v>30624985696</v>
      </c>
      <c r="CV651" s="269">
        <f t="shared" si="1753"/>
        <v>139313453.75183442</v>
      </c>
      <c r="CW651" s="269"/>
      <c r="CX651" s="269">
        <f t="shared" si="1660"/>
        <v>1519320289.7507033</v>
      </c>
      <c r="CY651" s="196">
        <f>'Detailed Budget'!$AC$97</f>
        <v>74629165494.837845</v>
      </c>
      <c r="CZ651" s="269">
        <f t="shared" si="1706"/>
        <v>0</v>
      </c>
      <c r="DA651" s="269">
        <f>'Detailed Budget'!$AC$100</f>
        <v>14925833098.967569</v>
      </c>
      <c r="DB651" s="269">
        <f t="shared" si="1707"/>
        <v>0</v>
      </c>
      <c r="DC651" s="269">
        <f t="shared" si="1661"/>
        <v>0</v>
      </c>
      <c r="DD651" s="207">
        <v>0</v>
      </c>
      <c r="DE651" s="606">
        <v>0</v>
      </c>
      <c r="DF651" s="269">
        <f>'Detailed Budget'!$AC$147</f>
        <v>5913600671000</v>
      </c>
      <c r="DG651" s="269">
        <f t="shared" si="1748"/>
        <v>0</v>
      </c>
      <c r="DH651" s="269">
        <f>'Detailed Budget'!$AC$153</f>
        <v>226428026880.00003</v>
      </c>
      <c r="DI651" s="269"/>
      <c r="DJ651" s="269">
        <f>'Detailed Budget'!$AC$156</f>
        <v>27713070000</v>
      </c>
      <c r="DK651" s="269"/>
      <c r="DL651" s="269"/>
      <c r="DM651" s="196">
        <f>'Detailed Budget'!$AC$178</f>
        <v>5622683761.6229038</v>
      </c>
      <c r="DN651" s="269">
        <f t="shared" si="1740"/>
        <v>0</v>
      </c>
      <c r="DO651" s="196">
        <f>'Detailed Budget'!$AC$179</f>
        <v>26827890683.128094</v>
      </c>
      <c r="DP651" s="269">
        <f t="shared" si="1741"/>
        <v>0</v>
      </c>
      <c r="DQ651" s="269">
        <f t="shared" si="1700"/>
        <v>0</v>
      </c>
      <c r="DR651" s="269">
        <f>'Detailed Budget'!$AC$181</f>
        <v>50888946855.375237</v>
      </c>
      <c r="DS651" s="269">
        <f t="shared" si="1742"/>
        <v>0</v>
      </c>
      <c r="DT651" s="269">
        <f t="shared" si="1743"/>
        <v>0</v>
      </c>
      <c r="DU651" s="272">
        <f>'Detailed Budget'!$AC$192</f>
        <v>77498869683.252869</v>
      </c>
      <c r="DV651" s="269">
        <f t="shared" si="1708"/>
        <v>128897091.28023267</v>
      </c>
      <c r="DW651" s="140">
        <f>'Detailed Budget'!$AC$194</f>
        <v>2684962805.4134097</v>
      </c>
      <c r="DX651" s="269">
        <f t="shared" si="1709"/>
        <v>4465663.7861673087</v>
      </c>
      <c r="DY651" s="607">
        <f t="shared" si="1648"/>
        <v>133362755.06639998</v>
      </c>
      <c r="DZ651" s="196">
        <f>'Detailed Budget'!$AC$198</f>
        <v>18732540018.380611</v>
      </c>
      <c r="EA651" s="269">
        <f t="shared" si="1710"/>
        <v>24546478.721683711</v>
      </c>
      <c r="EB651" s="196">
        <f>'Detailed Budget'!$AC$200</f>
        <v>4683135004.5951529</v>
      </c>
      <c r="EC651" s="269">
        <f t="shared" si="1711"/>
        <v>6136619.6804209277</v>
      </c>
      <c r="ED651" s="269">
        <f t="shared" si="1649"/>
        <v>30683098.402104639</v>
      </c>
      <c r="EE651" s="196">
        <f>'Detailed Budget'!$AC$161</f>
        <v>251147290106.36197</v>
      </c>
      <c r="EF651" s="269">
        <f t="shared" si="1712"/>
        <v>417711320.30611122</v>
      </c>
      <c r="EG651" s="196">
        <f>'Detailed Budget'!$AC$163</f>
        <v>15696705631.647623</v>
      </c>
      <c r="EH651" s="269">
        <f t="shared" si="1713"/>
        <v>26106957.519131951</v>
      </c>
      <c r="EI651" s="269">
        <f t="shared" si="1650"/>
        <v>443818277.82524318</v>
      </c>
      <c r="EJ651" s="196">
        <f>'Detailed Budget'!$AC$204</f>
        <v>45012172507.531975</v>
      </c>
      <c r="EK651" s="269">
        <f t="shared" si="1714"/>
        <v>70640313.48506403</v>
      </c>
      <c r="EL651" s="201">
        <f>'Detailed Budget'!$AC$206</f>
        <v>11253043126.882994</v>
      </c>
      <c r="EM651" s="269">
        <f t="shared" si="1715"/>
        <v>17660078.371266007</v>
      </c>
      <c r="EN651" s="269">
        <f t="shared" si="1651"/>
        <v>88300391.856330037</v>
      </c>
      <c r="EO651" s="140">
        <f>'Detailed Budget'!$AC$209</f>
        <v>135789361677.54817</v>
      </c>
      <c r="EP651" s="269">
        <f t="shared" si="1716"/>
        <v>197725341.19161642</v>
      </c>
      <c r="EQ651" s="196">
        <f>'Detailed Budget'!$AC$211</f>
        <v>33947340419.387043</v>
      </c>
      <c r="ER651" s="269">
        <f t="shared" si="1717"/>
        <v>49431335.297904104</v>
      </c>
      <c r="ES651" s="269">
        <f t="shared" si="1652"/>
        <v>247156676.48952052</v>
      </c>
      <c r="ET651" s="196">
        <f>'Detailed Budget'!$AC$214</f>
        <v>22239745544.201103</v>
      </c>
      <c r="EU651" s="269">
        <f t="shared" si="1718"/>
        <v>31450130.039006468</v>
      </c>
      <c r="EV651" s="140">
        <f>'Detailed Budget'!$AC$217</f>
        <v>5559936386.0502758</v>
      </c>
      <c r="EW651" s="269">
        <f t="shared" si="1719"/>
        <v>7862532.509751617</v>
      </c>
      <c r="EX651" s="269">
        <f t="shared" si="1653"/>
        <v>39312662.548758082</v>
      </c>
      <c r="EY651" s="196">
        <f>'Detailed Budget'!$AC$219</f>
        <v>372777004.58170313</v>
      </c>
      <c r="EZ651" s="269">
        <f t="shared" si="1720"/>
        <v>551865.68930392177</v>
      </c>
      <c r="FA651" s="196">
        <f>'Detailed Budget'!$AC$222</f>
        <v>93194251.145425782</v>
      </c>
      <c r="FB651" s="269">
        <f t="shared" si="1721"/>
        <v>137966.42232598044</v>
      </c>
      <c r="FC651" s="269">
        <f t="shared" si="1654"/>
        <v>689832.11162990215</v>
      </c>
      <c r="FD651" s="269"/>
      <c r="FE651" s="269">
        <f t="shared" si="1663"/>
        <v>375459563.00623858</v>
      </c>
      <c r="FF651" s="140">
        <f>'Detailed Budget'!$AC$165</f>
        <v>14927760000</v>
      </c>
      <c r="FG651" s="1087">
        <f t="shared" si="1749"/>
        <v>512151697.05579114</v>
      </c>
      <c r="FH651" s="269">
        <f t="shared" si="1722"/>
        <v>18657579.820474949</v>
      </c>
      <c r="FJ651" s="140">
        <f>'Detailed Budget'!$AC$235</f>
        <v>3623696172</v>
      </c>
      <c r="FK651" s="269">
        <f t="shared" si="1723"/>
        <v>4681778</v>
      </c>
      <c r="FL651" s="269">
        <f t="shared" si="1750"/>
        <v>4681778</v>
      </c>
      <c r="FO651" s="607"/>
      <c r="FP651" s="607"/>
      <c r="FQ651" s="607"/>
      <c r="FR651" s="269">
        <f>'Detailed Budget'!$AC$257</f>
        <v>13636439388</v>
      </c>
      <c r="FS651" s="269">
        <f t="shared" si="1724"/>
        <v>9993360</v>
      </c>
      <c r="FT651" s="269">
        <f t="shared" si="1751"/>
        <v>9993360</v>
      </c>
      <c r="FU651" s="269"/>
      <c r="FV651" s="269"/>
      <c r="FW651" s="269"/>
      <c r="FX651" s="140">
        <f>'Detailed Budget'!$AC$278</f>
        <v>1114560000</v>
      </c>
      <c r="FY651" s="269">
        <f t="shared" si="1725"/>
        <v>1440000</v>
      </c>
      <c r="FZ651" s="269">
        <f t="shared" si="1752"/>
        <v>1440000</v>
      </c>
      <c r="GB651" s="269">
        <f t="shared" si="1760"/>
        <v>3049568398.9269557</v>
      </c>
      <c r="GC651" s="887">
        <f t="shared" si="1668"/>
        <v>1905980.2493293474</v>
      </c>
      <c r="GD651" s="1078">
        <f t="shared" si="1761"/>
        <v>1.7112088568112054E-3</v>
      </c>
    </row>
    <row r="652" spans="1:186" hidden="1" outlineLevel="1">
      <c r="A652" s="211" t="s">
        <v>1405</v>
      </c>
      <c r="B652" s="212" t="s">
        <v>1406</v>
      </c>
      <c r="C652" s="213" t="s">
        <v>215</v>
      </c>
      <c r="D652" s="214"/>
      <c r="E652" s="213"/>
      <c r="F652" s="213"/>
      <c r="G652" s="213" t="s">
        <v>215</v>
      </c>
      <c r="H652" s="213" t="s">
        <v>215</v>
      </c>
      <c r="I652" s="214" t="s">
        <v>215</v>
      </c>
      <c r="J652" s="214"/>
      <c r="K652" s="213"/>
      <c r="L652" s="213"/>
      <c r="M652" s="214" t="s">
        <v>215</v>
      </c>
      <c r="N652" s="213"/>
      <c r="O652" s="214"/>
      <c r="P652" s="213"/>
      <c r="Q652" s="214"/>
      <c r="R652" s="214" t="s">
        <v>215</v>
      </c>
      <c r="S652" s="214"/>
      <c r="T652" s="214"/>
      <c r="U652" s="215">
        <f t="shared" si="1726"/>
        <v>6</v>
      </c>
      <c r="V652" s="845" t="s">
        <v>216</v>
      </c>
      <c r="W652" s="216">
        <v>103224</v>
      </c>
      <c r="X652" s="217">
        <v>3.22</v>
      </c>
      <c r="Y652" s="218">
        <f t="shared" si="1598"/>
        <v>1.0322</v>
      </c>
      <c r="Z652" s="196">
        <v>19</v>
      </c>
      <c r="AA652" s="218">
        <f t="shared" si="1599"/>
        <v>1.8260524174418462</v>
      </c>
      <c r="AB652" s="196">
        <f t="shared" si="1746"/>
        <v>188492.43473801712</v>
      </c>
      <c r="AC652">
        <v>12.7</v>
      </c>
      <c r="AD652" s="196">
        <f t="shared" si="1747"/>
        <v>23938.539211728174</v>
      </c>
      <c r="AE652" s="196">
        <f t="shared" si="1600"/>
        <v>22741.612251141763</v>
      </c>
      <c r="AF652" s="196">
        <f t="shared" si="1727"/>
        <v>0</v>
      </c>
      <c r="AG652" s="606">
        <f t="shared" si="1671"/>
        <v>1.0514723129443277E-3</v>
      </c>
      <c r="AH652" s="196">
        <f t="shared" si="1744"/>
        <v>9424.6217369008573</v>
      </c>
      <c r="AI652" s="248">
        <f t="shared" si="1644"/>
        <v>7.3011116626099193E-4</v>
      </c>
      <c r="AJ652" s="196">
        <f t="shared" si="1672"/>
        <v>33363.160948629033</v>
      </c>
      <c r="AK652" s="196">
        <f t="shared" si="1698"/>
        <v>7539.6973895206847</v>
      </c>
      <c r="AL652" s="196">
        <f t="shared" si="1699"/>
        <v>7539.6973895206847</v>
      </c>
      <c r="AM652" s="196">
        <f t="shared" si="1656"/>
        <v>15079.394779041369</v>
      </c>
      <c r="AN652" s="627">
        <f t="shared" si="1657"/>
        <v>7.3011116626099182E-4</v>
      </c>
      <c r="AO652" s="196">
        <f t="shared" si="1658"/>
        <v>7162.7125200446508</v>
      </c>
      <c r="AP652" s="589">
        <f t="shared" si="1673"/>
        <v>7.3011116626099182E-4</v>
      </c>
      <c r="AQ652" s="196"/>
      <c r="AR652" s="589"/>
      <c r="AS652">
        <v>1</v>
      </c>
      <c r="AT652" s="589">
        <f t="shared" si="1674"/>
        <v>1.2919896640826874E-3</v>
      </c>
      <c r="AU652" s="196">
        <v>10</v>
      </c>
      <c r="AV652" s="245">
        <f t="shared" si="1645"/>
        <v>1.1362345188046814E-3</v>
      </c>
      <c r="AX652" s="245"/>
      <c r="AY652" s="245"/>
      <c r="AZ652" s="196">
        <v>23</v>
      </c>
      <c r="BA652" s="589">
        <f t="shared" si="1754"/>
        <v>8.4276867831885966E-4</v>
      </c>
      <c r="BI652" s="196">
        <v>1</v>
      </c>
      <c r="BJ652" s="196">
        <f t="shared" si="1728"/>
        <v>104718.02766569739</v>
      </c>
      <c r="BK652" s="246">
        <f t="shared" si="1755"/>
        <v>1.9969096072020341E-3</v>
      </c>
      <c r="BL652" s="196">
        <f t="shared" si="1745"/>
        <v>2094.3605533139475</v>
      </c>
      <c r="BM652" s="246">
        <f t="shared" si="1756"/>
        <v>1.9969093787228919E-3</v>
      </c>
      <c r="BN652" s="196">
        <v>0</v>
      </c>
      <c r="BO652" s="196">
        <f t="shared" si="1729"/>
        <v>9670.4519687111897</v>
      </c>
      <c r="BP652" s="196">
        <f t="shared" si="1676"/>
        <v>0</v>
      </c>
      <c r="BQ652" s="248">
        <f t="shared" si="1757"/>
        <v>0</v>
      </c>
      <c r="BR652" s="248"/>
      <c r="BS652" s="248"/>
      <c r="BT652" s="276">
        <v>0</v>
      </c>
      <c r="BU652" s="196">
        <f t="shared" si="1730"/>
        <v>0</v>
      </c>
      <c r="BV652" s="264">
        <f t="shared" si="1758"/>
        <v>0</v>
      </c>
      <c r="BW652" s="196">
        <f t="shared" si="1731"/>
        <v>0</v>
      </c>
      <c r="BX652" s="247">
        <f t="shared" si="1759"/>
        <v>0</v>
      </c>
      <c r="BY652" s="196">
        <f t="shared" si="1732"/>
        <v>0</v>
      </c>
      <c r="BZ652" s="620">
        <v>1</v>
      </c>
      <c r="CA652" s="196">
        <f t="shared" si="1733"/>
        <v>57678.685029833243</v>
      </c>
      <c r="CB652" s="196">
        <f t="shared" si="1734"/>
        <v>115357.37005966649</v>
      </c>
      <c r="CC652" s="196">
        <f t="shared" si="1682"/>
        <v>173036.05508949974</v>
      </c>
      <c r="CD652" s="247">
        <f t="shared" si="1646"/>
        <v>7.3011116626099193E-4</v>
      </c>
      <c r="CE652" s="196">
        <f t="shared" si="1735"/>
        <v>13320.479444313347</v>
      </c>
      <c r="CF652" s="247">
        <f t="shared" si="1647"/>
        <v>5.7521972837276919E-4</v>
      </c>
      <c r="CG652" s="196">
        <f t="shared" si="1703"/>
        <v>28650.850080178603</v>
      </c>
      <c r="CH652" s="589">
        <f t="shared" si="1684"/>
        <v>7.3011116626099182E-4</v>
      </c>
      <c r="CI652" s="196">
        <f t="shared" si="1736"/>
        <v>41904.642408058593</v>
      </c>
      <c r="CJ652" s="248">
        <f t="shared" si="1686"/>
        <v>6.8891221482043734E-4</v>
      </c>
      <c r="CK652" s="196">
        <f t="shared" si="1737"/>
        <v>44465.559477525043</v>
      </c>
      <c r="CL652" s="589">
        <f t="shared" si="1688"/>
        <v>6.3920156366479653E-4</v>
      </c>
      <c r="CM652" s="196">
        <f t="shared" si="1738"/>
        <v>4307.6027215980621</v>
      </c>
      <c r="CN652" s="589">
        <f t="shared" si="1690"/>
        <v>6.2077450658402488E-4</v>
      </c>
      <c r="CO652" s="196">
        <f t="shared" si="1739"/>
        <v>344.60319765067032</v>
      </c>
      <c r="CP652" s="589">
        <f t="shared" si="1692"/>
        <v>6.4986855210530251E-4</v>
      </c>
      <c r="CQ652" s="196">
        <f>'Detailed Budget'!$AC$12</f>
        <v>292876014141.44696</v>
      </c>
      <c r="CR652" s="269">
        <f t="shared" si="1701"/>
        <v>584846926.35809422</v>
      </c>
      <c r="CS652" s="269">
        <f>'Detailed Budget'!$AC$16</f>
        <v>10488008800.000002</v>
      </c>
      <c r="CT652" s="607">
        <f t="shared" si="1705"/>
        <v>20943603.136848226</v>
      </c>
      <c r="CU652" s="269">
        <f>'Detailed Budget'!$AC$24</f>
        <v>30624985696</v>
      </c>
      <c r="CV652" s="269">
        <f t="shared" si="1753"/>
        <v>61155328.156767271</v>
      </c>
      <c r="CW652" s="269"/>
      <c r="CX652" s="269">
        <f t="shared" si="1660"/>
        <v>666945857.65170968</v>
      </c>
      <c r="CY652" s="196">
        <f>'Detailed Budget'!$AC$97</f>
        <v>74629165494.837845</v>
      </c>
      <c r="CZ652" s="269">
        <f t="shared" si="1706"/>
        <v>0</v>
      </c>
      <c r="DA652" s="269">
        <f>'Detailed Budget'!$AC$100</f>
        <v>14925833098.967569</v>
      </c>
      <c r="DB652" s="269">
        <f t="shared" si="1707"/>
        <v>0</v>
      </c>
      <c r="DC652" s="269">
        <f t="shared" si="1661"/>
        <v>0</v>
      </c>
      <c r="DD652" s="207">
        <v>0</v>
      </c>
      <c r="DE652" s="606">
        <v>0</v>
      </c>
      <c r="DF652" s="269">
        <f>'Detailed Budget'!$AC$147</f>
        <v>5913600671000</v>
      </c>
      <c r="DG652" s="269">
        <f t="shared" si="1748"/>
        <v>0</v>
      </c>
      <c r="DH652" s="269">
        <f>'Detailed Budget'!$AC$153</f>
        <v>226428026880.00003</v>
      </c>
      <c r="DI652" s="269"/>
      <c r="DJ652" s="269">
        <f>'Detailed Budget'!$AC$156</f>
        <v>27713070000</v>
      </c>
      <c r="DK652" s="269"/>
      <c r="DL652" s="269"/>
      <c r="DM652" s="196">
        <f>'Detailed Budget'!$AC$178</f>
        <v>5622683761.6229038</v>
      </c>
      <c r="DN652" s="269">
        <f t="shared" si="1740"/>
        <v>0</v>
      </c>
      <c r="DO652" s="196">
        <f>'Detailed Budget'!$AC$179</f>
        <v>26827890683.128094</v>
      </c>
      <c r="DP652" s="269">
        <f t="shared" si="1741"/>
        <v>0</v>
      </c>
      <c r="DQ652" s="269">
        <f t="shared" si="1700"/>
        <v>0</v>
      </c>
      <c r="DR652" s="269">
        <f>'Detailed Budget'!$AC$181</f>
        <v>50888946855.375237</v>
      </c>
      <c r="DS652" s="269">
        <f t="shared" si="1742"/>
        <v>0</v>
      </c>
      <c r="DT652" s="269">
        <f t="shared" si="1743"/>
        <v>0</v>
      </c>
      <c r="DU652" s="272">
        <f>'Detailed Budget'!$AC$192</f>
        <v>77498869683.252869</v>
      </c>
      <c r="DV652" s="269">
        <f t="shared" si="1708"/>
        <v>56582790.12834838</v>
      </c>
      <c r="DW652" s="140">
        <f>'Detailed Budget'!$AC$194</f>
        <v>2684962805.4134097</v>
      </c>
      <c r="DX652" s="269">
        <f t="shared" si="1709"/>
        <v>1960321.3252277691</v>
      </c>
      <c r="DY652" s="607">
        <f t="shared" si="1648"/>
        <v>58543111.453576148</v>
      </c>
      <c r="DZ652" s="196">
        <f>'Detailed Budget'!$AC$198</f>
        <v>18732540018.380611</v>
      </c>
      <c r="EA652" s="269">
        <f t="shared" si="1710"/>
        <v>10775326.581104925</v>
      </c>
      <c r="EB652" s="196">
        <f>'Detailed Budget'!$AC$200</f>
        <v>4683135004.5951529</v>
      </c>
      <c r="EC652" s="269">
        <f t="shared" si="1711"/>
        <v>2693831.6452762312</v>
      </c>
      <c r="ED652" s="269">
        <f t="shared" si="1649"/>
        <v>13469158.226381157</v>
      </c>
      <c r="EE652" s="196">
        <f>'Detailed Budget'!$AC$161</f>
        <v>251147290106.36197</v>
      </c>
      <c r="EF652" s="269">
        <f t="shared" si="1712"/>
        <v>183365440.88284358</v>
      </c>
      <c r="EG652" s="196">
        <f>'Detailed Budget'!$AC$163</f>
        <v>15696705631.647623</v>
      </c>
      <c r="EH652" s="269">
        <f t="shared" si="1713"/>
        <v>11460340.055177724</v>
      </c>
      <c r="EI652" s="269">
        <f t="shared" si="1650"/>
        <v>194825780.9380213</v>
      </c>
      <c r="EJ652" s="196">
        <f>'Detailed Budget'!$AC$204</f>
        <v>45012172507.531975</v>
      </c>
      <c r="EK652" s="269">
        <f t="shared" si="1714"/>
        <v>31009435.456043452</v>
      </c>
      <c r="EL652" s="201">
        <f>'Detailed Budget'!$AC$206</f>
        <v>11253043126.882994</v>
      </c>
      <c r="EM652" s="269">
        <f t="shared" si="1715"/>
        <v>7752358.864010863</v>
      </c>
      <c r="EN652" s="269">
        <f t="shared" si="1651"/>
        <v>38761794.320054315</v>
      </c>
      <c r="EO652" s="140">
        <f>'Detailed Budget'!$AC$209</f>
        <v>135789361677.54817</v>
      </c>
      <c r="EP652" s="269">
        <f t="shared" si="1716"/>
        <v>86796772.313333392</v>
      </c>
      <c r="EQ652" s="196">
        <f>'Detailed Budget'!$AC$211</f>
        <v>33947340419.387043</v>
      </c>
      <c r="ER652" s="269">
        <f t="shared" si="1717"/>
        <v>21699193.078333348</v>
      </c>
      <c r="ES652" s="269">
        <f t="shared" si="1652"/>
        <v>108495965.39166674</v>
      </c>
      <c r="ET652" s="196">
        <f>'Detailed Budget'!$AC$214</f>
        <v>22239745544.201103</v>
      </c>
      <c r="EU652" s="269">
        <f t="shared" si="1718"/>
        <v>13805867.066755706</v>
      </c>
      <c r="EV652" s="140">
        <f>'Detailed Budget'!$AC$217</f>
        <v>5559936386.0502758</v>
      </c>
      <c r="EW652" s="269">
        <f t="shared" si="1719"/>
        <v>3451466.7666889266</v>
      </c>
      <c r="EX652" s="269">
        <f t="shared" si="1653"/>
        <v>17257333.833444633</v>
      </c>
      <c r="EY652" s="196">
        <f>'Detailed Budget'!$AC$219</f>
        <v>372777004.58170313</v>
      </c>
      <c r="EZ652" s="269">
        <f t="shared" si="1720"/>
        <v>242256.05222566312</v>
      </c>
      <c r="FA652" s="196">
        <f>'Detailed Budget'!$AC$222</f>
        <v>93194251.145425782</v>
      </c>
      <c r="FB652" s="269">
        <f t="shared" si="1721"/>
        <v>60564.013056415781</v>
      </c>
      <c r="FC652" s="269">
        <f t="shared" si="1654"/>
        <v>302820.06528207893</v>
      </c>
      <c r="FD652" s="269"/>
      <c r="FE652" s="269">
        <f t="shared" si="1663"/>
        <v>164817913.61044776</v>
      </c>
      <c r="FF652" s="140">
        <f>'Detailed Budget'!$AC$165</f>
        <v>14927760000</v>
      </c>
      <c r="FG652" s="1087">
        <f t="shared" si="1749"/>
        <v>224822544.09746656</v>
      </c>
      <c r="FH652" s="269">
        <f t="shared" si="1722"/>
        <v>16961436.200431772</v>
      </c>
      <c r="FJ652" s="140">
        <f>'Detailed Budget'!$AC$235</f>
        <v>3623696172</v>
      </c>
      <c r="FK652" s="269">
        <f t="shared" si="1723"/>
        <v>4681778</v>
      </c>
      <c r="FL652" s="269">
        <f t="shared" si="1750"/>
        <v>4681778</v>
      </c>
      <c r="FO652" s="607"/>
      <c r="FP652" s="607"/>
      <c r="FQ652" s="607"/>
      <c r="FR652" s="269">
        <f>'Detailed Budget'!$AC$257</f>
        <v>13636439388</v>
      </c>
      <c r="FS652" s="269">
        <f t="shared" si="1724"/>
        <v>11492364</v>
      </c>
      <c r="FT652" s="269">
        <f t="shared" si="1751"/>
        <v>11492364</v>
      </c>
      <c r="FU652" s="269"/>
      <c r="FV652" s="269"/>
      <c r="FW652" s="269"/>
      <c r="FX652" s="140">
        <f>'Detailed Budget'!$AC$278</f>
        <v>1114560000</v>
      </c>
      <c r="FY652" s="269">
        <f t="shared" si="1725"/>
        <v>1440000</v>
      </c>
      <c r="FZ652" s="269">
        <f t="shared" si="1752"/>
        <v>1440000</v>
      </c>
      <c r="GB652" s="269">
        <f t="shared" si="1760"/>
        <v>1357999944.1780343</v>
      </c>
      <c r="GC652" s="887">
        <f t="shared" si="1668"/>
        <v>848749.96511127148</v>
      </c>
      <c r="GD652" s="1078">
        <f t="shared" si="1761"/>
        <v>7.6201653087835388E-4</v>
      </c>
    </row>
    <row r="653" spans="1:186" hidden="1" outlineLevel="1">
      <c r="A653" s="211" t="s">
        <v>1407</v>
      </c>
      <c r="B653" s="212" t="s">
        <v>1408</v>
      </c>
      <c r="C653" s="213" t="s">
        <v>215</v>
      </c>
      <c r="D653" s="214"/>
      <c r="E653" s="213"/>
      <c r="F653" s="213"/>
      <c r="G653" s="213" t="s">
        <v>215</v>
      </c>
      <c r="H653" s="213" t="s">
        <v>215</v>
      </c>
      <c r="I653" s="214" t="s">
        <v>215</v>
      </c>
      <c r="J653" s="214"/>
      <c r="K653" s="213"/>
      <c r="L653" s="213"/>
      <c r="M653" s="214" t="s">
        <v>215</v>
      </c>
      <c r="N653" s="213"/>
      <c r="O653" s="214"/>
      <c r="P653" s="213"/>
      <c r="Q653" s="214"/>
      <c r="R653" s="214" t="s">
        <v>215</v>
      </c>
      <c r="S653" s="214"/>
      <c r="T653" s="214"/>
      <c r="U653" s="215">
        <f t="shared" si="1726"/>
        <v>6</v>
      </c>
      <c r="V653" s="845" t="s">
        <v>216</v>
      </c>
      <c r="W653" s="216">
        <v>150024</v>
      </c>
      <c r="X653" s="217">
        <v>3.22</v>
      </c>
      <c r="Y653" s="218">
        <f t="shared" si="1598"/>
        <v>1.0322</v>
      </c>
      <c r="Z653" s="196">
        <v>19</v>
      </c>
      <c r="AA653" s="218">
        <f t="shared" si="1599"/>
        <v>1.8260524174418462</v>
      </c>
      <c r="AB653" s="196">
        <f t="shared" si="1746"/>
        <v>273951.68787429552</v>
      </c>
      <c r="AC653">
        <v>12.7</v>
      </c>
      <c r="AD653" s="196">
        <f t="shared" si="1747"/>
        <v>34791.864360035528</v>
      </c>
      <c r="AE653" s="196">
        <f t="shared" si="1600"/>
        <v>33052.271142033751</v>
      </c>
      <c r="AF653" s="196">
        <f t="shared" si="1727"/>
        <v>0</v>
      </c>
      <c r="AG653" s="606">
        <f t="shared" si="1671"/>
        <v>1.5281919154185057E-3</v>
      </c>
      <c r="AH653" s="196">
        <f t="shared" si="1744"/>
        <v>13697.584393714777</v>
      </c>
      <c r="AI653" s="248">
        <f t="shared" si="1644"/>
        <v>1.061131109113569E-3</v>
      </c>
      <c r="AJ653" s="196">
        <f t="shared" si="1672"/>
        <v>48489.448753750301</v>
      </c>
      <c r="AK653" s="196">
        <f t="shared" si="1698"/>
        <v>10958.067514971821</v>
      </c>
      <c r="AL653" s="196">
        <f t="shared" si="1699"/>
        <v>10958.067514971821</v>
      </c>
      <c r="AM653" s="196">
        <f t="shared" si="1656"/>
        <v>21916.135029943642</v>
      </c>
      <c r="AN653" s="627">
        <f t="shared" si="1657"/>
        <v>1.061131109113569E-3</v>
      </c>
      <c r="AO653" s="196">
        <f t="shared" si="1658"/>
        <v>10410.164139223229</v>
      </c>
      <c r="AP653" s="589">
        <f t="shared" si="1673"/>
        <v>1.0611311091135688E-3</v>
      </c>
      <c r="AQ653" s="196"/>
      <c r="AR653" s="589"/>
      <c r="AS653">
        <v>1</v>
      </c>
      <c r="AT653" s="589">
        <f t="shared" si="1674"/>
        <v>1.2919896640826874E-3</v>
      </c>
      <c r="AU653" s="196">
        <v>10</v>
      </c>
      <c r="AV653" s="245">
        <f t="shared" si="1645"/>
        <v>1.1362345188046814E-3</v>
      </c>
      <c r="AX653" s="245"/>
      <c r="AY653" s="245"/>
      <c r="AZ653" s="196">
        <v>19</v>
      </c>
      <c r="BA653" s="589">
        <f t="shared" si="1754"/>
        <v>6.9620021252427542E-4</v>
      </c>
      <c r="BI653" s="196">
        <v>1</v>
      </c>
      <c r="BJ653" s="196">
        <f t="shared" si="1728"/>
        <v>152195.39431254924</v>
      </c>
      <c r="BK653" s="246">
        <f t="shared" si="1755"/>
        <v>2.9022743442501543E-3</v>
      </c>
      <c r="BL653" s="196">
        <f t="shared" si="1745"/>
        <v>3043.9078862509846</v>
      </c>
      <c r="BM653" s="246">
        <f t="shared" si="1756"/>
        <v>2.902274012182468E-3</v>
      </c>
      <c r="BN653" s="196">
        <v>0</v>
      </c>
      <c r="BO653" s="196">
        <f t="shared" si="1729"/>
        <v>14054.869857338672</v>
      </c>
      <c r="BP653" s="196">
        <f t="shared" si="1676"/>
        <v>0</v>
      </c>
      <c r="BQ653" s="248">
        <f t="shared" si="1757"/>
        <v>0</v>
      </c>
      <c r="BR653" s="248"/>
      <c r="BS653" s="248"/>
      <c r="BT653" s="276">
        <v>0</v>
      </c>
      <c r="BU653" s="196">
        <f t="shared" si="1730"/>
        <v>0</v>
      </c>
      <c r="BV653" s="264">
        <f t="shared" si="1758"/>
        <v>0</v>
      </c>
      <c r="BW653" s="196">
        <f t="shared" si="1731"/>
        <v>0</v>
      </c>
      <c r="BX653" s="247">
        <f t="shared" si="1759"/>
        <v>0</v>
      </c>
      <c r="BY653" s="196">
        <f t="shared" si="1732"/>
        <v>0</v>
      </c>
      <c r="BZ653" s="620">
        <v>1</v>
      </c>
      <c r="CA653" s="196">
        <f t="shared" si="1733"/>
        <v>83829.216489534418</v>
      </c>
      <c r="CB653" s="196">
        <f t="shared" si="1734"/>
        <v>167658.43297906884</v>
      </c>
      <c r="CC653" s="196">
        <f t="shared" si="1682"/>
        <v>251487.64946860325</v>
      </c>
      <c r="CD653" s="247">
        <f t="shared" si="1646"/>
        <v>1.0611311091135688E-3</v>
      </c>
      <c r="CE653" s="196">
        <f t="shared" si="1735"/>
        <v>19359.757499744879</v>
      </c>
      <c r="CF653" s="247">
        <f t="shared" si="1647"/>
        <v>8.3601453663291784E-4</v>
      </c>
      <c r="CG653" s="196">
        <f t="shared" si="1703"/>
        <v>41640.656556892915</v>
      </c>
      <c r="CH653" s="589">
        <f t="shared" si="1684"/>
        <v>1.0611311091135688E-3</v>
      </c>
      <c r="CI653" s="196">
        <f t="shared" si="1736"/>
        <v>60903.492139682457</v>
      </c>
      <c r="CJ653" s="248">
        <f t="shared" si="1686"/>
        <v>1.0012532561828769E-3</v>
      </c>
      <c r="CK653" s="196">
        <f t="shared" si="1737"/>
        <v>64625.485304349932</v>
      </c>
      <c r="CL653" s="589">
        <f t="shared" si="1688"/>
        <v>9.2900464414523215E-4</v>
      </c>
      <c r="CM653" s="196">
        <f t="shared" si="1738"/>
        <v>6260.5962828899055</v>
      </c>
      <c r="CN653" s="589">
        <f t="shared" si="1690"/>
        <v>9.0222307385648436E-4</v>
      </c>
      <c r="CO653" s="196">
        <f t="shared" si="1739"/>
        <v>500.84040653669848</v>
      </c>
      <c r="CP653" s="589">
        <f t="shared" si="1692"/>
        <v>9.4450786310398642E-4</v>
      </c>
      <c r="CQ653" s="196">
        <f>'Detailed Budget'!$AC$12</f>
        <v>292876014141.44696</v>
      </c>
      <c r="CR653" s="269">
        <f t="shared" si="1701"/>
        <v>850006541.88896692</v>
      </c>
      <c r="CS653" s="269">
        <f>'Detailed Budget'!$AC$16</f>
        <v>10488008800.000002</v>
      </c>
      <c r="CT653" s="607">
        <f t="shared" si="1705"/>
        <v>30439075.379781038</v>
      </c>
      <c r="CU653" s="269">
        <f>'Detailed Budget'!$AC$24</f>
        <v>30624985696</v>
      </c>
      <c r="CV653" s="269">
        <f t="shared" si="1753"/>
        <v>88882110.27852875</v>
      </c>
      <c r="CW653" s="269"/>
      <c r="CX653" s="269">
        <f t="shared" si="1660"/>
        <v>969327727.54727674</v>
      </c>
      <c r="CY653" s="196">
        <f>'Detailed Budget'!$AC$97</f>
        <v>74629165494.837845</v>
      </c>
      <c r="CZ653" s="269">
        <f t="shared" si="1706"/>
        <v>0</v>
      </c>
      <c r="DA653" s="269">
        <f>'Detailed Budget'!$AC$100</f>
        <v>14925833098.967569</v>
      </c>
      <c r="DB653" s="269">
        <f t="shared" si="1707"/>
        <v>0</v>
      </c>
      <c r="DC653" s="269">
        <f t="shared" si="1661"/>
        <v>0</v>
      </c>
      <c r="DD653" s="207">
        <v>0</v>
      </c>
      <c r="DE653" s="606">
        <v>0</v>
      </c>
      <c r="DF653" s="269">
        <f>'Detailed Budget'!$AC$147</f>
        <v>5913600671000</v>
      </c>
      <c r="DG653" s="269">
        <f t="shared" si="1748"/>
        <v>0</v>
      </c>
      <c r="DH653" s="269">
        <f>'Detailed Budget'!$AC$153</f>
        <v>226428026880.00003</v>
      </c>
      <c r="DI653" s="269"/>
      <c r="DJ653" s="269">
        <f>'Detailed Budget'!$AC$156</f>
        <v>27713070000</v>
      </c>
      <c r="DK653" s="269"/>
      <c r="DL653" s="269"/>
      <c r="DM653" s="196">
        <f>'Detailed Budget'!$AC$178</f>
        <v>5622683761.6229038</v>
      </c>
      <c r="DN653" s="269">
        <f t="shared" si="1740"/>
        <v>0</v>
      </c>
      <c r="DO653" s="196">
        <f>'Detailed Budget'!$AC$179</f>
        <v>26827890683.128094</v>
      </c>
      <c r="DP653" s="269">
        <f t="shared" si="1741"/>
        <v>0</v>
      </c>
      <c r="DQ653" s="269">
        <f t="shared" si="1700"/>
        <v>0</v>
      </c>
      <c r="DR653" s="269">
        <f>'Detailed Budget'!$AC$181</f>
        <v>50888946855.375237</v>
      </c>
      <c r="DS653" s="269">
        <f t="shared" si="1742"/>
        <v>0</v>
      </c>
      <c r="DT653" s="269">
        <f t="shared" si="1743"/>
        <v>0</v>
      </c>
      <c r="DU653" s="272">
        <f>'Detailed Budget'!$AC$192</f>
        <v>77498869683.252869</v>
      </c>
      <c r="DV653" s="269">
        <f t="shared" si="1708"/>
        <v>82236461.542038038</v>
      </c>
      <c r="DW653" s="140">
        <f>'Detailed Budget'!$AC$194</f>
        <v>2684962805.4134097</v>
      </c>
      <c r="DX653" s="269">
        <f t="shared" si="1709"/>
        <v>2849097.559637011</v>
      </c>
      <c r="DY653" s="607">
        <f t="shared" si="1648"/>
        <v>85085559.101675048</v>
      </c>
      <c r="DZ653" s="196">
        <f>'Detailed Budget'!$AC$198</f>
        <v>18732540018.380611</v>
      </c>
      <c r="EA653" s="269">
        <f t="shared" si="1710"/>
        <v>15660675.763424058</v>
      </c>
      <c r="EB653" s="196">
        <f>'Detailed Budget'!$AC$200</f>
        <v>4683135004.5951529</v>
      </c>
      <c r="EC653" s="269">
        <f t="shared" si="1711"/>
        <v>3915168.9408560144</v>
      </c>
      <c r="ED653" s="269">
        <f t="shared" si="1649"/>
        <v>19575844.704280071</v>
      </c>
      <c r="EE653" s="196">
        <f>'Detailed Budget'!$AC$161</f>
        <v>251147290106.36197</v>
      </c>
      <c r="EF653" s="269">
        <f t="shared" si="1712"/>
        <v>266500202.50143108</v>
      </c>
      <c r="EG653" s="196">
        <f>'Detailed Budget'!$AC$163</f>
        <v>15696705631.647623</v>
      </c>
      <c r="EH653" s="269">
        <f t="shared" si="1713"/>
        <v>16656262.656339442</v>
      </c>
      <c r="EI653" s="269">
        <f t="shared" si="1650"/>
        <v>283156465.15777051</v>
      </c>
      <c r="EJ653" s="196">
        <f>'Detailed Budget'!$AC$204</f>
        <v>45012172507.531975</v>
      </c>
      <c r="EK653" s="269">
        <f t="shared" si="1714"/>
        <v>45068584.291031763</v>
      </c>
      <c r="EL653" s="201">
        <f>'Detailed Budget'!$AC$206</f>
        <v>11253043126.882994</v>
      </c>
      <c r="EM653" s="269">
        <f t="shared" si="1715"/>
        <v>11267146.072757941</v>
      </c>
      <c r="EN653" s="269">
        <f t="shared" si="1651"/>
        <v>56335730.363789707</v>
      </c>
      <c r="EO653" s="140">
        <f>'Detailed Budget'!$AC$209</f>
        <v>135789361677.54817</v>
      </c>
      <c r="EP653" s="269">
        <f t="shared" si="1716"/>
        <v>126148947.62395886</v>
      </c>
      <c r="EQ653" s="196">
        <f>'Detailed Budget'!$AC$211</f>
        <v>33947340419.387043</v>
      </c>
      <c r="ER653" s="269">
        <f t="shared" si="1717"/>
        <v>31537236.905989714</v>
      </c>
      <c r="ES653" s="269">
        <f t="shared" si="1652"/>
        <v>157686184.52994856</v>
      </c>
      <c r="ET653" s="196">
        <f>'Detailed Budget'!$AC$214</f>
        <v>22239745544.201103</v>
      </c>
      <c r="EU653" s="269">
        <f t="shared" si="1718"/>
        <v>20065211.586675171</v>
      </c>
      <c r="EV653" s="140">
        <f>'Detailed Budget'!$AC$217</f>
        <v>5559936386.0502758</v>
      </c>
      <c r="EW653" s="269">
        <f t="shared" si="1719"/>
        <v>5016302.8966687927</v>
      </c>
      <c r="EX653" s="269">
        <f t="shared" si="1653"/>
        <v>25081514.483343963</v>
      </c>
      <c r="EY653" s="196">
        <f>'Detailed Budget'!$AC$219</f>
        <v>372777004.58170313</v>
      </c>
      <c r="EZ653" s="269">
        <f t="shared" si="1720"/>
        <v>352090.81201176939</v>
      </c>
      <c r="FA653" s="196">
        <f>'Detailed Budget'!$AC$222</f>
        <v>93194251.145425782</v>
      </c>
      <c r="FB653" s="269">
        <f t="shared" si="1721"/>
        <v>88022.703002942348</v>
      </c>
      <c r="FC653" s="269">
        <f t="shared" si="1654"/>
        <v>440113.51501471177</v>
      </c>
      <c r="FD653" s="269"/>
      <c r="FE653" s="269">
        <f t="shared" si="1663"/>
        <v>239543542.89209694</v>
      </c>
      <c r="FF653" s="140">
        <f>'Detailed Budget'!$AC$165</f>
        <v>14927760000</v>
      </c>
      <c r="FG653" s="1087">
        <f t="shared" si="1749"/>
        <v>326753248.81498802</v>
      </c>
      <c r="FH653" s="269">
        <f t="shared" si="1722"/>
        <v>16961436.200431772</v>
      </c>
      <c r="FJ653" s="140">
        <f>'Detailed Budget'!$AC$235</f>
        <v>3623696172</v>
      </c>
      <c r="FK653" s="269">
        <f t="shared" si="1723"/>
        <v>4681778</v>
      </c>
      <c r="FL653" s="269">
        <f t="shared" si="1750"/>
        <v>4681778</v>
      </c>
      <c r="FO653" s="607"/>
      <c r="FP653" s="607"/>
      <c r="FQ653" s="607"/>
      <c r="FR653" s="269">
        <f>'Detailed Budget'!$AC$257</f>
        <v>13636439388</v>
      </c>
      <c r="FS653" s="269">
        <f t="shared" si="1724"/>
        <v>9493692</v>
      </c>
      <c r="FT653" s="269">
        <f t="shared" si="1751"/>
        <v>9493692</v>
      </c>
      <c r="FU653" s="269"/>
      <c r="FV653" s="269"/>
      <c r="FW653" s="269"/>
      <c r="FX653" s="140">
        <f>'Detailed Budget'!$AC$278</f>
        <v>1114560000</v>
      </c>
      <c r="FY653" s="269">
        <f t="shared" si="1725"/>
        <v>1440000</v>
      </c>
      <c r="FZ653" s="269">
        <f t="shared" si="1752"/>
        <v>1440000</v>
      </c>
      <c r="GB653" s="269">
        <f t="shared" si="1760"/>
        <v>1956019294.4185195</v>
      </c>
      <c r="GC653" s="887">
        <f t="shared" si="1668"/>
        <v>1222512.0590115746</v>
      </c>
      <c r="GD653" s="1078">
        <f t="shared" si="1761"/>
        <v>1.0975840193911807E-3</v>
      </c>
    </row>
    <row r="654" spans="1:186" hidden="1" outlineLevel="1">
      <c r="A654" s="211" t="s">
        <v>1409</v>
      </c>
      <c r="B654" s="212" t="s">
        <v>1410</v>
      </c>
      <c r="C654" s="213" t="s">
        <v>215</v>
      </c>
      <c r="D654" s="214"/>
      <c r="E654" s="213"/>
      <c r="F654" s="213"/>
      <c r="G654" s="213" t="s">
        <v>215</v>
      </c>
      <c r="H654" s="213" t="s">
        <v>215</v>
      </c>
      <c r="I654" s="214" t="s">
        <v>215</v>
      </c>
      <c r="J654" s="214"/>
      <c r="K654" s="213"/>
      <c r="L654" s="213"/>
      <c r="M654" s="214" t="s">
        <v>215</v>
      </c>
      <c r="N654" s="213"/>
      <c r="O654" s="214"/>
      <c r="P654" s="213"/>
      <c r="Q654" s="214"/>
      <c r="R654" s="214" t="s">
        <v>215</v>
      </c>
      <c r="S654" s="214"/>
      <c r="T654" s="214"/>
      <c r="U654" s="215">
        <f t="shared" si="1726"/>
        <v>6</v>
      </c>
      <c r="V654" s="845" t="s">
        <v>216</v>
      </c>
      <c r="W654" s="216">
        <v>128398</v>
      </c>
      <c r="X654" s="217">
        <v>3.22</v>
      </c>
      <c r="Y654" s="218">
        <f t="shared" si="1598"/>
        <v>1.0322</v>
      </c>
      <c r="Z654" s="196">
        <v>19</v>
      </c>
      <c r="AA654" s="218">
        <f t="shared" si="1599"/>
        <v>1.8260524174418462</v>
      </c>
      <c r="AB654" s="196">
        <f t="shared" si="1746"/>
        <v>234461.47829469817</v>
      </c>
      <c r="AC654">
        <v>12.7</v>
      </c>
      <c r="AD654" s="196">
        <f t="shared" si="1747"/>
        <v>29776.60774342667</v>
      </c>
      <c r="AE654" s="196">
        <f t="shared" si="1600"/>
        <v>28287.777356255334</v>
      </c>
      <c r="AF654" s="196">
        <f t="shared" si="1727"/>
        <v>0</v>
      </c>
      <c r="AG654" s="606">
        <f t="shared" si="1671"/>
        <v>1.30790263928375E-3</v>
      </c>
      <c r="AH654" s="196">
        <f t="shared" si="1744"/>
        <v>11723.073914734909</v>
      </c>
      <c r="AI654" s="248">
        <f t="shared" si="1644"/>
        <v>9.081687739825896E-4</v>
      </c>
      <c r="AJ654" s="196">
        <f t="shared" si="1672"/>
        <v>41499.681658161579</v>
      </c>
      <c r="AK654" s="196">
        <f t="shared" si="1698"/>
        <v>9378.4591317879276</v>
      </c>
      <c r="AL654" s="196">
        <f t="shared" si="1699"/>
        <v>9378.4591317879276</v>
      </c>
      <c r="AM654" s="196">
        <f t="shared" si="1656"/>
        <v>18756.918263575855</v>
      </c>
      <c r="AN654" s="627">
        <f t="shared" si="1657"/>
        <v>9.0816877398258971E-4</v>
      </c>
      <c r="AO654" s="196">
        <f t="shared" si="1658"/>
        <v>8909.5361751985311</v>
      </c>
      <c r="AP654" s="589">
        <f t="shared" si="1673"/>
        <v>9.0816877398258971E-4</v>
      </c>
      <c r="AQ654" s="196"/>
      <c r="AR654" s="589"/>
      <c r="AS654">
        <v>1</v>
      </c>
      <c r="AT654" s="589">
        <f t="shared" si="1674"/>
        <v>1.2919896640826874E-3</v>
      </c>
      <c r="AU654" s="196">
        <v>10</v>
      </c>
      <c r="AV654" s="245">
        <f t="shared" si="1645"/>
        <v>1.1362345188046814E-3</v>
      </c>
      <c r="AX654" s="245"/>
      <c r="AY654" s="245"/>
      <c r="AZ654" s="196">
        <v>16</v>
      </c>
      <c r="BA654" s="589">
        <f t="shared" si="1754"/>
        <v>5.8627386317833719E-4</v>
      </c>
      <c r="BI654" s="196">
        <v>1</v>
      </c>
      <c r="BJ654" s="196">
        <f t="shared" si="1728"/>
        <v>130256.38723765996</v>
      </c>
      <c r="BK654" s="246">
        <f t="shared" si="1755"/>
        <v>2.4839107159723198E-3</v>
      </c>
      <c r="BL654" s="196">
        <f t="shared" si="1745"/>
        <v>2605.1277447531993</v>
      </c>
      <c r="BM654" s="246">
        <f t="shared" si="1756"/>
        <v>2.4839104317722805E-3</v>
      </c>
      <c r="BN654" s="196">
        <v>0</v>
      </c>
      <c r="BO654" s="196">
        <f t="shared" si="1729"/>
        <v>12028.856582563933</v>
      </c>
      <c r="BP654" s="196">
        <f t="shared" si="1676"/>
        <v>0</v>
      </c>
      <c r="BQ654" s="248">
        <f t="shared" si="1757"/>
        <v>0</v>
      </c>
      <c r="BR654" s="248"/>
      <c r="BS654" s="248"/>
      <c r="BT654" s="276">
        <v>0</v>
      </c>
      <c r="BU654" s="196">
        <f t="shared" si="1730"/>
        <v>0</v>
      </c>
      <c r="BV654" s="264">
        <f t="shared" si="1758"/>
        <v>0</v>
      </c>
      <c r="BW654" s="196">
        <f t="shared" si="1731"/>
        <v>0</v>
      </c>
      <c r="BX654" s="247">
        <f t="shared" si="1759"/>
        <v>0</v>
      </c>
      <c r="BY654" s="196">
        <f t="shared" si="1732"/>
        <v>0</v>
      </c>
      <c r="BZ654" s="620">
        <v>1</v>
      </c>
      <c r="CA654" s="196">
        <f t="shared" si="1733"/>
        <v>71745.21235817764</v>
      </c>
      <c r="CB654" s="196">
        <f t="shared" si="1734"/>
        <v>143490.42471635528</v>
      </c>
      <c r="CC654" s="196">
        <f t="shared" si="1682"/>
        <v>215235.63707453292</v>
      </c>
      <c r="CD654" s="247">
        <f t="shared" si="1646"/>
        <v>9.081687739825896E-4</v>
      </c>
      <c r="CE654" s="196">
        <f t="shared" si="1735"/>
        <v>16569.043242762778</v>
      </c>
      <c r="CF654" s="247">
        <f t="shared" si="1647"/>
        <v>7.1550281604672186E-4</v>
      </c>
      <c r="CG654" s="196">
        <f t="shared" si="1703"/>
        <v>35638.144700794124</v>
      </c>
      <c r="CH654" s="589">
        <f t="shared" si="1684"/>
        <v>9.0816877398258971E-4</v>
      </c>
      <c r="CI654" s="196">
        <f t="shared" si="1736"/>
        <v>52124.237347030801</v>
      </c>
      <c r="CJ654" s="248">
        <f t="shared" si="1686"/>
        <v>8.5692232967637862E-4</v>
      </c>
      <c r="CK654" s="196">
        <f t="shared" si="1737"/>
        <v>55309.704194714999</v>
      </c>
      <c r="CL654" s="589">
        <f t="shared" si="1688"/>
        <v>7.9508837451980699E-4</v>
      </c>
      <c r="CM654" s="196">
        <f t="shared" si="1738"/>
        <v>5358.1296427938078</v>
      </c>
      <c r="CN654" s="589">
        <f t="shared" si="1690"/>
        <v>7.7216737480019797E-4</v>
      </c>
      <c r="CO654" s="196">
        <f t="shared" si="1739"/>
        <v>428.64412706299674</v>
      </c>
      <c r="CP654" s="589">
        <f t="shared" si="1692"/>
        <v>8.083568002907913E-4</v>
      </c>
      <c r="CQ654" s="196">
        <f>'Detailed Budget'!$AC$12</f>
        <v>292876014141.44696</v>
      </c>
      <c r="CR654" s="269">
        <f t="shared" si="1701"/>
        <v>727477869.97720075</v>
      </c>
      <c r="CS654" s="269">
        <f>'Detailed Budget'!$AC$16</f>
        <v>10488008800.000002</v>
      </c>
      <c r="CT654" s="607">
        <f t="shared" si="1705"/>
        <v>26051274.466839481</v>
      </c>
      <c r="CU654" s="269">
        <f>'Detailed Budget'!$AC$24</f>
        <v>30624985696</v>
      </c>
      <c r="CV654" s="269">
        <f t="shared" si="1753"/>
        <v>76069730.14679341</v>
      </c>
      <c r="CW654" s="269"/>
      <c r="CX654" s="269">
        <f t="shared" si="1660"/>
        <v>829598874.59083354</v>
      </c>
      <c r="CY654" s="196">
        <f>'Detailed Budget'!$AC$97</f>
        <v>74629165494.837845</v>
      </c>
      <c r="CZ654" s="269">
        <f t="shared" si="1706"/>
        <v>0</v>
      </c>
      <c r="DA654" s="269">
        <f>'Detailed Budget'!$AC$100</f>
        <v>14925833098.967569</v>
      </c>
      <c r="DB654" s="269">
        <f t="shared" si="1707"/>
        <v>0</v>
      </c>
      <c r="DC654" s="269">
        <f t="shared" si="1661"/>
        <v>0</v>
      </c>
      <c r="DD654" s="207">
        <v>0</v>
      </c>
      <c r="DE654" s="606">
        <v>0</v>
      </c>
      <c r="DF654" s="269">
        <f>'Detailed Budget'!$AC$147</f>
        <v>5913600671000</v>
      </c>
      <c r="DG654" s="269">
        <f t="shared" si="1748"/>
        <v>0</v>
      </c>
      <c r="DH654" s="269">
        <f>'Detailed Budget'!$AC$153</f>
        <v>226428026880.00003</v>
      </c>
      <c r="DI654" s="269"/>
      <c r="DJ654" s="269">
        <f>'Detailed Budget'!$AC$156</f>
        <v>27713070000</v>
      </c>
      <c r="DK654" s="269"/>
      <c r="DL654" s="269"/>
      <c r="DM654" s="196">
        <f>'Detailed Budget'!$AC$178</f>
        <v>5622683761.6229038</v>
      </c>
      <c r="DN654" s="269">
        <f t="shared" si="1740"/>
        <v>0</v>
      </c>
      <c r="DO654" s="196">
        <f>'Detailed Budget'!$AC$179</f>
        <v>26827890683.128094</v>
      </c>
      <c r="DP654" s="269">
        <f t="shared" si="1741"/>
        <v>0</v>
      </c>
      <c r="DQ654" s="269">
        <f t="shared" si="1700"/>
        <v>0</v>
      </c>
      <c r="DR654" s="269">
        <f>'Detailed Budget'!$AC$181</f>
        <v>50888946855.375237</v>
      </c>
      <c r="DS654" s="269">
        <f t="shared" si="1742"/>
        <v>0</v>
      </c>
      <c r="DT654" s="269">
        <f t="shared" si="1743"/>
        <v>0</v>
      </c>
      <c r="DU654" s="272">
        <f>'Detailed Budget'!$AC$192</f>
        <v>77498869683.252869</v>
      </c>
      <c r="DV654" s="269">
        <f t="shared" si="1708"/>
        <v>70382053.465276241</v>
      </c>
      <c r="DW654" s="140">
        <f>'Detailed Budget'!$AC$194</f>
        <v>2684962805.4134097</v>
      </c>
      <c r="DX654" s="269">
        <f t="shared" si="1709"/>
        <v>2438399.3791811508</v>
      </c>
      <c r="DY654" s="607">
        <f t="shared" si="1648"/>
        <v>72820452.844457388</v>
      </c>
      <c r="DZ654" s="196">
        <f>'Detailed Budget'!$AC$198</f>
        <v>18732540018.380611</v>
      </c>
      <c r="EA654" s="269">
        <f t="shared" si="1710"/>
        <v>13403185.134859238</v>
      </c>
      <c r="EB654" s="196">
        <f>'Detailed Budget'!$AC$200</f>
        <v>4683135004.5951529</v>
      </c>
      <c r="EC654" s="269">
        <f t="shared" si="1711"/>
        <v>3350796.2837148095</v>
      </c>
      <c r="ED654" s="269">
        <f t="shared" si="1649"/>
        <v>16753981.418574046</v>
      </c>
      <c r="EE654" s="196">
        <f>'Detailed Budget'!$AC$161</f>
        <v>251147290106.36197</v>
      </c>
      <c r="EF654" s="269">
        <f t="shared" si="1712"/>
        <v>228084126.54494452</v>
      </c>
      <c r="EG654" s="196">
        <f>'Detailed Budget'!$AC$163</f>
        <v>15696705631.647623</v>
      </c>
      <c r="EH654" s="269">
        <f t="shared" si="1713"/>
        <v>14255257.909059033</v>
      </c>
      <c r="EI654" s="269">
        <f t="shared" si="1650"/>
        <v>242339384.45400357</v>
      </c>
      <c r="EJ654" s="196">
        <f>'Detailed Budget'!$AC$204</f>
        <v>45012172507.531975</v>
      </c>
      <c r="EK654" s="269">
        <f t="shared" si="1714"/>
        <v>38571935.728949338</v>
      </c>
      <c r="EL654" s="201">
        <f>'Detailed Budget'!$AC$206</f>
        <v>11253043126.882994</v>
      </c>
      <c r="EM654" s="269">
        <f t="shared" si="1715"/>
        <v>9642983.9322373345</v>
      </c>
      <c r="EN654" s="269">
        <f t="shared" si="1651"/>
        <v>48214919.661186673</v>
      </c>
      <c r="EO654" s="140">
        <f>'Detailed Budget'!$AC$209</f>
        <v>135789361677.54817</v>
      </c>
      <c r="EP654" s="269">
        <f t="shared" si="1716"/>
        <v>107964542.85328394</v>
      </c>
      <c r="EQ654" s="196">
        <f>'Detailed Budget'!$AC$211</f>
        <v>33947340419.387043</v>
      </c>
      <c r="ER654" s="269">
        <f t="shared" si="1717"/>
        <v>26991135.713320985</v>
      </c>
      <c r="ES654" s="269">
        <f t="shared" si="1652"/>
        <v>134955678.56660491</v>
      </c>
      <c r="ET654" s="196">
        <f>'Detailed Budget'!$AC$214</f>
        <v>22239745544.201103</v>
      </c>
      <c r="EU654" s="269">
        <f t="shared" si="1718"/>
        <v>17172805.933090165</v>
      </c>
      <c r="EV654" s="140">
        <f>'Detailed Budget'!$AC$217</f>
        <v>5559936386.0502758</v>
      </c>
      <c r="EW654" s="269">
        <f t="shared" si="1719"/>
        <v>4293201.4832725413</v>
      </c>
      <c r="EX654" s="269">
        <f t="shared" si="1653"/>
        <v>21466007.416362707</v>
      </c>
      <c r="EY654" s="196">
        <f>'Detailed Budget'!$AC$219</f>
        <v>372777004.58170313</v>
      </c>
      <c r="EZ654" s="269">
        <f t="shared" si="1720"/>
        <v>301336.82664565119</v>
      </c>
      <c r="FA654" s="196">
        <f>'Detailed Budget'!$AC$222</f>
        <v>93194251.145425782</v>
      </c>
      <c r="FB654" s="269">
        <f t="shared" si="1721"/>
        <v>75334.206661412798</v>
      </c>
      <c r="FC654" s="269">
        <f t="shared" si="1654"/>
        <v>376671.03330706398</v>
      </c>
      <c r="FD654" s="269"/>
      <c r="FE654" s="269">
        <f t="shared" si="1663"/>
        <v>205013276.67746136</v>
      </c>
      <c r="FF654" s="140">
        <f>'Detailed Budget'!$AC$165</f>
        <v>14927760000</v>
      </c>
      <c r="FG654" s="1087">
        <f t="shared" si="1749"/>
        <v>279651680.00684446</v>
      </c>
      <c r="FH654" s="269">
        <f t="shared" si="1722"/>
        <v>16961436.200431772</v>
      </c>
      <c r="FJ654" s="140">
        <f>'Detailed Budget'!$AC$235</f>
        <v>3623696172</v>
      </c>
      <c r="FK654" s="269">
        <f t="shared" si="1723"/>
        <v>4681778</v>
      </c>
      <c r="FL654" s="269">
        <f t="shared" si="1750"/>
        <v>4681778</v>
      </c>
      <c r="FO654" s="607"/>
      <c r="FP654" s="607"/>
      <c r="FQ654" s="607"/>
      <c r="FR654" s="269">
        <f>'Detailed Budget'!$AC$257</f>
        <v>13636439388</v>
      </c>
      <c r="FS654" s="269">
        <f t="shared" si="1724"/>
        <v>7994688</v>
      </c>
      <c r="FT654" s="269">
        <f t="shared" si="1751"/>
        <v>7994688</v>
      </c>
      <c r="FU654" s="269"/>
      <c r="FV654" s="269"/>
      <c r="FW654" s="269"/>
      <c r="FX654" s="140">
        <f>'Detailed Budget'!$AC$278</f>
        <v>1114560000</v>
      </c>
      <c r="FY654" s="269">
        <f t="shared" si="1725"/>
        <v>1440000</v>
      </c>
      <c r="FZ654" s="269">
        <f t="shared" si="1752"/>
        <v>1440000</v>
      </c>
      <c r="GB654" s="269">
        <f t="shared" si="1760"/>
        <v>1677255552.1926062</v>
      </c>
      <c r="GC654" s="887">
        <f t="shared" si="1668"/>
        <v>1048284.7201203789</v>
      </c>
      <c r="GD654" s="1078">
        <f t="shared" si="1761"/>
        <v>9.4116090560804084E-4</v>
      </c>
    </row>
    <row r="655" spans="1:186" hidden="1" outlineLevel="1">
      <c r="A655" s="211" t="s">
        <v>1411</v>
      </c>
      <c r="B655" s="212" t="s">
        <v>1412</v>
      </c>
      <c r="C655" s="213" t="s">
        <v>215</v>
      </c>
      <c r="D655" s="214"/>
      <c r="E655" s="213"/>
      <c r="F655" s="213"/>
      <c r="G655" s="213" t="s">
        <v>215</v>
      </c>
      <c r="H655" s="213" t="s">
        <v>215</v>
      </c>
      <c r="I655" s="214" t="s">
        <v>215</v>
      </c>
      <c r="J655" s="214"/>
      <c r="K655" s="213"/>
      <c r="L655" s="213"/>
      <c r="M655" s="214" t="s">
        <v>215</v>
      </c>
      <c r="N655" s="213"/>
      <c r="O655" s="214"/>
      <c r="P655" s="213"/>
      <c r="Q655" s="214"/>
      <c r="R655" s="214" t="s">
        <v>215</v>
      </c>
      <c r="S655" s="214"/>
      <c r="T655" s="214"/>
      <c r="U655" s="215">
        <f t="shared" si="1726"/>
        <v>6</v>
      </c>
      <c r="V655" s="845" t="s">
        <v>216</v>
      </c>
      <c r="W655" s="216">
        <v>118540</v>
      </c>
      <c r="X655" s="217">
        <v>3.22</v>
      </c>
      <c r="Y655" s="218">
        <f t="shared" si="1598"/>
        <v>1.0322</v>
      </c>
      <c r="Z655" s="196">
        <v>19</v>
      </c>
      <c r="AA655" s="218">
        <f t="shared" si="1599"/>
        <v>1.8260524174418462</v>
      </c>
      <c r="AB655" s="196">
        <f t="shared" si="1746"/>
        <v>216460.25356355644</v>
      </c>
      <c r="AC655">
        <v>12.7</v>
      </c>
      <c r="AD655" s="196">
        <f t="shared" si="1747"/>
        <v>27490.452202571669</v>
      </c>
      <c r="AE655" s="196">
        <f t="shared" si="1600"/>
        <v>26115.929592443084</v>
      </c>
      <c r="AF655" s="196">
        <f t="shared" si="1727"/>
        <v>0</v>
      </c>
      <c r="AG655" s="606">
        <f t="shared" si="1671"/>
        <v>1.2074859332754072E-3</v>
      </c>
      <c r="AH655" s="196">
        <f t="shared" si="1744"/>
        <v>10823.012678177824</v>
      </c>
      <c r="AI655" s="248">
        <f t="shared" si="1644"/>
        <v>8.3844239371248916E-4</v>
      </c>
      <c r="AJ655" s="196">
        <f t="shared" si="1672"/>
        <v>38313.464880749496</v>
      </c>
      <c r="AK655" s="196">
        <f t="shared" si="1698"/>
        <v>8658.4101425422577</v>
      </c>
      <c r="AL655" s="196">
        <f t="shared" si="1699"/>
        <v>8658.4101425422577</v>
      </c>
      <c r="AM655" s="196">
        <f t="shared" si="1656"/>
        <v>17316.820285084515</v>
      </c>
      <c r="AN655" s="627">
        <f t="shared" si="1657"/>
        <v>8.3844239371248905E-4</v>
      </c>
      <c r="AO655" s="196">
        <f t="shared" si="1658"/>
        <v>8225.4896354151442</v>
      </c>
      <c r="AP655" s="589">
        <f t="shared" si="1673"/>
        <v>8.3844239371248894E-4</v>
      </c>
      <c r="AQ655" s="196"/>
      <c r="AR655" s="589"/>
      <c r="AS655">
        <v>1</v>
      </c>
      <c r="AT655" s="589">
        <f t="shared" si="1674"/>
        <v>1.2919896640826874E-3</v>
      </c>
      <c r="AU655" s="196">
        <v>10</v>
      </c>
      <c r="AV655" s="245">
        <f t="shared" si="1645"/>
        <v>1.1362345188046814E-3</v>
      </c>
      <c r="AX655" s="245"/>
      <c r="AY655" s="245"/>
      <c r="AZ655" s="196">
        <v>11</v>
      </c>
      <c r="BA655" s="589">
        <f t="shared" si="1754"/>
        <v>4.0306328093510683E-4</v>
      </c>
      <c r="BI655" s="196">
        <v>1</v>
      </c>
      <c r="BJ655" s="196">
        <f t="shared" si="1728"/>
        <v>120255.70603243206</v>
      </c>
      <c r="BK655" s="246">
        <f t="shared" si="1755"/>
        <v>2.2932037591812866E-3</v>
      </c>
      <c r="BL655" s="196">
        <f t="shared" si="1745"/>
        <v>2405.1141206486413</v>
      </c>
      <c r="BM655" s="246">
        <f t="shared" si="1756"/>
        <v>2.293203496801244E-3</v>
      </c>
      <c r="BN655" s="196">
        <v>0</v>
      </c>
      <c r="BO655" s="196">
        <f t="shared" si="1729"/>
        <v>11105.318301664578</v>
      </c>
      <c r="BP655" s="196">
        <f t="shared" si="1676"/>
        <v>0</v>
      </c>
      <c r="BQ655" s="248">
        <f t="shared" si="1757"/>
        <v>0</v>
      </c>
      <c r="BR655" s="248"/>
      <c r="BS655" s="248"/>
      <c r="BT655" s="276">
        <v>0</v>
      </c>
      <c r="BU655" s="196">
        <f t="shared" si="1730"/>
        <v>0</v>
      </c>
      <c r="BV655" s="264">
        <f t="shared" si="1758"/>
        <v>0</v>
      </c>
      <c r="BW655" s="196">
        <f t="shared" si="1731"/>
        <v>0</v>
      </c>
      <c r="BX655" s="247">
        <f t="shared" si="1759"/>
        <v>0</v>
      </c>
      <c r="BY655" s="196">
        <f t="shared" si="1732"/>
        <v>0</v>
      </c>
      <c r="BZ655" s="620">
        <v>1</v>
      </c>
      <c r="CA655" s="196">
        <f t="shared" si="1733"/>
        <v>66236.837590448267</v>
      </c>
      <c r="CB655" s="196">
        <f t="shared" si="1734"/>
        <v>132473.67518089653</v>
      </c>
      <c r="CC655" s="196">
        <f t="shared" si="1682"/>
        <v>198710.5127713448</v>
      </c>
      <c r="CD655" s="247">
        <f t="shared" si="1646"/>
        <v>8.3844239371248905E-4</v>
      </c>
      <c r="CE655" s="196">
        <f t="shared" si="1735"/>
        <v>15296.923519035343</v>
      </c>
      <c r="CF655" s="247">
        <f t="shared" si="1647"/>
        <v>6.6056873015294954E-4</v>
      </c>
      <c r="CG655" s="196">
        <f t="shared" si="1703"/>
        <v>32901.958541660577</v>
      </c>
      <c r="CH655" s="589">
        <f t="shared" si="1684"/>
        <v>8.3844239371248894E-4</v>
      </c>
      <c r="CI655" s="196">
        <f t="shared" si="1736"/>
        <v>48122.300153561824</v>
      </c>
      <c r="CJ655" s="248">
        <f t="shared" si="1686"/>
        <v>7.9113049237400834E-4</v>
      </c>
      <c r="CK655" s="196">
        <f t="shared" si="1737"/>
        <v>51063.1967417056</v>
      </c>
      <c r="CL655" s="589">
        <f t="shared" si="1688"/>
        <v>7.3404395641347932E-4</v>
      </c>
      <c r="CM655" s="196">
        <f t="shared" si="1738"/>
        <v>4946.7490759729735</v>
      </c>
      <c r="CN655" s="589">
        <f t="shared" si="1690"/>
        <v>7.1288275992472967E-4</v>
      </c>
      <c r="CO655" s="196">
        <f t="shared" si="1739"/>
        <v>395.73416113995256</v>
      </c>
      <c r="CP655" s="589">
        <f t="shared" si="1692"/>
        <v>7.4629367362786332E-4</v>
      </c>
      <c r="CQ655" s="196">
        <f>'Detailed Budget'!$AC$12</f>
        <v>292876014141.44696</v>
      </c>
      <c r="CR655" s="269">
        <f t="shared" si="1701"/>
        <v>671624376.60319781</v>
      </c>
      <c r="CS655" s="269">
        <f>'Detailed Budget'!$AC$16</f>
        <v>10488008800.000002</v>
      </c>
      <c r="CT655" s="607">
        <f t="shared" si="1705"/>
        <v>24051138.454642221</v>
      </c>
      <c r="CU655" s="269">
        <f>'Detailed Budget'!$AC$24</f>
        <v>30624985696</v>
      </c>
      <c r="CV655" s="269">
        <f t="shared" si="1753"/>
        <v>70229332.322940335</v>
      </c>
      <c r="CW655" s="269"/>
      <c r="CX655" s="269">
        <f t="shared" si="1660"/>
        <v>765904847.38078034</v>
      </c>
      <c r="CY655" s="196">
        <f>'Detailed Budget'!$AC$97</f>
        <v>74629165494.837845</v>
      </c>
      <c r="CZ655" s="269">
        <f t="shared" si="1706"/>
        <v>0</v>
      </c>
      <c r="DA655" s="269">
        <f>'Detailed Budget'!$AC$100</f>
        <v>14925833098.967569</v>
      </c>
      <c r="DB655" s="269">
        <f t="shared" si="1707"/>
        <v>0</v>
      </c>
      <c r="DC655" s="269">
        <f t="shared" si="1661"/>
        <v>0</v>
      </c>
      <c r="DD655" s="207">
        <v>0</v>
      </c>
      <c r="DE655" s="606">
        <v>0</v>
      </c>
      <c r="DF655" s="269">
        <f>'Detailed Budget'!$AC$147</f>
        <v>5913600671000</v>
      </c>
      <c r="DG655" s="269">
        <f t="shared" si="1748"/>
        <v>0</v>
      </c>
      <c r="DH655" s="269">
        <f>'Detailed Budget'!$AC$153</f>
        <v>226428026880.00003</v>
      </c>
      <c r="DI655" s="269"/>
      <c r="DJ655" s="269">
        <f>'Detailed Budget'!$AC$156</f>
        <v>27713070000</v>
      </c>
      <c r="DK655" s="269"/>
      <c r="DL655" s="269"/>
      <c r="DM655" s="196">
        <f>'Detailed Budget'!$AC$178</f>
        <v>5622683761.6229038</v>
      </c>
      <c r="DN655" s="269">
        <f t="shared" si="1740"/>
        <v>0</v>
      </c>
      <c r="DO655" s="196">
        <f>'Detailed Budget'!$AC$179</f>
        <v>26827890683.128094</v>
      </c>
      <c r="DP655" s="269">
        <f t="shared" si="1741"/>
        <v>0</v>
      </c>
      <c r="DQ655" s="269">
        <f t="shared" si="1700"/>
        <v>0</v>
      </c>
      <c r="DR655" s="269">
        <f>'Detailed Budget'!$AC$181</f>
        <v>50888946855.375237</v>
      </c>
      <c r="DS655" s="269">
        <f t="shared" si="1742"/>
        <v>0</v>
      </c>
      <c r="DT655" s="269">
        <f t="shared" si="1743"/>
        <v>0</v>
      </c>
      <c r="DU655" s="272">
        <f>'Detailed Budget'!$AC$192</f>
        <v>77498869683.252869</v>
      </c>
      <c r="DV655" s="269">
        <f t="shared" si="1708"/>
        <v>64978337.80723878</v>
      </c>
      <c r="DW655" s="140">
        <f>'Detailed Budget'!$AC$194</f>
        <v>2684962805.4134097</v>
      </c>
      <c r="DX655" s="269">
        <f t="shared" si="1709"/>
        <v>2251186.6415998191</v>
      </c>
      <c r="DY655" s="607">
        <f t="shared" si="1648"/>
        <v>67229524.448838592</v>
      </c>
      <c r="DZ655" s="196">
        <f>'Detailed Budget'!$AC$198</f>
        <v>18732540018.380611</v>
      </c>
      <c r="EA655" s="269">
        <f t="shared" si="1710"/>
        <v>12374130.172480991</v>
      </c>
      <c r="EB655" s="196">
        <f>'Detailed Budget'!$AC$200</f>
        <v>4683135004.5951529</v>
      </c>
      <c r="EC655" s="269">
        <f t="shared" si="1711"/>
        <v>3093532.5431202478</v>
      </c>
      <c r="ED655" s="269">
        <f t="shared" si="1649"/>
        <v>15467662.715601239</v>
      </c>
      <c r="EE655" s="196">
        <f>'Detailed Budget'!$AC$161</f>
        <v>251147290106.36197</v>
      </c>
      <c r="EF655" s="269">
        <f t="shared" si="1712"/>
        <v>210572535.09118301</v>
      </c>
      <c r="EG655" s="196">
        <f>'Detailed Budget'!$AC$163</f>
        <v>15696705631.647623</v>
      </c>
      <c r="EH655" s="269">
        <f t="shared" si="1713"/>
        <v>13160783.443198938</v>
      </c>
      <c r="EI655" s="269">
        <f t="shared" si="1650"/>
        <v>223733318.53438196</v>
      </c>
      <c r="EJ655" s="196">
        <f>'Detailed Budget'!$AC$204</f>
        <v>45012172507.531975</v>
      </c>
      <c r="EK655" s="269">
        <f t="shared" si="1714"/>
        <v>35610502.198707573</v>
      </c>
      <c r="EL655" s="201">
        <f>'Detailed Budget'!$AC$206</f>
        <v>11253043126.882994</v>
      </c>
      <c r="EM655" s="269">
        <f t="shared" si="1715"/>
        <v>8902625.5496768933</v>
      </c>
      <c r="EN655" s="269">
        <f t="shared" si="1651"/>
        <v>44513127.748384468</v>
      </c>
      <c r="EO655" s="140">
        <f>'Detailed Budget'!$AC$209</f>
        <v>135789361677.54817</v>
      </c>
      <c r="EP655" s="269">
        <f t="shared" si="1716"/>
        <v>99675360.284648344</v>
      </c>
      <c r="EQ655" s="196">
        <f>'Detailed Budget'!$AC$211</f>
        <v>33947340419.387043</v>
      </c>
      <c r="ER655" s="269">
        <f t="shared" si="1717"/>
        <v>24918840.071162086</v>
      </c>
      <c r="ES655" s="269">
        <f t="shared" si="1652"/>
        <v>124594200.35581043</v>
      </c>
      <c r="ET655" s="196">
        <f>'Detailed Budget'!$AC$214</f>
        <v>22239745544.201103</v>
      </c>
      <c r="EU655" s="269">
        <f t="shared" si="1718"/>
        <v>15854331.183573792</v>
      </c>
      <c r="EV655" s="140">
        <f>'Detailed Budget'!$AC$217</f>
        <v>5559936386.0502758</v>
      </c>
      <c r="EW655" s="269">
        <f t="shared" si="1719"/>
        <v>3963582.7958934479</v>
      </c>
      <c r="EX655" s="269">
        <f t="shared" si="1653"/>
        <v>19817913.979467239</v>
      </c>
      <c r="EY655" s="196">
        <f>'Detailed Budget'!$AC$219</f>
        <v>372777004.58170313</v>
      </c>
      <c r="EZ655" s="269">
        <f t="shared" si="1720"/>
        <v>278201.12019327004</v>
      </c>
      <c r="FA655" s="196">
        <f>'Detailed Budget'!$AC$222</f>
        <v>93194251.145425782</v>
      </c>
      <c r="FB655" s="269">
        <f t="shared" si="1721"/>
        <v>69550.280048317509</v>
      </c>
      <c r="FC655" s="269">
        <f t="shared" si="1654"/>
        <v>347751.40024158754</v>
      </c>
      <c r="FD655" s="269"/>
      <c r="FE655" s="269">
        <f t="shared" si="1663"/>
        <v>189272993.48390374</v>
      </c>
      <c r="FF655" s="140">
        <f>'Detailed Budget'!$AC$165</f>
        <v>14927760000</v>
      </c>
      <c r="FG655" s="1087">
        <f t="shared" si="1749"/>
        <v>258180891.82083321</v>
      </c>
      <c r="FH655" s="269">
        <f t="shared" si="1722"/>
        <v>16961436.200431772</v>
      </c>
      <c r="FJ655" s="140">
        <f>'Detailed Budget'!$AC$235</f>
        <v>3623696172</v>
      </c>
      <c r="FK655" s="269">
        <f t="shared" si="1723"/>
        <v>4681778</v>
      </c>
      <c r="FL655" s="269">
        <f t="shared" si="1750"/>
        <v>4681778</v>
      </c>
      <c r="FO655" s="607"/>
      <c r="FP655" s="607"/>
      <c r="FQ655" s="607"/>
      <c r="FR655" s="269">
        <f>'Detailed Budget'!$AC$257</f>
        <v>13636439388</v>
      </c>
      <c r="FS655" s="269">
        <f t="shared" si="1724"/>
        <v>5496348</v>
      </c>
      <c r="FT655" s="269">
        <f t="shared" si="1751"/>
        <v>5496348</v>
      </c>
      <c r="FU655" s="269"/>
      <c r="FV655" s="269"/>
      <c r="FW655" s="269"/>
      <c r="FX655" s="140">
        <f>'Detailed Budget'!$AC$278</f>
        <v>1114560000</v>
      </c>
      <c r="FY655" s="269">
        <f t="shared" si="1725"/>
        <v>1440000</v>
      </c>
      <c r="FZ655" s="269">
        <f t="shared" si="1752"/>
        <v>1440000</v>
      </c>
      <c r="GB655" s="269">
        <f t="shared" si="1760"/>
        <v>1548368800.5847709</v>
      </c>
      <c r="GC655" s="887">
        <f t="shared" si="1668"/>
        <v>967730.50036548183</v>
      </c>
      <c r="GD655" s="1078">
        <f t="shared" si="1761"/>
        <v>8.6883849075269318E-4</v>
      </c>
    </row>
    <row r="656" spans="1:186" hidden="1" outlineLevel="1">
      <c r="A656" s="211" t="s">
        <v>1413</v>
      </c>
      <c r="B656" s="212" t="s">
        <v>1414</v>
      </c>
      <c r="C656" s="213" t="s">
        <v>215</v>
      </c>
      <c r="D656" s="214"/>
      <c r="E656" s="213"/>
      <c r="F656" s="213"/>
      <c r="G656" s="213" t="s">
        <v>215</v>
      </c>
      <c r="H656" s="213" t="s">
        <v>215</v>
      </c>
      <c r="I656" s="214" t="s">
        <v>215</v>
      </c>
      <c r="J656" s="214"/>
      <c r="K656" s="213"/>
      <c r="L656" s="213"/>
      <c r="M656" s="214"/>
      <c r="N656" s="213" t="s">
        <v>215</v>
      </c>
      <c r="O656" s="214"/>
      <c r="P656" s="213"/>
      <c r="Q656" s="214"/>
      <c r="R656" s="214" t="s">
        <v>215</v>
      </c>
      <c r="S656" s="214"/>
      <c r="T656" s="214"/>
      <c r="U656" s="215">
        <f t="shared" si="1726"/>
        <v>6</v>
      </c>
      <c r="V656" s="845" t="s">
        <v>216</v>
      </c>
      <c r="W656" s="216">
        <v>150032</v>
      </c>
      <c r="X656" s="217">
        <v>3.22</v>
      </c>
      <c r="Y656" s="218">
        <f t="shared" si="1598"/>
        <v>1.0322</v>
      </c>
      <c r="Z656" s="196">
        <v>19</v>
      </c>
      <c r="AA656" s="218">
        <f t="shared" si="1599"/>
        <v>1.8260524174418462</v>
      </c>
      <c r="AB656" s="196">
        <f t="shared" si="1746"/>
        <v>273966.2962936351</v>
      </c>
      <c r="AC656">
        <v>12.7</v>
      </c>
      <c r="AD656" s="196">
        <f t="shared" si="1747"/>
        <v>34793.719629291656</v>
      </c>
      <c r="AE656" s="196">
        <f t="shared" si="1600"/>
        <v>33054.033647827069</v>
      </c>
      <c r="AF656" s="196">
        <f t="shared" si="1727"/>
        <v>0</v>
      </c>
      <c r="AG656" s="606">
        <f t="shared" si="1671"/>
        <v>1.5282734059488432E-3</v>
      </c>
      <c r="AH656" s="196">
        <f t="shared" si="1744"/>
        <v>13698.314814681755</v>
      </c>
      <c r="AI656" s="248">
        <f t="shared" si="1644"/>
        <v>1.0611876937191849E-3</v>
      </c>
      <c r="AJ656" s="196">
        <f t="shared" si="1672"/>
        <v>48492.034443973411</v>
      </c>
      <c r="AK656" s="196">
        <f t="shared" si="1698"/>
        <v>10958.651851745404</v>
      </c>
      <c r="AL656" s="196">
        <f t="shared" si="1699"/>
        <v>10958.651851745404</v>
      </c>
      <c r="AM656" s="196">
        <f t="shared" si="1656"/>
        <v>21917.303703490808</v>
      </c>
      <c r="AN656" s="627">
        <f t="shared" si="1657"/>
        <v>1.0611876937191849E-3</v>
      </c>
      <c r="AO656" s="196">
        <f t="shared" si="1658"/>
        <v>10410.719259158133</v>
      </c>
      <c r="AP656" s="589">
        <f t="shared" si="1673"/>
        <v>1.0611876937191849E-3</v>
      </c>
      <c r="AQ656" s="196"/>
      <c r="AR656" s="589"/>
      <c r="AS656">
        <v>1</v>
      </c>
      <c r="AT656" s="589">
        <f t="shared" si="1674"/>
        <v>1.2919896640826874E-3</v>
      </c>
      <c r="AU656" s="196">
        <v>11</v>
      </c>
      <c r="AV656" s="245">
        <f t="shared" si="1645"/>
        <v>1.2498579706851495E-3</v>
      </c>
      <c r="AX656" s="245"/>
      <c r="AY656" s="245"/>
      <c r="AZ656" s="196">
        <v>15</v>
      </c>
      <c r="BA656" s="589">
        <f t="shared" si="1754"/>
        <v>5.4963174672969107E-4</v>
      </c>
      <c r="BI656" s="196">
        <v>1</v>
      </c>
      <c r="BJ656" s="196">
        <f t="shared" si="1728"/>
        <v>152203.51010171967</v>
      </c>
      <c r="BK656" s="246">
        <f t="shared" si="1755"/>
        <v>2.9024291074530692E-3</v>
      </c>
      <c r="BL656" s="196">
        <f t="shared" si="1745"/>
        <v>3044.0702020343933</v>
      </c>
      <c r="BM656" s="246">
        <f t="shared" si="1756"/>
        <v>2.9024287753676753E-3</v>
      </c>
      <c r="BN656" s="196">
        <v>0</v>
      </c>
      <c r="BO656" s="196">
        <f t="shared" si="1729"/>
        <v>14055.619330482032</v>
      </c>
      <c r="BP656" s="196">
        <f t="shared" si="1676"/>
        <v>0</v>
      </c>
      <c r="BQ656" s="248">
        <f t="shared" si="1757"/>
        <v>0</v>
      </c>
      <c r="BR656" s="248"/>
      <c r="BS656" s="248"/>
      <c r="BT656" s="276">
        <v>0</v>
      </c>
      <c r="BU656" s="196">
        <f t="shared" si="1730"/>
        <v>0</v>
      </c>
      <c r="BV656" s="264">
        <f t="shared" si="1758"/>
        <v>0</v>
      </c>
      <c r="BW656" s="196">
        <f t="shared" si="1731"/>
        <v>0</v>
      </c>
      <c r="BX656" s="247">
        <f t="shared" si="1759"/>
        <v>0</v>
      </c>
      <c r="BY656" s="196">
        <f t="shared" si="1732"/>
        <v>0</v>
      </c>
      <c r="BZ656" s="620">
        <v>1</v>
      </c>
      <c r="CA656" s="196">
        <f t="shared" si="1733"/>
        <v>83833.686665852336</v>
      </c>
      <c r="CB656" s="196">
        <f t="shared" si="1734"/>
        <v>167667.37333170467</v>
      </c>
      <c r="CC656" s="196">
        <f t="shared" si="1682"/>
        <v>251501.05999755702</v>
      </c>
      <c r="CD656" s="247">
        <f t="shared" si="1646"/>
        <v>1.0611876937191849E-3</v>
      </c>
      <c r="CE656" s="196">
        <f t="shared" si="1735"/>
        <v>19360.789854968029</v>
      </c>
      <c r="CF656" s="247">
        <f t="shared" si="1647"/>
        <v>8.3605911694202215E-4</v>
      </c>
      <c r="CG656" s="196">
        <f t="shared" si="1703"/>
        <v>41642.877036632533</v>
      </c>
      <c r="CH656" s="589">
        <f t="shared" si="1684"/>
        <v>1.0611876937191849E-3</v>
      </c>
      <c r="CI656" s="196">
        <f t="shared" si="1736"/>
        <v>60906.739806303252</v>
      </c>
      <c r="CJ656" s="248">
        <f t="shared" si="1686"/>
        <v>1.0013066478138791E-3</v>
      </c>
      <c r="CK656" s="196">
        <f t="shared" si="1737"/>
        <v>64628.931445516915</v>
      </c>
      <c r="CL656" s="589">
        <f t="shared" si="1688"/>
        <v>9.2905418313334856E-4</v>
      </c>
      <c r="CM656" s="196">
        <f t="shared" si="1738"/>
        <v>6260.9301279431184</v>
      </c>
      <c r="CN656" s="589">
        <f t="shared" si="1690"/>
        <v>9.022711847226848E-4</v>
      </c>
      <c r="CO656" s="196">
        <f t="shared" si="1739"/>
        <v>500.86711375189276</v>
      </c>
      <c r="CP656" s="589">
        <f t="shared" si="1692"/>
        <v>9.4455822879817438E-4</v>
      </c>
      <c r="CQ656" s="196">
        <f>'Detailed Budget'!$AC$12</f>
        <v>292876014141.44696</v>
      </c>
      <c r="CR656" s="269">
        <f t="shared" si="1701"/>
        <v>850051868.31897235</v>
      </c>
      <c r="CS656" s="269">
        <f>'Detailed Budget'!$AC$16</f>
        <v>10488008800.000002</v>
      </c>
      <c r="CT656" s="607">
        <f t="shared" si="1705"/>
        <v>30440698.537429407</v>
      </c>
      <c r="CU656" s="269">
        <f>'Detailed Budget'!$AC$24</f>
        <v>30624985696</v>
      </c>
      <c r="CV656" s="269">
        <f t="shared" si="1753"/>
        <v>88886849.899404287</v>
      </c>
      <c r="CW656" s="269"/>
      <c r="CX656" s="269">
        <f t="shared" si="1660"/>
        <v>969379416.75580609</v>
      </c>
      <c r="CY656" s="196">
        <f>'Detailed Budget'!$AC$97</f>
        <v>74629165494.837845</v>
      </c>
      <c r="CZ656" s="269">
        <f t="shared" si="1706"/>
        <v>0</v>
      </c>
      <c r="DA656" s="269">
        <f>'Detailed Budget'!$AC$100</f>
        <v>14925833098.967569</v>
      </c>
      <c r="DB656" s="269">
        <f t="shared" si="1707"/>
        <v>0</v>
      </c>
      <c r="DC656" s="269">
        <f t="shared" si="1661"/>
        <v>0</v>
      </c>
      <c r="DD656" s="207">
        <v>0</v>
      </c>
      <c r="DE656" s="606">
        <v>0</v>
      </c>
      <c r="DF656" s="269">
        <f>'Detailed Budget'!$AC$147</f>
        <v>5913600671000</v>
      </c>
      <c r="DG656" s="269">
        <f t="shared" si="1748"/>
        <v>0</v>
      </c>
      <c r="DH656" s="269">
        <f>'Detailed Budget'!$AC$153</f>
        <v>226428026880.00003</v>
      </c>
      <c r="DI656" s="269"/>
      <c r="DJ656" s="269">
        <f>'Detailed Budget'!$AC$156</f>
        <v>27713070000</v>
      </c>
      <c r="DK656" s="269"/>
      <c r="DL656" s="269"/>
      <c r="DM656" s="196">
        <f>'Detailed Budget'!$AC$178</f>
        <v>5622683761.6229038</v>
      </c>
      <c r="DN656" s="269">
        <f t="shared" si="1740"/>
        <v>0</v>
      </c>
      <c r="DO656" s="196">
        <f>'Detailed Budget'!$AC$179</f>
        <v>26827890683.128094</v>
      </c>
      <c r="DP656" s="269">
        <f t="shared" si="1741"/>
        <v>0</v>
      </c>
      <c r="DQ656" s="269">
        <f t="shared" si="1700"/>
        <v>0</v>
      </c>
      <c r="DR656" s="269">
        <f>'Detailed Budget'!$AC$181</f>
        <v>50888946855.375237</v>
      </c>
      <c r="DS656" s="269">
        <f t="shared" si="1742"/>
        <v>0</v>
      </c>
      <c r="DT656" s="269">
        <f t="shared" si="1743"/>
        <v>0</v>
      </c>
      <c r="DU656" s="272">
        <f>'Detailed Budget'!$AC$192</f>
        <v>77498869683.252869</v>
      </c>
      <c r="DV656" s="269">
        <f t="shared" si="1708"/>
        <v>82240846.785014763</v>
      </c>
      <c r="DW656" s="140">
        <f>'Detailed Budget'!$AC$194</f>
        <v>2684962805.4134097</v>
      </c>
      <c r="DX656" s="269">
        <f t="shared" si="1709"/>
        <v>2849249.4871984487</v>
      </c>
      <c r="DY656" s="607">
        <f t="shared" si="1648"/>
        <v>85090096.272213206</v>
      </c>
      <c r="DZ656" s="196">
        <f>'Detailed Budget'!$AC$198</f>
        <v>18732540018.380611</v>
      </c>
      <c r="EA656" s="269">
        <f t="shared" si="1710"/>
        <v>15661510.865848385</v>
      </c>
      <c r="EB656" s="196">
        <f>'Detailed Budget'!$AC$200</f>
        <v>4683135004.5951529</v>
      </c>
      <c r="EC656" s="269">
        <f t="shared" si="1711"/>
        <v>3915377.7164620962</v>
      </c>
      <c r="ED656" s="269">
        <f t="shared" si="1649"/>
        <v>19576888.582310483</v>
      </c>
      <c r="EE656" s="196">
        <f>'Detailed Budget'!$AC$161</f>
        <v>251147290106.36197</v>
      </c>
      <c r="EF656" s="269">
        <f t="shared" si="1712"/>
        <v>266514413.57179332</v>
      </c>
      <c r="EG656" s="196">
        <f>'Detailed Budget'!$AC$163</f>
        <v>15696705631.647623</v>
      </c>
      <c r="EH656" s="269">
        <f t="shared" si="1713"/>
        <v>16657150.848237082</v>
      </c>
      <c r="EI656" s="269">
        <f t="shared" si="1650"/>
        <v>283171564.42003042</v>
      </c>
      <c r="EJ656" s="196">
        <f>'Detailed Budget'!$AC$204</f>
        <v>45012172507.531975</v>
      </c>
      <c r="EK656" s="269">
        <f t="shared" si="1714"/>
        <v>45070987.564336888</v>
      </c>
      <c r="EL656" s="201">
        <f>'Detailed Budget'!$AC$206</f>
        <v>11253043126.882994</v>
      </c>
      <c r="EM656" s="269">
        <f t="shared" si="1715"/>
        <v>11267746.891084222</v>
      </c>
      <c r="EN656" s="269">
        <f t="shared" si="1651"/>
        <v>56338734.455421112</v>
      </c>
      <c r="EO656" s="140">
        <f>'Detailed Budget'!$AC$209</f>
        <v>135789361677.54817</v>
      </c>
      <c r="EP656" s="269">
        <f t="shared" si="1716"/>
        <v>126155674.49153334</v>
      </c>
      <c r="EQ656" s="196">
        <f>'Detailed Budget'!$AC$211</f>
        <v>33947340419.387043</v>
      </c>
      <c r="ER656" s="269">
        <f t="shared" si="1717"/>
        <v>31538918.622883335</v>
      </c>
      <c r="ES656" s="269">
        <f t="shared" si="1652"/>
        <v>157694593.11441666</v>
      </c>
      <c r="ET656" s="196">
        <f>'Detailed Budget'!$AC$214</f>
        <v>22239745544.201103</v>
      </c>
      <c r="EU656" s="269">
        <f t="shared" si="1718"/>
        <v>20066281.560097381</v>
      </c>
      <c r="EV656" s="140">
        <f>'Detailed Budget'!$AC$217</f>
        <v>5559936386.0502758</v>
      </c>
      <c r="EW656" s="269">
        <f t="shared" si="1719"/>
        <v>5016570.3900243454</v>
      </c>
      <c r="EX656" s="269">
        <f t="shared" si="1653"/>
        <v>25082851.950121727</v>
      </c>
      <c r="EY656" s="196">
        <f>'Detailed Budget'!$AC$219</f>
        <v>372777004.58170313</v>
      </c>
      <c r="EZ656" s="269">
        <f t="shared" si="1720"/>
        <v>352109.58718438243</v>
      </c>
      <c r="FA656" s="196">
        <f>'Detailed Budget'!$AC$222</f>
        <v>93194251.145425782</v>
      </c>
      <c r="FB656" s="269">
        <f t="shared" si="1721"/>
        <v>88027.396796095607</v>
      </c>
      <c r="FC656" s="269">
        <f t="shared" si="1654"/>
        <v>440136.98398047802</v>
      </c>
      <c r="FD656" s="269"/>
      <c r="FE656" s="269">
        <f t="shared" si="1663"/>
        <v>239556316.50393999</v>
      </c>
      <c r="FF656" s="140">
        <f>'Detailed Budget'!$AC$165</f>
        <v>14927760000</v>
      </c>
      <c r="FG656" s="1087">
        <f t="shared" si="1749"/>
        <v>326770672.86707652</v>
      </c>
      <c r="FH656" s="269">
        <f t="shared" si="1722"/>
        <v>18657579.820474949</v>
      </c>
      <c r="FJ656" s="140">
        <f>'Detailed Budget'!$AC$235</f>
        <v>3623696172</v>
      </c>
      <c r="FK656" s="269">
        <f t="shared" si="1723"/>
        <v>4681778</v>
      </c>
      <c r="FL656" s="269">
        <f t="shared" si="1750"/>
        <v>4681778</v>
      </c>
      <c r="FO656" s="607"/>
      <c r="FP656" s="607"/>
      <c r="FQ656" s="607"/>
      <c r="FR656" s="269">
        <f>'Detailed Budget'!$AC$257</f>
        <v>13636439388</v>
      </c>
      <c r="FS656" s="269">
        <f t="shared" si="1724"/>
        <v>7495019.9999999991</v>
      </c>
      <c r="FT656" s="269">
        <f t="shared" si="1751"/>
        <v>7495019.9999999991</v>
      </c>
      <c r="FU656" s="269"/>
      <c r="FV656" s="269"/>
      <c r="FW656" s="269"/>
      <c r="FX656" s="140">
        <f>'Detailed Budget'!$AC$278</f>
        <v>1114560000</v>
      </c>
      <c r="FY656" s="269">
        <f t="shared" si="1725"/>
        <v>1440000</v>
      </c>
      <c r="FZ656" s="269">
        <f t="shared" si="1752"/>
        <v>1440000</v>
      </c>
      <c r="GB656" s="269">
        <f t="shared" si="1760"/>
        <v>1955819333.2218516</v>
      </c>
      <c r="GC656" s="887">
        <f t="shared" si="1668"/>
        <v>1222387.0832636573</v>
      </c>
      <c r="GD656" s="1078">
        <f t="shared" si="1761"/>
        <v>1.0974718148671315E-3</v>
      </c>
    </row>
    <row r="657" spans="1:186" hidden="1" outlineLevel="1">
      <c r="A657" s="211" t="s">
        <v>1415</v>
      </c>
      <c r="B657" s="212" t="s">
        <v>1416</v>
      </c>
      <c r="C657" s="213" t="s">
        <v>215</v>
      </c>
      <c r="D657" s="214"/>
      <c r="E657" s="213"/>
      <c r="F657" s="213"/>
      <c r="G657" s="213" t="s">
        <v>215</v>
      </c>
      <c r="H657" s="213" t="s">
        <v>215</v>
      </c>
      <c r="I657" s="214" t="s">
        <v>215</v>
      </c>
      <c r="J657" s="214"/>
      <c r="K657" s="213"/>
      <c r="L657" s="213"/>
      <c r="M657" s="214" t="s">
        <v>215</v>
      </c>
      <c r="N657" s="213"/>
      <c r="O657" s="214"/>
      <c r="P657" s="213"/>
      <c r="Q657" s="214"/>
      <c r="R657" s="214" t="s">
        <v>215</v>
      </c>
      <c r="S657" s="214"/>
      <c r="T657" s="214"/>
      <c r="U657" s="215">
        <f t="shared" si="1726"/>
        <v>6</v>
      </c>
      <c r="V657" s="845" t="s">
        <v>216</v>
      </c>
      <c r="W657" s="216">
        <v>67391</v>
      </c>
      <c r="X657" s="217">
        <v>3.22</v>
      </c>
      <c r="Y657" s="218">
        <f t="shared" si="1598"/>
        <v>1.0322</v>
      </c>
      <c r="Z657" s="196">
        <v>19</v>
      </c>
      <c r="AA657" s="218">
        <f t="shared" si="1599"/>
        <v>1.8260524174418462</v>
      </c>
      <c r="AB657" s="196">
        <f t="shared" si="1746"/>
        <v>123059.49846382346</v>
      </c>
      <c r="AC657">
        <v>12.7</v>
      </c>
      <c r="AD657" s="196">
        <f t="shared" si="1747"/>
        <v>15628.556304905578</v>
      </c>
      <c r="AE657" s="196">
        <f t="shared" si="1600"/>
        <v>14847.128489660299</v>
      </c>
      <c r="AF657" s="196">
        <f t="shared" si="1727"/>
        <v>0</v>
      </c>
      <c r="AG657" s="606">
        <f t="shared" si="1671"/>
        <v>6.8646604124652404E-4</v>
      </c>
      <c r="AH657" s="196">
        <f t="shared" si="1744"/>
        <v>6152.9749231911737</v>
      </c>
      <c r="AI657" s="248">
        <f t="shared" si="1644"/>
        <v>4.7666164463200909E-4</v>
      </c>
      <c r="AJ657" s="196">
        <f t="shared" si="1672"/>
        <v>21781.531228096752</v>
      </c>
      <c r="AK657" s="196">
        <f t="shared" si="1698"/>
        <v>4922.3799385529383</v>
      </c>
      <c r="AL657" s="196">
        <f t="shared" si="1699"/>
        <v>4922.3799385529383</v>
      </c>
      <c r="AM657" s="196">
        <f t="shared" si="1656"/>
        <v>9844.7598771058765</v>
      </c>
      <c r="AN657" s="627">
        <f t="shared" si="1657"/>
        <v>4.7666164463200904E-4</v>
      </c>
      <c r="AO657" s="196">
        <f t="shared" si="1658"/>
        <v>4676.2609416252917</v>
      </c>
      <c r="AP657" s="589">
        <f t="shared" si="1673"/>
        <v>4.7666164463200909E-4</v>
      </c>
      <c r="AQ657" s="196"/>
      <c r="AR657" s="589"/>
      <c r="AS657">
        <v>1</v>
      </c>
      <c r="AT657" s="589">
        <f t="shared" si="1674"/>
        <v>1.2919896640826874E-3</v>
      </c>
      <c r="AU657" s="196">
        <v>10</v>
      </c>
      <c r="AV657" s="245">
        <f t="shared" si="1645"/>
        <v>1.1362345188046814E-3</v>
      </c>
      <c r="AX657" s="245"/>
      <c r="AY657" s="245"/>
      <c r="AZ657" s="196">
        <v>14</v>
      </c>
      <c r="BA657" s="589">
        <f t="shared" si="1754"/>
        <v>5.1298963028104507E-4</v>
      </c>
      <c r="BI657" s="196">
        <v>1</v>
      </c>
      <c r="BJ657" s="196">
        <f t="shared" si="1728"/>
        <v>68366.393497820405</v>
      </c>
      <c r="BK657" s="246">
        <f t="shared" si="1755"/>
        <v>1.3037058759489295E-3</v>
      </c>
      <c r="BL657" s="196">
        <f t="shared" si="1745"/>
        <v>1367.327869956408</v>
      </c>
      <c r="BM657" s="246">
        <f t="shared" si="1756"/>
        <v>1.3037057267836396E-3</v>
      </c>
      <c r="BN657" s="196">
        <v>0</v>
      </c>
      <c r="BO657" s="196">
        <f t="shared" si="1729"/>
        <v>6313.4680754806604</v>
      </c>
      <c r="BP657" s="196">
        <f t="shared" si="1676"/>
        <v>0</v>
      </c>
      <c r="BQ657" s="248">
        <f t="shared" si="1757"/>
        <v>0</v>
      </c>
      <c r="BR657" s="248"/>
      <c r="BS657" s="248"/>
      <c r="BT657" s="276">
        <v>0</v>
      </c>
      <c r="BU657" s="196">
        <f t="shared" si="1730"/>
        <v>0</v>
      </c>
      <c r="BV657" s="264">
        <f t="shared" si="1758"/>
        <v>0</v>
      </c>
      <c r="BW657" s="196">
        <f t="shared" si="1731"/>
        <v>0</v>
      </c>
      <c r="BX657" s="247">
        <f t="shared" si="1759"/>
        <v>0</v>
      </c>
      <c r="BY657" s="196">
        <f t="shared" si="1732"/>
        <v>0</v>
      </c>
      <c r="BZ657" s="620">
        <v>1</v>
      </c>
      <c r="CA657" s="196">
        <f t="shared" si="1733"/>
        <v>37656.206529929979</v>
      </c>
      <c r="CB657" s="196">
        <f t="shared" si="1734"/>
        <v>75312.413059859959</v>
      </c>
      <c r="CC657" s="196">
        <f t="shared" si="1682"/>
        <v>112968.61958978995</v>
      </c>
      <c r="CD657" s="247">
        <f t="shared" si="1646"/>
        <v>4.7666164463200909E-4</v>
      </c>
      <c r="CE657" s="196">
        <f t="shared" si="1735"/>
        <v>8696.4313554185137</v>
      </c>
      <c r="CF657" s="247">
        <f t="shared" si="1647"/>
        <v>3.7553895135597617E-4</v>
      </c>
      <c r="CG657" s="196">
        <f t="shared" si="1703"/>
        <v>18705.043766501167</v>
      </c>
      <c r="CH657" s="589">
        <f t="shared" si="1684"/>
        <v>4.7666164463200909E-4</v>
      </c>
      <c r="CI657" s="196">
        <f t="shared" si="1736"/>
        <v>27357.937655210771</v>
      </c>
      <c r="CJ657" s="248">
        <f t="shared" si="1686"/>
        <v>4.4976442560803776E-4</v>
      </c>
      <c r="CK657" s="196">
        <f t="shared" si="1737"/>
        <v>29029.862422981965</v>
      </c>
      <c r="CL657" s="589">
        <f t="shared" si="1688"/>
        <v>4.1731024351831267E-4</v>
      </c>
      <c r="CM657" s="196">
        <f t="shared" si="1738"/>
        <v>2812.2689976286033</v>
      </c>
      <c r="CN657" s="589">
        <f t="shared" si="1690"/>
        <v>4.0527992301406663E-4</v>
      </c>
      <c r="CO657" s="196">
        <f t="shared" si="1739"/>
        <v>224.97824239398128</v>
      </c>
      <c r="CP657" s="589">
        <f t="shared" si="1692"/>
        <v>4.2427431212633144E-4</v>
      </c>
      <c r="CQ657" s="196">
        <f>'Detailed Budget'!$AC$12</f>
        <v>292876014141.44696</v>
      </c>
      <c r="CR657" s="269">
        <f t="shared" si="1701"/>
        <v>381824180.5607062</v>
      </c>
      <c r="CS657" s="269">
        <f>'Detailed Budget'!$AC$16</f>
        <v>10488008800.000002</v>
      </c>
      <c r="CT657" s="607">
        <f t="shared" si="1705"/>
        <v>13673277.13511721</v>
      </c>
      <c r="CU657" s="269">
        <f>'Detailed Budget'!$AC$24</f>
        <v>30624985696</v>
      </c>
      <c r="CV657" s="269">
        <f t="shared" si="1753"/>
        <v>39925973.802727118</v>
      </c>
      <c r="CW657" s="269"/>
      <c r="CX657" s="269">
        <f t="shared" si="1660"/>
        <v>435423431.49855053</v>
      </c>
      <c r="CY657" s="196">
        <f>'Detailed Budget'!$AC$97</f>
        <v>74629165494.837845</v>
      </c>
      <c r="CZ657" s="269">
        <f t="shared" si="1706"/>
        <v>0</v>
      </c>
      <c r="DA657" s="269">
        <f>'Detailed Budget'!$AC$100</f>
        <v>14925833098.967569</v>
      </c>
      <c r="DB657" s="269">
        <f t="shared" si="1707"/>
        <v>0</v>
      </c>
      <c r="DC657" s="269">
        <f t="shared" si="1661"/>
        <v>0</v>
      </c>
      <c r="DD657" s="207">
        <v>0</v>
      </c>
      <c r="DE657" s="606">
        <v>0</v>
      </c>
      <c r="DF657" s="269">
        <f>'Detailed Budget'!$AC$147</f>
        <v>5913600671000</v>
      </c>
      <c r="DG657" s="269">
        <f t="shared" si="1748"/>
        <v>0</v>
      </c>
      <c r="DH657" s="269">
        <f>'Detailed Budget'!$AC$153</f>
        <v>226428026880.00003</v>
      </c>
      <c r="DI657" s="269"/>
      <c r="DJ657" s="269">
        <f>'Detailed Budget'!$AC$156</f>
        <v>27713070000</v>
      </c>
      <c r="DK657" s="269"/>
      <c r="DL657" s="269"/>
      <c r="DM657" s="196">
        <f>'Detailed Budget'!$AC$178</f>
        <v>5622683761.6229038</v>
      </c>
      <c r="DN657" s="269">
        <f t="shared" si="1740"/>
        <v>0</v>
      </c>
      <c r="DO657" s="196">
        <f>'Detailed Budget'!$AC$179</f>
        <v>26827890683.128094</v>
      </c>
      <c r="DP657" s="269">
        <f t="shared" si="1741"/>
        <v>0</v>
      </c>
      <c r="DQ657" s="269">
        <f t="shared" si="1700"/>
        <v>0</v>
      </c>
      <c r="DR657" s="269">
        <f>'Detailed Budget'!$AC$181</f>
        <v>50888946855.375237</v>
      </c>
      <c r="DS657" s="269">
        <f t="shared" si="1742"/>
        <v>0</v>
      </c>
      <c r="DT657" s="269">
        <f t="shared" si="1743"/>
        <v>0</v>
      </c>
      <c r="DU657" s="272">
        <f>'Detailed Budget'!$AC$192</f>
        <v>77498869683.252869</v>
      </c>
      <c r="DV657" s="269">
        <f t="shared" si="1708"/>
        <v>36940738.680341065</v>
      </c>
      <c r="DW657" s="140">
        <f>'Detailed Budget'!$AC$194</f>
        <v>2684962805.4134097</v>
      </c>
      <c r="DX657" s="269">
        <f t="shared" si="1709"/>
        <v>1279818.7866041288</v>
      </c>
      <c r="DY657" s="607">
        <f t="shared" si="1648"/>
        <v>38220557.466945194</v>
      </c>
      <c r="DZ657" s="196">
        <f>'Detailed Budget'!$AC$198</f>
        <v>18732540018.380611</v>
      </c>
      <c r="EA657" s="269">
        <f t="shared" si="1710"/>
        <v>7034798.4347365135</v>
      </c>
      <c r="EB657" s="196">
        <f>'Detailed Budget'!$AC$200</f>
        <v>4683135004.5951529</v>
      </c>
      <c r="EC657" s="269">
        <f t="shared" si="1711"/>
        <v>1758699.6086841284</v>
      </c>
      <c r="ED657" s="269">
        <f t="shared" si="1649"/>
        <v>8793498.0434206426</v>
      </c>
      <c r="EE657" s="196">
        <f>'Detailed Budget'!$AC$161</f>
        <v>251147290106.36197</v>
      </c>
      <c r="EF657" s="269">
        <f t="shared" si="1712"/>
        <v>119712280.3469708</v>
      </c>
      <c r="EG657" s="196">
        <f>'Detailed Budget'!$AC$163</f>
        <v>15696705631.647623</v>
      </c>
      <c r="EH657" s="269">
        <f t="shared" si="1713"/>
        <v>7482017.5216856748</v>
      </c>
      <c r="EI657" s="269">
        <f t="shared" si="1650"/>
        <v>127194297.86865647</v>
      </c>
      <c r="EJ657" s="196">
        <f>'Detailed Budget'!$AC$204</f>
        <v>45012172507.531975</v>
      </c>
      <c r="EK657" s="269">
        <f t="shared" si="1714"/>
        <v>20244873.913220026</v>
      </c>
      <c r="EL657" s="201">
        <f>'Detailed Budget'!$AC$206</f>
        <v>11253043126.882994</v>
      </c>
      <c r="EM657" s="269">
        <f t="shared" si="1715"/>
        <v>5061218.4783050064</v>
      </c>
      <c r="EN657" s="269">
        <f t="shared" si="1651"/>
        <v>25306092.39152503</v>
      </c>
      <c r="EO657" s="140">
        <f>'Detailed Budget'!$AC$209</f>
        <v>135789361677.54817</v>
      </c>
      <c r="EP657" s="269">
        <f t="shared" si="1716"/>
        <v>56666291.588853858</v>
      </c>
      <c r="EQ657" s="196">
        <f>'Detailed Budget'!$AC$211</f>
        <v>33947340419.387043</v>
      </c>
      <c r="ER657" s="269">
        <f t="shared" si="1717"/>
        <v>14166572.897213465</v>
      </c>
      <c r="ES657" s="269">
        <f t="shared" si="1652"/>
        <v>70832864.486067325</v>
      </c>
      <c r="ET657" s="196">
        <f>'Detailed Budget'!$AC$214</f>
        <v>22239745544.201103</v>
      </c>
      <c r="EU657" s="269">
        <f t="shared" si="1718"/>
        <v>9013322.3620062545</v>
      </c>
      <c r="EV657" s="140">
        <f>'Detailed Budget'!$AC$217</f>
        <v>5559936386.0502758</v>
      </c>
      <c r="EW657" s="269">
        <f t="shared" si="1719"/>
        <v>2253330.5905015636</v>
      </c>
      <c r="EX657" s="269">
        <f t="shared" si="1653"/>
        <v>11266652.952507818</v>
      </c>
      <c r="EY657" s="196">
        <f>'Detailed Budget'!$AC$219</f>
        <v>372777004.58170313</v>
      </c>
      <c r="EZ657" s="269">
        <f t="shared" si="1720"/>
        <v>158159.70719541638</v>
      </c>
      <c r="FA657" s="196">
        <f>'Detailed Budget'!$AC$222</f>
        <v>93194251.145425782</v>
      </c>
      <c r="FB657" s="269">
        <f t="shared" si="1721"/>
        <v>39539.926798854096</v>
      </c>
      <c r="FC657" s="269">
        <f t="shared" si="1654"/>
        <v>197699.63399427047</v>
      </c>
      <c r="FD657" s="269"/>
      <c r="FE657" s="269">
        <f t="shared" si="1663"/>
        <v>107603309.46409445</v>
      </c>
      <c r="FF657" s="140">
        <f>'Detailed Budget'!$AC$165</f>
        <v>14927760000</v>
      </c>
      <c r="FG657" s="1087">
        <f t="shared" si="1749"/>
        <v>146778036.78671983</v>
      </c>
      <c r="FH657" s="269">
        <f t="shared" si="1722"/>
        <v>16961436.200431772</v>
      </c>
      <c r="FJ657" s="140">
        <f>'Detailed Budget'!$AC$235</f>
        <v>3623696172</v>
      </c>
      <c r="FK657" s="269">
        <f t="shared" si="1723"/>
        <v>4681778</v>
      </c>
      <c r="FL657" s="269">
        <f t="shared" si="1750"/>
        <v>4681778</v>
      </c>
      <c r="FO657" s="607"/>
      <c r="FP657" s="607"/>
      <c r="FQ657" s="607"/>
      <c r="FR657" s="269">
        <f>'Detailed Budget'!$AC$257</f>
        <v>13636439388</v>
      </c>
      <c r="FS657" s="269">
        <f t="shared" si="1724"/>
        <v>6995352</v>
      </c>
      <c r="FT657" s="269">
        <f t="shared" si="1751"/>
        <v>6995352</v>
      </c>
      <c r="FU657" s="269"/>
      <c r="FV657" s="269"/>
      <c r="FW657" s="269"/>
      <c r="FX657" s="140">
        <f>'Detailed Budget'!$AC$278</f>
        <v>1114560000</v>
      </c>
      <c r="FY657" s="269">
        <f t="shared" si="1725"/>
        <v>1440000</v>
      </c>
      <c r="FZ657" s="269">
        <f t="shared" si="1752"/>
        <v>1440000</v>
      </c>
      <c r="GB657" s="269">
        <f t="shared" si="1760"/>
        <v>894091697.32881892</v>
      </c>
      <c r="GC657" s="887">
        <f t="shared" si="1668"/>
        <v>558807.31083051185</v>
      </c>
      <c r="GD657" s="1078">
        <f t="shared" si="1761"/>
        <v>5.0170300551671116E-4</v>
      </c>
    </row>
    <row r="658" spans="1:186" hidden="1" outlineLevel="1">
      <c r="A658" s="211" t="s">
        <v>1417</v>
      </c>
      <c r="B658" s="212" t="s">
        <v>1418</v>
      </c>
      <c r="C658" s="213" t="s">
        <v>215</v>
      </c>
      <c r="D658" s="214"/>
      <c r="E658" s="213"/>
      <c r="F658" s="213"/>
      <c r="G658" s="213" t="s">
        <v>215</v>
      </c>
      <c r="H658" s="213" t="s">
        <v>215</v>
      </c>
      <c r="I658" s="214" t="s">
        <v>215</v>
      </c>
      <c r="J658" s="214"/>
      <c r="K658" s="213"/>
      <c r="L658" s="213"/>
      <c r="M658" s="214" t="s">
        <v>215</v>
      </c>
      <c r="N658" s="213"/>
      <c r="O658" s="214"/>
      <c r="P658" s="213"/>
      <c r="Q658" s="214"/>
      <c r="R658" s="214" t="s">
        <v>215</v>
      </c>
      <c r="S658" s="214"/>
      <c r="T658" s="214"/>
      <c r="U658" s="215">
        <f t="shared" si="1726"/>
        <v>6</v>
      </c>
      <c r="V658" s="845" t="s">
        <v>216</v>
      </c>
      <c r="W658" s="216">
        <v>174273</v>
      </c>
      <c r="X658" s="217">
        <v>3.22</v>
      </c>
      <c r="Y658" s="218">
        <f t="shared" si="1598"/>
        <v>1.0322</v>
      </c>
      <c r="Z658" s="196">
        <v>19</v>
      </c>
      <c r="AA658" s="218">
        <f t="shared" si="1599"/>
        <v>1.8260524174418462</v>
      </c>
      <c r="AB658" s="196">
        <f t="shared" si="1746"/>
        <v>318231.63294484286</v>
      </c>
      <c r="AC658">
        <v>12.7</v>
      </c>
      <c r="AD658" s="196">
        <f t="shared" si="1747"/>
        <v>40415.417383995045</v>
      </c>
      <c r="AE658" s="196">
        <f t="shared" si="1600"/>
        <v>38394.646514795291</v>
      </c>
      <c r="AF658" s="196">
        <f t="shared" si="1727"/>
        <v>0</v>
      </c>
      <c r="AG658" s="606">
        <f t="shared" si="1671"/>
        <v>1.7751998991876585E-3</v>
      </c>
      <c r="AH658" s="196">
        <f t="shared" si="1744"/>
        <v>15911.581647242143</v>
      </c>
      <c r="AI658" s="248">
        <f t="shared" si="1644"/>
        <v>1.2326461218108368E-3</v>
      </c>
      <c r="AJ658" s="196">
        <f t="shared" si="1672"/>
        <v>56326.999031237188</v>
      </c>
      <c r="AK658" s="196">
        <f t="shared" si="1698"/>
        <v>12729.265317793715</v>
      </c>
      <c r="AL658" s="196">
        <f t="shared" si="1699"/>
        <v>12729.265317793715</v>
      </c>
      <c r="AM658" s="196">
        <f t="shared" si="1656"/>
        <v>25458.530635587431</v>
      </c>
      <c r="AN658" s="627">
        <f t="shared" si="1657"/>
        <v>1.232646121810837E-3</v>
      </c>
      <c r="AO658" s="196">
        <f t="shared" si="1658"/>
        <v>12092.802051904029</v>
      </c>
      <c r="AP658" s="589">
        <f t="shared" si="1673"/>
        <v>1.232646121810837E-3</v>
      </c>
      <c r="AQ658" s="196"/>
      <c r="AR658" s="589"/>
      <c r="AS658">
        <v>1</v>
      </c>
      <c r="AT658" s="589">
        <f t="shared" si="1674"/>
        <v>1.2919896640826874E-3</v>
      </c>
      <c r="AU658" s="196">
        <v>11</v>
      </c>
      <c r="AV658" s="245">
        <f t="shared" si="1645"/>
        <v>1.2498579706851495E-3</v>
      </c>
      <c r="AX658" s="245"/>
      <c r="AY658" s="245"/>
      <c r="AZ658" s="196">
        <v>20</v>
      </c>
      <c r="BA658" s="589">
        <f t="shared" si="1754"/>
        <v>7.3284232897292143E-4</v>
      </c>
      <c r="BI658" s="196">
        <v>1</v>
      </c>
      <c r="BJ658" s="196">
        <f t="shared" si="1728"/>
        <v>176795.36576168411</v>
      </c>
      <c r="BK658" s="246">
        <f t="shared" si="1755"/>
        <v>3.3713809576834852E-3</v>
      </c>
      <c r="BL658" s="196">
        <f t="shared" si="1745"/>
        <v>3535.9073152336823</v>
      </c>
      <c r="BM658" s="246">
        <f t="shared" si="1756"/>
        <v>3.3713805719423249E-3</v>
      </c>
      <c r="BN658" s="196">
        <v>0</v>
      </c>
      <c r="BO658" s="196">
        <f t="shared" si="1729"/>
        <v>16326.616638990981</v>
      </c>
      <c r="BP658" s="196">
        <f t="shared" si="1676"/>
        <v>0</v>
      </c>
      <c r="BQ658" s="248">
        <f t="shared" si="1757"/>
        <v>0</v>
      </c>
      <c r="BR658" s="248"/>
      <c r="BS658" s="248"/>
      <c r="BT658" s="276">
        <v>0</v>
      </c>
      <c r="BU658" s="196">
        <f t="shared" si="1730"/>
        <v>0</v>
      </c>
      <c r="BV658" s="264">
        <f t="shared" si="1758"/>
        <v>0</v>
      </c>
      <c r="BW658" s="196">
        <f t="shared" si="1731"/>
        <v>0</v>
      </c>
      <c r="BX658" s="247">
        <f t="shared" si="1759"/>
        <v>0</v>
      </c>
      <c r="BY658" s="196">
        <f t="shared" si="1732"/>
        <v>0</v>
      </c>
      <c r="BZ658" s="620">
        <v>1</v>
      </c>
      <c r="CA658" s="196">
        <f t="shared" si="1733"/>
        <v>97378.879681121922</v>
      </c>
      <c r="CB658" s="196">
        <f t="shared" si="1734"/>
        <v>194757.75936224384</v>
      </c>
      <c r="CC658" s="196">
        <f t="shared" si="1682"/>
        <v>292136.63904336578</v>
      </c>
      <c r="CD658" s="247">
        <f t="shared" si="1646"/>
        <v>1.232646121810837E-3</v>
      </c>
      <c r="CE658" s="196">
        <f t="shared" si="1735"/>
        <v>22488.955225517511</v>
      </c>
      <c r="CF658" s="247">
        <f t="shared" si="1647"/>
        <v>9.7114302606668597E-4</v>
      </c>
      <c r="CG658" s="196">
        <f t="shared" si="1703"/>
        <v>48371.208207616117</v>
      </c>
      <c r="CH658" s="589">
        <f t="shared" si="1684"/>
        <v>1.232646121810837E-3</v>
      </c>
      <c r="CI658" s="196">
        <f t="shared" si="1736"/>
        <v>70747.575625625788</v>
      </c>
      <c r="CJ658" s="248">
        <f t="shared" si="1686"/>
        <v>1.1630899637041976E-3</v>
      </c>
      <c r="CK658" s="196">
        <f t="shared" si="1737"/>
        <v>75071.169949107993</v>
      </c>
      <c r="CL658" s="589">
        <f t="shared" si="1688"/>
        <v>1.0791635094992938E-3</v>
      </c>
      <c r="CM658" s="196">
        <f t="shared" si="1738"/>
        <v>7272.5223698079817</v>
      </c>
      <c r="CN658" s="589">
        <f t="shared" si="1690"/>
        <v>1.0480531231682338E-3</v>
      </c>
      <c r="CO658" s="196">
        <f t="shared" si="1739"/>
        <v>581.79331419219636</v>
      </c>
      <c r="CP658" s="589">
        <f t="shared" si="1692"/>
        <v>1.0971725778990099E-3</v>
      </c>
      <c r="CQ658" s="196">
        <f>'Detailed Budget'!$AC$12</f>
        <v>292876014141.44696</v>
      </c>
      <c r="CR658" s="269">
        <f t="shared" si="1701"/>
        <v>987396617.03871346</v>
      </c>
      <c r="CS658" s="269">
        <f>'Detailed Budget'!$AC$16</f>
        <v>10488008800.000002</v>
      </c>
      <c r="CT658" s="607">
        <f t="shared" si="1705"/>
        <v>35359069.10668014</v>
      </c>
      <c r="CU658" s="269">
        <f>'Detailed Budget'!$AC$24</f>
        <v>30624985696</v>
      </c>
      <c r="CV658" s="269">
        <f t="shared" si="1753"/>
        <v>103248493.60482351</v>
      </c>
      <c r="CW658" s="269"/>
      <c r="CX658" s="269">
        <f t="shared" si="1660"/>
        <v>1126004179.7502172</v>
      </c>
      <c r="CY658" s="196">
        <f>'Detailed Budget'!$AC$97</f>
        <v>74629165494.837845</v>
      </c>
      <c r="CZ658" s="269">
        <f t="shared" si="1706"/>
        <v>0</v>
      </c>
      <c r="DA658" s="269">
        <f>'Detailed Budget'!$AC$100</f>
        <v>14925833098.967569</v>
      </c>
      <c r="DB658" s="269">
        <f t="shared" si="1707"/>
        <v>0</v>
      </c>
      <c r="DC658" s="269">
        <f t="shared" si="1661"/>
        <v>0</v>
      </c>
      <c r="DD658" s="207">
        <v>0</v>
      </c>
      <c r="DE658" s="606">
        <v>0</v>
      </c>
      <c r="DF658" s="269">
        <f>'Detailed Budget'!$AC$147</f>
        <v>5913600671000</v>
      </c>
      <c r="DG658" s="269">
        <f t="shared" si="1748"/>
        <v>0</v>
      </c>
      <c r="DH658" s="269">
        <f>'Detailed Budget'!$AC$153</f>
        <v>226428026880.00003</v>
      </c>
      <c r="DI658" s="269"/>
      <c r="DJ658" s="269">
        <f>'Detailed Budget'!$AC$156</f>
        <v>27713070000</v>
      </c>
      <c r="DK658" s="269"/>
      <c r="DL658" s="269"/>
      <c r="DM658" s="196">
        <f>'Detailed Budget'!$AC$178</f>
        <v>5622683761.6229038</v>
      </c>
      <c r="DN658" s="269">
        <f t="shared" si="1740"/>
        <v>0</v>
      </c>
      <c r="DO658" s="196">
        <f>'Detailed Budget'!$AC$179</f>
        <v>26827890683.128094</v>
      </c>
      <c r="DP658" s="269">
        <f t="shared" si="1741"/>
        <v>0</v>
      </c>
      <c r="DQ658" s="269">
        <f t="shared" si="1700"/>
        <v>0</v>
      </c>
      <c r="DR658" s="269">
        <f>'Detailed Budget'!$AC$181</f>
        <v>50888946855.375237</v>
      </c>
      <c r="DS658" s="269">
        <f t="shared" si="1742"/>
        <v>0</v>
      </c>
      <c r="DT658" s="269">
        <f t="shared" si="1743"/>
        <v>0</v>
      </c>
      <c r="DU658" s="272">
        <f>'Detailed Budget'!$AC$192</f>
        <v>77498869683.252869</v>
      </c>
      <c r="DV658" s="269">
        <f t="shared" si="1708"/>
        <v>95528681.159785107</v>
      </c>
      <c r="DW658" s="140">
        <f>'Detailed Budget'!$AC$194</f>
        <v>2684962805.4134097</v>
      </c>
      <c r="DX658" s="269">
        <f t="shared" si="1709"/>
        <v>3309608.9892991846</v>
      </c>
      <c r="DY658" s="607">
        <f t="shared" si="1648"/>
        <v>98838290.149084285</v>
      </c>
      <c r="DZ658" s="196">
        <f>'Detailed Budget'!$AC$198</f>
        <v>18732540018.380611</v>
      </c>
      <c r="EA658" s="269">
        <f t="shared" si="1710"/>
        <v>18191975.599365439</v>
      </c>
      <c r="EB658" s="196">
        <f>'Detailed Budget'!$AC$200</f>
        <v>4683135004.5951529</v>
      </c>
      <c r="EC658" s="269">
        <f t="shared" si="1711"/>
        <v>4547993.8998413598</v>
      </c>
      <c r="ED658" s="269">
        <f t="shared" si="1649"/>
        <v>22739969.4992068</v>
      </c>
      <c r="EE658" s="196">
        <f>'Detailed Budget'!$AC$161</f>
        <v>251147290106.36197</v>
      </c>
      <c r="EF658" s="269">
        <f t="shared" si="1712"/>
        <v>309575733.15290827</v>
      </c>
      <c r="EG658" s="196">
        <f>'Detailed Budget'!$AC$163</f>
        <v>15696705631.647623</v>
      </c>
      <c r="EH658" s="269">
        <f t="shared" si="1713"/>
        <v>19348483.322056767</v>
      </c>
      <c r="EI658" s="269">
        <f t="shared" si="1650"/>
        <v>328924216.47496504</v>
      </c>
      <c r="EJ658" s="196">
        <f>'Detailed Budget'!$AC$204</f>
        <v>45012172507.531975</v>
      </c>
      <c r="EK658" s="269">
        <f t="shared" si="1714"/>
        <v>52353206.088032447</v>
      </c>
      <c r="EL658" s="201">
        <f>'Detailed Budget'!$AC$206</f>
        <v>11253043126.882994</v>
      </c>
      <c r="EM658" s="269">
        <f t="shared" si="1715"/>
        <v>13088301.522008112</v>
      </c>
      <c r="EN658" s="269">
        <f t="shared" si="1651"/>
        <v>65441507.61004056</v>
      </c>
      <c r="EO658" s="140">
        <f>'Detailed Budget'!$AC$209</f>
        <v>135789361677.54817</v>
      </c>
      <c r="EP658" s="269">
        <f t="shared" si="1716"/>
        <v>146538924.10061181</v>
      </c>
      <c r="EQ658" s="196">
        <f>'Detailed Budget'!$AC$211</f>
        <v>33947340419.387043</v>
      </c>
      <c r="ER658" s="269">
        <f t="shared" si="1717"/>
        <v>36634731.025152951</v>
      </c>
      <c r="ES658" s="269">
        <f t="shared" si="1652"/>
        <v>183173655.12576476</v>
      </c>
      <c r="ET658" s="196">
        <f>'Detailed Budget'!$AC$214</f>
        <v>22239745544.201103</v>
      </c>
      <c r="EU658" s="269">
        <f t="shared" si="1718"/>
        <v>23308434.776066776</v>
      </c>
      <c r="EV658" s="140">
        <f>'Detailed Budget'!$AC$217</f>
        <v>5559936386.0502758</v>
      </c>
      <c r="EW658" s="269">
        <f t="shared" si="1719"/>
        <v>5827108.6940166941</v>
      </c>
      <c r="EX658" s="269">
        <f t="shared" si="1653"/>
        <v>29135543.470083471</v>
      </c>
      <c r="EY658" s="196">
        <f>'Detailed Budget'!$AC$219</f>
        <v>372777004.58170313</v>
      </c>
      <c r="EZ658" s="269">
        <f t="shared" si="1720"/>
        <v>409000.70709837822</v>
      </c>
      <c r="FA658" s="196">
        <f>'Detailed Budget'!$AC$222</f>
        <v>93194251.145425782</v>
      </c>
      <c r="FB658" s="269">
        <f t="shared" si="1721"/>
        <v>102250.17677459455</v>
      </c>
      <c r="FC658" s="269">
        <f t="shared" si="1654"/>
        <v>511250.8838729728</v>
      </c>
      <c r="FD658" s="269"/>
      <c r="FE658" s="269">
        <f t="shared" si="1663"/>
        <v>278261957.08976179</v>
      </c>
      <c r="FF658" s="140">
        <f>'Detailed Budget'!$AC$165</f>
        <v>14927760000</v>
      </c>
      <c r="FG658" s="1087">
        <f t="shared" si="1749"/>
        <v>379567728.70163721</v>
      </c>
      <c r="FH658" s="269">
        <f t="shared" si="1722"/>
        <v>18657579.820474949</v>
      </c>
      <c r="FJ658" s="140">
        <f>'Detailed Budget'!$AC$235</f>
        <v>3623696172</v>
      </c>
      <c r="FK658" s="269">
        <f t="shared" si="1723"/>
        <v>4681778</v>
      </c>
      <c r="FL658" s="269">
        <f t="shared" si="1750"/>
        <v>4681778</v>
      </c>
      <c r="FO658" s="607"/>
      <c r="FP658" s="607"/>
      <c r="FQ658" s="607"/>
      <c r="FR658" s="269">
        <f>'Detailed Budget'!$AC$257</f>
        <v>13636439388</v>
      </c>
      <c r="FS658" s="269">
        <f t="shared" si="1724"/>
        <v>9993360</v>
      </c>
      <c r="FT658" s="269">
        <f t="shared" si="1751"/>
        <v>9993360</v>
      </c>
      <c r="FU658" s="269"/>
      <c r="FV658" s="269"/>
      <c r="FW658" s="269"/>
      <c r="FX658" s="140">
        <f>'Detailed Budget'!$AC$278</f>
        <v>1114560000</v>
      </c>
      <c r="FY658" s="269">
        <f t="shared" si="1725"/>
        <v>1440000</v>
      </c>
      <c r="FZ658" s="269">
        <f t="shared" si="1752"/>
        <v>1440000</v>
      </c>
      <c r="GB658" s="269">
        <f t="shared" si="1760"/>
        <v>2269109059.4853473</v>
      </c>
      <c r="GC658" s="887">
        <f t="shared" si="1668"/>
        <v>1418193.162178342</v>
      </c>
      <c r="GD658" s="1078">
        <f t="shared" si="1761"/>
        <v>1.273268545486025E-3</v>
      </c>
    </row>
    <row r="659" spans="1:186" hidden="1" outlineLevel="1">
      <c r="A659" s="211" t="s">
        <v>1419</v>
      </c>
      <c r="B659" s="212" t="s">
        <v>1420</v>
      </c>
      <c r="C659" s="213" t="s">
        <v>215</v>
      </c>
      <c r="D659" s="214"/>
      <c r="E659" s="213"/>
      <c r="F659" s="213"/>
      <c r="G659" s="213" t="s">
        <v>215</v>
      </c>
      <c r="H659" s="213" t="s">
        <v>215</v>
      </c>
      <c r="I659" s="214" t="s">
        <v>215</v>
      </c>
      <c r="J659" s="214"/>
      <c r="K659" s="213"/>
      <c r="L659" s="213"/>
      <c r="M659" s="214" t="s">
        <v>215</v>
      </c>
      <c r="N659" s="213"/>
      <c r="O659" s="214"/>
      <c r="P659" s="213"/>
      <c r="Q659" s="214"/>
      <c r="R659" s="214" t="s">
        <v>215</v>
      </c>
      <c r="S659" s="214"/>
      <c r="T659" s="214"/>
      <c r="U659" s="215">
        <f t="shared" si="1726"/>
        <v>6</v>
      </c>
      <c r="V659" s="845" t="s">
        <v>216</v>
      </c>
      <c r="W659" s="216">
        <v>142480</v>
      </c>
      <c r="X659" s="217">
        <v>3.22</v>
      </c>
      <c r="Y659" s="218">
        <f t="shared" si="1598"/>
        <v>1.0322</v>
      </c>
      <c r="Z659" s="196">
        <v>19</v>
      </c>
      <c r="AA659" s="218">
        <f t="shared" si="1599"/>
        <v>1.8260524174418462</v>
      </c>
      <c r="AB659" s="196">
        <f t="shared" si="1746"/>
        <v>260175.94843711425</v>
      </c>
      <c r="AC659">
        <v>12.7</v>
      </c>
      <c r="AD659" s="196">
        <f t="shared" si="1747"/>
        <v>33042.345451513509</v>
      </c>
      <c r="AE659" s="196">
        <f t="shared" si="1600"/>
        <v>31390.228178937832</v>
      </c>
      <c r="AF659" s="196">
        <f t="shared" si="1727"/>
        <v>0</v>
      </c>
      <c r="AG659" s="606">
        <f t="shared" si="1671"/>
        <v>1.451346345310275E-3</v>
      </c>
      <c r="AH659" s="196">
        <f t="shared" si="1744"/>
        <v>13008.797421855714</v>
      </c>
      <c r="AI659" s="248">
        <f t="shared" si="1644"/>
        <v>1.0077718260178459E-3</v>
      </c>
      <c r="AJ659" s="196">
        <f t="shared" si="1672"/>
        <v>46051.142873369223</v>
      </c>
      <c r="AK659" s="196">
        <f t="shared" si="1698"/>
        <v>10407.037937484571</v>
      </c>
      <c r="AL659" s="196">
        <f t="shared" si="1699"/>
        <v>10407.037937484571</v>
      </c>
      <c r="AM659" s="196">
        <f t="shared" si="1656"/>
        <v>20814.075874969141</v>
      </c>
      <c r="AN659" s="627">
        <f t="shared" si="1657"/>
        <v>1.0077718260178459E-3</v>
      </c>
      <c r="AO659" s="196">
        <f t="shared" si="1658"/>
        <v>9886.6860406103406</v>
      </c>
      <c r="AP659" s="589">
        <f t="shared" si="1673"/>
        <v>1.0077718260178457E-3</v>
      </c>
      <c r="AQ659" s="196"/>
      <c r="AR659" s="589"/>
      <c r="AS659">
        <v>1</v>
      </c>
      <c r="AT659" s="589">
        <f t="shared" si="1674"/>
        <v>1.2919896640826874E-3</v>
      </c>
      <c r="AU659" s="196">
        <v>10</v>
      </c>
      <c r="AV659" s="245">
        <f t="shared" si="1645"/>
        <v>1.1362345188046814E-3</v>
      </c>
      <c r="AX659" s="245"/>
      <c r="AY659" s="245"/>
      <c r="AZ659" s="196">
        <v>19</v>
      </c>
      <c r="BA659" s="589">
        <f t="shared" si="1754"/>
        <v>6.9620021252427542E-4</v>
      </c>
      <c r="BI659" s="196">
        <v>1</v>
      </c>
      <c r="BJ659" s="196">
        <f t="shared" si="1728"/>
        <v>144542.20512486013</v>
      </c>
      <c r="BK659" s="246">
        <f t="shared" si="1755"/>
        <v>2.7563326439020556E-3</v>
      </c>
      <c r="BL659" s="196">
        <f t="shared" si="1745"/>
        <v>2890.8441024972026</v>
      </c>
      <c r="BM659" s="246">
        <f t="shared" si="1756"/>
        <v>2.7563323285324888E-3</v>
      </c>
      <c r="BN659" s="196">
        <v>0</v>
      </c>
      <c r="BO659" s="196">
        <f t="shared" si="1729"/>
        <v>13348.116683154791</v>
      </c>
      <c r="BP659" s="196">
        <f t="shared" si="1676"/>
        <v>0</v>
      </c>
      <c r="BQ659" s="248">
        <f t="shared" si="1757"/>
        <v>0</v>
      </c>
      <c r="BR659" s="248"/>
      <c r="BS659" s="248"/>
      <c r="BT659" s="276">
        <v>0</v>
      </c>
      <c r="BU659" s="196">
        <f t="shared" si="1730"/>
        <v>0</v>
      </c>
      <c r="BV659" s="264">
        <f t="shared" si="1758"/>
        <v>0</v>
      </c>
      <c r="BW659" s="196">
        <f t="shared" si="1731"/>
        <v>0</v>
      </c>
      <c r="BX659" s="247">
        <f t="shared" si="1759"/>
        <v>0</v>
      </c>
      <c r="BY659" s="196">
        <f t="shared" si="1732"/>
        <v>0</v>
      </c>
      <c r="BZ659" s="620">
        <v>1</v>
      </c>
      <c r="CA659" s="196">
        <f t="shared" si="1733"/>
        <v>79613.840221756953</v>
      </c>
      <c r="CB659" s="196">
        <f t="shared" si="1734"/>
        <v>159227.68044351391</v>
      </c>
      <c r="CC659" s="196">
        <f t="shared" si="1682"/>
        <v>238841.52066527086</v>
      </c>
      <c r="CD659" s="247">
        <f t="shared" si="1646"/>
        <v>1.0077718260178457E-3</v>
      </c>
      <c r="CE659" s="196">
        <f t="shared" si="1735"/>
        <v>18386.246524313778</v>
      </c>
      <c r="CF659" s="247">
        <f t="shared" si="1647"/>
        <v>7.9397530514756394E-4</v>
      </c>
      <c r="CG659" s="196">
        <f t="shared" si="1703"/>
        <v>39546.744162441362</v>
      </c>
      <c r="CH659" s="589">
        <f t="shared" si="1684"/>
        <v>1.0077718260178457E-3</v>
      </c>
      <c r="CI659" s="196">
        <f t="shared" si="1736"/>
        <v>57840.942516277108</v>
      </c>
      <c r="CJ659" s="248">
        <f t="shared" si="1686"/>
        <v>9.5090494814787166E-4</v>
      </c>
      <c r="CK659" s="196">
        <f t="shared" si="1737"/>
        <v>61375.774183889102</v>
      </c>
      <c r="CL659" s="589">
        <f t="shared" si="1688"/>
        <v>8.822893783515483E-4</v>
      </c>
      <c r="CM659" s="196">
        <f t="shared" si="1738"/>
        <v>5945.7803977107251</v>
      </c>
      <c r="CN659" s="589">
        <f t="shared" si="1690"/>
        <v>8.5685452702948797E-4</v>
      </c>
      <c r="CO659" s="196">
        <f t="shared" si="1739"/>
        <v>475.65550260857464</v>
      </c>
      <c r="CP659" s="589">
        <f t="shared" si="1692"/>
        <v>8.9701301348488237E-4</v>
      </c>
      <c r="CQ659" s="196">
        <f>'Detailed Budget'!$AC$12</f>
        <v>292876014141.44696</v>
      </c>
      <c r="CR659" s="269">
        <f t="shared" si="1701"/>
        <v>807263718.39399028</v>
      </c>
      <c r="CS659" s="269">
        <f>'Detailed Budget'!$AC$16</f>
        <v>10488008800.000002</v>
      </c>
      <c r="CT659" s="607">
        <f t="shared" si="1705"/>
        <v>28908437.717373237</v>
      </c>
      <c r="CU659" s="269">
        <f>'Detailed Budget'!$AC$24</f>
        <v>30624985696</v>
      </c>
      <c r="CV659" s="269">
        <f t="shared" si="1753"/>
        <v>84412647.79291831</v>
      </c>
      <c r="CW659" s="269"/>
      <c r="CX659" s="269">
        <f t="shared" si="1660"/>
        <v>920584803.90428185</v>
      </c>
      <c r="CY659" s="196">
        <f>'Detailed Budget'!$AC$97</f>
        <v>74629165494.837845</v>
      </c>
      <c r="CZ659" s="269">
        <f t="shared" si="1706"/>
        <v>0</v>
      </c>
      <c r="DA659" s="269">
        <f>'Detailed Budget'!$AC$100</f>
        <v>14925833098.967569</v>
      </c>
      <c r="DB659" s="269">
        <f t="shared" si="1707"/>
        <v>0</v>
      </c>
      <c r="DC659" s="269">
        <f t="shared" si="1661"/>
        <v>0</v>
      </c>
      <c r="DD659" s="207">
        <v>0</v>
      </c>
      <c r="DE659" s="606">
        <v>0</v>
      </c>
      <c r="DF659" s="269">
        <f>'Detailed Budget'!$AC$147</f>
        <v>5913600671000</v>
      </c>
      <c r="DG659" s="269">
        <f t="shared" si="1748"/>
        <v>0</v>
      </c>
      <c r="DH659" s="269">
        <f>'Detailed Budget'!$AC$153</f>
        <v>226428026880.00003</v>
      </c>
      <c r="DI659" s="269"/>
      <c r="DJ659" s="269">
        <f>'Detailed Budget'!$AC$156</f>
        <v>27713070000</v>
      </c>
      <c r="DK659" s="269"/>
      <c r="DL659" s="269"/>
      <c r="DM659" s="196">
        <f>'Detailed Budget'!$AC$178</f>
        <v>5622683761.6229038</v>
      </c>
      <c r="DN659" s="269">
        <f t="shared" si="1740"/>
        <v>0</v>
      </c>
      <c r="DO659" s="196">
        <f>'Detailed Budget'!$AC$179</f>
        <v>26827890683.128094</v>
      </c>
      <c r="DP659" s="269">
        <f t="shared" si="1741"/>
        <v>0</v>
      </c>
      <c r="DQ659" s="269">
        <f t="shared" si="1700"/>
        <v>0</v>
      </c>
      <c r="DR659" s="269">
        <f>'Detailed Budget'!$AC$181</f>
        <v>50888946855.375237</v>
      </c>
      <c r="DS659" s="269">
        <f t="shared" si="1742"/>
        <v>0</v>
      </c>
      <c r="DT659" s="269">
        <f t="shared" si="1743"/>
        <v>0</v>
      </c>
      <c r="DU659" s="272">
        <f>'Detailed Budget'!$AC$192</f>
        <v>77498869683.252869</v>
      </c>
      <c r="DV659" s="269">
        <f t="shared" si="1708"/>
        <v>78101177.41501081</v>
      </c>
      <c r="DW659" s="140">
        <f>'Detailed Budget'!$AC$194</f>
        <v>2684962805.4134097</v>
      </c>
      <c r="DX659" s="269">
        <f t="shared" si="1709"/>
        <v>2705829.8692014702</v>
      </c>
      <c r="DY659" s="607">
        <f t="shared" si="1648"/>
        <v>80807007.284212276</v>
      </c>
      <c r="DZ659" s="196">
        <f>'Detailed Budget'!$AC$198</f>
        <v>18732540018.380611</v>
      </c>
      <c r="EA659" s="269">
        <f t="shared" si="1710"/>
        <v>14873174.177282698</v>
      </c>
      <c r="EB659" s="196">
        <f>'Detailed Budget'!$AC$200</f>
        <v>4683135004.5951529</v>
      </c>
      <c r="EC659" s="269">
        <f t="shared" si="1711"/>
        <v>3718293.5443206746</v>
      </c>
      <c r="ED659" s="269">
        <f t="shared" si="1649"/>
        <v>18591467.721603371</v>
      </c>
      <c r="EE659" s="196">
        <f>'Detailed Budget'!$AC$161</f>
        <v>251147290106.36197</v>
      </c>
      <c r="EF659" s="269">
        <f t="shared" si="1712"/>
        <v>253099163.14992204</v>
      </c>
      <c r="EG659" s="196">
        <f>'Detailed Budget'!$AC$163</f>
        <v>15696705631.647623</v>
      </c>
      <c r="EH659" s="269">
        <f t="shared" si="1713"/>
        <v>15818697.696870128</v>
      </c>
      <c r="EI659" s="269">
        <f t="shared" si="1650"/>
        <v>268917860.84679216</v>
      </c>
      <c r="EJ659" s="196">
        <f>'Detailed Budget'!$AC$204</f>
        <v>45012172507.531975</v>
      </c>
      <c r="EK659" s="269">
        <f t="shared" si="1714"/>
        <v>42802297.564297743</v>
      </c>
      <c r="EL659" s="201">
        <f>'Detailed Budget'!$AC$206</f>
        <v>11253043126.882994</v>
      </c>
      <c r="EM659" s="269">
        <f t="shared" si="1715"/>
        <v>10700574.391074436</v>
      </c>
      <c r="EN659" s="269">
        <f t="shared" si="1651"/>
        <v>53502871.955372177</v>
      </c>
      <c r="EO659" s="140">
        <f>'Detailed Budget'!$AC$209</f>
        <v>135789361677.54817</v>
      </c>
      <c r="EP659" s="269">
        <f t="shared" si="1716"/>
        <v>119805511.50123753</v>
      </c>
      <c r="EQ659" s="196">
        <f>'Detailed Budget'!$AC$211</f>
        <v>33947340419.387043</v>
      </c>
      <c r="ER659" s="269">
        <f t="shared" si="1717"/>
        <v>29951377.875309382</v>
      </c>
      <c r="ES659" s="269">
        <f t="shared" si="1652"/>
        <v>149756889.37654692</v>
      </c>
      <c r="ET659" s="196">
        <f>'Detailed Budget'!$AC$214</f>
        <v>22239745544.201103</v>
      </c>
      <c r="EU659" s="269">
        <f t="shared" si="1718"/>
        <v>19056226.649532598</v>
      </c>
      <c r="EV659" s="140">
        <f>'Detailed Budget'!$AC$217</f>
        <v>5559936386.0502758</v>
      </c>
      <c r="EW659" s="269">
        <f t="shared" si="1719"/>
        <v>4764056.6623831494</v>
      </c>
      <c r="EX659" s="269">
        <f t="shared" si="1653"/>
        <v>23820283.311915748</v>
      </c>
      <c r="EY659" s="196">
        <f>'Detailed Budget'!$AC$219</f>
        <v>372777004.58170313</v>
      </c>
      <c r="EZ659" s="269">
        <f t="shared" si="1720"/>
        <v>334385.82423770131</v>
      </c>
      <c r="FA659" s="196">
        <f>'Detailed Budget'!$AC$222</f>
        <v>93194251.145425782</v>
      </c>
      <c r="FB659" s="269">
        <f t="shared" si="1721"/>
        <v>83596.456059425327</v>
      </c>
      <c r="FC659" s="269">
        <f t="shared" si="1654"/>
        <v>417982.28029712662</v>
      </c>
      <c r="FD659" s="269"/>
      <c r="FE659" s="269">
        <f t="shared" si="1663"/>
        <v>227498026.92413199</v>
      </c>
      <c r="FF659" s="140">
        <f>'Detailed Budget'!$AC$165</f>
        <v>14927760000</v>
      </c>
      <c r="FG659" s="1087">
        <f t="shared" si="1749"/>
        <v>310322367.69556534</v>
      </c>
      <c r="FH659" s="269">
        <f t="shared" si="1722"/>
        <v>16961436.200431772</v>
      </c>
      <c r="FJ659" s="140">
        <f>'Detailed Budget'!$AC$235</f>
        <v>3623696172</v>
      </c>
      <c r="FK659" s="269">
        <f t="shared" si="1723"/>
        <v>4681778</v>
      </c>
      <c r="FL659" s="269">
        <f t="shared" si="1750"/>
        <v>4681778</v>
      </c>
      <c r="FO659" s="607"/>
      <c r="FP659" s="607"/>
      <c r="FQ659" s="607"/>
      <c r="FR659" s="269">
        <f>'Detailed Budget'!$AC$257</f>
        <v>13636439388</v>
      </c>
      <c r="FS659" s="269">
        <f t="shared" si="1724"/>
        <v>9493692</v>
      </c>
      <c r="FT659" s="269">
        <f t="shared" si="1751"/>
        <v>9493692</v>
      </c>
      <c r="FU659" s="269"/>
      <c r="FV659" s="269"/>
      <c r="FW659" s="269"/>
      <c r="FX659" s="140">
        <f>'Detailed Budget'!$AC$278</f>
        <v>1114560000</v>
      </c>
      <c r="FY659" s="269">
        <f t="shared" si="1725"/>
        <v>1440000</v>
      </c>
      <c r="FZ659" s="269">
        <f t="shared" si="1752"/>
        <v>1440000</v>
      </c>
      <c r="GB659" s="269">
        <f t="shared" si="1760"/>
        <v>1859298440.5770187</v>
      </c>
      <c r="GC659" s="887">
        <f t="shared" si="1668"/>
        <v>1162061.5253606366</v>
      </c>
      <c r="GD659" s="1078">
        <f t="shared" si="1761"/>
        <v>1.0433109026477898E-3</v>
      </c>
    </row>
    <row r="660" spans="1:186" hidden="1" outlineLevel="1">
      <c r="A660" s="211" t="s">
        <v>1421</v>
      </c>
      <c r="B660" s="212" t="s">
        <v>1422</v>
      </c>
      <c r="C660" s="213" t="s">
        <v>215</v>
      </c>
      <c r="D660" s="214"/>
      <c r="E660" s="213"/>
      <c r="F660" s="213"/>
      <c r="G660" s="213" t="s">
        <v>215</v>
      </c>
      <c r="H660" s="213" t="s">
        <v>215</v>
      </c>
      <c r="I660" s="214" t="s">
        <v>215</v>
      </c>
      <c r="J660" s="214"/>
      <c r="K660" s="213"/>
      <c r="L660" s="213"/>
      <c r="M660" s="214" t="s">
        <v>215</v>
      </c>
      <c r="N660" s="213"/>
      <c r="O660" s="214"/>
      <c r="P660" s="213"/>
      <c r="Q660" s="214"/>
      <c r="R660" s="214" t="s">
        <v>215</v>
      </c>
      <c r="S660" s="214"/>
      <c r="T660" s="214"/>
      <c r="U660" s="215">
        <f t="shared" si="1726"/>
        <v>6</v>
      </c>
      <c r="V660" s="845" t="s">
        <v>216</v>
      </c>
      <c r="W660" s="216">
        <v>320687</v>
      </c>
      <c r="X660" s="217">
        <v>3.22</v>
      </c>
      <c r="Y660" s="218">
        <f t="shared" si="1598"/>
        <v>1.0322</v>
      </c>
      <c r="Z660" s="196">
        <v>19</v>
      </c>
      <c r="AA660" s="218">
        <f t="shared" si="1599"/>
        <v>1.8260524174418462</v>
      </c>
      <c r="AB660" s="196">
        <f t="shared" si="1746"/>
        <v>585591.27159217338</v>
      </c>
      <c r="AC660">
        <v>12.7</v>
      </c>
      <c r="AD660" s="196">
        <f t="shared" si="1747"/>
        <v>74370.091492206018</v>
      </c>
      <c r="AE660" s="196">
        <f t="shared" si="1600"/>
        <v>70651.58691759572</v>
      </c>
      <c r="AF660" s="196">
        <f t="shared" si="1727"/>
        <v>0</v>
      </c>
      <c r="AG660" s="606">
        <f t="shared" si="1671"/>
        <v>3.2666192127913827E-3</v>
      </c>
      <c r="AH660" s="196">
        <f t="shared" si="1744"/>
        <v>29279.563579608672</v>
      </c>
      <c r="AI660" s="248">
        <f t="shared" si="1644"/>
        <v>2.2682434276402653E-3</v>
      </c>
      <c r="AJ660" s="196">
        <f t="shared" si="1672"/>
        <v>103649.65507181469</v>
      </c>
      <c r="AK660" s="196">
        <f t="shared" si="1698"/>
        <v>23423.650863686937</v>
      </c>
      <c r="AL660" s="196">
        <f t="shared" si="1699"/>
        <v>23423.650863686937</v>
      </c>
      <c r="AM660" s="196">
        <f t="shared" si="1656"/>
        <v>46847.301727373873</v>
      </c>
      <c r="AN660" s="627">
        <f t="shared" si="1657"/>
        <v>2.2682434276402653E-3</v>
      </c>
      <c r="AO660" s="196">
        <f t="shared" si="1658"/>
        <v>22252.468320502587</v>
      </c>
      <c r="AP660" s="589">
        <f t="shared" si="1673"/>
        <v>2.2682434276402649E-3</v>
      </c>
      <c r="AQ660" s="196"/>
      <c r="AR660" s="589"/>
      <c r="AS660">
        <v>1</v>
      </c>
      <c r="AT660" s="589">
        <f t="shared" si="1674"/>
        <v>1.2919896640826874E-3</v>
      </c>
      <c r="AU660" s="196">
        <v>11</v>
      </c>
      <c r="AV660" s="245">
        <f t="shared" si="1645"/>
        <v>1.2498579706851495E-3</v>
      </c>
      <c r="AX660" s="245"/>
      <c r="AY660" s="245"/>
      <c r="AZ660" s="196">
        <v>30</v>
      </c>
      <c r="BA660" s="589">
        <f t="shared" si="1754"/>
        <v>1.0992634934593821E-3</v>
      </c>
      <c r="BI660" s="196">
        <v>1</v>
      </c>
      <c r="BJ660" s="196">
        <f t="shared" si="1728"/>
        <v>325328.51021108945</v>
      </c>
      <c r="BK660" s="246">
        <f t="shared" si="1755"/>
        <v>6.2038184066186032E-3</v>
      </c>
      <c r="BL660" s="196">
        <f t="shared" si="1745"/>
        <v>6506.570204221789</v>
      </c>
      <c r="BM660" s="246">
        <f t="shared" si="1756"/>
        <v>6.2038176968002403E-3</v>
      </c>
      <c r="BN660" s="196">
        <v>0</v>
      </c>
      <c r="BO660" s="196">
        <f t="shared" si="1729"/>
        <v>30043.286740390657</v>
      </c>
      <c r="BP660" s="196">
        <f t="shared" si="1676"/>
        <v>0</v>
      </c>
      <c r="BQ660" s="248">
        <f t="shared" si="1757"/>
        <v>0</v>
      </c>
      <c r="BR660" s="248"/>
      <c r="BS660" s="248"/>
      <c r="BT660" s="276">
        <v>0</v>
      </c>
      <c r="BU660" s="196">
        <f t="shared" si="1730"/>
        <v>0</v>
      </c>
      <c r="BV660" s="264">
        <f t="shared" si="1758"/>
        <v>0</v>
      </c>
      <c r="BW660" s="196">
        <f t="shared" si="1731"/>
        <v>0</v>
      </c>
      <c r="BX660" s="247">
        <f t="shared" si="1759"/>
        <v>0</v>
      </c>
      <c r="BY660" s="196">
        <f t="shared" si="1732"/>
        <v>0</v>
      </c>
      <c r="BZ660" s="620">
        <v>1</v>
      </c>
      <c r="CA660" s="196">
        <f t="shared" si="1733"/>
        <v>179190.92910720504</v>
      </c>
      <c r="CB660" s="196">
        <f t="shared" si="1734"/>
        <v>358381.85821441008</v>
      </c>
      <c r="CC660" s="196">
        <f t="shared" si="1682"/>
        <v>537572.78732161515</v>
      </c>
      <c r="CD660" s="247">
        <f t="shared" si="1646"/>
        <v>2.2682434276402649E-3</v>
      </c>
      <c r="CE660" s="196">
        <f t="shared" si="1735"/>
        <v>41382.86243081565</v>
      </c>
      <c r="CF660" s="247">
        <f t="shared" si="1647"/>
        <v>1.7870406982162892E-3</v>
      </c>
      <c r="CG660" s="196">
        <f t="shared" si="1703"/>
        <v>89009.873282010347</v>
      </c>
      <c r="CH660" s="589">
        <f t="shared" si="1684"/>
        <v>2.2682434276402649E-3</v>
      </c>
      <c r="CI660" s="196">
        <f t="shared" si="1736"/>
        <v>130185.55820267658</v>
      </c>
      <c r="CJ660" s="248">
        <f t="shared" si="1686"/>
        <v>2.140250246397365E-3</v>
      </c>
      <c r="CK660" s="196">
        <f t="shared" si="1737"/>
        <v>138141.58405185884</v>
      </c>
      <c r="CL660" s="589">
        <f t="shared" si="1688"/>
        <v>1.9858136852570398E-3</v>
      </c>
      <c r="CM660" s="196">
        <f t="shared" si="1738"/>
        <v>13382.471072435847</v>
      </c>
      <c r="CN660" s="589">
        <f t="shared" si="1690"/>
        <v>1.9285661686517786E-3</v>
      </c>
      <c r="CO660" s="196">
        <f t="shared" si="1739"/>
        <v>1070.5820898725153</v>
      </c>
      <c r="CP660" s="589">
        <f t="shared" si="1692"/>
        <v>2.0189529215007473E-3</v>
      </c>
      <c r="CQ660" s="196">
        <f>'Detailed Budget'!$AC$12</f>
        <v>292876014141.44696</v>
      </c>
      <c r="CR660" s="269">
        <f t="shared" si="1701"/>
        <v>1816949607.387799</v>
      </c>
      <c r="CS660" s="269">
        <f>'Detailed Budget'!$AC$16</f>
        <v>10488008800.000002</v>
      </c>
      <c r="CT660" s="607">
        <f t="shared" si="1705"/>
        <v>65065694.597636662</v>
      </c>
      <c r="CU660" s="269">
        <f>'Detailed Budget'!$AC$24</f>
        <v>30624985696</v>
      </c>
      <c r="CV660" s="269">
        <f t="shared" si="1753"/>
        <v>189991849.96327624</v>
      </c>
      <c r="CW660" s="269"/>
      <c r="CX660" s="269">
        <f t="shared" si="1660"/>
        <v>2072007151.9487119</v>
      </c>
      <c r="CY660" s="196">
        <f>'Detailed Budget'!$AC$97</f>
        <v>74629165494.837845</v>
      </c>
      <c r="CZ660" s="269">
        <f t="shared" si="1706"/>
        <v>0</v>
      </c>
      <c r="DA660" s="269">
        <f>'Detailed Budget'!$AC$100</f>
        <v>14925833098.967569</v>
      </c>
      <c r="DB660" s="269">
        <f t="shared" si="1707"/>
        <v>0</v>
      </c>
      <c r="DC660" s="269">
        <f t="shared" si="1661"/>
        <v>0</v>
      </c>
      <c r="DD660" s="207">
        <v>0</v>
      </c>
      <c r="DE660" s="606">
        <v>0</v>
      </c>
      <c r="DF660" s="269">
        <f>'Detailed Budget'!$AC$147</f>
        <v>5913600671000</v>
      </c>
      <c r="DG660" s="269">
        <f t="shared" si="1748"/>
        <v>0</v>
      </c>
      <c r="DH660" s="269">
        <f>'Detailed Budget'!$AC$153</f>
        <v>226428026880.00003</v>
      </c>
      <c r="DI660" s="269"/>
      <c r="DJ660" s="269">
        <f>'Detailed Budget'!$AC$156</f>
        <v>27713070000</v>
      </c>
      <c r="DK660" s="269"/>
      <c r="DL660" s="269"/>
      <c r="DM660" s="196">
        <f>'Detailed Budget'!$AC$178</f>
        <v>5622683761.6229038</v>
      </c>
      <c r="DN660" s="269">
        <f t="shared" si="1740"/>
        <v>0</v>
      </c>
      <c r="DO660" s="196">
        <f>'Detailed Budget'!$AC$179</f>
        <v>26827890683.128094</v>
      </c>
      <c r="DP660" s="269">
        <f t="shared" si="1741"/>
        <v>0</v>
      </c>
      <c r="DQ660" s="269">
        <f t="shared" si="1700"/>
        <v>0</v>
      </c>
      <c r="DR660" s="269">
        <f>'Detailed Budget'!$AC$181</f>
        <v>50888946855.375237</v>
      </c>
      <c r="DS660" s="269">
        <f t="shared" si="1742"/>
        <v>0</v>
      </c>
      <c r="DT660" s="269">
        <f t="shared" si="1743"/>
        <v>0</v>
      </c>
      <c r="DU660" s="272">
        <f>'Detailed Budget'!$AC$192</f>
        <v>77498869683.252869</v>
      </c>
      <c r="DV660" s="269">
        <f t="shared" si="1708"/>
        <v>175786301.8085877</v>
      </c>
      <c r="DW660" s="140">
        <f>'Detailed Budget'!$AC$194</f>
        <v>2684962805.4134097</v>
      </c>
      <c r="DX660" s="269">
        <f t="shared" si="1709"/>
        <v>6090149.2368375352</v>
      </c>
      <c r="DY660" s="607">
        <f t="shared" si="1648"/>
        <v>181876451.04542524</v>
      </c>
      <c r="DZ660" s="196">
        <f>'Detailed Budget'!$AC$198</f>
        <v>18732540018.380611</v>
      </c>
      <c r="EA660" s="269">
        <f t="shared" si="1710"/>
        <v>33475811.393811468</v>
      </c>
      <c r="EB660" s="196">
        <f>'Detailed Budget'!$AC$200</f>
        <v>4683135004.5951529</v>
      </c>
      <c r="EC660" s="269">
        <f t="shared" si="1711"/>
        <v>8368952.848452867</v>
      </c>
      <c r="ED660" s="269">
        <f t="shared" si="1649"/>
        <v>41844764.242264338</v>
      </c>
      <c r="EE660" s="196">
        <f>'Detailed Budget'!$AC$161</f>
        <v>251147290106.36197</v>
      </c>
      <c r="EF660" s="269">
        <f t="shared" si="1712"/>
        <v>569663190.15341842</v>
      </c>
      <c r="EG660" s="196">
        <f>'Detailed Budget'!$AC$163</f>
        <v>15696705631.647623</v>
      </c>
      <c r="EH660" s="269">
        <f t="shared" si="1713"/>
        <v>35603949.384588651</v>
      </c>
      <c r="EI660" s="269">
        <f t="shared" si="1650"/>
        <v>605267139.53800702</v>
      </c>
      <c r="EJ660" s="196">
        <f>'Detailed Budget'!$AC$204</f>
        <v>45012172507.531975</v>
      </c>
      <c r="EK660" s="269">
        <f t="shared" si="1714"/>
        <v>96337313.300126001</v>
      </c>
      <c r="EL660" s="201">
        <f>'Detailed Budget'!$AC$206</f>
        <v>11253043126.882994</v>
      </c>
      <c r="EM660" s="269">
        <f t="shared" si="1715"/>
        <v>24084328.3250315</v>
      </c>
      <c r="EN660" s="269">
        <f t="shared" si="1651"/>
        <v>120421641.62515751</v>
      </c>
      <c r="EO660" s="140">
        <f>'Detailed Budget'!$AC$209</f>
        <v>135789361677.54817</v>
      </c>
      <c r="EP660" s="269">
        <f t="shared" si="1716"/>
        <v>269652372.73159301</v>
      </c>
      <c r="EQ660" s="196">
        <f>'Detailed Budget'!$AC$211</f>
        <v>33947340419.387043</v>
      </c>
      <c r="ER660" s="269">
        <f t="shared" si="1717"/>
        <v>67413093.182898253</v>
      </c>
      <c r="ES660" s="269">
        <f t="shared" si="1652"/>
        <v>337065465.9144913</v>
      </c>
      <c r="ET660" s="196">
        <f>'Detailed Budget'!$AC$214</f>
        <v>22239745544.201103</v>
      </c>
      <c r="EU660" s="269">
        <f t="shared" si="1718"/>
        <v>42890820.855970383</v>
      </c>
      <c r="EV660" s="140">
        <f>'Detailed Budget'!$AC$217</f>
        <v>5559936386.0502758</v>
      </c>
      <c r="EW660" s="269">
        <f t="shared" si="1719"/>
        <v>10722705.213992596</v>
      </c>
      <c r="EX660" s="269">
        <f t="shared" si="1653"/>
        <v>53613526.069962978</v>
      </c>
      <c r="EY660" s="196">
        <f>'Detailed Budget'!$AC$219</f>
        <v>372777004.58170313</v>
      </c>
      <c r="EZ660" s="269">
        <f t="shared" si="1720"/>
        <v>752619.22246852703</v>
      </c>
      <c r="FA660" s="196">
        <f>'Detailed Budget'!$AC$222</f>
        <v>93194251.145425782</v>
      </c>
      <c r="FB660" s="269">
        <f t="shared" si="1721"/>
        <v>188154.80561713176</v>
      </c>
      <c r="FC660" s="269">
        <f t="shared" si="1654"/>
        <v>940774.02808565879</v>
      </c>
      <c r="FD660" s="269"/>
      <c r="FE660" s="269">
        <f t="shared" si="1663"/>
        <v>512041407.6376974</v>
      </c>
      <c r="FF660" s="140">
        <f>'Detailed Budget'!$AC$165</f>
        <v>14927760000</v>
      </c>
      <c r="FG660" s="1087">
        <f t="shared" si="1749"/>
        <v>698458374.0117054</v>
      </c>
      <c r="FH660" s="269">
        <f t="shared" si="1722"/>
        <v>18657579.820474949</v>
      </c>
      <c r="FJ660" s="140">
        <f>'Detailed Budget'!$AC$235</f>
        <v>3623696172</v>
      </c>
      <c r="FK660" s="269">
        <f t="shared" si="1723"/>
        <v>4681778</v>
      </c>
      <c r="FL660" s="269">
        <f t="shared" si="1750"/>
        <v>4681778</v>
      </c>
      <c r="FO660" s="607"/>
      <c r="FP660" s="607"/>
      <c r="FQ660" s="607"/>
      <c r="FR660" s="269">
        <f>'Detailed Budget'!$AC$257</f>
        <v>13636439388</v>
      </c>
      <c r="FS660" s="269">
        <f t="shared" si="1724"/>
        <v>14990039.999999998</v>
      </c>
      <c r="FT660" s="269">
        <f t="shared" si="1751"/>
        <v>14990039.999999998</v>
      </c>
      <c r="FU660" s="269"/>
      <c r="FV660" s="269"/>
      <c r="FW660" s="269"/>
      <c r="FX660" s="140">
        <f>'Detailed Budget'!$AC$278</f>
        <v>1114560000</v>
      </c>
      <c r="FY660" s="269">
        <f t="shared" si="1725"/>
        <v>1440000</v>
      </c>
      <c r="FZ660" s="269">
        <f t="shared" si="1752"/>
        <v>1440000</v>
      </c>
      <c r="GB660" s="269">
        <f t="shared" si="1760"/>
        <v>4151264686.2442861</v>
      </c>
      <c r="GC660" s="887">
        <f t="shared" si="1668"/>
        <v>2594540.4289026787</v>
      </c>
      <c r="GD660" s="1078">
        <f t="shared" si="1761"/>
        <v>2.329405335052779E-3</v>
      </c>
    </row>
    <row r="661" spans="1:186" hidden="1" outlineLevel="1">
      <c r="A661" s="211" t="s">
        <v>1423</v>
      </c>
      <c r="B661" s="212" t="s">
        <v>1424</v>
      </c>
      <c r="C661" s="213" t="s">
        <v>215</v>
      </c>
      <c r="D661" s="214"/>
      <c r="E661" s="213"/>
      <c r="F661" s="213"/>
      <c r="G661" s="213" t="s">
        <v>215</v>
      </c>
      <c r="H661" s="213" t="s">
        <v>215</v>
      </c>
      <c r="I661" s="214" t="s">
        <v>215</v>
      </c>
      <c r="J661" s="214"/>
      <c r="K661" s="213"/>
      <c r="L661" s="213"/>
      <c r="M661" s="214" t="s">
        <v>215</v>
      </c>
      <c r="N661" s="213"/>
      <c r="O661" s="214"/>
      <c r="P661" s="213"/>
      <c r="Q661" s="214"/>
      <c r="R661" s="214" t="s">
        <v>215</v>
      </c>
      <c r="S661" s="214"/>
      <c r="T661" s="214"/>
      <c r="U661" s="215">
        <f t="shared" si="1726"/>
        <v>6</v>
      </c>
      <c r="V661" s="845" t="s">
        <v>216</v>
      </c>
      <c r="W661" s="216">
        <v>212638</v>
      </c>
      <c r="X661" s="217">
        <v>3.22</v>
      </c>
      <c r="Y661" s="218">
        <f t="shared" si="1598"/>
        <v>1.0322</v>
      </c>
      <c r="Z661" s="196">
        <v>19</v>
      </c>
      <c r="AA661" s="218">
        <f t="shared" si="1599"/>
        <v>1.8260524174418462</v>
      </c>
      <c r="AB661" s="196">
        <f t="shared" si="1746"/>
        <v>388288.13393999927</v>
      </c>
      <c r="AC661">
        <v>12.7</v>
      </c>
      <c r="AD661" s="196">
        <f t="shared" si="1747"/>
        <v>49312.593010379904</v>
      </c>
      <c r="AE661" s="196">
        <f t="shared" si="1600"/>
        <v>46846.963359860907</v>
      </c>
      <c r="AF661" s="196">
        <f t="shared" si="1727"/>
        <v>0</v>
      </c>
      <c r="AG661" s="606">
        <f t="shared" si="1671"/>
        <v>2.1659979237372701E-3</v>
      </c>
      <c r="AH661" s="196">
        <f t="shared" si="1744"/>
        <v>19414.406696999966</v>
      </c>
      <c r="AI661" s="248">
        <f t="shared" si="1644"/>
        <v>1.5040046711172284E-3</v>
      </c>
      <c r="AJ661" s="196">
        <f t="shared" si="1672"/>
        <v>68726.999707379873</v>
      </c>
      <c r="AK661" s="196">
        <f t="shared" si="1698"/>
        <v>15531.52535759997</v>
      </c>
      <c r="AL661" s="196">
        <f t="shared" si="1699"/>
        <v>15531.52535759997</v>
      </c>
      <c r="AM661" s="196">
        <f t="shared" si="1656"/>
        <v>31063.050715199941</v>
      </c>
      <c r="AN661" s="627">
        <f t="shared" si="1657"/>
        <v>1.5040046711172282E-3</v>
      </c>
      <c r="AO661" s="196">
        <f t="shared" si="1658"/>
        <v>14754.949089719972</v>
      </c>
      <c r="AP661" s="589">
        <f t="shared" si="1673"/>
        <v>1.5040046711172282E-3</v>
      </c>
      <c r="AQ661" s="196"/>
      <c r="AR661" s="589"/>
      <c r="AS661">
        <v>1</v>
      </c>
      <c r="AT661" s="589">
        <f t="shared" si="1674"/>
        <v>1.2919896640826874E-3</v>
      </c>
      <c r="AU661" s="196">
        <v>11</v>
      </c>
      <c r="AV661" s="245">
        <f t="shared" si="1645"/>
        <v>1.2498579706851495E-3</v>
      </c>
      <c r="AX661" s="245"/>
      <c r="AY661" s="245"/>
      <c r="AZ661" s="196">
        <v>30</v>
      </c>
      <c r="BA661" s="589">
        <f t="shared" si="1754"/>
        <v>1.0992634934593821E-3</v>
      </c>
      <c r="BI661" s="196">
        <v>1</v>
      </c>
      <c r="BJ661" s="196">
        <f t="shared" si="1728"/>
        <v>215715.6472019933</v>
      </c>
      <c r="BK661" s="246">
        <f t="shared" si="1755"/>
        <v>4.1135672426589366E-3</v>
      </c>
      <c r="BL661" s="196">
        <f t="shared" si="1745"/>
        <v>4314.3129440398661</v>
      </c>
      <c r="BM661" s="246">
        <f t="shared" si="1756"/>
        <v>4.1135667719995181E-3</v>
      </c>
      <c r="BN661" s="196">
        <v>0</v>
      </c>
      <c r="BO661" s="196">
        <f t="shared" si="1729"/>
        <v>19920.808782093405</v>
      </c>
      <c r="BP661" s="196">
        <f t="shared" si="1676"/>
        <v>0</v>
      </c>
      <c r="BQ661" s="248">
        <f t="shared" si="1757"/>
        <v>0</v>
      </c>
      <c r="BR661" s="248"/>
      <c r="BS661" s="248"/>
      <c r="BT661" s="276">
        <v>0</v>
      </c>
      <c r="BU661" s="196">
        <f t="shared" si="1730"/>
        <v>0</v>
      </c>
      <c r="BV661" s="264">
        <f t="shared" si="1758"/>
        <v>0</v>
      </c>
      <c r="BW661" s="196">
        <f t="shared" si="1731"/>
        <v>0</v>
      </c>
      <c r="BX661" s="247">
        <f t="shared" si="1759"/>
        <v>0</v>
      </c>
      <c r="BY661" s="196">
        <f t="shared" si="1732"/>
        <v>0</v>
      </c>
      <c r="BZ661" s="620">
        <v>1</v>
      </c>
      <c r="CA661" s="196">
        <f t="shared" si="1733"/>
        <v>118816.16898563979</v>
      </c>
      <c r="CB661" s="196">
        <f t="shared" si="1734"/>
        <v>237632.33797127957</v>
      </c>
      <c r="CC661" s="196">
        <f t="shared" si="1682"/>
        <v>356448.50695691933</v>
      </c>
      <c r="CD661" s="247">
        <f t="shared" si="1646"/>
        <v>1.5040046711172284E-3</v>
      </c>
      <c r="CE661" s="196">
        <f t="shared" si="1735"/>
        <v>27439.743742539536</v>
      </c>
      <c r="CF661" s="247">
        <f t="shared" si="1647"/>
        <v>1.1849334709149895E-3</v>
      </c>
      <c r="CG661" s="196">
        <f t="shared" si="1703"/>
        <v>59019.796358879888</v>
      </c>
      <c r="CH661" s="589">
        <f t="shared" si="1684"/>
        <v>1.5040046711172282E-3</v>
      </c>
      <c r="CI661" s="196">
        <f t="shared" si="1736"/>
        <v>86322.166863953753</v>
      </c>
      <c r="CJ661" s="248">
        <f t="shared" si="1686"/>
        <v>1.4191362041287698E-3</v>
      </c>
      <c r="CK661" s="196">
        <f t="shared" si="1737"/>
        <v>91597.57068299978</v>
      </c>
      <c r="CL661" s="589">
        <f t="shared" si="1688"/>
        <v>1.3167339193845909E-3</v>
      </c>
      <c r="CM661" s="196">
        <f t="shared" si="1738"/>
        <v>8873.5180531191254</v>
      </c>
      <c r="CN661" s="589">
        <f t="shared" si="1690"/>
        <v>1.2787747958906248E-3</v>
      </c>
      <c r="CO661" s="196">
        <f t="shared" si="1739"/>
        <v>709.87110305784734</v>
      </c>
      <c r="CP661" s="589">
        <f t="shared" si="1692"/>
        <v>1.3387075600884222E-3</v>
      </c>
      <c r="CQ661" s="196">
        <f>'Detailed Budget'!$AC$12</f>
        <v>292876014141.44696</v>
      </c>
      <c r="CR661" s="269">
        <f t="shared" si="1701"/>
        <v>1204765177.9327717</v>
      </c>
      <c r="CS661" s="269">
        <f>'Detailed Budget'!$AC$16</f>
        <v>10488008800.000002</v>
      </c>
      <c r="CT661" s="607">
        <f t="shared" si="1705"/>
        <v>43143124.504118547</v>
      </c>
      <c r="CU661" s="269">
        <f>'Detailed Budget'!$AC$24</f>
        <v>30624985696</v>
      </c>
      <c r="CV661" s="269">
        <f t="shared" si="1753"/>
        <v>125977937.96596409</v>
      </c>
      <c r="CW661" s="269"/>
      <c r="CX661" s="269">
        <f t="shared" si="1660"/>
        <v>1373886240.4028542</v>
      </c>
      <c r="CY661" s="196">
        <f>'Detailed Budget'!$AC$97</f>
        <v>74629165494.837845</v>
      </c>
      <c r="CZ661" s="269">
        <f t="shared" si="1706"/>
        <v>0</v>
      </c>
      <c r="DA661" s="269">
        <f>'Detailed Budget'!$AC$100</f>
        <v>14925833098.967569</v>
      </c>
      <c r="DB661" s="269">
        <f t="shared" si="1707"/>
        <v>0</v>
      </c>
      <c r="DC661" s="269">
        <f t="shared" si="1661"/>
        <v>0</v>
      </c>
      <c r="DD661" s="207">
        <v>0</v>
      </c>
      <c r="DE661" s="606">
        <v>0</v>
      </c>
      <c r="DF661" s="269">
        <f>'Detailed Budget'!$AC$147</f>
        <v>5913600671000</v>
      </c>
      <c r="DG661" s="269">
        <f t="shared" si="1748"/>
        <v>0</v>
      </c>
      <c r="DH661" s="269">
        <f>'Detailed Budget'!$AC$153</f>
        <v>226428026880.00003</v>
      </c>
      <c r="DI661" s="269"/>
      <c r="DJ661" s="269">
        <f>'Detailed Budget'!$AC$156</f>
        <v>27713070000</v>
      </c>
      <c r="DK661" s="269"/>
      <c r="DL661" s="269"/>
      <c r="DM661" s="196">
        <f>'Detailed Budget'!$AC$178</f>
        <v>5622683761.6229038</v>
      </c>
      <c r="DN661" s="269">
        <f t="shared" si="1740"/>
        <v>0</v>
      </c>
      <c r="DO661" s="196">
        <f>'Detailed Budget'!$AC$179</f>
        <v>26827890683.128094</v>
      </c>
      <c r="DP661" s="269">
        <f t="shared" si="1741"/>
        <v>0</v>
      </c>
      <c r="DQ661" s="269">
        <f t="shared" si="1700"/>
        <v>0</v>
      </c>
      <c r="DR661" s="269">
        <f>'Detailed Budget'!$AC$181</f>
        <v>50888946855.375237</v>
      </c>
      <c r="DS661" s="269">
        <f t="shared" si="1742"/>
        <v>0</v>
      </c>
      <c r="DT661" s="269">
        <f t="shared" si="1743"/>
        <v>0</v>
      </c>
      <c r="DU661" s="272">
        <f>'Detailed Budget'!$AC$192</f>
        <v>77498869683.252869</v>
      </c>
      <c r="DV661" s="269">
        <f t="shared" si="1708"/>
        <v>116558662.00991768</v>
      </c>
      <c r="DW661" s="140">
        <f>'Detailed Budget'!$AC$194</f>
        <v>2684962805.4134097</v>
      </c>
      <c r="DX661" s="269">
        <f t="shared" si="1709"/>
        <v>4038196.6011177856</v>
      </c>
      <c r="DY661" s="607">
        <f t="shared" si="1648"/>
        <v>120596858.61103547</v>
      </c>
      <c r="DZ661" s="196">
        <f>'Detailed Budget'!$AC$198</f>
        <v>18732540018.380611</v>
      </c>
      <c r="EA661" s="269">
        <f t="shared" si="1710"/>
        <v>22196813.663033679</v>
      </c>
      <c r="EB661" s="196">
        <f>'Detailed Budget'!$AC$200</f>
        <v>4683135004.5951529</v>
      </c>
      <c r="EC661" s="269">
        <f t="shared" si="1711"/>
        <v>5549203.4157584198</v>
      </c>
      <c r="ED661" s="269">
        <f t="shared" si="1649"/>
        <v>27746017.078792099</v>
      </c>
      <c r="EE661" s="196">
        <f>'Detailed Budget'!$AC$161</f>
        <v>251147290106.36197</v>
      </c>
      <c r="EF661" s="269">
        <f t="shared" si="1712"/>
        <v>377726697.45840204</v>
      </c>
      <c r="EG661" s="196">
        <f>'Detailed Budget'!$AC$163</f>
        <v>15696705631.647623</v>
      </c>
      <c r="EH661" s="269">
        <f t="shared" si="1713"/>
        <v>23607918.591150127</v>
      </c>
      <c r="EI661" s="269">
        <f t="shared" si="1650"/>
        <v>401334616.04955214</v>
      </c>
      <c r="EJ661" s="196">
        <f>'Detailed Budget'!$AC$204</f>
        <v>45012172507.531975</v>
      </c>
      <c r="EK661" s="269">
        <f t="shared" si="1714"/>
        <v>63878403.631928295</v>
      </c>
      <c r="EL661" s="201">
        <f>'Detailed Budget'!$AC$206</f>
        <v>11253043126.882994</v>
      </c>
      <c r="EM661" s="269">
        <f t="shared" si="1715"/>
        <v>15969600.907982074</v>
      </c>
      <c r="EN661" s="269">
        <f t="shared" si="1651"/>
        <v>79848004.539910376</v>
      </c>
      <c r="EO661" s="140">
        <f>'Detailed Budget'!$AC$209</f>
        <v>135789361677.54817</v>
      </c>
      <c r="EP661" s="269">
        <f t="shared" si="1716"/>
        <v>178798458.41240975</v>
      </c>
      <c r="EQ661" s="196">
        <f>'Detailed Budget'!$AC$211</f>
        <v>33947340419.387043</v>
      </c>
      <c r="ER661" s="269">
        <f t="shared" si="1717"/>
        <v>44699614.603102438</v>
      </c>
      <c r="ES661" s="269">
        <f t="shared" si="1652"/>
        <v>223498073.0155122</v>
      </c>
      <c r="ET661" s="196">
        <f>'Detailed Budget'!$AC$214</f>
        <v>22239745544.201103</v>
      </c>
      <c r="EU661" s="269">
        <f t="shared" si="1718"/>
        <v>28439626.068945199</v>
      </c>
      <c r="EV661" s="140">
        <f>'Detailed Budget'!$AC$217</f>
        <v>5559936386.0502758</v>
      </c>
      <c r="EW661" s="269">
        <f t="shared" si="1719"/>
        <v>7109906.5172362998</v>
      </c>
      <c r="EX661" s="269">
        <f t="shared" si="1653"/>
        <v>35549532.586181499</v>
      </c>
      <c r="EY661" s="196">
        <f>'Detailed Budget'!$AC$219</f>
        <v>372777004.58170313</v>
      </c>
      <c r="EZ661" s="269">
        <f t="shared" si="1720"/>
        <v>499039.39426064241</v>
      </c>
      <c r="FA661" s="196">
        <f>'Detailed Budget'!$AC$222</f>
        <v>93194251.145425782</v>
      </c>
      <c r="FB661" s="269">
        <f t="shared" si="1721"/>
        <v>124759.8485651606</v>
      </c>
      <c r="FC661" s="269">
        <f t="shared" si="1654"/>
        <v>623799.242825803</v>
      </c>
      <c r="FD661" s="269"/>
      <c r="FE661" s="269">
        <f t="shared" si="1663"/>
        <v>339519409.38442987</v>
      </c>
      <c r="FF661" s="140">
        <f>'Detailed Budget'!$AC$165</f>
        <v>14927760000</v>
      </c>
      <c r="FG661" s="1087">
        <f t="shared" si="1749"/>
        <v>463126948.49838305</v>
      </c>
      <c r="FH661" s="269">
        <f t="shared" si="1722"/>
        <v>18657579.820474949</v>
      </c>
      <c r="FJ661" s="140">
        <f>'Detailed Budget'!$AC$235</f>
        <v>3623696172</v>
      </c>
      <c r="FK661" s="269">
        <f t="shared" si="1723"/>
        <v>4681778</v>
      </c>
      <c r="FL661" s="269">
        <f t="shared" si="1750"/>
        <v>4681778</v>
      </c>
      <c r="FO661" s="607"/>
      <c r="FP661" s="607"/>
      <c r="FQ661" s="607"/>
      <c r="FR661" s="269">
        <f>'Detailed Budget'!$AC$257</f>
        <v>13636439388</v>
      </c>
      <c r="FS661" s="269">
        <f t="shared" si="1724"/>
        <v>14990039.999999998</v>
      </c>
      <c r="FT661" s="269">
        <f t="shared" si="1751"/>
        <v>14990039.999999998</v>
      </c>
      <c r="FU661" s="269"/>
      <c r="FV661" s="269"/>
      <c r="FW661" s="269"/>
      <c r="FX661" s="140">
        <f>'Detailed Budget'!$AC$278</f>
        <v>1114560000</v>
      </c>
      <c r="FY661" s="269">
        <f t="shared" si="1725"/>
        <v>1440000</v>
      </c>
      <c r="FZ661" s="269">
        <f t="shared" si="1752"/>
        <v>1440000</v>
      </c>
      <c r="GB661" s="269">
        <f t="shared" si="1760"/>
        <v>2765979487.8455219</v>
      </c>
      <c r="GC661" s="887">
        <f t="shared" si="1668"/>
        <v>1728737.1799034511</v>
      </c>
      <c r="GD661" s="1078">
        <f t="shared" si="1761"/>
        <v>1.5520781888429941E-3</v>
      </c>
    </row>
    <row r="662" spans="1:186" hidden="1" outlineLevel="1">
      <c r="A662" s="211" t="s">
        <v>1425</v>
      </c>
      <c r="B662" s="212" t="s">
        <v>1426</v>
      </c>
      <c r="C662" s="213" t="s">
        <v>215</v>
      </c>
      <c r="D662" s="214"/>
      <c r="E662" s="213"/>
      <c r="F662" s="213"/>
      <c r="G662" s="213" t="s">
        <v>215</v>
      </c>
      <c r="H662" s="213" t="s">
        <v>215</v>
      </c>
      <c r="I662" s="214" t="s">
        <v>215</v>
      </c>
      <c r="J662" s="214"/>
      <c r="K662" s="213"/>
      <c r="L662" s="213"/>
      <c r="M662" s="214" t="s">
        <v>215</v>
      </c>
      <c r="N662" s="213"/>
      <c r="O662" s="214"/>
      <c r="P662" s="213"/>
      <c r="Q662" s="214"/>
      <c r="R662" s="214" t="s">
        <v>215</v>
      </c>
      <c r="S662" s="214"/>
      <c r="T662" s="214"/>
      <c r="U662" s="215">
        <f t="shared" si="1726"/>
        <v>6</v>
      </c>
      <c r="V662" s="845" t="s">
        <v>216</v>
      </c>
      <c r="W662" s="216">
        <v>119034</v>
      </c>
      <c r="X662" s="217">
        <v>3.22</v>
      </c>
      <c r="Y662" s="218">
        <f t="shared" si="1598"/>
        <v>1.0322</v>
      </c>
      <c r="Z662" s="196">
        <v>19</v>
      </c>
      <c r="AA662" s="218">
        <f t="shared" si="1599"/>
        <v>1.8260524174418462</v>
      </c>
      <c r="AB662" s="196">
        <f t="shared" si="1746"/>
        <v>217362.32345777273</v>
      </c>
      <c r="AC662">
        <v>12.7</v>
      </c>
      <c r="AD662" s="196">
        <f t="shared" si="1747"/>
        <v>27605.015079137134</v>
      </c>
      <c r="AE662" s="196">
        <f t="shared" si="1600"/>
        <v>26224.764325180277</v>
      </c>
      <c r="AF662" s="196">
        <f t="shared" si="1727"/>
        <v>0</v>
      </c>
      <c r="AG662" s="606">
        <f t="shared" si="1671"/>
        <v>1.2125179735237455E-3</v>
      </c>
      <c r="AH662" s="196">
        <f t="shared" si="1744"/>
        <v>10868.116172888636</v>
      </c>
      <c r="AI662" s="248">
        <f t="shared" si="1644"/>
        <v>8.4193649310926625E-4</v>
      </c>
      <c r="AJ662" s="196">
        <f t="shared" si="1672"/>
        <v>38473.131252025771</v>
      </c>
      <c r="AK662" s="196">
        <f t="shared" si="1698"/>
        <v>8694.4929383109084</v>
      </c>
      <c r="AL662" s="196">
        <f t="shared" si="1699"/>
        <v>8694.4929383109084</v>
      </c>
      <c r="AM662" s="196">
        <f t="shared" si="1656"/>
        <v>17388.985876621817</v>
      </c>
      <c r="AN662" s="627">
        <f t="shared" si="1657"/>
        <v>8.4193649310926625E-4</v>
      </c>
      <c r="AO662" s="196">
        <f t="shared" si="1658"/>
        <v>8259.7682913953631</v>
      </c>
      <c r="AP662" s="589">
        <f t="shared" si="1673"/>
        <v>8.4193649310926625E-4</v>
      </c>
      <c r="AQ662" s="196"/>
      <c r="AR662" s="589"/>
      <c r="AS662">
        <v>1</v>
      </c>
      <c r="AT662" s="589">
        <f t="shared" si="1674"/>
        <v>1.2919896640826874E-3</v>
      </c>
      <c r="AU662" s="196">
        <v>10</v>
      </c>
      <c r="AV662" s="245">
        <f t="shared" si="1645"/>
        <v>1.1362345188046814E-3</v>
      </c>
      <c r="AX662" s="245"/>
      <c r="AY662" s="245"/>
      <c r="AZ662" s="196">
        <v>18</v>
      </c>
      <c r="BA662" s="589">
        <f t="shared" si="1754"/>
        <v>6.5955809607562931E-4</v>
      </c>
      <c r="BI662" s="196">
        <v>1</v>
      </c>
      <c r="BJ662" s="196">
        <f t="shared" si="1728"/>
        <v>120756.8560137044</v>
      </c>
      <c r="BK662" s="246">
        <f t="shared" si="1755"/>
        <v>2.3027603869612391E-3</v>
      </c>
      <c r="BL662" s="196">
        <f t="shared" si="1745"/>
        <v>2415.1371202740879</v>
      </c>
      <c r="BM662" s="246">
        <f t="shared" si="1756"/>
        <v>2.3027601234877617E-3</v>
      </c>
      <c r="BN662" s="196">
        <v>0</v>
      </c>
      <c r="BO662" s="196">
        <f t="shared" si="1729"/>
        <v>11151.598268266756</v>
      </c>
      <c r="BP662" s="196">
        <f t="shared" si="1676"/>
        <v>0</v>
      </c>
      <c r="BQ662" s="248">
        <f t="shared" si="1757"/>
        <v>0</v>
      </c>
      <c r="BR662" s="248"/>
      <c r="BS662" s="248"/>
      <c r="BT662" s="276">
        <v>0</v>
      </c>
      <c r="BU662" s="196">
        <f t="shared" si="1730"/>
        <v>0</v>
      </c>
      <c r="BV662" s="264">
        <f t="shared" si="1758"/>
        <v>0</v>
      </c>
      <c r="BW662" s="196">
        <f t="shared" si="1731"/>
        <v>0</v>
      </c>
      <c r="BX662" s="247">
        <f t="shared" si="1759"/>
        <v>0</v>
      </c>
      <c r="BY662" s="196">
        <f t="shared" si="1732"/>
        <v>0</v>
      </c>
      <c r="BZ662" s="620">
        <v>1</v>
      </c>
      <c r="CA662" s="196">
        <f t="shared" si="1733"/>
        <v>66512.870978078456</v>
      </c>
      <c r="CB662" s="196">
        <f t="shared" si="1734"/>
        <v>133025.74195615691</v>
      </c>
      <c r="CC662" s="196">
        <f t="shared" si="1682"/>
        <v>199538.61293423537</v>
      </c>
      <c r="CD662" s="247">
        <f t="shared" si="1646"/>
        <v>8.4193649310926636E-4</v>
      </c>
      <c r="CE662" s="196">
        <f t="shared" si="1735"/>
        <v>15360.671454064894</v>
      </c>
      <c r="CF662" s="247">
        <f t="shared" si="1647"/>
        <v>6.6332156424013977E-4</v>
      </c>
      <c r="CG662" s="196">
        <f t="shared" si="1703"/>
        <v>33039.073165581452</v>
      </c>
      <c r="CH662" s="589">
        <f t="shared" si="1684"/>
        <v>8.4193649310926625E-4</v>
      </c>
      <c r="CI662" s="196">
        <f t="shared" si="1736"/>
        <v>48322.843567395626</v>
      </c>
      <c r="CJ662" s="248">
        <f t="shared" si="1686"/>
        <v>7.9442742558838962E-4</v>
      </c>
      <c r="CK662" s="196">
        <f t="shared" si="1737"/>
        <v>51275.995958766529</v>
      </c>
      <c r="CL662" s="589">
        <f t="shared" si="1688"/>
        <v>7.3710298892966169E-4</v>
      </c>
      <c r="CM662" s="196">
        <f t="shared" si="1738"/>
        <v>4967.3640080088317</v>
      </c>
      <c r="CN662" s="589">
        <f t="shared" si="1690"/>
        <v>7.1585360591260559E-4</v>
      </c>
      <c r="CO662" s="196">
        <f t="shared" si="1739"/>
        <v>397.38333167819394</v>
      </c>
      <c r="CP662" s="589">
        <f t="shared" si="1692"/>
        <v>7.4940375524396052E-4</v>
      </c>
      <c r="CQ662" s="196">
        <f>'Detailed Budget'!$AC$12</f>
        <v>292876014141.44696</v>
      </c>
      <c r="CR662" s="269">
        <f t="shared" si="1701"/>
        <v>674423283.65602374</v>
      </c>
      <c r="CS662" s="269">
        <f>'Detailed Budget'!$AC$16</f>
        <v>10488008800.000002</v>
      </c>
      <c r="CT662" s="607">
        <f t="shared" si="1705"/>
        <v>24151368.439428736</v>
      </c>
      <c r="CU662" s="269">
        <f>'Detailed Budget'!$AC$24</f>
        <v>30624985696</v>
      </c>
      <c r="CV662" s="269">
        <f t="shared" si="1753"/>
        <v>70522003.912003368</v>
      </c>
      <c r="CW662" s="269"/>
      <c r="CX662" s="269">
        <f t="shared" si="1660"/>
        <v>769096656.00745583</v>
      </c>
      <c r="CY662" s="196">
        <f>'Detailed Budget'!$AC$97</f>
        <v>74629165494.837845</v>
      </c>
      <c r="CZ662" s="269">
        <f t="shared" si="1706"/>
        <v>0</v>
      </c>
      <c r="DA662" s="269">
        <f>'Detailed Budget'!$AC$100</f>
        <v>14925833098.967569</v>
      </c>
      <c r="DB662" s="269">
        <f t="shared" si="1707"/>
        <v>0</v>
      </c>
      <c r="DC662" s="269">
        <f t="shared" si="1661"/>
        <v>0</v>
      </c>
      <c r="DD662" s="207">
        <v>0</v>
      </c>
      <c r="DE662" s="606">
        <v>0</v>
      </c>
      <c r="DF662" s="269">
        <f>'Detailed Budget'!$AC$147</f>
        <v>5913600671000</v>
      </c>
      <c r="DG662" s="269">
        <f t="shared" si="1748"/>
        <v>0</v>
      </c>
      <c r="DH662" s="269">
        <f>'Detailed Budget'!$AC$153</f>
        <v>226428026880.00003</v>
      </c>
      <c r="DI662" s="269"/>
      <c r="DJ662" s="269">
        <f>'Detailed Budget'!$AC$156</f>
        <v>27713070000</v>
      </c>
      <c r="DK662" s="269"/>
      <c r="DL662" s="269"/>
      <c r="DM662" s="196">
        <f>'Detailed Budget'!$AC$178</f>
        <v>5622683761.6229038</v>
      </c>
      <c r="DN662" s="269">
        <f t="shared" si="1740"/>
        <v>0</v>
      </c>
      <c r="DO662" s="196">
        <f>'Detailed Budget'!$AC$179</f>
        <v>26827890683.128094</v>
      </c>
      <c r="DP662" s="269">
        <f t="shared" si="1741"/>
        <v>0</v>
      </c>
      <c r="DQ662" s="269">
        <f t="shared" si="1700"/>
        <v>0</v>
      </c>
      <c r="DR662" s="269">
        <f>'Detailed Budget'!$AC$181</f>
        <v>50888946855.375237</v>
      </c>
      <c r="DS662" s="269">
        <f t="shared" si="1742"/>
        <v>0</v>
      </c>
      <c r="DT662" s="269">
        <f t="shared" si="1743"/>
        <v>0</v>
      </c>
      <c r="DU662" s="272">
        <f>'Detailed Budget'!$AC$192</f>
        <v>77498869683.252869</v>
      </c>
      <c r="DV662" s="269">
        <f t="shared" si="1708"/>
        <v>65249126.561049961</v>
      </c>
      <c r="DW662" s="140">
        <f>'Detailed Budget'!$AC$194</f>
        <v>2684962805.4134097</v>
      </c>
      <c r="DX662" s="269">
        <f t="shared" si="1709"/>
        <v>2260568.1685185833</v>
      </c>
      <c r="DY662" s="607">
        <f t="shared" si="1648"/>
        <v>67509694.729568541</v>
      </c>
      <c r="DZ662" s="196">
        <f>'Detailed Budget'!$AC$198</f>
        <v>18732540018.380611</v>
      </c>
      <c r="EA662" s="269">
        <f t="shared" si="1710"/>
        <v>12425697.747183245</v>
      </c>
      <c r="EB662" s="196">
        <f>'Detailed Budget'!$AC$200</f>
        <v>4683135004.5951529</v>
      </c>
      <c r="EC662" s="269">
        <f t="shared" si="1711"/>
        <v>3106424.4367958112</v>
      </c>
      <c r="ED662" s="269">
        <f t="shared" si="1649"/>
        <v>15532122.183979057</v>
      </c>
      <c r="EE662" s="196">
        <f>'Detailed Budget'!$AC$161</f>
        <v>251147290106.36197</v>
      </c>
      <c r="EF662" s="269">
        <f t="shared" si="1712"/>
        <v>211450068.68604591</v>
      </c>
      <c r="EG662" s="196">
        <f>'Detailed Budget'!$AC$163</f>
        <v>15696705631.647623</v>
      </c>
      <c r="EH662" s="269">
        <f t="shared" si="1713"/>
        <v>13215629.29287787</v>
      </c>
      <c r="EI662" s="269">
        <f t="shared" si="1650"/>
        <v>224665697.9789238</v>
      </c>
      <c r="EJ662" s="196">
        <f>'Detailed Budget'!$AC$204</f>
        <v>45012172507.531975</v>
      </c>
      <c r="EK662" s="269">
        <f t="shared" si="1714"/>
        <v>35758904.325299114</v>
      </c>
      <c r="EL662" s="201">
        <f>'Detailed Budget'!$AC$206</f>
        <v>11253043126.882994</v>
      </c>
      <c r="EM662" s="269">
        <f t="shared" si="1715"/>
        <v>8939726.0813247785</v>
      </c>
      <c r="EN662" s="269">
        <f t="shared" si="1651"/>
        <v>44698630.406623892</v>
      </c>
      <c r="EO662" s="140">
        <f>'Detailed Budget'!$AC$209</f>
        <v>135789361677.54817</v>
      </c>
      <c r="EP662" s="269">
        <f t="shared" si="1716"/>
        <v>100090744.35737161</v>
      </c>
      <c r="EQ662" s="196">
        <f>'Detailed Budget'!$AC$211</f>
        <v>33947340419.387043</v>
      </c>
      <c r="ER662" s="269">
        <f t="shared" si="1717"/>
        <v>25022686.089342903</v>
      </c>
      <c r="ES662" s="269">
        <f t="shared" si="1652"/>
        <v>125113430.44671452</v>
      </c>
      <c r="ET662" s="196">
        <f>'Detailed Budget'!$AC$214</f>
        <v>22239745544.201103</v>
      </c>
      <c r="EU662" s="269">
        <f t="shared" si="1718"/>
        <v>15920402.042395163</v>
      </c>
      <c r="EV662" s="140">
        <f>'Detailed Budget'!$AC$217</f>
        <v>5559936386.0502758</v>
      </c>
      <c r="EW662" s="269">
        <f t="shared" si="1719"/>
        <v>3980100.5105987908</v>
      </c>
      <c r="EX662" s="269">
        <f t="shared" si="1653"/>
        <v>19900502.552993953</v>
      </c>
      <c r="EY662" s="196">
        <f>'Detailed Budget'!$AC$219</f>
        <v>372777004.58170313</v>
      </c>
      <c r="EZ662" s="269">
        <f t="shared" si="1720"/>
        <v>279360.48710212338</v>
      </c>
      <c r="FA662" s="196">
        <f>'Detailed Budget'!$AC$222</f>
        <v>93194251.145425782</v>
      </c>
      <c r="FB662" s="269">
        <f t="shared" si="1721"/>
        <v>69840.121775530846</v>
      </c>
      <c r="FC662" s="269">
        <f t="shared" si="1654"/>
        <v>349200.60887765425</v>
      </c>
      <c r="FD662" s="269"/>
      <c r="FE662" s="269">
        <f t="shared" si="1663"/>
        <v>190061764.01521003</v>
      </c>
      <c r="FF662" s="140">
        <f>'Detailed Budget'!$AC$165</f>
        <v>14927760000</v>
      </c>
      <c r="FG662" s="1087">
        <f t="shared" si="1749"/>
        <v>259256827.03729597</v>
      </c>
      <c r="FH662" s="269">
        <f t="shared" si="1722"/>
        <v>16961436.200431772</v>
      </c>
      <c r="FJ662" s="140">
        <f>'Detailed Budget'!$AC$235</f>
        <v>3623696172</v>
      </c>
      <c r="FK662" s="269">
        <f t="shared" si="1723"/>
        <v>4681778</v>
      </c>
      <c r="FL662" s="269">
        <f t="shared" si="1750"/>
        <v>4681778</v>
      </c>
      <c r="FO662" s="607"/>
      <c r="FP662" s="607"/>
      <c r="FQ662" s="607"/>
      <c r="FR662" s="269">
        <f>'Detailed Budget'!$AC$257</f>
        <v>13636439388</v>
      </c>
      <c r="FS662" s="269">
        <f t="shared" si="1724"/>
        <v>8994024</v>
      </c>
      <c r="FT662" s="269">
        <f t="shared" si="1751"/>
        <v>8994024</v>
      </c>
      <c r="FU662" s="269"/>
      <c r="FV662" s="269"/>
      <c r="FW662" s="269"/>
      <c r="FX662" s="140">
        <f>'Detailed Budget'!$AC$278</f>
        <v>1114560000</v>
      </c>
      <c r="FY662" s="269">
        <f t="shared" si="1725"/>
        <v>1440000</v>
      </c>
      <c r="FZ662" s="269">
        <f t="shared" si="1752"/>
        <v>1440000</v>
      </c>
      <c r="GB662" s="269">
        <f t="shared" si="1760"/>
        <v>1558200000.1528652</v>
      </c>
      <c r="GC662" s="887">
        <f t="shared" si="1668"/>
        <v>973875.00009554077</v>
      </c>
      <c r="GD662" s="1078">
        <f t="shared" si="1761"/>
        <v>8.7435508640600632E-4</v>
      </c>
    </row>
    <row r="663" spans="1:186" hidden="1" outlineLevel="1">
      <c r="A663" s="211" t="s">
        <v>1427</v>
      </c>
      <c r="B663" s="212" t="s">
        <v>1428</v>
      </c>
      <c r="C663" s="213" t="s">
        <v>215</v>
      </c>
      <c r="D663" s="214"/>
      <c r="E663" s="213"/>
      <c r="F663" s="213"/>
      <c r="G663" s="213" t="s">
        <v>215</v>
      </c>
      <c r="H663" s="213" t="s">
        <v>215</v>
      </c>
      <c r="I663" s="214" t="s">
        <v>215</v>
      </c>
      <c r="J663" s="214"/>
      <c r="K663" s="213"/>
      <c r="L663" s="213"/>
      <c r="M663" s="214" t="s">
        <v>215</v>
      </c>
      <c r="N663" s="213"/>
      <c r="O663" s="214"/>
      <c r="P663" s="213"/>
      <c r="Q663" s="214"/>
      <c r="R663" s="214" t="s">
        <v>215</v>
      </c>
      <c r="S663" s="214"/>
      <c r="T663" s="214"/>
      <c r="U663" s="215">
        <f t="shared" si="1726"/>
        <v>6</v>
      </c>
      <c r="V663" s="845" t="s">
        <v>216</v>
      </c>
      <c r="W663" s="216">
        <v>188728</v>
      </c>
      <c r="X663" s="217">
        <v>3.22</v>
      </c>
      <c r="Y663" s="218">
        <f t="shared" si="1598"/>
        <v>1.0322</v>
      </c>
      <c r="Z663" s="196">
        <v>19</v>
      </c>
      <c r="AA663" s="218">
        <f t="shared" si="1599"/>
        <v>1.8260524174418462</v>
      </c>
      <c r="AB663" s="196">
        <f t="shared" si="1746"/>
        <v>344627.22063896473</v>
      </c>
      <c r="AC663">
        <v>12.7</v>
      </c>
      <c r="AD663" s="196">
        <f t="shared" si="1747"/>
        <v>43767.657021148523</v>
      </c>
      <c r="AE663" s="196">
        <f t="shared" si="1600"/>
        <v>41579.274170091092</v>
      </c>
      <c r="AF663" s="196">
        <f t="shared" si="1727"/>
        <v>0</v>
      </c>
      <c r="AG663" s="606">
        <f t="shared" si="1671"/>
        <v>1.9224431011911677E-3</v>
      </c>
      <c r="AH663" s="196">
        <f t="shared" si="1744"/>
        <v>17231.361031948236</v>
      </c>
      <c r="AI663" s="248">
        <f t="shared" si="1644"/>
        <v>1.3348874310829309E-3</v>
      </c>
      <c r="AJ663" s="196">
        <f t="shared" si="1672"/>
        <v>60999.018053096763</v>
      </c>
      <c r="AK663" s="196">
        <f t="shared" si="1698"/>
        <v>13785.088825558589</v>
      </c>
      <c r="AL663" s="196">
        <f t="shared" si="1699"/>
        <v>13785.088825558589</v>
      </c>
      <c r="AM663" s="196">
        <f t="shared" si="1656"/>
        <v>27570.177651117177</v>
      </c>
      <c r="AN663" s="627">
        <f t="shared" si="1657"/>
        <v>1.3348874310829309E-3</v>
      </c>
      <c r="AO663" s="196">
        <f t="shared" si="1658"/>
        <v>13095.834384280659</v>
      </c>
      <c r="AP663" s="589">
        <f t="shared" si="1673"/>
        <v>1.3348874310829307E-3</v>
      </c>
      <c r="AQ663" s="196"/>
      <c r="AR663" s="589"/>
      <c r="AS663">
        <v>1</v>
      </c>
      <c r="AT663" s="589">
        <f t="shared" si="1674"/>
        <v>1.2919896640826874E-3</v>
      </c>
      <c r="AU663" s="196">
        <v>10</v>
      </c>
      <c r="AV663" s="245">
        <f t="shared" si="1645"/>
        <v>1.1362345188046814E-3</v>
      </c>
      <c r="AX663" s="245"/>
      <c r="AY663" s="245"/>
      <c r="AZ663" s="196">
        <v>17</v>
      </c>
      <c r="BA663" s="589">
        <f t="shared" si="1754"/>
        <v>6.229159796269833E-4</v>
      </c>
      <c r="BI663" s="196">
        <v>1</v>
      </c>
      <c r="BJ663" s="196">
        <f t="shared" si="1728"/>
        <v>191459.58231895426</v>
      </c>
      <c r="BK663" s="246">
        <f t="shared" si="1755"/>
        <v>3.6510187199490958E-3</v>
      </c>
      <c r="BL663" s="196">
        <f t="shared" si="1745"/>
        <v>3829.1916463790853</v>
      </c>
      <c r="BM663" s="246">
        <f t="shared" si="1756"/>
        <v>3.6510183022127984E-3</v>
      </c>
      <c r="BN663" s="196">
        <v>0</v>
      </c>
      <c r="BO663" s="196">
        <f t="shared" si="1729"/>
        <v>17680.820924890773</v>
      </c>
      <c r="BP663" s="196">
        <f t="shared" si="1676"/>
        <v>0</v>
      </c>
      <c r="BQ663" s="248">
        <f t="shared" si="1757"/>
        <v>0</v>
      </c>
      <c r="BR663" s="248"/>
      <c r="BS663" s="248"/>
      <c r="BT663" s="276">
        <v>0</v>
      </c>
      <c r="BU663" s="196">
        <f t="shared" si="1730"/>
        <v>0</v>
      </c>
      <c r="BV663" s="264">
        <f t="shared" si="1758"/>
        <v>0</v>
      </c>
      <c r="BW663" s="196">
        <f t="shared" si="1731"/>
        <v>0</v>
      </c>
      <c r="BX663" s="247">
        <f t="shared" si="1759"/>
        <v>0</v>
      </c>
      <c r="BY663" s="196">
        <f t="shared" si="1732"/>
        <v>0</v>
      </c>
      <c r="BZ663" s="620">
        <v>1</v>
      </c>
      <c r="CA663" s="196">
        <f t="shared" si="1733"/>
        <v>105455.9295155232</v>
      </c>
      <c r="CB663" s="196">
        <f t="shared" si="1734"/>
        <v>210911.85903104639</v>
      </c>
      <c r="CC663" s="196">
        <f t="shared" si="1682"/>
        <v>316367.78854656959</v>
      </c>
      <c r="CD663" s="247">
        <f t="shared" si="1646"/>
        <v>1.3348874310829307E-3</v>
      </c>
      <c r="CE663" s="196">
        <f t="shared" si="1735"/>
        <v>24354.292069347914</v>
      </c>
      <c r="CF663" s="247">
        <f t="shared" si="1647"/>
        <v>1.0516940720795161E-3</v>
      </c>
      <c r="CG663" s="196">
        <f t="shared" si="1703"/>
        <v>52383.337537122636</v>
      </c>
      <c r="CH663" s="589">
        <f t="shared" si="1684"/>
        <v>1.3348874310829307E-3</v>
      </c>
      <c r="CI663" s="196">
        <f t="shared" si="1736"/>
        <v>76615.703251066443</v>
      </c>
      <c r="CJ663" s="248">
        <f t="shared" si="1686"/>
        <v>1.2595619669711646E-3</v>
      </c>
      <c r="CK663" s="196">
        <f t="shared" si="1737"/>
        <v>81297.916270192465</v>
      </c>
      <c r="CL663" s="589">
        <f t="shared" si="1688"/>
        <v>1.1686742686519583E-3</v>
      </c>
      <c r="CM663" s="196">
        <f t="shared" si="1738"/>
        <v>7875.7386503309217</v>
      </c>
      <c r="CN663" s="589">
        <f t="shared" si="1690"/>
        <v>1.1349834445341185E-3</v>
      </c>
      <c r="CO663" s="196">
        <f t="shared" si="1739"/>
        <v>630.04991364620355</v>
      </c>
      <c r="CP663" s="589">
        <f t="shared" si="1692"/>
        <v>1.1881770915846076E-3</v>
      </c>
      <c r="CQ663" s="196">
        <f>'Detailed Budget'!$AC$12</f>
        <v>292876014141.44696</v>
      </c>
      <c r="CR663" s="269">
        <f t="shared" si="1701"/>
        <v>1069295810.254499</v>
      </c>
      <c r="CS663" s="269">
        <f>'Detailed Budget'!$AC$16</f>
        <v>10488008800.000002</v>
      </c>
      <c r="CT663" s="607">
        <f t="shared" si="1705"/>
        <v>38291912.082568899</v>
      </c>
      <c r="CU663" s="269">
        <f>'Detailed Budget'!$AC$24</f>
        <v>30624985696</v>
      </c>
      <c r="CV663" s="269">
        <f t="shared" si="1753"/>
        <v>111812396.07426929</v>
      </c>
      <c r="CW663" s="269"/>
      <c r="CX663" s="269">
        <f t="shared" si="1660"/>
        <v>1219400118.4113371</v>
      </c>
      <c r="CY663" s="196">
        <f>'Detailed Budget'!$AC$97</f>
        <v>74629165494.837845</v>
      </c>
      <c r="CZ663" s="269">
        <f t="shared" si="1706"/>
        <v>0</v>
      </c>
      <c r="DA663" s="269">
        <f>'Detailed Budget'!$AC$100</f>
        <v>14925833098.967569</v>
      </c>
      <c r="DB663" s="269">
        <f t="shared" si="1707"/>
        <v>0</v>
      </c>
      <c r="DC663" s="269">
        <f t="shared" si="1661"/>
        <v>0</v>
      </c>
      <c r="DD663" s="207">
        <v>0</v>
      </c>
      <c r="DE663" s="606">
        <v>0</v>
      </c>
      <c r="DF663" s="269">
        <f>'Detailed Budget'!$AC$147</f>
        <v>5913600671000</v>
      </c>
      <c r="DG663" s="269">
        <f t="shared" si="1748"/>
        <v>0</v>
      </c>
      <c r="DH663" s="269">
        <f>'Detailed Budget'!$AC$153</f>
        <v>226428026880.00003</v>
      </c>
      <c r="DI663" s="269"/>
      <c r="DJ663" s="269">
        <f>'Detailed Budget'!$AC$156</f>
        <v>27713070000</v>
      </c>
      <c r="DK663" s="269"/>
      <c r="DL663" s="269"/>
      <c r="DM663" s="196">
        <f>'Detailed Budget'!$AC$178</f>
        <v>5622683761.6229038</v>
      </c>
      <c r="DN663" s="269">
        <f t="shared" si="1740"/>
        <v>0</v>
      </c>
      <c r="DO663" s="196">
        <f>'Detailed Budget'!$AC$179</f>
        <v>26827890683.128094</v>
      </c>
      <c r="DP663" s="269">
        <f t="shared" si="1741"/>
        <v>0</v>
      </c>
      <c r="DQ663" s="269">
        <f t="shared" si="1700"/>
        <v>0</v>
      </c>
      <c r="DR663" s="269">
        <f>'Detailed Budget'!$AC$181</f>
        <v>50888946855.375237</v>
      </c>
      <c r="DS663" s="269">
        <f t="shared" si="1742"/>
        <v>0</v>
      </c>
      <c r="DT663" s="269">
        <f t="shared" si="1743"/>
        <v>0</v>
      </c>
      <c r="DU663" s="272">
        <f>'Detailed Budget'!$AC$192</f>
        <v>77498869683.252869</v>
      </c>
      <c r="DV663" s="269">
        <f t="shared" si="1708"/>
        <v>103452267.06330824</v>
      </c>
      <c r="DW663" s="140">
        <f>'Detailed Budget'!$AC$194</f>
        <v>2684962805.4134097</v>
      </c>
      <c r="DX663" s="269">
        <f t="shared" si="1709"/>
        <v>3584123.1018715259</v>
      </c>
      <c r="DY663" s="607">
        <f t="shared" si="1648"/>
        <v>107036390.16517976</v>
      </c>
      <c r="DZ663" s="196">
        <f>'Detailed Budget'!$AC$198</f>
        <v>18732540018.380611</v>
      </c>
      <c r="EA663" s="269">
        <f t="shared" si="1710"/>
        <v>19700901.292323198</v>
      </c>
      <c r="EB663" s="196">
        <f>'Detailed Budget'!$AC$200</f>
        <v>4683135004.5951529</v>
      </c>
      <c r="EC663" s="269">
        <f t="shared" si="1711"/>
        <v>4925225.3230807995</v>
      </c>
      <c r="ED663" s="269">
        <f t="shared" si="1649"/>
        <v>24626126.615403999</v>
      </c>
      <c r="EE663" s="196">
        <f>'Detailed Budget'!$AC$161</f>
        <v>251147290106.36197</v>
      </c>
      <c r="EF663" s="269">
        <f t="shared" si="1712"/>
        <v>335253360.91352105</v>
      </c>
      <c r="EG663" s="196">
        <f>'Detailed Budget'!$AC$163</f>
        <v>15696705631.647623</v>
      </c>
      <c r="EH663" s="269">
        <f t="shared" si="1713"/>
        <v>20953335.057095066</v>
      </c>
      <c r="EI663" s="269">
        <f t="shared" si="1650"/>
        <v>356206695.9706161</v>
      </c>
      <c r="EJ663" s="196">
        <f>'Detailed Budget'!$AC$204</f>
        <v>45012172507.531975</v>
      </c>
      <c r="EK663" s="269">
        <f t="shared" si="1714"/>
        <v>56695620.541232347</v>
      </c>
      <c r="EL663" s="201">
        <f>'Detailed Budget'!$AC$206</f>
        <v>11253043126.882994</v>
      </c>
      <c r="EM663" s="269">
        <f t="shared" si="1715"/>
        <v>14173905.135308087</v>
      </c>
      <c r="EN663" s="269">
        <f t="shared" si="1651"/>
        <v>70869525.676540434</v>
      </c>
      <c r="EO663" s="140">
        <f>'Detailed Budget'!$AC$209</f>
        <v>135789361677.54817</v>
      </c>
      <c r="EP663" s="269">
        <f t="shared" si="1716"/>
        <v>158693532.94922486</v>
      </c>
      <c r="EQ663" s="196">
        <f>'Detailed Budget'!$AC$211</f>
        <v>33947340419.387043</v>
      </c>
      <c r="ER663" s="269">
        <f t="shared" si="1717"/>
        <v>39673383.237306215</v>
      </c>
      <c r="ES663" s="269">
        <f t="shared" si="1652"/>
        <v>198366916.18653107</v>
      </c>
      <c r="ET663" s="196">
        <f>'Detailed Budget'!$AC$214</f>
        <v>22239745544.201103</v>
      </c>
      <c r="EU663" s="269">
        <f t="shared" si="1718"/>
        <v>25241743.003319681</v>
      </c>
      <c r="EV663" s="140">
        <f>'Detailed Budget'!$AC$217</f>
        <v>5559936386.0502758</v>
      </c>
      <c r="EW663" s="269">
        <f t="shared" si="1719"/>
        <v>6310435.7508299202</v>
      </c>
      <c r="EX663" s="269">
        <f t="shared" si="1653"/>
        <v>31552178.754149601</v>
      </c>
      <c r="EY663" s="196">
        <f>'Detailed Budget'!$AC$219</f>
        <v>372777004.58170313</v>
      </c>
      <c r="EZ663" s="269">
        <f t="shared" si="1720"/>
        <v>442925.09711350995</v>
      </c>
      <c r="FA663" s="196">
        <f>'Detailed Budget'!$AC$222</f>
        <v>93194251.145425782</v>
      </c>
      <c r="FB663" s="269">
        <f t="shared" si="1721"/>
        <v>110731.27427837749</v>
      </c>
      <c r="FC663" s="269">
        <f t="shared" si="1654"/>
        <v>553656.37139188743</v>
      </c>
      <c r="FD663" s="269"/>
      <c r="FE663" s="269">
        <f t="shared" si="1663"/>
        <v>301342276.98861301</v>
      </c>
      <c r="FF663" s="140">
        <f>'Detailed Budget'!$AC$165</f>
        <v>14927760000</v>
      </c>
      <c r="FG663" s="1087">
        <f t="shared" si="1749"/>
        <v>411050812.81898272</v>
      </c>
      <c r="FH663" s="269">
        <f t="shared" si="1722"/>
        <v>16961436.200431772</v>
      </c>
      <c r="FJ663" s="140">
        <f>'Detailed Budget'!$AC$235</f>
        <v>3623696172</v>
      </c>
      <c r="FK663" s="269">
        <f t="shared" si="1723"/>
        <v>4681778</v>
      </c>
      <c r="FL663" s="269">
        <f t="shared" si="1750"/>
        <v>4681778</v>
      </c>
      <c r="FO663" s="607"/>
      <c r="FP663" s="607"/>
      <c r="FQ663" s="607"/>
      <c r="FR663" s="269">
        <f>'Detailed Budget'!$AC$257</f>
        <v>13636439388</v>
      </c>
      <c r="FS663" s="269">
        <f t="shared" si="1724"/>
        <v>8494356</v>
      </c>
      <c r="FT663" s="269">
        <f t="shared" si="1751"/>
        <v>8494356</v>
      </c>
      <c r="FU663" s="269"/>
      <c r="FV663" s="269"/>
      <c r="FW663" s="269"/>
      <c r="FX663" s="140">
        <f>'Detailed Budget'!$AC$278</f>
        <v>1114560000</v>
      </c>
      <c r="FY663" s="269">
        <f t="shared" si="1725"/>
        <v>1440000</v>
      </c>
      <c r="FZ663" s="269">
        <f t="shared" si="1752"/>
        <v>1440000</v>
      </c>
      <c r="GB663" s="269">
        <f t="shared" si="1760"/>
        <v>2451239991.1705642</v>
      </c>
      <c r="GC663" s="887">
        <f t="shared" si="1668"/>
        <v>1532024.9944816027</v>
      </c>
      <c r="GD663" s="1078">
        <f t="shared" si="1761"/>
        <v>1.3754679463942598E-3</v>
      </c>
    </row>
    <row r="664" spans="1:186" hidden="1" outlineLevel="1">
      <c r="A664" s="211" t="s">
        <v>1429</v>
      </c>
      <c r="B664" s="212" t="s">
        <v>1430</v>
      </c>
      <c r="C664" s="213" t="s">
        <v>215</v>
      </c>
      <c r="D664" s="214"/>
      <c r="E664" s="213"/>
      <c r="F664" s="213"/>
      <c r="G664" s="213" t="s">
        <v>215</v>
      </c>
      <c r="H664" s="213" t="s">
        <v>215</v>
      </c>
      <c r="I664" s="214" t="s">
        <v>215</v>
      </c>
      <c r="J664" s="214"/>
      <c r="K664" s="213"/>
      <c r="L664" s="213"/>
      <c r="M664" s="214" t="s">
        <v>215</v>
      </c>
      <c r="N664" s="213"/>
      <c r="O664" s="214"/>
      <c r="P664" s="213"/>
      <c r="Q664" s="214" t="s">
        <v>215</v>
      </c>
      <c r="R664" s="214"/>
      <c r="S664" s="214"/>
      <c r="T664" s="214"/>
      <c r="U664" s="215">
        <f t="shared" si="1726"/>
        <v>6</v>
      </c>
      <c r="V664" s="845" t="s">
        <v>1073</v>
      </c>
      <c r="W664" s="216">
        <v>136149</v>
      </c>
      <c r="X664" s="217">
        <v>3.22</v>
      </c>
      <c r="Y664" s="218">
        <f t="shared" si="1598"/>
        <v>1.0322</v>
      </c>
      <c r="Z664" s="196">
        <v>19</v>
      </c>
      <c r="AA664" s="218">
        <f t="shared" si="1599"/>
        <v>1.8260524174418462</v>
      </c>
      <c r="AB664" s="196">
        <f t="shared" si="1746"/>
        <v>248615.21058228993</v>
      </c>
      <c r="AC664">
        <v>12.7</v>
      </c>
      <c r="AD664" s="196">
        <f t="shared" si="1747"/>
        <v>31574.13174395082</v>
      </c>
      <c r="AE664" s="196">
        <f t="shared" si="1600"/>
        <v>29995.425156753277</v>
      </c>
      <c r="AF664" s="196">
        <f t="shared" si="1727"/>
        <v>0</v>
      </c>
      <c r="AG664" s="606">
        <f t="shared" si="1671"/>
        <v>1.3868567768644626E-3</v>
      </c>
      <c r="AH664" s="196">
        <f t="shared" si="1744"/>
        <v>12430.760529114497</v>
      </c>
      <c r="AI664" s="248">
        <f t="shared" si="1644"/>
        <v>9.629921837486223E-4</v>
      </c>
      <c r="AJ664" s="196">
        <f t="shared" si="1672"/>
        <v>44004.892273065314</v>
      </c>
      <c r="AK664" s="196">
        <f t="shared" si="1698"/>
        <v>9944.6084232915982</v>
      </c>
      <c r="AL664" s="196">
        <f t="shared" si="1699"/>
        <v>9944.6084232915982</v>
      </c>
      <c r="AM664" s="196">
        <f t="shared" si="1656"/>
        <v>19889.216846583196</v>
      </c>
      <c r="AN664" s="627">
        <f t="shared" si="1657"/>
        <v>9.629921837486223E-4</v>
      </c>
      <c r="AO664" s="196">
        <f t="shared" si="1658"/>
        <v>9447.3780021270177</v>
      </c>
      <c r="AP664" s="589">
        <f t="shared" si="1673"/>
        <v>9.629921837486223E-4</v>
      </c>
      <c r="AQ664" s="196"/>
      <c r="AR664" s="589"/>
      <c r="AS664">
        <v>1</v>
      </c>
      <c r="AT664" s="589">
        <f t="shared" si="1674"/>
        <v>1.2919896640826874E-3</v>
      </c>
      <c r="AU664" s="196">
        <v>10</v>
      </c>
      <c r="AV664" s="245">
        <f t="shared" si="1645"/>
        <v>1.1362345188046814E-3</v>
      </c>
      <c r="AX664" s="245"/>
      <c r="AY664" s="245"/>
      <c r="AZ664" s="196">
        <v>15</v>
      </c>
      <c r="BA664" s="589">
        <f t="shared" si="1754"/>
        <v>5.4963174672969107E-4</v>
      </c>
      <c r="BI664" s="196">
        <v>1</v>
      </c>
      <c r="BJ664" s="196">
        <f t="shared" si="1728"/>
        <v>138119.57247013325</v>
      </c>
      <c r="BK664" s="246">
        <f t="shared" si="1755"/>
        <v>2.6338569141958245E-3</v>
      </c>
      <c r="BL664" s="196">
        <f t="shared" si="1745"/>
        <v>2762.3914494026649</v>
      </c>
      <c r="BM664" s="246">
        <f t="shared" si="1756"/>
        <v>2.6338566128394853E-3</v>
      </c>
      <c r="BN664" s="196">
        <v>0</v>
      </c>
      <c r="BO664" s="196">
        <f t="shared" si="1729"/>
        <v>12755.002374332127</v>
      </c>
      <c r="BP664" s="196">
        <f t="shared" si="1676"/>
        <v>0</v>
      </c>
      <c r="BQ664" s="248">
        <f t="shared" si="1757"/>
        <v>0</v>
      </c>
      <c r="BR664" s="248"/>
      <c r="BS664" s="248"/>
      <c r="BT664" s="276">
        <v>0</v>
      </c>
      <c r="BU664" s="196">
        <f t="shared" si="1730"/>
        <v>0</v>
      </c>
      <c r="BV664" s="264">
        <f t="shared" si="1758"/>
        <v>0</v>
      </c>
      <c r="BW664" s="196">
        <f t="shared" si="1731"/>
        <v>0</v>
      </c>
      <c r="BX664" s="247">
        <f t="shared" si="1759"/>
        <v>0</v>
      </c>
      <c r="BY664" s="196">
        <f t="shared" si="1732"/>
        <v>0</v>
      </c>
      <c r="BZ664" s="620">
        <v>1</v>
      </c>
      <c r="CA664" s="196">
        <f t="shared" si="1733"/>
        <v>76076.254438180738</v>
      </c>
      <c r="CB664" s="196">
        <f t="shared" si="1734"/>
        <v>152152.50887636148</v>
      </c>
      <c r="CC664" s="196">
        <f t="shared" si="1682"/>
        <v>228228.76331454222</v>
      </c>
      <c r="CD664" s="247">
        <f t="shared" si="1646"/>
        <v>9.6299218374862252E-4</v>
      </c>
      <c r="CE664" s="196">
        <f t="shared" si="1735"/>
        <v>17569.266409592903</v>
      </c>
      <c r="CF664" s="247">
        <f t="shared" si="1647"/>
        <v>7.5869556303014951E-4</v>
      </c>
      <c r="CG664" s="196">
        <f t="shared" si="1703"/>
        <v>37789.512008508071</v>
      </c>
      <c r="CH664" s="589">
        <f t="shared" si="1684"/>
        <v>9.629921837486223E-4</v>
      </c>
      <c r="CI664" s="196">
        <f t="shared" si="1736"/>
        <v>55270.820344249107</v>
      </c>
      <c r="CJ664" s="248">
        <f t="shared" si="1686"/>
        <v>9.0865214616356392E-4</v>
      </c>
      <c r="CK664" s="196">
        <f t="shared" si="1737"/>
        <v>58648.584217871408</v>
      </c>
      <c r="CL664" s="589">
        <f t="shared" si="1688"/>
        <v>8.4308546163100061E-4</v>
      </c>
      <c r="CM664" s="196">
        <f t="shared" si="1738"/>
        <v>5681.5837687248559</v>
      </c>
      <c r="CN664" s="589">
        <f t="shared" si="1690"/>
        <v>8.1878079029013018E-4</v>
      </c>
      <c r="CO664" s="196">
        <f t="shared" si="1739"/>
        <v>454.52008018427028</v>
      </c>
      <c r="CP664" s="589">
        <f t="shared" si="1692"/>
        <v>8.5715486224700486E-4</v>
      </c>
      <c r="CQ664" s="196">
        <f>'Detailed Budget'!$AC$12</f>
        <v>292876014141.44696</v>
      </c>
      <c r="CR664" s="269">
        <f t="shared" si="1701"/>
        <v>771393514.84856415</v>
      </c>
      <c r="CS664" s="269">
        <f>'Detailed Budget'!$AC$16</f>
        <v>10488008800.000002</v>
      </c>
      <c r="CT664" s="607">
        <f t="shared" si="1705"/>
        <v>27623911.333398718</v>
      </c>
      <c r="CU664" s="269">
        <f>'Detailed Budget'!$AC$24</f>
        <v>30624985696</v>
      </c>
      <c r="CV664" s="269">
        <f t="shared" si="1753"/>
        <v>80661830.322557822</v>
      </c>
      <c r="CW664" s="269"/>
      <c r="CX664" s="269">
        <f t="shared" si="1660"/>
        <v>879679256.50452065</v>
      </c>
      <c r="CY664" s="196">
        <f>'Detailed Budget'!$AC$97</f>
        <v>74629165494.837845</v>
      </c>
      <c r="CZ664" s="269">
        <f t="shared" si="1706"/>
        <v>0</v>
      </c>
      <c r="DA664" s="269">
        <f>'Detailed Budget'!$AC$100</f>
        <v>14925833098.967569</v>
      </c>
      <c r="DB664" s="269">
        <f t="shared" si="1707"/>
        <v>0</v>
      </c>
      <c r="DC664" s="269">
        <f t="shared" si="1661"/>
        <v>0</v>
      </c>
      <c r="DD664" s="207">
        <v>0</v>
      </c>
      <c r="DE664" s="606">
        <v>0</v>
      </c>
      <c r="DF664" s="269">
        <f>'Detailed Budget'!$AC$147</f>
        <v>5913600671000</v>
      </c>
      <c r="DG664" s="269">
        <f t="shared" si="1748"/>
        <v>0</v>
      </c>
      <c r="DH664" s="269">
        <f>'Detailed Budget'!$AC$153</f>
        <v>226428026880.00003</v>
      </c>
      <c r="DI664" s="269"/>
      <c r="DJ664" s="269">
        <f>'Detailed Budget'!$AC$156</f>
        <v>27713070000</v>
      </c>
      <c r="DK664" s="269"/>
      <c r="DL664" s="269"/>
      <c r="DM664" s="196">
        <f>'Detailed Budget'!$AC$178</f>
        <v>5622683761.6229038</v>
      </c>
      <c r="DN664" s="269">
        <f t="shared" si="1740"/>
        <v>0</v>
      </c>
      <c r="DO664" s="196">
        <f>'Detailed Budget'!$AC$179</f>
        <v>26827890683.128094</v>
      </c>
      <c r="DP664" s="269">
        <f t="shared" si="1741"/>
        <v>0</v>
      </c>
      <c r="DQ664" s="269">
        <f t="shared" si="1700"/>
        <v>0</v>
      </c>
      <c r="DR664" s="269">
        <f>'Detailed Budget'!$AC$181</f>
        <v>50888946855.375237</v>
      </c>
      <c r="DS664" s="269">
        <f t="shared" si="1742"/>
        <v>0</v>
      </c>
      <c r="DT664" s="269">
        <f t="shared" si="1743"/>
        <v>0</v>
      </c>
      <c r="DU664" s="272">
        <f>'Detailed Budget'!$AC$192</f>
        <v>77498869683.252869</v>
      </c>
      <c r="DV664" s="269">
        <f t="shared" si="1708"/>
        <v>74630805.754325598</v>
      </c>
      <c r="DW664" s="140">
        <f>'Detailed Budget'!$AC$194</f>
        <v>2684962805.4134097</v>
      </c>
      <c r="DX664" s="269">
        <f t="shared" si="1709"/>
        <v>2585598.1952688866</v>
      </c>
      <c r="DY664" s="607">
        <f t="shared" si="1648"/>
        <v>77216403.949594483</v>
      </c>
      <c r="DZ664" s="196">
        <f>'Detailed Budget'!$AC$198</f>
        <v>18732540018.380611</v>
      </c>
      <c r="EA664" s="269">
        <f t="shared" si="1710"/>
        <v>14212294.996230084</v>
      </c>
      <c r="EB664" s="196">
        <f>'Detailed Budget'!$AC$200</f>
        <v>4683135004.5951529</v>
      </c>
      <c r="EC664" s="269">
        <f t="shared" si="1711"/>
        <v>3553073.7490575211</v>
      </c>
      <c r="ED664" s="269">
        <f t="shared" si="1649"/>
        <v>17765368.745287605</v>
      </c>
      <c r="EE664" s="196">
        <f>'Detailed Budget'!$AC$161</f>
        <v>251147290106.36197</v>
      </c>
      <c r="EF664" s="269">
        <f t="shared" si="1712"/>
        <v>241852877.34207428</v>
      </c>
      <c r="EG664" s="196">
        <f>'Detailed Budget'!$AC$163</f>
        <v>15696705631.647623</v>
      </c>
      <c r="EH664" s="269">
        <f t="shared" si="1713"/>
        <v>15115804.833879642</v>
      </c>
      <c r="EI664" s="269">
        <f t="shared" si="1650"/>
        <v>256968682.17595392</v>
      </c>
      <c r="EJ664" s="196">
        <f>'Detailed Budget'!$AC$204</f>
        <v>45012172507.531975</v>
      </c>
      <c r="EK664" s="269">
        <f t="shared" si="1714"/>
        <v>40900407.152453497</v>
      </c>
      <c r="EL664" s="201">
        <f>'Detailed Budget'!$AC$206</f>
        <v>11253043126.882994</v>
      </c>
      <c r="EM664" s="269">
        <f t="shared" si="1715"/>
        <v>10225101.788113374</v>
      </c>
      <c r="EN664" s="269">
        <f t="shared" si="1651"/>
        <v>51125508.940566868</v>
      </c>
      <c r="EO664" s="140">
        <f>'Detailed Budget'!$AC$209</f>
        <v>135789361677.54817</v>
      </c>
      <c r="EP664" s="269">
        <f t="shared" si="1716"/>
        <v>114482036.67449461</v>
      </c>
      <c r="EQ664" s="196">
        <f>'Detailed Budget'!$AC$211</f>
        <v>33947340419.387043</v>
      </c>
      <c r="ER664" s="269">
        <f t="shared" si="1717"/>
        <v>28620509.168623652</v>
      </c>
      <c r="ES664" s="269">
        <f t="shared" si="1652"/>
        <v>143102545.84311825</v>
      </c>
      <c r="ET664" s="196">
        <f>'Detailed Budget'!$AC$214</f>
        <v>22239745544.201103</v>
      </c>
      <c r="EU664" s="269">
        <f t="shared" si="1718"/>
        <v>18209476.432532381</v>
      </c>
      <c r="EV664" s="140">
        <f>'Detailed Budget'!$AC$217</f>
        <v>5559936386.0502758</v>
      </c>
      <c r="EW664" s="269">
        <f t="shared" si="1719"/>
        <v>4552369.1081330953</v>
      </c>
      <c r="EX664" s="269">
        <f t="shared" si="1653"/>
        <v>22761845.540665478</v>
      </c>
      <c r="EY664" s="196">
        <f>'Detailed Budget'!$AC$219</f>
        <v>372777004.58170313</v>
      </c>
      <c r="EZ664" s="269">
        <f t="shared" si="1720"/>
        <v>319527.62201108085</v>
      </c>
      <c r="FA664" s="196">
        <f>'Detailed Budget'!$AC$222</f>
        <v>93194251.145425782</v>
      </c>
      <c r="FB664" s="269">
        <f t="shared" si="1721"/>
        <v>79881.905502770212</v>
      </c>
      <c r="FC664" s="269">
        <f t="shared" si="1654"/>
        <v>399409.52751385106</v>
      </c>
      <c r="FD664" s="269"/>
      <c r="FE664" s="269">
        <f t="shared" si="1663"/>
        <v>217389309.85186446</v>
      </c>
      <c r="FF664" s="140">
        <f>'Detailed Budget'!$AC$165</f>
        <v>14927760000</v>
      </c>
      <c r="FG664" s="1087">
        <f t="shared" si="1749"/>
        <v>296533408.47405624</v>
      </c>
      <c r="FH664" s="269">
        <f t="shared" si="1722"/>
        <v>16961436.200431772</v>
      </c>
      <c r="FJ664" s="140">
        <f>'Detailed Budget'!$AC$235</f>
        <v>3623696172</v>
      </c>
      <c r="FK664" s="269">
        <f t="shared" si="1723"/>
        <v>4681778</v>
      </c>
      <c r="FL664" s="269">
        <f t="shared" si="1750"/>
        <v>4681778</v>
      </c>
      <c r="FO664" s="607"/>
      <c r="FP664" s="607"/>
      <c r="FQ664" s="607"/>
      <c r="FR664" s="269">
        <f>'Detailed Budget'!$AC$257</f>
        <v>13636439388</v>
      </c>
      <c r="FS664" s="269">
        <f t="shared" si="1724"/>
        <v>7495019.9999999991</v>
      </c>
      <c r="FT664" s="269">
        <f t="shared" si="1751"/>
        <v>7495019.9999999991</v>
      </c>
      <c r="FU664" s="269"/>
      <c r="FV664" s="269"/>
      <c r="FW664" s="269"/>
      <c r="FX664" s="140">
        <f>'Detailed Budget'!$AC$278</f>
        <v>1114560000</v>
      </c>
      <c r="FY664" s="269">
        <f t="shared" si="1725"/>
        <v>1440000</v>
      </c>
      <c r="FZ664" s="269">
        <f t="shared" si="1752"/>
        <v>1440000</v>
      </c>
      <c r="GB664" s="269">
        <f t="shared" si="1760"/>
        <v>1776130663.9017091</v>
      </c>
      <c r="GC664" s="887">
        <f t="shared" si="1668"/>
        <v>1110081.6649385681</v>
      </c>
      <c r="GD664" s="1078">
        <f t="shared" si="1761"/>
        <v>9.9664284427659097E-4</v>
      </c>
    </row>
    <row r="665" spans="1:186" hidden="1" outlineLevel="1">
      <c r="A665" s="211" t="s">
        <v>1431</v>
      </c>
      <c r="B665" s="212" t="s">
        <v>1432</v>
      </c>
      <c r="C665" s="213" t="s">
        <v>215</v>
      </c>
      <c r="D665" s="214"/>
      <c r="E665" s="213"/>
      <c r="F665" s="213"/>
      <c r="G665" s="213" t="s">
        <v>215</v>
      </c>
      <c r="H665" s="213" t="s">
        <v>215</v>
      </c>
      <c r="I665" s="214" t="s">
        <v>215</v>
      </c>
      <c r="J665" s="214"/>
      <c r="K665" s="213"/>
      <c r="L665" s="213"/>
      <c r="M665" s="214" t="s">
        <v>215</v>
      </c>
      <c r="N665" s="213"/>
      <c r="O665" s="214"/>
      <c r="P665" s="213"/>
      <c r="Q665" s="214" t="s">
        <v>215</v>
      </c>
      <c r="R665" s="214"/>
      <c r="S665" s="214"/>
      <c r="T665" s="214"/>
      <c r="U665" s="215">
        <f t="shared" si="1726"/>
        <v>6</v>
      </c>
      <c r="V665" s="845" t="s">
        <v>1073</v>
      </c>
      <c r="W665" s="216">
        <v>311970</v>
      </c>
      <c r="X665" s="217">
        <v>3.22</v>
      </c>
      <c r="Y665" s="218">
        <f t="shared" si="1598"/>
        <v>1.0322</v>
      </c>
      <c r="Z665" s="196">
        <v>19</v>
      </c>
      <c r="AA665" s="218">
        <f t="shared" si="1599"/>
        <v>1.8260524174418462</v>
      </c>
      <c r="AB665" s="196">
        <f t="shared" si="1746"/>
        <v>569673.57266933273</v>
      </c>
      <c r="AC665">
        <v>12.7</v>
      </c>
      <c r="AD665" s="196">
        <f t="shared" si="1747"/>
        <v>72348.54372900525</v>
      </c>
      <c r="AE665" s="196">
        <f t="shared" si="1600"/>
        <v>68731.116542554984</v>
      </c>
      <c r="AF665" s="196">
        <f t="shared" si="1727"/>
        <v>0</v>
      </c>
      <c r="AG665" s="606">
        <f t="shared" si="1671"/>
        <v>3.1778250936724201E-3</v>
      </c>
      <c r="AH665" s="196">
        <f t="shared" si="1744"/>
        <v>28483.678633466639</v>
      </c>
      <c r="AI665" s="248">
        <f t="shared" si="1644"/>
        <v>2.2065874267461214E-3</v>
      </c>
      <c r="AJ665" s="196">
        <f t="shared" si="1672"/>
        <v>100832.22236247189</v>
      </c>
      <c r="AK665" s="196">
        <f t="shared" si="1698"/>
        <v>22786.942906773311</v>
      </c>
      <c r="AL665" s="196">
        <f t="shared" si="1699"/>
        <v>22786.942906773311</v>
      </c>
      <c r="AM665" s="196">
        <f t="shared" si="1656"/>
        <v>45573.885813546622</v>
      </c>
      <c r="AN665" s="627">
        <f t="shared" si="1657"/>
        <v>2.2065874267461214E-3</v>
      </c>
      <c r="AO665" s="196">
        <f t="shared" si="1658"/>
        <v>21647.595761434644</v>
      </c>
      <c r="AP665" s="589">
        <f t="shared" si="1673"/>
        <v>2.2065874267461214E-3</v>
      </c>
      <c r="AQ665" s="196"/>
      <c r="AR665" s="589"/>
      <c r="AS665">
        <v>1</v>
      </c>
      <c r="AT665" s="589">
        <f t="shared" si="1674"/>
        <v>1.2919896640826874E-3</v>
      </c>
      <c r="AU665" s="196">
        <v>12</v>
      </c>
      <c r="AV665" s="245">
        <f t="shared" si="1645"/>
        <v>1.3634814225656176E-3</v>
      </c>
      <c r="AX665" s="245"/>
      <c r="AY665" s="245"/>
      <c r="AZ665" s="196">
        <v>15</v>
      </c>
      <c r="BA665" s="589">
        <f t="shared" si="1754"/>
        <v>5.4963174672969107E-4</v>
      </c>
      <c r="BI665" s="196">
        <v>1</v>
      </c>
      <c r="BJ665" s="196">
        <f t="shared" si="1728"/>
        <v>316485.3434362901</v>
      </c>
      <c r="BK665" s="246">
        <f t="shared" si="1755"/>
        <v>6.0351845516432084E-3</v>
      </c>
      <c r="BL665" s="196">
        <f t="shared" si="1745"/>
        <v>6329.7068687258025</v>
      </c>
      <c r="BM665" s="246">
        <f t="shared" si="1756"/>
        <v>6.0351838611193186E-3</v>
      </c>
      <c r="BN665" s="196">
        <v>0</v>
      </c>
      <c r="BO665" s="196">
        <f t="shared" si="1729"/>
        <v>29226.642066562319</v>
      </c>
      <c r="BP665" s="196">
        <f t="shared" si="1676"/>
        <v>0</v>
      </c>
      <c r="BQ665" s="248">
        <f t="shared" si="1757"/>
        <v>0</v>
      </c>
      <c r="BR665" s="248"/>
      <c r="BS665" s="248"/>
      <c r="BT665" s="276">
        <v>0</v>
      </c>
      <c r="BU665" s="196">
        <f t="shared" si="1730"/>
        <v>0</v>
      </c>
      <c r="BV665" s="264">
        <f t="shared" si="1758"/>
        <v>0</v>
      </c>
      <c r="BW665" s="196">
        <f t="shared" si="1731"/>
        <v>0</v>
      </c>
      <c r="BX665" s="247">
        <f t="shared" si="1759"/>
        <v>0</v>
      </c>
      <c r="BY665" s="196">
        <f t="shared" si="1732"/>
        <v>0</v>
      </c>
      <c r="BZ665" s="620">
        <v>1</v>
      </c>
      <c r="CA665" s="196">
        <f t="shared" si="1733"/>
        <v>174320.11323681584</v>
      </c>
      <c r="CB665" s="196">
        <f t="shared" si="1734"/>
        <v>348640.22647363169</v>
      </c>
      <c r="CC665" s="196">
        <f t="shared" si="1682"/>
        <v>522960.33971044753</v>
      </c>
      <c r="CD665" s="247">
        <f t="shared" si="1646"/>
        <v>2.2065874267461214E-3</v>
      </c>
      <c r="CE665" s="196">
        <f t="shared" si="1735"/>
        <v>40257.982370790072</v>
      </c>
      <c r="CF665" s="247">
        <f t="shared" si="1647"/>
        <v>1.7384648789085173E-3</v>
      </c>
      <c r="CG665" s="196">
        <f t="shared" si="1703"/>
        <v>86590.383045738577</v>
      </c>
      <c r="CH665" s="589">
        <f t="shared" si="1684"/>
        <v>2.2065874267461214E-3</v>
      </c>
      <c r="CI665" s="196">
        <f t="shared" si="1736"/>
        <v>126646.81946099781</v>
      </c>
      <c r="CJ665" s="248">
        <f t="shared" si="1686"/>
        <v>2.0820733904666727E-3</v>
      </c>
      <c r="CK665" s="196">
        <f t="shared" si="1737"/>
        <v>134386.58248278973</v>
      </c>
      <c r="CL665" s="589">
        <f t="shared" si="1688"/>
        <v>1.9318347653308008E-3</v>
      </c>
      <c r="CM665" s="196">
        <f t="shared" si="1738"/>
        <v>13018.705156329412</v>
      </c>
      <c r="CN665" s="589">
        <f t="shared" si="1690"/>
        <v>1.876143366068145E-3</v>
      </c>
      <c r="CO665" s="196">
        <f t="shared" si="1739"/>
        <v>1041.4812405165428</v>
      </c>
      <c r="CP665" s="589">
        <f t="shared" si="1692"/>
        <v>1.9640732019713556E-3</v>
      </c>
      <c r="CQ665" s="196">
        <f>'Detailed Budget'!$AC$12</f>
        <v>292876014141.44696</v>
      </c>
      <c r="CR665" s="269">
        <f t="shared" si="1701"/>
        <v>1767560796.0932984</v>
      </c>
      <c r="CS665" s="269">
        <f>'Detailed Budget'!$AC$16</f>
        <v>10488008800.000002</v>
      </c>
      <c r="CT665" s="607">
        <f t="shared" si="1705"/>
        <v>63297061.445037402</v>
      </c>
      <c r="CU665" s="269">
        <f>'Detailed Budget'!$AC$24</f>
        <v>30624985696</v>
      </c>
      <c r="CV665" s="269">
        <f t="shared" si="1753"/>
        <v>184827440.56679344</v>
      </c>
      <c r="CW665" s="269"/>
      <c r="CX665" s="269">
        <f t="shared" si="1660"/>
        <v>2015685298.1051292</v>
      </c>
      <c r="CY665" s="196">
        <f>'Detailed Budget'!$AC$97</f>
        <v>74629165494.837845</v>
      </c>
      <c r="CZ665" s="269">
        <f t="shared" si="1706"/>
        <v>0</v>
      </c>
      <c r="DA665" s="269">
        <f>'Detailed Budget'!$AC$100</f>
        <v>14925833098.967569</v>
      </c>
      <c r="DB665" s="269">
        <f t="shared" si="1707"/>
        <v>0</v>
      </c>
      <c r="DC665" s="269">
        <f t="shared" si="1661"/>
        <v>0</v>
      </c>
      <c r="DD665" s="207">
        <v>0</v>
      </c>
      <c r="DE665" s="606">
        <v>0</v>
      </c>
      <c r="DF665" s="269">
        <f>'Detailed Budget'!$AC$147</f>
        <v>5913600671000</v>
      </c>
      <c r="DG665" s="269">
        <f t="shared" si="1748"/>
        <v>0</v>
      </c>
      <c r="DH665" s="269">
        <f>'Detailed Budget'!$AC$153</f>
        <v>226428026880.00003</v>
      </c>
      <c r="DI665" s="269"/>
      <c r="DJ665" s="269">
        <f>'Detailed Budget'!$AC$156</f>
        <v>27713070000</v>
      </c>
      <c r="DK665" s="269"/>
      <c r="DL665" s="269"/>
      <c r="DM665" s="196">
        <f>'Detailed Budget'!$AC$178</f>
        <v>5622683761.6229038</v>
      </c>
      <c r="DN665" s="269">
        <f t="shared" si="1740"/>
        <v>0</v>
      </c>
      <c r="DO665" s="196">
        <f>'Detailed Budget'!$AC$179</f>
        <v>26827890683.128094</v>
      </c>
      <c r="DP665" s="269">
        <f t="shared" si="1741"/>
        <v>0</v>
      </c>
      <c r="DQ665" s="269">
        <f t="shared" si="1700"/>
        <v>0</v>
      </c>
      <c r="DR665" s="269">
        <f>'Detailed Budget'!$AC$181</f>
        <v>50888946855.375237</v>
      </c>
      <c r="DS665" s="269">
        <f t="shared" si="1742"/>
        <v>0</v>
      </c>
      <c r="DT665" s="269">
        <f t="shared" si="1743"/>
        <v>0</v>
      </c>
      <c r="DU665" s="272">
        <f>'Detailed Budget'!$AC$192</f>
        <v>77498869683.252869</v>
      </c>
      <c r="DV665" s="269">
        <f t="shared" si="1708"/>
        <v>171008031.43010196</v>
      </c>
      <c r="DW665" s="140">
        <f>'Detailed Budget'!$AC$194</f>
        <v>2684962805.4134097</v>
      </c>
      <c r="DX665" s="269">
        <f t="shared" si="1709"/>
        <v>5924605.1677062232</v>
      </c>
      <c r="DY665" s="607">
        <f t="shared" si="1648"/>
        <v>176932636.59780818</v>
      </c>
      <c r="DZ665" s="196">
        <f>'Detailed Budget'!$AC$198</f>
        <v>18732540018.380611</v>
      </c>
      <c r="EA665" s="269">
        <f t="shared" si="1710"/>
        <v>32565862.914703004</v>
      </c>
      <c r="EB665" s="196">
        <f>'Detailed Budget'!$AC$200</f>
        <v>4683135004.5951529</v>
      </c>
      <c r="EC665" s="269">
        <f t="shared" si="1711"/>
        <v>8141465.728675751</v>
      </c>
      <c r="ED665" s="269">
        <f t="shared" si="1649"/>
        <v>40707328.643378757</v>
      </c>
      <c r="EE665" s="196">
        <f>'Detailed Budget'!$AC$161</f>
        <v>251147290106.36197</v>
      </c>
      <c r="EF665" s="269">
        <f t="shared" si="1712"/>
        <v>554178452.6100589</v>
      </c>
      <c r="EG665" s="196">
        <f>'Detailed Budget'!$AC$163</f>
        <v>15696705631.647623</v>
      </c>
      <c r="EH665" s="269">
        <f t="shared" si="1713"/>
        <v>34636153.288128681</v>
      </c>
      <c r="EI665" s="269">
        <f t="shared" si="1650"/>
        <v>588814605.89818764</v>
      </c>
      <c r="EJ665" s="196">
        <f>'Detailed Budget'!$AC$204</f>
        <v>45012172507.531975</v>
      </c>
      <c r="EK665" s="269">
        <f t="shared" si="1714"/>
        <v>93718646.62502785</v>
      </c>
      <c r="EL665" s="201">
        <f>'Detailed Budget'!$AC$206</f>
        <v>11253043126.882994</v>
      </c>
      <c r="EM665" s="269">
        <f t="shared" si="1715"/>
        <v>23429661.656256963</v>
      </c>
      <c r="EN665" s="269">
        <f t="shared" si="1651"/>
        <v>117148308.28128481</v>
      </c>
      <c r="EO665" s="140">
        <f>'Detailed Budget'!$AC$209</f>
        <v>135789361677.54817</v>
      </c>
      <c r="EP665" s="269">
        <f t="shared" si="1716"/>
        <v>262322609.65076551</v>
      </c>
      <c r="EQ665" s="196">
        <f>'Detailed Budget'!$AC$211</f>
        <v>33947340419.387043</v>
      </c>
      <c r="ER665" s="269">
        <f t="shared" si="1717"/>
        <v>65580652.412691377</v>
      </c>
      <c r="ES665" s="269">
        <f t="shared" si="1652"/>
        <v>327903262.06345689</v>
      </c>
      <c r="ET665" s="196">
        <f>'Detailed Budget'!$AC$214</f>
        <v>22239745544.201103</v>
      </c>
      <c r="EU665" s="269">
        <f t="shared" si="1718"/>
        <v>41724951.065796487</v>
      </c>
      <c r="EV665" s="140">
        <f>'Detailed Budget'!$AC$217</f>
        <v>5559936386.0502758</v>
      </c>
      <c r="EW665" s="269">
        <f t="shared" si="1719"/>
        <v>10431237.766449122</v>
      </c>
      <c r="EX665" s="269">
        <f t="shared" si="1653"/>
        <v>52156188.832245611</v>
      </c>
      <c r="EY665" s="196">
        <f>'Detailed Budget'!$AC$219</f>
        <v>372777004.58170313</v>
      </c>
      <c r="EZ665" s="269">
        <f t="shared" si="1720"/>
        <v>732161.3250100764</v>
      </c>
      <c r="FA665" s="196">
        <f>'Detailed Budget'!$AC$222</f>
        <v>93194251.145425782</v>
      </c>
      <c r="FB665" s="269">
        <f t="shared" si="1721"/>
        <v>183040.3312525191</v>
      </c>
      <c r="FC665" s="269">
        <f t="shared" si="1654"/>
        <v>915201.65626259544</v>
      </c>
      <c r="FD665" s="269"/>
      <c r="FE665" s="269">
        <f t="shared" si="1663"/>
        <v>498122960.83324987</v>
      </c>
      <c r="FF665" s="140">
        <f>'Detailed Budget'!$AC$165</f>
        <v>14927760000</v>
      </c>
      <c r="FG665" s="1087">
        <f t="shared" si="1749"/>
        <v>679472691.25481117</v>
      </c>
      <c r="FH665" s="269">
        <f t="shared" si="1722"/>
        <v>20353723.440518126</v>
      </c>
      <c r="FJ665" s="140">
        <f>'Detailed Budget'!$AC$235</f>
        <v>3623696172</v>
      </c>
      <c r="FK665" s="269">
        <f t="shared" si="1723"/>
        <v>4681778</v>
      </c>
      <c r="FL665" s="269">
        <f t="shared" si="1750"/>
        <v>4681778</v>
      </c>
      <c r="FO665" s="607"/>
      <c r="FP665" s="607"/>
      <c r="FQ665" s="607"/>
      <c r="FR665" s="269">
        <f>'Detailed Budget'!$AC$257</f>
        <v>13636439388</v>
      </c>
      <c r="FS665" s="269">
        <f t="shared" si="1724"/>
        <v>7495019.9999999991</v>
      </c>
      <c r="FT665" s="269">
        <f t="shared" si="1751"/>
        <v>7495019.9999999991</v>
      </c>
      <c r="FU665" s="269"/>
      <c r="FV665" s="269"/>
      <c r="FW665" s="269"/>
      <c r="FX665" s="140">
        <f>'Detailed Budget'!$AC$278</f>
        <v>1114560000</v>
      </c>
      <c r="FY665" s="269">
        <f t="shared" si="1725"/>
        <v>1440000</v>
      </c>
      <c r="FZ665" s="269">
        <f t="shared" si="1752"/>
        <v>1440000</v>
      </c>
      <c r="GB665" s="269">
        <f t="shared" si="1760"/>
        <v>4033706042.7730832</v>
      </c>
      <c r="GC665" s="887">
        <f t="shared" si="1668"/>
        <v>2521066.2767331768</v>
      </c>
      <c r="GD665" s="1078">
        <f t="shared" si="1761"/>
        <v>2.2634394783848594E-3</v>
      </c>
    </row>
    <row r="666" spans="1:186" hidden="1" outlineLevel="1">
      <c r="A666" s="211" t="s">
        <v>1433</v>
      </c>
      <c r="B666" s="212" t="s">
        <v>1434</v>
      </c>
      <c r="C666" s="213" t="s">
        <v>215</v>
      </c>
      <c r="D666" s="214"/>
      <c r="E666" s="213"/>
      <c r="F666" s="213"/>
      <c r="G666" s="213" t="s">
        <v>215</v>
      </c>
      <c r="H666" s="213" t="s">
        <v>215</v>
      </c>
      <c r="I666" s="214" t="s">
        <v>215</v>
      </c>
      <c r="J666" s="214"/>
      <c r="K666" s="213"/>
      <c r="L666" s="213"/>
      <c r="M666" s="214" t="s">
        <v>215</v>
      </c>
      <c r="N666" s="213"/>
      <c r="O666" s="214"/>
      <c r="P666" s="213"/>
      <c r="Q666" s="214" t="s">
        <v>215</v>
      </c>
      <c r="R666" s="214"/>
      <c r="S666" s="214"/>
      <c r="T666" s="214"/>
      <c r="U666" s="215">
        <f t="shared" si="1726"/>
        <v>6</v>
      </c>
      <c r="V666" s="845" t="s">
        <v>1073</v>
      </c>
      <c r="W666" s="216">
        <v>116538</v>
      </c>
      <c r="X666" s="217">
        <v>3.22</v>
      </c>
      <c r="Y666" s="218">
        <f t="shared" si="1598"/>
        <v>1.0322</v>
      </c>
      <c r="Z666" s="196">
        <v>19</v>
      </c>
      <c r="AA666" s="218">
        <f t="shared" si="1599"/>
        <v>1.8260524174418462</v>
      </c>
      <c r="AB666" s="196">
        <f t="shared" si="1746"/>
        <v>212804.49662383788</v>
      </c>
      <c r="AC666">
        <v>12.7</v>
      </c>
      <c r="AD666" s="196">
        <f t="shared" si="1747"/>
        <v>27026.171071227411</v>
      </c>
      <c r="AE666" s="196">
        <f t="shared" si="1600"/>
        <v>25674.862517666039</v>
      </c>
      <c r="AF666" s="196">
        <f t="shared" si="1727"/>
        <v>0</v>
      </c>
      <c r="AG666" s="606">
        <f t="shared" si="1671"/>
        <v>1.1870929280584561E-3</v>
      </c>
      <c r="AH666" s="196">
        <f t="shared" si="1744"/>
        <v>10640.224831191896</v>
      </c>
      <c r="AI666" s="248">
        <f t="shared" si="1644"/>
        <v>8.2428209615712899E-4</v>
      </c>
      <c r="AJ666" s="196">
        <f t="shared" si="1672"/>
        <v>37666.395902419303</v>
      </c>
      <c r="AK666" s="196">
        <f t="shared" si="1698"/>
        <v>8512.1798649535158</v>
      </c>
      <c r="AL666" s="196">
        <f t="shared" si="1699"/>
        <v>8512.1798649535158</v>
      </c>
      <c r="AM666" s="196">
        <f t="shared" si="1656"/>
        <v>17024.359729907032</v>
      </c>
      <c r="AN666" s="627">
        <f t="shared" si="1657"/>
        <v>8.2428209615712888E-4</v>
      </c>
      <c r="AO666" s="196">
        <f t="shared" si="1658"/>
        <v>8086.5708717058396</v>
      </c>
      <c r="AP666" s="589">
        <f t="shared" si="1673"/>
        <v>8.2428209615712888E-4</v>
      </c>
      <c r="AQ666" s="196"/>
      <c r="AR666" s="589"/>
      <c r="AS666">
        <v>1</v>
      </c>
      <c r="AT666" s="589">
        <f t="shared" si="1674"/>
        <v>1.2919896640826874E-3</v>
      </c>
      <c r="AU666" s="196">
        <v>10</v>
      </c>
      <c r="AV666" s="245">
        <f t="shared" si="1645"/>
        <v>1.1362345188046814E-3</v>
      </c>
      <c r="AX666" s="245"/>
      <c r="AY666" s="245"/>
      <c r="AZ666" s="196">
        <v>16</v>
      </c>
      <c r="BA666" s="589">
        <f t="shared" si="1754"/>
        <v>5.8627386317833719E-4</v>
      </c>
      <c r="BI666" s="196">
        <v>1</v>
      </c>
      <c r="BJ666" s="196">
        <f t="shared" si="1728"/>
        <v>118224.72979253897</v>
      </c>
      <c r="BK666" s="246">
        <f t="shared" si="1755"/>
        <v>2.2544742676520058E-3</v>
      </c>
      <c r="BL666" s="196">
        <f t="shared" si="1745"/>
        <v>2364.4945958507797</v>
      </c>
      <c r="BM666" s="246">
        <f t="shared" si="1756"/>
        <v>2.2544740097032515E-3</v>
      </c>
      <c r="BN666" s="196">
        <v>0</v>
      </c>
      <c r="BO666" s="196">
        <f t="shared" si="1729"/>
        <v>10917.762647539957</v>
      </c>
      <c r="BP666" s="196">
        <f t="shared" si="1676"/>
        <v>0</v>
      </c>
      <c r="BQ666" s="248">
        <f t="shared" si="1757"/>
        <v>0</v>
      </c>
      <c r="BR666" s="248"/>
      <c r="BS666" s="248"/>
      <c r="BT666" s="276">
        <v>0</v>
      </c>
      <c r="BU666" s="196">
        <f t="shared" si="1730"/>
        <v>0</v>
      </c>
      <c r="BV666" s="264">
        <f t="shared" si="1758"/>
        <v>0</v>
      </c>
      <c r="BW666" s="196">
        <f t="shared" si="1731"/>
        <v>0</v>
      </c>
      <c r="BX666" s="247">
        <f t="shared" si="1759"/>
        <v>0</v>
      </c>
      <c r="BY666" s="196">
        <f t="shared" si="1732"/>
        <v>0</v>
      </c>
      <c r="BZ666" s="620">
        <v>1</v>
      </c>
      <c r="CA666" s="196">
        <f t="shared" si="1733"/>
        <v>65118.1759668944</v>
      </c>
      <c r="CB666" s="196">
        <f t="shared" si="1734"/>
        <v>130236.3519337888</v>
      </c>
      <c r="CC666" s="196">
        <f t="shared" si="1682"/>
        <v>195354.5279006832</v>
      </c>
      <c r="CD666" s="247">
        <f t="shared" si="1646"/>
        <v>8.2428209615712899E-4</v>
      </c>
      <c r="CE666" s="196">
        <f t="shared" si="1735"/>
        <v>15038.576624441883</v>
      </c>
      <c r="CF666" s="247">
        <f t="shared" si="1647"/>
        <v>6.4941250779959874E-4</v>
      </c>
      <c r="CG666" s="196">
        <f t="shared" si="1703"/>
        <v>32346.283486823359</v>
      </c>
      <c r="CH666" s="589">
        <f t="shared" si="1684"/>
        <v>8.2428209615712888E-4</v>
      </c>
      <c r="CI666" s="196">
        <f t="shared" si="1736"/>
        <v>47309.571581709024</v>
      </c>
      <c r="CJ666" s="248">
        <f t="shared" si="1686"/>
        <v>7.7776923671572622E-4</v>
      </c>
      <c r="CK666" s="196">
        <f t="shared" si="1737"/>
        <v>50200.799914669209</v>
      </c>
      <c r="CL666" s="589">
        <f t="shared" si="1688"/>
        <v>7.2164682463737189E-4</v>
      </c>
      <c r="CM666" s="196">
        <f t="shared" si="1738"/>
        <v>4863.2043514066008</v>
      </c>
      <c r="CN666" s="589">
        <f t="shared" si="1690"/>
        <v>7.0084301565807459E-4</v>
      </c>
      <c r="CO666" s="196">
        <f t="shared" si="1739"/>
        <v>389.05068053760584</v>
      </c>
      <c r="CP666" s="589">
        <f t="shared" si="1692"/>
        <v>7.3368965865736415E-4</v>
      </c>
      <c r="CQ666" s="196">
        <f>'Detailed Budget'!$AC$12</f>
        <v>292876014141.44696</v>
      </c>
      <c r="CR666" s="269">
        <f t="shared" si="1701"/>
        <v>660281437.49437714</v>
      </c>
      <c r="CS666" s="269">
        <f>'Detailed Budget'!$AC$16</f>
        <v>10488008800.000002</v>
      </c>
      <c r="CT666" s="607">
        <f t="shared" si="1705"/>
        <v>23644943.253138989</v>
      </c>
      <c r="CU666" s="269">
        <f>'Detailed Budget'!$AC$24</f>
        <v>30624985696</v>
      </c>
      <c r="CV666" s="269">
        <f t="shared" si="1753"/>
        <v>69043242.198842749</v>
      </c>
      <c r="CW666" s="269"/>
      <c r="CX666" s="269">
        <f t="shared" si="1660"/>
        <v>752969622.94635892</v>
      </c>
      <c r="CY666" s="196">
        <f>'Detailed Budget'!$AC$97</f>
        <v>74629165494.837845</v>
      </c>
      <c r="CZ666" s="269">
        <f t="shared" si="1706"/>
        <v>0</v>
      </c>
      <c r="DA666" s="269">
        <f>'Detailed Budget'!$AC$100</f>
        <v>14925833098.967569</v>
      </c>
      <c r="DB666" s="269">
        <f t="shared" si="1707"/>
        <v>0</v>
      </c>
      <c r="DC666" s="269">
        <f t="shared" si="1661"/>
        <v>0</v>
      </c>
      <c r="DD666" s="207">
        <v>0</v>
      </c>
      <c r="DE666" s="606">
        <v>0</v>
      </c>
      <c r="DF666" s="269">
        <f>'Detailed Budget'!$AC$147</f>
        <v>5913600671000</v>
      </c>
      <c r="DG666" s="269">
        <f t="shared" si="1748"/>
        <v>0</v>
      </c>
      <c r="DH666" s="269">
        <f>'Detailed Budget'!$AC$153</f>
        <v>226428026880.00003</v>
      </c>
      <c r="DI666" s="269"/>
      <c r="DJ666" s="269">
        <f>'Detailed Budget'!$AC$156</f>
        <v>27713070000</v>
      </c>
      <c r="DK666" s="269"/>
      <c r="DL666" s="269"/>
      <c r="DM666" s="196">
        <f>'Detailed Budget'!$AC$178</f>
        <v>5622683761.6229038</v>
      </c>
      <c r="DN666" s="269">
        <f t="shared" si="1740"/>
        <v>0</v>
      </c>
      <c r="DO666" s="196">
        <f>'Detailed Budget'!$AC$179</f>
        <v>26827890683.128094</v>
      </c>
      <c r="DP666" s="269">
        <f t="shared" si="1741"/>
        <v>0</v>
      </c>
      <c r="DQ666" s="269">
        <f t="shared" si="1700"/>
        <v>0</v>
      </c>
      <c r="DR666" s="269">
        <f>'Detailed Budget'!$AC$181</f>
        <v>50888946855.375237</v>
      </c>
      <c r="DS666" s="269">
        <f t="shared" si="1742"/>
        <v>0</v>
      </c>
      <c r="DT666" s="269">
        <f t="shared" si="1743"/>
        <v>0</v>
      </c>
      <c r="DU666" s="272">
        <f>'Detailed Budget'!$AC$192</f>
        <v>77498869683.252869</v>
      </c>
      <c r="DV666" s="269">
        <f t="shared" si="1708"/>
        <v>63880930.75231985</v>
      </c>
      <c r="DW666" s="140">
        <f>'Detailed Budget'!$AC$194</f>
        <v>2684962805.4134097</v>
      </c>
      <c r="DX666" s="269">
        <f t="shared" si="1709"/>
        <v>2213166.7693500905</v>
      </c>
      <c r="DY666" s="607">
        <f t="shared" si="1648"/>
        <v>66094097.521669939</v>
      </c>
      <c r="DZ666" s="196">
        <f>'Detailed Budget'!$AC$198</f>
        <v>18732540018.380611</v>
      </c>
      <c r="EA666" s="269">
        <f t="shared" si="1710"/>
        <v>12165145.790792894</v>
      </c>
      <c r="EB666" s="196">
        <f>'Detailed Budget'!$AC$200</f>
        <v>4683135004.5951529</v>
      </c>
      <c r="EC666" s="269">
        <f t="shared" si="1711"/>
        <v>3041286.4476982234</v>
      </c>
      <c r="ED666" s="269">
        <f t="shared" si="1649"/>
        <v>15206432.238491118</v>
      </c>
      <c r="EE666" s="196">
        <f>'Detailed Budget'!$AC$161</f>
        <v>251147290106.36197</v>
      </c>
      <c r="EF666" s="269">
        <f t="shared" si="1712"/>
        <v>207016214.73305461</v>
      </c>
      <c r="EG666" s="196">
        <f>'Detailed Budget'!$AC$163</f>
        <v>15696705631.647623</v>
      </c>
      <c r="EH666" s="269">
        <f t="shared" si="1713"/>
        <v>12938513.420815913</v>
      </c>
      <c r="EI666" s="269">
        <f t="shared" si="1650"/>
        <v>219954728.15387052</v>
      </c>
      <c r="EJ666" s="196">
        <f>'Detailed Budget'!$AC$204</f>
        <v>45012172507.531975</v>
      </c>
      <c r="EK666" s="269">
        <f t="shared" si="1714"/>
        <v>35009083.054099739</v>
      </c>
      <c r="EL666" s="201">
        <f>'Detailed Budget'!$AC$206</f>
        <v>11253043126.882994</v>
      </c>
      <c r="EM666" s="269">
        <f t="shared" si="1715"/>
        <v>8752270.7635249346</v>
      </c>
      <c r="EN666" s="269">
        <f t="shared" si="1651"/>
        <v>43761353.817624673</v>
      </c>
      <c r="EO666" s="140">
        <f>'Detailed Budget'!$AC$209</f>
        <v>135789361677.54817</v>
      </c>
      <c r="EP666" s="269">
        <f t="shared" si="1716"/>
        <v>97991961.674138278</v>
      </c>
      <c r="EQ666" s="196">
        <f>'Detailed Budget'!$AC$211</f>
        <v>33947340419.387043</v>
      </c>
      <c r="ER666" s="269">
        <f t="shared" si="1717"/>
        <v>24497990.418534569</v>
      </c>
      <c r="ES666" s="269">
        <f t="shared" si="1652"/>
        <v>122489952.09267285</v>
      </c>
      <c r="ET666" s="196">
        <f>'Detailed Budget'!$AC$214</f>
        <v>22239745544.201103</v>
      </c>
      <c r="EU666" s="269">
        <f t="shared" si="1718"/>
        <v>15586570.334666129</v>
      </c>
      <c r="EV666" s="140">
        <f>'Detailed Budget'!$AC$217</f>
        <v>5559936386.0502758</v>
      </c>
      <c r="EW666" s="269">
        <f t="shared" si="1719"/>
        <v>3896642.5836665323</v>
      </c>
      <c r="EX666" s="269">
        <f t="shared" si="1653"/>
        <v>19483212.918332662</v>
      </c>
      <c r="EY666" s="196">
        <f>'Detailed Budget'!$AC$219</f>
        <v>372777004.58170313</v>
      </c>
      <c r="EZ666" s="269">
        <f t="shared" si="1720"/>
        <v>273502.63324686443</v>
      </c>
      <c r="FA666" s="196">
        <f>'Detailed Budget'!$AC$222</f>
        <v>93194251.145425782</v>
      </c>
      <c r="FB666" s="269">
        <f t="shared" si="1721"/>
        <v>68375.658311716106</v>
      </c>
      <c r="FC666" s="269">
        <f t="shared" si="1654"/>
        <v>341878.29155858053</v>
      </c>
      <c r="FD666" s="269"/>
      <c r="FE666" s="269">
        <f t="shared" si="1663"/>
        <v>186076397.12018877</v>
      </c>
      <c r="FF666" s="140">
        <f>'Detailed Budget'!$AC$165</f>
        <v>14927760000</v>
      </c>
      <c r="FG666" s="1087">
        <f t="shared" si="1749"/>
        <v>253820522.78569484</v>
      </c>
      <c r="FH666" s="269">
        <f t="shared" si="1722"/>
        <v>16961436.200431772</v>
      </c>
      <c r="FJ666" s="140">
        <f>'Detailed Budget'!$AC$235</f>
        <v>3623696172</v>
      </c>
      <c r="FK666" s="269">
        <f t="shared" si="1723"/>
        <v>4681778</v>
      </c>
      <c r="FL666" s="269">
        <f t="shared" si="1750"/>
        <v>4681778</v>
      </c>
      <c r="FO666" s="607"/>
      <c r="FP666" s="607"/>
      <c r="FQ666" s="607"/>
      <c r="FR666" s="269">
        <f>'Detailed Budget'!$AC$257</f>
        <v>13636439388</v>
      </c>
      <c r="FS666" s="269">
        <f t="shared" si="1724"/>
        <v>7994688</v>
      </c>
      <c r="FT666" s="269">
        <f t="shared" si="1751"/>
        <v>7994688</v>
      </c>
      <c r="FU666" s="269"/>
      <c r="FV666" s="269"/>
      <c r="FW666" s="269"/>
      <c r="FX666" s="140">
        <f>'Detailed Budget'!$AC$278</f>
        <v>1114560000</v>
      </c>
      <c r="FY666" s="269">
        <f t="shared" si="1725"/>
        <v>1440000</v>
      </c>
      <c r="FZ666" s="269">
        <f t="shared" si="1752"/>
        <v>1440000</v>
      </c>
      <c r="GB666" s="269">
        <f t="shared" si="1760"/>
        <v>1525199702.966706</v>
      </c>
      <c r="GC666" s="887">
        <f t="shared" si="1668"/>
        <v>953249.8143541913</v>
      </c>
      <c r="GD666" s="1078">
        <f t="shared" si="1761"/>
        <v>8.558375805050966E-4</v>
      </c>
    </row>
    <row r="667" spans="1:186" hidden="1" outlineLevel="1">
      <c r="A667" s="211"/>
      <c r="B667" s="212"/>
      <c r="C667" s="213"/>
      <c r="D667" s="214"/>
      <c r="E667" s="213"/>
      <c r="F667" s="213"/>
      <c r="G667" s="213"/>
      <c r="H667" s="213"/>
      <c r="I667" s="214"/>
      <c r="J667" s="214"/>
      <c r="K667" s="213"/>
      <c r="L667" s="213"/>
      <c r="M667" s="214"/>
      <c r="N667" s="213"/>
      <c r="O667" s="214"/>
      <c r="P667" s="213"/>
      <c r="Q667" s="214"/>
      <c r="R667" s="214"/>
      <c r="S667" s="214"/>
      <c r="T667" s="214"/>
      <c r="U667" s="215"/>
      <c r="V667" s="845"/>
      <c r="W667" s="216"/>
      <c r="X667" s="217"/>
      <c r="Y667" s="218"/>
      <c r="Z667" s="196"/>
      <c r="AA667" s="218"/>
      <c r="AF667" s="196">
        <f t="shared" si="1727"/>
        <v>0</v>
      </c>
      <c r="AG667" s="606">
        <f t="shared" si="1671"/>
        <v>0</v>
      </c>
      <c r="AJ667" s="196"/>
      <c r="AK667" s="196"/>
      <c r="AL667" s="196"/>
      <c r="AM667" s="196"/>
      <c r="AO667" s="196"/>
      <c r="AP667" s="589"/>
      <c r="AQ667" s="196"/>
      <c r="AR667" s="589"/>
      <c r="AS667"/>
      <c r="AT667" s="589">
        <f t="shared" si="1674"/>
        <v>0</v>
      </c>
      <c r="AV667" s="245">
        <f t="shared" si="1645"/>
        <v>0</v>
      </c>
      <c r="AX667" s="245"/>
      <c r="AY667" s="245"/>
      <c r="BA667" s="589">
        <f t="shared" si="1754"/>
        <v>0</v>
      </c>
      <c r="BK667" s="246">
        <f t="shared" si="1755"/>
        <v>0</v>
      </c>
      <c r="BL667" s="246"/>
      <c r="BM667" s="246">
        <f t="shared" si="1756"/>
        <v>0</v>
      </c>
      <c r="BN667" s="196"/>
      <c r="BQ667" s="248">
        <f t="shared" si="1757"/>
        <v>0</v>
      </c>
      <c r="BR667" s="248"/>
      <c r="BS667" s="248"/>
      <c r="BT667" s="276"/>
      <c r="BV667" s="264">
        <f t="shared" si="1758"/>
        <v>0</v>
      </c>
      <c r="BX667" s="247">
        <f t="shared" si="1759"/>
        <v>0</v>
      </c>
      <c r="BY667" s="196"/>
      <c r="BZ667" s="620"/>
      <c r="CA667" s="196">
        <f t="shared" si="1733"/>
        <v>0</v>
      </c>
      <c r="CB667" s="196">
        <f t="shared" si="1734"/>
        <v>0</v>
      </c>
      <c r="CC667" s="196">
        <f t="shared" si="1682"/>
        <v>0</v>
      </c>
      <c r="CD667" s="247">
        <f t="shared" si="1646"/>
        <v>0</v>
      </c>
      <c r="CF667" s="247">
        <f t="shared" si="1647"/>
        <v>0</v>
      </c>
      <c r="CG667" s="196">
        <f t="shared" si="1703"/>
        <v>0</v>
      </c>
      <c r="CH667" s="589">
        <f t="shared" si="1684"/>
        <v>0</v>
      </c>
      <c r="CI667" s="196"/>
      <c r="CJ667" s="248">
        <f t="shared" si="1686"/>
        <v>0</v>
      </c>
      <c r="CK667" s="196"/>
      <c r="CL667" s="589">
        <f t="shared" si="1688"/>
        <v>0</v>
      </c>
      <c r="CM667" s="196"/>
      <c r="CN667" s="589">
        <f t="shared" si="1690"/>
        <v>0</v>
      </c>
      <c r="CO667" s="196"/>
      <c r="CP667" s="589">
        <f t="shared" si="1692"/>
        <v>0</v>
      </c>
      <c r="CQ667" s="196"/>
      <c r="CR667" s="269">
        <f t="shared" si="1701"/>
        <v>0</v>
      </c>
      <c r="CS667" s="269">
        <f>'Detailed Budget'!$AC$16</f>
        <v>10488008800.000002</v>
      </c>
      <c r="CT667" s="607">
        <f t="shared" si="1705"/>
        <v>0</v>
      </c>
      <c r="CU667" s="269">
        <f>'Detailed Budget'!$AC$24</f>
        <v>30624985696</v>
      </c>
      <c r="CV667" s="269">
        <f t="shared" si="1753"/>
        <v>0</v>
      </c>
      <c r="CW667" s="269"/>
      <c r="CX667" s="269">
        <f t="shared" si="1660"/>
        <v>0</v>
      </c>
      <c r="CY667" s="196">
        <f>'Detailed Budget'!$AC$97</f>
        <v>74629165494.837845</v>
      </c>
      <c r="CZ667" s="269">
        <f t="shared" si="1706"/>
        <v>0</v>
      </c>
      <c r="DA667" s="269">
        <f>'Detailed Budget'!$AC$100</f>
        <v>14925833098.967569</v>
      </c>
      <c r="DB667" s="269">
        <f t="shared" si="1707"/>
        <v>0</v>
      </c>
      <c r="DC667" s="269"/>
      <c r="DD667" s="207"/>
      <c r="DE667" s="606">
        <v>0</v>
      </c>
      <c r="DF667" s="269">
        <f>'Detailed Budget'!$AC$147</f>
        <v>5913600671000</v>
      </c>
      <c r="DG667" s="269">
        <f t="shared" si="1748"/>
        <v>0</v>
      </c>
      <c r="DH667" s="269">
        <f>'Detailed Budget'!$AC$153</f>
        <v>226428026880.00003</v>
      </c>
      <c r="DI667" s="269"/>
      <c r="DJ667" s="269">
        <f>'Detailed Budget'!$AC$156</f>
        <v>27713070000</v>
      </c>
      <c r="DK667" s="269"/>
      <c r="DL667" s="269"/>
      <c r="DM667" s="196"/>
      <c r="DN667" s="269"/>
      <c r="DO667" s="196"/>
      <c r="DP667" s="269"/>
      <c r="DQ667" s="269"/>
      <c r="DR667" s="269"/>
      <c r="DS667" s="269"/>
      <c r="DT667" s="269"/>
      <c r="DU667" s="272">
        <f>'Detailed Budget'!$AC$192</f>
        <v>77498869683.252869</v>
      </c>
      <c r="DV667" s="269">
        <f t="shared" si="1708"/>
        <v>0</v>
      </c>
      <c r="DW667" s="140">
        <f>'Detailed Budget'!$AC$194</f>
        <v>2684962805.4134097</v>
      </c>
      <c r="DX667" s="269">
        <f t="shared" si="1709"/>
        <v>0</v>
      </c>
      <c r="DY667" s="607">
        <f t="shared" si="1648"/>
        <v>0</v>
      </c>
      <c r="DZ667" s="196"/>
      <c r="EA667" s="269"/>
      <c r="EB667" s="196">
        <f>'Detailed Budget'!$AC$200</f>
        <v>4683135004.5951529</v>
      </c>
      <c r="EC667" s="269">
        <f t="shared" si="1711"/>
        <v>0</v>
      </c>
      <c r="ED667" s="269">
        <f t="shared" si="1649"/>
        <v>0</v>
      </c>
      <c r="EE667" s="196">
        <f>'Detailed Budget'!$AC$161</f>
        <v>251147290106.36197</v>
      </c>
      <c r="EF667" s="269">
        <f t="shared" si="1712"/>
        <v>0</v>
      </c>
      <c r="EG667" s="196">
        <f>'Detailed Budget'!$AC$163</f>
        <v>15696705631.647623</v>
      </c>
      <c r="EH667" s="269">
        <f t="shared" si="1713"/>
        <v>0</v>
      </c>
      <c r="EI667" s="269">
        <f t="shared" si="1650"/>
        <v>0</v>
      </c>
      <c r="EJ667" s="196">
        <f>'Detailed Budget'!$AC$204</f>
        <v>45012172507.531975</v>
      </c>
      <c r="EK667" s="269">
        <f t="shared" si="1714"/>
        <v>0</v>
      </c>
      <c r="EL667" s="201">
        <f>'Detailed Budget'!$AC$206</f>
        <v>11253043126.882994</v>
      </c>
      <c r="EM667" s="269">
        <f t="shared" si="1715"/>
        <v>0</v>
      </c>
      <c r="EN667" s="269">
        <f t="shared" si="1651"/>
        <v>0</v>
      </c>
      <c r="EO667" s="140">
        <f>'Detailed Budget'!$AC$209</f>
        <v>135789361677.54817</v>
      </c>
      <c r="EP667" s="269">
        <f t="shared" si="1716"/>
        <v>0</v>
      </c>
      <c r="EQ667" s="196">
        <f>'Detailed Budget'!$AC$211</f>
        <v>33947340419.387043</v>
      </c>
      <c r="ER667" s="269">
        <f t="shared" si="1717"/>
        <v>0</v>
      </c>
      <c r="ES667" s="269">
        <f t="shared" si="1652"/>
        <v>0</v>
      </c>
      <c r="ET667" s="196">
        <f>'Detailed Budget'!$AC$214</f>
        <v>22239745544.201103</v>
      </c>
      <c r="EU667" s="269">
        <f t="shared" si="1718"/>
        <v>0</v>
      </c>
      <c r="EV667" s="140">
        <f>'Detailed Budget'!$AC$217</f>
        <v>5559936386.0502758</v>
      </c>
      <c r="EW667" s="269">
        <f t="shared" si="1719"/>
        <v>0</v>
      </c>
      <c r="EX667" s="269">
        <f t="shared" si="1653"/>
        <v>0</v>
      </c>
      <c r="EY667" s="196">
        <f>'Detailed Budget'!$AC$219</f>
        <v>372777004.58170313</v>
      </c>
      <c r="EZ667" s="269">
        <f t="shared" si="1720"/>
        <v>0</v>
      </c>
      <c r="FA667" s="196">
        <f>'Detailed Budget'!$AC$222</f>
        <v>93194251.145425782</v>
      </c>
      <c r="FB667" s="269">
        <f t="shared" si="1721"/>
        <v>0</v>
      </c>
      <c r="FC667" s="269">
        <f t="shared" si="1654"/>
        <v>0</v>
      </c>
      <c r="FD667" s="269"/>
      <c r="FE667" s="269">
        <f t="shared" si="1663"/>
        <v>0</v>
      </c>
      <c r="FF667" s="140">
        <f>'Detailed Budget'!$AC$165</f>
        <v>14927760000</v>
      </c>
      <c r="FG667" s="1087">
        <f t="shared" si="1749"/>
        <v>0</v>
      </c>
      <c r="FH667" s="269">
        <f t="shared" si="1722"/>
        <v>0</v>
      </c>
      <c r="FJ667" s="140">
        <f>'Detailed Budget'!$AC$235</f>
        <v>3623696172</v>
      </c>
      <c r="FK667" s="269">
        <f t="shared" si="1723"/>
        <v>0</v>
      </c>
      <c r="FL667" s="269">
        <f t="shared" si="1750"/>
        <v>0</v>
      </c>
      <c r="FO667" s="607"/>
      <c r="FP667" s="607"/>
      <c r="FQ667" s="607"/>
      <c r="FT667" s="269">
        <f t="shared" si="1751"/>
        <v>0</v>
      </c>
      <c r="FU667" s="269"/>
      <c r="FV667" s="269"/>
      <c r="FW667" s="269"/>
      <c r="FX667" s="140">
        <f>'Detailed Budget'!$AC$278</f>
        <v>1114560000</v>
      </c>
      <c r="FY667" s="269"/>
      <c r="FZ667" s="269"/>
      <c r="GB667" s="269">
        <f t="shared" si="1760"/>
        <v>0</v>
      </c>
      <c r="GD667" s="1078">
        <f t="shared" si="1761"/>
        <v>0</v>
      </c>
    </row>
    <row r="668" spans="1:186" s="210" customFormat="1" collapsed="1">
      <c r="A668" s="203">
        <v>5.5</v>
      </c>
      <c r="B668" s="204" t="s">
        <v>1435</v>
      </c>
      <c r="C668" s="205">
        <f>COUNTA(C669:C686)</f>
        <v>18</v>
      </c>
      <c r="D668" s="205">
        <f t="shared" ref="D668:T668" si="1762">COUNTA(D669:D686)</f>
        <v>0</v>
      </c>
      <c r="E668" s="205">
        <f t="shared" si="1762"/>
        <v>0</v>
      </c>
      <c r="F668" s="205">
        <f t="shared" si="1762"/>
        <v>0</v>
      </c>
      <c r="G668" s="205">
        <f t="shared" si="1762"/>
        <v>18</v>
      </c>
      <c r="H668" s="205">
        <f t="shared" si="1762"/>
        <v>18</v>
      </c>
      <c r="I668" s="205">
        <f t="shared" si="1762"/>
        <v>18</v>
      </c>
      <c r="J668" s="205">
        <f t="shared" si="1762"/>
        <v>0</v>
      </c>
      <c r="K668" s="205">
        <f t="shared" si="1762"/>
        <v>0</v>
      </c>
      <c r="L668" s="205">
        <f t="shared" si="1762"/>
        <v>0</v>
      </c>
      <c r="M668" s="205">
        <f t="shared" si="1762"/>
        <v>5</v>
      </c>
      <c r="N668" s="205">
        <f t="shared" si="1762"/>
        <v>13</v>
      </c>
      <c r="O668" s="205">
        <f t="shared" si="1762"/>
        <v>0</v>
      </c>
      <c r="P668" s="205">
        <f t="shared" si="1762"/>
        <v>0</v>
      </c>
      <c r="Q668" s="205">
        <f t="shared" si="1762"/>
        <v>4</v>
      </c>
      <c r="R668" s="205">
        <f t="shared" si="1762"/>
        <v>14</v>
      </c>
      <c r="S668" s="205">
        <f t="shared" si="1762"/>
        <v>0</v>
      </c>
      <c r="T668" s="205">
        <f t="shared" si="1762"/>
        <v>0</v>
      </c>
      <c r="U668" s="206">
        <f>SUM(C668:T668)</f>
        <v>108</v>
      </c>
      <c r="V668" s="844"/>
      <c r="W668" s="207">
        <f>SUM(W669:W686)</f>
        <v>3233366</v>
      </c>
      <c r="X668" s="208">
        <v>2.78</v>
      </c>
      <c r="Y668" s="209">
        <f t="shared" si="1598"/>
        <v>1.0278</v>
      </c>
      <c r="Z668" s="207">
        <v>19</v>
      </c>
      <c r="AA668" s="209">
        <f t="shared" si="1599"/>
        <v>1.6836958972696243</v>
      </c>
      <c r="AB668" s="207">
        <f t="shared" si="1746"/>
        <v>5444005.0685710963</v>
      </c>
      <c r="AC668" s="210">
        <v>12.7</v>
      </c>
      <c r="AD668" s="207">
        <f t="shared" si="1747"/>
        <v>691388.64370852918</v>
      </c>
      <c r="AE668" s="207">
        <f t="shared" si="1600"/>
        <v>656819.21152310271</v>
      </c>
      <c r="AF668" s="207">
        <f>SUM(AF669:AF686)</f>
        <v>0</v>
      </c>
      <c r="AG668" s="588">
        <f t="shared" si="1671"/>
        <v>3.0368436850460895E-2</v>
      </c>
      <c r="AH668" s="207">
        <f>SUM(AH669:AH686)</f>
        <v>272200.25342855486</v>
      </c>
      <c r="AI668" s="633">
        <f t="shared" si="1644"/>
        <v>2.1086941209442236E-2</v>
      </c>
      <c r="AJ668" s="207">
        <f>SUM(AJ669:AJ686)</f>
        <v>963588.89713708416</v>
      </c>
      <c r="AK668" s="207">
        <f t="shared" si="1698"/>
        <v>217760.20274284386</v>
      </c>
      <c r="AL668" s="207">
        <f t="shared" si="1699"/>
        <v>217760.20274284386</v>
      </c>
      <c r="AM668" s="207">
        <f t="shared" si="1656"/>
        <v>435520.40548568772</v>
      </c>
      <c r="AN668" s="632">
        <f t="shared" si="1657"/>
        <v>2.1086941209442232E-2</v>
      </c>
      <c r="AO668" s="207">
        <f t="shared" si="1658"/>
        <v>206872.19260570165</v>
      </c>
      <c r="AP668" s="588">
        <f t="shared" si="1673"/>
        <v>2.1086941209442232E-2</v>
      </c>
      <c r="AQ668" s="207">
        <v>1</v>
      </c>
      <c r="AR668" s="588">
        <f>AQ668/37</f>
        <v>2.7027027027027029E-2</v>
      </c>
      <c r="AS668" s="207">
        <f>SUM(AS669:AS686)</f>
        <v>18</v>
      </c>
      <c r="AT668" s="588">
        <f t="shared" si="1674"/>
        <v>2.3255813953488372E-2</v>
      </c>
      <c r="AU668" s="207">
        <f>SUM(AU669:AU686)</f>
        <v>192</v>
      </c>
      <c r="AV668" s="892">
        <f t="shared" si="1645"/>
        <v>2.1815702761049882E-2</v>
      </c>
      <c r="AW668" s="207">
        <v>17450</v>
      </c>
      <c r="AX668" s="208">
        <f>AW668*0.002</f>
        <v>34.9</v>
      </c>
      <c r="AY668" s="207">
        <f>AX668*100</f>
        <v>3490</v>
      </c>
      <c r="AZ668" s="207">
        <f>SUM(AZ669:AZ686)</f>
        <v>602</v>
      </c>
      <c r="BA668" s="588">
        <f t="shared" si="1754"/>
        <v>2.2058554102084935E-2</v>
      </c>
      <c r="BB668" s="207">
        <v>40</v>
      </c>
      <c r="BC668" s="207">
        <v>2</v>
      </c>
      <c r="BD668" s="207">
        <f>BB668+BC668</f>
        <v>42</v>
      </c>
      <c r="BE668" s="633">
        <f>BD668/1306</f>
        <v>3.2159264931087291E-2</v>
      </c>
      <c r="BF668" s="207">
        <f>AZ668+BD668</f>
        <v>644</v>
      </c>
      <c r="BG668" s="588">
        <f>BF668/28597</f>
        <v>2.2519844738958631E-2</v>
      </c>
      <c r="BH668" s="1084">
        <v>19.100000000000001</v>
      </c>
      <c r="BI668" s="207"/>
      <c r="BJ668" s="207"/>
      <c r="BK668" s="892">
        <f t="shared" si="1755"/>
        <v>0</v>
      </c>
      <c r="BL668" s="892"/>
      <c r="BM668" s="892">
        <f t="shared" si="1756"/>
        <v>0</v>
      </c>
      <c r="BN668" s="207"/>
      <c r="BO668" s="207">
        <v>400708</v>
      </c>
      <c r="BP668" s="207">
        <f>SUM(BP669:BP686)</f>
        <v>400707.95722450822</v>
      </c>
      <c r="BQ668" s="633">
        <f t="shared" si="1757"/>
        <v>3.7484363402377735E-2</v>
      </c>
      <c r="BR668" s="207">
        <f>AY668*0.5*24</f>
        <v>41880</v>
      </c>
      <c r="BS668" s="633">
        <f>BR668/2211211</f>
        <v>1.8939847893303715E-2</v>
      </c>
      <c r="BT668" s="634"/>
      <c r="BU668" s="207"/>
      <c r="BV668" s="264">
        <f t="shared" si="1758"/>
        <v>0</v>
      </c>
      <c r="BW668" s="207"/>
      <c r="BX668" s="247">
        <f t="shared" si="1759"/>
        <v>0</v>
      </c>
      <c r="CA668" s="207">
        <f>SUM(CA669:CA686)</f>
        <v>1665865.5509827554</v>
      </c>
      <c r="CB668" s="207">
        <f>SUM(CB669:CB686)</f>
        <v>3331731.1019655108</v>
      </c>
      <c r="CC668" s="207">
        <f>SUM(CC669:CC686)</f>
        <v>4997596.6529482659</v>
      </c>
      <c r="CD668" s="633">
        <f t="shared" si="1646"/>
        <v>2.1086941209442229E-2</v>
      </c>
      <c r="CE668" s="207">
        <v>461889</v>
      </c>
      <c r="CF668" s="633">
        <f t="shared" si="1647"/>
        <v>1.9945803469693792E-2</v>
      </c>
      <c r="CG668" s="207">
        <f t="shared" si="1703"/>
        <v>827488.77042280661</v>
      </c>
      <c r="CH668" s="588">
        <f t="shared" si="1684"/>
        <v>2.1086941209442232E-2</v>
      </c>
      <c r="CI668" s="207">
        <f t="shared" ref="CI668:CO668" si="1763">SUM(CI669:CI686)</f>
        <v>1096778.4348000863</v>
      </c>
      <c r="CJ668" s="633">
        <f t="shared" si="1686"/>
        <v>1.8031034684121663E-2</v>
      </c>
      <c r="CK668" s="207">
        <f t="shared" si="1763"/>
        <v>1498004.2280374656</v>
      </c>
      <c r="CL668" s="588">
        <f t="shared" si="1688"/>
        <v>2.153411890436244E-2</v>
      </c>
      <c r="CM668" s="207">
        <f t="shared" si="1763"/>
        <v>145118.92521625027</v>
      </c>
      <c r="CN668" s="588">
        <f t="shared" si="1690"/>
        <v>2.0913286349605851E-2</v>
      </c>
      <c r="CO668" s="207">
        <f t="shared" si="1763"/>
        <v>11609.994017052661</v>
      </c>
      <c r="CP668" s="588">
        <f t="shared" si="1692"/>
        <v>2.1894660447874578E-2</v>
      </c>
      <c r="CQ668" s="207">
        <f>'Detailed Budget'!$AC$12</f>
        <v>292876014141.44696</v>
      </c>
      <c r="CR668" s="605">
        <f t="shared" si="1701"/>
        <v>0</v>
      </c>
      <c r="CS668" s="605">
        <f>'Detailed Budget'!$AC$16</f>
        <v>10488008800.000002</v>
      </c>
      <c r="CT668" s="605">
        <f t="shared" si="1705"/>
        <v>0</v>
      </c>
      <c r="CU668" s="605">
        <f>'Detailed Budget'!$AC$24</f>
        <v>30624985696</v>
      </c>
      <c r="CV668" s="605">
        <f t="shared" si="1753"/>
        <v>0</v>
      </c>
      <c r="CW668" s="605"/>
      <c r="CX668" s="605">
        <f t="shared" si="1660"/>
        <v>0</v>
      </c>
      <c r="CY668" s="207">
        <f>'Detailed Budget'!$AC$97</f>
        <v>74629165494.837845</v>
      </c>
      <c r="CZ668" s="605">
        <f t="shared" si="1706"/>
        <v>2797426759.8246908</v>
      </c>
      <c r="DA668" s="605">
        <f>'Detailed Budget'!$AC$100</f>
        <v>14925833098.967569</v>
      </c>
      <c r="DB668" s="605">
        <f t="shared" si="1707"/>
        <v>559485351.96493816</v>
      </c>
      <c r="DC668" s="605">
        <f t="shared" si="1661"/>
        <v>3356912111.789629</v>
      </c>
      <c r="DD668" s="207">
        <f>SUM(DD669:DD686)</f>
        <v>0</v>
      </c>
      <c r="DE668" s="606">
        <v>0</v>
      </c>
      <c r="DF668" s="605">
        <f>'Detailed Budget'!$AC$147</f>
        <v>5913600671000</v>
      </c>
      <c r="DG668" s="605">
        <f t="shared" si="1748"/>
        <v>0</v>
      </c>
      <c r="DH668" s="605">
        <f>'Detailed Budget'!$AC$153</f>
        <v>226428026880.00003</v>
      </c>
      <c r="DI668" s="605">
        <f>BS668*DH668</f>
        <v>4288512387.8880854</v>
      </c>
      <c r="DJ668" s="605">
        <f>'Detailed Budget'!$AC$156</f>
        <v>27713070000</v>
      </c>
      <c r="DK668" s="605">
        <f>AT668*DJ668</f>
        <v>644490000</v>
      </c>
      <c r="DL668" s="605">
        <f>DI668+DK668</f>
        <v>4933002387.8880854</v>
      </c>
      <c r="DM668" s="207">
        <f>'Detailed Budget'!$AC$178</f>
        <v>5622683761.6229038</v>
      </c>
      <c r="DN668" s="605">
        <f>SUM(DN669:DN686)</f>
        <v>0</v>
      </c>
      <c r="DO668" s="605">
        <f>'Detailed Budget'!$AC$179</f>
        <v>26827890683.128094</v>
      </c>
      <c r="DP668" s="605">
        <f>SUM(DP669:DP686)</f>
        <v>0</v>
      </c>
      <c r="DQ668" s="605">
        <f>SUM(DQ669:DQ686)</f>
        <v>0</v>
      </c>
      <c r="DR668" s="605">
        <f>'Detailed Budget'!$AC$181</f>
        <v>50888946855.375237</v>
      </c>
      <c r="DS668" s="605">
        <f>SUM(DS669:DS686)</f>
        <v>0</v>
      </c>
      <c r="DT668" s="605">
        <f>SUM(DT669:DT686)</f>
        <v>0</v>
      </c>
      <c r="DU668" s="634">
        <f>'Detailed Budget'!$AC$192</f>
        <v>77498869683.252869</v>
      </c>
      <c r="DV668" s="605">
        <f t="shared" si="1708"/>
        <v>0</v>
      </c>
      <c r="DW668" s="930">
        <f>'Detailed Budget'!$AC$194</f>
        <v>2684962805.4134097</v>
      </c>
      <c r="DX668" s="605">
        <f t="shared" si="1709"/>
        <v>0</v>
      </c>
      <c r="DY668" s="605">
        <f t="shared" si="1648"/>
        <v>0</v>
      </c>
      <c r="DZ668" s="207">
        <f>'Detailed Budget'!$AC$198</f>
        <v>18732540018.380611</v>
      </c>
      <c r="EA668" s="605">
        <f t="shared" ref="EA668:EA686" si="1764">CF668*DZ668</f>
        <v>373635561.69479382</v>
      </c>
      <c r="EB668" s="207">
        <f>'Detailed Budget'!$AC$200</f>
        <v>4683135004.5951529</v>
      </c>
      <c r="EC668" s="605">
        <f t="shared" si="1711"/>
        <v>93408890.423698455</v>
      </c>
      <c r="ED668" s="605">
        <f t="shared" si="1649"/>
        <v>467044452.11849225</v>
      </c>
      <c r="EE668" s="207">
        <f>'Detailed Budget'!$AC$161</f>
        <v>251147290106.36197</v>
      </c>
      <c r="EF668" s="605">
        <f t="shared" si="1712"/>
        <v>5295928141.3835878</v>
      </c>
      <c r="EG668" s="207">
        <f>'Detailed Budget'!$AC$163</f>
        <v>15696705631.647623</v>
      </c>
      <c r="EH668" s="605">
        <f t="shared" si="1713"/>
        <v>330995508.83647424</v>
      </c>
      <c r="EI668" s="605">
        <f t="shared" si="1650"/>
        <v>5626923650.2200623</v>
      </c>
      <c r="EJ668" s="207">
        <f>'Detailed Budget'!$AC$204</f>
        <v>45012172507.531975</v>
      </c>
      <c r="EK668" s="605">
        <f t="shared" si="1714"/>
        <v>811616043.69097662</v>
      </c>
      <c r="EL668" s="207">
        <f>'Detailed Budget'!$AC$206</f>
        <v>11253043126.882994</v>
      </c>
      <c r="EM668" s="605">
        <f t="shared" si="1715"/>
        <v>202904010.92274415</v>
      </c>
      <c r="EN668" s="605">
        <f t="shared" si="1651"/>
        <v>1014520054.6137208</v>
      </c>
      <c r="EO668" s="930">
        <f>'Detailed Budget'!$AC$209</f>
        <v>135789361677.54817</v>
      </c>
      <c r="EP668" s="605">
        <f t="shared" si="1716"/>
        <v>2924104260.3117986</v>
      </c>
      <c r="EQ668" s="207">
        <f>'Detailed Budget'!$AC$211</f>
        <v>33947340419.387043</v>
      </c>
      <c r="ER668" s="605">
        <f t="shared" si="1717"/>
        <v>731026065.07794964</v>
      </c>
      <c r="ES668" s="605">
        <f t="shared" si="1652"/>
        <v>3655130325.3897481</v>
      </c>
      <c r="ET668" s="207">
        <f>'Detailed Budget'!$AC$214</f>
        <v>22239745544.201103</v>
      </c>
      <c r="EU668" s="605">
        <f t="shared" si="1718"/>
        <v>465106166.90824848</v>
      </c>
      <c r="EV668" s="930">
        <f>'Detailed Budget'!$AC$217</f>
        <v>5559936386.0502758</v>
      </c>
      <c r="EW668" s="605">
        <f t="shared" si="1719"/>
        <v>116276541.72706212</v>
      </c>
      <c r="EX668" s="605">
        <f t="shared" si="1653"/>
        <v>581382708.63531065</v>
      </c>
      <c r="EY668" s="207">
        <f>'Detailed Budget'!$AC$219</f>
        <v>372777004.58170313</v>
      </c>
      <c r="EZ668" s="605">
        <f t="shared" si="1720"/>
        <v>8161825.9380921759</v>
      </c>
      <c r="FA668" s="207">
        <f>'Detailed Budget'!$AC$222</f>
        <v>93194251.145425782</v>
      </c>
      <c r="FB668" s="605">
        <f t="shared" si="1721"/>
        <v>2040456.484523044</v>
      </c>
      <c r="FC668" s="605">
        <f t="shared" si="1654"/>
        <v>10202282.422615219</v>
      </c>
      <c r="FD668" s="605"/>
      <c r="FE668" s="605">
        <f t="shared" si="1663"/>
        <v>5261235371.0613937</v>
      </c>
      <c r="FF668" s="930">
        <f>'Detailed Budget'!$AC$165</f>
        <v>14927760000</v>
      </c>
      <c r="FG668" s="1087">
        <f t="shared" si="1749"/>
        <v>7176673307.5707426</v>
      </c>
      <c r="FH668" s="605">
        <f t="shared" si="1722"/>
        <v>325659575.04829001</v>
      </c>
      <c r="FI668" s="605"/>
      <c r="FJ668" s="930">
        <f>'Detailed Budget'!$AC$235</f>
        <v>3623696172</v>
      </c>
      <c r="FK668" s="605">
        <f t="shared" si="1723"/>
        <v>84272004</v>
      </c>
      <c r="FL668" s="605">
        <f t="shared" si="1750"/>
        <v>84272004</v>
      </c>
      <c r="FM668" s="605"/>
      <c r="FN668" s="605">
        <f>'Detailed Budget'!$AC$251</f>
        <v>1047595800</v>
      </c>
      <c r="FO668" s="605">
        <f>AR668*FN668</f>
        <v>28313400</v>
      </c>
      <c r="FP668" s="605">
        <f>'Detailed Budget'!$AB$254</f>
        <v>2773297530</v>
      </c>
      <c r="FQ668" s="605">
        <f>BE668*FP668</f>
        <v>89187210</v>
      </c>
      <c r="FR668" s="605">
        <f>'Detailed Budget'!$AC$257</f>
        <v>13636439388</v>
      </c>
      <c r="FS668" s="605">
        <f t="shared" ref="FS668:FS686" si="1765">BA668*FR668</f>
        <v>300800136</v>
      </c>
      <c r="FT668" s="605">
        <f t="shared" si="1751"/>
        <v>418300746</v>
      </c>
      <c r="FU668" s="605"/>
      <c r="FV668" s="605">
        <f>'Detailed Budget'!$AC$265</f>
        <v>6277805540</v>
      </c>
      <c r="FW668" s="605">
        <f>AR668*FV668</f>
        <v>169670420</v>
      </c>
      <c r="FX668" s="930">
        <f>'Detailed Budget'!$AC$278</f>
        <v>1114560000</v>
      </c>
      <c r="FY668" s="605">
        <f t="shared" ref="FY668:FY686" si="1766">AT668*FX668</f>
        <v>25920000</v>
      </c>
      <c r="FZ668" s="605">
        <f t="shared" si="1752"/>
        <v>195590420</v>
      </c>
      <c r="GB668" s="269">
        <f t="shared" si="1760"/>
        <v>27845614025.696697</v>
      </c>
      <c r="GC668" s="889">
        <f t="shared" si="1668"/>
        <v>17403508.766060434</v>
      </c>
      <c r="GD668" s="1078">
        <f t="shared" si="1761"/>
        <v>1.5625050863225395E-2</v>
      </c>
    </row>
    <row r="669" spans="1:186" hidden="1" outlineLevel="1">
      <c r="A669" s="211" t="s">
        <v>1436</v>
      </c>
      <c r="B669" s="212" t="s">
        <v>1437</v>
      </c>
      <c r="C669" s="213" t="s">
        <v>215</v>
      </c>
      <c r="D669" s="214"/>
      <c r="E669" s="213"/>
      <c r="F669" s="213"/>
      <c r="G669" s="213" t="s">
        <v>215</v>
      </c>
      <c r="H669" s="213" t="s">
        <v>215</v>
      </c>
      <c r="I669" s="214" t="s">
        <v>215</v>
      </c>
      <c r="J669" s="214"/>
      <c r="K669" s="213"/>
      <c r="L669" s="213"/>
      <c r="M669" s="214"/>
      <c r="N669" s="213" t="s">
        <v>215</v>
      </c>
      <c r="O669" s="214"/>
      <c r="P669" s="213"/>
      <c r="Q669" s="214"/>
      <c r="R669" s="214" t="s">
        <v>215</v>
      </c>
      <c r="S669" s="214"/>
      <c r="T669" s="214"/>
      <c r="U669" s="215">
        <f t="shared" ref="U669:U686" si="1767">COUNTA(C669:T669)</f>
        <v>6</v>
      </c>
      <c r="V669" s="845" t="s">
        <v>216</v>
      </c>
      <c r="W669" s="216">
        <v>261567</v>
      </c>
      <c r="X669" s="217">
        <v>2.78</v>
      </c>
      <c r="Y669" s="218">
        <f t="shared" si="1598"/>
        <v>1.0278</v>
      </c>
      <c r="Z669" s="196">
        <v>19</v>
      </c>
      <c r="AA669" s="218">
        <f t="shared" si="1599"/>
        <v>1.6836958972696243</v>
      </c>
      <c r="AB669" s="196">
        <f t="shared" si="1746"/>
        <v>440399.28476112382</v>
      </c>
      <c r="AC669">
        <v>12.7</v>
      </c>
      <c r="AD669" s="196">
        <f t="shared" si="1747"/>
        <v>55930.709164662723</v>
      </c>
      <c r="AE669" s="196">
        <f t="shared" si="1600"/>
        <v>53134.173706429581</v>
      </c>
      <c r="AF669" s="196">
        <f t="shared" ref="AF669:AF686" si="1768">AE669*BT669</f>
        <v>0</v>
      </c>
      <c r="AG669" s="606">
        <f t="shared" si="1671"/>
        <v>2.4566909287920091E-3</v>
      </c>
      <c r="AH669" s="196">
        <f>AB669*0.05</f>
        <v>22019.964238056193</v>
      </c>
      <c r="AI669" s="248">
        <f t="shared" si="1644"/>
        <v>1.7058532660175732E-3</v>
      </c>
      <c r="AJ669" s="196">
        <f t="shared" si="1672"/>
        <v>77950.673402718909</v>
      </c>
      <c r="AK669" s="196">
        <f t="shared" si="1698"/>
        <v>17615.971390444953</v>
      </c>
      <c r="AL669" s="196">
        <f t="shared" si="1699"/>
        <v>17615.971390444953</v>
      </c>
      <c r="AM669" s="196">
        <f t="shared" si="1656"/>
        <v>35231.942780889905</v>
      </c>
      <c r="AN669" s="627">
        <f t="shared" si="1657"/>
        <v>1.705853266017573E-3</v>
      </c>
      <c r="AO669" s="196">
        <f t="shared" si="1658"/>
        <v>16735.172820922704</v>
      </c>
      <c r="AP669" s="589">
        <f t="shared" si="1673"/>
        <v>1.705853266017573E-3</v>
      </c>
      <c r="AQ669" s="196"/>
      <c r="AR669" s="589"/>
      <c r="AS669">
        <v>1</v>
      </c>
      <c r="AT669" s="589">
        <f t="shared" si="1674"/>
        <v>1.2919896640826874E-3</v>
      </c>
      <c r="AU669" s="196">
        <v>10</v>
      </c>
      <c r="AV669" s="245">
        <f t="shared" si="1645"/>
        <v>1.1362345188046814E-3</v>
      </c>
      <c r="AX669" s="245"/>
      <c r="AY669" s="245"/>
      <c r="AZ669" s="196">
        <v>42</v>
      </c>
      <c r="BA669" s="589">
        <f t="shared" si="1754"/>
        <v>1.5389688908431351E-3</v>
      </c>
      <c r="BI669" s="196">
        <v>0</v>
      </c>
      <c r="BK669" s="246">
        <f t="shared" si="1755"/>
        <v>0</v>
      </c>
      <c r="BL669" s="246"/>
      <c r="BM669" s="246">
        <f t="shared" si="1756"/>
        <v>0</v>
      </c>
      <c r="BN669" s="196">
        <v>1</v>
      </c>
      <c r="BO669" s="196">
        <f t="shared" ref="BO669:BO686" si="1769">AJ669/963589*400708</f>
        <v>32415.748247288717</v>
      </c>
      <c r="BP669" s="196">
        <f t="shared" si="1676"/>
        <v>32415.748247288717</v>
      </c>
      <c r="BQ669" s="248">
        <f t="shared" si="1757"/>
        <v>3.0323422965633142E-3</v>
      </c>
      <c r="BR669" s="248"/>
      <c r="BS669" s="248"/>
      <c r="BT669" s="276">
        <v>0</v>
      </c>
      <c r="BU669" s="196">
        <f t="shared" ref="BU669:BU686" si="1770">AD669*BT669*0.18*4</f>
        <v>0</v>
      </c>
      <c r="BV669" s="264">
        <f t="shared" si="1758"/>
        <v>0</v>
      </c>
      <c r="BW669" s="196">
        <f t="shared" ref="BW669:BW686" si="1771">AD669*BT669*0.77*4</f>
        <v>0</v>
      </c>
      <c r="BX669" s="247">
        <f t="shared" si="1759"/>
        <v>0</v>
      </c>
      <c r="BY669" s="196">
        <f t="shared" ref="BY669:BY686" si="1772">BU669+BW669</f>
        <v>0</v>
      </c>
      <c r="BZ669" s="620">
        <v>1</v>
      </c>
      <c r="CA669" s="196">
        <f t="shared" ref="CA669:CA686" si="1773">AK669*0.85*0.75*12</f>
        <v>134762.18113690388</v>
      </c>
      <c r="CB669" s="196">
        <f t="shared" ref="CB669:CB686" si="1774">AL669*0.85*0.75*2*12</f>
        <v>269524.36227380775</v>
      </c>
      <c r="CC669" s="196">
        <f t="shared" si="1682"/>
        <v>404286.54341071163</v>
      </c>
      <c r="CD669" s="247">
        <f t="shared" si="1646"/>
        <v>1.7058532660175728E-3</v>
      </c>
      <c r="CE669" s="196">
        <f t="shared" ref="CE669:CE686" si="1775">AH669/272200*461889</f>
        <v>37365.096480350978</v>
      </c>
      <c r="CF669" s="247">
        <f t="shared" si="1647"/>
        <v>1.6135410694414194E-3</v>
      </c>
      <c r="CG669" s="196">
        <f t="shared" si="1703"/>
        <v>66940.691283690816</v>
      </c>
      <c r="CH669" s="589">
        <f t="shared" si="1684"/>
        <v>1.705853266017573E-3</v>
      </c>
      <c r="CI669" s="196">
        <f t="shared" ref="CI669:CI686" si="1776">AD669/691389*1096779</f>
        <v>88725.199948089445</v>
      </c>
      <c r="CJ669" s="248">
        <f t="shared" si="1686"/>
        <v>1.4586420619322562E-3</v>
      </c>
      <c r="CK669" s="196">
        <f t="shared" ref="CK669:CK686" si="1777">AD669/691389*1498005</f>
        <v>121182.83915742162</v>
      </c>
      <c r="CL669" s="589">
        <f t="shared" si="1688"/>
        <v>1.7420282391345026E-3</v>
      </c>
      <c r="CM669" s="196">
        <f t="shared" ref="CM669:CM686" si="1778">AD669/691389*145119</f>
        <v>11739.568583339755</v>
      </c>
      <c r="CN669" s="589">
        <f t="shared" si="1690"/>
        <v>1.6918052489595526E-3</v>
      </c>
      <c r="CO669" s="196">
        <f t="shared" ref="CO669:CO686" si="1779">AD669/691389*11610</f>
        <v>939.2043168198137</v>
      </c>
      <c r="CP669" s="589">
        <f t="shared" si="1692"/>
        <v>1.7711946774256952E-3</v>
      </c>
      <c r="CQ669" s="196">
        <f>'Detailed Budget'!$AC$12</f>
        <v>292876014141.44696</v>
      </c>
      <c r="CR669" s="269">
        <f t="shared" si="1701"/>
        <v>0</v>
      </c>
      <c r="CS669" s="269">
        <f>'Detailed Budget'!$AC$16</f>
        <v>10488008800.000002</v>
      </c>
      <c r="CT669" s="607">
        <f t="shared" si="1705"/>
        <v>0</v>
      </c>
      <c r="CU669" s="269">
        <f>'Detailed Budget'!$AC$24</f>
        <v>30624985696</v>
      </c>
      <c r="CV669" s="269">
        <f t="shared" si="1753"/>
        <v>0</v>
      </c>
      <c r="CW669" s="269"/>
      <c r="CX669" s="269">
        <f t="shared" si="1660"/>
        <v>0</v>
      </c>
      <c r="CY669" s="196">
        <f>'Detailed Budget'!$AC$97</f>
        <v>74629165494.837845</v>
      </c>
      <c r="CZ669" s="269">
        <f t="shared" si="1706"/>
        <v>226301175.08722022</v>
      </c>
      <c r="DA669" s="269">
        <f>'Detailed Budget'!$AC$100</f>
        <v>14925833098.967569</v>
      </c>
      <c r="DB669" s="269">
        <f t="shared" si="1707"/>
        <v>45260235.017444052</v>
      </c>
      <c r="DC669" s="269">
        <f t="shared" si="1661"/>
        <v>271561410.10466427</v>
      </c>
      <c r="DD669" s="207">
        <v>0</v>
      </c>
      <c r="DE669" s="606">
        <v>0</v>
      </c>
      <c r="DF669" s="269">
        <f>'Detailed Budget'!$AC$147</f>
        <v>5913600671000</v>
      </c>
      <c r="DG669" s="269">
        <f t="shared" si="1748"/>
        <v>0</v>
      </c>
      <c r="DH669" s="269">
        <f>'Detailed Budget'!$AC$153</f>
        <v>226428026880.00003</v>
      </c>
      <c r="DI669" s="269"/>
      <c r="DJ669" s="269">
        <f>'Detailed Budget'!$AC$156</f>
        <v>27713070000</v>
      </c>
      <c r="DK669" s="269"/>
      <c r="DL669" s="269"/>
      <c r="DM669" s="196">
        <f>'Detailed Budget'!$AC$178</f>
        <v>5622683761.6229038</v>
      </c>
      <c r="DN669" s="269">
        <f t="shared" ref="DN669:DN686" si="1780">BT669*BV669*DM669</f>
        <v>0</v>
      </c>
      <c r="DO669" s="196">
        <f>'Detailed Budget'!$AC$179</f>
        <v>26827890683.128094</v>
      </c>
      <c r="DP669" s="269">
        <f t="shared" ref="DP669:DP686" si="1781">BT669*BX669*DO669</f>
        <v>0</v>
      </c>
      <c r="DQ669" s="269">
        <f t="shared" si="1700"/>
        <v>0</v>
      </c>
      <c r="DR669" s="269">
        <f>'Detailed Budget'!$AC$181</f>
        <v>50888946855.375237</v>
      </c>
      <c r="DS669" s="269">
        <f t="shared" ref="DS669:DS686" si="1782">BT669*AG669*DR669</f>
        <v>0</v>
      </c>
      <c r="DT669" s="269">
        <f t="shared" ref="DT669:DT686" si="1783">DQ669+DS669</f>
        <v>0</v>
      </c>
      <c r="DU669" s="272">
        <f>'Detailed Budget'!$AC$192</f>
        <v>77498869683.252869</v>
      </c>
      <c r="DV669" s="269">
        <f t="shared" si="1708"/>
        <v>132201699.96184716</v>
      </c>
      <c r="DW669" s="140">
        <f>'Detailed Budget'!$AC$194</f>
        <v>2684962805.4134097</v>
      </c>
      <c r="DX669" s="269">
        <f t="shared" si="1709"/>
        <v>4580152.5707501704</v>
      </c>
      <c r="DY669" s="607">
        <f t="shared" si="1648"/>
        <v>136781852.53259733</v>
      </c>
      <c r="DZ669" s="196">
        <f>'Detailed Budget'!$AC$198</f>
        <v>18732540018.380611</v>
      </c>
      <c r="EA669" s="269">
        <f t="shared" si="1764"/>
        <v>30225722.654612038</v>
      </c>
      <c r="EB669" s="196">
        <f>'Detailed Budget'!$AC$200</f>
        <v>4683135004.5951529</v>
      </c>
      <c r="EC669" s="269">
        <f t="shared" si="1711"/>
        <v>7556430.6636530096</v>
      </c>
      <c r="ED669" s="269">
        <f t="shared" si="1649"/>
        <v>37782153.318265051</v>
      </c>
      <c r="EE669" s="196">
        <f>'Detailed Budget'!$AC$161</f>
        <v>251147290106.36197</v>
      </c>
      <c r="EF669" s="269">
        <f t="shared" si="1712"/>
        <v>428420425.07940048</v>
      </c>
      <c r="EG669" s="196">
        <f>'Detailed Budget'!$AC$163</f>
        <v>15696705631.647623</v>
      </c>
      <c r="EH669" s="269">
        <f t="shared" si="1713"/>
        <v>26776276.56746253</v>
      </c>
      <c r="EI669" s="269">
        <f t="shared" si="1650"/>
        <v>455196701.64686298</v>
      </c>
      <c r="EJ669" s="196">
        <f>'Detailed Budget'!$AC$204</f>
        <v>45012172507.531975</v>
      </c>
      <c r="EK669" s="269">
        <f t="shared" si="1714"/>
        <v>65656648.118436858</v>
      </c>
      <c r="EL669" s="201">
        <f>'Detailed Budget'!$AC$206</f>
        <v>11253043126.882994</v>
      </c>
      <c r="EM669" s="269">
        <f t="shared" si="1715"/>
        <v>16414162.029609215</v>
      </c>
      <c r="EN669" s="269">
        <f t="shared" si="1651"/>
        <v>82070810.148046076</v>
      </c>
      <c r="EO669" s="140">
        <f>'Detailed Budget'!$AC$209</f>
        <v>135789361677.54817</v>
      </c>
      <c r="EP669" s="269">
        <f t="shared" si="1716"/>
        <v>236548902.61633736</v>
      </c>
      <c r="EQ669" s="196">
        <f>'Detailed Budget'!$AC$211</f>
        <v>33947340419.387043</v>
      </c>
      <c r="ER669" s="269">
        <f t="shared" si="1717"/>
        <v>59137225.65408434</v>
      </c>
      <c r="ES669" s="269">
        <f t="shared" si="1652"/>
        <v>295686128.27042168</v>
      </c>
      <c r="ET669" s="196">
        <f>'Detailed Budget'!$AC$214</f>
        <v>22239745544.201103</v>
      </c>
      <c r="EU669" s="269">
        <f t="shared" si="1718"/>
        <v>37625318.247204252</v>
      </c>
      <c r="EV669" s="140">
        <f>'Detailed Budget'!$AC$217</f>
        <v>5559936386.0502758</v>
      </c>
      <c r="EW669" s="269">
        <f t="shared" si="1719"/>
        <v>9406329.5618010629</v>
      </c>
      <c r="EX669" s="269">
        <f t="shared" si="1653"/>
        <v>47031647.809005313</v>
      </c>
      <c r="EY669" s="196">
        <f>'Detailed Budget'!$AC$219</f>
        <v>372777004.58170313</v>
      </c>
      <c r="EZ669" s="269">
        <f t="shared" si="1720"/>
        <v>660260.64638180658</v>
      </c>
      <c r="FA669" s="196">
        <f>'Detailed Budget'!$AC$222</f>
        <v>93194251.145425782</v>
      </c>
      <c r="FB669" s="269">
        <f t="shared" si="1721"/>
        <v>165065.16159545165</v>
      </c>
      <c r="FC669" s="269">
        <f t="shared" si="1654"/>
        <v>825325.80797725823</v>
      </c>
      <c r="FD669" s="269"/>
      <c r="FE669" s="269">
        <f t="shared" si="1663"/>
        <v>425613912.03545034</v>
      </c>
      <c r="FF669" s="140">
        <f>'Detailed Budget'!$AC$165</f>
        <v>14927760000</v>
      </c>
      <c r="FG669" s="1087">
        <f t="shared" si="1749"/>
        <v>580565549.04126441</v>
      </c>
      <c r="FH669" s="269">
        <f t="shared" si="1722"/>
        <v>16961436.200431772</v>
      </c>
      <c r="FJ669" s="140">
        <f>'Detailed Budget'!$AC$235</f>
        <v>3623696172</v>
      </c>
      <c r="FK669" s="269">
        <f t="shared" si="1723"/>
        <v>4681778</v>
      </c>
      <c r="FL669" s="269">
        <f t="shared" si="1750"/>
        <v>4681778</v>
      </c>
      <c r="FO669" s="607"/>
      <c r="FP669" s="607"/>
      <c r="FQ669" s="607"/>
      <c r="FR669" s="269">
        <f>'Detailed Budget'!$AC$257</f>
        <v>13636439388</v>
      </c>
      <c r="FS669" s="269">
        <f t="shared" si="1765"/>
        <v>20986056</v>
      </c>
      <c r="FT669" s="269">
        <f t="shared" si="1751"/>
        <v>20986056</v>
      </c>
      <c r="FU669" s="269"/>
      <c r="FV669" s="269"/>
      <c r="FW669" s="269"/>
      <c r="FX669" s="140">
        <f>'Detailed Budget'!$AC$278</f>
        <v>1114560000</v>
      </c>
      <c r="FY669" s="269">
        <f t="shared" si="1766"/>
        <v>1440000</v>
      </c>
      <c r="FZ669" s="269">
        <f t="shared" si="1752"/>
        <v>1440000</v>
      </c>
      <c r="GB669" s="269">
        <f t="shared" si="1760"/>
        <v>1951570848.8795362</v>
      </c>
      <c r="GC669" s="887">
        <f t="shared" si="1668"/>
        <v>1219731.7805497102</v>
      </c>
      <c r="GD669" s="1078">
        <f t="shared" si="1761"/>
        <v>1.0950878565216975E-3</v>
      </c>
    </row>
    <row r="670" spans="1:186" hidden="1" outlineLevel="1">
      <c r="A670" s="211" t="s">
        <v>1438</v>
      </c>
      <c r="B670" s="212" t="s">
        <v>1439</v>
      </c>
      <c r="C670" s="213" t="s">
        <v>215</v>
      </c>
      <c r="D670" s="214"/>
      <c r="E670" s="213"/>
      <c r="F670" s="213"/>
      <c r="G670" s="213" t="s">
        <v>215</v>
      </c>
      <c r="H670" s="213" t="s">
        <v>215</v>
      </c>
      <c r="I670" s="214" t="s">
        <v>215</v>
      </c>
      <c r="J670" s="214"/>
      <c r="K670" s="213"/>
      <c r="L670" s="213"/>
      <c r="M670" s="214"/>
      <c r="N670" s="213" t="s">
        <v>215</v>
      </c>
      <c r="O670" s="214"/>
      <c r="P670" s="213"/>
      <c r="Q670" s="214" t="s">
        <v>215</v>
      </c>
      <c r="R670" s="214"/>
      <c r="S670" s="214"/>
      <c r="T670" s="214"/>
      <c r="U670" s="215">
        <f t="shared" si="1767"/>
        <v>6</v>
      </c>
      <c r="V670" s="845" t="s">
        <v>1073</v>
      </c>
      <c r="W670" s="216">
        <v>340287</v>
      </c>
      <c r="X670" s="217">
        <v>2.78</v>
      </c>
      <c r="Y670" s="218">
        <f t="shared" si="1598"/>
        <v>1.0278</v>
      </c>
      <c r="Z670" s="196">
        <v>19</v>
      </c>
      <c r="AA670" s="218">
        <f t="shared" si="1599"/>
        <v>1.6836958972696243</v>
      </c>
      <c r="AB670" s="196">
        <f t="shared" si="1746"/>
        <v>572939.82579418865</v>
      </c>
      <c r="AC670">
        <v>12.7</v>
      </c>
      <c r="AD670" s="196">
        <f t="shared" si="1747"/>
        <v>72763.357875861955</v>
      </c>
      <c r="AE670" s="196">
        <f t="shared" si="1600"/>
        <v>69125.189982068856</v>
      </c>
      <c r="AF670" s="196">
        <f t="shared" si="1768"/>
        <v>0</v>
      </c>
      <c r="AG670" s="606">
        <f t="shared" si="1671"/>
        <v>3.1960453195007264E-3</v>
      </c>
      <c r="AH670" s="196">
        <f t="shared" ref="AH670:AH686" si="1784">AB670*0.05</f>
        <v>28646.991289709433</v>
      </c>
      <c r="AI670" s="248">
        <f t="shared" si="1644"/>
        <v>2.2192390107824071E-3</v>
      </c>
      <c r="AJ670" s="196">
        <f t="shared" si="1672"/>
        <v>101410.34916557139</v>
      </c>
      <c r="AK670" s="196">
        <f t="shared" si="1698"/>
        <v>22917.593031767548</v>
      </c>
      <c r="AL670" s="196">
        <f t="shared" si="1699"/>
        <v>22917.593031767548</v>
      </c>
      <c r="AM670" s="196">
        <f t="shared" si="1656"/>
        <v>45835.186063535097</v>
      </c>
      <c r="AN670" s="627">
        <f t="shared" si="1657"/>
        <v>2.2192390107824075E-3</v>
      </c>
      <c r="AO670" s="196">
        <f t="shared" si="1658"/>
        <v>21771.713380179168</v>
      </c>
      <c r="AP670" s="589">
        <f t="shared" si="1673"/>
        <v>2.2192390107824071E-3</v>
      </c>
      <c r="AQ670" s="196"/>
      <c r="AR670" s="589"/>
      <c r="AS670">
        <v>1</v>
      </c>
      <c r="AT670" s="589">
        <f t="shared" si="1674"/>
        <v>1.2919896640826874E-3</v>
      </c>
      <c r="AU670" s="196">
        <v>10</v>
      </c>
      <c r="AV670" s="245">
        <f t="shared" si="1645"/>
        <v>1.1362345188046814E-3</v>
      </c>
      <c r="AX670" s="245"/>
      <c r="AY670" s="245"/>
      <c r="AZ670" s="196">
        <v>14</v>
      </c>
      <c r="BA670" s="589">
        <f t="shared" si="1754"/>
        <v>5.1298963028104507E-4</v>
      </c>
      <c r="BI670" s="196">
        <v>0</v>
      </c>
      <c r="BK670" s="246">
        <f t="shared" si="1755"/>
        <v>0</v>
      </c>
      <c r="BL670" s="246"/>
      <c r="BM670" s="246">
        <f t="shared" si="1756"/>
        <v>0</v>
      </c>
      <c r="BN670" s="196">
        <v>1</v>
      </c>
      <c r="BO670" s="196">
        <f t="shared" si="1769"/>
        <v>42171.44258956649</v>
      </c>
      <c r="BP670" s="196">
        <f t="shared" si="1676"/>
        <v>42171.44258956649</v>
      </c>
      <c r="BQ670" s="248">
        <f t="shared" si="1757"/>
        <v>3.9449420724733649E-3</v>
      </c>
      <c r="BR670" s="248"/>
      <c r="BS670" s="248"/>
      <c r="BT670" s="276">
        <v>0</v>
      </c>
      <c r="BU670" s="196">
        <f t="shared" si="1770"/>
        <v>0</v>
      </c>
      <c r="BV670" s="264">
        <f t="shared" si="1758"/>
        <v>0</v>
      </c>
      <c r="BW670" s="196">
        <f t="shared" si="1771"/>
        <v>0</v>
      </c>
      <c r="BX670" s="247">
        <f t="shared" si="1759"/>
        <v>0</v>
      </c>
      <c r="BY670" s="196">
        <f t="shared" si="1772"/>
        <v>0</v>
      </c>
      <c r="BZ670" s="620">
        <v>1</v>
      </c>
      <c r="CA670" s="196">
        <f t="shared" si="1773"/>
        <v>175319.5866930217</v>
      </c>
      <c r="CB670" s="196">
        <f t="shared" si="1774"/>
        <v>350639.1733860434</v>
      </c>
      <c r="CC670" s="196">
        <f t="shared" si="1682"/>
        <v>525958.7600790651</v>
      </c>
      <c r="CD670" s="247">
        <f t="shared" si="1646"/>
        <v>2.2192390107824067E-3</v>
      </c>
      <c r="CE670" s="196">
        <f t="shared" si="1775"/>
        <v>48610.323878811905</v>
      </c>
      <c r="CF670" s="247">
        <f t="shared" si="1647"/>
        <v>2.099144960553175E-3</v>
      </c>
      <c r="CG670" s="196">
        <f t="shared" si="1703"/>
        <v>87086.853520716671</v>
      </c>
      <c r="CH670" s="589">
        <f t="shared" si="1684"/>
        <v>2.2192390107824071E-3</v>
      </c>
      <c r="CI670" s="196">
        <f t="shared" si="1776"/>
        <v>115427.52761141701</v>
      </c>
      <c r="CJ670" s="248">
        <f t="shared" si="1686"/>
        <v>1.8976282609378921E-3</v>
      </c>
      <c r="CK670" s="196">
        <f t="shared" si="1777"/>
        <v>157653.46847408707</v>
      </c>
      <c r="CL670" s="589">
        <f t="shared" si="1688"/>
        <v>2.2663010372499684E-3</v>
      </c>
      <c r="CM670" s="196">
        <f t="shared" si="1778"/>
        <v>15272.655092266743</v>
      </c>
      <c r="CN670" s="589">
        <f t="shared" si="1690"/>
        <v>2.2009631671911951E-3</v>
      </c>
      <c r="CO670" s="196">
        <f t="shared" si="1779"/>
        <v>1221.8629236779254</v>
      </c>
      <c r="CP670" s="589">
        <f t="shared" si="1692"/>
        <v>2.304245272519689E-3</v>
      </c>
      <c r="CQ670" s="196">
        <f>'Detailed Budget'!$AC$12</f>
        <v>292876014141.44696</v>
      </c>
      <c r="CR670" s="269">
        <f t="shared" si="1701"/>
        <v>0</v>
      </c>
      <c r="CS670" s="269">
        <f>'Detailed Budget'!$AC$16</f>
        <v>10488008800.000002</v>
      </c>
      <c r="CT670" s="607">
        <f t="shared" si="1705"/>
        <v>0</v>
      </c>
      <c r="CU670" s="269">
        <f>'Detailed Budget'!$AC$24</f>
        <v>30624985696</v>
      </c>
      <c r="CV670" s="269">
        <f t="shared" si="1753"/>
        <v>0</v>
      </c>
      <c r="CW670" s="269"/>
      <c r="CX670" s="269">
        <f t="shared" si="1660"/>
        <v>0</v>
      </c>
      <c r="CY670" s="196">
        <f>'Detailed Budget'!$AC$97</f>
        <v>74629165494.837845</v>
      </c>
      <c r="CZ670" s="269">
        <f t="shared" si="1706"/>
        <v>294407734.79416335</v>
      </c>
      <c r="DA670" s="269">
        <f>'Detailed Budget'!$AC$100</f>
        <v>14925833098.967569</v>
      </c>
      <c r="DB670" s="269">
        <f t="shared" si="1707"/>
        <v>58881546.958832666</v>
      </c>
      <c r="DC670" s="269">
        <f t="shared" si="1661"/>
        <v>353289281.75299603</v>
      </c>
      <c r="DD670" s="207">
        <v>0</v>
      </c>
      <c r="DE670" s="606">
        <v>0</v>
      </c>
      <c r="DF670" s="269">
        <f>'Detailed Budget'!$AC$147</f>
        <v>5913600671000</v>
      </c>
      <c r="DG670" s="269">
        <f t="shared" si="1748"/>
        <v>0</v>
      </c>
      <c r="DH670" s="269">
        <f>'Detailed Budget'!$AC$153</f>
        <v>226428026880.00003</v>
      </c>
      <c r="DI670" s="269"/>
      <c r="DJ670" s="269">
        <f>'Detailed Budget'!$AC$156</f>
        <v>27713070000</v>
      </c>
      <c r="DK670" s="269"/>
      <c r="DL670" s="269"/>
      <c r="DM670" s="196">
        <f>'Detailed Budget'!$AC$178</f>
        <v>5622683761.6229038</v>
      </c>
      <c r="DN670" s="269">
        <f t="shared" si="1780"/>
        <v>0</v>
      </c>
      <c r="DO670" s="196">
        <f>'Detailed Budget'!$AC$179</f>
        <v>26827890683.128094</v>
      </c>
      <c r="DP670" s="269">
        <f t="shared" si="1781"/>
        <v>0</v>
      </c>
      <c r="DQ670" s="269">
        <f t="shared" si="1700"/>
        <v>0</v>
      </c>
      <c r="DR670" s="269">
        <f>'Detailed Budget'!$AC$181</f>
        <v>50888946855.375237</v>
      </c>
      <c r="DS670" s="269">
        <f t="shared" si="1782"/>
        <v>0</v>
      </c>
      <c r="DT670" s="269">
        <f t="shared" si="1783"/>
        <v>0</v>
      </c>
      <c r="DU670" s="272">
        <f>'Detailed Budget'!$AC$192</f>
        <v>77498869683.252869</v>
      </c>
      <c r="DV670" s="269">
        <f t="shared" si="1708"/>
        <v>171988514.89261675</v>
      </c>
      <c r="DW670" s="140">
        <f>'Detailed Budget'!$AC$194</f>
        <v>2684962805.4134097</v>
      </c>
      <c r="DX670" s="269">
        <f t="shared" si="1709"/>
        <v>5958574.200273213</v>
      </c>
      <c r="DY670" s="607">
        <f t="shared" si="1648"/>
        <v>177947089.09288996</v>
      </c>
      <c r="DZ670" s="196">
        <f>'Detailed Budget'!$AC$198</f>
        <v>18732540018.380611</v>
      </c>
      <c r="EA670" s="269">
        <f t="shared" si="1764"/>
        <v>39322316.977944344</v>
      </c>
      <c r="EB670" s="196">
        <f>'Detailed Budget'!$AC$200</f>
        <v>4683135004.5951529</v>
      </c>
      <c r="EC670" s="269">
        <f t="shared" si="1711"/>
        <v>9830579.2444860861</v>
      </c>
      <c r="ED670" s="269">
        <f t="shared" si="1649"/>
        <v>49152896.22243043</v>
      </c>
      <c r="EE670" s="196">
        <f>'Detailed Budget'!$AC$161</f>
        <v>251147290106.36197</v>
      </c>
      <c r="EF670" s="269">
        <f t="shared" si="1712"/>
        <v>557355863.65632498</v>
      </c>
      <c r="EG670" s="196">
        <f>'Detailed Budget'!$AC$163</f>
        <v>15696705631.647623</v>
      </c>
      <c r="EH670" s="269">
        <f t="shared" si="1713"/>
        <v>34834741.478520311</v>
      </c>
      <c r="EI670" s="269">
        <f t="shared" si="1650"/>
        <v>592190605.13484526</v>
      </c>
      <c r="EJ670" s="196">
        <f>'Detailed Budget'!$AC$204</f>
        <v>45012172507.531975</v>
      </c>
      <c r="EK670" s="269">
        <f t="shared" si="1714"/>
        <v>85416370.636504292</v>
      </c>
      <c r="EL670" s="201">
        <f>'Detailed Budget'!$AC$206</f>
        <v>11253043126.882994</v>
      </c>
      <c r="EM670" s="269">
        <f t="shared" si="1715"/>
        <v>21354092.659126073</v>
      </c>
      <c r="EN670" s="269">
        <f t="shared" si="1651"/>
        <v>106770463.29563037</v>
      </c>
      <c r="EO670" s="140">
        <f>'Detailed Budget'!$AC$209</f>
        <v>135789361677.54817</v>
      </c>
      <c r="EP670" s="269">
        <f t="shared" si="1716"/>
        <v>307739571.2173385</v>
      </c>
      <c r="EQ670" s="196">
        <f>'Detailed Budget'!$AC$211</f>
        <v>33947340419.387043</v>
      </c>
      <c r="ER670" s="269">
        <f t="shared" si="1717"/>
        <v>76934892.804334626</v>
      </c>
      <c r="ES670" s="269">
        <f t="shared" si="1652"/>
        <v>384674464.02167314</v>
      </c>
      <c r="ET670" s="196">
        <f>'Detailed Budget'!$AC$214</f>
        <v>22239745544.201103</v>
      </c>
      <c r="EU670" s="269">
        <f t="shared" si="1718"/>
        <v>48948860.790491126</v>
      </c>
      <c r="EV670" s="140">
        <f>'Detailed Budget'!$AC$217</f>
        <v>5559936386.0502758</v>
      </c>
      <c r="EW670" s="269">
        <f t="shared" si="1719"/>
        <v>12237215.197622782</v>
      </c>
      <c r="EX670" s="269">
        <f t="shared" si="1653"/>
        <v>61186075.98811391</v>
      </c>
      <c r="EY670" s="196">
        <f>'Detailed Budget'!$AC$219</f>
        <v>372777004.58170313</v>
      </c>
      <c r="EZ670" s="269">
        <f t="shared" si="1720"/>
        <v>858969.65051143989</v>
      </c>
      <c r="FA670" s="196">
        <f>'Detailed Budget'!$AC$222</f>
        <v>93194251.145425782</v>
      </c>
      <c r="FB670" s="269">
        <f t="shared" si="1721"/>
        <v>214742.41262785997</v>
      </c>
      <c r="FC670" s="269">
        <f t="shared" si="1654"/>
        <v>1073712.0631392999</v>
      </c>
      <c r="FD670" s="269"/>
      <c r="FE670" s="269">
        <f t="shared" si="1663"/>
        <v>553704715.36855674</v>
      </c>
      <c r="FF670" s="140">
        <f>'Detailed Budget'!$AC$165</f>
        <v>14927760000</v>
      </c>
      <c r="FG670" s="1087">
        <f t="shared" si="1749"/>
        <v>755289883.61148274</v>
      </c>
      <c r="FH670" s="269">
        <f t="shared" si="1722"/>
        <v>16961436.200431772</v>
      </c>
      <c r="FJ670" s="140">
        <f>'Detailed Budget'!$AC$235</f>
        <v>3623696172</v>
      </c>
      <c r="FK670" s="269">
        <f t="shared" si="1723"/>
        <v>4681778</v>
      </c>
      <c r="FL670" s="269">
        <f t="shared" si="1750"/>
        <v>4681778</v>
      </c>
      <c r="FO670" s="607"/>
      <c r="FP670" s="607"/>
      <c r="FQ670" s="607"/>
      <c r="FR670" s="269">
        <f>'Detailed Budget'!$AC$257</f>
        <v>13636439388</v>
      </c>
      <c r="FS670" s="269">
        <f t="shared" si="1765"/>
        <v>6995352</v>
      </c>
      <c r="FT670" s="269">
        <f t="shared" si="1751"/>
        <v>6995352</v>
      </c>
      <c r="FU670" s="269"/>
      <c r="FV670" s="269"/>
      <c r="FW670" s="269"/>
      <c r="FX670" s="140">
        <f>'Detailed Budget'!$AC$278</f>
        <v>1114560000</v>
      </c>
      <c r="FY670" s="269">
        <f t="shared" si="1766"/>
        <v>1440000</v>
      </c>
      <c r="FZ670" s="269">
        <f t="shared" si="1752"/>
        <v>1440000</v>
      </c>
      <c r="GB670" s="269">
        <f t="shared" si="1760"/>
        <v>2511653037.3836331</v>
      </c>
      <c r="GC670" s="887">
        <f t="shared" si="1668"/>
        <v>1569783.1483647707</v>
      </c>
      <c r="GD670" s="1078">
        <f t="shared" si="1761"/>
        <v>1.4093676089770449E-3</v>
      </c>
    </row>
    <row r="671" spans="1:186" hidden="1" outlineLevel="1">
      <c r="A671" s="211" t="s">
        <v>1440</v>
      </c>
      <c r="B671" s="212" t="s">
        <v>1441</v>
      </c>
      <c r="C671" s="213" t="s">
        <v>215</v>
      </c>
      <c r="D671" s="214"/>
      <c r="E671" s="213"/>
      <c r="F671" s="213"/>
      <c r="G671" s="213" t="s">
        <v>215</v>
      </c>
      <c r="H671" s="213" t="s">
        <v>215</v>
      </c>
      <c r="I671" s="214" t="s">
        <v>215</v>
      </c>
      <c r="J671" s="214"/>
      <c r="K671" s="213"/>
      <c r="L671" s="213"/>
      <c r="M671" s="214"/>
      <c r="N671" s="213" t="s">
        <v>215</v>
      </c>
      <c r="O671" s="214"/>
      <c r="P671" s="213"/>
      <c r="Q671" s="214"/>
      <c r="R671" s="214" t="s">
        <v>215</v>
      </c>
      <c r="S671" s="214"/>
      <c r="T671" s="214"/>
      <c r="U671" s="215">
        <f t="shared" si="1767"/>
        <v>6</v>
      </c>
      <c r="V671" s="845" t="s">
        <v>216</v>
      </c>
      <c r="W671" s="216">
        <v>105242</v>
      </c>
      <c r="X671" s="217">
        <v>2.78</v>
      </c>
      <c r="Y671" s="218">
        <f t="shared" si="1598"/>
        <v>1.0278</v>
      </c>
      <c r="Z671" s="196">
        <v>19</v>
      </c>
      <c r="AA671" s="218">
        <f t="shared" si="1599"/>
        <v>1.6836958972696243</v>
      </c>
      <c r="AB671" s="196">
        <f t="shared" si="1746"/>
        <v>177195.52362044979</v>
      </c>
      <c r="AC671">
        <v>12.7</v>
      </c>
      <c r="AD671" s="196">
        <f t="shared" si="1747"/>
        <v>22503.831499797125</v>
      </c>
      <c r="AE671" s="196">
        <f t="shared" si="1600"/>
        <v>21378.639924807267</v>
      </c>
      <c r="AF671" s="196">
        <f t="shared" si="1768"/>
        <v>0</v>
      </c>
      <c r="AG671" s="606">
        <f t="shared" si="1671"/>
        <v>9.8845445613524887E-4</v>
      </c>
      <c r="AH671" s="196">
        <f t="shared" si="1784"/>
        <v>8859.7761810224893</v>
      </c>
      <c r="AI671" s="248">
        <f t="shared" si="1644"/>
        <v>6.8635343687170559E-4</v>
      </c>
      <c r="AJ671" s="196">
        <f t="shared" si="1672"/>
        <v>31363.607680819616</v>
      </c>
      <c r="AK671" s="196">
        <f t="shared" si="1698"/>
        <v>7087.8209448179914</v>
      </c>
      <c r="AL671" s="196">
        <f t="shared" si="1699"/>
        <v>7087.8209448179914</v>
      </c>
      <c r="AM671" s="196">
        <f t="shared" si="1656"/>
        <v>14175.641889635983</v>
      </c>
      <c r="AN671" s="627">
        <f t="shared" si="1657"/>
        <v>6.8635343687170559E-4</v>
      </c>
      <c r="AO671" s="196">
        <f t="shared" si="1658"/>
        <v>6733.4298975770917</v>
      </c>
      <c r="AP671" s="589">
        <f t="shared" si="1673"/>
        <v>6.8635343687170548E-4</v>
      </c>
      <c r="AQ671" s="196"/>
      <c r="AR671" s="589"/>
      <c r="AS671">
        <v>1</v>
      </c>
      <c r="AT671" s="589">
        <f t="shared" si="1674"/>
        <v>1.2919896640826874E-3</v>
      </c>
      <c r="AU671" s="196">
        <v>10</v>
      </c>
      <c r="AV671" s="245">
        <f t="shared" si="1645"/>
        <v>1.1362345188046814E-3</v>
      </c>
      <c r="AX671" s="245"/>
      <c r="AY671" s="245"/>
      <c r="AZ671" s="196">
        <v>18</v>
      </c>
      <c r="BA671" s="589">
        <f t="shared" si="1754"/>
        <v>6.5955809607562931E-4</v>
      </c>
      <c r="BI671" s="196">
        <v>0</v>
      </c>
      <c r="BK671" s="246">
        <f t="shared" si="1755"/>
        <v>0</v>
      </c>
      <c r="BL671" s="246"/>
      <c r="BM671" s="246">
        <f t="shared" si="1756"/>
        <v>0</v>
      </c>
      <c r="BN671" s="196">
        <v>1</v>
      </c>
      <c r="BO671" s="196">
        <f t="shared" si="1769"/>
        <v>13042.54044677333</v>
      </c>
      <c r="BP671" s="196">
        <f t="shared" si="1676"/>
        <v>13042.54044677333</v>
      </c>
      <c r="BQ671" s="248">
        <f t="shared" si="1757"/>
        <v>1.2200689229716147E-3</v>
      </c>
      <c r="BR671" s="248"/>
      <c r="BS671" s="248"/>
      <c r="BT671" s="276">
        <v>0</v>
      </c>
      <c r="BU671" s="196">
        <f t="shared" si="1770"/>
        <v>0</v>
      </c>
      <c r="BV671" s="264">
        <f t="shared" si="1758"/>
        <v>0</v>
      </c>
      <c r="BW671" s="196">
        <f t="shared" si="1771"/>
        <v>0</v>
      </c>
      <c r="BX671" s="247">
        <f t="shared" si="1759"/>
        <v>0</v>
      </c>
      <c r="BY671" s="196">
        <f t="shared" si="1772"/>
        <v>0</v>
      </c>
      <c r="BZ671" s="620">
        <v>1</v>
      </c>
      <c r="CA671" s="196">
        <f t="shared" si="1773"/>
        <v>54221.83022785763</v>
      </c>
      <c r="CB671" s="196">
        <f t="shared" si="1774"/>
        <v>108443.66045571526</v>
      </c>
      <c r="CC671" s="196">
        <f t="shared" si="1682"/>
        <v>162665.49068357289</v>
      </c>
      <c r="CD671" s="247">
        <f t="shared" si="1646"/>
        <v>6.8635343687170548E-4</v>
      </c>
      <c r="CE671" s="196">
        <f t="shared" si="1775"/>
        <v>15033.920501382428</v>
      </c>
      <c r="CF671" s="247">
        <f t="shared" si="1647"/>
        <v>6.4921144192560171E-4</v>
      </c>
      <c r="CG671" s="196">
        <f t="shared" si="1703"/>
        <v>26933.719590308367</v>
      </c>
      <c r="CH671" s="589">
        <f t="shared" si="1684"/>
        <v>6.8635343687170548E-4</v>
      </c>
      <c r="CI671" s="196">
        <f t="shared" si="1776"/>
        <v>35698.759755385166</v>
      </c>
      <c r="CJ671" s="248">
        <f t="shared" si="1686"/>
        <v>5.8688751976309912E-4</v>
      </c>
      <c r="CK671" s="196">
        <f t="shared" si="1777"/>
        <v>48758.155113624307</v>
      </c>
      <c r="CL671" s="589">
        <f t="shared" si="1688"/>
        <v>7.0090850888297588E-4</v>
      </c>
      <c r="CM671" s="196">
        <f t="shared" si="1778"/>
        <v>4723.4386480245694</v>
      </c>
      <c r="CN671" s="589">
        <f t="shared" si="1690"/>
        <v>6.8070118941227777E-4</v>
      </c>
      <c r="CO671" s="196">
        <f t="shared" si="1779"/>
        <v>377.89071523070896</v>
      </c>
      <c r="CP671" s="589">
        <f t="shared" si="1692"/>
        <v>7.1264368303966118E-4</v>
      </c>
      <c r="CQ671" s="196">
        <f>'Detailed Budget'!$AC$12</f>
        <v>292876014141.44696</v>
      </c>
      <c r="CR671" s="269">
        <f t="shared" si="1701"/>
        <v>0</v>
      </c>
      <c r="CS671" s="269">
        <f>'Detailed Budget'!$AC$16</f>
        <v>10488008800.000002</v>
      </c>
      <c r="CT671" s="607">
        <f t="shared" si="1705"/>
        <v>0</v>
      </c>
      <c r="CU671" s="269">
        <f>'Detailed Budget'!$AC$24</f>
        <v>30624985696</v>
      </c>
      <c r="CV671" s="269">
        <f t="shared" si="1753"/>
        <v>0</v>
      </c>
      <c r="CW671" s="269"/>
      <c r="CX671" s="269">
        <f t="shared" si="1660"/>
        <v>0</v>
      </c>
      <c r="CY671" s="196">
        <f>'Detailed Budget'!$AC$97</f>
        <v>74629165494.837845</v>
      </c>
      <c r="CZ671" s="269">
        <f t="shared" si="1706"/>
        <v>91052725.567557201</v>
      </c>
      <c r="DA671" s="269">
        <f>'Detailed Budget'!$AC$100</f>
        <v>14925833098.967569</v>
      </c>
      <c r="DB671" s="269">
        <f t="shared" si="1707"/>
        <v>18210545.113511439</v>
      </c>
      <c r="DC671" s="269">
        <f t="shared" si="1661"/>
        <v>109263270.68106864</v>
      </c>
      <c r="DD671" s="207">
        <v>0</v>
      </c>
      <c r="DE671" s="606">
        <v>0</v>
      </c>
      <c r="DF671" s="269">
        <f>'Detailed Budget'!$AC$147</f>
        <v>5913600671000</v>
      </c>
      <c r="DG671" s="269">
        <f t="shared" si="1748"/>
        <v>0</v>
      </c>
      <c r="DH671" s="269">
        <f>'Detailed Budget'!$AC$153</f>
        <v>226428026880.00003</v>
      </c>
      <c r="DI671" s="269"/>
      <c r="DJ671" s="269">
        <f>'Detailed Budget'!$AC$156</f>
        <v>27713070000</v>
      </c>
      <c r="DK671" s="269"/>
      <c r="DL671" s="269"/>
      <c r="DM671" s="196">
        <f>'Detailed Budget'!$AC$178</f>
        <v>5622683761.6229038</v>
      </c>
      <c r="DN671" s="269">
        <f t="shared" si="1780"/>
        <v>0</v>
      </c>
      <c r="DO671" s="196">
        <f>'Detailed Budget'!$AC$179</f>
        <v>26827890683.128094</v>
      </c>
      <c r="DP671" s="269">
        <f t="shared" si="1781"/>
        <v>0</v>
      </c>
      <c r="DQ671" s="269">
        <f t="shared" si="1700"/>
        <v>0</v>
      </c>
      <c r="DR671" s="269">
        <f>'Detailed Budget'!$AC$181</f>
        <v>50888946855.375237</v>
      </c>
      <c r="DS671" s="269">
        <f t="shared" si="1782"/>
        <v>0</v>
      </c>
      <c r="DT671" s="269">
        <f t="shared" si="1783"/>
        <v>0</v>
      </c>
      <c r="DU671" s="272">
        <f>'Detailed Budget'!$AC$192</f>
        <v>77498869683.252869</v>
      </c>
      <c r="DV671" s="269">
        <f t="shared" si="1708"/>
        <v>53191615.56077303</v>
      </c>
      <c r="DW671" s="140">
        <f>'Detailed Budget'!$AC$194</f>
        <v>2684962805.4134097</v>
      </c>
      <c r="DX671" s="269">
        <f t="shared" si="1709"/>
        <v>1842833.4493681903</v>
      </c>
      <c r="DY671" s="607">
        <f t="shared" si="1648"/>
        <v>55034449.010141224</v>
      </c>
      <c r="DZ671" s="196">
        <f>'Detailed Budget'!$AC$198</f>
        <v>18732540018.380611</v>
      </c>
      <c r="EA671" s="269">
        <f t="shared" si="1764"/>
        <v>12161379.316261914</v>
      </c>
      <c r="EB671" s="196">
        <f>'Detailed Budget'!$AC$200</f>
        <v>4683135004.5951529</v>
      </c>
      <c r="EC671" s="269">
        <f t="shared" si="1711"/>
        <v>3040344.8290654784</v>
      </c>
      <c r="ED671" s="269">
        <f t="shared" si="1649"/>
        <v>15201724.145327393</v>
      </c>
      <c r="EE671" s="196">
        <f>'Detailed Budget'!$AC$161</f>
        <v>251147290106.36197</v>
      </c>
      <c r="EF671" s="269">
        <f t="shared" si="1712"/>
        <v>172375805.72551683</v>
      </c>
      <c r="EG671" s="196">
        <f>'Detailed Budget'!$AC$163</f>
        <v>15696705631.647623</v>
      </c>
      <c r="EH671" s="269">
        <f t="shared" si="1713"/>
        <v>10773487.857844802</v>
      </c>
      <c r="EI671" s="269">
        <f t="shared" si="1650"/>
        <v>183149293.58336163</v>
      </c>
      <c r="EJ671" s="196">
        <f>'Detailed Budget'!$AC$204</f>
        <v>45012172507.531975</v>
      </c>
      <c r="EK671" s="269">
        <f t="shared" si="1714"/>
        <v>26417082.282094199</v>
      </c>
      <c r="EL671" s="201">
        <f>'Detailed Budget'!$AC$206</f>
        <v>11253043126.882994</v>
      </c>
      <c r="EM671" s="269">
        <f t="shared" si="1715"/>
        <v>6604270.5705235498</v>
      </c>
      <c r="EN671" s="269">
        <f t="shared" si="1651"/>
        <v>33021352.852617748</v>
      </c>
      <c r="EO671" s="140">
        <f>'Detailed Budget'!$AC$209</f>
        <v>135789361677.54817</v>
      </c>
      <c r="EP671" s="269">
        <f t="shared" si="1716"/>
        <v>95175919.015581399</v>
      </c>
      <c r="EQ671" s="196">
        <f>'Detailed Budget'!$AC$211</f>
        <v>33947340419.387043</v>
      </c>
      <c r="ER671" s="269">
        <f t="shared" si="1717"/>
        <v>23793979.75389535</v>
      </c>
      <c r="ES671" s="269">
        <f t="shared" si="1652"/>
        <v>118969898.76947674</v>
      </c>
      <c r="ET671" s="196">
        <f>'Detailed Budget'!$AC$214</f>
        <v>22239745544.201103</v>
      </c>
      <c r="EU671" s="269">
        <f t="shared" si="1718"/>
        <v>15138621.244164096</v>
      </c>
      <c r="EV671" s="140">
        <f>'Detailed Budget'!$AC$217</f>
        <v>5559936386.0502758</v>
      </c>
      <c r="EW671" s="269">
        <f t="shared" si="1719"/>
        <v>3784655.311041024</v>
      </c>
      <c r="EX671" s="269">
        <f t="shared" si="1653"/>
        <v>18923276.555205122</v>
      </c>
      <c r="EY671" s="196">
        <f>'Detailed Budget'!$AC$219</f>
        <v>372777004.58170313</v>
      </c>
      <c r="EZ671" s="269">
        <f t="shared" si="1720"/>
        <v>265657.17749759759</v>
      </c>
      <c r="FA671" s="196">
        <f>'Detailed Budget'!$AC$222</f>
        <v>93194251.145425782</v>
      </c>
      <c r="FB671" s="269">
        <f t="shared" si="1721"/>
        <v>66414.294374399396</v>
      </c>
      <c r="FC671" s="269">
        <f t="shared" si="1654"/>
        <v>332071.471871997</v>
      </c>
      <c r="FD671" s="269"/>
      <c r="FE671" s="269">
        <f t="shared" si="1663"/>
        <v>171246599.64917162</v>
      </c>
      <c r="FF671" s="140">
        <f>'Detailed Budget'!$AC$165</f>
        <v>14927760000</v>
      </c>
      <c r="FG671" s="1087">
        <f t="shared" si="1749"/>
        <v>233591697.39378726</v>
      </c>
      <c r="FH671" s="269">
        <f t="shared" si="1722"/>
        <v>16961436.200431772</v>
      </c>
      <c r="FJ671" s="140">
        <f>'Detailed Budget'!$AC$235</f>
        <v>3623696172</v>
      </c>
      <c r="FK671" s="269">
        <f t="shared" si="1723"/>
        <v>4681778</v>
      </c>
      <c r="FL671" s="269">
        <f t="shared" si="1750"/>
        <v>4681778</v>
      </c>
      <c r="FO671" s="607"/>
      <c r="FP671" s="607"/>
      <c r="FQ671" s="607"/>
      <c r="FR671" s="269">
        <f>'Detailed Budget'!$AC$257</f>
        <v>13636439388</v>
      </c>
      <c r="FS671" s="269">
        <f t="shared" si="1765"/>
        <v>8994024</v>
      </c>
      <c r="FT671" s="269">
        <f t="shared" si="1751"/>
        <v>8994024</v>
      </c>
      <c r="FU671" s="269"/>
      <c r="FV671" s="269"/>
      <c r="FW671" s="269"/>
      <c r="FX671" s="140">
        <f>'Detailed Budget'!$AC$278</f>
        <v>1114560000</v>
      </c>
      <c r="FY671" s="269">
        <f t="shared" si="1766"/>
        <v>1440000</v>
      </c>
      <c r="FZ671" s="269">
        <f t="shared" si="1752"/>
        <v>1440000</v>
      </c>
      <c r="GB671" s="269">
        <f t="shared" si="1760"/>
        <v>799564272.66328955</v>
      </c>
      <c r="GC671" s="887">
        <f t="shared" si="1668"/>
        <v>499727.67041455599</v>
      </c>
      <c r="GD671" s="1078">
        <f t="shared" si="1761"/>
        <v>4.4866069095307501E-4</v>
      </c>
    </row>
    <row r="672" spans="1:186" hidden="1" outlineLevel="1">
      <c r="A672" s="211" t="s">
        <v>1442</v>
      </c>
      <c r="B672" s="212" t="s">
        <v>1443</v>
      </c>
      <c r="C672" s="213" t="s">
        <v>215</v>
      </c>
      <c r="D672" s="214"/>
      <c r="E672" s="213"/>
      <c r="F672" s="213"/>
      <c r="G672" s="213" t="s">
        <v>215</v>
      </c>
      <c r="H672" s="213" t="s">
        <v>215</v>
      </c>
      <c r="I672" s="214" t="s">
        <v>215</v>
      </c>
      <c r="J672" s="214"/>
      <c r="K672" s="213"/>
      <c r="L672" s="213"/>
      <c r="M672" s="214" t="s">
        <v>215</v>
      </c>
      <c r="N672" s="213"/>
      <c r="O672" s="214"/>
      <c r="P672" s="213"/>
      <c r="Q672" s="214"/>
      <c r="R672" s="214" t="s">
        <v>215</v>
      </c>
      <c r="S672" s="214"/>
      <c r="T672" s="214"/>
      <c r="U672" s="215">
        <f t="shared" si="1767"/>
        <v>6</v>
      </c>
      <c r="V672" s="845" t="s">
        <v>216</v>
      </c>
      <c r="W672" s="216">
        <v>121989</v>
      </c>
      <c r="X672" s="217">
        <v>2.78</v>
      </c>
      <c r="Y672" s="218">
        <f t="shared" si="1598"/>
        <v>1.0278</v>
      </c>
      <c r="Z672" s="196">
        <v>19</v>
      </c>
      <c r="AA672" s="218">
        <f t="shared" si="1599"/>
        <v>1.6836958972696243</v>
      </c>
      <c r="AB672" s="196">
        <f t="shared" si="1746"/>
        <v>205392.3788120242</v>
      </c>
      <c r="AC672">
        <v>12.7</v>
      </c>
      <c r="AD672" s="196">
        <f t="shared" si="1747"/>
        <v>26084.832109127074</v>
      </c>
      <c r="AE672" s="196">
        <f t="shared" si="1600"/>
        <v>24780.590503670719</v>
      </c>
      <c r="AF672" s="196">
        <f t="shared" si="1768"/>
        <v>0</v>
      </c>
      <c r="AG672" s="606">
        <f t="shared" si="1671"/>
        <v>1.1457457160590153E-3</v>
      </c>
      <c r="AH672" s="196">
        <f t="shared" si="1784"/>
        <v>10269.618940601211</v>
      </c>
      <c r="AI672" s="248">
        <f t="shared" si="1644"/>
        <v>7.9557181933584029E-4</v>
      </c>
      <c r="AJ672" s="196">
        <f t="shared" si="1672"/>
        <v>36354.451049728283</v>
      </c>
      <c r="AK672" s="196">
        <f t="shared" si="1698"/>
        <v>8215.6951524809683</v>
      </c>
      <c r="AL672" s="196">
        <f t="shared" si="1699"/>
        <v>8215.6951524809683</v>
      </c>
      <c r="AM672" s="196">
        <f t="shared" si="1656"/>
        <v>16431.390304961937</v>
      </c>
      <c r="AN672" s="627">
        <f t="shared" si="1657"/>
        <v>7.9557181933584029E-4</v>
      </c>
      <c r="AO672" s="196">
        <f t="shared" si="1658"/>
        <v>7804.9103948569191</v>
      </c>
      <c r="AP672" s="589">
        <f t="shared" si="1673"/>
        <v>7.9557181933584019E-4</v>
      </c>
      <c r="AQ672" s="196"/>
      <c r="AR672" s="589"/>
      <c r="AS672">
        <v>1</v>
      </c>
      <c r="AT672" s="589">
        <f t="shared" si="1674"/>
        <v>1.2919896640826874E-3</v>
      </c>
      <c r="AU672" s="196">
        <v>11</v>
      </c>
      <c r="AV672" s="245">
        <f t="shared" si="1645"/>
        <v>1.2498579706851495E-3</v>
      </c>
      <c r="AX672" s="245"/>
      <c r="AY672" s="245"/>
      <c r="AZ672" s="196">
        <v>17</v>
      </c>
      <c r="BA672" s="589">
        <f t="shared" si="1754"/>
        <v>6.229159796269833E-4</v>
      </c>
      <c r="BI672" s="196">
        <v>0</v>
      </c>
      <c r="BK672" s="246">
        <f t="shared" si="1755"/>
        <v>0</v>
      </c>
      <c r="BL672" s="246"/>
      <c r="BM672" s="246">
        <f t="shared" si="1756"/>
        <v>0</v>
      </c>
      <c r="BN672" s="196">
        <v>1</v>
      </c>
      <c r="BO672" s="196">
        <f t="shared" si="1769"/>
        <v>15117.980146343016</v>
      </c>
      <c r="BP672" s="196">
        <f t="shared" si="1676"/>
        <v>15117.980146343016</v>
      </c>
      <c r="BQ672" s="248">
        <f t="shared" si="1757"/>
        <v>1.4142166420667063E-3</v>
      </c>
      <c r="BR672" s="248"/>
      <c r="BS672" s="248"/>
      <c r="BT672" s="276">
        <v>0</v>
      </c>
      <c r="BU672" s="196">
        <f t="shared" si="1770"/>
        <v>0</v>
      </c>
      <c r="BV672" s="264">
        <f t="shared" si="1758"/>
        <v>0</v>
      </c>
      <c r="BW672" s="196">
        <f t="shared" si="1771"/>
        <v>0</v>
      </c>
      <c r="BX672" s="247">
        <f t="shared" si="1759"/>
        <v>0</v>
      </c>
      <c r="BY672" s="196">
        <f t="shared" si="1772"/>
        <v>0</v>
      </c>
      <c r="BZ672" s="620">
        <v>1</v>
      </c>
      <c r="CA672" s="196">
        <f t="shared" si="1773"/>
        <v>62850.067916479398</v>
      </c>
      <c r="CB672" s="196">
        <f t="shared" si="1774"/>
        <v>125700.1358329588</v>
      </c>
      <c r="CC672" s="196">
        <f t="shared" si="1682"/>
        <v>188550.20374943819</v>
      </c>
      <c r="CD672" s="247">
        <f t="shared" si="1646"/>
        <v>7.9557181933584008E-4</v>
      </c>
      <c r="CE672" s="196">
        <f t="shared" si="1775"/>
        <v>17426.245491753682</v>
      </c>
      <c r="CF672" s="247">
        <f t="shared" si="1647"/>
        <v>7.5251947501056831E-4</v>
      </c>
      <c r="CG672" s="196">
        <f t="shared" si="1703"/>
        <v>31219.641579427676</v>
      </c>
      <c r="CH672" s="589">
        <f t="shared" si="1684"/>
        <v>7.9557181933584019E-4</v>
      </c>
      <c r="CI672" s="196">
        <f t="shared" si="1776"/>
        <v>41379.449305407354</v>
      </c>
      <c r="CJ672" s="248">
        <f t="shared" si="1686"/>
        <v>6.8027804154596728E-4</v>
      </c>
      <c r="CK672" s="196">
        <f t="shared" si="1777"/>
        <v>56516.966459739597</v>
      </c>
      <c r="CL672" s="589">
        <f t="shared" si="1688"/>
        <v>8.124430179027891E-4</v>
      </c>
      <c r="CM672" s="196">
        <f t="shared" si="1778"/>
        <v>5475.0722832506908</v>
      </c>
      <c r="CN672" s="589">
        <f t="shared" si="1690"/>
        <v>7.8902013830233506E-4</v>
      </c>
      <c r="CO672" s="196">
        <f t="shared" si="1779"/>
        <v>438.02389217497722</v>
      </c>
      <c r="CP672" s="589">
        <f t="shared" si="1692"/>
        <v>8.2604559254219052E-4</v>
      </c>
      <c r="CQ672" s="196">
        <f>'Detailed Budget'!$AC$12</f>
        <v>292876014141.44696</v>
      </c>
      <c r="CR672" s="269">
        <f t="shared" si="1701"/>
        <v>0</v>
      </c>
      <c r="CS672" s="269">
        <f>'Detailed Budget'!$AC$16</f>
        <v>10488008800.000002</v>
      </c>
      <c r="CT672" s="607">
        <f t="shared" si="1705"/>
        <v>0</v>
      </c>
      <c r="CU672" s="269">
        <f>'Detailed Budget'!$AC$24</f>
        <v>30624985696</v>
      </c>
      <c r="CV672" s="269">
        <f t="shared" si="1753"/>
        <v>0</v>
      </c>
      <c r="CW672" s="269"/>
      <c r="CX672" s="269">
        <f t="shared" si="1660"/>
        <v>0</v>
      </c>
      <c r="CY672" s="196">
        <f>'Detailed Budget'!$AC$97</f>
        <v>74629165494.837845</v>
      </c>
      <c r="CZ672" s="269">
        <f t="shared" si="1706"/>
        <v>105541807.82635008</v>
      </c>
      <c r="DA672" s="269">
        <f>'Detailed Budget'!$AC$100</f>
        <v>14925833098.967569</v>
      </c>
      <c r="DB672" s="269">
        <f t="shared" si="1707"/>
        <v>21108361.565270018</v>
      </c>
      <c r="DC672" s="269">
        <f t="shared" si="1661"/>
        <v>126650169.3916201</v>
      </c>
      <c r="DD672" s="207">
        <v>0</v>
      </c>
      <c r="DE672" s="606">
        <v>0</v>
      </c>
      <c r="DF672" s="269">
        <f>'Detailed Budget'!$AC$147</f>
        <v>5913600671000</v>
      </c>
      <c r="DG672" s="269">
        <f t="shared" si="1748"/>
        <v>0</v>
      </c>
      <c r="DH672" s="269">
        <f>'Detailed Budget'!$AC$153</f>
        <v>226428026880.00003</v>
      </c>
      <c r="DI672" s="269"/>
      <c r="DJ672" s="269">
        <f>'Detailed Budget'!$AC$156</f>
        <v>27713070000</v>
      </c>
      <c r="DK672" s="269"/>
      <c r="DL672" s="269"/>
      <c r="DM672" s="196">
        <f>'Detailed Budget'!$AC$178</f>
        <v>5622683761.6229038</v>
      </c>
      <c r="DN672" s="269">
        <f t="shared" si="1780"/>
        <v>0</v>
      </c>
      <c r="DO672" s="196">
        <f>'Detailed Budget'!$AC$179</f>
        <v>26827890683.128094</v>
      </c>
      <c r="DP672" s="269">
        <f t="shared" si="1781"/>
        <v>0</v>
      </c>
      <c r="DQ672" s="269">
        <f t="shared" si="1700"/>
        <v>0</v>
      </c>
      <c r="DR672" s="269">
        <f>'Detailed Budget'!$AC$181</f>
        <v>50888946855.375237</v>
      </c>
      <c r="DS672" s="269">
        <f t="shared" si="1782"/>
        <v>0</v>
      </c>
      <c r="DT672" s="269">
        <f t="shared" si="1783"/>
        <v>0</v>
      </c>
      <c r="DU672" s="272">
        <f>'Detailed Budget'!$AC$192</f>
        <v>77498869683.252869</v>
      </c>
      <c r="DV672" s="269">
        <f t="shared" si="1708"/>
        <v>61655916.750376664</v>
      </c>
      <c r="DW672" s="140">
        <f>'Detailed Budget'!$AC$194</f>
        <v>2684962805.4134097</v>
      </c>
      <c r="DX672" s="269">
        <f t="shared" si="1709"/>
        <v>2136080.7439518082</v>
      </c>
      <c r="DY672" s="607">
        <f t="shared" si="1648"/>
        <v>63791997.494328469</v>
      </c>
      <c r="DZ672" s="196">
        <f>'Detailed Budget'!$AC$198</f>
        <v>18732540018.380611</v>
      </c>
      <c r="EA672" s="269">
        <f t="shared" si="1764"/>
        <v>14096601.18024624</v>
      </c>
      <c r="EB672" s="196">
        <f>'Detailed Budget'!$AC$200</f>
        <v>4683135004.5951529</v>
      </c>
      <c r="EC672" s="269">
        <f t="shared" si="1711"/>
        <v>3524150.2950615599</v>
      </c>
      <c r="ED672" s="269">
        <f t="shared" si="1649"/>
        <v>17620751.4753078</v>
      </c>
      <c r="EE672" s="196">
        <f>'Detailed Budget'!$AC$161</f>
        <v>251147290106.36197</v>
      </c>
      <c r="EF672" s="269">
        <f t="shared" si="1712"/>
        <v>199805706.51118445</v>
      </c>
      <c r="EG672" s="196">
        <f>'Detailed Budget'!$AC$163</f>
        <v>15696705631.647623</v>
      </c>
      <c r="EH672" s="269">
        <f t="shared" si="1713"/>
        <v>12487856.656949028</v>
      </c>
      <c r="EI672" s="269">
        <f t="shared" si="1650"/>
        <v>212293563.1681335</v>
      </c>
      <c r="EJ672" s="196">
        <f>'Detailed Budget'!$AC$204</f>
        <v>45012172507.531975</v>
      </c>
      <c r="EK672" s="269">
        <f t="shared" si="1714"/>
        <v>30620792.559153084</v>
      </c>
      <c r="EL672" s="201">
        <f>'Detailed Budget'!$AC$206</f>
        <v>11253043126.882994</v>
      </c>
      <c r="EM672" s="269">
        <f t="shared" si="1715"/>
        <v>7655198.1397882709</v>
      </c>
      <c r="EN672" s="269">
        <f t="shared" si="1651"/>
        <v>38275990.698941357</v>
      </c>
      <c r="EO672" s="140">
        <f>'Detailed Budget'!$AC$209</f>
        <v>135789361677.54817</v>
      </c>
      <c r="EP672" s="269">
        <f t="shared" si="1716"/>
        <v>110321118.80040057</v>
      </c>
      <c r="EQ672" s="196">
        <f>'Detailed Budget'!$AC$211</f>
        <v>33947340419.387043</v>
      </c>
      <c r="ER672" s="269">
        <f t="shared" si="1717"/>
        <v>27580279.700100143</v>
      </c>
      <c r="ES672" s="269">
        <f t="shared" si="1652"/>
        <v>137901398.50050071</v>
      </c>
      <c r="ET672" s="196">
        <f>'Detailed Budget'!$AC$214</f>
        <v>22239745544.201103</v>
      </c>
      <c r="EU672" s="269">
        <f t="shared" si="1718"/>
        <v>17547607.105094295</v>
      </c>
      <c r="EV672" s="140">
        <f>'Detailed Budget'!$AC$217</f>
        <v>5559936386.0502758</v>
      </c>
      <c r="EW672" s="269">
        <f t="shared" si="1719"/>
        <v>4386901.7762735737</v>
      </c>
      <c r="EX672" s="269">
        <f t="shared" si="1653"/>
        <v>21934508.88136787</v>
      </c>
      <c r="EY672" s="196">
        <f>'Detailed Budget'!$AC$219</f>
        <v>372777004.58170313</v>
      </c>
      <c r="EZ672" s="269">
        <f t="shared" si="1720"/>
        <v>307930.80163579585</v>
      </c>
      <c r="FA672" s="196">
        <f>'Detailed Budget'!$AC$222</f>
        <v>93194251.145425782</v>
      </c>
      <c r="FB672" s="269">
        <f t="shared" si="1721"/>
        <v>76982.700408948964</v>
      </c>
      <c r="FC672" s="269">
        <f t="shared" si="1654"/>
        <v>384913.50204474479</v>
      </c>
      <c r="FD672" s="269"/>
      <c r="FE672" s="269">
        <f t="shared" si="1663"/>
        <v>198496811.58285466</v>
      </c>
      <c r="FF672" s="140">
        <f>'Detailed Budget'!$AC$165</f>
        <v>14927760000</v>
      </c>
      <c r="FG672" s="1087">
        <f t="shared" si="1749"/>
        <v>270762790.26786554</v>
      </c>
      <c r="FH672" s="269">
        <f t="shared" si="1722"/>
        <v>18657579.820474949</v>
      </c>
      <c r="FJ672" s="140">
        <f>'Detailed Budget'!$AC$235</f>
        <v>3623696172</v>
      </c>
      <c r="FK672" s="269">
        <f t="shared" si="1723"/>
        <v>4681778</v>
      </c>
      <c r="FL672" s="269">
        <f t="shared" si="1750"/>
        <v>4681778</v>
      </c>
      <c r="FO672" s="607"/>
      <c r="FP672" s="607"/>
      <c r="FQ672" s="607"/>
      <c r="FR672" s="269">
        <f>'Detailed Budget'!$AC$257</f>
        <v>13636439388</v>
      </c>
      <c r="FS672" s="269">
        <f t="shared" si="1765"/>
        <v>8494356</v>
      </c>
      <c r="FT672" s="269">
        <f t="shared" si="1751"/>
        <v>8494356</v>
      </c>
      <c r="FU672" s="269"/>
      <c r="FV672" s="269"/>
      <c r="FW672" s="269"/>
      <c r="FX672" s="140">
        <f>'Detailed Budget'!$AC$278</f>
        <v>1114560000</v>
      </c>
      <c r="FY672" s="269">
        <f t="shared" si="1766"/>
        <v>1440000</v>
      </c>
      <c r="FZ672" s="269">
        <f t="shared" si="1752"/>
        <v>1440000</v>
      </c>
      <c r="GB672" s="269">
        <f t="shared" si="1760"/>
        <v>922889797.20058501</v>
      </c>
      <c r="GC672" s="887">
        <f t="shared" si="1668"/>
        <v>576806.12325036561</v>
      </c>
      <c r="GD672" s="1078">
        <f t="shared" si="1761"/>
        <v>5.17862526181091E-4</v>
      </c>
    </row>
    <row r="673" spans="1:186" hidden="1" outlineLevel="1">
      <c r="A673" s="211" t="s">
        <v>1444</v>
      </c>
      <c r="B673" s="212" t="s">
        <v>1445</v>
      </c>
      <c r="C673" s="213" t="s">
        <v>215</v>
      </c>
      <c r="D673" s="214"/>
      <c r="E673" s="213"/>
      <c r="F673" s="213"/>
      <c r="G673" s="213" t="s">
        <v>215</v>
      </c>
      <c r="H673" s="213" t="s">
        <v>215</v>
      </c>
      <c r="I673" s="214" t="s">
        <v>215</v>
      </c>
      <c r="J673" s="214"/>
      <c r="K673" s="213"/>
      <c r="L673" s="213"/>
      <c r="M673" s="214" t="s">
        <v>215</v>
      </c>
      <c r="N673" s="213"/>
      <c r="O673" s="214"/>
      <c r="P673" s="213"/>
      <c r="Q673" s="214"/>
      <c r="R673" s="214" t="s">
        <v>215</v>
      </c>
      <c r="S673" s="214"/>
      <c r="T673" s="214"/>
      <c r="U673" s="215">
        <f t="shared" si="1767"/>
        <v>6</v>
      </c>
      <c r="V673" s="845" t="s">
        <v>216</v>
      </c>
      <c r="W673" s="216">
        <v>166309</v>
      </c>
      <c r="X673" s="217">
        <v>2.78</v>
      </c>
      <c r="Y673" s="218">
        <f t="shared" si="1598"/>
        <v>1.0278</v>
      </c>
      <c r="Z673" s="196">
        <v>19</v>
      </c>
      <c r="AA673" s="218">
        <f t="shared" si="1599"/>
        <v>1.6836958972696243</v>
      </c>
      <c r="AB673" s="196">
        <f t="shared" si="1746"/>
        <v>280013.78097901394</v>
      </c>
      <c r="AC673">
        <v>12.7</v>
      </c>
      <c r="AD673" s="196">
        <f t="shared" si="1747"/>
        <v>35561.750184334771</v>
      </c>
      <c r="AE673" s="196">
        <f t="shared" si="1600"/>
        <v>33783.66267511803</v>
      </c>
      <c r="AF673" s="196">
        <f t="shared" si="1768"/>
        <v>0</v>
      </c>
      <c r="AG673" s="606">
        <f t="shared" si="1671"/>
        <v>1.5620082490393295E-3</v>
      </c>
      <c r="AH673" s="196">
        <f t="shared" si="1784"/>
        <v>14000.689048950699</v>
      </c>
      <c r="AI673" s="248">
        <f t="shared" si="1644"/>
        <v>1.0846121675062855E-3</v>
      </c>
      <c r="AJ673" s="196">
        <f t="shared" si="1672"/>
        <v>49562.43923328547</v>
      </c>
      <c r="AK673" s="196">
        <f t="shared" si="1698"/>
        <v>11200.551239160557</v>
      </c>
      <c r="AL673" s="196">
        <f t="shared" si="1699"/>
        <v>11200.551239160557</v>
      </c>
      <c r="AM673" s="196">
        <f t="shared" si="1656"/>
        <v>22401.102478321114</v>
      </c>
      <c r="AN673" s="627">
        <f t="shared" si="1657"/>
        <v>1.0846121675062853E-3</v>
      </c>
      <c r="AO673" s="196">
        <f t="shared" si="1658"/>
        <v>10640.523677202529</v>
      </c>
      <c r="AP673" s="589">
        <f t="shared" si="1673"/>
        <v>1.0846121675062853E-3</v>
      </c>
      <c r="AQ673" s="196"/>
      <c r="AR673" s="589"/>
      <c r="AS673">
        <v>1</v>
      </c>
      <c r="AT673" s="589">
        <f t="shared" si="1674"/>
        <v>1.2919896640826874E-3</v>
      </c>
      <c r="AU673" s="196">
        <v>10</v>
      </c>
      <c r="AV673" s="245">
        <f t="shared" si="1645"/>
        <v>1.1362345188046814E-3</v>
      </c>
      <c r="AX673" s="245"/>
      <c r="AY673" s="245"/>
      <c r="AZ673" s="196">
        <v>35</v>
      </c>
      <c r="BA673" s="589">
        <f t="shared" si="1754"/>
        <v>1.2824740757026126E-3</v>
      </c>
      <c r="BI673" s="196">
        <v>0</v>
      </c>
      <c r="BK673" s="246">
        <f t="shared" si="1755"/>
        <v>0</v>
      </c>
      <c r="BL673" s="246"/>
      <c r="BM673" s="246">
        <f t="shared" si="1756"/>
        <v>0</v>
      </c>
      <c r="BN673" s="196">
        <v>1</v>
      </c>
      <c r="BO673" s="196">
        <f t="shared" si="1769"/>
        <v>20610.515375633546</v>
      </c>
      <c r="BP673" s="196">
        <f t="shared" si="1676"/>
        <v>20610.515375633546</v>
      </c>
      <c r="BQ673" s="248">
        <f t="shared" si="1757"/>
        <v>1.9280177354144376E-3</v>
      </c>
      <c r="BR673" s="248"/>
      <c r="BS673" s="248"/>
      <c r="BT673" s="276">
        <v>0</v>
      </c>
      <c r="BU673" s="196">
        <f t="shared" si="1770"/>
        <v>0</v>
      </c>
      <c r="BV673" s="264">
        <f t="shared" si="1758"/>
        <v>0</v>
      </c>
      <c r="BW673" s="196">
        <f t="shared" si="1771"/>
        <v>0</v>
      </c>
      <c r="BX673" s="247">
        <f t="shared" si="1759"/>
        <v>0</v>
      </c>
      <c r="BY673" s="196">
        <f t="shared" si="1772"/>
        <v>0</v>
      </c>
      <c r="BZ673" s="620">
        <v>1</v>
      </c>
      <c r="CA673" s="196">
        <f t="shared" si="1773"/>
        <v>85684.216979578254</v>
      </c>
      <c r="CB673" s="196">
        <f t="shared" si="1774"/>
        <v>171368.43395915651</v>
      </c>
      <c r="CC673" s="196">
        <f t="shared" si="1682"/>
        <v>257052.65093873476</v>
      </c>
      <c r="CD673" s="247">
        <f t="shared" si="1646"/>
        <v>1.0846121675062853E-3</v>
      </c>
      <c r="CE673" s="196">
        <f t="shared" si="1775"/>
        <v>23757.39994170018</v>
      </c>
      <c r="CF673" s="247">
        <f t="shared" si="1647"/>
        <v>1.0259184137056015E-3</v>
      </c>
      <c r="CG673" s="196">
        <f t="shared" si="1703"/>
        <v>42562.094708810117</v>
      </c>
      <c r="CH673" s="589">
        <f t="shared" si="1684"/>
        <v>1.0846121675062853E-3</v>
      </c>
      <c r="CI673" s="196">
        <f t="shared" si="1776"/>
        <v>56413.076871955593</v>
      </c>
      <c r="CJ673" s="248">
        <f t="shared" si="1686"/>
        <v>9.2743084057962818E-4</v>
      </c>
      <c r="CK673" s="196">
        <f t="shared" si="1777"/>
        <v>77050.227274203673</v>
      </c>
      <c r="CL673" s="589">
        <f t="shared" si="1688"/>
        <v>1.1076128656222687E-3</v>
      </c>
      <c r="CM673" s="196">
        <f t="shared" si="1778"/>
        <v>7464.2287120571455</v>
      </c>
      <c r="CN673" s="589">
        <f t="shared" si="1690"/>
        <v>1.07568018576202E-3</v>
      </c>
      <c r="CO673" s="196">
        <f t="shared" si="1779"/>
        <v>597.16298587354834</v>
      </c>
      <c r="CP673" s="589">
        <f t="shared" si="1692"/>
        <v>1.1261574113247848E-3</v>
      </c>
      <c r="CQ673" s="196">
        <f>'Detailed Budget'!$AC$12</f>
        <v>292876014141.44696</v>
      </c>
      <c r="CR673" s="269">
        <f t="shared" si="1701"/>
        <v>0</v>
      </c>
      <c r="CS673" s="269">
        <f>'Detailed Budget'!$AC$16</f>
        <v>10488008800.000002</v>
      </c>
      <c r="CT673" s="607">
        <f t="shared" si="1705"/>
        <v>0</v>
      </c>
      <c r="CU673" s="269">
        <f>'Detailed Budget'!$AC$24</f>
        <v>30624985696</v>
      </c>
      <c r="CV673" s="269">
        <f t="shared" si="1753"/>
        <v>0</v>
      </c>
      <c r="CW673" s="269"/>
      <c r="CX673" s="269">
        <f t="shared" si="1660"/>
        <v>0</v>
      </c>
      <c r="CY673" s="196">
        <f>'Detailed Budget'!$AC$97</f>
        <v>74629165494.837845</v>
      </c>
      <c r="CZ673" s="269">
        <f t="shared" si="1706"/>
        <v>143886354.65322655</v>
      </c>
      <c r="DA673" s="269">
        <f>'Detailed Budget'!$AC$100</f>
        <v>14925833098.967569</v>
      </c>
      <c r="DB673" s="269">
        <f t="shared" si="1707"/>
        <v>28777270.930645309</v>
      </c>
      <c r="DC673" s="269">
        <f t="shared" si="1661"/>
        <v>172663625.58387187</v>
      </c>
      <c r="DD673" s="207">
        <v>0</v>
      </c>
      <c r="DE673" s="606">
        <v>0</v>
      </c>
      <c r="DF673" s="269">
        <f>'Detailed Budget'!$AC$147</f>
        <v>5913600671000</v>
      </c>
      <c r="DG673" s="269">
        <f t="shared" si="1748"/>
        <v>0</v>
      </c>
      <c r="DH673" s="269">
        <f>'Detailed Budget'!$AC$153</f>
        <v>226428026880.00003</v>
      </c>
      <c r="DI673" s="269"/>
      <c r="DJ673" s="269">
        <f>'Detailed Budget'!$AC$156</f>
        <v>27713070000</v>
      </c>
      <c r="DK673" s="269"/>
      <c r="DL673" s="269"/>
      <c r="DM673" s="196">
        <f>'Detailed Budget'!$AC$178</f>
        <v>5622683761.6229038</v>
      </c>
      <c r="DN673" s="269">
        <f t="shared" si="1780"/>
        <v>0</v>
      </c>
      <c r="DO673" s="196">
        <f>'Detailed Budget'!$AC$179</f>
        <v>26827890683.128094</v>
      </c>
      <c r="DP673" s="269">
        <f t="shared" si="1781"/>
        <v>0</v>
      </c>
      <c r="DQ673" s="269">
        <f t="shared" si="1700"/>
        <v>0</v>
      </c>
      <c r="DR673" s="269">
        <f>'Detailed Budget'!$AC$181</f>
        <v>50888946855.375237</v>
      </c>
      <c r="DS673" s="269">
        <f t="shared" si="1782"/>
        <v>0</v>
      </c>
      <c r="DT673" s="269">
        <f t="shared" si="1783"/>
        <v>0</v>
      </c>
      <c r="DU673" s="272">
        <f>'Detailed Budget'!$AC$192</f>
        <v>77498869683.252869</v>
      </c>
      <c r="DV673" s="269">
        <f t="shared" si="1708"/>
        <v>84056217.026440039</v>
      </c>
      <c r="DW673" s="140">
        <f>'Detailed Budget'!$AC$194</f>
        <v>2684962805.4134097</v>
      </c>
      <c r="DX673" s="269">
        <f t="shared" si="1709"/>
        <v>2912143.328053195</v>
      </c>
      <c r="DY673" s="607">
        <f t="shared" si="1648"/>
        <v>86968360.354493231</v>
      </c>
      <c r="DZ673" s="196">
        <f>'Detailed Budget'!$AC$198</f>
        <v>18732540018.380611</v>
      </c>
      <c r="EA673" s="269">
        <f t="shared" si="1764"/>
        <v>19218057.740333736</v>
      </c>
      <c r="EB673" s="196">
        <f>'Detailed Budget'!$AC$200</f>
        <v>4683135004.5951529</v>
      </c>
      <c r="EC673" s="269">
        <f t="shared" si="1711"/>
        <v>4804514.435083434</v>
      </c>
      <c r="ED673" s="269">
        <f t="shared" si="1649"/>
        <v>24022572.17541717</v>
      </c>
      <c r="EE673" s="196">
        <f>'Detailed Budget'!$AC$161</f>
        <v>251147290106.36197</v>
      </c>
      <c r="EF673" s="269">
        <f t="shared" si="1712"/>
        <v>272397406.6855911</v>
      </c>
      <c r="EG673" s="196">
        <f>'Detailed Budget'!$AC$163</f>
        <v>15696705631.647623</v>
      </c>
      <c r="EH673" s="269">
        <f t="shared" si="1713"/>
        <v>17024837.917849444</v>
      </c>
      <c r="EI673" s="269">
        <f t="shared" si="1650"/>
        <v>289422244.60344052</v>
      </c>
      <c r="EJ673" s="196">
        <f>'Detailed Budget'!$AC$204</f>
        <v>45012172507.531975</v>
      </c>
      <c r="EK673" s="269">
        <f t="shared" si="1714"/>
        <v>41745676.984975606</v>
      </c>
      <c r="EL673" s="201">
        <f>'Detailed Budget'!$AC$206</f>
        <v>11253043126.882994</v>
      </c>
      <c r="EM673" s="269">
        <f t="shared" si="1715"/>
        <v>10436419.246243902</v>
      </c>
      <c r="EN673" s="269">
        <f t="shared" si="1651"/>
        <v>52182096.231219508</v>
      </c>
      <c r="EO673" s="140">
        <f>'Detailed Budget'!$AC$209</f>
        <v>135789361677.54817</v>
      </c>
      <c r="EP673" s="269">
        <f t="shared" si="1716"/>
        <v>150402044.00868782</v>
      </c>
      <c r="EQ673" s="196">
        <f>'Detailed Budget'!$AC$211</f>
        <v>33947340419.387043</v>
      </c>
      <c r="ER673" s="269">
        <f t="shared" si="1717"/>
        <v>37600511.002171956</v>
      </c>
      <c r="ES673" s="269">
        <f t="shared" si="1652"/>
        <v>188002555.01085979</v>
      </c>
      <c r="ET673" s="196">
        <f>'Detailed Budget'!$AC$214</f>
        <v>22239745544.201103</v>
      </c>
      <c r="EU673" s="269">
        <f t="shared" si="1718"/>
        <v>23922853.6182863</v>
      </c>
      <c r="EV673" s="140">
        <f>'Detailed Budget'!$AC$217</f>
        <v>5559936386.0502758</v>
      </c>
      <c r="EW673" s="269">
        <f t="shared" si="1719"/>
        <v>5980713.4045715751</v>
      </c>
      <c r="EX673" s="269">
        <f t="shared" si="1653"/>
        <v>29903567.022857875</v>
      </c>
      <c r="EY673" s="196">
        <f>'Detailed Budget'!$AC$219</f>
        <v>372777004.58170313</v>
      </c>
      <c r="EZ673" s="269">
        <f t="shared" si="1720"/>
        <v>419805.58648113825</v>
      </c>
      <c r="FA673" s="196">
        <f>'Detailed Budget'!$AC$222</f>
        <v>93194251.145425782</v>
      </c>
      <c r="FB673" s="269">
        <f t="shared" si="1721"/>
        <v>104951.39662028456</v>
      </c>
      <c r="FC673" s="269">
        <f t="shared" si="1654"/>
        <v>524756.98310142278</v>
      </c>
      <c r="FD673" s="269"/>
      <c r="FE673" s="269">
        <f t="shared" si="1663"/>
        <v>270612975.24803859</v>
      </c>
      <c r="FF673" s="140">
        <f>'Detailed Budget'!$AC$165</f>
        <v>14927760000</v>
      </c>
      <c r="FG673" s="1087">
        <f t="shared" si="1749"/>
        <v>369134011.1539439</v>
      </c>
      <c r="FH673" s="269">
        <f t="shared" si="1722"/>
        <v>16961436.200431772</v>
      </c>
      <c r="FJ673" s="140">
        <f>'Detailed Budget'!$AC$235</f>
        <v>3623696172</v>
      </c>
      <c r="FK673" s="269">
        <f t="shared" si="1723"/>
        <v>4681778</v>
      </c>
      <c r="FL673" s="269">
        <f t="shared" si="1750"/>
        <v>4681778</v>
      </c>
      <c r="FO673" s="607"/>
      <c r="FP673" s="607"/>
      <c r="FQ673" s="607"/>
      <c r="FR673" s="269">
        <f>'Detailed Budget'!$AC$257</f>
        <v>13636439388</v>
      </c>
      <c r="FS673" s="269">
        <f t="shared" si="1765"/>
        <v>17488380</v>
      </c>
      <c r="FT673" s="269">
        <f t="shared" si="1751"/>
        <v>17488380</v>
      </c>
      <c r="FU673" s="269"/>
      <c r="FV673" s="269"/>
      <c r="FW673" s="269"/>
      <c r="FX673" s="140">
        <f>'Detailed Budget'!$AC$278</f>
        <v>1114560000</v>
      </c>
      <c r="FY673" s="269">
        <f t="shared" si="1766"/>
        <v>1440000</v>
      </c>
      <c r="FZ673" s="269">
        <f t="shared" si="1752"/>
        <v>1440000</v>
      </c>
      <c r="GB673" s="269">
        <f t="shared" si="1760"/>
        <v>1253395383.3196373</v>
      </c>
      <c r="GC673" s="887">
        <f t="shared" si="1668"/>
        <v>783372.11457477335</v>
      </c>
      <c r="GD673" s="1078">
        <f t="shared" si="1761"/>
        <v>7.0331961787692063E-4</v>
      </c>
    </row>
    <row r="674" spans="1:186" hidden="1" outlineLevel="1">
      <c r="A674" s="211" t="s">
        <v>1446</v>
      </c>
      <c r="B674" s="212" t="s">
        <v>1447</v>
      </c>
      <c r="C674" s="213" t="s">
        <v>215</v>
      </c>
      <c r="D674" s="214"/>
      <c r="E674" s="213"/>
      <c r="F674" s="213"/>
      <c r="G674" s="213" t="s">
        <v>215</v>
      </c>
      <c r="H674" s="213" t="s">
        <v>215</v>
      </c>
      <c r="I674" s="214" t="s">
        <v>215</v>
      </c>
      <c r="J674" s="214"/>
      <c r="K674" s="213"/>
      <c r="L674" s="213"/>
      <c r="M674" s="214"/>
      <c r="N674" s="213" t="s">
        <v>215</v>
      </c>
      <c r="O674" s="214"/>
      <c r="P674" s="213"/>
      <c r="Q674" s="214"/>
      <c r="R674" s="214" t="s">
        <v>215</v>
      </c>
      <c r="S674" s="214"/>
      <c r="T674" s="214"/>
      <c r="U674" s="215">
        <f t="shared" si="1767"/>
        <v>6</v>
      </c>
      <c r="V674" s="845" t="s">
        <v>216</v>
      </c>
      <c r="W674" s="216">
        <v>127718</v>
      </c>
      <c r="X674" s="217">
        <v>2.78</v>
      </c>
      <c r="Y674" s="218">
        <f t="shared" si="1598"/>
        <v>1.0278</v>
      </c>
      <c r="Z674" s="196">
        <v>19</v>
      </c>
      <c r="AA674" s="218">
        <f t="shared" si="1599"/>
        <v>1.6836958972696243</v>
      </c>
      <c r="AB674" s="196">
        <f t="shared" si="1746"/>
        <v>215038.27260748189</v>
      </c>
      <c r="AC674">
        <v>12.7</v>
      </c>
      <c r="AD674" s="196">
        <f t="shared" si="1747"/>
        <v>27309.860621150201</v>
      </c>
      <c r="AE674" s="196">
        <f t="shared" si="1600"/>
        <v>25944.36759009269</v>
      </c>
      <c r="AF674" s="196">
        <f t="shared" si="1768"/>
        <v>0</v>
      </c>
      <c r="AG674" s="606">
        <f t="shared" si="1671"/>
        <v>1.1995536594580276E-3</v>
      </c>
      <c r="AH674" s="196">
        <f t="shared" si="1784"/>
        <v>10751.913630374096</v>
      </c>
      <c r="AI674" s="248">
        <f t="shared" si="1644"/>
        <v>8.3293445820471399E-4</v>
      </c>
      <c r="AJ674" s="196">
        <f t="shared" si="1672"/>
        <v>38061.774251524301</v>
      </c>
      <c r="AK674" s="196">
        <f t="shared" si="1698"/>
        <v>8601.5309042992758</v>
      </c>
      <c r="AL674" s="196">
        <f t="shared" si="1699"/>
        <v>8601.5309042992758</v>
      </c>
      <c r="AM674" s="196">
        <f t="shared" si="1656"/>
        <v>17203.061808598552</v>
      </c>
      <c r="AN674" s="627">
        <f t="shared" si="1657"/>
        <v>8.3293445820471399E-4</v>
      </c>
      <c r="AO674" s="196">
        <f t="shared" si="1658"/>
        <v>8171.4543590843114</v>
      </c>
      <c r="AP674" s="589">
        <f t="shared" si="1673"/>
        <v>8.3293445820471388E-4</v>
      </c>
      <c r="AQ674" s="196"/>
      <c r="AR674" s="589"/>
      <c r="AS674">
        <v>1</v>
      </c>
      <c r="AT674" s="589">
        <f t="shared" si="1674"/>
        <v>1.2919896640826874E-3</v>
      </c>
      <c r="AU674" s="196">
        <v>10</v>
      </c>
      <c r="AV674" s="245">
        <f t="shared" si="1645"/>
        <v>1.1362345188046814E-3</v>
      </c>
      <c r="AX674" s="245"/>
      <c r="AY674" s="245"/>
      <c r="AZ674" s="196">
        <v>24</v>
      </c>
      <c r="BA674" s="589">
        <f t="shared" si="1754"/>
        <v>8.7941079476750578E-4</v>
      </c>
      <c r="BI674" s="196">
        <v>0</v>
      </c>
      <c r="BK674" s="246">
        <f t="shared" si="1755"/>
        <v>0</v>
      </c>
      <c r="BL674" s="246"/>
      <c r="BM674" s="246">
        <f t="shared" si="1756"/>
        <v>0</v>
      </c>
      <c r="BN674" s="196">
        <v>1</v>
      </c>
      <c r="BO674" s="196">
        <f t="shared" si="1769"/>
        <v>15827.969639316971</v>
      </c>
      <c r="BP674" s="196">
        <f t="shared" si="1676"/>
        <v>15827.969639316971</v>
      </c>
      <c r="BQ674" s="248">
        <f t="shared" si="1757"/>
        <v>1.4806328528922743E-3</v>
      </c>
      <c r="BR674" s="248"/>
      <c r="BS674" s="248"/>
      <c r="BT674" s="276">
        <v>0</v>
      </c>
      <c r="BU674" s="196">
        <f t="shared" si="1770"/>
        <v>0</v>
      </c>
      <c r="BV674" s="264">
        <f t="shared" si="1758"/>
        <v>0</v>
      </c>
      <c r="BW674" s="196">
        <f t="shared" si="1771"/>
        <v>0</v>
      </c>
      <c r="BX674" s="247">
        <f t="shared" si="1759"/>
        <v>0</v>
      </c>
      <c r="BY674" s="196">
        <f t="shared" si="1772"/>
        <v>0</v>
      </c>
      <c r="BZ674" s="620">
        <v>1</v>
      </c>
      <c r="CA674" s="196">
        <f t="shared" si="1773"/>
        <v>65801.711417889455</v>
      </c>
      <c r="CB674" s="196">
        <f t="shared" si="1774"/>
        <v>131603.42283577891</v>
      </c>
      <c r="CC674" s="196">
        <f t="shared" si="1682"/>
        <v>197405.13425366837</v>
      </c>
      <c r="CD674" s="247">
        <f t="shared" si="1646"/>
        <v>8.3293445820471388E-4</v>
      </c>
      <c r="CE674" s="196">
        <f t="shared" si="1775"/>
        <v>18244.638629022265</v>
      </c>
      <c r="CF674" s="247">
        <f t="shared" si="1647"/>
        <v>7.8786023583601622E-4</v>
      </c>
      <c r="CG674" s="196">
        <f t="shared" si="1703"/>
        <v>32685.817436337245</v>
      </c>
      <c r="CH674" s="589">
        <f t="shared" si="1684"/>
        <v>8.3293445820471388E-4</v>
      </c>
      <c r="CI674" s="196">
        <f t="shared" si="1776"/>
        <v>43322.762760478545</v>
      </c>
      <c r="CJ674" s="248">
        <f t="shared" si="1686"/>
        <v>7.1222610981455593E-4</v>
      </c>
      <c r="CK674" s="196">
        <f t="shared" si="1777"/>
        <v>59171.186929190531</v>
      </c>
      <c r="CL674" s="589">
        <f t="shared" si="1688"/>
        <v>8.505979831010046E-4</v>
      </c>
      <c r="CM674" s="196">
        <f t="shared" si="1778"/>
        <v>5732.1994759544859</v>
      </c>
      <c r="CN674" s="589">
        <f t="shared" si="1690"/>
        <v>8.2607508893176962E-4</v>
      </c>
      <c r="CO674" s="196">
        <f t="shared" si="1779"/>
        <v>458.59491807297172</v>
      </c>
      <c r="CP674" s="589">
        <f t="shared" si="1692"/>
        <v>8.6483937886451653E-4</v>
      </c>
      <c r="CQ674" s="196">
        <f>'Detailed Budget'!$AC$12</f>
        <v>292876014141.44696</v>
      </c>
      <c r="CR674" s="269">
        <f t="shared" si="1701"/>
        <v>0</v>
      </c>
      <c r="CS674" s="269">
        <f>'Detailed Budget'!$AC$16</f>
        <v>10488008800.000002</v>
      </c>
      <c r="CT674" s="607">
        <f t="shared" si="1705"/>
        <v>0</v>
      </c>
      <c r="CU674" s="269">
        <f>'Detailed Budget'!$AC$24</f>
        <v>30624985696</v>
      </c>
      <c r="CV674" s="269">
        <f t="shared" si="1753"/>
        <v>0</v>
      </c>
      <c r="CW674" s="269"/>
      <c r="CX674" s="269">
        <f t="shared" si="1660"/>
        <v>0</v>
      </c>
      <c r="CY674" s="196">
        <f>'Detailed Budget'!$AC$97</f>
        <v>74629165494.837845</v>
      </c>
      <c r="CZ674" s="269">
        <f t="shared" si="1706"/>
        <v>110498394.21559145</v>
      </c>
      <c r="DA674" s="269">
        <f>'Detailed Budget'!$AC$100</f>
        <v>14925833098.967569</v>
      </c>
      <c r="DB674" s="269">
        <f t="shared" si="1707"/>
        <v>22099678.843118288</v>
      </c>
      <c r="DC674" s="269">
        <f t="shared" si="1661"/>
        <v>132598073.05870974</v>
      </c>
      <c r="DD674" s="207">
        <v>0</v>
      </c>
      <c r="DE674" s="606">
        <v>0</v>
      </c>
      <c r="DF674" s="269">
        <f>'Detailed Budget'!$AC$147</f>
        <v>5913600671000</v>
      </c>
      <c r="DG674" s="269">
        <f t="shared" si="1748"/>
        <v>0</v>
      </c>
      <c r="DH674" s="269">
        <f>'Detailed Budget'!$AC$153</f>
        <v>226428026880.00003</v>
      </c>
      <c r="DI674" s="269"/>
      <c r="DJ674" s="269">
        <f>'Detailed Budget'!$AC$156</f>
        <v>27713070000</v>
      </c>
      <c r="DK674" s="269"/>
      <c r="DL674" s="269"/>
      <c r="DM674" s="196">
        <f>'Detailed Budget'!$AC$178</f>
        <v>5622683761.6229038</v>
      </c>
      <c r="DN674" s="269">
        <f t="shared" si="1780"/>
        <v>0</v>
      </c>
      <c r="DO674" s="196">
        <f>'Detailed Budget'!$AC$179</f>
        <v>26827890683.128094</v>
      </c>
      <c r="DP674" s="269">
        <f t="shared" si="1781"/>
        <v>0</v>
      </c>
      <c r="DQ674" s="269">
        <f t="shared" si="1700"/>
        <v>0</v>
      </c>
      <c r="DR674" s="269">
        <f>'Detailed Budget'!$AC$181</f>
        <v>50888946855.375237</v>
      </c>
      <c r="DS674" s="269">
        <f t="shared" si="1782"/>
        <v>0</v>
      </c>
      <c r="DT674" s="269">
        <f t="shared" si="1783"/>
        <v>0</v>
      </c>
      <c r="DU674" s="272">
        <f>'Detailed Budget'!$AC$192</f>
        <v>77498869683.252869</v>
      </c>
      <c r="DV674" s="269">
        <f t="shared" si="1708"/>
        <v>64551479.031097956</v>
      </c>
      <c r="DW674" s="140">
        <f>'Detailed Budget'!$AC$194</f>
        <v>2684962805.4134097</v>
      </c>
      <c r="DX674" s="269">
        <f t="shared" si="1709"/>
        <v>2236398.0396268275</v>
      </c>
      <c r="DY674" s="607">
        <f t="shared" si="1648"/>
        <v>66787877.070724785</v>
      </c>
      <c r="DZ674" s="196">
        <f>'Detailed Budget'!$AC$198</f>
        <v>18732540018.380611</v>
      </c>
      <c r="EA674" s="269">
        <f t="shared" si="1764"/>
        <v>14758623.39668896</v>
      </c>
      <c r="EB674" s="196">
        <f>'Detailed Budget'!$AC$200</f>
        <v>4683135004.5951529</v>
      </c>
      <c r="EC674" s="269">
        <f t="shared" si="1711"/>
        <v>3689655.8491722401</v>
      </c>
      <c r="ED674" s="269">
        <f t="shared" si="1649"/>
        <v>18448279.245861202</v>
      </c>
      <c r="EE674" s="196">
        <f>'Detailed Budget'!$AC$161</f>
        <v>251147290106.36197</v>
      </c>
      <c r="EF674" s="269">
        <f t="shared" si="1712"/>
        <v>209189232.01432469</v>
      </c>
      <c r="EG674" s="196">
        <f>'Detailed Budget'!$AC$163</f>
        <v>15696705631.647623</v>
      </c>
      <c r="EH674" s="269">
        <f t="shared" si="1713"/>
        <v>13074327.000895293</v>
      </c>
      <c r="EI674" s="269">
        <f t="shared" si="1650"/>
        <v>222263559.01521999</v>
      </c>
      <c r="EJ674" s="196">
        <f>'Detailed Budget'!$AC$204</f>
        <v>45012172507.531975</v>
      </c>
      <c r="EK674" s="269">
        <f t="shared" si="1714"/>
        <v>32058844.519341204</v>
      </c>
      <c r="EL674" s="201">
        <f>'Detailed Budget'!$AC$206</f>
        <v>11253043126.882994</v>
      </c>
      <c r="EM674" s="269">
        <f t="shared" si="1715"/>
        <v>8014711.1298353011</v>
      </c>
      <c r="EN674" s="269">
        <f t="shared" si="1651"/>
        <v>40073555.649176508</v>
      </c>
      <c r="EO674" s="140">
        <f>'Detailed Budget'!$AC$209</f>
        <v>135789361677.54817</v>
      </c>
      <c r="EP674" s="269">
        <f t="shared" si="1716"/>
        <v>115502157.16949533</v>
      </c>
      <c r="EQ674" s="196">
        <f>'Detailed Budget'!$AC$211</f>
        <v>33947340419.387043</v>
      </c>
      <c r="ER674" s="269">
        <f t="shared" si="1717"/>
        <v>28875539.292373832</v>
      </c>
      <c r="ES674" s="269">
        <f t="shared" si="1652"/>
        <v>144377696.46186915</v>
      </c>
      <c r="ET674" s="196">
        <f>'Detailed Budget'!$AC$214</f>
        <v>22239745544.201103</v>
      </c>
      <c r="EU674" s="269">
        <f t="shared" si="1718"/>
        <v>18371699.778245855</v>
      </c>
      <c r="EV674" s="140">
        <f>'Detailed Budget'!$AC$217</f>
        <v>5559936386.0502758</v>
      </c>
      <c r="EW674" s="269">
        <f t="shared" si="1719"/>
        <v>4592924.9445614638</v>
      </c>
      <c r="EX674" s="269">
        <f t="shared" si="1653"/>
        <v>22964624.722807318</v>
      </c>
      <c r="EY674" s="196">
        <f>'Detailed Budget'!$AC$219</f>
        <v>372777004.58170313</v>
      </c>
      <c r="EZ674" s="269">
        <f t="shared" si="1720"/>
        <v>322392.23309741518</v>
      </c>
      <c r="FA674" s="196">
        <f>'Detailed Budget'!$AC$222</f>
        <v>93194251.145425782</v>
      </c>
      <c r="FB674" s="269">
        <f t="shared" si="1721"/>
        <v>80598.058274353796</v>
      </c>
      <c r="FC674" s="269">
        <f t="shared" si="1654"/>
        <v>402990.29137176898</v>
      </c>
      <c r="FD674" s="269"/>
      <c r="FE674" s="269">
        <f t="shared" si="1663"/>
        <v>207818867.12522474</v>
      </c>
      <c r="FF674" s="140">
        <f>'Detailed Budget'!$AC$165</f>
        <v>14927760000</v>
      </c>
      <c r="FG674" s="1087">
        <f t="shared" si="1749"/>
        <v>283478691.09043658</v>
      </c>
      <c r="FH674" s="269">
        <f t="shared" si="1722"/>
        <v>16961436.200431772</v>
      </c>
      <c r="FJ674" s="140">
        <f>'Detailed Budget'!$AC$235</f>
        <v>3623696172</v>
      </c>
      <c r="FK674" s="269">
        <f t="shared" si="1723"/>
        <v>4681778</v>
      </c>
      <c r="FL674" s="269">
        <f t="shared" si="1750"/>
        <v>4681778</v>
      </c>
      <c r="FO674" s="607"/>
      <c r="FP674" s="607"/>
      <c r="FQ674" s="607"/>
      <c r="FR674" s="269">
        <f>'Detailed Budget'!$AC$257</f>
        <v>13636439388</v>
      </c>
      <c r="FS674" s="269">
        <f t="shared" si="1765"/>
        <v>11992032</v>
      </c>
      <c r="FT674" s="269">
        <f t="shared" si="1751"/>
        <v>11992032</v>
      </c>
      <c r="FU674" s="269"/>
      <c r="FV674" s="269"/>
      <c r="FW674" s="269"/>
      <c r="FX674" s="140">
        <f>'Detailed Budget'!$AC$278</f>
        <v>1114560000</v>
      </c>
      <c r="FY674" s="269">
        <f t="shared" si="1766"/>
        <v>1440000</v>
      </c>
      <c r="FZ674" s="269">
        <f t="shared" si="1752"/>
        <v>1440000</v>
      </c>
      <c r="GB674" s="269">
        <f t="shared" si="1760"/>
        <v>966470592.8066088</v>
      </c>
      <c r="GC674" s="887">
        <f t="shared" si="1668"/>
        <v>604044.12050413049</v>
      </c>
      <c r="GD674" s="1078">
        <f t="shared" si="1761"/>
        <v>5.4231708291579072E-4</v>
      </c>
    </row>
    <row r="675" spans="1:186" hidden="1" outlineLevel="1">
      <c r="A675" s="211" t="s">
        <v>1448</v>
      </c>
      <c r="B675" s="212" t="s">
        <v>1449</v>
      </c>
      <c r="C675" s="213" t="s">
        <v>215</v>
      </c>
      <c r="D675" s="214"/>
      <c r="E675" s="213"/>
      <c r="F675" s="213"/>
      <c r="G675" s="213" t="s">
        <v>215</v>
      </c>
      <c r="H675" s="213" t="s">
        <v>215</v>
      </c>
      <c r="I675" s="214" t="s">
        <v>215</v>
      </c>
      <c r="J675" s="214"/>
      <c r="K675" s="213"/>
      <c r="L675" s="213"/>
      <c r="M675" s="214" t="s">
        <v>215</v>
      </c>
      <c r="N675" s="213"/>
      <c r="O675" s="214"/>
      <c r="P675" s="213"/>
      <c r="Q675" s="214"/>
      <c r="R675" s="214" t="s">
        <v>215</v>
      </c>
      <c r="S675" s="214"/>
      <c r="T675" s="214"/>
      <c r="U675" s="215">
        <f t="shared" si="1767"/>
        <v>6</v>
      </c>
      <c r="V675" s="845" t="s">
        <v>216</v>
      </c>
      <c r="W675" s="216">
        <v>94228</v>
      </c>
      <c r="X675" s="217">
        <v>2.78</v>
      </c>
      <c r="Y675" s="218">
        <f t="shared" si="1598"/>
        <v>1.0278</v>
      </c>
      <c r="Z675" s="196">
        <v>19</v>
      </c>
      <c r="AA675" s="218">
        <f t="shared" si="1599"/>
        <v>1.6836958972696243</v>
      </c>
      <c r="AB675" s="196">
        <f t="shared" si="1746"/>
        <v>158651.29700792217</v>
      </c>
      <c r="AC675">
        <v>12.7</v>
      </c>
      <c r="AD675" s="196">
        <f t="shared" si="1747"/>
        <v>20148.714720006115</v>
      </c>
      <c r="AE675" s="196">
        <f t="shared" si="1600"/>
        <v>19141.27898400581</v>
      </c>
      <c r="AF675" s="196">
        <f t="shared" si="1768"/>
        <v>0</v>
      </c>
      <c r="AG675" s="606">
        <f t="shared" si="1671"/>
        <v>8.8500870843116102E-4</v>
      </c>
      <c r="AH675" s="196">
        <f t="shared" si="1784"/>
        <v>7932.5648503961093</v>
      </c>
      <c r="AI675" s="248">
        <f t="shared" si="1644"/>
        <v>6.1452377995046734E-4</v>
      </c>
      <c r="AJ675" s="196">
        <f t="shared" si="1672"/>
        <v>28081.279570402225</v>
      </c>
      <c r="AK675" s="196">
        <f t="shared" si="1698"/>
        <v>6346.051880316887</v>
      </c>
      <c r="AL675" s="196">
        <f t="shared" si="1699"/>
        <v>6346.051880316887</v>
      </c>
      <c r="AM675" s="196">
        <f t="shared" si="1656"/>
        <v>12692.103760633774</v>
      </c>
      <c r="AN675" s="627">
        <f t="shared" si="1657"/>
        <v>6.1452377995046734E-4</v>
      </c>
      <c r="AO675" s="196">
        <f t="shared" si="1658"/>
        <v>6028.749286301042</v>
      </c>
      <c r="AP675" s="589">
        <f t="shared" si="1673"/>
        <v>6.1452377995046723E-4</v>
      </c>
      <c r="AQ675" s="196"/>
      <c r="AR675" s="589"/>
      <c r="AS675">
        <v>1</v>
      </c>
      <c r="AT675" s="589">
        <f t="shared" si="1674"/>
        <v>1.2919896640826874E-3</v>
      </c>
      <c r="AU675" s="196">
        <v>10</v>
      </c>
      <c r="AV675" s="245">
        <f t="shared" si="1645"/>
        <v>1.1362345188046814E-3</v>
      </c>
      <c r="AX675" s="245"/>
      <c r="AY675" s="245"/>
      <c r="AZ675" s="196">
        <v>24</v>
      </c>
      <c r="BA675" s="589">
        <f t="shared" si="1754"/>
        <v>8.7941079476750578E-4</v>
      </c>
      <c r="BI675" s="196">
        <v>0</v>
      </c>
      <c r="BK675" s="246">
        <f t="shared" si="1755"/>
        <v>0</v>
      </c>
      <c r="BL675" s="246"/>
      <c r="BM675" s="246">
        <f t="shared" si="1756"/>
        <v>0</v>
      </c>
      <c r="BN675" s="196">
        <v>1</v>
      </c>
      <c r="BO675" s="196">
        <f t="shared" si="1769"/>
        <v>11677.585956353521</v>
      </c>
      <c r="BP675" s="196">
        <f t="shared" si="1676"/>
        <v>11677.585956353521</v>
      </c>
      <c r="BQ675" s="248">
        <f t="shared" si="1757"/>
        <v>1.0923837866419234E-3</v>
      </c>
      <c r="BR675" s="248"/>
      <c r="BS675" s="248"/>
      <c r="BT675" s="276">
        <v>0</v>
      </c>
      <c r="BU675" s="196">
        <f t="shared" si="1770"/>
        <v>0</v>
      </c>
      <c r="BV675" s="264">
        <f t="shared" si="1758"/>
        <v>0</v>
      </c>
      <c r="BW675" s="196">
        <f t="shared" si="1771"/>
        <v>0</v>
      </c>
      <c r="BX675" s="247">
        <f t="shared" si="1759"/>
        <v>0</v>
      </c>
      <c r="BY675" s="196">
        <f t="shared" si="1772"/>
        <v>0</v>
      </c>
      <c r="BZ675" s="620">
        <v>1</v>
      </c>
      <c r="CA675" s="196">
        <f t="shared" si="1773"/>
        <v>48547.296884424184</v>
      </c>
      <c r="CB675" s="196">
        <f t="shared" si="1774"/>
        <v>97094.593768848368</v>
      </c>
      <c r="CC675" s="196">
        <f t="shared" si="1682"/>
        <v>145641.89065327257</v>
      </c>
      <c r="CD675" s="247">
        <f t="shared" si="1646"/>
        <v>6.1452377995046734E-4</v>
      </c>
      <c r="CE675" s="196">
        <f t="shared" si="1775"/>
        <v>13460.560052110979</v>
      </c>
      <c r="CF675" s="247">
        <f t="shared" si="1647"/>
        <v>5.8126884466055007E-4</v>
      </c>
      <c r="CG675" s="196">
        <f t="shared" si="1703"/>
        <v>24114.997145204168</v>
      </c>
      <c r="CH675" s="589">
        <f t="shared" si="1684"/>
        <v>6.1452377995046723E-4</v>
      </c>
      <c r="CI675" s="196">
        <f t="shared" si="1776"/>
        <v>31962.740486026803</v>
      </c>
      <c r="CJ675" s="248">
        <f t="shared" si="1686"/>
        <v>5.2546737245811833E-4</v>
      </c>
      <c r="CK675" s="196">
        <f t="shared" si="1777"/>
        <v>43655.417419343903</v>
      </c>
      <c r="CL675" s="589">
        <f t="shared" si="1688"/>
        <v>6.2755560493933074E-4</v>
      </c>
      <c r="CM675" s="196">
        <f t="shared" si="1778"/>
        <v>4229.1117322557448</v>
      </c>
      <c r="CN675" s="589">
        <f t="shared" si="1690"/>
        <v>6.0946306299709341E-4</v>
      </c>
      <c r="CO675" s="196">
        <f t="shared" si="1779"/>
        <v>338.3429269185234</v>
      </c>
      <c r="CP675" s="589">
        <f t="shared" si="1692"/>
        <v>6.3806264576367973E-4</v>
      </c>
      <c r="CQ675" s="196">
        <f>'Detailed Budget'!$AC$12</f>
        <v>292876014141.44696</v>
      </c>
      <c r="CR675" s="269">
        <f t="shared" si="1701"/>
        <v>0</v>
      </c>
      <c r="CS675" s="269">
        <f>'Detailed Budget'!$AC$16</f>
        <v>10488008800.000002</v>
      </c>
      <c r="CT675" s="607">
        <f t="shared" si="1705"/>
        <v>0</v>
      </c>
      <c r="CU675" s="269">
        <f>'Detailed Budget'!$AC$24</f>
        <v>30624985696</v>
      </c>
      <c r="CV675" s="269">
        <f t="shared" si="1753"/>
        <v>0</v>
      </c>
      <c r="CW675" s="269"/>
      <c r="CX675" s="269">
        <f t="shared" si="1660"/>
        <v>0</v>
      </c>
      <c r="CY675" s="196">
        <f>'Detailed Budget'!$AC$97</f>
        <v>74629165494.837845</v>
      </c>
      <c r="CZ675" s="269">
        <f t="shared" si="1706"/>
        <v>81523690.397177741</v>
      </c>
      <c r="DA675" s="269">
        <f>'Detailed Budget'!$AC$100</f>
        <v>14925833098.967569</v>
      </c>
      <c r="DB675" s="269">
        <f t="shared" si="1707"/>
        <v>16304738.079435548</v>
      </c>
      <c r="DC675" s="269">
        <f t="shared" si="1661"/>
        <v>97828428.476613283</v>
      </c>
      <c r="DD675" s="207">
        <v>0</v>
      </c>
      <c r="DE675" s="606">
        <v>0</v>
      </c>
      <c r="DF675" s="269">
        <f>'Detailed Budget'!$AC$147</f>
        <v>5913600671000</v>
      </c>
      <c r="DG675" s="269">
        <f t="shared" si="1748"/>
        <v>0</v>
      </c>
      <c r="DH675" s="269">
        <f>'Detailed Budget'!$AC$153</f>
        <v>226428026880.00003</v>
      </c>
      <c r="DI675" s="269"/>
      <c r="DJ675" s="269">
        <f>'Detailed Budget'!$AC$156</f>
        <v>27713070000</v>
      </c>
      <c r="DK675" s="269"/>
      <c r="DL675" s="269"/>
      <c r="DM675" s="196">
        <f>'Detailed Budget'!$AC$178</f>
        <v>5622683761.6229038</v>
      </c>
      <c r="DN675" s="269">
        <f t="shared" si="1780"/>
        <v>0</v>
      </c>
      <c r="DO675" s="196">
        <f>'Detailed Budget'!$AC$179</f>
        <v>26827890683.128094</v>
      </c>
      <c r="DP675" s="269">
        <f t="shared" si="1781"/>
        <v>0</v>
      </c>
      <c r="DQ675" s="269">
        <f t="shared" si="1700"/>
        <v>0</v>
      </c>
      <c r="DR675" s="269">
        <f>'Detailed Budget'!$AC$181</f>
        <v>50888946855.375237</v>
      </c>
      <c r="DS675" s="269">
        <f t="shared" si="1782"/>
        <v>0</v>
      </c>
      <c r="DT675" s="269">
        <f t="shared" si="1783"/>
        <v>0</v>
      </c>
      <c r="DU675" s="272">
        <f>'Detailed Budget'!$AC$192</f>
        <v>77498869683.252869</v>
      </c>
      <c r="DV675" s="269">
        <f t="shared" si="1708"/>
        <v>47624898.339641228</v>
      </c>
      <c r="DW675" s="140">
        <f>'Detailed Budget'!$AC$194</f>
        <v>2684962805.4134097</v>
      </c>
      <c r="DX675" s="269">
        <f t="shared" si="1709"/>
        <v>1649973.4922090597</v>
      </c>
      <c r="DY675" s="607">
        <f t="shared" si="1648"/>
        <v>49274871.83185029</v>
      </c>
      <c r="DZ675" s="196">
        <f>'Detailed Budget'!$AC$198</f>
        <v>18732540018.380611</v>
      </c>
      <c r="EA675" s="269">
        <f t="shared" si="1764"/>
        <v>10888641.894041618</v>
      </c>
      <c r="EB675" s="196">
        <f>'Detailed Budget'!$AC$200</f>
        <v>4683135004.5951529</v>
      </c>
      <c r="EC675" s="269">
        <f t="shared" si="1711"/>
        <v>2722160.4735104046</v>
      </c>
      <c r="ED675" s="269">
        <f t="shared" si="1649"/>
        <v>13610802.367552023</v>
      </c>
      <c r="EE675" s="196">
        <f>'Detailed Budget'!$AC$161</f>
        <v>251147290106.36197</v>
      </c>
      <c r="EF675" s="269">
        <f t="shared" si="1712"/>
        <v>154335982.04047814</v>
      </c>
      <c r="EG675" s="196">
        <f>'Detailed Budget'!$AC$163</f>
        <v>15696705631.647623</v>
      </c>
      <c r="EH675" s="269">
        <f t="shared" si="1713"/>
        <v>9645998.8775298838</v>
      </c>
      <c r="EI675" s="269">
        <f t="shared" si="1650"/>
        <v>163981980.91800803</v>
      </c>
      <c r="EJ675" s="196">
        <f>'Detailed Budget'!$AC$204</f>
        <v>45012172507.531975</v>
      </c>
      <c r="EK675" s="269">
        <f t="shared" si="1714"/>
        <v>23652428.016164377</v>
      </c>
      <c r="EL675" s="201">
        <f>'Detailed Budget'!$AC$206</f>
        <v>11253043126.882994</v>
      </c>
      <c r="EM675" s="269">
        <f t="shared" si="1715"/>
        <v>5913107.0040410943</v>
      </c>
      <c r="EN675" s="269">
        <f t="shared" si="1651"/>
        <v>29565535.020205472</v>
      </c>
      <c r="EO675" s="140">
        <f>'Detailed Budget'!$AC$209</f>
        <v>135789361677.54817</v>
      </c>
      <c r="EP675" s="269">
        <f t="shared" si="1716"/>
        <v>85215375.011879325</v>
      </c>
      <c r="EQ675" s="196">
        <f>'Detailed Budget'!$AC$211</f>
        <v>33947340419.387043</v>
      </c>
      <c r="ER675" s="269">
        <f t="shared" si="1717"/>
        <v>21303843.752969831</v>
      </c>
      <c r="ES675" s="269">
        <f t="shared" si="1652"/>
        <v>106519218.76484916</v>
      </c>
      <c r="ET675" s="196">
        <f>'Detailed Budget'!$AC$214</f>
        <v>22239745544.201103</v>
      </c>
      <c r="EU675" s="269">
        <f t="shared" si="1718"/>
        <v>13554303.439644765</v>
      </c>
      <c r="EV675" s="140">
        <f>'Detailed Budget'!$AC$217</f>
        <v>5559936386.0502758</v>
      </c>
      <c r="EW675" s="269">
        <f t="shared" si="1719"/>
        <v>3388575.8599111913</v>
      </c>
      <c r="EX675" s="269">
        <f t="shared" si="1653"/>
        <v>16942879.299555957</v>
      </c>
      <c r="EY675" s="196">
        <f>'Detailed Budget'!$AC$219</f>
        <v>372777004.58170313</v>
      </c>
      <c r="EZ675" s="269">
        <f t="shared" si="1720"/>
        <v>237855.08182326084</v>
      </c>
      <c r="FA675" s="196">
        <f>'Detailed Budget'!$AC$222</f>
        <v>93194251.145425782</v>
      </c>
      <c r="FB675" s="269">
        <f t="shared" si="1721"/>
        <v>59463.770455815211</v>
      </c>
      <c r="FC675" s="269">
        <f t="shared" si="1654"/>
        <v>297318.85227907606</v>
      </c>
      <c r="FD675" s="269"/>
      <c r="FE675" s="269">
        <f t="shared" si="1663"/>
        <v>153324951.93688965</v>
      </c>
      <c r="FF675" s="140">
        <f>'Detailed Budget'!$AC$165</f>
        <v>14927760000</v>
      </c>
      <c r="FG675" s="1087">
        <f t="shared" si="1749"/>
        <v>209145383.61131284</v>
      </c>
      <c r="FH675" s="269">
        <f t="shared" si="1722"/>
        <v>16961436.200431772</v>
      </c>
      <c r="FJ675" s="140">
        <f>'Detailed Budget'!$AC$235</f>
        <v>3623696172</v>
      </c>
      <c r="FK675" s="269">
        <f t="shared" si="1723"/>
        <v>4681778</v>
      </c>
      <c r="FL675" s="269">
        <f t="shared" si="1750"/>
        <v>4681778</v>
      </c>
      <c r="FO675" s="607"/>
      <c r="FP675" s="607"/>
      <c r="FQ675" s="607"/>
      <c r="FR675" s="269">
        <f>'Detailed Budget'!$AC$257</f>
        <v>13636439388</v>
      </c>
      <c r="FS675" s="269">
        <f t="shared" si="1765"/>
        <v>11992032</v>
      </c>
      <c r="FT675" s="269">
        <f t="shared" si="1751"/>
        <v>11992032</v>
      </c>
      <c r="FU675" s="269"/>
      <c r="FV675" s="269"/>
      <c r="FW675" s="269"/>
      <c r="FX675" s="140">
        <f>'Detailed Budget'!$AC$278</f>
        <v>1114560000</v>
      </c>
      <c r="FY675" s="269">
        <f t="shared" si="1766"/>
        <v>1440000</v>
      </c>
      <c r="FZ675" s="269">
        <f t="shared" si="1752"/>
        <v>1440000</v>
      </c>
      <c r="GB675" s="269">
        <f t="shared" si="1760"/>
        <v>722241665.34265792</v>
      </c>
      <c r="GC675" s="887">
        <f t="shared" si="1668"/>
        <v>451401.0408391612</v>
      </c>
      <c r="GD675" s="1078">
        <f t="shared" si="1761"/>
        <v>4.0527254116592574E-4</v>
      </c>
    </row>
    <row r="676" spans="1:186" hidden="1" outlineLevel="1">
      <c r="A676" s="211" t="s">
        <v>1450</v>
      </c>
      <c r="B676" s="212" t="s">
        <v>1451</v>
      </c>
      <c r="C676" s="213" t="s">
        <v>215</v>
      </c>
      <c r="D676" s="214"/>
      <c r="E676" s="213"/>
      <c r="F676" s="213"/>
      <c r="G676" s="213" t="s">
        <v>215</v>
      </c>
      <c r="H676" s="213" t="s">
        <v>215</v>
      </c>
      <c r="I676" s="214" t="s">
        <v>215</v>
      </c>
      <c r="J676" s="214"/>
      <c r="K676" s="213"/>
      <c r="L676" s="213"/>
      <c r="M676" s="214"/>
      <c r="N676" s="213" t="s">
        <v>215</v>
      </c>
      <c r="O676" s="214"/>
      <c r="P676" s="213"/>
      <c r="Q676" s="214"/>
      <c r="R676" s="214" t="s">
        <v>215</v>
      </c>
      <c r="S676" s="214"/>
      <c r="T676" s="214"/>
      <c r="U676" s="215">
        <f t="shared" si="1767"/>
        <v>6</v>
      </c>
      <c r="V676" s="845" t="s">
        <v>216</v>
      </c>
      <c r="W676" s="216">
        <v>147335</v>
      </c>
      <c r="X676" s="217">
        <v>2.78</v>
      </c>
      <c r="Y676" s="218">
        <f t="shared" ref="Y676:Y741" si="1785">1+X676/100</f>
        <v>1.0278</v>
      </c>
      <c r="Z676" s="196">
        <v>19</v>
      </c>
      <c r="AA676" s="218">
        <f t="shared" ref="AA676:AA741" si="1786">POWER(Y676,Z676)</f>
        <v>1.6836958972696243</v>
      </c>
      <c r="AB676" s="196">
        <f t="shared" si="1746"/>
        <v>248067.33502422011</v>
      </c>
      <c r="AC676">
        <v>12.7</v>
      </c>
      <c r="AD676" s="196">
        <f t="shared" si="1747"/>
        <v>31504.55154807595</v>
      </c>
      <c r="AE676" s="196">
        <f t="shared" ref="AE676:AE741" si="1787">AD676*0.95</f>
        <v>29929.323970672151</v>
      </c>
      <c r="AF676" s="196">
        <f t="shared" si="1768"/>
        <v>0</v>
      </c>
      <c r="AG676" s="606">
        <f t="shared" si="1671"/>
        <v>1.3838005482097156E-3</v>
      </c>
      <c r="AH676" s="196">
        <f t="shared" si="1784"/>
        <v>12403.366751211006</v>
      </c>
      <c r="AI676" s="248">
        <f t="shared" si="1644"/>
        <v>9.608700292800665E-4</v>
      </c>
      <c r="AJ676" s="196">
        <f t="shared" si="1672"/>
        <v>43907.918299286954</v>
      </c>
      <c r="AK676" s="196">
        <f t="shared" si="1698"/>
        <v>9922.6934009688048</v>
      </c>
      <c r="AL676" s="196">
        <f t="shared" si="1699"/>
        <v>9922.6934009688048</v>
      </c>
      <c r="AM676" s="196">
        <f t="shared" si="1656"/>
        <v>19845.38680193761</v>
      </c>
      <c r="AN676" s="627">
        <f t="shared" si="1657"/>
        <v>9.608700292800665E-4</v>
      </c>
      <c r="AO676" s="196">
        <f t="shared" si="1658"/>
        <v>9426.5587309203638</v>
      </c>
      <c r="AP676" s="589">
        <f t="shared" si="1673"/>
        <v>9.6087002928006639E-4</v>
      </c>
      <c r="AQ676" s="196"/>
      <c r="AR676" s="589"/>
      <c r="AS676">
        <v>1</v>
      </c>
      <c r="AT676" s="589">
        <f t="shared" si="1674"/>
        <v>1.2919896640826874E-3</v>
      </c>
      <c r="AU676" s="196">
        <v>10</v>
      </c>
      <c r="AV676" s="245">
        <f t="shared" si="1645"/>
        <v>1.1362345188046814E-3</v>
      </c>
      <c r="AX676" s="245"/>
      <c r="AY676" s="245"/>
      <c r="AZ676" s="196">
        <v>32</v>
      </c>
      <c r="BA676" s="589">
        <f t="shared" si="1754"/>
        <v>1.1725477263566744E-3</v>
      </c>
      <c r="BI676" s="196">
        <v>0</v>
      </c>
      <c r="BK676" s="246">
        <f t="shared" si="1755"/>
        <v>0</v>
      </c>
      <c r="BL676" s="246"/>
      <c r="BM676" s="246">
        <f t="shared" si="1756"/>
        <v>0</v>
      </c>
      <c r="BN676" s="196">
        <v>1</v>
      </c>
      <c r="BO676" s="196">
        <f t="shared" si="1769"/>
        <v>18259.085695115526</v>
      </c>
      <c r="BP676" s="196">
        <f t="shared" si="1676"/>
        <v>18259.085695115526</v>
      </c>
      <c r="BQ676" s="248">
        <f t="shared" si="1757"/>
        <v>1.7080524388174191E-3</v>
      </c>
      <c r="BR676" s="248"/>
      <c r="BS676" s="248"/>
      <c r="BT676" s="276">
        <v>0</v>
      </c>
      <c r="BU676" s="196">
        <f t="shared" si="1770"/>
        <v>0</v>
      </c>
      <c r="BV676" s="264">
        <f t="shared" si="1758"/>
        <v>0</v>
      </c>
      <c r="BW676" s="196">
        <f t="shared" si="1771"/>
        <v>0</v>
      </c>
      <c r="BX676" s="247">
        <f t="shared" si="1759"/>
        <v>0</v>
      </c>
      <c r="BY676" s="196">
        <f t="shared" si="1772"/>
        <v>0</v>
      </c>
      <c r="BZ676" s="620">
        <v>1</v>
      </c>
      <c r="CA676" s="196">
        <f t="shared" si="1773"/>
        <v>75908.604517411353</v>
      </c>
      <c r="CB676" s="196">
        <f t="shared" si="1774"/>
        <v>151817.20903482271</v>
      </c>
      <c r="CC676" s="196">
        <f t="shared" si="1682"/>
        <v>227725.81355223406</v>
      </c>
      <c r="CD676" s="247">
        <f t="shared" si="1646"/>
        <v>9.6087002928006639E-4</v>
      </c>
      <c r="CE676" s="196">
        <f t="shared" si="1775"/>
        <v>21046.945868295741</v>
      </c>
      <c r="CF676" s="247">
        <f t="shared" si="1647"/>
        <v>9.088725774510989E-4</v>
      </c>
      <c r="CG676" s="196">
        <f t="shared" si="1703"/>
        <v>37706.234923681455</v>
      </c>
      <c r="CH676" s="589">
        <f t="shared" si="1684"/>
        <v>9.6087002928006639E-4</v>
      </c>
      <c r="CI676" s="196">
        <f t="shared" si="1776"/>
        <v>49976.974673226207</v>
      </c>
      <c r="CJ676" s="248">
        <f t="shared" si="1686"/>
        <v>8.2162133676950445E-4</v>
      </c>
      <c r="CK676" s="196">
        <f t="shared" si="1777"/>
        <v>68259.656635809239</v>
      </c>
      <c r="CL676" s="589">
        <f t="shared" si="1688"/>
        <v>9.812466045521107E-4</v>
      </c>
      <c r="CM676" s="196">
        <f t="shared" si="1778"/>
        <v>6612.6435568185698</v>
      </c>
      <c r="CN676" s="589">
        <f t="shared" si="1690"/>
        <v>9.5295708692402217E-4</v>
      </c>
      <c r="CO676" s="196">
        <f t="shared" si="1779"/>
        <v>529.03335672560854</v>
      </c>
      <c r="CP676" s="589">
        <f t="shared" si="1692"/>
        <v>9.976754246465143E-4</v>
      </c>
      <c r="CQ676" s="196">
        <f>'Detailed Budget'!$AC$12</f>
        <v>292876014141.44696</v>
      </c>
      <c r="CR676" s="269">
        <f t="shared" si="1701"/>
        <v>0</v>
      </c>
      <c r="CS676" s="269">
        <f>'Detailed Budget'!$AC$16</f>
        <v>10488008800.000002</v>
      </c>
      <c r="CT676" s="607">
        <f t="shared" si="1705"/>
        <v>0</v>
      </c>
      <c r="CU676" s="269">
        <f>'Detailed Budget'!$AC$24</f>
        <v>30624985696</v>
      </c>
      <c r="CV676" s="269">
        <f t="shared" si="1753"/>
        <v>0</v>
      </c>
      <c r="CW676" s="269"/>
      <c r="CX676" s="269">
        <f t="shared" si="1660"/>
        <v>0</v>
      </c>
      <c r="CY676" s="196">
        <f>'Detailed Budget'!$AC$97</f>
        <v>74629165494.837845</v>
      </c>
      <c r="CZ676" s="269">
        <f t="shared" si="1706"/>
        <v>127470528.13036656</v>
      </c>
      <c r="DA676" s="269">
        <f>'Detailed Budget'!$AC$100</f>
        <v>14925833098.967569</v>
      </c>
      <c r="DB676" s="269">
        <f t="shared" si="1707"/>
        <v>25494105.626073312</v>
      </c>
      <c r="DC676" s="269">
        <f t="shared" si="1661"/>
        <v>152964633.75643986</v>
      </c>
      <c r="DD676" s="207">
        <v>0</v>
      </c>
      <c r="DE676" s="606">
        <v>0</v>
      </c>
      <c r="DF676" s="269">
        <f>'Detailed Budget'!$AC$147</f>
        <v>5913600671000</v>
      </c>
      <c r="DG676" s="269">
        <f t="shared" si="1748"/>
        <v>0</v>
      </c>
      <c r="DH676" s="269">
        <f>'Detailed Budget'!$AC$153</f>
        <v>226428026880.00003</v>
      </c>
      <c r="DI676" s="269"/>
      <c r="DJ676" s="269">
        <f>'Detailed Budget'!$AC$156</f>
        <v>27713070000</v>
      </c>
      <c r="DK676" s="269"/>
      <c r="DL676" s="269"/>
      <c r="DM676" s="196">
        <f>'Detailed Budget'!$AC$178</f>
        <v>5622683761.6229038</v>
      </c>
      <c r="DN676" s="269">
        <f t="shared" si="1780"/>
        <v>0</v>
      </c>
      <c r="DO676" s="196">
        <f>'Detailed Budget'!$AC$179</f>
        <v>26827890683.128094</v>
      </c>
      <c r="DP676" s="269">
        <f t="shared" si="1781"/>
        <v>0</v>
      </c>
      <c r="DQ676" s="269">
        <f t="shared" si="1700"/>
        <v>0</v>
      </c>
      <c r="DR676" s="269">
        <f>'Detailed Budget'!$AC$181</f>
        <v>50888946855.375237</v>
      </c>
      <c r="DS676" s="269">
        <f t="shared" si="1782"/>
        <v>0</v>
      </c>
      <c r="DT676" s="269">
        <f t="shared" si="1783"/>
        <v>0</v>
      </c>
      <c r="DU676" s="272">
        <f>'Detailed Budget'!$AC$192</f>
        <v>77498869683.252869</v>
      </c>
      <c r="DV676" s="269">
        <f t="shared" si="1708"/>
        <v>74466341.181719229</v>
      </c>
      <c r="DW676" s="140">
        <f>'Detailed Budget'!$AC$194</f>
        <v>2684962805.4134097</v>
      </c>
      <c r="DX676" s="269">
        <f t="shared" si="1709"/>
        <v>2579900.2894534725</v>
      </c>
      <c r="DY676" s="607">
        <f t="shared" si="1648"/>
        <v>77046241.471172705</v>
      </c>
      <c r="DZ676" s="196">
        <f>'Detailed Budget'!$AC$198</f>
        <v>18732540018.380611</v>
      </c>
      <c r="EA676" s="269">
        <f t="shared" si="1764"/>
        <v>17025491.92871144</v>
      </c>
      <c r="EB676" s="196">
        <f>'Detailed Budget'!$AC$200</f>
        <v>4683135004.5951529</v>
      </c>
      <c r="EC676" s="269">
        <f t="shared" si="1711"/>
        <v>4256372.9821778601</v>
      </c>
      <c r="ED676" s="269">
        <f t="shared" si="1649"/>
        <v>21281864.910889301</v>
      </c>
      <c r="EE676" s="196">
        <f>'Detailed Budget'!$AC$161</f>
        <v>251147290106.36197</v>
      </c>
      <c r="EF676" s="269">
        <f t="shared" si="1712"/>
        <v>241319903.99810934</v>
      </c>
      <c r="EG676" s="196">
        <f>'Detailed Budget'!$AC$163</f>
        <v>15696705631.647623</v>
      </c>
      <c r="EH676" s="269">
        <f t="shared" si="1713"/>
        <v>15082493.999881834</v>
      </c>
      <c r="EI676" s="269">
        <f t="shared" si="1650"/>
        <v>256402397.99799117</v>
      </c>
      <c r="EJ676" s="196">
        <f>'Detailed Budget'!$AC$204</f>
        <v>45012172507.531975</v>
      </c>
      <c r="EK676" s="269">
        <f t="shared" si="1714"/>
        <v>36982961.346537955</v>
      </c>
      <c r="EL676" s="201">
        <f>'Detailed Budget'!$AC$206</f>
        <v>11253043126.882994</v>
      </c>
      <c r="EM676" s="269">
        <f t="shared" si="1715"/>
        <v>9245740.3366344888</v>
      </c>
      <c r="EN676" s="269">
        <f t="shared" si="1651"/>
        <v>46228701.683172442</v>
      </c>
      <c r="EO676" s="140">
        <f>'Detailed Budget'!$AC$209</f>
        <v>135789361677.54817</v>
      </c>
      <c r="EP676" s="269">
        <f t="shared" si="1716"/>
        <v>133242850.08039264</v>
      </c>
      <c r="EQ676" s="196">
        <f>'Detailed Budget'!$AC$211</f>
        <v>33947340419.387043</v>
      </c>
      <c r="ER676" s="269">
        <f t="shared" si="1717"/>
        <v>33310712.520098161</v>
      </c>
      <c r="ES676" s="269">
        <f t="shared" si="1652"/>
        <v>166553562.60049081</v>
      </c>
      <c r="ET676" s="196">
        <f>'Detailed Budget'!$AC$214</f>
        <v>22239745544.201103</v>
      </c>
      <c r="EU676" s="269">
        <f t="shared" si="1718"/>
        <v>21193523.127733387</v>
      </c>
      <c r="EV676" s="140">
        <f>'Detailed Budget'!$AC$217</f>
        <v>5559936386.0502758</v>
      </c>
      <c r="EW676" s="269">
        <f t="shared" si="1719"/>
        <v>5298380.7819333468</v>
      </c>
      <c r="EX676" s="269">
        <f t="shared" si="1653"/>
        <v>26491903.909666732</v>
      </c>
      <c r="EY676" s="196">
        <f>'Detailed Budget'!$AC$219</f>
        <v>372777004.58170313</v>
      </c>
      <c r="EZ676" s="269">
        <f t="shared" si="1720"/>
        <v>371910.4563445063</v>
      </c>
      <c r="FA676" s="196">
        <f>'Detailed Budget'!$AC$222</f>
        <v>93194251.145425782</v>
      </c>
      <c r="FB676" s="269">
        <f t="shared" si="1721"/>
        <v>92977.614086126574</v>
      </c>
      <c r="FC676" s="269">
        <f t="shared" si="1654"/>
        <v>464888.07043063286</v>
      </c>
      <c r="FD676" s="269"/>
      <c r="FE676" s="269">
        <f t="shared" si="1663"/>
        <v>239739056.26376063</v>
      </c>
      <c r="FF676" s="140">
        <f>'Detailed Budget'!$AC$165</f>
        <v>14927760000</v>
      </c>
      <c r="FG676" s="1087">
        <f t="shared" si="1749"/>
        <v>327019941.99572074</v>
      </c>
      <c r="FH676" s="269">
        <f t="shared" si="1722"/>
        <v>16961436.200431772</v>
      </c>
      <c r="FJ676" s="140">
        <f>'Detailed Budget'!$AC$235</f>
        <v>3623696172</v>
      </c>
      <c r="FK676" s="269">
        <f t="shared" si="1723"/>
        <v>4681778</v>
      </c>
      <c r="FL676" s="269">
        <f t="shared" si="1750"/>
        <v>4681778</v>
      </c>
      <c r="FO676" s="607"/>
      <c r="FP676" s="607"/>
      <c r="FQ676" s="607"/>
      <c r="FR676" s="269">
        <f>'Detailed Budget'!$AC$257</f>
        <v>13636439388</v>
      </c>
      <c r="FS676" s="269">
        <f t="shared" si="1765"/>
        <v>15989376</v>
      </c>
      <c r="FT676" s="269">
        <f t="shared" si="1751"/>
        <v>15989376</v>
      </c>
      <c r="FU676" s="269"/>
      <c r="FV676" s="269"/>
      <c r="FW676" s="269"/>
      <c r="FX676" s="140">
        <f>'Detailed Budget'!$AC$278</f>
        <v>1114560000</v>
      </c>
      <c r="FY676" s="269">
        <f t="shared" si="1766"/>
        <v>1440000</v>
      </c>
      <c r="FZ676" s="269">
        <f t="shared" si="1752"/>
        <v>1440000</v>
      </c>
      <c r="GB676" s="269">
        <f t="shared" si="1760"/>
        <v>1113526726.5964062</v>
      </c>
      <c r="GC676" s="887">
        <f t="shared" si="1668"/>
        <v>695954.20412275393</v>
      </c>
      <c r="GD676" s="1078">
        <f t="shared" si="1761"/>
        <v>6.2483491025098353E-4</v>
      </c>
    </row>
    <row r="677" spans="1:186" hidden="1" outlineLevel="1">
      <c r="A677" s="211" t="s">
        <v>1452</v>
      </c>
      <c r="B677" s="212" t="s">
        <v>1453</v>
      </c>
      <c r="C677" s="213" t="s">
        <v>215</v>
      </c>
      <c r="D677" s="214"/>
      <c r="E677" s="213"/>
      <c r="F677" s="213"/>
      <c r="G677" s="213" t="s">
        <v>215</v>
      </c>
      <c r="H677" s="213" t="s">
        <v>215</v>
      </c>
      <c r="I677" s="214" t="s">
        <v>215</v>
      </c>
      <c r="J677" s="214"/>
      <c r="K677" s="213"/>
      <c r="L677" s="213"/>
      <c r="M677" s="214"/>
      <c r="N677" s="213" t="s">
        <v>215</v>
      </c>
      <c r="O677" s="214"/>
      <c r="P677" s="213"/>
      <c r="Q677" s="214"/>
      <c r="R677" s="214" t="s">
        <v>215</v>
      </c>
      <c r="S677" s="214"/>
      <c r="T677" s="214"/>
      <c r="U677" s="215">
        <f t="shared" si="1767"/>
        <v>6</v>
      </c>
      <c r="V677" s="845" t="s">
        <v>216</v>
      </c>
      <c r="W677" s="216">
        <v>198975</v>
      </c>
      <c r="X677" s="217">
        <v>2.78</v>
      </c>
      <c r="Y677" s="218">
        <f t="shared" si="1785"/>
        <v>1.0278</v>
      </c>
      <c r="Z677" s="196">
        <v>19</v>
      </c>
      <c r="AA677" s="218">
        <f t="shared" si="1786"/>
        <v>1.6836958972696243</v>
      </c>
      <c r="AB677" s="196">
        <f t="shared" si="1746"/>
        <v>335013.39115922351</v>
      </c>
      <c r="AC677">
        <v>12.7</v>
      </c>
      <c r="AD677" s="196">
        <f t="shared" si="1747"/>
        <v>42546.700677221379</v>
      </c>
      <c r="AE677" s="196">
        <f t="shared" si="1787"/>
        <v>40419.36564336031</v>
      </c>
      <c r="AF677" s="196">
        <f t="shared" si="1768"/>
        <v>0</v>
      </c>
      <c r="AG677" s="606">
        <f t="shared" si="1671"/>
        <v>1.8688140230089807E-3</v>
      </c>
      <c r="AH677" s="196">
        <f t="shared" si="1784"/>
        <v>16750.669557961177</v>
      </c>
      <c r="AI677" s="248">
        <f t="shared" si="1644"/>
        <v>1.297648990911876E-3</v>
      </c>
      <c r="AJ677" s="196">
        <f t="shared" si="1672"/>
        <v>59297.370235182556</v>
      </c>
      <c r="AK677" s="196">
        <f t="shared" si="1698"/>
        <v>13400.53564636894</v>
      </c>
      <c r="AL677" s="196">
        <f t="shared" si="1699"/>
        <v>13400.53564636894</v>
      </c>
      <c r="AM677" s="196">
        <f t="shared" si="1656"/>
        <v>26801.071292737881</v>
      </c>
      <c r="AN677" s="627">
        <f t="shared" si="1657"/>
        <v>1.2976489909118758E-3</v>
      </c>
      <c r="AO677" s="196">
        <f t="shared" si="1658"/>
        <v>12730.508864050493</v>
      </c>
      <c r="AP677" s="589">
        <f t="shared" si="1673"/>
        <v>1.2976489909118758E-3</v>
      </c>
      <c r="AQ677" s="196"/>
      <c r="AR677" s="589"/>
      <c r="AS677">
        <v>1</v>
      </c>
      <c r="AT677" s="589">
        <f t="shared" si="1674"/>
        <v>1.2919896640826874E-3</v>
      </c>
      <c r="AU677" s="196">
        <v>12</v>
      </c>
      <c r="AV677" s="245">
        <f t="shared" si="1645"/>
        <v>1.3634814225656176E-3</v>
      </c>
      <c r="AX677" s="245"/>
      <c r="AY677" s="245"/>
      <c r="AZ677" s="196">
        <v>33</v>
      </c>
      <c r="BA677" s="589">
        <f t="shared" si="1754"/>
        <v>1.2091898428053204E-3</v>
      </c>
      <c r="BI677" s="196">
        <v>0</v>
      </c>
      <c r="BK677" s="246">
        <f t="shared" si="1755"/>
        <v>0</v>
      </c>
      <c r="BL677" s="246"/>
      <c r="BM677" s="246">
        <f t="shared" si="1756"/>
        <v>0</v>
      </c>
      <c r="BN677" s="196">
        <v>1</v>
      </c>
      <c r="BO677" s="196">
        <f t="shared" si="1769"/>
        <v>24658.781526355669</v>
      </c>
      <c r="BP677" s="196">
        <f t="shared" si="1676"/>
        <v>24658.781526355669</v>
      </c>
      <c r="BQ677" s="248">
        <f t="shared" si="1757"/>
        <v>2.3067141820592258E-3</v>
      </c>
      <c r="BR677" s="248"/>
      <c r="BS677" s="248"/>
      <c r="BT677" s="276">
        <v>0</v>
      </c>
      <c r="BU677" s="196">
        <f t="shared" si="1770"/>
        <v>0</v>
      </c>
      <c r="BV677" s="264">
        <f t="shared" si="1758"/>
        <v>0</v>
      </c>
      <c r="BW677" s="196">
        <f t="shared" si="1771"/>
        <v>0</v>
      </c>
      <c r="BX677" s="247">
        <f t="shared" si="1759"/>
        <v>0</v>
      </c>
      <c r="BY677" s="196">
        <f t="shared" si="1772"/>
        <v>0</v>
      </c>
      <c r="BZ677" s="620">
        <v>1</v>
      </c>
      <c r="CA677" s="196">
        <f t="shared" si="1773"/>
        <v>102514.09769472238</v>
      </c>
      <c r="CB677" s="196">
        <f t="shared" si="1774"/>
        <v>205028.19538944477</v>
      </c>
      <c r="CC677" s="196">
        <f t="shared" si="1682"/>
        <v>307542.29308416718</v>
      </c>
      <c r="CD677" s="247">
        <f t="shared" si="1646"/>
        <v>1.2976489909118758E-3</v>
      </c>
      <c r="CE677" s="196">
        <f t="shared" si="1775"/>
        <v>28423.769329379611</v>
      </c>
      <c r="CF677" s="247">
        <f t="shared" si="1647"/>
        <v>1.2274267560208531E-3</v>
      </c>
      <c r="CG677" s="196">
        <f t="shared" si="1703"/>
        <v>50922.035456201971</v>
      </c>
      <c r="CH677" s="589">
        <f t="shared" si="1684"/>
        <v>1.2976489909118758E-3</v>
      </c>
      <c r="CI677" s="196">
        <f t="shared" si="1776"/>
        <v>67493.593074321674</v>
      </c>
      <c r="CJ677" s="248">
        <f t="shared" si="1686"/>
        <v>1.1095944988204578E-3</v>
      </c>
      <c r="CK677" s="196">
        <f t="shared" si="1777"/>
        <v>92184.241212951049</v>
      </c>
      <c r="CL677" s="589">
        <f t="shared" si="1688"/>
        <v>1.32516742892562E-3</v>
      </c>
      <c r="CM677" s="196">
        <f t="shared" si="1778"/>
        <v>8930.3339445343936</v>
      </c>
      <c r="CN677" s="589">
        <f t="shared" si="1690"/>
        <v>1.2869626115363444E-3</v>
      </c>
      <c r="CO677" s="196">
        <f t="shared" si="1779"/>
        <v>714.45625380580282</v>
      </c>
      <c r="CP677" s="589">
        <f t="shared" si="1692"/>
        <v>1.3473544481558365E-3</v>
      </c>
      <c r="CQ677" s="196">
        <f>'Detailed Budget'!$AC$12</f>
        <v>292876014141.44696</v>
      </c>
      <c r="CR677" s="269">
        <f t="shared" si="1701"/>
        <v>0</v>
      </c>
      <c r="CS677" s="269">
        <f>'Detailed Budget'!$AC$16</f>
        <v>10488008800.000002</v>
      </c>
      <c r="CT677" s="607">
        <f t="shared" si="1705"/>
        <v>0</v>
      </c>
      <c r="CU677" s="269">
        <f>'Detailed Budget'!$AC$24</f>
        <v>30624985696</v>
      </c>
      <c r="CV677" s="269">
        <f t="shared" si="1753"/>
        <v>0</v>
      </c>
      <c r="CW677" s="269"/>
      <c r="CX677" s="269">
        <f t="shared" si="1660"/>
        <v>0</v>
      </c>
      <c r="CY677" s="196">
        <f>'Detailed Budget'!$AC$97</f>
        <v>74629165494.837845</v>
      </c>
      <c r="CZ677" s="269">
        <f t="shared" si="1706"/>
        <v>172148154.44218749</v>
      </c>
      <c r="DA677" s="269">
        <f>'Detailed Budget'!$AC$100</f>
        <v>14925833098.967569</v>
      </c>
      <c r="DB677" s="269">
        <f t="shared" si="1707"/>
        <v>34429630.888437495</v>
      </c>
      <c r="DC677" s="269">
        <f t="shared" si="1661"/>
        <v>206577785.330625</v>
      </c>
      <c r="DD677" s="207">
        <v>0</v>
      </c>
      <c r="DE677" s="606">
        <v>0</v>
      </c>
      <c r="DF677" s="269">
        <f>'Detailed Budget'!$AC$147</f>
        <v>5913600671000</v>
      </c>
      <c r="DG677" s="269">
        <f t="shared" si="1748"/>
        <v>0</v>
      </c>
      <c r="DH677" s="269">
        <f>'Detailed Budget'!$AC$153</f>
        <v>226428026880.00003</v>
      </c>
      <c r="DI677" s="269"/>
      <c r="DJ677" s="269">
        <f>'Detailed Budget'!$AC$156</f>
        <v>27713070000</v>
      </c>
      <c r="DK677" s="269"/>
      <c r="DL677" s="269"/>
      <c r="DM677" s="196">
        <f>'Detailed Budget'!$AC$178</f>
        <v>5622683761.6229038</v>
      </c>
      <c r="DN677" s="269">
        <f t="shared" si="1780"/>
        <v>0</v>
      </c>
      <c r="DO677" s="196">
        <f>'Detailed Budget'!$AC$179</f>
        <v>26827890683.128094</v>
      </c>
      <c r="DP677" s="269">
        <f t="shared" si="1781"/>
        <v>0</v>
      </c>
      <c r="DQ677" s="269">
        <f t="shared" si="1700"/>
        <v>0</v>
      </c>
      <c r="DR677" s="269">
        <f>'Detailed Budget'!$AC$181</f>
        <v>50888946855.375237</v>
      </c>
      <c r="DS677" s="269">
        <f t="shared" si="1782"/>
        <v>0</v>
      </c>
      <c r="DT677" s="269">
        <f t="shared" si="1783"/>
        <v>0</v>
      </c>
      <c r="DU677" s="272">
        <f>'Detailed Budget'!$AC$192</f>
        <v>77498869683.252869</v>
      </c>
      <c r="DV677" s="269">
        <f t="shared" si="1708"/>
        <v>100566330.04128404</v>
      </c>
      <c r="DW677" s="140">
        <f>'Detailed Budget'!$AC$194</f>
        <v>2684962805.4134097</v>
      </c>
      <c r="DX677" s="269">
        <f t="shared" si="1709"/>
        <v>3484139.2750806301</v>
      </c>
      <c r="DY677" s="607">
        <f t="shared" si="1648"/>
        <v>104050469.31636468</v>
      </c>
      <c r="DZ677" s="196">
        <f>'Detailed Budget'!$AC$198</f>
        <v>18732540018.380611</v>
      </c>
      <c r="EA677" s="269">
        <f t="shared" si="1764"/>
        <v>22992820.826791726</v>
      </c>
      <c r="EB677" s="196">
        <f>'Detailed Budget'!$AC$200</f>
        <v>4683135004.5951529</v>
      </c>
      <c r="EC677" s="269">
        <f t="shared" si="1711"/>
        <v>5748205.2066979315</v>
      </c>
      <c r="ED677" s="269">
        <f t="shared" si="1649"/>
        <v>28741026.033489659</v>
      </c>
      <c r="EE677" s="196">
        <f>'Detailed Budget'!$AC$161</f>
        <v>251147290106.36197</v>
      </c>
      <c r="EF677" s="269">
        <f t="shared" si="1712"/>
        <v>325901027.57677275</v>
      </c>
      <c r="EG677" s="196">
        <f>'Detailed Budget'!$AC$163</f>
        <v>15696705631.647623</v>
      </c>
      <c r="EH677" s="269">
        <f t="shared" si="1713"/>
        <v>20368814.223548297</v>
      </c>
      <c r="EI677" s="269">
        <f t="shared" si="1650"/>
        <v>346269841.80032104</v>
      </c>
      <c r="EJ677" s="196">
        <f>'Detailed Budget'!$AC$204</f>
        <v>45012172507.531975</v>
      </c>
      <c r="EK677" s="269">
        <f t="shared" si="1714"/>
        <v>49945258.994314931</v>
      </c>
      <c r="EL677" s="201">
        <f>'Detailed Budget'!$AC$206</f>
        <v>11253043126.882994</v>
      </c>
      <c r="EM677" s="269">
        <f t="shared" si="1715"/>
        <v>12486314.748578733</v>
      </c>
      <c r="EN677" s="269">
        <f t="shared" si="1651"/>
        <v>62431573.742893666</v>
      </c>
      <c r="EO677" s="140">
        <f>'Detailed Budget'!$AC$209</f>
        <v>135789361677.54817</v>
      </c>
      <c r="EP677" s="269">
        <f t="shared" si="1716"/>
        <v>179943639.28968763</v>
      </c>
      <c r="EQ677" s="196">
        <f>'Detailed Budget'!$AC$211</f>
        <v>33947340419.387043</v>
      </c>
      <c r="ER677" s="269">
        <f t="shared" si="1717"/>
        <v>44985909.822421908</v>
      </c>
      <c r="ES677" s="269">
        <f t="shared" si="1652"/>
        <v>224929549.11210954</v>
      </c>
      <c r="ET677" s="196">
        <f>'Detailed Budget'!$AC$214</f>
        <v>22239745544.201103</v>
      </c>
      <c r="EU677" s="269">
        <f t="shared" si="1718"/>
        <v>28621721.00546883</v>
      </c>
      <c r="EV677" s="140">
        <f>'Detailed Budget'!$AC$217</f>
        <v>5559936386.0502758</v>
      </c>
      <c r="EW677" s="269">
        <f t="shared" si="1719"/>
        <v>7155430.2513672076</v>
      </c>
      <c r="EX677" s="269">
        <f t="shared" si="1653"/>
        <v>35777151.256836042</v>
      </c>
      <c r="EY677" s="196">
        <f>'Detailed Budget'!$AC$219</f>
        <v>372777004.58170313</v>
      </c>
      <c r="EZ677" s="269">
        <f t="shared" si="1720"/>
        <v>502262.75529336632</v>
      </c>
      <c r="FA677" s="196">
        <f>'Detailed Budget'!$AC$222</f>
        <v>93194251.145425782</v>
      </c>
      <c r="FB677" s="269">
        <f t="shared" si="1721"/>
        <v>125565.68882334158</v>
      </c>
      <c r="FC677" s="269">
        <f t="shared" si="1654"/>
        <v>627828.44411670789</v>
      </c>
      <c r="FD677" s="269"/>
      <c r="FE677" s="269">
        <f t="shared" si="1663"/>
        <v>323766102.55595601</v>
      </c>
      <c r="FF677" s="140">
        <f>'Detailed Budget'!$AC$165</f>
        <v>14927760000</v>
      </c>
      <c r="FG677" s="1087">
        <f t="shared" si="1749"/>
        <v>441638395.2122615</v>
      </c>
      <c r="FH677" s="269">
        <f t="shared" si="1722"/>
        <v>20353723.440518126</v>
      </c>
      <c r="FJ677" s="140">
        <f>'Detailed Budget'!$AC$235</f>
        <v>3623696172</v>
      </c>
      <c r="FK677" s="269">
        <f t="shared" si="1723"/>
        <v>4681778</v>
      </c>
      <c r="FL677" s="269">
        <f t="shared" si="1750"/>
        <v>4681778</v>
      </c>
      <c r="FO677" s="607"/>
      <c r="FP677" s="607"/>
      <c r="FQ677" s="607"/>
      <c r="FR677" s="269">
        <f>'Detailed Budget'!$AC$257</f>
        <v>13636439388</v>
      </c>
      <c r="FS677" s="269">
        <f t="shared" si="1765"/>
        <v>16489044</v>
      </c>
      <c r="FT677" s="269">
        <f t="shared" si="1751"/>
        <v>16489044</v>
      </c>
      <c r="FU677" s="269"/>
      <c r="FV677" s="269"/>
      <c r="FW677" s="269"/>
      <c r="FX677" s="140">
        <f>'Detailed Budget'!$AC$278</f>
        <v>1114560000</v>
      </c>
      <c r="FY677" s="269">
        <f t="shared" si="1766"/>
        <v>1440000</v>
      </c>
      <c r="FZ677" s="269">
        <f t="shared" si="1752"/>
        <v>1440000</v>
      </c>
      <c r="GB677" s="269">
        <f t="shared" si="1760"/>
        <v>1494008165.6895361</v>
      </c>
      <c r="GC677" s="887">
        <f t="shared" si="1668"/>
        <v>933755.10355596012</v>
      </c>
      <c r="GD677" s="1078">
        <f t="shared" si="1761"/>
        <v>8.3833502674534786E-4</v>
      </c>
    </row>
    <row r="678" spans="1:186" hidden="1" outlineLevel="1">
      <c r="A678" s="211" t="s">
        <v>1454</v>
      </c>
      <c r="B678" s="212" t="s">
        <v>1455</v>
      </c>
      <c r="C678" s="213" t="s">
        <v>215</v>
      </c>
      <c r="D678" s="214"/>
      <c r="E678" s="213"/>
      <c r="F678" s="213"/>
      <c r="G678" s="213" t="s">
        <v>215</v>
      </c>
      <c r="H678" s="213" t="s">
        <v>215</v>
      </c>
      <c r="I678" s="214" t="s">
        <v>215</v>
      </c>
      <c r="J678" s="214"/>
      <c r="K678" s="213"/>
      <c r="L678" s="213"/>
      <c r="M678" s="214"/>
      <c r="N678" s="213" t="s">
        <v>215</v>
      </c>
      <c r="O678" s="214"/>
      <c r="P678" s="213"/>
      <c r="Q678" s="214"/>
      <c r="R678" s="214" t="s">
        <v>215</v>
      </c>
      <c r="S678" s="214"/>
      <c r="T678" s="214"/>
      <c r="U678" s="215">
        <f t="shared" si="1767"/>
        <v>6</v>
      </c>
      <c r="V678" s="845" t="s">
        <v>1073</v>
      </c>
      <c r="W678" s="216">
        <v>70276</v>
      </c>
      <c r="X678" s="217">
        <v>2.78</v>
      </c>
      <c r="Y678" s="218">
        <f t="shared" si="1785"/>
        <v>1.0278</v>
      </c>
      <c r="Z678" s="196">
        <v>19</v>
      </c>
      <c r="AA678" s="218">
        <f t="shared" si="1786"/>
        <v>1.6836958972696243</v>
      </c>
      <c r="AB678" s="196">
        <f t="shared" ref="AB678:AB710" si="1788">W678*AA678</f>
        <v>118323.41287652012</v>
      </c>
      <c r="AC678">
        <v>12.7</v>
      </c>
      <c r="AD678" s="196">
        <f t="shared" ref="AD678:AD710" si="1789">AB678*AC678/100</f>
        <v>15027.073435318052</v>
      </c>
      <c r="AE678" s="196">
        <f t="shared" si="1787"/>
        <v>14275.71976355215</v>
      </c>
      <c r="AF678" s="196">
        <f t="shared" si="1768"/>
        <v>0</v>
      </c>
      <c r="AG678" s="606">
        <f t="shared" si="1671"/>
        <v>6.6004661028259384E-4</v>
      </c>
      <c r="AH678" s="196">
        <f t="shared" si="1784"/>
        <v>5916.1706438260062</v>
      </c>
      <c r="AI678" s="248">
        <f t="shared" si="1644"/>
        <v>4.583167759031184E-4</v>
      </c>
      <c r="AJ678" s="196">
        <f t="shared" si="1672"/>
        <v>20943.24407914406</v>
      </c>
      <c r="AK678" s="196">
        <f t="shared" si="1698"/>
        <v>4732.9365150608046</v>
      </c>
      <c r="AL678" s="196">
        <f t="shared" si="1699"/>
        <v>4732.9365150608046</v>
      </c>
      <c r="AM678" s="196">
        <f t="shared" si="1656"/>
        <v>9465.8730301216092</v>
      </c>
      <c r="AN678" s="627">
        <f t="shared" si="1657"/>
        <v>4.5831677590311835E-4</v>
      </c>
      <c r="AO678" s="196">
        <f t="shared" si="1658"/>
        <v>4496.2896893077641</v>
      </c>
      <c r="AP678" s="589">
        <f t="shared" si="1673"/>
        <v>4.5831677590311835E-4</v>
      </c>
      <c r="AQ678" s="196"/>
      <c r="AR678" s="589"/>
      <c r="AS678">
        <v>1</v>
      </c>
      <c r="AT678" s="589">
        <f t="shared" si="1674"/>
        <v>1.2919896640826874E-3</v>
      </c>
      <c r="AU678" s="196">
        <v>10</v>
      </c>
      <c r="AV678" s="245">
        <f t="shared" si="1645"/>
        <v>1.1362345188046814E-3</v>
      </c>
      <c r="AX678" s="245"/>
      <c r="AY678" s="245"/>
      <c r="AZ678" s="196">
        <v>23</v>
      </c>
      <c r="BA678" s="589">
        <f t="shared" si="1754"/>
        <v>8.4276867831885966E-4</v>
      </c>
      <c r="BI678" s="196">
        <v>0</v>
      </c>
      <c r="BK678" s="246">
        <f t="shared" si="1755"/>
        <v>0</v>
      </c>
      <c r="BL678" s="246"/>
      <c r="BM678" s="246">
        <f t="shared" si="1756"/>
        <v>0</v>
      </c>
      <c r="BN678" s="196">
        <v>1</v>
      </c>
      <c r="BO678" s="196">
        <f t="shared" si="1769"/>
        <v>8709.237494892177</v>
      </c>
      <c r="BP678" s="196">
        <f t="shared" si="1676"/>
        <v>8709.237494892177</v>
      </c>
      <c r="BQ678" s="248">
        <f t="shared" si="1757"/>
        <v>8.1470861092295082E-4</v>
      </c>
      <c r="BR678" s="248"/>
      <c r="BS678" s="248"/>
      <c r="BT678" s="276">
        <v>0</v>
      </c>
      <c r="BU678" s="196">
        <f t="shared" si="1770"/>
        <v>0</v>
      </c>
      <c r="BV678" s="264">
        <f t="shared" si="1758"/>
        <v>0</v>
      </c>
      <c r="BW678" s="196">
        <f t="shared" si="1771"/>
        <v>0</v>
      </c>
      <c r="BX678" s="247">
        <f t="shared" si="1759"/>
        <v>0</v>
      </c>
      <c r="BY678" s="196">
        <f t="shared" si="1772"/>
        <v>0</v>
      </c>
      <c r="BZ678" s="620">
        <v>1</v>
      </c>
      <c r="CA678" s="196">
        <f t="shared" si="1773"/>
        <v>36206.964340215156</v>
      </c>
      <c r="CB678" s="196">
        <f t="shared" si="1774"/>
        <v>72413.928680430312</v>
      </c>
      <c r="CC678" s="196">
        <f t="shared" si="1682"/>
        <v>108620.89302064547</v>
      </c>
      <c r="CD678" s="247">
        <f t="shared" si="1646"/>
        <v>4.5831677590311835E-4</v>
      </c>
      <c r="CE678" s="196">
        <f t="shared" si="1775"/>
        <v>10038.993910750001</v>
      </c>
      <c r="CF678" s="247">
        <f t="shared" si="1647"/>
        <v>4.3351497779179027E-4</v>
      </c>
      <c r="CG678" s="196">
        <f t="shared" si="1703"/>
        <v>17985.158757231056</v>
      </c>
      <c r="CH678" s="589">
        <f t="shared" si="1684"/>
        <v>4.5831677590311835E-4</v>
      </c>
      <c r="CI678" s="196">
        <f t="shared" si="1776"/>
        <v>23838.068837246035</v>
      </c>
      <c r="CJ678" s="248">
        <f t="shared" si="1686"/>
        <v>3.9189779117530587E-4</v>
      </c>
      <c r="CK678" s="196">
        <f t="shared" si="1777"/>
        <v>32558.561304090203</v>
      </c>
      <c r="CL678" s="589">
        <f t="shared" si="1688"/>
        <v>4.6803601575663711E-4</v>
      </c>
      <c r="CM678" s="196">
        <f t="shared" si="1778"/>
        <v>3154.1055322834477</v>
      </c>
      <c r="CN678" s="589">
        <f t="shared" si="1690"/>
        <v>4.545424525107583E-4</v>
      </c>
      <c r="CO678" s="196">
        <f t="shared" si="1779"/>
        <v>252.33887519767106</v>
      </c>
      <c r="CP678" s="589">
        <f t="shared" si="1692"/>
        <v>4.7587225128081198E-4</v>
      </c>
      <c r="CQ678" s="196">
        <f>'Detailed Budget'!$AC$12</f>
        <v>292876014141.44696</v>
      </c>
      <c r="CR678" s="269">
        <f t="shared" si="1701"/>
        <v>0</v>
      </c>
      <c r="CS678" s="269">
        <f>'Detailed Budget'!$AC$16</f>
        <v>10488008800.000002</v>
      </c>
      <c r="CT678" s="607">
        <f t="shared" si="1705"/>
        <v>0</v>
      </c>
      <c r="CU678" s="269">
        <f>'Detailed Budget'!$AC$24</f>
        <v>30624985696</v>
      </c>
      <c r="CV678" s="269">
        <f t="shared" si="1753"/>
        <v>0</v>
      </c>
      <c r="CW678" s="269"/>
      <c r="CX678" s="269">
        <f t="shared" si="1660"/>
        <v>0</v>
      </c>
      <c r="CY678" s="196">
        <f>'Detailed Budget'!$AC$97</f>
        <v>74629165494.837845</v>
      </c>
      <c r="CZ678" s="269">
        <f t="shared" si="1706"/>
        <v>60801023.754638352</v>
      </c>
      <c r="DA678" s="269">
        <f>'Detailed Budget'!$AC$100</f>
        <v>14925833098.967569</v>
      </c>
      <c r="DB678" s="269">
        <f t="shared" si="1707"/>
        <v>12160204.75092767</v>
      </c>
      <c r="DC678" s="269">
        <f t="shared" si="1661"/>
        <v>72961228.505566016</v>
      </c>
      <c r="DD678" s="207">
        <v>0</v>
      </c>
      <c r="DE678" s="606">
        <v>0</v>
      </c>
      <c r="DF678" s="269">
        <f>'Detailed Budget'!$AC$147</f>
        <v>5913600671000</v>
      </c>
      <c r="DG678" s="269">
        <f t="shared" si="1748"/>
        <v>0</v>
      </c>
      <c r="DH678" s="269">
        <f>'Detailed Budget'!$AC$153</f>
        <v>226428026880.00003</v>
      </c>
      <c r="DI678" s="269"/>
      <c r="DJ678" s="269">
        <f>'Detailed Budget'!$AC$156</f>
        <v>27713070000</v>
      </c>
      <c r="DK678" s="269"/>
      <c r="DL678" s="269"/>
      <c r="DM678" s="196">
        <f>'Detailed Budget'!$AC$178</f>
        <v>5622683761.6229038</v>
      </c>
      <c r="DN678" s="269">
        <f t="shared" si="1780"/>
        <v>0</v>
      </c>
      <c r="DO678" s="196">
        <f>'Detailed Budget'!$AC$179</f>
        <v>26827890683.128094</v>
      </c>
      <c r="DP678" s="269">
        <f t="shared" si="1781"/>
        <v>0</v>
      </c>
      <c r="DQ678" s="269">
        <f t="shared" si="1700"/>
        <v>0</v>
      </c>
      <c r="DR678" s="269">
        <f>'Detailed Budget'!$AC$181</f>
        <v>50888946855.375237</v>
      </c>
      <c r="DS678" s="269">
        <f t="shared" si="1782"/>
        <v>0</v>
      </c>
      <c r="DT678" s="269">
        <f t="shared" si="1783"/>
        <v>0</v>
      </c>
      <c r="DU678" s="272">
        <f>'Detailed Budget'!$AC$192</f>
        <v>77498869683.252869</v>
      </c>
      <c r="DV678" s="269">
        <f t="shared" si="1708"/>
        <v>35519032.08936438</v>
      </c>
      <c r="DW678" s="140">
        <f>'Detailed Budget'!$AC$194</f>
        <v>2684962805.4134097</v>
      </c>
      <c r="DX678" s="269">
        <f t="shared" si="1709"/>
        <v>1230563.4963968657</v>
      </c>
      <c r="DY678" s="607">
        <f t="shared" si="1648"/>
        <v>36749595.585761249</v>
      </c>
      <c r="DZ678" s="196">
        <f>'Detailed Budget'!$AC$198</f>
        <v>18732540018.380611</v>
      </c>
      <c r="EA678" s="269">
        <f t="shared" si="1764"/>
        <v>8120836.6700520935</v>
      </c>
      <c r="EB678" s="196">
        <f>'Detailed Budget'!$AC$200</f>
        <v>4683135004.5951529</v>
      </c>
      <c r="EC678" s="269">
        <f t="shared" si="1711"/>
        <v>2030209.1675130234</v>
      </c>
      <c r="ED678" s="269">
        <f t="shared" si="1649"/>
        <v>10151045.837565117</v>
      </c>
      <c r="EE678" s="196">
        <f>'Detailed Budget'!$AC$161</f>
        <v>251147290106.36197</v>
      </c>
      <c r="EF678" s="269">
        <f t="shared" si="1712"/>
        <v>115105016.27835295</v>
      </c>
      <c r="EG678" s="196">
        <f>'Detailed Budget'!$AC$163</f>
        <v>15696705631.647623</v>
      </c>
      <c r="EH678" s="269">
        <f t="shared" si="1713"/>
        <v>7194063.5173970591</v>
      </c>
      <c r="EI678" s="269">
        <f t="shared" si="1650"/>
        <v>122299079.79575001</v>
      </c>
      <c r="EJ678" s="196">
        <f>'Detailed Budget'!$AC$204</f>
        <v>45012172507.531975</v>
      </c>
      <c r="EK678" s="269">
        <f t="shared" si="1714"/>
        <v>17640170.981703609</v>
      </c>
      <c r="EL678" s="201">
        <f>'Detailed Budget'!$AC$206</f>
        <v>11253043126.882994</v>
      </c>
      <c r="EM678" s="269">
        <f t="shared" si="1715"/>
        <v>4410042.7454259023</v>
      </c>
      <c r="EN678" s="269">
        <f t="shared" si="1651"/>
        <v>22050213.727129512</v>
      </c>
      <c r="EO678" s="140">
        <f>'Detailed Budget'!$AC$209</f>
        <v>135789361677.54817</v>
      </c>
      <c r="EP678" s="269">
        <f t="shared" si="1716"/>
        <v>63554311.821696632</v>
      </c>
      <c r="EQ678" s="196">
        <f>'Detailed Budget'!$AC$211</f>
        <v>33947340419.387043</v>
      </c>
      <c r="ER678" s="269">
        <f t="shared" si="1717"/>
        <v>15888577.955424158</v>
      </c>
      <c r="ES678" s="269">
        <f t="shared" si="1652"/>
        <v>79442889.777120784</v>
      </c>
      <c r="ET678" s="196">
        <f>'Detailed Budget'!$AC$214</f>
        <v>22239745544.201103</v>
      </c>
      <c r="EU678" s="269">
        <f t="shared" si="1718"/>
        <v>10108908.482876379</v>
      </c>
      <c r="EV678" s="140">
        <f>'Detailed Budget'!$AC$217</f>
        <v>5559936386.0502758</v>
      </c>
      <c r="EW678" s="269">
        <f t="shared" si="1719"/>
        <v>2527227.1207190948</v>
      </c>
      <c r="EX678" s="269">
        <f t="shared" si="1653"/>
        <v>12636135.603595473</v>
      </c>
      <c r="EY678" s="196">
        <f>'Detailed Budget'!$AC$219</f>
        <v>372777004.58170313</v>
      </c>
      <c r="EZ678" s="269">
        <f t="shared" si="1720"/>
        <v>177394.23239601264</v>
      </c>
      <c r="FA678" s="196">
        <f>'Detailed Budget'!$AC$222</f>
        <v>93194251.145425782</v>
      </c>
      <c r="FB678" s="269">
        <f t="shared" si="1721"/>
        <v>44348.558099003159</v>
      </c>
      <c r="FC678" s="269">
        <f t="shared" si="1654"/>
        <v>221742.7904950158</v>
      </c>
      <c r="FD678" s="269"/>
      <c r="FE678" s="269">
        <f t="shared" si="1663"/>
        <v>114350981.89834078</v>
      </c>
      <c r="FF678" s="140">
        <f>'Detailed Budget'!$AC$165</f>
        <v>14927760000</v>
      </c>
      <c r="FG678" s="1087">
        <f t="shared" si="1749"/>
        <v>155982308.64147195</v>
      </c>
      <c r="FH678" s="269">
        <f t="shared" si="1722"/>
        <v>16961436.200431772</v>
      </c>
      <c r="FJ678" s="140">
        <f>'Detailed Budget'!$AC$235</f>
        <v>3623696172</v>
      </c>
      <c r="FK678" s="269">
        <f t="shared" si="1723"/>
        <v>4681778</v>
      </c>
      <c r="FL678" s="269">
        <f t="shared" si="1750"/>
        <v>4681778</v>
      </c>
      <c r="FO678" s="607"/>
      <c r="FP678" s="607"/>
      <c r="FQ678" s="607"/>
      <c r="FR678" s="269">
        <f>'Detailed Budget'!$AC$257</f>
        <v>13636439388</v>
      </c>
      <c r="FS678" s="269">
        <f t="shared" si="1765"/>
        <v>11492364</v>
      </c>
      <c r="FT678" s="269">
        <f t="shared" si="1751"/>
        <v>11492364</v>
      </c>
      <c r="FU678" s="269"/>
      <c r="FV678" s="269"/>
      <c r="FW678" s="269"/>
      <c r="FX678" s="140">
        <f>'Detailed Budget'!$AC$278</f>
        <v>1114560000</v>
      </c>
      <c r="FY678" s="269">
        <f t="shared" si="1766"/>
        <v>1440000</v>
      </c>
      <c r="FZ678" s="269">
        <f t="shared" si="1752"/>
        <v>1440000</v>
      </c>
      <c r="GB678" s="269">
        <f t="shared" si="1760"/>
        <v>547069818.4648869</v>
      </c>
      <c r="GC678" s="887">
        <f t="shared" si="1668"/>
        <v>341918.63654055429</v>
      </c>
      <c r="GD678" s="1078">
        <f t="shared" si="1761"/>
        <v>3.0697810187848678E-4</v>
      </c>
    </row>
    <row r="679" spans="1:186" hidden="1" outlineLevel="1">
      <c r="A679" s="211" t="s">
        <v>1456</v>
      </c>
      <c r="B679" s="212" t="s">
        <v>1457</v>
      </c>
      <c r="C679" s="213" t="s">
        <v>215</v>
      </c>
      <c r="D679" s="214"/>
      <c r="E679" s="213"/>
      <c r="F679" s="213"/>
      <c r="G679" s="213" t="s">
        <v>215</v>
      </c>
      <c r="H679" s="213" t="s">
        <v>215</v>
      </c>
      <c r="I679" s="214" t="s">
        <v>215</v>
      </c>
      <c r="J679" s="214"/>
      <c r="K679" s="213"/>
      <c r="L679" s="213"/>
      <c r="M679" s="214"/>
      <c r="N679" s="213" t="s">
        <v>215</v>
      </c>
      <c r="O679" s="214"/>
      <c r="P679" s="213"/>
      <c r="Q679" s="214" t="s">
        <v>215</v>
      </c>
      <c r="R679" s="214"/>
      <c r="S679" s="214"/>
      <c r="T679" s="214"/>
      <c r="U679" s="215">
        <f t="shared" si="1767"/>
        <v>6</v>
      </c>
      <c r="V679" s="845" t="s">
        <v>1073</v>
      </c>
      <c r="W679" s="216">
        <v>372080</v>
      </c>
      <c r="X679" s="217">
        <v>2.78</v>
      </c>
      <c r="Y679" s="218">
        <f t="shared" si="1785"/>
        <v>1.0278</v>
      </c>
      <c r="Z679" s="196">
        <v>19</v>
      </c>
      <c r="AA679" s="218">
        <f t="shared" si="1786"/>
        <v>1.6836958972696243</v>
      </c>
      <c r="AB679" s="196">
        <f t="shared" si="1788"/>
        <v>626469.56945608184</v>
      </c>
      <c r="AC679">
        <v>12.7</v>
      </c>
      <c r="AD679" s="196">
        <f t="shared" si="1789"/>
        <v>79561.635320922389</v>
      </c>
      <c r="AE679" s="196">
        <f t="shared" si="1787"/>
        <v>75583.553554876271</v>
      </c>
      <c r="AF679" s="196">
        <f t="shared" si="1768"/>
        <v>0</v>
      </c>
      <c r="AG679" s="606">
        <f t="shared" si="1671"/>
        <v>3.4946516983600032E-3</v>
      </c>
      <c r="AH679" s="196">
        <f t="shared" si="1784"/>
        <v>31323.478472804094</v>
      </c>
      <c r="AI679" s="248">
        <f t="shared" si="1644"/>
        <v>2.4265824175825645E-3</v>
      </c>
      <c r="AJ679" s="196">
        <f t="shared" si="1672"/>
        <v>110885.11379372649</v>
      </c>
      <c r="AK679" s="196">
        <f t="shared" si="1698"/>
        <v>25058.782778243272</v>
      </c>
      <c r="AL679" s="196">
        <f t="shared" si="1699"/>
        <v>25058.782778243272</v>
      </c>
      <c r="AM679" s="196">
        <f t="shared" si="1656"/>
        <v>50117.565556486545</v>
      </c>
      <c r="AN679" s="627">
        <f t="shared" si="1657"/>
        <v>2.4265824175825641E-3</v>
      </c>
      <c r="AO679" s="196">
        <f t="shared" si="1658"/>
        <v>23805.843639331109</v>
      </c>
      <c r="AP679" s="589">
        <f t="shared" si="1673"/>
        <v>2.4265824175825641E-3</v>
      </c>
      <c r="AQ679" s="196"/>
      <c r="AR679" s="589"/>
      <c r="AS679">
        <v>1</v>
      </c>
      <c r="AT679" s="589">
        <f t="shared" si="1674"/>
        <v>1.2919896640826874E-3</v>
      </c>
      <c r="AU679" s="196">
        <v>10</v>
      </c>
      <c r="AV679" s="245">
        <f t="shared" si="1645"/>
        <v>1.1362345188046814E-3</v>
      </c>
      <c r="AX679" s="245"/>
      <c r="AY679" s="245"/>
      <c r="AZ679" s="196">
        <v>35</v>
      </c>
      <c r="BA679" s="589">
        <f t="shared" si="1754"/>
        <v>1.2824740757026126E-3</v>
      </c>
      <c r="BI679" s="196">
        <v>0</v>
      </c>
      <c r="BK679" s="246">
        <f t="shared" si="1755"/>
        <v>0</v>
      </c>
      <c r="BL679" s="246"/>
      <c r="BM679" s="246">
        <f t="shared" si="1756"/>
        <v>0</v>
      </c>
      <c r="BN679" s="196">
        <v>1</v>
      </c>
      <c r="BO679" s="196">
        <f t="shared" si="1769"/>
        <v>46111.518684892166</v>
      </c>
      <c r="BP679" s="196">
        <f t="shared" si="1676"/>
        <v>46111.518684892166</v>
      </c>
      <c r="BQ679" s="248">
        <f t="shared" si="1757"/>
        <v>4.3135178432496387E-3</v>
      </c>
      <c r="BR679" s="248"/>
      <c r="BS679" s="248"/>
      <c r="BT679" s="276">
        <v>0</v>
      </c>
      <c r="BU679" s="196">
        <f t="shared" si="1770"/>
        <v>0</v>
      </c>
      <c r="BV679" s="264">
        <f t="shared" si="1758"/>
        <v>0</v>
      </c>
      <c r="BW679" s="196">
        <f t="shared" si="1771"/>
        <v>0</v>
      </c>
      <c r="BX679" s="247">
        <f t="shared" si="1759"/>
        <v>0</v>
      </c>
      <c r="BY679" s="196">
        <f t="shared" si="1772"/>
        <v>0</v>
      </c>
      <c r="BZ679" s="620">
        <v>1</v>
      </c>
      <c r="CA679" s="196">
        <f t="shared" si="1773"/>
        <v>191699.68825356103</v>
      </c>
      <c r="CB679" s="196">
        <f t="shared" si="1774"/>
        <v>383399.37650712207</v>
      </c>
      <c r="CC679" s="196">
        <f t="shared" si="1682"/>
        <v>575099.0647606831</v>
      </c>
      <c r="CD679" s="247">
        <f t="shared" si="1646"/>
        <v>2.4265824175825641E-3</v>
      </c>
      <c r="CE679" s="196">
        <f t="shared" si="1775"/>
        <v>53151.984380326998</v>
      </c>
      <c r="CF679" s="247">
        <f t="shared" si="1647"/>
        <v>2.2952679853259906E-3</v>
      </c>
      <c r="CG679" s="196">
        <f t="shared" si="1703"/>
        <v>95223.374557324438</v>
      </c>
      <c r="CH679" s="589">
        <f t="shared" si="1684"/>
        <v>2.4265824175825641E-3</v>
      </c>
      <c r="CI679" s="196">
        <f t="shared" si="1776"/>
        <v>126211.91662818752</v>
      </c>
      <c r="CJ679" s="248">
        <f t="shared" si="1686"/>
        <v>2.0749235889992008E-3</v>
      </c>
      <c r="CK679" s="196">
        <f t="shared" si="1777"/>
        <v>172383.0253575315</v>
      </c>
      <c r="CL679" s="589">
        <f t="shared" si="1688"/>
        <v>2.478041447190073E-3</v>
      </c>
      <c r="CM679" s="196">
        <f t="shared" si="1778"/>
        <v>16699.578610792098</v>
      </c>
      <c r="CN679" s="589">
        <f t="shared" si="1690"/>
        <v>2.4065990626985453E-3</v>
      </c>
      <c r="CO679" s="196">
        <f t="shared" si="1779"/>
        <v>1336.0215248954048</v>
      </c>
      <c r="CP679" s="589">
        <f t="shared" si="1692"/>
        <v>2.5195308107542344E-3</v>
      </c>
      <c r="CQ679" s="196">
        <f>'Detailed Budget'!$AC$12</f>
        <v>292876014141.44696</v>
      </c>
      <c r="CR679" s="269">
        <f t="shared" si="1701"/>
        <v>0</v>
      </c>
      <c r="CS679" s="269">
        <f>'Detailed Budget'!$AC$16</f>
        <v>10488008800.000002</v>
      </c>
      <c r="CT679" s="607">
        <f t="shared" si="1705"/>
        <v>0</v>
      </c>
      <c r="CU679" s="269">
        <f>'Detailed Budget'!$AC$24</f>
        <v>30624985696</v>
      </c>
      <c r="CV679" s="269">
        <f t="shared" si="1753"/>
        <v>0</v>
      </c>
      <c r="CW679" s="269"/>
      <c r="CX679" s="269">
        <f t="shared" si="1660"/>
        <v>0</v>
      </c>
      <c r="CY679" s="196">
        <f>'Detailed Budget'!$AC$97</f>
        <v>74629165494.837845</v>
      </c>
      <c r="CZ679" s="269">
        <f t="shared" si="1706"/>
        <v>321914236.98881328</v>
      </c>
      <c r="DA679" s="269">
        <f>'Detailed Budget'!$AC$100</f>
        <v>14925833098.967569</v>
      </c>
      <c r="DB679" s="269">
        <f t="shared" si="1707"/>
        <v>64382847.397762664</v>
      </c>
      <c r="DC679" s="269">
        <f t="shared" si="1661"/>
        <v>386297084.38657594</v>
      </c>
      <c r="DD679" s="207">
        <v>0</v>
      </c>
      <c r="DE679" s="606">
        <v>0</v>
      </c>
      <c r="DF679" s="269">
        <f>'Detailed Budget'!$AC$147</f>
        <v>5913600671000</v>
      </c>
      <c r="DG679" s="269">
        <f t="shared" si="1748"/>
        <v>0</v>
      </c>
      <c r="DH679" s="269">
        <f>'Detailed Budget'!$AC$153</f>
        <v>226428026880.00003</v>
      </c>
      <c r="DI679" s="269"/>
      <c r="DJ679" s="269">
        <f>'Detailed Budget'!$AC$156</f>
        <v>27713070000</v>
      </c>
      <c r="DK679" s="269"/>
      <c r="DL679" s="269"/>
      <c r="DM679" s="196">
        <f>'Detailed Budget'!$AC$178</f>
        <v>5622683761.6229038</v>
      </c>
      <c r="DN679" s="269">
        <f t="shared" si="1780"/>
        <v>0</v>
      </c>
      <c r="DO679" s="196">
        <f>'Detailed Budget'!$AC$179</f>
        <v>26827890683.128094</v>
      </c>
      <c r="DP679" s="269">
        <f t="shared" si="1781"/>
        <v>0</v>
      </c>
      <c r="DQ679" s="269">
        <f t="shared" si="1700"/>
        <v>0</v>
      </c>
      <c r="DR679" s="269">
        <f>'Detailed Budget'!$AC$181</f>
        <v>50888946855.375237</v>
      </c>
      <c r="DS679" s="269">
        <f t="shared" si="1782"/>
        <v>0</v>
      </c>
      <c r="DT679" s="269">
        <f t="shared" si="1783"/>
        <v>0</v>
      </c>
      <c r="DU679" s="272">
        <f>'Detailed Budget'!$AC$192</f>
        <v>77498869683.252869</v>
      </c>
      <c r="DV679" s="269">
        <f t="shared" si="1708"/>
        <v>188057394.55590382</v>
      </c>
      <c r="DW679" s="140">
        <f>'Detailed Budget'!$AC$194</f>
        <v>2684962805.4134097</v>
      </c>
      <c r="DX679" s="269">
        <f t="shared" si="1709"/>
        <v>6515283.5354793351</v>
      </c>
      <c r="DY679" s="607">
        <f t="shared" si="1648"/>
        <v>194572678.09138316</v>
      </c>
      <c r="DZ679" s="196">
        <f>'Detailed Budget'!$AC$198</f>
        <v>18732540018.380611</v>
      </c>
      <c r="EA679" s="269">
        <f t="shared" si="1764"/>
        <v>42996199.38802696</v>
      </c>
      <c r="EB679" s="196">
        <f>'Detailed Budget'!$AC$200</f>
        <v>4683135004.5951529</v>
      </c>
      <c r="EC679" s="269">
        <f t="shared" si="1711"/>
        <v>10749049.84700674</v>
      </c>
      <c r="ED679" s="269">
        <f t="shared" si="1649"/>
        <v>53745249.235033698</v>
      </c>
      <c r="EE679" s="196">
        <f>'Detailed Budget'!$AC$161</f>
        <v>251147290106.36197</v>
      </c>
      <c r="EF679" s="269">
        <f t="shared" si="1712"/>
        <v>609429598.39560544</v>
      </c>
      <c r="EG679" s="196">
        <f>'Detailed Budget'!$AC$163</f>
        <v>15696705631.647623</v>
      </c>
      <c r="EH679" s="269">
        <f t="shared" si="1713"/>
        <v>38089349.89972534</v>
      </c>
      <c r="EI679" s="269">
        <f t="shared" si="1650"/>
        <v>647518948.29533076</v>
      </c>
      <c r="EJ679" s="196">
        <f>'Detailed Budget'!$AC$204</f>
        <v>45012172507.531975</v>
      </c>
      <c r="EK679" s="269">
        <f t="shared" si="1714"/>
        <v>93396818.527979404</v>
      </c>
      <c r="EL679" s="201">
        <f>'Detailed Budget'!$AC$206</f>
        <v>11253043126.882994</v>
      </c>
      <c r="EM679" s="269">
        <f t="shared" si="1715"/>
        <v>23349204.631994851</v>
      </c>
      <c r="EN679" s="269">
        <f t="shared" si="1651"/>
        <v>116746023.15997425</v>
      </c>
      <c r="EO679" s="140">
        <f>'Detailed Budget'!$AC$209</f>
        <v>135789361677.54817</v>
      </c>
      <c r="EP679" s="269">
        <f t="shared" si="1716"/>
        <v>336491666.32444769</v>
      </c>
      <c r="EQ679" s="196">
        <f>'Detailed Budget'!$AC$211</f>
        <v>33947340419.387043</v>
      </c>
      <c r="ER679" s="269">
        <f t="shared" si="1717"/>
        <v>84122916.581111923</v>
      </c>
      <c r="ES679" s="269">
        <f t="shared" si="1652"/>
        <v>420614582.9055596</v>
      </c>
      <c r="ET679" s="196">
        <f>'Detailed Budget'!$AC$214</f>
        <v>22239745544.201103</v>
      </c>
      <c r="EU679" s="269">
        <f t="shared" si="1718"/>
        <v>53522150.781328522</v>
      </c>
      <c r="EV679" s="140">
        <f>'Detailed Budget'!$AC$217</f>
        <v>5559936386.0502758</v>
      </c>
      <c r="EW679" s="269">
        <f t="shared" si="1719"/>
        <v>13380537.69533213</v>
      </c>
      <c r="EX679" s="269">
        <f t="shared" si="1653"/>
        <v>66902688.476660654</v>
      </c>
      <c r="EY679" s="196">
        <f>'Detailed Budget'!$AC$219</f>
        <v>372777004.58170313</v>
      </c>
      <c r="EZ679" s="269">
        <f t="shared" si="1720"/>
        <v>939223.14858427341</v>
      </c>
      <c r="FA679" s="196">
        <f>'Detailed Budget'!$AC$222</f>
        <v>93194251.145425782</v>
      </c>
      <c r="FB679" s="269">
        <f t="shared" si="1721"/>
        <v>234805.78714606835</v>
      </c>
      <c r="FC679" s="269">
        <f t="shared" si="1654"/>
        <v>1174028.9357303418</v>
      </c>
      <c r="FD679" s="269"/>
      <c r="FE679" s="269">
        <f t="shared" si="1663"/>
        <v>605437323.47792482</v>
      </c>
      <c r="FF679" s="140">
        <f>'Detailed Budget'!$AC$165</f>
        <v>14927760000</v>
      </c>
      <c r="FG679" s="1087">
        <f t="shared" si="1749"/>
        <v>825856585.45333946</v>
      </c>
      <c r="FH679" s="269">
        <f t="shared" si="1722"/>
        <v>16961436.200431772</v>
      </c>
      <c r="FJ679" s="140">
        <f>'Detailed Budget'!$AC$235</f>
        <v>3623696172</v>
      </c>
      <c r="FK679" s="269">
        <f t="shared" si="1723"/>
        <v>4681778</v>
      </c>
      <c r="FL679" s="269">
        <f t="shared" si="1750"/>
        <v>4681778</v>
      </c>
      <c r="FO679" s="607"/>
      <c r="FP679" s="607"/>
      <c r="FQ679" s="607"/>
      <c r="FR679" s="269">
        <f>'Detailed Budget'!$AC$257</f>
        <v>13636439388</v>
      </c>
      <c r="FS679" s="269">
        <f t="shared" si="1765"/>
        <v>17488380</v>
      </c>
      <c r="FT679" s="269">
        <f t="shared" si="1751"/>
        <v>17488380</v>
      </c>
      <c r="FU679" s="269"/>
      <c r="FV679" s="269"/>
      <c r="FW679" s="269"/>
      <c r="FX679" s="140">
        <f>'Detailed Budget'!$AC$278</f>
        <v>1114560000</v>
      </c>
      <c r="FY679" s="269">
        <f t="shared" si="1766"/>
        <v>1440000</v>
      </c>
      <c r="FZ679" s="269">
        <f t="shared" si="1752"/>
        <v>1440000</v>
      </c>
      <c r="GB679" s="269">
        <f t="shared" si="1760"/>
        <v>2753999463.1400199</v>
      </c>
      <c r="GC679" s="887">
        <f t="shared" si="1668"/>
        <v>1721249.6644625124</v>
      </c>
      <c r="GD679" s="1078">
        <f t="shared" si="1761"/>
        <v>1.5453558197405057E-3</v>
      </c>
    </row>
    <row r="680" spans="1:186" hidden="1" outlineLevel="1">
      <c r="A680" s="211" t="s">
        <v>1458</v>
      </c>
      <c r="B680" s="212" t="s">
        <v>1459</v>
      </c>
      <c r="C680" s="213" t="s">
        <v>215</v>
      </c>
      <c r="D680" s="214"/>
      <c r="E680" s="213"/>
      <c r="F680" s="213"/>
      <c r="G680" s="213" t="s">
        <v>215</v>
      </c>
      <c r="H680" s="213" t="s">
        <v>215</v>
      </c>
      <c r="I680" s="214" t="s">
        <v>215</v>
      </c>
      <c r="J680" s="214"/>
      <c r="K680" s="213"/>
      <c r="L680" s="213"/>
      <c r="M680" s="214"/>
      <c r="N680" s="213" t="s">
        <v>215</v>
      </c>
      <c r="O680" s="214"/>
      <c r="P680" s="213"/>
      <c r="Q680" s="214" t="s">
        <v>215</v>
      </c>
      <c r="R680" s="214"/>
      <c r="S680" s="214"/>
      <c r="T680" s="214"/>
      <c r="U680" s="215">
        <f t="shared" si="1767"/>
        <v>6</v>
      </c>
      <c r="V680" s="845" t="s">
        <v>216</v>
      </c>
      <c r="W680" s="216">
        <v>374515</v>
      </c>
      <c r="X680" s="217">
        <v>2.78</v>
      </c>
      <c r="Y680" s="218">
        <f t="shared" si="1785"/>
        <v>1.0278</v>
      </c>
      <c r="Z680" s="196">
        <v>19</v>
      </c>
      <c r="AA680" s="218">
        <f t="shared" si="1786"/>
        <v>1.6836958972696243</v>
      </c>
      <c r="AB680" s="196">
        <f t="shared" si="1788"/>
        <v>630569.36896593333</v>
      </c>
      <c r="AC680">
        <v>12.7</v>
      </c>
      <c r="AD680" s="196">
        <f t="shared" si="1789"/>
        <v>80082.309858673529</v>
      </c>
      <c r="AE680" s="196">
        <f t="shared" si="1787"/>
        <v>76078.194365739851</v>
      </c>
      <c r="AF680" s="196">
        <f t="shared" si="1768"/>
        <v>0</v>
      </c>
      <c r="AG680" s="606">
        <f t="shared" si="1671"/>
        <v>3.517521717940487E-3</v>
      </c>
      <c r="AH680" s="196">
        <f t="shared" si="1784"/>
        <v>31528.46844829667</v>
      </c>
      <c r="AI680" s="248">
        <f t="shared" ref="AI680:AI740" si="1790">AH680/12908475</f>
        <v>2.442462680393824E-3</v>
      </c>
      <c r="AJ680" s="196">
        <f t="shared" si="1672"/>
        <v>111610.7783069702</v>
      </c>
      <c r="AK680" s="196">
        <f t="shared" si="1698"/>
        <v>25222.774758637333</v>
      </c>
      <c r="AL680" s="196">
        <f t="shared" si="1699"/>
        <v>25222.774758637333</v>
      </c>
      <c r="AM680" s="196">
        <f t="shared" si="1656"/>
        <v>50445.549517274667</v>
      </c>
      <c r="AN680" s="627">
        <f t="shared" si="1657"/>
        <v>2.442462680393824E-3</v>
      </c>
      <c r="AO680" s="196">
        <f t="shared" si="1658"/>
        <v>23961.636020705468</v>
      </c>
      <c r="AP680" s="589">
        <f t="shared" si="1673"/>
        <v>2.442462680393824E-3</v>
      </c>
      <c r="AQ680" s="196"/>
      <c r="AR680" s="589"/>
      <c r="AS680">
        <v>1</v>
      </c>
      <c r="AT680" s="589">
        <f t="shared" si="1674"/>
        <v>1.2919896640826874E-3</v>
      </c>
      <c r="AU680" s="196">
        <v>12</v>
      </c>
      <c r="AV680" s="245">
        <f t="shared" si="1645"/>
        <v>1.3634814225656176E-3</v>
      </c>
      <c r="AX680" s="245"/>
      <c r="AY680" s="245"/>
      <c r="AZ680" s="196">
        <v>24</v>
      </c>
      <c r="BA680" s="589">
        <f t="shared" si="1754"/>
        <v>8.7941079476750578E-4</v>
      </c>
      <c r="BI680" s="196">
        <v>0</v>
      </c>
      <c r="BK680" s="246">
        <f t="shared" si="1755"/>
        <v>0</v>
      </c>
      <c r="BL680" s="246"/>
      <c r="BM680" s="246">
        <f t="shared" si="1756"/>
        <v>0</v>
      </c>
      <c r="BN680" s="196">
        <v>1</v>
      </c>
      <c r="BO680" s="196">
        <f t="shared" si="1769"/>
        <v>46413.285906988778</v>
      </c>
      <c r="BP680" s="196">
        <f t="shared" si="1676"/>
        <v>46413.285906988778</v>
      </c>
      <c r="BQ680" s="248">
        <f t="shared" si="1757"/>
        <v>4.3417467616228712E-3</v>
      </c>
      <c r="BR680" s="248"/>
      <c r="BS680" s="248"/>
      <c r="BT680" s="276">
        <v>0</v>
      </c>
      <c r="BU680" s="196">
        <f t="shared" si="1770"/>
        <v>0</v>
      </c>
      <c r="BV680" s="264">
        <f t="shared" si="1758"/>
        <v>0</v>
      </c>
      <c r="BW680" s="196">
        <f t="shared" si="1771"/>
        <v>0</v>
      </c>
      <c r="BX680" s="247">
        <f t="shared" si="1759"/>
        <v>0</v>
      </c>
      <c r="BY680" s="196">
        <f t="shared" si="1772"/>
        <v>0</v>
      </c>
      <c r="BZ680" s="620">
        <v>1</v>
      </c>
      <c r="CA680" s="196">
        <f t="shared" si="1773"/>
        <v>192954.22690357559</v>
      </c>
      <c r="CB680" s="196">
        <f t="shared" si="1774"/>
        <v>385908.45380715118</v>
      </c>
      <c r="CC680" s="196">
        <f t="shared" si="1682"/>
        <v>578862.68071072677</v>
      </c>
      <c r="CD680" s="247">
        <f t="shared" si="1646"/>
        <v>2.442462680393824E-3</v>
      </c>
      <c r="CE680" s="196">
        <f t="shared" si="1775"/>
        <v>53499.826462583769</v>
      </c>
      <c r="CF680" s="247">
        <f t="shared" si="1647"/>
        <v>2.3102888882078139E-3</v>
      </c>
      <c r="CG680" s="196">
        <f t="shared" si="1703"/>
        <v>95846.544082821871</v>
      </c>
      <c r="CH680" s="589">
        <f t="shared" si="1684"/>
        <v>2.442462680393824E-3</v>
      </c>
      <c r="CI680" s="196">
        <f t="shared" si="1776"/>
        <v>127037.88420771243</v>
      </c>
      <c r="CJ680" s="248">
        <f t="shared" si="1686"/>
        <v>2.0885024939100074E-3</v>
      </c>
      <c r="CK680" s="196">
        <f t="shared" si="1777"/>
        <v>173511.15013377741</v>
      </c>
      <c r="CL680" s="589">
        <f t="shared" si="1688"/>
        <v>2.4942584728939745E-3</v>
      </c>
      <c r="CM680" s="196">
        <f t="shared" si="1778"/>
        <v>16808.865521986674</v>
      </c>
      <c r="CN680" s="589">
        <f t="shared" si="1690"/>
        <v>2.4223485486092929E-3</v>
      </c>
      <c r="CO680" s="196">
        <f t="shared" si="1779"/>
        <v>1344.7648392716685</v>
      </c>
      <c r="CP680" s="589">
        <f t="shared" si="1692"/>
        <v>2.536019354949532E-3</v>
      </c>
      <c r="CQ680" s="196">
        <f>'Detailed Budget'!$AC$12</f>
        <v>292876014141.44696</v>
      </c>
      <c r="CR680" s="269">
        <f t="shared" si="1701"/>
        <v>0</v>
      </c>
      <c r="CS680" s="269">
        <f>'Detailed Budget'!$AC$16</f>
        <v>10488008800.000002</v>
      </c>
      <c r="CT680" s="607">
        <f t="shared" si="1705"/>
        <v>0</v>
      </c>
      <c r="CU680" s="269">
        <f>'Detailed Budget'!$AC$24</f>
        <v>30624985696</v>
      </c>
      <c r="CV680" s="269">
        <f t="shared" si="1753"/>
        <v>0</v>
      </c>
      <c r="CW680" s="269"/>
      <c r="CX680" s="269">
        <f t="shared" si="1660"/>
        <v>0</v>
      </c>
      <c r="CY680" s="196">
        <f>'Detailed Budget'!$AC$97</f>
        <v>74629165494.837845</v>
      </c>
      <c r="CZ680" s="269">
        <f t="shared" si="1706"/>
        <v>324020937.60982955</v>
      </c>
      <c r="DA680" s="269">
        <f>'Detailed Budget'!$AC$100</f>
        <v>14925833098.967569</v>
      </c>
      <c r="DB680" s="269">
        <f t="shared" si="1707"/>
        <v>64804187.521965906</v>
      </c>
      <c r="DC680" s="269">
        <f t="shared" si="1661"/>
        <v>388825125.13179547</v>
      </c>
      <c r="DD680" s="207">
        <v>0</v>
      </c>
      <c r="DE680" s="606">
        <v>0</v>
      </c>
      <c r="DF680" s="269">
        <f>'Detailed Budget'!$AC$147</f>
        <v>5913600671000</v>
      </c>
      <c r="DG680" s="269">
        <f t="shared" si="1748"/>
        <v>0</v>
      </c>
      <c r="DH680" s="269">
        <f>'Detailed Budget'!$AC$153</f>
        <v>226428026880.00003</v>
      </c>
      <c r="DI680" s="269"/>
      <c r="DJ680" s="269">
        <f>'Detailed Budget'!$AC$156</f>
        <v>27713070000</v>
      </c>
      <c r="DK680" s="269"/>
      <c r="DL680" s="269"/>
      <c r="DM680" s="196">
        <f>'Detailed Budget'!$AC$178</f>
        <v>5622683761.6229038</v>
      </c>
      <c r="DN680" s="269">
        <f t="shared" si="1780"/>
        <v>0</v>
      </c>
      <c r="DO680" s="196">
        <f>'Detailed Budget'!$AC$179</f>
        <v>26827890683.128094</v>
      </c>
      <c r="DP680" s="269">
        <f t="shared" si="1781"/>
        <v>0</v>
      </c>
      <c r="DQ680" s="269">
        <f t="shared" si="1700"/>
        <v>0</v>
      </c>
      <c r="DR680" s="269">
        <f>'Detailed Budget'!$AC$181</f>
        <v>50888946855.375237</v>
      </c>
      <c r="DS680" s="269">
        <f t="shared" si="1782"/>
        <v>0</v>
      </c>
      <c r="DT680" s="269">
        <f t="shared" si="1783"/>
        <v>0</v>
      </c>
      <c r="DU680" s="272">
        <f>'Detailed Budget'!$AC$192</f>
        <v>77498869683.252869</v>
      </c>
      <c r="DV680" s="269">
        <f t="shared" si="1708"/>
        <v>189288096.97404948</v>
      </c>
      <c r="DW680" s="140">
        <f>'Detailed Budget'!$AC$194</f>
        <v>2684962805.4134097</v>
      </c>
      <c r="DX680" s="269">
        <f t="shared" si="1709"/>
        <v>6557921.4504677579</v>
      </c>
      <c r="DY680" s="607">
        <f t="shared" si="1648"/>
        <v>195846018.42451724</v>
      </c>
      <c r="DZ680" s="196">
        <f>'Detailed Budget'!$AC$198</f>
        <v>18732540018.380611</v>
      </c>
      <c r="EA680" s="269">
        <f t="shared" si="1764"/>
        <v>43277579.052372925</v>
      </c>
      <c r="EB680" s="196">
        <f>'Detailed Budget'!$AC$200</f>
        <v>4683135004.5951529</v>
      </c>
      <c r="EC680" s="269">
        <f t="shared" si="1711"/>
        <v>10819394.763093231</v>
      </c>
      <c r="ED680" s="269">
        <f t="shared" si="1649"/>
        <v>54096973.815466158</v>
      </c>
      <c r="EE680" s="196">
        <f>'Detailed Budget'!$AC$161</f>
        <v>251147290106.36197</v>
      </c>
      <c r="EF680" s="269">
        <f t="shared" si="1712"/>
        <v>613417883.36683023</v>
      </c>
      <c r="EG680" s="196">
        <f>'Detailed Budget'!$AC$163</f>
        <v>15696705631.647623</v>
      </c>
      <c r="EH680" s="269">
        <f t="shared" si="1713"/>
        <v>38338617.710426889</v>
      </c>
      <c r="EI680" s="269">
        <f t="shared" si="1650"/>
        <v>651756501.07725716</v>
      </c>
      <c r="EJ680" s="196">
        <f>'Detailed Budget'!$AC$204</f>
        <v>45012172507.531975</v>
      </c>
      <c r="EK680" s="269">
        <f t="shared" si="1714"/>
        <v>94008034.538287997</v>
      </c>
      <c r="EL680" s="201">
        <f>'Detailed Budget'!$AC$206</f>
        <v>11253043126.882994</v>
      </c>
      <c r="EM680" s="269">
        <f t="shared" si="1715"/>
        <v>23502008.634571999</v>
      </c>
      <c r="EN680" s="269">
        <f t="shared" si="1651"/>
        <v>117510043.17286</v>
      </c>
      <c r="EO680" s="140">
        <f>'Detailed Budget'!$AC$209</f>
        <v>135789361677.54817</v>
      </c>
      <c r="EP680" s="269">
        <f t="shared" si="1716"/>
        <v>338693765.89308888</v>
      </c>
      <c r="EQ680" s="196">
        <f>'Detailed Budget'!$AC$211</f>
        <v>33947340419.387043</v>
      </c>
      <c r="ER680" s="269">
        <f t="shared" si="1717"/>
        <v>84673441.473272219</v>
      </c>
      <c r="ES680" s="269">
        <f t="shared" si="1652"/>
        <v>423367207.36636108</v>
      </c>
      <c r="ET680" s="196">
        <f>'Detailed Budget'!$AC$214</f>
        <v>22239745544.201103</v>
      </c>
      <c r="EU680" s="269">
        <f t="shared" si="1718"/>
        <v>53872415.340435535</v>
      </c>
      <c r="EV680" s="140">
        <f>'Detailed Budget'!$AC$217</f>
        <v>5559936386.0502758</v>
      </c>
      <c r="EW680" s="269">
        <f t="shared" si="1719"/>
        <v>13468103.835108884</v>
      </c>
      <c r="EX680" s="269">
        <f t="shared" si="1653"/>
        <v>67340519.175544411</v>
      </c>
      <c r="EY680" s="196">
        <f>'Detailed Budget'!$AC$219</f>
        <v>372777004.58170313</v>
      </c>
      <c r="EZ680" s="269">
        <f t="shared" si="1720"/>
        <v>945369.69869930949</v>
      </c>
      <c r="FA680" s="196">
        <f>'Detailed Budget'!$AC$222</f>
        <v>93194251.145425782</v>
      </c>
      <c r="FB680" s="269">
        <f t="shared" si="1721"/>
        <v>236342.42467482737</v>
      </c>
      <c r="FC680" s="269">
        <f t="shared" si="1654"/>
        <v>1181712.1233741369</v>
      </c>
      <c r="FD680" s="269"/>
      <c r="FE680" s="269">
        <f t="shared" si="1663"/>
        <v>609399481.83813953</v>
      </c>
      <c r="FF680" s="140">
        <f>'Detailed Budget'!$AC$165</f>
        <v>14927760000</v>
      </c>
      <c r="FG680" s="1087">
        <f t="shared" si="1749"/>
        <v>831261231.72720206</v>
      </c>
      <c r="FH680" s="269">
        <f t="shared" si="1722"/>
        <v>20353723.440518126</v>
      </c>
      <c r="FJ680" s="140">
        <f>'Detailed Budget'!$AC$235</f>
        <v>3623696172</v>
      </c>
      <c r="FK680" s="269">
        <f t="shared" si="1723"/>
        <v>4681778</v>
      </c>
      <c r="FL680" s="269">
        <f t="shared" si="1750"/>
        <v>4681778</v>
      </c>
      <c r="FO680" s="607"/>
      <c r="FP680" s="607"/>
      <c r="FQ680" s="607"/>
      <c r="FR680" s="269">
        <f>'Detailed Budget'!$AC$257</f>
        <v>13636439388</v>
      </c>
      <c r="FS680" s="269">
        <f t="shared" si="1765"/>
        <v>11992032</v>
      </c>
      <c r="FT680" s="269">
        <f t="shared" si="1751"/>
        <v>11992032</v>
      </c>
      <c r="FU680" s="269"/>
      <c r="FV680" s="269"/>
      <c r="FW680" s="269"/>
      <c r="FX680" s="140">
        <f>'Detailed Budget'!$AC$278</f>
        <v>1114560000</v>
      </c>
      <c r="FY680" s="269">
        <f t="shared" si="1766"/>
        <v>1440000</v>
      </c>
      <c r="FZ680" s="269">
        <f t="shared" si="1752"/>
        <v>1440000</v>
      </c>
      <c r="GB680" s="269">
        <f t="shared" si="1760"/>
        <v>2769652865.4548955</v>
      </c>
      <c r="GC680" s="887">
        <f t="shared" si="1668"/>
        <v>1731033.0409093096</v>
      </c>
      <c r="GD680" s="1078">
        <f t="shared" si="1761"/>
        <v>1.5541394366909796E-3</v>
      </c>
    </row>
    <row r="681" spans="1:186" hidden="1" outlineLevel="1">
      <c r="A681" s="211" t="s">
        <v>1460</v>
      </c>
      <c r="B681" s="212" t="s">
        <v>1461</v>
      </c>
      <c r="C681" s="213" t="s">
        <v>215</v>
      </c>
      <c r="D681" s="214"/>
      <c r="E681" s="213"/>
      <c r="F681" s="213"/>
      <c r="G681" s="213" t="s">
        <v>215</v>
      </c>
      <c r="H681" s="213" t="s">
        <v>215</v>
      </c>
      <c r="I681" s="214" t="s">
        <v>215</v>
      </c>
      <c r="J681" s="214"/>
      <c r="K681" s="213"/>
      <c r="L681" s="213"/>
      <c r="M681" s="214"/>
      <c r="N681" s="213" t="s">
        <v>215</v>
      </c>
      <c r="O681" s="214"/>
      <c r="P681" s="213"/>
      <c r="Q681" s="214"/>
      <c r="R681" s="214" t="s">
        <v>215</v>
      </c>
      <c r="S681" s="214"/>
      <c r="T681" s="214"/>
      <c r="U681" s="215">
        <f t="shared" si="1767"/>
        <v>6</v>
      </c>
      <c r="V681" s="845" t="s">
        <v>216</v>
      </c>
      <c r="W681" s="216">
        <v>183994</v>
      </c>
      <c r="X681" s="217">
        <v>2.78</v>
      </c>
      <c r="Y681" s="218">
        <f t="shared" si="1785"/>
        <v>1.0278</v>
      </c>
      <c r="Z681" s="196">
        <v>19</v>
      </c>
      <c r="AA681" s="218">
        <f t="shared" si="1786"/>
        <v>1.6836958972696243</v>
      </c>
      <c r="AB681" s="196">
        <f t="shared" si="1788"/>
        <v>309789.94292222726</v>
      </c>
      <c r="AC681">
        <v>12.7</v>
      </c>
      <c r="AD681" s="196">
        <f t="shared" si="1789"/>
        <v>39343.322751122854</v>
      </c>
      <c r="AE681" s="196">
        <f t="shared" si="1787"/>
        <v>37376.156613566709</v>
      </c>
      <c r="AF681" s="196">
        <f t="shared" si="1768"/>
        <v>0</v>
      </c>
      <c r="AG681" s="606">
        <f t="shared" si="1671"/>
        <v>1.7281093974092943E-3</v>
      </c>
      <c r="AH681" s="196">
        <f t="shared" si="1784"/>
        <v>15489.497146111364</v>
      </c>
      <c r="AI681" s="248">
        <f t="shared" si="1790"/>
        <v>1.1999478750287205E-3</v>
      </c>
      <c r="AJ681" s="196">
        <f t="shared" ref="AJ681:AJ741" si="1791">AD681+AH681</f>
        <v>54832.819897234222</v>
      </c>
      <c r="AK681" s="196">
        <f t="shared" si="1698"/>
        <v>12391.597716889091</v>
      </c>
      <c r="AL681" s="196">
        <f t="shared" si="1699"/>
        <v>12391.597716889091</v>
      </c>
      <c r="AM681" s="196">
        <f t="shared" ref="AM681:AM741" si="1792">AK681+AL681</f>
        <v>24783.195433778183</v>
      </c>
      <c r="AN681" s="627">
        <f t="shared" ref="AN681:AN741" si="1793">AM681/20653560</f>
        <v>1.1999478750287205E-3</v>
      </c>
      <c r="AO681" s="196">
        <f t="shared" ref="AO681:AO741" si="1794">AB681*0.038</f>
        <v>11772.017831044635</v>
      </c>
      <c r="AP681" s="589">
        <f t="shared" si="1673"/>
        <v>1.1999478750287205E-3</v>
      </c>
      <c r="AQ681" s="196"/>
      <c r="AR681" s="589"/>
      <c r="AS681">
        <v>1</v>
      </c>
      <c r="AT681" s="589">
        <f t="shared" si="1674"/>
        <v>1.2919896640826874E-3</v>
      </c>
      <c r="AU681" s="196">
        <v>12</v>
      </c>
      <c r="AV681" s="245">
        <f t="shared" ref="AV681:AV741" si="1795">AU681/8801</f>
        <v>1.3634814225656176E-3</v>
      </c>
      <c r="AX681" s="245"/>
      <c r="AY681" s="245"/>
      <c r="AZ681" s="196">
        <v>38</v>
      </c>
      <c r="BA681" s="589">
        <f t="shared" si="1754"/>
        <v>1.3924004250485508E-3</v>
      </c>
      <c r="BI681" s="196">
        <v>0</v>
      </c>
      <c r="BK681" s="246">
        <f t="shared" si="1755"/>
        <v>0</v>
      </c>
      <c r="BL681" s="246"/>
      <c r="BM681" s="246">
        <f t="shared" si="1756"/>
        <v>0</v>
      </c>
      <c r="BN681" s="196">
        <v>1</v>
      </c>
      <c r="BO681" s="196">
        <f t="shared" si="1769"/>
        <v>22802.200518458525</v>
      </c>
      <c r="BP681" s="196">
        <f t="shared" ref="BP681:BP741" si="1796">BN681*BO681</f>
        <v>22802.200518458525</v>
      </c>
      <c r="BQ681" s="248">
        <f t="shared" si="1757"/>
        <v>2.1330396744003275E-3</v>
      </c>
      <c r="BR681" s="248"/>
      <c r="BS681" s="248"/>
      <c r="BT681" s="276">
        <v>0</v>
      </c>
      <c r="BU681" s="196">
        <f t="shared" si="1770"/>
        <v>0</v>
      </c>
      <c r="BV681" s="264">
        <f t="shared" si="1758"/>
        <v>0</v>
      </c>
      <c r="BW681" s="196">
        <f t="shared" si="1771"/>
        <v>0</v>
      </c>
      <c r="BX681" s="247">
        <f t="shared" si="1759"/>
        <v>0</v>
      </c>
      <c r="BY681" s="196">
        <f t="shared" si="1772"/>
        <v>0</v>
      </c>
      <c r="BZ681" s="620">
        <v>1</v>
      </c>
      <c r="CA681" s="196">
        <f t="shared" si="1773"/>
        <v>94795.722534201544</v>
      </c>
      <c r="CB681" s="196">
        <f t="shared" si="1774"/>
        <v>189591.44506840309</v>
      </c>
      <c r="CC681" s="196">
        <f t="shared" si="1682"/>
        <v>284387.1676026046</v>
      </c>
      <c r="CD681" s="247">
        <f t="shared" ref="CD681:CD741" si="1797">CC681/236999601</f>
        <v>1.1999478750287205E-3</v>
      </c>
      <c r="CE681" s="196">
        <f t="shared" si="1775"/>
        <v>26283.719130493137</v>
      </c>
      <c r="CF681" s="247">
        <f t="shared" ref="CF681:CF741" si="1798">CE681/23157202</f>
        <v>1.1350127329930937E-3</v>
      </c>
      <c r="CG681" s="196">
        <f t="shared" si="1703"/>
        <v>47088.071324178542</v>
      </c>
      <c r="CH681" s="589">
        <f t="shared" si="1684"/>
        <v>1.1999478750287205E-3</v>
      </c>
      <c r="CI681" s="196">
        <f t="shared" si="1776"/>
        <v>62411.942023453907</v>
      </c>
      <c r="CJ681" s="248">
        <f t="shared" si="1686"/>
        <v>1.0260521684431275E-3</v>
      </c>
      <c r="CK681" s="196">
        <f t="shared" si="1777"/>
        <v>85243.609889361542</v>
      </c>
      <c r="CL681" s="589">
        <f t="shared" si="1688"/>
        <v>1.2253944260220656E-3</v>
      </c>
      <c r="CM681" s="196">
        <f t="shared" si="1778"/>
        <v>8257.961370979574</v>
      </c>
      <c r="CN681" s="589">
        <f t="shared" si="1690"/>
        <v>1.1900660824074286E-3</v>
      </c>
      <c r="CO681" s="196">
        <f t="shared" si="1779"/>
        <v>660.66422396152723</v>
      </c>
      <c r="CP681" s="589">
        <f t="shared" si="1692"/>
        <v>1.2459109653674329E-3</v>
      </c>
      <c r="CQ681" s="196">
        <f>'Detailed Budget'!$AC$12</f>
        <v>292876014141.44696</v>
      </c>
      <c r="CR681" s="269">
        <f t="shared" si="1701"/>
        <v>0</v>
      </c>
      <c r="CS681" s="269">
        <f>'Detailed Budget'!$AC$16</f>
        <v>10488008800.000002</v>
      </c>
      <c r="CT681" s="607">
        <f t="shared" si="1705"/>
        <v>0</v>
      </c>
      <c r="CU681" s="269">
        <f>'Detailed Budget'!$AC$24</f>
        <v>30624985696</v>
      </c>
      <c r="CV681" s="269">
        <f t="shared" si="1753"/>
        <v>0</v>
      </c>
      <c r="CW681" s="269"/>
      <c r="CX681" s="269">
        <f t="shared" si="1660"/>
        <v>0</v>
      </c>
      <c r="CY681" s="196">
        <f>'Detailed Budget'!$AC$97</f>
        <v>74629165494.837845</v>
      </c>
      <c r="CZ681" s="269">
        <f t="shared" si="1706"/>
        <v>159186970.86787707</v>
      </c>
      <c r="DA681" s="269">
        <f>'Detailed Budget'!$AC$100</f>
        <v>14925833098.967569</v>
      </c>
      <c r="DB681" s="269">
        <f t="shared" si="1707"/>
        <v>31837394.173575416</v>
      </c>
      <c r="DC681" s="269">
        <f t="shared" ref="DC681:DC741" si="1799">CZ681+DB681</f>
        <v>191024365.04145247</v>
      </c>
      <c r="DD681" s="207">
        <v>0</v>
      </c>
      <c r="DE681" s="606">
        <v>0</v>
      </c>
      <c r="DF681" s="269">
        <f>'Detailed Budget'!$AC$147</f>
        <v>5913600671000</v>
      </c>
      <c r="DG681" s="269">
        <f t="shared" si="1748"/>
        <v>0</v>
      </c>
      <c r="DH681" s="269">
        <f>'Detailed Budget'!$AC$153</f>
        <v>226428026880.00003</v>
      </c>
      <c r="DI681" s="269"/>
      <c r="DJ681" s="269">
        <f>'Detailed Budget'!$AC$156</f>
        <v>27713070000</v>
      </c>
      <c r="DK681" s="269"/>
      <c r="DL681" s="269"/>
      <c r="DM681" s="196">
        <f>'Detailed Budget'!$AC$178</f>
        <v>5622683761.6229038</v>
      </c>
      <c r="DN681" s="269">
        <f t="shared" si="1780"/>
        <v>0</v>
      </c>
      <c r="DO681" s="196">
        <f>'Detailed Budget'!$AC$179</f>
        <v>26827890683.128094</v>
      </c>
      <c r="DP681" s="269">
        <f t="shared" si="1781"/>
        <v>0</v>
      </c>
      <c r="DQ681" s="269">
        <f t="shared" si="1700"/>
        <v>0</v>
      </c>
      <c r="DR681" s="269">
        <f>'Detailed Budget'!$AC$181</f>
        <v>50888946855.375237</v>
      </c>
      <c r="DS681" s="269">
        <f t="shared" si="1782"/>
        <v>0</v>
      </c>
      <c r="DT681" s="269">
        <f t="shared" si="1783"/>
        <v>0</v>
      </c>
      <c r="DU681" s="272">
        <f>'Detailed Budget'!$AC$192</f>
        <v>77498869683.252869</v>
      </c>
      <c r="DV681" s="269">
        <f t="shared" si="1708"/>
        <v>92994603.993547007</v>
      </c>
      <c r="DW681" s="140">
        <f>'Detailed Budget'!$AC$194</f>
        <v>2684962805.4134097</v>
      </c>
      <c r="DX681" s="269">
        <f t="shared" si="1709"/>
        <v>3221815.412886973</v>
      </c>
      <c r="DY681" s="607">
        <f t="shared" ref="DY681:DY741" si="1800">DV681+DX681</f>
        <v>96216419.406433985</v>
      </c>
      <c r="DZ681" s="196">
        <f>'Detailed Budget'!$AC$198</f>
        <v>18732540018.380611</v>
      </c>
      <c r="EA681" s="269">
        <f t="shared" si="1764"/>
        <v>21261671.442164674</v>
      </c>
      <c r="EB681" s="196">
        <f>'Detailed Budget'!$AC$200</f>
        <v>4683135004.5951529</v>
      </c>
      <c r="EC681" s="269">
        <f t="shared" si="1711"/>
        <v>5315417.8605411686</v>
      </c>
      <c r="ED681" s="269">
        <f t="shared" ref="ED681:ED741" si="1801">EA681+EC681</f>
        <v>26577089.302705843</v>
      </c>
      <c r="EE681" s="196">
        <f>'Detailed Budget'!$AC$161</f>
        <v>251147290106.36197</v>
      </c>
      <c r="EF681" s="269">
        <f t="shared" si="1712"/>
        <v>301363657.08235067</v>
      </c>
      <c r="EG681" s="196">
        <f>'Detailed Budget'!$AC$163</f>
        <v>15696705631.647623</v>
      </c>
      <c r="EH681" s="269">
        <f t="shared" si="1713"/>
        <v>18835228.567646917</v>
      </c>
      <c r="EI681" s="269">
        <f t="shared" ref="EI681:EI741" si="1802">EF681+EH681</f>
        <v>320198885.64999759</v>
      </c>
      <c r="EJ681" s="196">
        <f>'Detailed Budget'!$AC$204</f>
        <v>45012172507.531975</v>
      </c>
      <c r="EK681" s="269">
        <f t="shared" si="1714"/>
        <v>46184837.207689308</v>
      </c>
      <c r="EL681" s="201">
        <f>'Detailed Budget'!$AC$206</f>
        <v>11253043126.882994</v>
      </c>
      <c r="EM681" s="269">
        <f t="shared" si="1715"/>
        <v>11546209.301922327</v>
      </c>
      <c r="EN681" s="269">
        <f t="shared" ref="EN681:EN741" si="1803">EK681+EM681</f>
        <v>57731046.509611636</v>
      </c>
      <c r="EO681" s="140">
        <f>'Detailed Budget'!$AC$209</f>
        <v>135789361677.54817</v>
      </c>
      <c r="EP681" s="269">
        <f t="shared" si="1716"/>
        <v>166395526.91276181</v>
      </c>
      <c r="EQ681" s="196">
        <f>'Detailed Budget'!$AC$211</f>
        <v>33947340419.387043</v>
      </c>
      <c r="ER681" s="269">
        <f t="shared" si="1717"/>
        <v>41598881.728190452</v>
      </c>
      <c r="ES681" s="269">
        <f t="shared" ref="ES681:ES741" si="1804">EP681+ER681</f>
        <v>207994408.64095226</v>
      </c>
      <c r="ET681" s="196">
        <f>'Detailed Budget'!$AC$214</f>
        <v>22239745544.201103</v>
      </c>
      <c r="EU681" s="269">
        <f t="shared" si="1718"/>
        <v>26466766.853525471</v>
      </c>
      <c r="EV681" s="140">
        <f>'Detailed Budget'!$AC$217</f>
        <v>5559936386.0502758</v>
      </c>
      <c r="EW681" s="269">
        <f t="shared" si="1719"/>
        <v>6616691.7133813677</v>
      </c>
      <c r="EX681" s="269">
        <f t="shared" ref="EX681:EX741" si="1805">EU681+EW681</f>
        <v>33083458.56690684</v>
      </c>
      <c r="EY681" s="196">
        <f>'Detailed Budget'!$AC$219</f>
        <v>372777004.58170313</v>
      </c>
      <c r="EZ681" s="269">
        <f t="shared" si="1720"/>
        <v>464446.95764516969</v>
      </c>
      <c r="FA681" s="196">
        <f>'Detailed Budget'!$AC$222</f>
        <v>93194251.145425782</v>
      </c>
      <c r="FB681" s="269">
        <f t="shared" si="1721"/>
        <v>116111.73941129242</v>
      </c>
      <c r="FC681" s="269">
        <f t="shared" ref="FC681:FC741" si="1806">EZ681+FB681</f>
        <v>580558.69705646206</v>
      </c>
      <c r="FD681" s="269"/>
      <c r="FE681" s="269">
        <f t="shared" ref="FE681:FE741" si="1807">EN681+ES681+EX681+FC681</f>
        <v>299389472.41452724</v>
      </c>
      <c r="FF681" s="140">
        <f>'Detailed Budget'!$AC$165</f>
        <v>14927760000</v>
      </c>
      <c r="FG681" s="1087">
        <f t="shared" si="1749"/>
        <v>408387058.11627001</v>
      </c>
      <c r="FH681" s="269">
        <f t="shared" si="1722"/>
        <v>20353723.440518126</v>
      </c>
      <c r="FJ681" s="140">
        <f>'Detailed Budget'!$AC$235</f>
        <v>3623696172</v>
      </c>
      <c r="FK681" s="269">
        <f t="shared" si="1723"/>
        <v>4681778</v>
      </c>
      <c r="FL681" s="269">
        <f t="shared" si="1750"/>
        <v>4681778</v>
      </c>
      <c r="FO681" s="607"/>
      <c r="FP681" s="607"/>
      <c r="FQ681" s="607"/>
      <c r="FR681" s="269">
        <f>'Detailed Budget'!$AC$257</f>
        <v>13636439388</v>
      </c>
      <c r="FS681" s="269">
        <f t="shared" si="1765"/>
        <v>18987384</v>
      </c>
      <c r="FT681" s="269">
        <f t="shared" si="1751"/>
        <v>18987384</v>
      </c>
      <c r="FU681" s="269"/>
      <c r="FV681" s="269"/>
      <c r="FW681" s="269"/>
      <c r="FX681" s="140">
        <f>'Detailed Budget'!$AC$278</f>
        <v>1114560000</v>
      </c>
      <c r="FY681" s="269">
        <f t="shared" si="1766"/>
        <v>1440000</v>
      </c>
      <c r="FZ681" s="269">
        <f t="shared" si="1752"/>
        <v>1440000</v>
      </c>
      <c r="GB681" s="269">
        <f t="shared" si="1760"/>
        <v>1387256175.3719053</v>
      </c>
      <c r="GC681" s="887">
        <f t="shared" ref="GC681:GC741" si="1808">GB681/1600</f>
        <v>867035.10960744089</v>
      </c>
      <c r="GD681" s="1078">
        <f t="shared" si="1761"/>
        <v>7.7843312345371115E-4</v>
      </c>
    </row>
    <row r="682" spans="1:186" hidden="1" outlineLevel="1">
      <c r="A682" s="211" t="s">
        <v>1462</v>
      </c>
      <c r="B682" s="212" t="s">
        <v>1463</v>
      </c>
      <c r="C682" s="213" t="s">
        <v>215</v>
      </c>
      <c r="D682" s="214"/>
      <c r="E682" s="213"/>
      <c r="F682" s="213"/>
      <c r="G682" s="213" t="s">
        <v>215</v>
      </c>
      <c r="H682" s="213" t="s">
        <v>215</v>
      </c>
      <c r="I682" s="214" t="s">
        <v>215</v>
      </c>
      <c r="J682" s="214"/>
      <c r="K682" s="213"/>
      <c r="L682" s="213"/>
      <c r="M682" s="214" t="s">
        <v>215</v>
      </c>
      <c r="N682" s="213"/>
      <c r="O682" s="214"/>
      <c r="P682" s="213"/>
      <c r="Q682" s="214"/>
      <c r="R682" s="214" t="s">
        <v>215</v>
      </c>
      <c r="S682" s="214"/>
      <c r="T682" s="214"/>
      <c r="U682" s="215">
        <f t="shared" si="1767"/>
        <v>6</v>
      </c>
      <c r="V682" s="845" t="s">
        <v>216</v>
      </c>
      <c r="W682" s="216">
        <v>155344</v>
      </c>
      <c r="X682" s="217">
        <v>2.78</v>
      </c>
      <c r="Y682" s="218">
        <f t="shared" si="1785"/>
        <v>1.0278</v>
      </c>
      <c r="Z682" s="196">
        <v>19</v>
      </c>
      <c r="AA682" s="218">
        <f t="shared" si="1786"/>
        <v>1.6836958972696243</v>
      </c>
      <c r="AB682" s="196">
        <f t="shared" si="1788"/>
        <v>261552.05546545252</v>
      </c>
      <c r="AC682">
        <v>12.7</v>
      </c>
      <c r="AD682" s="196">
        <f t="shared" si="1789"/>
        <v>33217.111044112469</v>
      </c>
      <c r="AE682" s="196">
        <f t="shared" si="1787"/>
        <v>31556.255491906843</v>
      </c>
      <c r="AF682" s="196">
        <f t="shared" si="1768"/>
        <v>0</v>
      </c>
      <c r="AG682" s="606">
        <f t="shared" si="1671"/>
        <v>1.459022719388401E-3</v>
      </c>
      <c r="AH682" s="196">
        <f t="shared" si="1784"/>
        <v>13077.602773272627</v>
      </c>
      <c r="AI682" s="248">
        <f t="shared" si="1790"/>
        <v>1.013102072341824E-3</v>
      </c>
      <c r="AJ682" s="196">
        <f t="shared" si="1791"/>
        <v>46294.713817385098</v>
      </c>
      <c r="AK682" s="196">
        <f t="shared" si="1698"/>
        <v>10462.082218618101</v>
      </c>
      <c r="AL682" s="196">
        <f t="shared" si="1699"/>
        <v>10462.082218618101</v>
      </c>
      <c r="AM682" s="196">
        <f t="shared" si="1792"/>
        <v>20924.164437236203</v>
      </c>
      <c r="AN682" s="627">
        <f t="shared" si="1793"/>
        <v>1.013102072341824E-3</v>
      </c>
      <c r="AO682" s="196">
        <f t="shared" si="1794"/>
        <v>9938.978107687195</v>
      </c>
      <c r="AP682" s="589">
        <f t="shared" si="1673"/>
        <v>1.0131020723418238E-3</v>
      </c>
      <c r="AQ682" s="196"/>
      <c r="AR682" s="589"/>
      <c r="AS682">
        <v>1</v>
      </c>
      <c r="AT682" s="589">
        <f t="shared" si="1674"/>
        <v>1.2919896640826874E-3</v>
      </c>
      <c r="AU682" s="196">
        <v>13</v>
      </c>
      <c r="AV682" s="245">
        <f t="shared" si="1795"/>
        <v>1.4771048744460858E-3</v>
      </c>
      <c r="AX682" s="245"/>
      <c r="AY682" s="245"/>
      <c r="AZ682" s="196">
        <v>46</v>
      </c>
      <c r="BA682" s="589">
        <f t="shared" si="1754"/>
        <v>1.6855373566377193E-3</v>
      </c>
      <c r="BI682" s="196">
        <v>0</v>
      </c>
      <c r="BK682" s="246">
        <f t="shared" si="1755"/>
        <v>0</v>
      </c>
      <c r="BL682" s="246"/>
      <c r="BM682" s="246">
        <f t="shared" si="1756"/>
        <v>0</v>
      </c>
      <c r="BN682" s="196">
        <v>1</v>
      </c>
      <c r="BO682" s="196">
        <f t="shared" si="1769"/>
        <v>19251.633408368867</v>
      </c>
      <c r="BP682" s="196">
        <f t="shared" si="1796"/>
        <v>19251.633408368867</v>
      </c>
      <c r="BQ682" s="248">
        <f t="shared" si="1757"/>
        <v>1.8009006553476989E-3</v>
      </c>
      <c r="BR682" s="248"/>
      <c r="BS682" s="248"/>
      <c r="BT682" s="276">
        <v>0</v>
      </c>
      <c r="BU682" s="196">
        <f t="shared" si="1770"/>
        <v>0</v>
      </c>
      <c r="BV682" s="264">
        <f t="shared" si="1758"/>
        <v>0</v>
      </c>
      <c r="BW682" s="196">
        <f t="shared" si="1771"/>
        <v>0</v>
      </c>
      <c r="BX682" s="247">
        <f t="shared" si="1759"/>
        <v>0</v>
      </c>
      <c r="BY682" s="196">
        <f t="shared" si="1772"/>
        <v>0</v>
      </c>
      <c r="BZ682" s="620">
        <v>1</v>
      </c>
      <c r="CA682" s="196">
        <f t="shared" si="1773"/>
        <v>80034.928972428475</v>
      </c>
      <c r="CB682" s="196">
        <f t="shared" si="1774"/>
        <v>160069.85794485695</v>
      </c>
      <c r="CC682" s="196">
        <f t="shared" ref="CC682:CC742" si="1809">CA682+CB682</f>
        <v>240104.78691728541</v>
      </c>
      <c r="CD682" s="247">
        <f t="shared" si="1797"/>
        <v>1.013102072341824E-3</v>
      </c>
      <c r="CE682" s="196">
        <f t="shared" si="1775"/>
        <v>22191.039189361203</v>
      </c>
      <c r="CF682" s="247">
        <f t="shared" si="1798"/>
        <v>9.5827808512277104E-4</v>
      </c>
      <c r="CG682" s="196">
        <f t="shared" si="1703"/>
        <v>39755.91243074878</v>
      </c>
      <c r="CH682" s="589">
        <f t="shared" si="1684"/>
        <v>1.0131020723418238E-3</v>
      </c>
      <c r="CI682" s="196">
        <f t="shared" si="1776"/>
        <v>52693.678716107184</v>
      </c>
      <c r="CJ682" s="248">
        <f t="shared" si="1686"/>
        <v>8.6628394433856115E-4</v>
      </c>
      <c r="CK682" s="196">
        <f t="shared" si="1777"/>
        <v>71970.191064126993</v>
      </c>
      <c r="CL682" s="589">
        <f t="shared" si="1688"/>
        <v>1.0345863001835483E-3</v>
      </c>
      <c r="CM682" s="196">
        <f t="shared" si="1778"/>
        <v>6972.1009990187249</v>
      </c>
      <c r="CN682" s="589">
        <f t="shared" si="1690"/>
        <v>1.0047589894534583E-3</v>
      </c>
      <c r="CO682" s="196">
        <f t="shared" si="1779"/>
        <v>557.79114105394467</v>
      </c>
      <c r="CP682" s="589">
        <f t="shared" si="1692"/>
        <v>1.051908176375526E-3</v>
      </c>
      <c r="CQ682" s="196">
        <f>'Detailed Budget'!$AC$12</f>
        <v>292876014141.44696</v>
      </c>
      <c r="CR682" s="269">
        <f t="shared" si="1701"/>
        <v>0</v>
      </c>
      <c r="CS682" s="269">
        <f>'Detailed Budget'!$AC$16</f>
        <v>10488008800.000002</v>
      </c>
      <c r="CT682" s="607">
        <f t="shared" si="1705"/>
        <v>0</v>
      </c>
      <c r="CU682" s="269">
        <f>'Detailed Budget'!$AC$24</f>
        <v>30624985696</v>
      </c>
      <c r="CV682" s="269">
        <f t="shared" si="1753"/>
        <v>0</v>
      </c>
      <c r="CW682" s="269"/>
      <c r="CX682" s="269">
        <f t="shared" ref="CX682:CX742" si="1810">CR682+CT682+CV682+CW682</f>
        <v>0</v>
      </c>
      <c r="CY682" s="196">
        <f>'Detailed Budget'!$AC$97</f>
        <v>74629165494.837845</v>
      </c>
      <c r="CZ682" s="269">
        <f t="shared" si="1706"/>
        <v>134399713.04770535</v>
      </c>
      <c r="DA682" s="269">
        <f>'Detailed Budget'!$AC$100</f>
        <v>14925833098.967569</v>
      </c>
      <c r="DB682" s="269">
        <f t="shared" si="1707"/>
        <v>26879942.60954107</v>
      </c>
      <c r="DC682" s="269">
        <f t="shared" si="1799"/>
        <v>161279655.65724641</v>
      </c>
      <c r="DD682" s="207">
        <v>0</v>
      </c>
      <c r="DE682" s="606">
        <v>0</v>
      </c>
      <c r="DF682" s="269">
        <f>'Detailed Budget'!$AC$147</f>
        <v>5913600671000</v>
      </c>
      <c r="DG682" s="269">
        <f t="shared" si="1748"/>
        <v>0</v>
      </c>
      <c r="DH682" s="269">
        <f>'Detailed Budget'!$AC$153</f>
        <v>226428026880.00003</v>
      </c>
      <c r="DI682" s="269"/>
      <c r="DJ682" s="269">
        <f>'Detailed Budget'!$AC$156</f>
        <v>27713070000</v>
      </c>
      <c r="DK682" s="269"/>
      <c r="DL682" s="269"/>
      <c r="DM682" s="196">
        <f>'Detailed Budget'!$AC$178</f>
        <v>5622683761.6229038</v>
      </c>
      <c r="DN682" s="269">
        <f t="shared" si="1780"/>
        <v>0</v>
      </c>
      <c r="DO682" s="196">
        <f>'Detailed Budget'!$AC$179</f>
        <v>26827890683.128094</v>
      </c>
      <c r="DP682" s="269">
        <f t="shared" si="1781"/>
        <v>0</v>
      </c>
      <c r="DQ682" s="269">
        <f t="shared" si="1700"/>
        <v>0</v>
      </c>
      <c r="DR682" s="269">
        <f>'Detailed Budget'!$AC$181</f>
        <v>50888946855.375237</v>
      </c>
      <c r="DS682" s="269">
        <f t="shared" si="1782"/>
        <v>0</v>
      </c>
      <c r="DT682" s="269">
        <f t="shared" si="1783"/>
        <v>0</v>
      </c>
      <c r="DU682" s="272">
        <f>'Detailed Budget'!$AC$192</f>
        <v>77498869683.252869</v>
      </c>
      <c r="DV682" s="269">
        <f t="shared" si="1708"/>
        <v>78514265.480252445</v>
      </c>
      <c r="DW682" s="140">
        <f>'Detailed Budget'!$AC$194</f>
        <v>2684962805.4134097</v>
      </c>
      <c r="DX682" s="269">
        <f t="shared" si="1709"/>
        <v>2720141.382325043</v>
      </c>
      <c r="DY682" s="607">
        <f t="shared" si="1800"/>
        <v>81234406.862577483</v>
      </c>
      <c r="DZ682" s="196">
        <f>'Detailed Budget'!$AC$198</f>
        <v>18732540018.380611</v>
      </c>
      <c r="EA682" s="269">
        <f t="shared" si="1764"/>
        <v>17950982.578299452</v>
      </c>
      <c r="EB682" s="196">
        <f>'Detailed Budget'!$AC$200</f>
        <v>4683135004.5951529</v>
      </c>
      <c r="EC682" s="269">
        <f t="shared" si="1711"/>
        <v>4487745.6445748629</v>
      </c>
      <c r="ED682" s="269">
        <f t="shared" si="1801"/>
        <v>22438728.222874314</v>
      </c>
      <c r="EE682" s="196">
        <f>'Detailed Budget'!$AC$161</f>
        <v>251147290106.36197</v>
      </c>
      <c r="EF682" s="269">
        <f t="shared" si="1712"/>
        <v>254437840.06978855</v>
      </c>
      <c r="EG682" s="196">
        <f>'Detailed Budget'!$AC$163</f>
        <v>15696705631.647623</v>
      </c>
      <c r="EH682" s="269">
        <f t="shared" si="1713"/>
        <v>15902365.004361784</v>
      </c>
      <c r="EI682" s="269">
        <f t="shared" si="1802"/>
        <v>270340205.07415032</v>
      </c>
      <c r="EJ682" s="196">
        <f>'Detailed Budget'!$AC$204</f>
        <v>45012172507.531975</v>
      </c>
      <c r="EK682" s="269">
        <f t="shared" si="1714"/>
        <v>38993322.343072541</v>
      </c>
      <c r="EL682" s="201">
        <f>'Detailed Budget'!$AC$206</f>
        <v>11253043126.882994</v>
      </c>
      <c r="EM682" s="269">
        <f t="shared" si="1715"/>
        <v>9748330.5857681353</v>
      </c>
      <c r="EN682" s="269">
        <f t="shared" si="1803"/>
        <v>48741652.928840674</v>
      </c>
      <c r="EO682" s="140">
        <f>'Detailed Budget'!$AC$209</f>
        <v>135789361677.54817</v>
      </c>
      <c r="EP682" s="269">
        <f t="shared" si="1716"/>
        <v>140485813.30226025</v>
      </c>
      <c r="EQ682" s="196">
        <f>'Detailed Budget'!$AC$211</f>
        <v>33947340419.387043</v>
      </c>
      <c r="ER682" s="269">
        <f t="shared" si="1717"/>
        <v>35121453.325565062</v>
      </c>
      <c r="ES682" s="269">
        <f t="shared" si="1804"/>
        <v>175607266.62782532</v>
      </c>
      <c r="ET682" s="196">
        <f>'Detailed Budget'!$AC$214</f>
        <v>22239745544.201103</v>
      </c>
      <c r="EU682" s="269">
        <f t="shared" si="1718"/>
        <v>22345584.258693554</v>
      </c>
      <c r="EV682" s="140">
        <f>'Detailed Budget'!$AC$217</f>
        <v>5559936386.0502758</v>
      </c>
      <c r="EW682" s="269">
        <f t="shared" si="1719"/>
        <v>5586396.0646733884</v>
      </c>
      <c r="EX682" s="269">
        <f t="shared" si="1805"/>
        <v>27931980.32336694</v>
      </c>
      <c r="EY682" s="196">
        <f>'Detailed Budget'!$AC$219</f>
        <v>372777004.58170313</v>
      </c>
      <c r="EZ682" s="269">
        <f t="shared" si="1720"/>
        <v>392127.17908427044</v>
      </c>
      <c r="FA682" s="196">
        <f>'Detailed Budget'!$AC$222</f>
        <v>93194251.145425782</v>
      </c>
      <c r="FB682" s="269">
        <f t="shared" si="1721"/>
        <v>98031.794771067609</v>
      </c>
      <c r="FC682" s="269">
        <f t="shared" si="1806"/>
        <v>490158.97385533806</v>
      </c>
      <c r="FD682" s="269"/>
      <c r="FE682" s="269">
        <f t="shared" si="1807"/>
        <v>252771058.85388827</v>
      </c>
      <c r="FF682" s="140">
        <f>'Detailed Budget'!$AC$165</f>
        <v>14927760000</v>
      </c>
      <c r="FG682" s="1087">
        <f t="shared" si="1749"/>
        <v>344796456.16712415</v>
      </c>
      <c r="FH682" s="269">
        <f t="shared" si="1722"/>
        <v>22049867.060561303</v>
      </c>
      <c r="FJ682" s="140">
        <f>'Detailed Budget'!$AC$235</f>
        <v>3623696172</v>
      </c>
      <c r="FK682" s="269">
        <f t="shared" si="1723"/>
        <v>4681778</v>
      </c>
      <c r="FL682" s="269">
        <f t="shared" si="1750"/>
        <v>4681778</v>
      </c>
      <c r="FO682" s="607"/>
      <c r="FP682" s="607"/>
      <c r="FQ682" s="607"/>
      <c r="FR682" s="269">
        <f>'Detailed Budget'!$AC$257</f>
        <v>13636439388</v>
      </c>
      <c r="FS682" s="269">
        <f t="shared" si="1765"/>
        <v>22984728</v>
      </c>
      <c r="FT682" s="269">
        <f t="shared" si="1751"/>
        <v>22984728</v>
      </c>
      <c r="FU682" s="269"/>
      <c r="FV682" s="269"/>
      <c r="FW682" s="269"/>
      <c r="FX682" s="140">
        <f>'Detailed Budget'!$AC$278</f>
        <v>1114560000</v>
      </c>
      <c r="FY682" s="269">
        <f t="shared" si="1766"/>
        <v>1440000</v>
      </c>
      <c r="FZ682" s="269">
        <f t="shared" si="1752"/>
        <v>1440000</v>
      </c>
      <c r="GB682" s="269">
        <f t="shared" si="1760"/>
        <v>1184016883.8984225</v>
      </c>
      <c r="GC682" s="887">
        <f t="shared" si="1808"/>
        <v>740010.55243651406</v>
      </c>
      <c r="GD682" s="1078">
        <f t="shared" si="1761"/>
        <v>6.6438915718496571E-4</v>
      </c>
    </row>
    <row r="683" spans="1:186" hidden="1" outlineLevel="1">
      <c r="A683" s="211" t="s">
        <v>1464</v>
      </c>
      <c r="B683" s="212" t="s">
        <v>1465</v>
      </c>
      <c r="C683" s="213" t="s">
        <v>215</v>
      </c>
      <c r="D683" s="214"/>
      <c r="E683" s="213"/>
      <c r="F683" s="213"/>
      <c r="G683" s="213" t="s">
        <v>215</v>
      </c>
      <c r="H683" s="213" t="s">
        <v>215</v>
      </c>
      <c r="I683" s="214" t="s">
        <v>215</v>
      </c>
      <c r="J683" s="214"/>
      <c r="K683" s="213"/>
      <c r="L683" s="213"/>
      <c r="M683" s="214" t="s">
        <v>215</v>
      </c>
      <c r="N683" s="213"/>
      <c r="O683" s="214"/>
      <c r="P683" s="213"/>
      <c r="Q683" s="214"/>
      <c r="R683" s="214" t="s">
        <v>215</v>
      </c>
      <c r="S683" s="214"/>
      <c r="T683" s="214"/>
      <c r="U683" s="215">
        <f t="shared" si="1767"/>
        <v>6</v>
      </c>
      <c r="V683" s="845" t="s">
        <v>216</v>
      </c>
      <c r="W683" s="216">
        <v>138072</v>
      </c>
      <c r="X683" s="217">
        <v>2.78</v>
      </c>
      <c r="Y683" s="218">
        <f t="shared" si="1785"/>
        <v>1.0278</v>
      </c>
      <c r="Z683" s="196">
        <v>19</v>
      </c>
      <c r="AA683" s="218">
        <f t="shared" si="1786"/>
        <v>1.6836958972696243</v>
      </c>
      <c r="AB683" s="196">
        <f t="shared" si="1788"/>
        <v>232471.25992781157</v>
      </c>
      <c r="AC683">
        <v>12.7</v>
      </c>
      <c r="AD683" s="196">
        <f t="shared" si="1789"/>
        <v>29523.85001083207</v>
      </c>
      <c r="AE683" s="196">
        <f t="shared" si="1787"/>
        <v>28047.657510290464</v>
      </c>
      <c r="AF683" s="196">
        <f t="shared" si="1768"/>
        <v>0</v>
      </c>
      <c r="AG683" s="606">
        <f t="shared" ref="AG683:AG743" si="1811">AE683/21628351</f>
        <v>1.29680055175221E-3</v>
      </c>
      <c r="AH683" s="196">
        <f t="shared" si="1784"/>
        <v>11623.562996390579</v>
      </c>
      <c r="AI683" s="248">
        <f t="shared" si="1790"/>
        <v>9.0045981391222271E-4</v>
      </c>
      <c r="AJ683" s="196">
        <f t="shared" si="1791"/>
        <v>41147.413007222647</v>
      </c>
      <c r="AK683" s="196">
        <f t="shared" si="1698"/>
        <v>9298.8503971124628</v>
      </c>
      <c r="AL683" s="196">
        <f t="shared" si="1699"/>
        <v>9298.8503971124628</v>
      </c>
      <c r="AM683" s="196">
        <f t="shared" si="1792"/>
        <v>18597.700794224926</v>
      </c>
      <c r="AN683" s="627">
        <f t="shared" si="1793"/>
        <v>9.0045981391222271E-4</v>
      </c>
      <c r="AO683" s="196">
        <f t="shared" si="1794"/>
        <v>8833.9078772568391</v>
      </c>
      <c r="AP683" s="589">
        <f t="shared" ref="AP683:AP743" si="1812">AO683/9810441</f>
        <v>9.0045981391222261E-4</v>
      </c>
      <c r="AQ683" s="196"/>
      <c r="AR683" s="589"/>
      <c r="AS683">
        <v>1</v>
      </c>
      <c r="AT683" s="589">
        <f t="shared" ref="AT683:AT743" si="1813">AS683/774</f>
        <v>1.2919896640826874E-3</v>
      </c>
      <c r="AU683" s="196">
        <v>10</v>
      </c>
      <c r="AV683" s="245">
        <f t="shared" si="1795"/>
        <v>1.1362345188046814E-3</v>
      </c>
      <c r="AX683" s="245"/>
      <c r="AY683" s="245"/>
      <c r="AZ683" s="196">
        <v>49</v>
      </c>
      <c r="BA683" s="589">
        <f t="shared" si="1754"/>
        <v>1.7954637059836576E-3</v>
      </c>
      <c r="BI683" s="196">
        <v>0</v>
      </c>
      <c r="BK683" s="246">
        <f t="shared" si="1755"/>
        <v>0</v>
      </c>
      <c r="BL683" s="246"/>
      <c r="BM683" s="246">
        <f t="shared" si="1756"/>
        <v>0</v>
      </c>
      <c r="BN683" s="196">
        <v>1</v>
      </c>
      <c r="BO683" s="196">
        <f t="shared" si="1769"/>
        <v>17111.130960708531</v>
      </c>
      <c r="BP683" s="196">
        <f t="shared" si="1796"/>
        <v>17111.130960708531</v>
      </c>
      <c r="BQ683" s="248">
        <f t="shared" si="1757"/>
        <v>1.6006666191495486E-3</v>
      </c>
      <c r="BR683" s="248"/>
      <c r="BS683" s="248"/>
      <c r="BT683" s="276">
        <v>0</v>
      </c>
      <c r="BU683" s="196">
        <f t="shared" si="1770"/>
        <v>0</v>
      </c>
      <c r="BV683" s="264">
        <f t="shared" si="1758"/>
        <v>0</v>
      </c>
      <c r="BW683" s="196">
        <f t="shared" si="1771"/>
        <v>0</v>
      </c>
      <c r="BX683" s="247">
        <f t="shared" si="1759"/>
        <v>0</v>
      </c>
      <c r="BY683" s="196">
        <f t="shared" si="1772"/>
        <v>0</v>
      </c>
      <c r="BZ683" s="620">
        <v>1</v>
      </c>
      <c r="CA683" s="196">
        <f t="shared" si="1773"/>
        <v>71136.20553791034</v>
      </c>
      <c r="CB683" s="196">
        <f t="shared" si="1774"/>
        <v>142272.41107582068</v>
      </c>
      <c r="CC683" s="196">
        <f t="shared" si="1809"/>
        <v>213408.61661373102</v>
      </c>
      <c r="CD683" s="247">
        <f t="shared" si="1797"/>
        <v>9.0045981391222271E-4</v>
      </c>
      <c r="CE683" s="196">
        <f t="shared" si="1775"/>
        <v>19723.717446141985</v>
      </c>
      <c r="CF683" s="247">
        <f t="shared" si="1798"/>
        <v>8.5173145901400291E-4</v>
      </c>
      <c r="CG683" s="196">
        <f t="shared" si="1703"/>
        <v>35335.631509027357</v>
      </c>
      <c r="CH683" s="589">
        <f t="shared" ref="CH683:CH743" si="1814">CG683/39241764</f>
        <v>9.0045981391222261E-4</v>
      </c>
      <c r="CI683" s="196">
        <f t="shared" si="1776"/>
        <v>46834.90580704985</v>
      </c>
      <c r="CJ683" s="248">
        <f t="shared" ref="CJ683:CJ743" si="1815">CI683/60827260</f>
        <v>7.6996573258519038E-4</v>
      </c>
      <c r="CK683" s="196">
        <f t="shared" si="1777"/>
        <v>63968.149530114737</v>
      </c>
      <c r="CL683" s="589">
        <f t="shared" ref="CL683:CL743" si="1816">CK683/69564222</f>
        <v>9.19555307182401E-4</v>
      </c>
      <c r="CM683" s="196">
        <f t="shared" si="1778"/>
        <v>6196.9044773954165</v>
      </c>
      <c r="CN683" s="589">
        <f t="shared" ref="CN683:CN743" si="1817">CM683/6939078</f>
        <v>8.9304436084958498E-4</v>
      </c>
      <c r="CO683" s="196">
        <f t="shared" si="1779"/>
        <v>495.77285526058461</v>
      </c>
      <c r="CP683" s="589">
        <f t="shared" ref="CP683:CP743" si="1818">CO683/530266</f>
        <v>9.349512419438256E-4</v>
      </c>
      <c r="CQ683" s="196">
        <f>'Detailed Budget'!$AC$12</f>
        <v>292876014141.44696</v>
      </c>
      <c r="CR683" s="269">
        <f t="shared" si="1701"/>
        <v>0</v>
      </c>
      <c r="CS683" s="269">
        <f>'Detailed Budget'!$AC$16</f>
        <v>10488008800.000002</v>
      </c>
      <c r="CT683" s="607">
        <f t="shared" si="1705"/>
        <v>0</v>
      </c>
      <c r="CU683" s="269">
        <f>'Detailed Budget'!$AC$24</f>
        <v>30624985696</v>
      </c>
      <c r="CV683" s="269">
        <f t="shared" si="1753"/>
        <v>0</v>
      </c>
      <c r="CW683" s="269"/>
      <c r="CX683" s="269">
        <f t="shared" si="1810"/>
        <v>0</v>
      </c>
      <c r="CY683" s="196">
        <f>'Detailed Budget'!$AC$97</f>
        <v>74629165494.837845</v>
      </c>
      <c r="CZ683" s="269">
        <f t="shared" si="1706"/>
        <v>119456414.02257425</v>
      </c>
      <c r="DA683" s="269">
        <f>'Detailed Budget'!$AC$100</f>
        <v>14925833098.967569</v>
      </c>
      <c r="DB683" s="269">
        <f t="shared" si="1707"/>
        <v>23891282.804514848</v>
      </c>
      <c r="DC683" s="269">
        <f t="shared" si="1799"/>
        <v>143347696.8270891</v>
      </c>
      <c r="DD683" s="207">
        <v>0</v>
      </c>
      <c r="DE683" s="606">
        <v>0</v>
      </c>
      <c r="DF683" s="269">
        <f>'Detailed Budget'!$AC$147</f>
        <v>5913600671000</v>
      </c>
      <c r="DG683" s="269">
        <f t="shared" si="1748"/>
        <v>0</v>
      </c>
      <c r="DH683" s="269">
        <f>'Detailed Budget'!$AC$153</f>
        <v>226428026880.00003</v>
      </c>
      <c r="DI683" s="269"/>
      <c r="DJ683" s="269">
        <f>'Detailed Budget'!$AC$156</f>
        <v>27713070000</v>
      </c>
      <c r="DK683" s="269"/>
      <c r="DL683" s="269"/>
      <c r="DM683" s="196">
        <f>'Detailed Budget'!$AC$178</f>
        <v>5622683761.6229038</v>
      </c>
      <c r="DN683" s="269">
        <f t="shared" si="1780"/>
        <v>0</v>
      </c>
      <c r="DO683" s="196">
        <f>'Detailed Budget'!$AC$179</f>
        <v>26827890683.128094</v>
      </c>
      <c r="DP683" s="269">
        <f t="shared" si="1781"/>
        <v>0</v>
      </c>
      <c r="DQ683" s="269">
        <f t="shared" si="1700"/>
        <v>0</v>
      </c>
      <c r="DR683" s="269">
        <f>'Detailed Budget'!$AC$181</f>
        <v>50888946855.375237</v>
      </c>
      <c r="DS683" s="269">
        <f t="shared" si="1782"/>
        <v>0</v>
      </c>
      <c r="DT683" s="269">
        <f t="shared" si="1783"/>
        <v>0</v>
      </c>
      <c r="DU683" s="272">
        <f>'Detailed Budget'!$AC$192</f>
        <v>77498869683.252869</v>
      </c>
      <c r="DV683" s="269">
        <f t="shared" si="1708"/>
        <v>69784617.773389474</v>
      </c>
      <c r="DW683" s="140">
        <f>'Detailed Budget'!$AC$194</f>
        <v>2684962805.4134097</v>
      </c>
      <c r="DX683" s="269">
        <f t="shared" si="1709"/>
        <v>2417701.1081237984</v>
      </c>
      <c r="DY683" s="607">
        <f t="shared" si="1800"/>
        <v>72202318.881513268</v>
      </c>
      <c r="DZ683" s="196">
        <f>'Detailed Budget'!$AC$198</f>
        <v>18732540018.380611</v>
      </c>
      <c r="EA683" s="269">
        <f t="shared" si="1764"/>
        <v>15955093.640893515</v>
      </c>
      <c r="EB683" s="196">
        <f>'Detailed Budget'!$AC$200</f>
        <v>4683135004.5951529</v>
      </c>
      <c r="EC683" s="269">
        <f t="shared" si="1711"/>
        <v>3988773.4102233788</v>
      </c>
      <c r="ED683" s="269">
        <f t="shared" si="1801"/>
        <v>19943867.051116895</v>
      </c>
      <c r="EE683" s="196">
        <f>'Detailed Budget'!$AC$161</f>
        <v>251147290106.36197</v>
      </c>
      <c r="EF683" s="269">
        <f t="shared" si="1712"/>
        <v>226148042.11373368</v>
      </c>
      <c r="EG683" s="196">
        <f>'Detailed Budget'!$AC$163</f>
        <v>15696705631.647623</v>
      </c>
      <c r="EH683" s="269">
        <f t="shared" si="1713"/>
        <v>14134252.632108355</v>
      </c>
      <c r="EI683" s="269">
        <f t="shared" si="1802"/>
        <v>240282294.74584204</v>
      </c>
      <c r="EJ683" s="196">
        <f>'Detailed Budget'!$AC$204</f>
        <v>45012172507.531975</v>
      </c>
      <c r="EK683" s="269">
        <f t="shared" si="1714"/>
        <v>34657830.380012825</v>
      </c>
      <c r="EL683" s="201">
        <f>'Detailed Budget'!$AC$206</f>
        <v>11253043126.882994</v>
      </c>
      <c r="EM683" s="269">
        <f t="shared" si="1715"/>
        <v>8664457.5950032063</v>
      </c>
      <c r="EN683" s="269">
        <f t="shared" si="1803"/>
        <v>43322287.975016028</v>
      </c>
      <c r="EO683" s="140">
        <f>'Detailed Budget'!$AC$209</f>
        <v>135789361677.54817</v>
      </c>
      <c r="EP683" s="269">
        <f t="shared" si="1716"/>
        <v>124865828.18949996</v>
      </c>
      <c r="EQ683" s="196">
        <f>'Detailed Budget'!$AC$211</f>
        <v>33947340419.387043</v>
      </c>
      <c r="ER683" s="269">
        <f t="shared" si="1717"/>
        <v>31216457.04737499</v>
      </c>
      <c r="ES683" s="269">
        <f t="shared" si="1804"/>
        <v>156082285.23687494</v>
      </c>
      <c r="ET683" s="196">
        <f>'Detailed Budget'!$AC$214</f>
        <v>22239745544.201103</v>
      </c>
      <c r="EU683" s="269">
        <f t="shared" si="1718"/>
        <v>19861079.344978478</v>
      </c>
      <c r="EV683" s="140">
        <f>'Detailed Budget'!$AC$217</f>
        <v>5559936386.0502758</v>
      </c>
      <c r="EW683" s="269">
        <f t="shared" si="1719"/>
        <v>4965269.8362446195</v>
      </c>
      <c r="EX683" s="269">
        <f t="shared" si="1805"/>
        <v>24826349.181223098</v>
      </c>
      <c r="EY683" s="196">
        <f>'Detailed Budget'!$AC$219</f>
        <v>372777004.58170313</v>
      </c>
      <c r="EZ683" s="269">
        <f t="shared" si="1720"/>
        <v>348528.32340176252</v>
      </c>
      <c r="FA683" s="196">
        <f>'Detailed Budget'!$AC$222</f>
        <v>93194251.145425782</v>
      </c>
      <c r="FB683" s="269">
        <f t="shared" si="1721"/>
        <v>87132.08085044063</v>
      </c>
      <c r="FC683" s="269">
        <f t="shared" si="1806"/>
        <v>435660.40425220318</v>
      </c>
      <c r="FD683" s="269"/>
      <c r="FE683" s="269">
        <f t="shared" si="1807"/>
        <v>224666582.79736626</v>
      </c>
      <c r="FF683" s="140">
        <f>'Detailed Budget'!$AC$165</f>
        <v>14927760000</v>
      </c>
      <c r="FG683" s="1087">
        <f t="shared" si="1749"/>
        <v>306460090.48245943</v>
      </c>
      <c r="FH683" s="269">
        <f t="shared" si="1722"/>
        <v>16961436.200431772</v>
      </c>
      <c r="FJ683" s="140">
        <f>'Detailed Budget'!$AC$235</f>
        <v>3623696172</v>
      </c>
      <c r="FK683" s="269">
        <f t="shared" si="1723"/>
        <v>4681778</v>
      </c>
      <c r="FL683" s="269">
        <f t="shared" si="1750"/>
        <v>4681778</v>
      </c>
      <c r="FO683" s="607"/>
      <c r="FP683" s="607"/>
      <c r="FQ683" s="607"/>
      <c r="FR683" s="269">
        <f>'Detailed Budget'!$AC$257</f>
        <v>13636439388</v>
      </c>
      <c r="FS683" s="269">
        <f t="shared" si="1765"/>
        <v>24483732</v>
      </c>
      <c r="FT683" s="269">
        <f t="shared" si="1751"/>
        <v>24483732</v>
      </c>
      <c r="FU683" s="269"/>
      <c r="FV683" s="269"/>
      <c r="FW683" s="269"/>
      <c r="FX683" s="140">
        <f>'Detailed Budget'!$AC$278</f>
        <v>1114560000</v>
      </c>
      <c r="FY683" s="269">
        <f t="shared" si="1766"/>
        <v>1440000</v>
      </c>
      <c r="FZ683" s="269">
        <f t="shared" si="1752"/>
        <v>1440000</v>
      </c>
      <c r="GB683" s="269">
        <f t="shared" si="1760"/>
        <v>1054469796.9858187</v>
      </c>
      <c r="GC683" s="887">
        <f t="shared" si="1808"/>
        <v>659043.62311613676</v>
      </c>
      <c r="GD683" s="1078">
        <f t="shared" si="1761"/>
        <v>5.91696207396746E-4</v>
      </c>
    </row>
    <row r="684" spans="1:186" hidden="1" outlineLevel="1">
      <c r="A684" s="211" t="s">
        <v>1466</v>
      </c>
      <c r="B684" s="212" t="s">
        <v>1467</v>
      </c>
      <c r="C684" s="213" t="s">
        <v>215</v>
      </c>
      <c r="D684" s="214"/>
      <c r="E684" s="213"/>
      <c r="F684" s="213"/>
      <c r="G684" s="213" t="s">
        <v>215</v>
      </c>
      <c r="H684" s="213" t="s">
        <v>215</v>
      </c>
      <c r="I684" s="214" t="s">
        <v>215</v>
      </c>
      <c r="J684" s="214"/>
      <c r="K684" s="213"/>
      <c r="L684" s="213"/>
      <c r="M684" s="214"/>
      <c r="N684" s="213" t="s">
        <v>215</v>
      </c>
      <c r="O684" s="214"/>
      <c r="P684" s="213"/>
      <c r="Q684" s="214"/>
      <c r="R684" s="214" t="s">
        <v>215</v>
      </c>
      <c r="S684" s="214"/>
      <c r="T684" s="214"/>
      <c r="U684" s="215">
        <f t="shared" si="1767"/>
        <v>6</v>
      </c>
      <c r="V684" s="845" t="s">
        <v>216</v>
      </c>
      <c r="W684" s="216">
        <v>154630</v>
      </c>
      <c r="X684" s="217">
        <v>2.78</v>
      </c>
      <c r="Y684" s="218">
        <f t="shared" si="1785"/>
        <v>1.0278</v>
      </c>
      <c r="Z684" s="196">
        <v>19</v>
      </c>
      <c r="AA684" s="218">
        <f t="shared" si="1786"/>
        <v>1.6836958972696243</v>
      </c>
      <c r="AB684" s="196">
        <f t="shared" si="1788"/>
        <v>260349.896594802</v>
      </c>
      <c r="AC684">
        <v>12.7</v>
      </c>
      <c r="AD684" s="196">
        <f t="shared" si="1789"/>
        <v>33064.436867539858</v>
      </c>
      <c r="AE684" s="196">
        <f t="shared" si="1787"/>
        <v>31411.215024162862</v>
      </c>
      <c r="AF684" s="196">
        <f t="shared" si="1768"/>
        <v>0</v>
      </c>
      <c r="AG684" s="606">
        <f t="shared" si="1811"/>
        <v>1.4523166848995036E-3</v>
      </c>
      <c r="AH684" s="196">
        <f t="shared" si="1784"/>
        <v>13017.494829740101</v>
      </c>
      <c r="AI684" s="248">
        <f t="shared" si="1790"/>
        <v>1.0084456010287892E-3</v>
      </c>
      <c r="AJ684" s="196">
        <f t="shared" si="1791"/>
        <v>46081.931697279957</v>
      </c>
      <c r="AK684" s="196">
        <f t="shared" si="1698"/>
        <v>10413.995863792081</v>
      </c>
      <c r="AL684" s="196">
        <f t="shared" si="1699"/>
        <v>10413.995863792081</v>
      </c>
      <c r="AM684" s="196">
        <f t="shared" si="1792"/>
        <v>20827.991727584162</v>
      </c>
      <c r="AN684" s="627">
        <f t="shared" si="1793"/>
        <v>1.0084456010287894E-3</v>
      </c>
      <c r="AO684" s="196">
        <f t="shared" si="1794"/>
        <v>9893.2960706024751</v>
      </c>
      <c r="AP684" s="589">
        <f t="shared" si="1812"/>
        <v>1.0084456010287892E-3</v>
      </c>
      <c r="AQ684" s="196"/>
      <c r="AR684" s="589"/>
      <c r="AS684">
        <v>1</v>
      </c>
      <c r="AT684" s="589">
        <f t="shared" si="1813"/>
        <v>1.2919896640826874E-3</v>
      </c>
      <c r="AU684" s="196">
        <v>11</v>
      </c>
      <c r="AV684" s="245">
        <f t="shared" si="1795"/>
        <v>1.2498579706851495E-3</v>
      </c>
      <c r="AX684" s="245"/>
      <c r="AY684" s="245"/>
      <c r="AZ684" s="196">
        <v>71</v>
      </c>
      <c r="BA684" s="589">
        <f t="shared" si="1754"/>
        <v>2.6015902678538714E-3</v>
      </c>
      <c r="BI684" s="196">
        <v>0</v>
      </c>
      <c r="BK684" s="246">
        <f t="shared" si="1755"/>
        <v>0</v>
      </c>
      <c r="BL684" s="246"/>
      <c r="BM684" s="246">
        <f t="shared" si="1756"/>
        <v>0</v>
      </c>
      <c r="BN684" s="196">
        <v>1</v>
      </c>
      <c r="BO684" s="196">
        <f t="shared" si="1769"/>
        <v>19163.148070965584</v>
      </c>
      <c r="BP684" s="196">
        <f t="shared" si="1796"/>
        <v>19163.148070965584</v>
      </c>
      <c r="BQ684" s="248">
        <f t="shared" si="1757"/>
        <v>1.7926232640875391E-3</v>
      </c>
      <c r="BR684" s="248"/>
      <c r="BS684" s="248"/>
      <c r="BT684" s="276">
        <v>0</v>
      </c>
      <c r="BU684" s="196">
        <f t="shared" si="1770"/>
        <v>0</v>
      </c>
      <c r="BV684" s="264">
        <f t="shared" si="1758"/>
        <v>0</v>
      </c>
      <c r="BW684" s="196">
        <f t="shared" si="1771"/>
        <v>0</v>
      </c>
      <c r="BX684" s="247">
        <f t="shared" si="1759"/>
        <v>0</v>
      </c>
      <c r="BY684" s="196">
        <f t="shared" si="1772"/>
        <v>0</v>
      </c>
      <c r="BZ684" s="620">
        <v>1</v>
      </c>
      <c r="CA684" s="196">
        <f t="shared" si="1773"/>
        <v>79667.068358009419</v>
      </c>
      <c r="CB684" s="196">
        <f t="shared" si="1774"/>
        <v>159334.13671601884</v>
      </c>
      <c r="CC684" s="196">
        <f t="shared" si="1809"/>
        <v>239001.20507402826</v>
      </c>
      <c r="CD684" s="247">
        <f t="shared" si="1797"/>
        <v>1.0084456010287894E-3</v>
      </c>
      <c r="CE684" s="196">
        <f t="shared" si="1775"/>
        <v>22089.043605487972</v>
      </c>
      <c r="CF684" s="247">
        <f t="shared" si="1798"/>
        <v>9.5387359861040088E-4</v>
      </c>
      <c r="CG684" s="196">
        <f t="shared" si="1703"/>
        <v>39573.1842824099</v>
      </c>
      <c r="CH684" s="589">
        <f t="shared" si="1814"/>
        <v>1.0084456010287892E-3</v>
      </c>
      <c r="CI684" s="196">
        <f t="shared" si="1776"/>
        <v>52451.485347819384</v>
      </c>
      <c r="CJ684" s="248">
        <f t="shared" si="1815"/>
        <v>8.6230228597867771E-4</v>
      </c>
      <c r="CK684" s="196">
        <f t="shared" si="1777"/>
        <v>71639.39800858713</v>
      </c>
      <c r="CL684" s="589">
        <f t="shared" si="1816"/>
        <v>1.0298310819689342E-3</v>
      </c>
      <c r="CM684" s="196">
        <f t="shared" si="1778"/>
        <v>6940.0554735185497</v>
      </c>
      <c r="CN684" s="589">
        <f t="shared" si="1817"/>
        <v>1.0001408650426684E-3</v>
      </c>
      <c r="CO684" s="196">
        <f t="shared" si="1779"/>
        <v>555.22739301917989</v>
      </c>
      <c r="CP684" s="589">
        <f t="shared" si="1818"/>
        <v>1.0470733424718535E-3</v>
      </c>
      <c r="CQ684" s="196">
        <f>'Detailed Budget'!$AC$12</f>
        <v>292876014141.44696</v>
      </c>
      <c r="CR684" s="269">
        <f t="shared" si="1701"/>
        <v>0</v>
      </c>
      <c r="CS684" s="269">
        <f>'Detailed Budget'!$AC$16</f>
        <v>10488008800.000002</v>
      </c>
      <c r="CT684" s="607">
        <f t="shared" si="1705"/>
        <v>0</v>
      </c>
      <c r="CU684" s="269">
        <f>'Detailed Budget'!$AC$24</f>
        <v>30624985696</v>
      </c>
      <c r="CV684" s="269">
        <f t="shared" si="1753"/>
        <v>0</v>
      </c>
      <c r="CW684" s="269"/>
      <c r="CX684" s="269">
        <f t="shared" si="1810"/>
        <v>0</v>
      </c>
      <c r="CY684" s="196">
        <f>'Detailed Budget'!$AC$97</f>
        <v>74629165494.837845</v>
      </c>
      <c r="CZ684" s="269">
        <f t="shared" si="1706"/>
        <v>133781978.24548537</v>
      </c>
      <c r="DA684" s="269">
        <f>'Detailed Budget'!$AC$100</f>
        <v>14925833098.967569</v>
      </c>
      <c r="DB684" s="269">
        <f t="shared" si="1707"/>
        <v>26756395.649097074</v>
      </c>
      <c r="DC684" s="269">
        <f t="shared" si="1799"/>
        <v>160538373.89458245</v>
      </c>
      <c r="DD684" s="207">
        <v>0</v>
      </c>
      <c r="DE684" s="606">
        <v>0</v>
      </c>
      <c r="DF684" s="269">
        <f>'Detailed Budget'!$AC$147</f>
        <v>5913600671000</v>
      </c>
      <c r="DG684" s="269">
        <f t="shared" si="1748"/>
        <v>0</v>
      </c>
      <c r="DH684" s="269">
        <f>'Detailed Budget'!$AC$153</f>
        <v>226428026880.00003</v>
      </c>
      <c r="DI684" s="269"/>
      <c r="DJ684" s="269">
        <f>'Detailed Budget'!$AC$156</f>
        <v>27713070000</v>
      </c>
      <c r="DK684" s="269"/>
      <c r="DL684" s="269"/>
      <c r="DM684" s="196">
        <f>'Detailed Budget'!$AC$178</f>
        <v>5622683761.6229038</v>
      </c>
      <c r="DN684" s="269">
        <f t="shared" si="1780"/>
        <v>0</v>
      </c>
      <c r="DO684" s="196">
        <f>'Detailed Budget'!$AC$179</f>
        <v>26827890683.128094</v>
      </c>
      <c r="DP684" s="269">
        <f t="shared" si="1781"/>
        <v>0</v>
      </c>
      <c r="DQ684" s="269">
        <f t="shared" si="1700"/>
        <v>0</v>
      </c>
      <c r="DR684" s="269">
        <f>'Detailed Budget'!$AC$181</f>
        <v>50888946855.375237</v>
      </c>
      <c r="DS684" s="269">
        <f t="shared" si="1782"/>
        <v>0</v>
      </c>
      <c r="DT684" s="269">
        <f t="shared" si="1783"/>
        <v>0</v>
      </c>
      <c r="DU684" s="272">
        <f>'Detailed Budget'!$AC$192</f>
        <v>77498869683.252869</v>
      </c>
      <c r="DV684" s="269">
        <f t="shared" si="1708"/>
        <v>78153394.216779768</v>
      </c>
      <c r="DW684" s="140">
        <f>'Detailed Budget'!$AC$194</f>
        <v>2684962805.4134097</v>
      </c>
      <c r="DX684" s="269">
        <f t="shared" si="1709"/>
        <v>2707638.9300450706</v>
      </c>
      <c r="DY684" s="607">
        <f t="shared" si="1800"/>
        <v>80861033.146824837</v>
      </c>
      <c r="DZ684" s="196">
        <f>'Detailed Budget'!$AC$198</f>
        <v>18732540018.380611</v>
      </c>
      <c r="EA684" s="269">
        <f t="shared" si="1764"/>
        <v>17868475.358446058</v>
      </c>
      <c r="EB684" s="196">
        <f>'Detailed Budget'!$AC$200</f>
        <v>4683135004.5951529</v>
      </c>
      <c r="EC684" s="269">
        <f t="shared" si="1711"/>
        <v>4467118.8396115145</v>
      </c>
      <c r="ED684" s="269">
        <f t="shared" si="1801"/>
        <v>22335594.198057573</v>
      </c>
      <c r="EE684" s="196">
        <f>'Detailed Budget'!$AC$161</f>
        <v>251147290106.36197</v>
      </c>
      <c r="EF684" s="269">
        <f t="shared" si="1712"/>
        <v>253268379.91806188</v>
      </c>
      <c r="EG684" s="196">
        <f>'Detailed Budget'!$AC$163</f>
        <v>15696705631.647623</v>
      </c>
      <c r="EH684" s="269">
        <f t="shared" si="1713"/>
        <v>15829273.744878868</v>
      </c>
      <c r="EI684" s="269">
        <f t="shared" si="1802"/>
        <v>269097653.66294074</v>
      </c>
      <c r="EJ684" s="196">
        <f>'Detailed Budget'!$AC$204</f>
        <v>45012172507.531975</v>
      </c>
      <c r="EK684" s="269">
        <f t="shared" si="1714"/>
        <v>38814099.250111409</v>
      </c>
      <c r="EL684" s="201">
        <f>'Detailed Budget'!$AC$206</f>
        <v>11253043126.882994</v>
      </c>
      <c r="EM684" s="269">
        <f t="shared" si="1715"/>
        <v>9703524.8125278521</v>
      </c>
      <c r="EN684" s="269">
        <f t="shared" si="1803"/>
        <v>48517624.062639259</v>
      </c>
      <c r="EO684" s="140">
        <f>'Detailed Budget'!$AC$209</f>
        <v>135789361677.54817</v>
      </c>
      <c r="EP684" s="269">
        <f t="shared" si="1716"/>
        <v>139840105.25626037</v>
      </c>
      <c r="EQ684" s="196">
        <f>'Detailed Budget'!$AC$211</f>
        <v>33947340419.387043</v>
      </c>
      <c r="ER684" s="269">
        <f t="shared" si="1717"/>
        <v>34960026.314065091</v>
      </c>
      <c r="ES684" s="269">
        <f t="shared" si="1804"/>
        <v>174800131.57032546</v>
      </c>
      <c r="ET684" s="196">
        <f>'Detailed Budget'!$AC$214</f>
        <v>22239745544.201103</v>
      </c>
      <c r="EU684" s="269">
        <f t="shared" si="1718"/>
        <v>22242878.346906122</v>
      </c>
      <c r="EV684" s="140">
        <f>'Detailed Budget'!$AC$217</f>
        <v>5559936386.0502758</v>
      </c>
      <c r="EW684" s="269">
        <f t="shared" si="1719"/>
        <v>5560719.5867265305</v>
      </c>
      <c r="EX684" s="269">
        <f t="shared" si="1805"/>
        <v>27803597.933632653</v>
      </c>
      <c r="EY684" s="196">
        <f>'Detailed Budget'!$AC$219</f>
        <v>372777004.58170313</v>
      </c>
      <c r="EZ684" s="269">
        <f t="shared" si="1720"/>
        <v>390324.86418400938</v>
      </c>
      <c r="FA684" s="196">
        <f>'Detailed Budget'!$AC$222</f>
        <v>93194251.145425782</v>
      </c>
      <c r="FB684" s="269">
        <f t="shared" si="1721"/>
        <v>97581.216046002344</v>
      </c>
      <c r="FC684" s="269">
        <f t="shared" si="1806"/>
        <v>487906.08023001172</v>
      </c>
      <c r="FD684" s="269"/>
      <c r="FE684" s="269">
        <f t="shared" si="1807"/>
        <v>251609259.64682737</v>
      </c>
      <c r="FF684" s="140">
        <f>'Detailed Budget'!$AC$165</f>
        <v>14927760000</v>
      </c>
      <c r="FG684" s="1087">
        <f t="shared" si="1749"/>
        <v>343211685.14472669</v>
      </c>
      <c r="FH684" s="269">
        <f t="shared" si="1722"/>
        <v>18657579.820474949</v>
      </c>
      <c r="FJ684" s="140">
        <f>'Detailed Budget'!$AC$235</f>
        <v>3623696172</v>
      </c>
      <c r="FK684" s="269">
        <f t="shared" si="1723"/>
        <v>4681778</v>
      </c>
      <c r="FL684" s="269">
        <f t="shared" si="1750"/>
        <v>4681778</v>
      </c>
      <c r="FO684" s="607"/>
      <c r="FP684" s="607"/>
      <c r="FQ684" s="607"/>
      <c r="FR684" s="269">
        <f>'Detailed Budget'!$AC$257</f>
        <v>13636439388</v>
      </c>
      <c r="FS684" s="269">
        <f t="shared" si="1765"/>
        <v>35476428</v>
      </c>
      <c r="FT684" s="269">
        <f t="shared" si="1751"/>
        <v>35476428</v>
      </c>
      <c r="FU684" s="269"/>
      <c r="FV684" s="269"/>
      <c r="FW684" s="269"/>
      <c r="FX684" s="140">
        <f>'Detailed Budget'!$AC$278</f>
        <v>1114560000</v>
      </c>
      <c r="FY684" s="269">
        <f t="shared" si="1766"/>
        <v>1440000</v>
      </c>
      <c r="FZ684" s="269">
        <f t="shared" si="1752"/>
        <v>1440000</v>
      </c>
      <c r="GB684" s="269">
        <f t="shared" si="1760"/>
        <v>1187909385.5144346</v>
      </c>
      <c r="GC684" s="887">
        <f t="shared" si="1808"/>
        <v>742443.36594652163</v>
      </c>
      <c r="GD684" s="1078">
        <f t="shared" si="1761"/>
        <v>6.6657336241309417E-4</v>
      </c>
    </row>
    <row r="685" spans="1:186" hidden="1" outlineLevel="1">
      <c r="A685" s="211" t="s">
        <v>1468</v>
      </c>
      <c r="B685" s="212" t="s">
        <v>1469</v>
      </c>
      <c r="C685" s="213" t="s">
        <v>215</v>
      </c>
      <c r="D685" s="214"/>
      <c r="E685" s="213"/>
      <c r="F685" s="213"/>
      <c r="G685" s="213" t="s">
        <v>215</v>
      </c>
      <c r="H685" s="213" t="s">
        <v>215</v>
      </c>
      <c r="I685" s="214" t="s">
        <v>215</v>
      </c>
      <c r="J685" s="214"/>
      <c r="K685" s="213"/>
      <c r="L685" s="213"/>
      <c r="M685" s="214"/>
      <c r="N685" s="213" t="s">
        <v>215</v>
      </c>
      <c r="O685" s="214"/>
      <c r="P685" s="213"/>
      <c r="Q685" s="214"/>
      <c r="R685" s="214" t="s">
        <v>215</v>
      </c>
      <c r="S685" s="214"/>
      <c r="T685" s="214"/>
      <c r="U685" s="215">
        <f t="shared" si="1767"/>
        <v>6</v>
      </c>
      <c r="V685" s="845" t="s">
        <v>216</v>
      </c>
      <c r="W685" s="216">
        <v>99056</v>
      </c>
      <c r="X685" s="217">
        <v>2.78</v>
      </c>
      <c r="Y685" s="218">
        <f t="shared" si="1785"/>
        <v>1.0278</v>
      </c>
      <c r="Z685" s="196">
        <v>19</v>
      </c>
      <c r="AA685" s="218">
        <f t="shared" si="1786"/>
        <v>1.6836958972696243</v>
      </c>
      <c r="AB685" s="196">
        <f t="shared" si="1788"/>
        <v>166780.1807999399</v>
      </c>
      <c r="AC685">
        <v>12.7</v>
      </c>
      <c r="AD685" s="196">
        <f t="shared" si="1789"/>
        <v>21181.082961592369</v>
      </c>
      <c r="AE685" s="196">
        <f t="shared" si="1787"/>
        <v>20122.028813512748</v>
      </c>
      <c r="AF685" s="196">
        <f t="shared" si="1768"/>
        <v>0</v>
      </c>
      <c r="AG685" s="606">
        <f t="shared" si="1811"/>
        <v>9.3035427497513553E-4</v>
      </c>
      <c r="AH685" s="196">
        <f t="shared" si="1784"/>
        <v>8339.0090399969959</v>
      </c>
      <c r="AI685" s="248">
        <f t="shared" si="1790"/>
        <v>6.4601039549574957E-4</v>
      </c>
      <c r="AJ685" s="196">
        <f t="shared" si="1791"/>
        <v>29520.092001589364</v>
      </c>
      <c r="AK685" s="196">
        <f t="shared" si="1698"/>
        <v>6671.207231997596</v>
      </c>
      <c r="AL685" s="196">
        <f t="shared" si="1699"/>
        <v>6671.207231997596</v>
      </c>
      <c r="AM685" s="196">
        <f t="shared" si="1792"/>
        <v>13342.414463995192</v>
      </c>
      <c r="AN685" s="627">
        <f t="shared" si="1793"/>
        <v>6.4601039549574946E-4</v>
      </c>
      <c r="AO685" s="196">
        <f t="shared" si="1794"/>
        <v>6337.6468703977162</v>
      </c>
      <c r="AP685" s="589">
        <f t="shared" si="1812"/>
        <v>6.4601039549574946E-4</v>
      </c>
      <c r="AQ685" s="196"/>
      <c r="AR685" s="589"/>
      <c r="AS685">
        <v>1</v>
      </c>
      <c r="AT685" s="589">
        <f t="shared" si="1813"/>
        <v>1.2919896640826874E-3</v>
      </c>
      <c r="AU685" s="196">
        <v>11</v>
      </c>
      <c r="AV685" s="245">
        <f t="shared" si="1795"/>
        <v>1.2498579706851495E-3</v>
      </c>
      <c r="AX685" s="245"/>
      <c r="AY685" s="245"/>
      <c r="AZ685" s="196">
        <v>35</v>
      </c>
      <c r="BA685" s="589">
        <f t="shared" si="1754"/>
        <v>1.2824740757026126E-3</v>
      </c>
      <c r="BI685" s="196">
        <v>0</v>
      </c>
      <c r="BK685" s="246">
        <f t="shared" si="1755"/>
        <v>0</v>
      </c>
      <c r="BL685" s="246"/>
      <c r="BM685" s="246">
        <f t="shared" si="1756"/>
        <v>0</v>
      </c>
      <c r="BN685" s="196">
        <v>1</v>
      </c>
      <c r="BO685" s="196">
        <f t="shared" si="1769"/>
        <v>12275.915380699522</v>
      </c>
      <c r="BP685" s="196">
        <f t="shared" si="1796"/>
        <v>12275.915380699522</v>
      </c>
      <c r="BQ685" s="248">
        <f t="shared" si="1757"/>
        <v>1.1483547180201467E-3</v>
      </c>
      <c r="BR685" s="248"/>
      <c r="BS685" s="248"/>
      <c r="BT685" s="276">
        <v>0</v>
      </c>
      <c r="BU685" s="196">
        <f t="shared" si="1770"/>
        <v>0</v>
      </c>
      <c r="BV685" s="264">
        <f t="shared" si="1758"/>
        <v>0</v>
      </c>
      <c r="BW685" s="196">
        <f t="shared" si="1771"/>
        <v>0</v>
      </c>
      <c r="BX685" s="247">
        <f t="shared" si="1759"/>
        <v>0</v>
      </c>
      <c r="BY685" s="196">
        <f t="shared" si="1772"/>
        <v>0</v>
      </c>
      <c r="BZ685" s="620">
        <v>1</v>
      </c>
      <c r="CA685" s="196">
        <f t="shared" si="1773"/>
        <v>51034.735324781606</v>
      </c>
      <c r="CB685" s="196">
        <f t="shared" si="1774"/>
        <v>102069.47064956321</v>
      </c>
      <c r="CC685" s="196">
        <f t="shared" si="1809"/>
        <v>153104.2059743448</v>
      </c>
      <c r="CD685" s="247">
        <f t="shared" si="1797"/>
        <v>6.4601039549574935E-4</v>
      </c>
      <c r="CE685" s="196">
        <f t="shared" si="1775"/>
        <v>14150.244476396667</v>
      </c>
      <c r="CF685" s="247">
        <f t="shared" si="1798"/>
        <v>6.1105156298229234E-4</v>
      </c>
      <c r="CG685" s="196">
        <f t="shared" si="1703"/>
        <v>25350.587481590865</v>
      </c>
      <c r="CH685" s="589">
        <f t="shared" si="1814"/>
        <v>6.4601039549574946E-4</v>
      </c>
      <c r="CI685" s="196">
        <f t="shared" si="1776"/>
        <v>33600.428976353855</v>
      </c>
      <c r="CJ685" s="248">
        <f t="shared" si="1815"/>
        <v>5.5239096708209208E-4</v>
      </c>
      <c r="CK685" s="196">
        <f t="shared" si="1777"/>
        <v>45892.20855680402</v>
      </c>
      <c r="CL685" s="589">
        <f t="shared" si="1816"/>
        <v>6.5970993762862781E-4</v>
      </c>
      <c r="CM685" s="196">
        <f t="shared" si="1778"/>
        <v>4445.8005237331272</v>
      </c>
      <c r="CN685" s="589">
        <f t="shared" si="1817"/>
        <v>6.406903804414833E-4</v>
      </c>
      <c r="CO685" s="196">
        <f t="shared" si="1779"/>
        <v>355.67874696312407</v>
      </c>
      <c r="CP685" s="589">
        <f t="shared" si="1818"/>
        <v>6.7075533215994255E-4</v>
      </c>
      <c r="CQ685" s="196">
        <f>'Detailed Budget'!$AC$12</f>
        <v>292876014141.44696</v>
      </c>
      <c r="CR685" s="269">
        <f t="shared" si="1701"/>
        <v>0</v>
      </c>
      <c r="CS685" s="269">
        <f>'Detailed Budget'!$AC$16</f>
        <v>10488008800.000002</v>
      </c>
      <c r="CT685" s="607">
        <f t="shared" si="1705"/>
        <v>0</v>
      </c>
      <c r="CU685" s="269">
        <f>'Detailed Budget'!$AC$24</f>
        <v>30624985696</v>
      </c>
      <c r="CV685" s="269">
        <f t="shared" si="1753"/>
        <v>0</v>
      </c>
      <c r="CW685" s="269"/>
      <c r="CX685" s="269">
        <f t="shared" si="1810"/>
        <v>0</v>
      </c>
      <c r="CY685" s="196">
        <f>'Detailed Budget'!$AC$97</f>
        <v>74629165494.837845</v>
      </c>
      <c r="CZ685" s="269">
        <f t="shared" si="1706"/>
        <v>85700754.297903374</v>
      </c>
      <c r="DA685" s="269">
        <f>'Detailed Budget'!$AC$100</f>
        <v>14925833098.967569</v>
      </c>
      <c r="DB685" s="269">
        <f t="shared" si="1707"/>
        <v>17140150.859580677</v>
      </c>
      <c r="DC685" s="269">
        <f t="shared" si="1799"/>
        <v>102840905.15748405</v>
      </c>
      <c r="DD685" s="207">
        <v>0</v>
      </c>
      <c r="DE685" s="606">
        <v>0</v>
      </c>
      <c r="DF685" s="269">
        <f>'Detailed Budget'!$AC$147</f>
        <v>5913600671000</v>
      </c>
      <c r="DG685" s="269">
        <f t="shared" si="1748"/>
        <v>0</v>
      </c>
      <c r="DH685" s="269">
        <f>'Detailed Budget'!$AC$153</f>
        <v>226428026880.00003</v>
      </c>
      <c r="DI685" s="269"/>
      <c r="DJ685" s="269">
        <f>'Detailed Budget'!$AC$156</f>
        <v>27713070000</v>
      </c>
      <c r="DK685" s="269"/>
      <c r="DL685" s="269"/>
      <c r="DM685" s="196">
        <f>'Detailed Budget'!$AC$178</f>
        <v>5622683761.6229038</v>
      </c>
      <c r="DN685" s="269">
        <f t="shared" si="1780"/>
        <v>0</v>
      </c>
      <c r="DO685" s="196">
        <f>'Detailed Budget'!$AC$179</f>
        <v>26827890683.128094</v>
      </c>
      <c r="DP685" s="269">
        <f t="shared" si="1781"/>
        <v>0</v>
      </c>
      <c r="DQ685" s="269">
        <f t="shared" si="1700"/>
        <v>0</v>
      </c>
      <c r="DR685" s="269">
        <f>'Detailed Budget'!$AC$181</f>
        <v>50888946855.375237</v>
      </c>
      <c r="DS685" s="269">
        <f t="shared" si="1782"/>
        <v>0</v>
      </c>
      <c r="DT685" s="269">
        <f t="shared" si="1783"/>
        <v>0</v>
      </c>
      <c r="DU685" s="272">
        <f>'Detailed Budget'!$AC$192</f>
        <v>77498869683.252869</v>
      </c>
      <c r="DV685" s="269">
        <f t="shared" si="1708"/>
        <v>50065075.454551727</v>
      </c>
      <c r="DW685" s="140">
        <f>'Detailed Budget'!$AC$194</f>
        <v>2684962805.4134097</v>
      </c>
      <c r="DX685" s="269">
        <f t="shared" si="1709"/>
        <v>1734513.8838164939</v>
      </c>
      <c r="DY685" s="607">
        <f t="shared" si="1800"/>
        <v>51799589.338368222</v>
      </c>
      <c r="DZ685" s="196">
        <f>'Detailed Budget'!$AC$198</f>
        <v>18732540018.380611</v>
      </c>
      <c r="EA685" s="269">
        <f t="shared" si="1764"/>
        <v>11446547.856859813</v>
      </c>
      <c r="EB685" s="196">
        <f>'Detailed Budget'!$AC$200</f>
        <v>4683135004.5951529</v>
      </c>
      <c r="EC685" s="269">
        <f t="shared" si="1711"/>
        <v>2861636.9642149531</v>
      </c>
      <c r="ED685" s="269">
        <f t="shared" si="1801"/>
        <v>14308184.821074765</v>
      </c>
      <c r="EE685" s="196">
        <f>'Detailed Budget'!$AC$161</f>
        <v>251147290106.36197</v>
      </c>
      <c r="EF685" s="269">
        <f t="shared" si="1712"/>
        <v>162243760.20929661</v>
      </c>
      <c r="EG685" s="196">
        <f>'Detailed Budget'!$AC$163</f>
        <v>15696705631.647623</v>
      </c>
      <c r="EH685" s="269">
        <f t="shared" si="1713"/>
        <v>10140235.013081038</v>
      </c>
      <c r="EI685" s="269">
        <f t="shared" si="1802"/>
        <v>172383995.22237766</v>
      </c>
      <c r="EJ685" s="196">
        <f>'Detailed Budget'!$AC$204</f>
        <v>45012172507.531975</v>
      </c>
      <c r="EK685" s="269">
        <f t="shared" si="1714"/>
        <v>24864317.501901545</v>
      </c>
      <c r="EL685" s="201">
        <f>'Detailed Budget'!$AC$206</f>
        <v>11253043126.882994</v>
      </c>
      <c r="EM685" s="269">
        <f t="shared" si="1715"/>
        <v>6216079.3754753862</v>
      </c>
      <c r="EN685" s="269">
        <f t="shared" si="1803"/>
        <v>31080396.877376929</v>
      </c>
      <c r="EO685" s="140">
        <f>'Detailed Budget'!$AC$209</f>
        <v>135789361677.54817</v>
      </c>
      <c r="EP685" s="269">
        <f t="shared" si="1716"/>
        <v>89581591.322926491</v>
      </c>
      <c r="EQ685" s="196">
        <f>'Detailed Budget'!$AC$211</f>
        <v>33947340419.387043</v>
      </c>
      <c r="ER685" s="269">
        <f t="shared" si="1717"/>
        <v>22395397.830731623</v>
      </c>
      <c r="ES685" s="269">
        <f t="shared" si="1804"/>
        <v>111976989.15365812</v>
      </c>
      <c r="ET685" s="196">
        <f>'Detailed Budget'!$AC$214</f>
        <v>22239745544.201103</v>
      </c>
      <c r="EU685" s="269">
        <f t="shared" si="1718"/>
        <v>14248791.033635987</v>
      </c>
      <c r="EV685" s="140">
        <f>'Detailed Budget'!$AC$217</f>
        <v>5559936386.0502758</v>
      </c>
      <c r="EW685" s="269">
        <f t="shared" si="1719"/>
        <v>3562197.7584089967</v>
      </c>
      <c r="EX685" s="269">
        <f t="shared" si="1805"/>
        <v>17810988.792044982</v>
      </c>
      <c r="EY685" s="196">
        <f>'Detailed Budget'!$AC$219</f>
        <v>372777004.58170313</v>
      </c>
      <c r="EZ685" s="269">
        <f t="shared" si="1720"/>
        <v>250042.1635297887</v>
      </c>
      <c r="FA685" s="196">
        <f>'Detailed Budget'!$AC$222</f>
        <v>93194251.145425782</v>
      </c>
      <c r="FB685" s="269">
        <f t="shared" si="1721"/>
        <v>62510.540882447174</v>
      </c>
      <c r="FC685" s="269">
        <f t="shared" si="1806"/>
        <v>312552.70441223588</v>
      </c>
      <c r="FD685" s="269"/>
      <c r="FE685" s="269">
        <f t="shared" si="1807"/>
        <v>161180927.52749228</v>
      </c>
      <c r="FF685" s="140">
        <f>'Detailed Budget'!$AC$165</f>
        <v>14927760000</v>
      </c>
      <c r="FG685" s="1087">
        <f t="shared" si="1749"/>
        <v>219861454.33419159</v>
      </c>
      <c r="FH685" s="269">
        <f t="shared" si="1722"/>
        <v>18657579.820474949</v>
      </c>
      <c r="FJ685" s="140">
        <f>'Detailed Budget'!$AC$235</f>
        <v>3623696172</v>
      </c>
      <c r="FK685" s="269">
        <f t="shared" si="1723"/>
        <v>4681778</v>
      </c>
      <c r="FL685" s="269">
        <f t="shared" si="1750"/>
        <v>4681778</v>
      </c>
      <c r="FO685" s="607"/>
      <c r="FP685" s="607"/>
      <c r="FQ685" s="607"/>
      <c r="FR685" s="269">
        <f>'Detailed Budget'!$AC$257</f>
        <v>13636439388</v>
      </c>
      <c r="FS685" s="269">
        <f t="shared" si="1765"/>
        <v>17488380</v>
      </c>
      <c r="FT685" s="269">
        <f t="shared" si="1751"/>
        <v>17488380</v>
      </c>
      <c r="FU685" s="269"/>
      <c r="FV685" s="269"/>
      <c r="FW685" s="269"/>
      <c r="FX685" s="140">
        <f>'Detailed Budget'!$AC$278</f>
        <v>1114560000</v>
      </c>
      <c r="FY685" s="269">
        <f t="shared" si="1766"/>
        <v>1440000</v>
      </c>
      <c r="FZ685" s="269">
        <f t="shared" si="1752"/>
        <v>1440000</v>
      </c>
      <c r="GB685" s="269">
        <f t="shared" si="1760"/>
        <v>764642794.22146356</v>
      </c>
      <c r="GC685" s="887">
        <f t="shared" si="1808"/>
        <v>477901.7463884147</v>
      </c>
      <c r="GD685" s="1078">
        <f t="shared" si="1761"/>
        <v>4.2906514975333637E-4</v>
      </c>
    </row>
    <row r="686" spans="1:186" hidden="1" outlineLevel="1">
      <c r="A686" s="211" t="s">
        <v>1470</v>
      </c>
      <c r="B686" s="212" t="s">
        <v>1471</v>
      </c>
      <c r="C686" s="213" t="s">
        <v>215</v>
      </c>
      <c r="D686" s="214"/>
      <c r="E686" s="213"/>
      <c r="F686" s="213"/>
      <c r="G686" s="213" t="s">
        <v>215</v>
      </c>
      <c r="H686" s="213" t="s">
        <v>215</v>
      </c>
      <c r="I686" s="214" t="s">
        <v>215</v>
      </c>
      <c r="J686" s="214"/>
      <c r="K686" s="213"/>
      <c r="L686" s="213"/>
      <c r="M686" s="214"/>
      <c r="N686" s="213" t="s">
        <v>215</v>
      </c>
      <c r="O686" s="214"/>
      <c r="P686" s="213"/>
      <c r="Q686" s="214" t="s">
        <v>215</v>
      </c>
      <c r="R686" s="214"/>
      <c r="S686" s="214"/>
      <c r="T686" s="214"/>
      <c r="U686" s="215">
        <f t="shared" si="1767"/>
        <v>6</v>
      </c>
      <c r="V686" s="845" t="s">
        <v>1073</v>
      </c>
      <c r="W686" s="216">
        <v>121749</v>
      </c>
      <c r="X686" s="217">
        <v>2.78</v>
      </c>
      <c r="Y686" s="218">
        <f t="shared" si="1785"/>
        <v>1.0278</v>
      </c>
      <c r="Z686" s="196">
        <v>19</v>
      </c>
      <c r="AA686" s="218">
        <f t="shared" si="1786"/>
        <v>1.6836958972696243</v>
      </c>
      <c r="AB686" s="196">
        <f t="shared" si="1788"/>
        <v>204988.29179667949</v>
      </c>
      <c r="AC686">
        <v>12.7</v>
      </c>
      <c r="AD686" s="196">
        <f t="shared" si="1789"/>
        <v>26033.513058178294</v>
      </c>
      <c r="AE686" s="196">
        <f t="shared" si="1787"/>
        <v>24731.83740526938</v>
      </c>
      <c r="AF686" s="196">
        <f t="shared" si="1768"/>
        <v>0</v>
      </c>
      <c r="AG686" s="606">
        <f t="shared" si="1811"/>
        <v>1.1434915868190497E-3</v>
      </c>
      <c r="AH686" s="196">
        <f t="shared" si="1784"/>
        <v>10249.414589833976</v>
      </c>
      <c r="AI686" s="248">
        <f t="shared" si="1790"/>
        <v>7.9400661889448415E-4</v>
      </c>
      <c r="AJ686" s="196">
        <f t="shared" si="1791"/>
        <v>36282.927648012272</v>
      </c>
      <c r="AK686" s="196">
        <f t="shared" si="1698"/>
        <v>8199.5316718671802</v>
      </c>
      <c r="AL686" s="196">
        <f t="shared" si="1699"/>
        <v>8199.5316718671802</v>
      </c>
      <c r="AM686" s="196">
        <f t="shared" si="1792"/>
        <v>16399.06334373436</v>
      </c>
      <c r="AN686" s="627">
        <f t="shared" si="1793"/>
        <v>7.9400661889448404E-4</v>
      </c>
      <c r="AO686" s="196">
        <f t="shared" si="1794"/>
        <v>7789.5550882738207</v>
      </c>
      <c r="AP686" s="589">
        <f t="shared" si="1812"/>
        <v>7.9400661889448404E-4</v>
      </c>
      <c r="AQ686" s="196"/>
      <c r="AR686" s="589"/>
      <c r="AS686">
        <v>1</v>
      </c>
      <c r="AT686" s="589">
        <f t="shared" si="1813"/>
        <v>1.2919896640826874E-3</v>
      </c>
      <c r="AU686" s="196">
        <v>10</v>
      </c>
      <c r="AV686" s="245">
        <f t="shared" si="1795"/>
        <v>1.1362345188046814E-3</v>
      </c>
      <c r="AX686" s="245"/>
      <c r="AY686" s="245"/>
      <c r="AZ686" s="196">
        <v>42</v>
      </c>
      <c r="BA686" s="589">
        <f t="shared" si="1754"/>
        <v>1.5389688908431351E-3</v>
      </c>
      <c r="BI686" s="196">
        <v>0</v>
      </c>
      <c r="BK686" s="246">
        <f t="shared" si="1755"/>
        <v>0</v>
      </c>
      <c r="BL686" s="246"/>
      <c r="BM686" s="246">
        <f t="shared" si="1756"/>
        <v>0</v>
      </c>
      <c r="BN686" s="196">
        <v>1</v>
      </c>
      <c r="BO686" s="196">
        <f t="shared" si="1769"/>
        <v>15088.237175787292</v>
      </c>
      <c r="BP686" s="196">
        <f t="shared" si="1796"/>
        <v>15088.237175787292</v>
      </c>
      <c r="BQ686" s="248">
        <f t="shared" si="1757"/>
        <v>1.4114343256767367E-3</v>
      </c>
      <c r="BR686" s="248"/>
      <c r="BS686" s="248"/>
      <c r="BT686" s="276">
        <v>0</v>
      </c>
      <c r="BU686" s="196">
        <f t="shared" si="1770"/>
        <v>0</v>
      </c>
      <c r="BV686" s="264">
        <f t="shared" si="1758"/>
        <v>0</v>
      </c>
      <c r="BW686" s="196">
        <f t="shared" si="1771"/>
        <v>0</v>
      </c>
      <c r="BX686" s="247">
        <f t="shared" si="1759"/>
        <v>0</v>
      </c>
      <c r="BY686" s="196">
        <f t="shared" si="1772"/>
        <v>0</v>
      </c>
      <c r="BZ686" s="620">
        <v>1</v>
      </c>
      <c r="CA686" s="196">
        <f t="shared" si="1773"/>
        <v>62726.417289783931</v>
      </c>
      <c r="CB686" s="196">
        <f t="shared" si="1774"/>
        <v>125452.83457956786</v>
      </c>
      <c r="CC686" s="196">
        <f t="shared" si="1809"/>
        <v>188179.25186935178</v>
      </c>
      <c r="CD686" s="247">
        <f t="shared" si="1797"/>
        <v>7.9400661889448404E-4</v>
      </c>
      <c r="CE686" s="196">
        <f t="shared" si="1775"/>
        <v>17391.961261880326</v>
      </c>
      <c r="CF686" s="247">
        <f t="shared" si="1798"/>
        <v>7.5103897534254467E-4</v>
      </c>
      <c r="CG686" s="196">
        <f t="shared" si="1703"/>
        <v>31158.220353095283</v>
      </c>
      <c r="CH686" s="589">
        <f t="shared" si="1814"/>
        <v>7.9400661889448404E-4</v>
      </c>
      <c r="CI686" s="196">
        <f t="shared" si="1776"/>
        <v>41298.039769848423</v>
      </c>
      <c r="CJ686" s="248">
        <f t="shared" si="1815"/>
        <v>6.7893966898802322E-4</v>
      </c>
      <c r="CK686" s="196">
        <f t="shared" si="1777"/>
        <v>56405.775516700982</v>
      </c>
      <c r="CL686" s="589">
        <f t="shared" si="1816"/>
        <v>8.1084462522560785E-4</v>
      </c>
      <c r="CM686" s="196">
        <f t="shared" si="1778"/>
        <v>5464.3006780405467</v>
      </c>
      <c r="CN686" s="589">
        <f t="shared" si="1817"/>
        <v>7.8746782757601903E-4</v>
      </c>
      <c r="CO686" s="196">
        <f t="shared" si="1779"/>
        <v>437.16212812967808</v>
      </c>
      <c r="CP686" s="589">
        <f t="shared" si="1818"/>
        <v>8.2442043828885516E-4</v>
      </c>
      <c r="CQ686" s="196">
        <f>'Detailed Budget'!$AC$12</f>
        <v>292876014141.44696</v>
      </c>
      <c r="CR686" s="269">
        <f t="shared" si="1701"/>
        <v>0</v>
      </c>
      <c r="CS686" s="269">
        <f>'Detailed Budget'!$AC$16</f>
        <v>10488008800.000002</v>
      </c>
      <c r="CT686" s="607">
        <f t="shared" si="1705"/>
        <v>0</v>
      </c>
      <c r="CU686" s="269">
        <f>'Detailed Budget'!$AC$24</f>
        <v>30624985696</v>
      </c>
      <c r="CV686" s="269">
        <f t="shared" si="1753"/>
        <v>0</v>
      </c>
      <c r="CW686" s="269"/>
      <c r="CX686" s="269">
        <f t="shared" si="1810"/>
        <v>0</v>
      </c>
      <c r="CY686" s="196">
        <f>'Detailed Budget'!$AC$97</f>
        <v>74629165494.837845</v>
      </c>
      <c r="CZ686" s="269">
        <f t="shared" si="1706"/>
        <v>105334165.87602404</v>
      </c>
      <c r="DA686" s="269">
        <f>'Detailed Budget'!$AC$100</f>
        <v>14925833098.967569</v>
      </c>
      <c r="DB686" s="269">
        <f t="shared" si="1707"/>
        <v>21066833.17520481</v>
      </c>
      <c r="DC686" s="269">
        <f t="shared" si="1799"/>
        <v>126400999.05122885</v>
      </c>
      <c r="DD686" s="207">
        <v>0</v>
      </c>
      <c r="DE686" s="606">
        <v>0</v>
      </c>
      <c r="DF686" s="269">
        <f>'Detailed Budget'!$AC$147</f>
        <v>5913600671000</v>
      </c>
      <c r="DG686" s="269">
        <f t="shared" si="1748"/>
        <v>0</v>
      </c>
      <c r="DH686" s="269">
        <f>'Detailed Budget'!$AC$153</f>
        <v>226428026880.00003</v>
      </c>
      <c r="DI686" s="269"/>
      <c r="DJ686" s="269">
        <f>'Detailed Budget'!$AC$156</f>
        <v>27713070000</v>
      </c>
      <c r="DK686" s="269"/>
      <c r="DL686" s="269"/>
      <c r="DM686" s="196">
        <f>'Detailed Budget'!$AC$178</f>
        <v>5622683761.6229038</v>
      </c>
      <c r="DN686" s="269">
        <f t="shared" si="1780"/>
        <v>0</v>
      </c>
      <c r="DO686" s="196">
        <f>'Detailed Budget'!$AC$179</f>
        <v>26827890683.128094</v>
      </c>
      <c r="DP686" s="269">
        <f t="shared" si="1781"/>
        <v>0</v>
      </c>
      <c r="DQ686" s="269">
        <f t="shared" si="1700"/>
        <v>0</v>
      </c>
      <c r="DR686" s="269">
        <f>'Detailed Budget'!$AC$181</f>
        <v>50888946855.375237</v>
      </c>
      <c r="DS686" s="269">
        <f t="shared" si="1782"/>
        <v>0</v>
      </c>
      <c r="DT686" s="269">
        <f t="shared" si="1783"/>
        <v>0</v>
      </c>
      <c r="DU686" s="272">
        <f>'Detailed Budget'!$AC$192</f>
        <v>77498869683.252869</v>
      </c>
      <c r="DV686" s="269">
        <f t="shared" si="1708"/>
        <v>61534615.485343844</v>
      </c>
      <c r="DW686" s="140">
        <f>'Detailed Budget'!$AC$194</f>
        <v>2684962805.4134097</v>
      </c>
      <c r="DX686" s="269">
        <f t="shared" si="1709"/>
        <v>2131878.2389837499</v>
      </c>
      <c r="DY686" s="607">
        <f t="shared" si="1800"/>
        <v>63666493.724327594</v>
      </c>
      <c r="DZ686" s="196">
        <f>'Detailed Budget'!$AC$198</f>
        <v>18732540018.380611</v>
      </c>
      <c r="EA686" s="269">
        <f t="shared" si="1764"/>
        <v>14068867.660967788</v>
      </c>
      <c r="EB686" s="196">
        <f>'Detailed Budget'!$AC$200</f>
        <v>4683135004.5951529</v>
      </c>
      <c r="EC686" s="269">
        <f t="shared" si="1711"/>
        <v>3517216.9152419469</v>
      </c>
      <c r="ED686" s="269">
        <f t="shared" si="1801"/>
        <v>17586084.576209735</v>
      </c>
      <c r="EE686" s="196">
        <f>'Detailed Budget'!$AC$161</f>
        <v>251147290106.36197</v>
      </c>
      <c r="EF686" s="269">
        <f t="shared" si="1712"/>
        <v>199412610.66186458</v>
      </c>
      <c r="EG686" s="196">
        <f>'Detailed Budget'!$AC$163</f>
        <v>15696705631.647623</v>
      </c>
      <c r="EH686" s="269">
        <f t="shared" si="1713"/>
        <v>12463288.166366536</v>
      </c>
      <c r="EI686" s="269">
        <f t="shared" si="1802"/>
        <v>211875898.82823113</v>
      </c>
      <c r="EJ686" s="196">
        <f>'Detailed Budget'!$AC$204</f>
        <v>45012172507.531975</v>
      </c>
      <c r="EK686" s="269">
        <f t="shared" si="1714"/>
        <v>30560549.502695557</v>
      </c>
      <c r="EL686" s="201">
        <f>'Detailed Budget'!$AC$206</f>
        <v>11253043126.882994</v>
      </c>
      <c r="EM686" s="269">
        <f t="shared" si="1715"/>
        <v>7640137.3756738892</v>
      </c>
      <c r="EN686" s="269">
        <f t="shared" si="1803"/>
        <v>38200686.878369443</v>
      </c>
      <c r="EO686" s="140">
        <f>'Detailed Budget'!$AC$209</f>
        <v>135789361677.54817</v>
      </c>
      <c r="EP686" s="269">
        <f t="shared" si="1716"/>
        <v>110104074.07905607</v>
      </c>
      <c r="EQ686" s="196">
        <f>'Detailed Budget'!$AC$211</f>
        <v>33947340419.387043</v>
      </c>
      <c r="ER686" s="269">
        <f t="shared" si="1717"/>
        <v>27526018.519764017</v>
      </c>
      <c r="ES686" s="269">
        <f t="shared" si="1804"/>
        <v>137630092.59882009</v>
      </c>
      <c r="ET686" s="196">
        <f>'Detailed Budget'!$AC$214</f>
        <v>22239745544.201103</v>
      </c>
      <c r="EU686" s="269">
        <f t="shared" si="1718"/>
        <v>17513084.109535493</v>
      </c>
      <c r="EV686" s="140">
        <f>'Detailed Budget'!$AC$217</f>
        <v>5559936386.0502758</v>
      </c>
      <c r="EW686" s="269">
        <f t="shared" si="1719"/>
        <v>4378271.0273838732</v>
      </c>
      <c r="EX686" s="269">
        <f t="shared" si="1805"/>
        <v>21891355.136919364</v>
      </c>
      <c r="EY686" s="196">
        <f>'Detailed Budget'!$AC$219</f>
        <v>372777004.58170313</v>
      </c>
      <c r="EZ686" s="269">
        <f t="shared" si="1720"/>
        <v>307324.98150125425</v>
      </c>
      <c r="FA686" s="196">
        <f>'Detailed Budget'!$AC$222</f>
        <v>93194251.145425782</v>
      </c>
      <c r="FB686" s="269">
        <f t="shared" si="1721"/>
        <v>76831.245375313563</v>
      </c>
      <c r="FC686" s="269">
        <f t="shared" si="1806"/>
        <v>384156.22687656782</v>
      </c>
      <c r="FD686" s="269"/>
      <c r="FE686" s="269">
        <f t="shared" si="1807"/>
        <v>198106290.84098548</v>
      </c>
      <c r="FF686" s="140">
        <f>'Detailed Budget'!$AC$165</f>
        <v>14927760000</v>
      </c>
      <c r="FG686" s="1087">
        <f t="shared" si="1749"/>
        <v>270230094.12588328</v>
      </c>
      <c r="FH686" s="269">
        <f t="shared" si="1722"/>
        <v>16961436.200431772</v>
      </c>
      <c r="FJ686" s="140">
        <f>'Detailed Budget'!$AC$235</f>
        <v>3623696172</v>
      </c>
      <c r="FK686" s="269">
        <f t="shared" si="1723"/>
        <v>4681778</v>
      </c>
      <c r="FL686" s="269">
        <f t="shared" si="1750"/>
        <v>4681778</v>
      </c>
      <c r="FO686" s="607"/>
      <c r="FP686" s="607"/>
      <c r="FQ686" s="607"/>
      <c r="FR686" s="269">
        <f>'Detailed Budget'!$AC$257</f>
        <v>13636439388</v>
      </c>
      <c r="FS686" s="269">
        <f t="shared" si="1765"/>
        <v>20986056</v>
      </c>
      <c r="FT686" s="269">
        <f t="shared" si="1751"/>
        <v>20986056</v>
      </c>
      <c r="FU686" s="269"/>
      <c r="FV686" s="269"/>
      <c r="FW686" s="269"/>
      <c r="FX686" s="140">
        <f>'Detailed Budget'!$AC$278</f>
        <v>1114560000</v>
      </c>
      <c r="FY686" s="269">
        <f t="shared" si="1766"/>
        <v>1440000</v>
      </c>
      <c r="FZ686" s="269">
        <f t="shared" si="1752"/>
        <v>1440000</v>
      </c>
      <c r="GB686" s="269">
        <f t="shared" si="1760"/>
        <v>931935131.34729791</v>
      </c>
      <c r="GC686" s="887">
        <f t="shared" si="1808"/>
        <v>582459.45709206117</v>
      </c>
      <c r="GD686" s="1078">
        <f t="shared" si="1761"/>
        <v>5.2293814800026984E-4</v>
      </c>
    </row>
    <row r="687" spans="1:186" hidden="1" outlineLevel="1">
      <c r="A687" s="211"/>
      <c r="B687" s="212"/>
      <c r="C687" s="213"/>
      <c r="D687" s="214"/>
      <c r="E687" s="213"/>
      <c r="F687" s="213"/>
      <c r="G687" s="213"/>
      <c r="H687" s="213"/>
      <c r="I687" s="214"/>
      <c r="J687" s="214"/>
      <c r="K687" s="213"/>
      <c r="L687" s="213"/>
      <c r="M687" s="214"/>
      <c r="N687" s="213"/>
      <c r="O687" s="214"/>
      <c r="P687" s="213"/>
      <c r="Q687" s="214"/>
      <c r="R687" s="214"/>
      <c r="S687" s="214"/>
      <c r="T687" s="214"/>
      <c r="U687" s="215"/>
      <c r="V687" s="845"/>
      <c r="W687" s="216"/>
      <c r="X687" s="217"/>
      <c r="Y687" s="218"/>
      <c r="Z687" s="196"/>
      <c r="AA687" s="218"/>
      <c r="AG687" s="606"/>
      <c r="AJ687" s="196"/>
      <c r="AK687" s="196"/>
      <c r="AL687" s="196"/>
      <c r="AM687" s="196"/>
      <c r="AO687" s="196"/>
      <c r="AP687" s="589"/>
      <c r="AQ687" s="196"/>
      <c r="AR687" s="589"/>
      <c r="AS687"/>
      <c r="AT687" s="589"/>
      <c r="AV687" s="245"/>
      <c r="AX687" s="245"/>
      <c r="AY687" s="245"/>
      <c r="BA687" s="589">
        <f t="shared" si="1754"/>
        <v>0</v>
      </c>
      <c r="BK687" s="246">
        <f t="shared" si="1755"/>
        <v>0</v>
      </c>
      <c r="BL687" s="246"/>
      <c r="BM687" s="246">
        <f t="shared" si="1756"/>
        <v>0</v>
      </c>
      <c r="BN687" s="196"/>
      <c r="BQ687" s="248">
        <f t="shared" si="1757"/>
        <v>0</v>
      </c>
      <c r="BR687" s="248"/>
      <c r="BS687" s="248"/>
      <c r="BT687" s="276"/>
      <c r="BV687" s="264">
        <f t="shared" si="1758"/>
        <v>0</v>
      </c>
      <c r="BX687" s="247">
        <f t="shared" si="1759"/>
        <v>0</v>
      </c>
      <c r="BY687" s="196"/>
      <c r="BZ687" s="620"/>
      <c r="CA687" s="196"/>
      <c r="CB687" s="196"/>
      <c r="CC687" s="196"/>
      <c r="CD687" s="247"/>
      <c r="CF687" s="247"/>
      <c r="CG687" s="196"/>
      <c r="CH687" s="589"/>
      <c r="CI687" s="196"/>
      <c r="CJ687" s="248"/>
      <c r="CK687" s="196"/>
      <c r="CL687" s="589"/>
      <c r="CM687" s="196"/>
      <c r="CN687" s="589"/>
      <c r="CO687" s="196"/>
      <c r="CP687" s="589"/>
      <c r="CQ687" s="196"/>
      <c r="CR687" s="269">
        <f t="shared" si="1701"/>
        <v>0</v>
      </c>
      <c r="CS687" s="269"/>
      <c r="CT687" s="607"/>
      <c r="CU687" s="269">
        <f>'Detailed Budget'!$AC$24</f>
        <v>30624985696</v>
      </c>
      <c r="CV687" s="269">
        <f t="shared" si="1753"/>
        <v>0</v>
      </c>
      <c r="CW687" s="269"/>
      <c r="CX687" s="269"/>
      <c r="CY687" s="196"/>
      <c r="DC687" s="269"/>
      <c r="DD687" s="207"/>
      <c r="DE687" s="606">
        <v>0</v>
      </c>
      <c r="DF687" s="269">
        <f>'Detailed Budget'!$AC$147</f>
        <v>5913600671000</v>
      </c>
      <c r="DG687" s="269">
        <f t="shared" si="1748"/>
        <v>0</v>
      </c>
      <c r="DH687" s="269">
        <f>'Detailed Budget'!$AC$153</f>
        <v>226428026880.00003</v>
      </c>
      <c r="DI687" s="269"/>
      <c r="DJ687" s="269">
        <f>'Detailed Budget'!$AC$156</f>
        <v>27713070000</v>
      </c>
      <c r="DK687" s="269"/>
      <c r="DL687" s="269"/>
      <c r="DM687" s="196"/>
      <c r="DN687" s="269"/>
      <c r="DO687" s="196"/>
      <c r="DP687" s="269"/>
      <c r="DQ687" s="269"/>
      <c r="DR687" s="269"/>
      <c r="DS687" s="269"/>
      <c r="DT687" s="269"/>
      <c r="DU687" s="272"/>
      <c r="DV687" s="269"/>
      <c r="DW687" s="140"/>
      <c r="DX687" s="269"/>
      <c r="DY687" s="607"/>
      <c r="DZ687" s="196"/>
      <c r="EA687" s="269"/>
      <c r="EB687" s="196"/>
      <c r="ED687" s="269"/>
      <c r="EE687" s="196"/>
      <c r="EG687" s="196"/>
      <c r="EI687" s="269"/>
      <c r="EJ687" s="196"/>
      <c r="EL687" s="201"/>
      <c r="EN687" s="269"/>
      <c r="EO687" s="140"/>
      <c r="EQ687" s="196"/>
      <c r="ES687" s="269"/>
      <c r="ET687" s="196"/>
      <c r="EV687" s="140"/>
      <c r="EX687" s="269"/>
      <c r="EY687" s="196"/>
      <c r="FA687" s="196"/>
      <c r="FC687" s="269"/>
      <c r="FD687" s="269"/>
      <c r="FE687" s="269"/>
      <c r="FF687" s="140"/>
      <c r="FG687" s="1087">
        <f t="shared" si="1749"/>
        <v>0</v>
      </c>
      <c r="FJ687" s="140"/>
      <c r="FL687" s="269">
        <f t="shared" si="1750"/>
        <v>0</v>
      </c>
      <c r="FO687" s="607"/>
      <c r="FP687" s="607"/>
      <c r="FQ687" s="607"/>
      <c r="FT687" s="269">
        <f t="shared" si="1751"/>
        <v>0</v>
      </c>
      <c r="FU687" s="269"/>
      <c r="FV687" s="269"/>
      <c r="FW687" s="269"/>
      <c r="FX687" s="140">
        <f>'Detailed Budget'!$AC$278</f>
        <v>1114560000</v>
      </c>
      <c r="FY687" s="269"/>
      <c r="FZ687" s="269"/>
      <c r="GB687" s="269">
        <f t="shared" si="1760"/>
        <v>0</v>
      </c>
      <c r="GD687" s="1078">
        <f t="shared" si="1761"/>
        <v>0</v>
      </c>
    </row>
    <row r="688" spans="1:186" s="210" customFormat="1" collapsed="1">
      <c r="A688" s="203">
        <v>5.6</v>
      </c>
      <c r="B688" s="204" t="s">
        <v>1472</v>
      </c>
      <c r="C688" s="205">
        <f>COUNTA(C689:C711)</f>
        <v>23</v>
      </c>
      <c r="D688" s="205">
        <f t="shared" ref="D688:T688" si="1819">COUNTA(D689:D711)</f>
        <v>0</v>
      </c>
      <c r="E688" s="205">
        <f t="shared" si="1819"/>
        <v>0</v>
      </c>
      <c r="F688" s="205">
        <f t="shared" si="1819"/>
        <v>0</v>
      </c>
      <c r="G688" s="205">
        <f t="shared" si="1819"/>
        <v>23</v>
      </c>
      <c r="H688" s="205">
        <f t="shared" si="1819"/>
        <v>23</v>
      </c>
      <c r="I688" s="205">
        <f t="shared" si="1819"/>
        <v>23</v>
      </c>
      <c r="J688" s="205">
        <f t="shared" si="1819"/>
        <v>0</v>
      </c>
      <c r="K688" s="205">
        <f t="shared" si="1819"/>
        <v>0</v>
      </c>
      <c r="L688" s="205">
        <f t="shared" si="1819"/>
        <v>0</v>
      </c>
      <c r="M688" s="205">
        <f t="shared" si="1819"/>
        <v>23</v>
      </c>
      <c r="N688" s="205">
        <f t="shared" si="1819"/>
        <v>0</v>
      </c>
      <c r="O688" s="205">
        <f t="shared" si="1819"/>
        <v>0</v>
      </c>
      <c r="P688" s="205">
        <f t="shared" si="1819"/>
        <v>0</v>
      </c>
      <c r="Q688" s="205">
        <f t="shared" si="1819"/>
        <v>0</v>
      </c>
      <c r="R688" s="205">
        <f t="shared" si="1819"/>
        <v>23</v>
      </c>
      <c r="S688" s="205">
        <f t="shared" si="1819"/>
        <v>0</v>
      </c>
      <c r="T688" s="205">
        <f t="shared" si="1819"/>
        <v>0</v>
      </c>
      <c r="U688" s="206">
        <f>SUM(C688:T688)</f>
        <v>138</v>
      </c>
      <c r="V688" s="844"/>
      <c r="W688" s="207">
        <f>SUM(W689:W711)</f>
        <v>5198716</v>
      </c>
      <c r="X688" s="208">
        <v>3.41</v>
      </c>
      <c r="Y688" s="209">
        <f t="shared" si="1785"/>
        <v>1.0341</v>
      </c>
      <c r="Z688" s="207">
        <v>19</v>
      </c>
      <c r="AA688" s="209">
        <f t="shared" si="1786"/>
        <v>1.8909856119855175</v>
      </c>
      <c r="AB688" s="207">
        <f t="shared" si="1788"/>
        <v>9830697.156798901</v>
      </c>
      <c r="AC688" s="210">
        <v>11.9</v>
      </c>
      <c r="AD688" s="207">
        <f t="shared" si="1789"/>
        <v>1169852.9616590692</v>
      </c>
      <c r="AE688" s="207">
        <f t="shared" si="1787"/>
        <v>1111360.3135761158</v>
      </c>
      <c r="AF688" s="207">
        <f>SUM(AF689:AF711)</f>
        <v>0</v>
      </c>
      <c r="AG688" s="588">
        <f t="shared" si="1811"/>
        <v>5.1384421936564458E-2</v>
      </c>
      <c r="AH688" s="207">
        <f>SUM(AH689:AH711)</f>
        <v>491534.85783994506</v>
      </c>
      <c r="AI688" s="633">
        <f t="shared" si="1790"/>
        <v>3.8078460688806777E-2</v>
      </c>
      <c r="AJ688" s="207">
        <f>SUM(AJ689:AJ711)</f>
        <v>1661387.8194990144</v>
      </c>
      <c r="AK688" s="207">
        <f t="shared" si="1698"/>
        <v>393227.88627195603</v>
      </c>
      <c r="AL688" s="207">
        <f t="shared" si="1699"/>
        <v>393227.88627195603</v>
      </c>
      <c r="AM688" s="207">
        <f t="shared" si="1792"/>
        <v>786455.77254391205</v>
      </c>
      <c r="AN688" s="632">
        <f t="shared" si="1793"/>
        <v>3.8078460688806777E-2</v>
      </c>
      <c r="AO688" s="207">
        <f t="shared" si="1794"/>
        <v>373566.49195835821</v>
      </c>
      <c r="AP688" s="588">
        <f t="shared" si="1812"/>
        <v>3.807846068880677E-2</v>
      </c>
      <c r="AQ688" s="207">
        <v>1</v>
      </c>
      <c r="AR688" s="588">
        <f>AQ688/37</f>
        <v>2.7027027027027029E-2</v>
      </c>
      <c r="AS688" s="207">
        <f>SUM(AS689:AS711)</f>
        <v>23</v>
      </c>
      <c r="AT688" s="588">
        <f t="shared" si="1813"/>
        <v>2.9715762273901807E-2</v>
      </c>
      <c r="AU688" s="207">
        <f>SUM(AU689:AU711)</f>
        <v>319</v>
      </c>
      <c r="AV688" s="892">
        <f t="shared" si="1795"/>
        <v>3.6245881149869333E-2</v>
      </c>
      <c r="AW688" s="207">
        <v>11077</v>
      </c>
      <c r="AX688" s="208">
        <f>AW688*0.002</f>
        <v>22.154</v>
      </c>
      <c r="AY688" s="207">
        <f>AX688*100</f>
        <v>2215.4</v>
      </c>
      <c r="AZ688" s="207">
        <f>SUM(AZ689:AZ711)</f>
        <v>425</v>
      </c>
      <c r="BA688" s="588">
        <f t="shared" si="1754"/>
        <v>1.5572899490674582E-2</v>
      </c>
      <c r="BB688" s="207">
        <v>32</v>
      </c>
      <c r="BC688" s="207">
        <v>1</v>
      </c>
      <c r="BD688" s="207">
        <f>BB688+BC688</f>
        <v>33</v>
      </c>
      <c r="BE688" s="633">
        <f>BD688/1306</f>
        <v>2.5267993874425729E-2</v>
      </c>
      <c r="BF688" s="207">
        <f>AZ688+BD688</f>
        <v>458</v>
      </c>
      <c r="BG688" s="588">
        <f>BF688/28597</f>
        <v>1.6015665978948841E-2</v>
      </c>
      <c r="BH688" s="1084">
        <v>22.3</v>
      </c>
      <c r="BI688" s="207"/>
      <c r="BJ688" s="207"/>
      <c r="BK688" s="892">
        <f t="shared" si="1755"/>
        <v>0</v>
      </c>
      <c r="BL688" s="892"/>
      <c r="BM688" s="892">
        <f t="shared" si="1756"/>
        <v>0</v>
      </c>
      <c r="BN688" s="207"/>
      <c r="BO688" s="207">
        <v>478022</v>
      </c>
      <c r="BP688" s="207">
        <f>SUM(BP689:BP711)</f>
        <v>478021.9480654475</v>
      </c>
      <c r="BQ688" s="633">
        <f t="shared" si="1757"/>
        <v>4.4716727213776036E-2</v>
      </c>
      <c r="BR688" s="207">
        <f>AY688*0.5*24</f>
        <v>26584.800000000003</v>
      </c>
      <c r="BS688" s="633">
        <f>BR688/2211211</f>
        <v>1.2022733244362479E-2</v>
      </c>
      <c r="BT688" s="634"/>
      <c r="BU688" s="207"/>
      <c r="BV688" s="264">
        <f t="shared" si="1758"/>
        <v>0</v>
      </c>
      <c r="BW688" s="207"/>
      <c r="BX688" s="247">
        <f t="shared" si="1759"/>
        <v>0</v>
      </c>
      <c r="BY688" s="207">
        <f>SUM(BY689:BY711)</f>
        <v>0</v>
      </c>
      <c r="CA688" s="207">
        <f>SUM(CA689:CA711)</f>
        <v>3008193.3299804633</v>
      </c>
      <c r="CB688" s="207">
        <f>SUM(CB689:CB711)</f>
        <v>6016386.6599609265</v>
      </c>
      <c r="CC688" s="207">
        <f>SUM(CC689:CC711)</f>
        <v>9024579.9899413902</v>
      </c>
      <c r="CD688" s="633">
        <f t="shared" si="1797"/>
        <v>3.807846068880677E-2</v>
      </c>
      <c r="CE688" s="207">
        <f>SUM(CE689:CE711)</f>
        <v>776821.77533022442</v>
      </c>
      <c r="CF688" s="633">
        <f t="shared" si="1798"/>
        <v>3.354558013227265E-2</v>
      </c>
      <c r="CG688" s="207">
        <f t="shared" ref="CG688:CG711" si="1820">AO688*4</f>
        <v>1494265.9678334328</v>
      </c>
      <c r="CH688" s="588">
        <f t="shared" si="1814"/>
        <v>3.807846068880677E-2</v>
      </c>
      <c r="CI688" s="207">
        <f t="shared" ref="CI688:CO688" si="1821">SUM(CI689:CI711)</f>
        <v>2431804.9202996739</v>
      </c>
      <c r="CJ688" s="633">
        <f t="shared" si="1815"/>
        <v>3.9978866716989615E-2</v>
      </c>
      <c r="CK688" s="207">
        <f t="shared" si="1821"/>
        <v>3934443.8710519653</v>
      </c>
      <c r="CL688" s="588">
        <f t="shared" si="1816"/>
        <v>5.6558439926949304E-2</v>
      </c>
      <c r="CM688" s="207">
        <f t="shared" si="1821"/>
        <v>270457.99113597057</v>
      </c>
      <c r="CN688" s="588">
        <f t="shared" si="1817"/>
        <v>3.8976070183383234E-2</v>
      </c>
      <c r="CO688" s="207">
        <f t="shared" si="1821"/>
        <v>21636.999290865846</v>
      </c>
      <c r="CP688" s="588">
        <f t="shared" si="1818"/>
        <v>4.0804047951152528E-2</v>
      </c>
      <c r="CQ688" s="207">
        <f>'Detailed Budget'!$AC$12</f>
        <v>292876014141.44696</v>
      </c>
      <c r="CR688" s="605">
        <f t="shared" si="1701"/>
        <v>0</v>
      </c>
      <c r="CS688" s="605">
        <f>'Detailed Budget'!$AC$16</f>
        <v>10488008800.000002</v>
      </c>
      <c r="CT688" s="605">
        <f t="shared" ref="CT688:CT711" si="1822">BM688*CS688</f>
        <v>0</v>
      </c>
      <c r="CU688" s="605">
        <f>'Detailed Budget'!$AC$24</f>
        <v>30624985696</v>
      </c>
      <c r="CV688" s="605">
        <f t="shared" si="1753"/>
        <v>0</v>
      </c>
      <c r="CW688" s="605"/>
      <c r="CX688" s="605">
        <f t="shared" si="1810"/>
        <v>0</v>
      </c>
      <c r="CY688" s="207">
        <f>'Detailed Budget'!$AC$97</f>
        <v>74629165494.837845</v>
      </c>
      <c r="CZ688" s="605">
        <f>BQ688*CY688</f>
        <v>3337172035.6244111</v>
      </c>
      <c r="DA688" s="605">
        <f>'Detailed Budget'!$AC$100</f>
        <v>14925833098.967569</v>
      </c>
      <c r="DB688" s="605">
        <f t="shared" ref="DB688:DB711" si="1823">BQ688*DA688</f>
        <v>667434407.12488222</v>
      </c>
      <c r="DC688" s="605">
        <f t="shared" si="1799"/>
        <v>4004606442.7492933</v>
      </c>
      <c r="DD688" s="207">
        <f>SUM(DD689:DD711)</f>
        <v>0</v>
      </c>
      <c r="DE688" s="606">
        <v>0</v>
      </c>
      <c r="DF688" s="605">
        <f>'Detailed Budget'!$AC$147</f>
        <v>5913600671000</v>
      </c>
      <c r="DG688" s="605">
        <f t="shared" si="1748"/>
        <v>0</v>
      </c>
      <c r="DH688" s="605">
        <f>'Detailed Budget'!$AC$153</f>
        <v>226428026880.00003</v>
      </c>
      <c r="DI688" s="605">
        <f>BS688*DH688</f>
        <v>2722283766.2255774</v>
      </c>
      <c r="DJ688" s="605">
        <f>'Detailed Budget'!$AC$156</f>
        <v>27713070000</v>
      </c>
      <c r="DK688" s="605">
        <f>AT688*DJ688</f>
        <v>823515000</v>
      </c>
      <c r="DL688" s="605">
        <f>DI688+DK688</f>
        <v>3545798766.2255774</v>
      </c>
      <c r="DM688" s="207">
        <f>'Detailed Budget'!$AC$178</f>
        <v>5622683761.6229038</v>
      </c>
      <c r="DN688" s="605">
        <f>SUM(DN689:DN711)</f>
        <v>0</v>
      </c>
      <c r="DO688" s="605">
        <f>'Detailed Budget'!$AC$179</f>
        <v>26827890683.128094</v>
      </c>
      <c r="DP688" s="605">
        <f>SUM(DP689:DP711)</f>
        <v>0</v>
      </c>
      <c r="DQ688" s="605">
        <f>SUM(DQ689:DQ711)</f>
        <v>0</v>
      </c>
      <c r="DR688" s="605">
        <f>'Detailed Budget'!$AC$181</f>
        <v>50888946855.375237</v>
      </c>
      <c r="DS688" s="605">
        <f>SUM(DS689:DS711)</f>
        <v>0</v>
      </c>
      <c r="DT688" s="605">
        <f>SUM(DT689:DT711)</f>
        <v>0</v>
      </c>
      <c r="DU688" s="634">
        <f>'Detailed Budget'!$AC$192</f>
        <v>77498869683.252869</v>
      </c>
      <c r="DV688" s="605">
        <f t="shared" ref="DV688:DV711" si="1824">BZ688*CD688*DU688</f>
        <v>0</v>
      </c>
      <c r="DW688" s="930">
        <f>'Detailed Budget'!$AC$194</f>
        <v>2684962805.4134097</v>
      </c>
      <c r="DX688" s="605">
        <f t="shared" ref="DX688:DX711" si="1825">BZ688*AN688*DW688</f>
        <v>0</v>
      </c>
      <c r="DY688" s="605">
        <f t="shared" si="1800"/>
        <v>0</v>
      </c>
      <c r="DZ688" s="207">
        <f>'Detailed Budget'!$AC$198</f>
        <v>18732540018.380611</v>
      </c>
      <c r="EA688" s="605">
        <f t="shared" ref="EA688:EA711" si="1826">CF688*DZ688</f>
        <v>628393922.267591</v>
      </c>
      <c r="EB688" s="207">
        <f>'Detailed Budget'!$AC$200</f>
        <v>4683135004.5951529</v>
      </c>
      <c r="EC688" s="605">
        <f t="shared" ref="EC688:EC711" si="1827">CF688*EB688</f>
        <v>157098480.56689775</v>
      </c>
      <c r="ED688" s="605">
        <f t="shared" si="1801"/>
        <v>785492402.83448875</v>
      </c>
      <c r="EE688" s="207">
        <f>'Detailed Budget'!$AC$161</f>
        <v>251147290106.36197</v>
      </c>
      <c r="EF688" s="605">
        <f t="shared" ref="EF688:EF711" si="1828">CH688*EE688</f>
        <v>9563302213.415453</v>
      </c>
      <c r="EG688" s="207">
        <f>'Detailed Budget'!$AC$163</f>
        <v>15696705631.647623</v>
      </c>
      <c r="EH688" s="605">
        <f t="shared" ref="EH688:EH711" si="1829">AP688*EG688</f>
        <v>597706388.33846581</v>
      </c>
      <c r="EI688" s="605">
        <f t="shared" si="1802"/>
        <v>10161008601.75392</v>
      </c>
      <c r="EJ688" s="207">
        <f>'Detailed Budget'!$AC$204</f>
        <v>45012172507.531975</v>
      </c>
      <c r="EK688" s="605">
        <f t="shared" ref="EK688:EK711" si="1830">CJ688*EJ688</f>
        <v>1799535645.320765</v>
      </c>
      <c r="EL688" s="207">
        <f>'Detailed Budget'!$AC$206</f>
        <v>11253043126.882994</v>
      </c>
      <c r="EM688" s="605">
        <f t="shared" ref="EM688:EM711" si="1831">CJ688*EL688</f>
        <v>449883911.33019125</v>
      </c>
      <c r="EN688" s="605">
        <f t="shared" si="1803"/>
        <v>2249419556.6509562</v>
      </c>
      <c r="EO688" s="930">
        <f>'Detailed Budget'!$AC$209</f>
        <v>135789361677.54817</v>
      </c>
      <c r="EP688" s="605">
        <f t="shared" ref="EP688:EP711" si="1832">CL688*EO688</f>
        <v>7680034455.1584005</v>
      </c>
      <c r="EQ688" s="207">
        <f>'Detailed Budget'!$AC$211</f>
        <v>33947340419.387043</v>
      </c>
      <c r="ER688" s="605">
        <f t="shared" ref="ER688:ER711" si="1833">CL688*EQ688</f>
        <v>1920008613.7896001</v>
      </c>
      <c r="ES688" s="605">
        <f t="shared" si="1804"/>
        <v>9600043068.948</v>
      </c>
      <c r="ET688" s="207">
        <f>'Detailed Budget'!$AC$214</f>
        <v>22239745544.201103</v>
      </c>
      <c r="EU688" s="605">
        <f t="shared" ref="EU688:EU711" si="1834">CN688*ET688</f>
        <v>866817883.19136679</v>
      </c>
      <c r="EV688" s="930">
        <f>'Detailed Budget'!$AC$217</f>
        <v>5559936386.0502758</v>
      </c>
      <c r="EW688" s="605">
        <f t="shared" ref="EW688:EW711" si="1835">CN688*EV688</f>
        <v>216704470.7978417</v>
      </c>
      <c r="EX688" s="605">
        <f t="shared" si="1805"/>
        <v>1083522353.9892085</v>
      </c>
      <c r="EY688" s="207">
        <f>'Detailed Budget'!$AC$219</f>
        <v>372777004.58170313</v>
      </c>
      <c r="EZ688" s="605">
        <f t="shared" ref="EZ688:EZ711" si="1836">CP688*EY688</f>
        <v>15210810.770038821</v>
      </c>
      <c r="FA688" s="207">
        <f>'Detailed Budget'!$AC$222</f>
        <v>93194251.145425782</v>
      </c>
      <c r="FB688" s="605">
        <f t="shared" ref="FB688:FB711" si="1837">CP688*FA688</f>
        <v>3802702.6925097052</v>
      </c>
      <c r="FC688" s="605">
        <f t="shared" si="1806"/>
        <v>19013513.462548524</v>
      </c>
      <c r="FD688" s="605"/>
      <c r="FE688" s="605">
        <f t="shared" si="1807"/>
        <v>12951998493.050714</v>
      </c>
      <c r="FF688" s="930">
        <f>'Detailed Budget'!$AC$165</f>
        <v>14927760000</v>
      </c>
      <c r="FG688" s="1087">
        <f t="shared" si="1749"/>
        <v>17667383287.211021</v>
      </c>
      <c r="FH688" s="605">
        <f>AV688*FF688</f>
        <v>541069814.79377341</v>
      </c>
      <c r="FI688" s="605"/>
      <c r="FJ688" s="930">
        <f>'Detailed Budget'!$AC$235</f>
        <v>3623696172</v>
      </c>
      <c r="FK688" s="605">
        <f t="shared" ref="FK688:FK711" si="1838">AT688*FJ688</f>
        <v>107680894</v>
      </c>
      <c r="FL688" s="605">
        <f t="shared" si="1750"/>
        <v>107680894</v>
      </c>
      <c r="FM688" s="605"/>
      <c r="FN688" s="605">
        <f>'Detailed Budget'!$AC$251</f>
        <v>1047595800</v>
      </c>
      <c r="FO688" s="605">
        <f>AR688*FN688</f>
        <v>28313400</v>
      </c>
      <c r="FP688" s="605">
        <f>'Detailed Budget'!$AB$254</f>
        <v>2773297530</v>
      </c>
      <c r="FQ688" s="605">
        <f>BE688*FP688</f>
        <v>70075665</v>
      </c>
      <c r="FR688" s="605">
        <f>'Detailed Budget'!$AC$257</f>
        <v>13636439388</v>
      </c>
      <c r="FS688" s="605">
        <f t="shared" ref="FS688:FS711" si="1839">BA688*FR688</f>
        <v>212358900</v>
      </c>
      <c r="FT688" s="605">
        <f t="shared" si="1751"/>
        <v>310747965</v>
      </c>
      <c r="FU688" s="605"/>
      <c r="FV688" s="605">
        <f>'Detailed Budget'!$AC$265</f>
        <v>6277805540</v>
      </c>
      <c r="FW688" s="605">
        <f>AR688*FV688</f>
        <v>169670420</v>
      </c>
      <c r="FX688" s="930">
        <f>'Detailed Budget'!$AC$278</f>
        <v>1114560000</v>
      </c>
      <c r="FY688" s="605">
        <f t="shared" ref="FY688:FY711" si="1840">AT688*FX688</f>
        <v>33120000</v>
      </c>
      <c r="FZ688" s="605">
        <f t="shared" si="1752"/>
        <v>202790420</v>
      </c>
      <c r="GB688" s="269">
        <f t="shared" si="1760"/>
        <v>50278577087.618782</v>
      </c>
      <c r="GC688" s="889">
        <f t="shared" si="1808"/>
        <v>31424110.679761738</v>
      </c>
      <c r="GD688" s="1078">
        <f t="shared" si="1761"/>
        <v>2.8212892831153382E-2</v>
      </c>
    </row>
    <row r="689" spans="1:186" hidden="1" outlineLevel="1">
      <c r="A689" s="211" t="s">
        <v>1473</v>
      </c>
      <c r="B689" s="212" t="s">
        <v>1474</v>
      </c>
      <c r="C689" s="213" t="s">
        <v>215</v>
      </c>
      <c r="D689" s="214"/>
      <c r="E689" s="213"/>
      <c r="F689" s="213"/>
      <c r="G689" s="213" t="s">
        <v>215</v>
      </c>
      <c r="H689" s="213" t="s">
        <v>215</v>
      </c>
      <c r="I689" s="214" t="s">
        <v>215</v>
      </c>
      <c r="J689" s="214"/>
      <c r="K689" s="213"/>
      <c r="L689" s="213"/>
      <c r="M689" s="214" t="s">
        <v>215</v>
      </c>
      <c r="N689" s="213"/>
      <c r="O689" s="214"/>
      <c r="P689" s="213"/>
      <c r="Q689" s="214"/>
      <c r="R689" s="214" t="s">
        <v>215</v>
      </c>
      <c r="S689" s="214"/>
      <c r="T689" s="214"/>
      <c r="U689" s="215">
        <f t="shared" ref="U689:U711" si="1841">COUNTA(C689:T689)</f>
        <v>6</v>
      </c>
      <c r="V689" s="845" t="s">
        <v>216</v>
      </c>
      <c r="W689" s="216">
        <v>282410</v>
      </c>
      <c r="X689" s="217">
        <v>3.41</v>
      </c>
      <c r="Y689" s="218">
        <f t="shared" si="1785"/>
        <v>1.0341</v>
      </c>
      <c r="Z689" s="196">
        <v>19</v>
      </c>
      <c r="AA689" s="218">
        <f t="shared" si="1786"/>
        <v>1.8909856119855175</v>
      </c>
      <c r="AB689" s="196">
        <f t="shared" si="1788"/>
        <v>534033.24668083002</v>
      </c>
      <c r="AC689">
        <v>11.9</v>
      </c>
      <c r="AD689" s="196">
        <f t="shared" si="1789"/>
        <v>63549.956355018774</v>
      </c>
      <c r="AE689" s="196">
        <f t="shared" si="1787"/>
        <v>60372.458537267834</v>
      </c>
      <c r="AF689" s="196">
        <f t="shared" ref="AF689:AF711" si="1842">AE689*BT689</f>
        <v>0</v>
      </c>
      <c r="AG689" s="606">
        <f t="shared" si="1811"/>
        <v>2.7913574427041541E-3</v>
      </c>
      <c r="AH689" s="196">
        <f>AB689*0.05</f>
        <v>26701.662334041503</v>
      </c>
      <c r="AI689" s="248">
        <f t="shared" si="1790"/>
        <v>2.0685373240480771E-3</v>
      </c>
      <c r="AJ689" s="196">
        <f t="shared" si="1791"/>
        <v>90251.618689060269</v>
      </c>
      <c r="AK689" s="196">
        <f t="shared" si="1698"/>
        <v>21361.329867233202</v>
      </c>
      <c r="AL689" s="196">
        <f t="shared" si="1699"/>
        <v>21361.329867233202</v>
      </c>
      <c r="AM689" s="196">
        <f t="shared" si="1792"/>
        <v>42722.659734466404</v>
      </c>
      <c r="AN689" s="627">
        <f t="shared" si="1793"/>
        <v>2.0685373240480771E-3</v>
      </c>
      <c r="AO689" s="196">
        <f t="shared" si="1794"/>
        <v>20293.263373871541</v>
      </c>
      <c r="AP689" s="589">
        <f t="shared" si="1812"/>
        <v>2.0685373240480771E-3</v>
      </c>
      <c r="AQ689" s="196"/>
      <c r="AR689" s="589"/>
      <c r="AS689">
        <v>1</v>
      </c>
      <c r="AT689" s="589">
        <f t="shared" si="1813"/>
        <v>1.2919896640826874E-3</v>
      </c>
      <c r="AU689" s="196">
        <v>13</v>
      </c>
      <c r="AV689" s="245">
        <f t="shared" si="1795"/>
        <v>1.4771048744460858E-3</v>
      </c>
      <c r="AX689" s="245"/>
      <c r="AY689" s="245"/>
      <c r="AZ689" s="196">
        <v>24</v>
      </c>
      <c r="BA689" s="589">
        <f t="shared" si="1754"/>
        <v>8.7941079476750578E-4</v>
      </c>
      <c r="BI689" s="196">
        <v>0</v>
      </c>
      <c r="BK689" s="246">
        <f t="shared" si="1755"/>
        <v>0</v>
      </c>
      <c r="BL689" s="246"/>
      <c r="BM689" s="246">
        <f t="shared" si="1756"/>
        <v>0</v>
      </c>
      <c r="BN689" s="196">
        <v>1</v>
      </c>
      <c r="BO689" s="196">
        <f t="shared" ref="BO689:BO711" si="1843">AJ689/1661388*478022</f>
        <v>25967.600144567055</v>
      </c>
      <c r="BP689" s="196">
        <f t="shared" si="1796"/>
        <v>25967.600144567055</v>
      </c>
      <c r="BQ689" s="248">
        <f t="shared" si="1757"/>
        <v>2.4291480689544293E-3</v>
      </c>
      <c r="BR689" s="248"/>
      <c r="BS689" s="248"/>
      <c r="BT689" s="276">
        <v>0</v>
      </c>
      <c r="BU689" s="196">
        <f t="shared" ref="BU689:BU711" si="1844">AD689*BT689*0.18*4</f>
        <v>0</v>
      </c>
      <c r="BV689" s="264">
        <f t="shared" si="1758"/>
        <v>0</v>
      </c>
      <c r="BW689" s="196">
        <f t="shared" ref="BW689:BW711" si="1845">AD689*BT689*0.77*4</f>
        <v>0</v>
      </c>
      <c r="BX689" s="247">
        <f t="shared" si="1759"/>
        <v>0</v>
      </c>
      <c r="BZ689" s="620">
        <v>1</v>
      </c>
      <c r="CA689" s="196">
        <f t="shared" ref="CA689:CA711" si="1846">AK689*0.85*0.75*12</f>
        <v>163414.17348433397</v>
      </c>
      <c r="CB689" s="196">
        <f t="shared" ref="CB689:CB711" si="1847">AL689*0.85*0.75*2*12</f>
        <v>326828.34696866793</v>
      </c>
      <c r="CC689" s="196">
        <f t="shared" si="1809"/>
        <v>490242.5204530019</v>
      </c>
      <c r="CD689" s="247">
        <f t="shared" si="1797"/>
        <v>2.0685373240480766E-3</v>
      </c>
      <c r="CE689" s="196">
        <f t="shared" ref="CE689:CE711" si="1848">AH689/491535*776822</f>
        <v>42199.311824498334</v>
      </c>
      <c r="CF689" s="247">
        <f t="shared" si="1798"/>
        <v>1.8222975221487611E-3</v>
      </c>
      <c r="CG689" s="196">
        <f t="shared" si="1820"/>
        <v>81173.053495486165</v>
      </c>
      <c r="CH689" s="589">
        <f t="shared" si="1814"/>
        <v>2.0685373240480771E-3</v>
      </c>
      <c r="CI689" s="196">
        <f t="shared" ref="CI689:CI711" si="1849">AD689/1169853*2431805</f>
        <v>132103.00919339134</v>
      </c>
      <c r="CJ689" s="248">
        <f t="shared" si="1815"/>
        <v>2.1717731358175812E-3</v>
      </c>
      <c r="CK689" s="196">
        <f t="shared" ref="CK689:CK711" si="1850">AD689/1169853*3934444</f>
        <v>213730.9084827457</v>
      </c>
      <c r="CL689" s="589">
        <f t="shared" si="1816"/>
        <v>3.0724257720117346E-3</v>
      </c>
      <c r="CM689" s="196">
        <f t="shared" ref="CM689:CM711" si="1851">AD689/1169853*270458</f>
        <v>14692.097294160607</v>
      </c>
      <c r="CN689" s="589">
        <f t="shared" si="1817"/>
        <v>2.1172981906473175E-3</v>
      </c>
      <c r="CO689" s="196">
        <f t="shared" ref="CO689:CO711" si="1852">AD689/1169853*21637</f>
        <v>1175.3873398226456</v>
      </c>
      <c r="CP689" s="589">
        <f t="shared" si="1818"/>
        <v>2.2165994799263869E-3</v>
      </c>
      <c r="CQ689" s="196">
        <f>'Detailed Budget'!$AC$12</f>
        <v>292876014141.44696</v>
      </c>
      <c r="CR689" s="269">
        <f t="shared" si="1701"/>
        <v>0</v>
      </c>
      <c r="CS689" s="269">
        <f>'Detailed Budget'!$AC$16</f>
        <v>10488008800.000002</v>
      </c>
      <c r="CT689" s="607">
        <f t="shared" si="1822"/>
        <v>0</v>
      </c>
      <c r="CU689" s="269">
        <f>'Detailed Budget'!$AC$24</f>
        <v>30624985696</v>
      </c>
      <c r="CV689" s="269">
        <f t="shared" si="1753"/>
        <v>0</v>
      </c>
      <c r="CW689" s="269"/>
      <c r="CX689" s="269">
        <f t="shared" si="1810"/>
        <v>0</v>
      </c>
      <c r="CY689" s="196"/>
      <c r="DA689" s="269">
        <f>'Detailed Budget'!$AC$100</f>
        <v>14925833098.967569</v>
      </c>
      <c r="DB689" s="269">
        <f t="shared" si="1823"/>
        <v>36257058.64989318</v>
      </c>
      <c r="DC689" s="269">
        <f t="shared" si="1799"/>
        <v>36257058.64989318</v>
      </c>
      <c r="DD689" s="207">
        <v>0</v>
      </c>
      <c r="DE689" s="606">
        <v>0</v>
      </c>
      <c r="DF689" s="269">
        <f>'Detailed Budget'!$AC$147</f>
        <v>5913600671000</v>
      </c>
      <c r="DG689" s="269">
        <f t="shared" si="1748"/>
        <v>0</v>
      </c>
      <c r="DH689" s="269">
        <f>'Detailed Budget'!$AC$153</f>
        <v>226428026880.00003</v>
      </c>
      <c r="DI689" s="269"/>
      <c r="DJ689" s="269">
        <f>'Detailed Budget'!$AC$156</f>
        <v>27713070000</v>
      </c>
      <c r="DK689" s="269"/>
      <c r="DL689" s="269"/>
      <c r="DM689" s="196">
        <f>'Detailed Budget'!$AC$178</f>
        <v>5622683761.6229038</v>
      </c>
      <c r="DN689" s="269">
        <f t="shared" ref="DN689:DN711" si="1853">BT689*BV689*DM689</f>
        <v>0</v>
      </c>
      <c r="DO689" s="196">
        <f>'Detailed Budget'!$AC$179</f>
        <v>26827890683.128094</v>
      </c>
      <c r="DP689" s="269">
        <f t="shared" ref="DP689:DP711" si="1854">BT689*BX689*DO689</f>
        <v>0</v>
      </c>
      <c r="DQ689" s="269">
        <f t="shared" si="1700"/>
        <v>0</v>
      </c>
      <c r="DR689" s="269">
        <f>'Detailed Budget'!$AC$181</f>
        <v>50888946855.375237</v>
      </c>
      <c r="DS689" s="269">
        <f t="shared" ref="DS689:DS711" si="1855">BT689*AG689*DR689</f>
        <v>0</v>
      </c>
      <c r="DT689" s="269">
        <f t="shared" ref="DT689:DT711" si="1856">DQ689+DS689</f>
        <v>0</v>
      </c>
      <c r="DU689" s="272">
        <f>'Detailed Budget'!$AC$192</f>
        <v>77498869683.252869</v>
      </c>
      <c r="DV689" s="269">
        <f t="shared" si="1824"/>
        <v>160309304.51134649</v>
      </c>
      <c r="DW689" s="140">
        <f>'Detailed Budget'!$AC$194</f>
        <v>2684962805.4134097</v>
      </c>
      <c r="DX689" s="269">
        <f t="shared" si="1825"/>
        <v>5553945.7766784728</v>
      </c>
      <c r="DY689" s="607">
        <f t="shared" si="1800"/>
        <v>165863250.28802496</v>
      </c>
      <c r="DZ689" s="196">
        <f>'Detailed Budget'!$AC$198</f>
        <v>18732540018.380611</v>
      </c>
      <c r="EA689" s="269">
        <f t="shared" si="1826"/>
        <v>34136261.259047493</v>
      </c>
      <c r="EB689" s="196">
        <f>'Detailed Budget'!$AC$200</f>
        <v>4683135004.5951529</v>
      </c>
      <c r="EC689" s="269">
        <f t="shared" si="1827"/>
        <v>8534065.3147618733</v>
      </c>
      <c r="ED689" s="269">
        <f t="shared" si="1801"/>
        <v>42670326.57380937</v>
      </c>
      <c r="EE689" s="196">
        <f>'Detailed Budget'!$AC$161</f>
        <v>251147290106.36197</v>
      </c>
      <c r="EF689" s="269">
        <f t="shared" si="1828"/>
        <v>519507543.41854006</v>
      </c>
      <c r="EG689" s="196">
        <f>'Detailed Budget'!$AC$163</f>
        <v>15696705631.647623</v>
      </c>
      <c r="EH689" s="269">
        <f t="shared" si="1829"/>
        <v>32469221.463658754</v>
      </c>
      <c r="EI689" s="269">
        <f t="shared" si="1802"/>
        <v>551976764.88219881</v>
      </c>
      <c r="EJ689" s="196">
        <f>'Detailed Budget'!$AC$204</f>
        <v>45012172507.531975</v>
      </c>
      <c r="EK689" s="269">
        <f t="shared" si="1830"/>
        <v>97756227.036644638</v>
      </c>
      <c r="EL689" s="201">
        <f>'Detailed Budget'!$AC$206</f>
        <v>11253043126.882994</v>
      </c>
      <c r="EM689" s="269">
        <f t="shared" si="1831"/>
        <v>24439056.759161159</v>
      </c>
      <c r="EN689" s="269">
        <f t="shared" si="1803"/>
        <v>122195283.7958058</v>
      </c>
      <c r="EO689" s="140">
        <f>'Detailed Budget'!$AC$209</f>
        <v>135789361677.54817</v>
      </c>
      <c r="EP689" s="269">
        <f t="shared" si="1832"/>
        <v>417202734.38312161</v>
      </c>
      <c r="EQ689" s="196">
        <f>'Detailed Budget'!$AC$211</f>
        <v>33947340419.387043</v>
      </c>
      <c r="ER689" s="269">
        <f t="shared" si="1833"/>
        <v>104300683.5957804</v>
      </c>
      <c r="ES689" s="269">
        <f t="shared" si="1804"/>
        <v>521503417.97890198</v>
      </c>
      <c r="ET689" s="196">
        <f>'Detailed Budget'!$AC$214</f>
        <v>22239745544.201103</v>
      </c>
      <c r="EU689" s="269">
        <f t="shared" si="1834"/>
        <v>47088173.001193739</v>
      </c>
      <c r="EV689" s="140">
        <f>'Detailed Budget'!$AC$217</f>
        <v>5559936386.0502758</v>
      </c>
      <c r="EW689" s="269">
        <f t="shared" si="1835"/>
        <v>11772043.250298435</v>
      </c>
      <c r="EX689" s="269">
        <f t="shared" si="1805"/>
        <v>58860216.251492172</v>
      </c>
      <c r="EY689" s="196">
        <f>'Detailed Budget'!$AC$219</f>
        <v>372777004.58170313</v>
      </c>
      <c r="EZ689" s="269">
        <f t="shared" si="1836"/>
        <v>826297.31448431953</v>
      </c>
      <c r="FA689" s="196">
        <f>'Detailed Budget'!$AC$222</f>
        <v>93194251.145425782</v>
      </c>
      <c r="FB689" s="269">
        <f t="shared" si="1837"/>
        <v>206574.32862107988</v>
      </c>
      <c r="FC689" s="269">
        <f t="shared" si="1806"/>
        <v>1032871.6431053994</v>
      </c>
      <c r="FD689" s="269"/>
      <c r="FE689" s="269">
        <f t="shared" si="1807"/>
        <v>703591789.66930532</v>
      </c>
      <c r="FF689" s="140"/>
      <c r="FG689" s="1087">
        <f t="shared" si="1749"/>
        <v>959745774.56073081</v>
      </c>
      <c r="FJ689" s="140">
        <f>'Detailed Budget'!$AC$235</f>
        <v>3623696172</v>
      </c>
      <c r="FK689" s="269">
        <f t="shared" si="1838"/>
        <v>4681778</v>
      </c>
      <c r="FL689" s="269">
        <f t="shared" si="1750"/>
        <v>4681778</v>
      </c>
      <c r="FO689" s="607"/>
      <c r="FP689" s="607"/>
      <c r="FQ689" s="607"/>
      <c r="FR689" s="269">
        <f>'Detailed Budget'!$AC$257</f>
        <v>13636439388</v>
      </c>
      <c r="FS689" s="269">
        <f t="shared" si="1839"/>
        <v>11992032</v>
      </c>
      <c r="FT689" s="269">
        <f t="shared" si="1751"/>
        <v>11992032</v>
      </c>
      <c r="FU689" s="269"/>
      <c r="FV689" s="269"/>
      <c r="FW689" s="269"/>
      <c r="FX689" s="140">
        <f>'Detailed Budget'!$AC$278</f>
        <v>1114560000</v>
      </c>
      <c r="FY689" s="269">
        <f t="shared" si="1840"/>
        <v>1440000</v>
      </c>
      <c r="FZ689" s="269">
        <f t="shared" si="1752"/>
        <v>1440000</v>
      </c>
      <c r="GB689" s="269">
        <f t="shared" si="1760"/>
        <v>2478218774.6239624</v>
      </c>
      <c r="GC689" s="887">
        <f t="shared" si="1808"/>
        <v>1548886.7341399766</v>
      </c>
      <c r="GD689" s="1078">
        <f t="shared" si="1761"/>
        <v>1.3906065913276513E-3</v>
      </c>
    </row>
    <row r="690" spans="1:186" hidden="1" outlineLevel="1">
      <c r="A690" s="211" t="s">
        <v>1475</v>
      </c>
      <c r="B690" s="212" t="s">
        <v>1476</v>
      </c>
      <c r="C690" s="213" t="s">
        <v>215</v>
      </c>
      <c r="D690" s="214"/>
      <c r="E690" s="213"/>
      <c r="F690" s="213"/>
      <c r="G690" s="213" t="s">
        <v>215</v>
      </c>
      <c r="H690" s="213" t="s">
        <v>215</v>
      </c>
      <c r="I690" s="214" t="s">
        <v>215</v>
      </c>
      <c r="J690" s="214"/>
      <c r="K690" s="213"/>
      <c r="L690" s="213"/>
      <c r="M690" s="214" t="s">
        <v>215</v>
      </c>
      <c r="N690" s="213"/>
      <c r="O690" s="214"/>
      <c r="P690" s="213"/>
      <c r="Q690" s="214"/>
      <c r="R690" s="214" t="s">
        <v>215</v>
      </c>
      <c r="S690" s="214"/>
      <c r="T690" s="214"/>
      <c r="U690" s="215">
        <f t="shared" si="1841"/>
        <v>6</v>
      </c>
      <c r="V690" s="845" t="s">
        <v>216</v>
      </c>
      <c r="W690" s="216">
        <v>166324</v>
      </c>
      <c r="X690" s="217">
        <v>3.41</v>
      </c>
      <c r="Y690" s="218">
        <f t="shared" si="1785"/>
        <v>1.0341</v>
      </c>
      <c r="Z690" s="196">
        <v>19</v>
      </c>
      <c r="AA690" s="218">
        <f t="shared" si="1786"/>
        <v>1.8909856119855175</v>
      </c>
      <c r="AB690" s="196">
        <f t="shared" si="1788"/>
        <v>314516.29092787922</v>
      </c>
      <c r="AC690">
        <v>11.9</v>
      </c>
      <c r="AD690" s="196">
        <f t="shared" si="1789"/>
        <v>37427.438620417634</v>
      </c>
      <c r="AE690" s="196">
        <f t="shared" si="1787"/>
        <v>35556.06668939675</v>
      </c>
      <c r="AF690" s="196">
        <f t="shared" si="1842"/>
        <v>0</v>
      </c>
      <c r="AG690" s="606">
        <f t="shared" si="1811"/>
        <v>1.6439564296601599E-3</v>
      </c>
      <c r="AH690" s="196">
        <f t="shared" ref="AH690:AH711" si="1857">AB690*0.05</f>
        <v>15725.814546393962</v>
      </c>
      <c r="AI690" s="248">
        <f t="shared" si="1790"/>
        <v>1.2182550259727785E-3</v>
      </c>
      <c r="AJ690" s="196">
        <f t="shared" si="1791"/>
        <v>53153.253166811599</v>
      </c>
      <c r="AK690" s="196">
        <f t="shared" ref="AK690:AK751" si="1858">AB690*0.04</f>
        <v>12580.651637115168</v>
      </c>
      <c r="AL690" s="196">
        <f t="shared" ref="AL690:AL751" si="1859">AB690*0.04</f>
        <v>12580.651637115168</v>
      </c>
      <c r="AM690" s="196">
        <f t="shared" si="1792"/>
        <v>25161.303274230337</v>
      </c>
      <c r="AN690" s="627">
        <f t="shared" si="1793"/>
        <v>1.2182550259727783E-3</v>
      </c>
      <c r="AO690" s="196">
        <f t="shared" si="1794"/>
        <v>11951.619055259411</v>
      </c>
      <c r="AP690" s="589">
        <f t="shared" si="1812"/>
        <v>1.2182550259727785E-3</v>
      </c>
      <c r="AQ690" s="196"/>
      <c r="AR690" s="589"/>
      <c r="AS690">
        <v>1</v>
      </c>
      <c r="AT690" s="589">
        <f t="shared" si="1813"/>
        <v>1.2919896640826874E-3</v>
      </c>
      <c r="AU690" s="196">
        <v>13</v>
      </c>
      <c r="AV690" s="245">
        <f t="shared" si="1795"/>
        <v>1.4771048744460858E-3</v>
      </c>
      <c r="AX690" s="245"/>
      <c r="AY690" s="245"/>
      <c r="AZ690" s="196">
        <v>18</v>
      </c>
      <c r="BA690" s="589">
        <f t="shared" si="1754"/>
        <v>6.5955809607562931E-4</v>
      </c>
      <c r="BI690" s="196">
        <v>0</v>
      </c>
      <c r="BK690" s="246">
        <f t="shared" si="1755"/>
        <v>0</v>
      </c>
      <c r="BL690" s="246"/>
      <c r="BM690" s="246">
        <f t="shared" si="1756"/>
        <v>0</v>
      </c>
      <c r="BN690" s="196">
        <v>1</v>
      </c>
      <c r="BO690" s="196">
        <f t="shared" si="1843"/>
        <v>15293.492179614645</v>
      </c>
      <c r="BP690" s="196">
        <f t="shared" si="1796"/>
        <v>15293.492179614645</v>
      </c>
      <c r="BQ690" s="248">
        <f t="shared" si="1757"/>
        <v>1.4306349754639586E-3</v>
      </c>
      <c r="BR690" s="248"/>
      <c r="BS690" s="248"/>
      <c r="BT690" s="276">
        <v>0</v>
      </c>
      <c r="BU690" s="196">
        <f t="shared" si="1844"/>
        <v>0</v>
      </c>
      <c r="BV690" s="264">
        <f t="shared" si="1758"/>
        <v>0</v>
      </c>
      <c r="BW690" s="196">
        <f t="shared" si="1845"/>
        <v>0</v>
      </c>
      <c r="BX690" s="247">
        <f t="shared" si="1759"/>
        <v>0</v>
      </c>
      <c r="BY690" s="196">
        <f t="shared" ref="BY690:BY711" si="1860">BU690+BW690</f>
        <v>0</v>
      </c>
      <c r="BZ690" s="620">
        <v>1</v>
      </c>
      <c r="CA690" s="196">
        <f t="shared" si="1846"/>
        <v>96241.985023931033</v>
      </c>
      <c r="CB690" s="196">
        <f t="shared" si="1847"/>
        <v>192483.97004786207</v>
      </c>
      <c r="CC690" s="196">
        <f t="shared" si="1809"/>
        <v>288725.95507179311</v>
      </c>
      <c r="CD690" s="247">
        <f t="shared" si="1797"/>
        <v>1.2182550259727783E-3</v>
      </c>
      <c r="CE690" s="196">
        <f t="shared" si="1848"/>
        <v>24853.080060542688</v>
      </c>
      <c r="CF690" s="247">
        <f t="shared" si="1798"/>
        <v>1.073233288742858E-3</v>
      </c>
      <c r="CG690" s="196">
        <f t="shared" si="1820"/>
        <v>47806.476221037643</v>
      </c>
      <c r="CH690" s="589">
        <f t="shared" si="1814"/>
        <v>1.2182550259727785E-3</v>
      </c>
      <c r="CI690" s="196">
        <f t="shared" si="1849"/>
        <v>77801.426653027956</v>
      </c>
      <c r="CJ690" s="248">
        <f t="shared" si="1815"/>
        <v>1.2790552566896479E-3</v>
      </c>
      <c r="CK690" s="196">
        <f t="shared" si="1850"/>
        <v>125875.78209866578</v>
      </c>
      <c r="CL690" s="589">
        <f t="shared" si="1816"/>
        <v>1.8094902592120669E-3</v>
      </c>
      <c r="CM690" s="196">
        <f t="shared" si="1851"/>
        <v>8652.8394545305382</v>
      </c>
      <c r="CN690" s="589">
        <f t="shared" si="1817"/>
        <v>1.2469725018987448E-3</v>
      </c>
      <c r="CO690" s="196">
        <f t="shared" si="1852"/>
        <v>692.23867394448393</v>
      </c>
      <c r="CP690" s="589">
        <f t="shared" si="1818"/>
        <v>1.3054555146746801E-3</v>
      </c>
      <c r="CQ690" s="196">
        <f>'Detailed Budget'!$AC$12</f>
        <v>292876014141.44696</v>
      </c>
      <c r="CR690" s="269">
        <f t="shared" si="1701"/>
        <v>0</v>
      </c>
      <c r="CS690" s="269">
        <f>'Detailed Budget'!$AC$16</f>
        <v>10488008800.000002</v>
      </c>
      <c r="CT690" s="607">
        <f t="shared" si="1822"/>
        <v>0</v>
      </c>
      <c r="CU690" s="269">
        <f>'Detailed Budget'!$AC$24</f>
        <v>30624985696</v>
      </c>
      <c r="CV690" s="269">
        <f t="shared" si="1753"/>
        <v>0</v>
      </c>
      <c r="CW690" s="269"/>
      <c r="CX690" s="269">
        <f t="shared" si="1810"/>
        <v>0</v>
      </c>
      <c r="CY690" s="196"/>
      <c r="DA690" s="269">
        <f>'Detailed Budget'!$AC$100</f>
        <v>14925833098.967569</v>
      </c>
      <c r="DB690" s="269">
        <f t="shared" si="1823"/>
        <v>21353418.869320609</v>
      </c>
      <c r="DC690" s="269">
        <f t="shared" si="1799"/>
        <v>21353418.869320609</v>
      </c>
      <c r="DD690" s="207">
        <v>0</v>
      </c>
      <c r="DE690" s="606">
        <v>0</v>
      </c>
      <c r="DF690" s="269">
        <f>'Detailed Budget'!$AC$147</f>
        <v>5913600671000</v>
      </c>
      <c r="DG690" s="269">
        <f t="shared" si="1748"/>
        <v>0</v>
      </c>
      <c r="DH690" s="269">
        <f>'Detailed Budget'!$AC$153</f>
        <v>226428026880.00003</v>
      </c>
      <c r="DI690" s="269"/>
      <c r="DJ690" s="269">
        <f>'Detailed Budget'!$AC$156</f>
        <v>27713070000</v>
      </c>
      <c r="DK690" s="269"/>
      <c r="DL690" s="269"/>
      <c r="DM690" s="196">
        <f>'Detailed Budget'!$AC$178</f>
        <v>5622683761.6229038</v>
      </c>
      <c r="DN690" s="269">
        <f t="shared" si="1853"/>
        <v>0</v>
      </c>
      <c r="DO690" s="196">
        <f>'Detailed Budget'!$AC$179</f>
        <v>26827890683.128094</v>
      </c>
      <c r="DP690" s="269">
        <f t="shared" si="1854"/>
        <v>0</v>
      </c>
      <c r="DQ690" s="269">
        <f t="shared" si="1700"/>
        <v>0</v>
      </c>
      <c r="DR690" s="269">
        <f>'Detailed Budget'!$AC$181</f>
        <v>50888946855.375237</v>
      </c>
      <c r="DS690" s="269">
        <f t="shared" si="1855"/>
        <v>0</v>
      </c>
      <c r="DT690" s="269">
        <f t="shared" si="1856"/>
        <v>0</v>
      </c>
      <c r="DU690" s="272">
        <f>'Detailed Budget'!$AC$192</f>
        <v>77498869683.252869</v>
      </c>
      <c r="DV690" s="269">
        <f t="shared" si="1824"/>
        <v>94413387.498832181</v>
      </c>
      <c r="DW690" s="140">
        <f>'Detailed Budget'!$AC$194</f>
        <v>2684962805.4134097</v>
      </c>
      <c r="DX690" s="269">
        <f t="shared" si="1825"/>
        <v>3270969.4322448573</v>
      </c>
      <c r="DY690" s="607">
        <f t="shared" si="1800"/>
        <v>97684356.931077033</v>
      </c>
      <c r="DZ690" s="196">
        <f>'Detailed Budget'!$AC$198</f>
        <v>18732540018.380611</v>
      </c>
      <c r="EA690" s="269">
        <f t="shared" si="1826"/>
        <v>20104385.530433822</v>
      </c>
      <c r="EB690" s="196">
        <f>'Detailed Budget'!$AC$200</f>
        <v>4683135004.5951529</v>
      </c>
      <c r="EC690" s="269">
        <f t="shared" si="1827"/>
        <v>5026096.3826084556</v>
      </c>
      <c r="ED690" s="269">
        <f t="shared" si="1801"/>
        <v>25130481.913042277</v>
      </c>
      <c r="EE690" s="196">
        <f>'Detailed Budget'!$AC$161</f>
        <v>251147290106.36197</v>
      </c>
      <c r="EF690" s="269">
        <f t="shared" si="1828"/>
        <v>305961448.43151891</v>
      </c>
      <c r="EG690" s="196">
        <f>'Detailed Budget'!$AC$163</f>
        <v>15696705631.647623</v>
      </c>
      <c r="EH690" s="269">
        <f t="shared" si="1829"/>
        <v>19122590.526969932</v>
      </c>
      <c r="EI690" s="269">
        <f t="shared" si="1802"/>
        <v>325084038.95848882</v>
      </c>
      <c r="EJ690" s="196">
        <f>'Detailed Budget'!$AC$204</f>
        <v>45012172507.531975</v>
      </c>
      <c r="EK690" s="269">
        <f t="shared" si="1830"/>
        <v>57573055.860780023</v>
      </c>
      <c r="EL690" s="201">
        <f>'Detailed Budget'!$AC$206</f>
        <v>11253043126.882994</v>
      </c>
      <c r="EM690" s="269">
        <f t="shared" si="1831"/>
        <v>14393263.965195006</v>
      </c>
      <c r="EN690" s="269">
        <f t="shared" si="1803"/>
        <v>71966319.825975031</v>
      </c>
      <c r="EO690" s="140">
        <f>'Detailed Budget'!$AC$209</f>
        <v>135789361677.54817</v>
      </c>
      <c r="EP690" s="269">
        <f t="shared" si="1832"/>
        <v>245709527.26014775</v>
      </c>
      <c r="EQ690" s="196">
        <f>'Detailed Budget'!$AC$211</f>
        <v>33947340419.387043</v>
      </c>
      <c r="ER690" s="269">
        <f t="shared" si="1833"/>
        <v>61427381.815036938</v>
      </c>
      <c r="ES690" s="269">
        <f t="shared" si="1804"/>
        <v>307136909.0751847</v>
      </c>
      <c r="ET690" s="196">
        <f>'Detailed Budget'!$AC$214</f>
        <v>22239745544.201103</v>
      </c>
      <c r="EU690" s="269">
        <f t="shared" si="1834"/>
        <v>27732351.142843913</v>
      </c>
      <c r="EV690" s="140">
        <f>'Detailed Budget'!$AC$217</f>
        <v>5559936386.0502758</v>
      </c>
      <c r="EW690" s="269">
        <f t="shared" si="1835"/>
        <v>6933087.7857109783</v>
      </c>
      <c r="EX690" s="269">
        <f t="shared" si="1805"/>
        <v>34665438.928554893</v>
      </c>
      <c r="EY690" s="196">
        <f>'Detailed Budget'!$AC$219</f>
        <v>372777004.58170313</v>
      </c>
      <c r="EZ690" s="269">
        <f t="shared" si="1836"/>
        <v>486643.79637509282</v>
      </c>
      <c r="FA690" s="196">
        <f>'Detailed Budget'!$AC$222</f>
        <v>93194251.145425782</v>
      </c>
      <c r="FB690" s="269">
        <f t="shared" si="1837"/>
        <v>121660.9490937732</v>
      </c>
      <c r="FC690" s="269">
        <f t="shared" si="1806"/>
        <v>608304.74546886608</v>
      </c>
      <c r="FD690" s="269"/>
      <c r="FE690" s="269">
        <f t="shared" si="1807"/>
        <v>414376972.57518351</v>
      </c>
      <c r="FF690" s="140"/>
      <c r="FG690" s="1087">
        <f t="shared" si="1749"/>
        <v>565237619.80113685</v>
      </c>
      <c r="FJ690" s="140">
        <f>'Detailed Budget'!$AC$235</f>
        <v>3623696172</v>
      </c>
      <c r="FK690" s="269">
        <f t="shared" si="1838"/>
        <v>4681778</v>
      </c>
      <c r="FL690" s="269">
        <f t="shared" si="1750"/>
        <v>4681778</v>
      </c>
      <c r="FO690" s="607"/>
      <c r="FP690" s="607"/>
      <c r="FQ690" s="607"/>
      <c r="FR690" s="269">
        <f>'Detailed Budget'!$AC$257</f>
        <v>13636439388</v>
      </c>
      <c r="FS690" s="269">
        <f t="shared" si="1839"/>
        <v>8994024</v>
      </c>
      <c r="FT690" s="269">
        <f t="shared" si="1751"/>
        <v>8994024</v>
      </c>
      <c r="FU690" s="269"/>
      <c r="FV690" s="269"/>
      <c r="FW690" s="269"/>
      <c r="FX690" s="140">
        <f>'Detailed Budget'!$AC$278</f>
        <v>1114560000</v>
      </c>
      <c r="FY690" s="269">
        <f t="shared" si="1840"/>
        <v>1440000</v>
      </c>
      <c r="FZ690" s="269">
        <f t="shared" si="1752"/>
        <v>1440000</v>
      </c>
      <c r="GB690" s="269">
        <f t="shared" si="1760"/>
        <v>1463982691.0482492</v>
      </c>
      <c r="GC690" s="887">
        <f t="shared" si="1808"/>
        <v>914989.18190515577</v>
      </c>
      <c r="GD690" s="1078">
        <f t="shared" si="1761"/>
        <v>8.2148678744885944E-4</v>
      </c>
    </row>
    <row r="691" spans="1:186" hidden="1" outlineLevel="1">
      <c r="A691" s="211" t="s">
        <v>1477</v>
      </c>
      <c r="B691" s="212" t="s">
        <v>1478</v>
      </c>
      <c r="C691" s="213" t="s">
        <v>215</v>
      </c>
      <c r="D691" s="214"/>
      <c r="E691" s="213"/>
      <c r="F691" s="213"/>
      <c r="G691" s="213" t="s">
        <v>215</v>
      </c>
      <c r="H691" s="213" t="s">
        <v>215</v>
      </c>
      <c r="I691" s="214" t="s">
        <v>215</v>
      </c>
      <c r="J691" s="214"/>
      <c r="K691" s="213"/>
      <c r="L691" s="213"/>
      <c r="M691" s="214" t="s">
        <v>215</v>
      </c>
      <c r="N691" s="213"/>
      <c r="O691" s="214"/>
      <c r="P691" s="213"/>
      <c r="Q691" s="214"/>
      <c r="R691" s="214" t="s">
        <v>215</v>
      </c>
      <c r="S691" s="214"/>
      <c r="T691" s="214"/>
      <c r="U691" s="215">
        <f t="shared" si="1841"/>
        <v>6</v>
      </c>
      <c r="V691" s="845" t="s">
        <v>216</v>
      </c>
      <c r="W691" s="216">
        <v>249232</v>
      </c>
      <c r="X691" s="217">
        <v>3.41</v>
      </c>
      <c r="Y691" s="218">
        <f t="shared" si="1785"/>
        <v>1.0341</v>
      </c>
      <c r="Z691" s="196">
        <v>19</v>
      </c>
      <c r="AA691" s="218">
        <f t="shared" si="1786"/>
        <v>1.8909856119855175</v>
      </c>
      <c r="AB691" s="196">
        <f t="shared" si="1788"/>
        <v>471294.1260463745</v>
      </c>
      <c r="AC691">
        <v>11.9</v>
      </c>
      <c r="AD691" s="196">
        <f t="shared" si="1789"/>
        <v>56084.000999518568</v>
      </c>
      <c r="AE691" s="196">
        <f t="shared" si="1787"/>
        <v>53279.800949542638</v>
      </c>
      <c r="AF691" s="196">
        <f t="shared" si="1842"/>
        <v>0</v>
      </c>
      <c r="AG691" s="606">
        <f t="shared" si="1811"/>
        <v>2.4634240931979807E-3</v>
      </c>
      <c r="AH691" s="196">
        <f t="shared" si="1857"/>
        <v>23564.706302318726</v>
      </c>
      <c r="AI691" s="248">
        <f t="shared" si="1790"/>
        <v>1.8255220932231518E-3</v>
      </c>
      <c r="AJ691" s="196">
        <f t="shared" si="1791"/>
        <v>79648.70730183729</v>
      </c>
      <c r="AK691" s="196">
        <f t="shared" si="1858"/>
        <v>18851.765041854982</v>
      </c>
      <c r="AL691" s="196">
        <f t="shared" si="1859"/>
        <v>18851.765041854982</v>
      </c>
      <c r="AM691" s="196">
        <f t="shared" si="1792"/>
        <v>37703.530083709964</v>
      </c>
      <c r="AN691" s="627">
        <f t="shared" si="1793"/>
        <v>1.8255220932231521E-3</v>
      </c>
      <c r="AO691" s="196">
        <f t="shared" si="1794"/>
        <v>17909.17678976223</v>
      </c>
      <c r="AP691" s="589">
        <f t="shared" si="1812"/>
        <v>1.8255220932231518E-3</v>
      </c>
      <c r="AQ691" s="196"/>
      <c r="AR691" s="589"/>
      <c r="AS691">
        <v>1</v>
      </c>
      <c r="AT691" s="589">
        <f t="shared" si="1813"/>
        <v>1.2919896640826874E-3</v>
      </c>
      <c r="AU691" s="196">
        <v>12</v>
      </c>
      <c r="AV691" s="245">
        <f t="shared" si="1795"/>
        <v>1.3634814225656176E-3</v>
      </c>
      <c r="AX691" s="245"/>
      <c r="AY691" s="245"/>
      <c r="AZ691" s="196">
        <v>34</v>
      </c>
      <c r="BA691" s="589">
        <f t="shared" si="1754"/>
        <v>1.2458319592539666E-3</v>
      </c>
      <c r="BI691" s="196">
        <v>0</v>
      </c>
      <c r="BK691" s="246">
        <f t="shared" si="1755"/>
        <v>0</v>
      </c>
      <c r="BL691" s="246"/>
      <c r="BM691" s="246">
        <f t="shared" si="1756"/>
        <v>0</v>
      </c>
      <c r="BN691" s="196">
        <v>1</v>
      </c>
      <c r="BO691" s="196">
        <f t="shared" si="1843"/>
        <v>22916.882968842237</v>
      </c>
      <c r="BP691" s="196">
        <f t="shared" si="1796"/>
        <v>22916.882968842237</v>
      </c>
      <c r="BQ691" s="248">
        <f t="shared" si="1757"/>
        <v>2.1437676835864535E-3</v>
      </c>
      <c r="BR691" s="248"/>
      <c r="BS691" s="248"/>
      <c r="BT691" s="276">
        <v>0</v>
      </c>
      <c r="BU691" s="196">
        <f t="shared" si="1844"/>
        <v>0</v>
      </c>
      <c r="BV691" s="264">
        <f t="shared" si="1758"/>
        <v>0</v>
      </c>
      <c r="BW691" s="196">
        <f t="shared" si="1845"/>
        <v>0</v>
      </c>
      <c r="BX691" s="247">
        <f t="shared" si="1759"/>
        <v>0</v>
      </c>
      <c r="BY691" s="196">
        <f t="shared" si="1860"/>
        <v>0</v>
      </c>
      <c r="BZ691" s="620">
        <v>1</v>
      </c>
      <c r="CA691" s="196">
        <f t="shared" si="1846"/>
        <v>144216.00257019058</v>
      </c>
      <c r="CB691" s="196">
        <f t="shared" si="1847"/>
        <v>288432.00514038117</v>
      </c>
      <c r="CC691" s="196">
        <f t="shared" si="1809"/>
        <v>432648.00771057175</v>
      </c>
      <c r="CD691" s="247">
        <f t="shared" si="1797"/>
        <v>1.8255220932231516E-3</v>
      </c>
      <c r="CE691" s="196">
        <f t="shared" si="1848"/>
        <v>37241.665963115214</v>
      </c>
      <c r="CF691" s="247">
        <f t="shared" si="1798"/>
        <v>1.6082109558449771E-3</v>
      </c>
      <c r="CG691" s="196">
        <f t="shared" si="1820"/>
        <v>71636.707159048921</v>
      </c>
      <c r="CH691" s="589">
        <f t="shared" si="1814"/>
        <v>1.8255220932231518E-3</v>
      </c>
      <c r="CI691" s="196">
        <f t="shared" si="1849"/>
        <v>116583.32632444781</v>
      </c>
      <c r="CJ691" s="248">
        <f t="shared" si="1815"/>
        <v>1.9166295888463135E-3</v>
      </c>
      <c r="CK691" s="196">
        <f t="shared" si="1850"/>
        <v>188621.44323137164</v>
      </c>
      <c r="CL691" s="589">
        <f t="shared" si="1816"/>
        <v>2.7114720442265802E-3</v>
      </c>
      <c r="CM691" s="196">
        <f t="shared" si="1851"/>
        <v>12966.045086286731</v>
      </c>
      <c r="CN691" s="589">
        <f t="shared" si="1817"/>
        <v>1.868554451511675E-3</v>
      </c>
      <c r="CO691" s="196">
        <f t="shared" si="1852"/>
        <v>1037.300865687042</v>
      </c>
      <c r="CP691" s="589">
        <f t="shared" si="1818"/>
        <v>1.9561896589391776E-3</v>
      </c>
      <c r="CQ691" s="196">
        <f>'Detailed Budget'!$AC$12</f>
        <v>292876014141.44696</v>
      </c>
      <c r="CR691" s="269">
        <f t="shared" si="1701"/>
        <v>0</v>
      </c>
      <c r="CS691" s="269">
        <f>'Detailed Budget'!$AC$16</f>
        <v>10488008800.000002</v>
      </c>
      <c r="CT691" s="607">
        <f t="shared" si="1822"/>
        <v>0</v>
      </c>
      <c r="CU691" s="269">
        <f>'Detailed Budget'!$AC$24</f>
        <v>30624985696</v>
      </c>
      <c r="CV691" s="269">
        <f t="shared" si="1753"/>
        <v>0</v>
      </c>
      <c r="CW691" s="269"/>
      <c r="CX691" s="269">
        <f t="shared" si="1810"/>
        <v>0</v>
      </c>
      <c r="CY691" s="196"/>
      <c r="DA691" s="269">
        <f>'Detailed Budget'!$AC$100</f>
        <v>14925833098.967569</v>
      </c>
      <c r="DB691" s="269">
        <f t="shared" si="1823"/>
        <v>31997518.648171723</v>
      </c>
      <c r="DC691" s="269">
        <f t="shared" si="1799"/>
        <v>31997518.648171723</v>
      </c>
      <c r="DD691" s="207">
        <v>0</v>
      </c>
      <c r="DE691" s="606">
        <v>0</v>
      </c>
      <c r="DF691" s="269">
        <f>'Detailed Budget'!$AC$147</f>
        <v>5913600671000</v>
      </c>
      <c r="DG691" s="269">
        <f t="shared" si="1748"/>
        <v>0</v>
      </c>
      <c r="DH691" s="269">
        <f>'Detailed Budget'!$AC$153</f>
        <v>226428026880.00003</v>
      </c>
      <c r="DI691" s="269"/>
      <c r="DJ691" s="269">
        <f>'Detailed Budget'!$AC$156</f>
        <v>27713070000</v>
      </c>
      <c r="DK691" s="269"/>
      <c r="DL691" s="269"/>
      <c r="DM691" s="196">
        <f>'Detailed Budget'!$AC$178</f>
        <v>5622683761.6229038</v>
      </c>
      <c r="DN691" s="269">
        <f t="shared" si="1853"/>
        <v>0</v>
      </c>
      <c r="DO691" s="196">
        <f>'Detailed Budget'!$AC$179</f>
        <v>26827890683.128094</v>
      </c>
      <c r="DP691" s="269">
        <f t="shared" si="1854"/>
        <v>0</v>
      </c>
      <c r="DQ691" s="269">
        <f t="shared" si="1700"/>
        <v>0</v>
      </c>
      <c r="DR691" s="269">
        <f>'Detailed Budget'!$AC$181</f>
        <v>50888946855.375237</v>
      </c>
      <c r="DS691" s="269">
        <f t="shared" si="1855"/>
        <v>0</v>
      </c>
      <c r="DT691" s="269">
        <f t="shared" si="1856"/>
        <v>0</v>
      </c>
      <c r="DU691" s="272">
        <f>'Detailed Budget'!$AC$192</f>
        <v>77498869683.252869</v>
      </c>
      <c r="DV691" s="269">
        <f t="shared" si="1824"/>
        <v>141475898.80660003</v>
      </c>
      <c r="DW691" s="140">
        <f>'Detailed Budget'!$AC$194</f>
        <v>2684962805.4134097</v>
      </c>
      <c r="DX691" s="269">
        <f t="shared" si="1825"/>
        <v>4901458.9207645943</v>
      </c>
      <c r="DY691" s="607">
        <f t="shared" si="1800"/>
        <v>146377357.72736463</v>
      </c>
      <c r="DZ691" s="196">
        <f>'Detailed Budget'!$AC$198</f>
        <v>18732540018.380611</v>
      </c>
      <c r="EA691" s="269">
        <f t="shared" si="1826"/>
        <v>30125876.088364169</v>
      </c>
      <c r="EB691" s="196">
        <f>'Detailed Budget'!$AC$200</f>
        <v>4683135004.5951529</v>
      </c>
      <c r="EC691" s="269">
        <f t="shared" si="1827"/>
        <v>7531469.0220910423</v>
      </c>
      <c r="ED691" s="269">
        <f t="shared" si="1801"/>
        <v>37657345.110455215</v>
      </c>
      <c r="EE691" s="196">
        <f>'Detailed Budget'!$AC$161</f>
        <v>251147290106.36197</v>
      </c>
      <c r="EF691" s="269">
        <f t="shared" si="1828"/>
        <v>458474926.74228805</v>
      </c>
      <c r="EG691" s="196">
        <f>'Detailed Budget'!$AC$163</f>
        <v>15696705631.647623</v>
      </c>
      <c r="EH691" s="269">
        <f t="shared" si="1829"/>
        <v>28654682.921393003</v>
      </c>
      <c r="EI691" s="269">
        <f t="shared" si="1802"/>
        <v>487129609.66368103</v>
      </c>
      <c r="EJ691" s="196">
        <f>'Detailed Budget'!$AC$204</f>
        <v>45012172507.531975</v>
      </c>
      <c r="EK691" s="269">
        <f t="shared" si="1830"/>
        <v>86271661.686190352</v>
      </c>
      <c r="EL691" s="201">
        <f>'Detailed Budget'!$AC$206</f>
        <v>11253043126.882994</v>
      </c>
      <c r="EM691" s="269">
        <f t="shared" si="1831"/>
        <v>21567915.421547588</v>
      </c>
      <c r="EN691" s="269">
        <f t="shared" si="1803"/>
        <v>107839577.10773794</v>
      </c>
      <c r="EO691" s="140">
        <f>'Detailed Budget'!$AC$209</f>
        <v>135789361677.54817</v>
      </c>
      <c r="EP691" s="269">
        <f t="shared" si="1832"/>
        <v>368189058.092044</v>
      </c>
      <c r="EQ691" s="196">
        <f>'Detailed Budget'!$AC$211</f>
        <v>33947340419.387043</v>
      </c>
      <c r="ER691" s="269">
        <f t="shared" si="1833"/>
        <v>92047264.523010999</v>
      </c>
      <c r="ES691" s="269">
        <f t="shared" si="1804"/>
        <v>460236322.61505497</v>
      </c>
      <c r="ET691" s="196">
        <f>'Detailed Budget'!$AC$214</f>
        <v>22239745544.201103</v>
      </c>
      <c r="EU691" s="269">
        <f t="shared" si="1834"/>
        <v>41556175.537103906</v>
      </c>
      <c r="EV691" s="140">
        <f>'Detailed Budget'!$AC$217</f>
        <v>5559936386.0502758</v>
      </c>
      <c r="EW691" s="269">
        <f t="shared" si="1835"/>
        <v>10389043.884275977</v>
      </c>
      <c r="EX691" s="269">
        <f t="shared" si="1805"/>
        <v>51945219.421379879</v>
      </c>
      <c r="EY691" s="196">
        <f>'Detailed Budget'!$AC$219</f>
        <v>372777004.58170313</v>
      </c>
      <c r="EZ691" s="269">
        <f t="shared" si="1836"/>
        <v>729222.52145305008</v>
      </c>
      <c r="FA691" s="196">
        <f>'Detailed Budget'!$AC$222</f>
        <v>93194251.145425782</v>
      </c>
      <c r="FB691" s="269">
        <f t="shared" si="1837"/>
        <v>182305.63036326252</v>
      </c>
      <c r="FC691" s="269">
        <f t="shared" si="1806"/>
        <v>911528.15181631257</v>
      </c>
      <c r="FD691" s="269"/>
      <c r="FE691" s="269">
        <f t="shared" si="1807"/>
        <v>620932647.29598916</v>
      </c>
      <c r="FF691" s="140"/>
      <c r="FG691" s="1087">
        <f t="shared" si="1749"/>
        <v>846993232.83637285</v>
      </c>
      <c r="FJ691" s="140">
        <f>'Detailed Budget'!$AC$235</f>
        <v>3623696172</v>
      </c>
      <c r="FK691" s="269">
        <f t="shared" si="1838"/>
        <v>4681778</v>
      </c>
      <c r="FL691" s="269">
        <f t="shared" si="1750"/>
        <v>4681778</v>
      </c>
      <c r="FO691" s="607"/>
      <c r="FP691" s="607"/>
      <c r="FQ691" s="607"/>
      <c r="FR691" s="269">
        <f>'Detailed Budget'!$AC$257</f>
        <v>13636439388</v>
      </c>
      <c r="FS691" s="269">
        <f t="shared" si="1839"/>
        <v>16988712</v>
      </c>
      <c r="FT691" s="269">
        <f t="shared" si="1751"/>
        <v>16988712</v>
      </c>
      <c r="FU691" s="269"/>
      <c r="FV691" s="269"/>
      <c r="FW691" s="269"/>
      <c r="FX691" s="140">
        <f>'Detailed Budget'!$AC$278</f>
        <v>1114560000</v>
      </c>
      <c r="FY691" s="269">
        <f t="shared" si="1840"/>
        <v>1440000</v>
      </c>
      <c r="FZ691" s="269">
        <f t="shared" si="1752"/>
        <v>1440000</v>
      </c>
      <c r="GB691" s="269">
        <f t="shared" si="1760"/>
        <v>2194198201.2820349</v>
      </c>
      <c r="GC691" s="887">
        <f t="shared" si="1808"/>
        <v>1371373.8758012718</v>
      </c>
      <c r="GD691" s="1078">
        <f t="shared" si="1761"/>
        <v>1.2312337040724197E-3</v>
      </c>
    </row>
    <row r="692" spans="1:186" hidden="1" outlineLevel="1">
      <c r="A692" s="211" t="s">
        <v>1479</v>
      </c>
      <c r="B692" s="212" t="s">
        <v>1480</v>
      </c>
      <c r="C692" s="213" t="s">
        <v>215</v>
      </c>
      <c r="D692" s="214"/>
      <c r="E692" s="213"/>
      <c r="F692" s="213"/>
      <c r="G692" s="213" t="s">
        <v>215</v>
      </c>
      <c r="H692" s="213" t="s">
        <v>215</v>
      </c>
      <c r="I692" s="214" t="s">
        <v>215</v>
      </c>
      <c r="J692" s="214"/>
      <c r="K692" s="213"/>
      <c r="L692" s="213"/>
      <c r="M692" s="214" t="s">
        <v>215</v>
      </c>
      <c r="N692" s="213"/>
      <c r="O692" s="214"/>
      <c r="P692" s="213"/>
      <c r="Q692" s="214"/>
      <c r="R692" s="214" t="s">
        <v>215</v>
      </c>
      <c r="S692" s="214"/>
      <c r="T692" s="214"/>
      <c r="U692" s="215">
        <f t="shared" si="1841"/>
        <v>6</v>
      </c>
      <c r="V692" s="845" t="s">
        <v>216</v>
      </c>
      <c r="W692" s="216">
        <v>161103</v>
      </c>
      <c r="X692" s="217">
        <v>3.41</v>
      </c>
      <c r="Y692" s="218">
        <f t="shared" si="1785"/>
        <v>1.0341</v>
      </c>
      <c r="Z692" s="196">
        <v>19</v>
      </c>
      <c r="AA692" s="218">
        <f t="shared" si="1786"/>
        <v>1.8909856119855175</v>
      </c>
      <c r="AB692" s="196">
        <f t="shared" si="1788"/>
        <v>304643.45504770282</v>
      </c>
      <c r="AC692">
        <v>11.9</v>
      </c>
      <c r="AD692" s="196">
        <f t="shared" si="1789"/>
        <v>36252.571150676638</v>
      </c>
      <c r="AE692" s="196">
        <f t="shared" si="1787"/>
        <v>34439.942593142805</v>
      </c>
      <c r="AF692" s="196">
        <f t="shared" si="1842"/>
        <v>0</v>
      </c>
      <c r="AG692" s="606">
        <f t="shared" si="1811"/>
        <v>1.5923517513259705E-3</v>
      </c>
      <c r="AH692" s="196">
        <f t="shared" si="1857"/>
        <v>15232.172752385142</v>
      </c>
      <c r="AI692" s="248">
        <f t="shared" si="1790"/>
        <v>1.1800133441312892E-3</v>
      </c>
      <c r="AJ692" s="196">
        <f t="shared" si="1791"/>
        <v>51484.743903061782</v>
      </c>
      <c r="AK692" s="196">
        <f t="shared" si="1858"/>
        <v>12185.738201908112</v>
      </c>
      <c r="AL692" s="196">
        <f t="shared" si="1859"/>
        <v>12185.738201908112</v>
      </c>
      <c r="AM692" s="196">
        <f t="shared" si="1792"/>
        <v>24371.476403816225</v>
      </c>
      <c r="AN692" s="627">
        <f t="shared" si="1793"/>
        <v>1.1800133441312889E-3</v>
      </c>
      <c r="AO692" s="196">
        <f t="shared" si="1794"/>
        <v>11576.451291812707</v>
      </c>
      <c r="AP692" s="589">
        <f t="shared" si="1812"/>
        <v>1.1800133441312892E-3</v>
      </c>
      <c r="AQ692" s="196"/>
      <c r="AR692" s="589"/>
      <c r="AS692">
        <v>1</v>
      </c>
      <c r="AT692" s="589">
        <f t="shared" si="1813"/>
        <v>1.2919896640826874E-3</v>
      </c>
      <c r="AU692" s="196">
        <v>17</v>
      </c>
      <c r="AV692" s="245">
        <f t="shared" si="1795"/>
        <v>1.9315986819679581E-3</v>
      </c>
      <c r="AX692" s="245"/>
      <c r="AY692" s="245"/>
      <c r="AZ692" s="196">
        <v>7</v>
      </c>
      <c r="BA692" s="589">
        <f t="shared" si="1754"/>
        <v>2.5649481514052253E-4</v>
      </c>
      <c r="BI692" s="196">
        <v>0</v>
      </c>
      <c r="BK692" s="246">
        <f t="shared" si="1755"/>
        <v>0</v>
      </c>
      <c r="BL692" s="246"/>
      <c r="BM692" s="246">
        <f t="shared" si="1756"/>
        <v>0</v>
      </c>
      <c r="BN692" s="196">
        <v>1</v>
      </c>
      <c r="BO692" s="196">
        <f t="shared" si="1843"/>
        <v>14813.421217698333</v>
      </c>
      <c r="BP692" s="196">
        <f t="shared" si="1796"/>
        <v>14813.421217698333</v>
      </c>
      <c r="BQ692" s="248">
        <f t="shared" si="1757"/>
        <v>1.3857265725461755E-3</v>
      </c>
      <c r="BR692" s="248"/>
      <c r="BS692" s="248"/>
      <c r="BT692" s="276">
        <v>0</v>
      </c>
      <c r="BU692" s="196">
        <f t="shared" si="1844"/>
        <v>0</v>
      </c>
      <c r="BV692" s="264">
        <f t="shared" si="1758"/>
        <v>0</v>
      </c>
      <c r="BW692" s="196">
        <f t="shared" si="1845"/>
        <v>0</v>
      </c>
      <c r="BX692" s="247">
        <f t="shared" si="1759"/>
        <v>0</v>
      </c>
      <c r="BY692" s="196">
        <f t="shared" si="1860"/>
        <v>0</v>
      </c>
      <c r="BZ692" s="620">
        <v>1</v>
      </c>
      <c r="CA692" s="196">
        <f t="shared" si="1846"/>
        <v>93220.897244597058</v>
      </c>
      <c r="CB692" s="196">
        <f t="shared" si="1847"/>
        <v>186441.79448919412</v>
      </c>
      <c r="CC692" s="196">
        <f t="shared" si="1809"/>
        <v>279662.69173379114</v>
      </c>
      <c r="CD692" s="247">
        <f t="shared" si="1797"/>
        <v>1.1800133441312887E-3</v>
      </c>
      <c r="CE692" s="196">
        <f t="shared" si="1848"/>
        <v>24072.92848292254</v>
      </c>
      <c r="CF692" s="247">
        <f t="shared" si="1798"/>
        <v>1.0395439173922021E-3</v>
      </c>
      <c r="CG692" s="196">
        <f t="shared" si="1820"/>
        <v>46305.80516725083</v>
      </c>
      <c r="CH692" s="589">
        <f t="shared" si="1814"/>
        <v>1.1800133441312892E-3</v>
      </c>
      <c r="CI692" s="196">
        <f t="shared" si="1849"/>
        <v>75359.197939460093</v>
      </c>
      <c r="CJ692" s="248">
        <f t="shared" si="1815"/>
        <v>1.2389050228377883E-3</v>
      </c>
      <c r="CK692" s="196">
        <f t="shared" si="1850"/>
        <v>121924.47345807789</v>
      </c>
      <c r="CL692" s="589">
        <f t="shared" si="1816"/>
        <v>1.7526893847541038E-3</v>
      </c>
      <c r="CM692" s="196">
        <f t="shared" si="1851"/>
        <v>8381.2221606216353</v>
      </c>
      <c r="CN692" s="589">
        <f t="shared" si="1817"/>
        <v>1.2078293630107106E-3</v>
      </c>
      <c r="CO692" s="196">
        <f t="shared" si="1852"/>
        <v>670.50892888866417</v>
      </c>
      <c r="CP692" s="589">
        <f t="shared" si="1818"/>
        <v>1.2644765624963022E-3</v>
      </c>
      <c r="CQ692" s="196">
        <f>'Detailed Budget'!$AC$12</f>
        <v>292876014141.44696</v>
      </c>
      <c r="CR692" s="269">
        <f t="shared" si="1701"/>
        <v>0</v>
      </c>
      <c r="CS692" s="269">
        <f>'Detailed Budget'!$AC$16</f>
        <v>10488008800.000002</v>
      </c>
      <c r="CT692" s="607">
        <f t="shared" si="1822"/>
        <v>0</v>
      </c>
      <c r="CU692" s="269">
        <f>'Detailed Budget'!$AC$24</f>
        <v>30624985696</v>
      </c>
      <c r="CV692" s="269">
        <f t="shared" si="1753"/>
        <v>0</v>
      </c>
      <c r="CW692" s="269"/>
      <c r="CX692" s="269">
        <f t="shared" si="1810"/>
        <v>0</v>
      </c>
      <c r="CY692" s="196"/>
      <c r="DA692" s="269">
        <f>'Detailed Budget'!$AC$100</f>
        <v>14925833098.967569</v>
      </c>
      <c r="DB692" s="269">
        <f t="shared" si="1823"/>
        <v>20683123.54262859</v>
      </c>
      <c r="DC692" s="269">
        <f t="shared" si="1799"/>
        <v>20683123.54262859</v>
      </c>
      <c r="DD692" s="207">
        <v>0</v>
      </c>
      <c r="DE692" s="606">
        <v>0</v>
      </c>
      <c r="DF692" s="269">
        <f>'Detailed Budget'!$AC$147</f>
        <v>5913600671000</v>
      </c>
      <c r="DG692" s="269">
        <f t="shared" si="1748"/>
        <v>0</v>
      </c>
      <c r="DH692" s="269">
        <f>'Detailed Budget'!$AC$153</f>
        <v>226428026880.00003</v>
      </c>
      <c r="DI692" s="269"/>
      <c r="DJ692" s="269">
        <f>'Detailed Budget'!$AC$156</f>
        <v>27713070000</v>
      </c>
      <c r="DK692" s="269"/>
      <c r="DL692" s="269"/>
      <c r="DM692" s="196">
        <f>'Detailed Budget'!$AC$178</f>
        <v>5622683761.6229038</v>
      </c>
      <c r="DN692" s="269">
        <f t="shared" si="1853"/>
        <v>0</v>
      </c>
      <c r="DO692" s="196">
        <f>'Detailed Budget'!$AC$179</f>
        <v>26827890683.128094</v>
      </c>
      <c r="DP692" s="269">
        <f t="shared" si="1854"/>
        <v>0</v>
      </c>
      <c r="DQ692" s="269">
        <f t="shared" si="1700"/>
        <v>0</v>
      </c>
      <c r="DR692" s="269">
        <f>'Detailed Budget'!$AC$181</f>
        <v>50888946855.375237</v>
      </c>
      <c r="DS692" s="269">
        <f t="shared" si="1855"/>
        <v>0</v>
      </c>
      <c r="DT692" s="269">
        <f t="shared" si="1856"/>
        <v>0</v>
      </c>
      <c r="DU692" s="272">
        <f>'Detailed Budget'!$AC$192</f>
        <v>77498869683.252869</v>
      </c>
      <c r="DV692" s="269">
        <f t="shared" si="1824"/>
        <v>91449700.381330162</v>
      </c>
      <c r="DW692" s="140">
        <f>'Detailed Budget'!$AC$194</f>
        <v>2684962805.4134097</v>
      </c>
      <c r="DX692" s="269">
        <f t="shared" si="1825"/>
        <v>3168291.938884005</v>
      </c>
      <c r="DY692" s="607">
        <f t="shared" si="1800"/>
        <v>94617992.320214167</v>
      </c>
      <c r="DZ692" s="196">
        <f>'Detailed Budget'!$AC$198</f>
        <v>18732540018.380611</v>
      </c>
      <c r="EA692" s="269">
        <f t="shared" si="1826"/>
        <v>19473298.033413574</v>
      </c>
      <c r="EB692" s="196">
        <f>'Detailed Budget'!$AC$200</f>
        <v>4683135004.5951529</v>
      </c>
      <c r="EC692" s="269">
        <f t="shared" si="1827"/>
        <v>4868324.5083533935</v>
      </c>
      <c r="ED692" s="269">
        <f t="shared" si="1801"/>
        <v>24341622.541766968</v>
      </c>
      <c r="EE692" s="196">
        <f>'Detailed Budget'!$AC$161</f>
        <v>251147290106.36197</v>
      </c>
      <c r="EF692" s="269">
        <f t="shared" si="1828"/>
        <v>296357153.66791922</v>
      </c>
      <c r="EG692" s="196">
        <f>'Detailed Budget'!$AC$163</f>
        <v>15696705631.647623</v>
      </c>
      <c r="EH692" s="269">
        <f t="shared" si="1829"/>
        <v>18522322.104244951</v>
      </c>
      <c r="EI692" s="269">
        <f t="shared" si="1802"/>
        <v>314879475.77216417</v>
      </c>
      <c r="EJ692" s="196">
        <f>'Detailed Budget'!$AC$204</f>
        <v>45012172507.531975</v>
      </c>
      <c r="EK692" s="269">
        <f t="shared" si="1830"/>
        <v>55765806.608422369</v>
      </c>
      <c r="EL692" s="201">
        <f>'Detailed Budget'!$AC$206</f>
        <v>11253043126.882994</v>
      </c>
      <c r="EM692" s="269">
        <f t="shared" si="1831"/>
        <v>13941451.652105592</v>
      </c>
      <c r="EN692" s="269">
        <f t="shared" si="1803"/>
        <v>69707258.260527968</v>
      </c>
      <c r="EO692" s="140">
        <f>'Detailed Budget'!$AC$209</f>
        <v>135789361677.54817</v>
      </c>
      <c r="EP692" s="269">
        <f t="shared" si="1832"/>
        <v>237996572.77477437</v>
      </c>
      <c r="EQ692" s="196">
        <f>'Detailed Budget'!$AC$211</f>
        <v>33947340419.387043</v>
      </c>
      <c r="ER692" s="269">
        <f t="shared" si="1833"/>
        <v>59499143.193693593</v>
      </c>
      <c r="ES692" s="269">
        <f t="shared" si="1804"/>
        <v>297495715.96846795</v>
      </c>
      <c r="ET692" s="196">
        <f>'Detailed Budget'!$AC$214</f>
        <v>22239745544.201103</v>
      </c>
      <c r="EU692" s="269">
        <f t="shared" si="1834"/>
        <v>26861817.694172706</v>
      </c>
      <c r="EV692" s="140">
        <f>'Detailed Budget'!$AC$217</f>
        <v>5559936386.0502758</v>
      </c>
      <c r="EW692" s="269">
        <f t="shared" si="1835"/>
        <v>6715454.4235431766</v>
      </c>
      <c r="EX692" s="269">
        <f t="shared" si="1805"/>
        <v>33577272.11771588</v>
      </c>
      <c r="EY692" s="196">
        <f>'Detailed Budget'!$AC$219</f>
        <v>372777004.58170313</v>
      </c>
      <c r="EZ692" s="269">
        <f t="shared" si="1836"/>
        <v>471367.78533114027</v>
      </c>
      <c r="FA692" s="196">
        <f>'Detailed Budget'!$AC$222</f>
        <v>93194251.145425782</v>
      </c>
      <c r="FB692" s="269">
        <f t="shared" si="1837"/>
        <v>117841.94633278507</v>
      </c>
      <c r="FC692" s="269">
        <f t="shared" si="1806"/>
        <v>589209.73166392534</v>
      </c>
      <c r="FD692" s="269"/>
      <c r="FE692" s="269">
        <f t="shared" si="1807"/>
        <v>401369456.07837576</v>
      </c>
      <c r="FF692" s="140"/>
      <c r="FG692" s="1087">
        <f t="shared" si="1749"/>
        <v>547494506.28185058</v>
      </c>
      <c r="FJ692" s="140">
        <f>'Detailed Budget'!$AC$235</f>
        <v>3623696172</v>
      </c>
      <c r="FK692" s="269">
        <f t="shared" si="1838"/>
        <v>4681778</v>
      </c>
      <c r="FL692" s="269">
        <f t="shared" si="1750"/>
        <v>4681778</v>
      </c>
      <c r="FO692" s="607"/>
      <c r="FP692" s="607"/>
      <c r="FQ692" s="607"/>
      <c r="FR692" s="269">
        <f>'Detailed Budget'!$AC$257</f>
        <v>13636439388</v>
      </c>
      <c r="FS692" s="269">
        <f t="shared" si="1839"/>
        <v>3497676</v>
      </c>
      <c r="FT692" s="269">
        <f t="shared" si="1751"/>
        <v>3497676</v>
      </c>
      <c r="FU692" s="269"/>
      <c r="FV692" s="269"/>
      <c r="FW692" s="269"/>
      <c r="FX692" s="140">
        <f>'Detailed Budget'!$AC$278</f>
        <v>1114560000</v>
      </c>
      <c r="FY692" s="269">
        <f t="shared" si="1840"/>
        <v>1440000</v>
      </c>
      <c r="FZ692" s="269">
        <f t="shared" si="1752"/>
        <v>1440000</v>
      </c>
      <c r="GB692" s="269">
        <f t="shared" si="1760"/>
        <v>1413005630.5370002</v>
      </c>
      <c r="GC692" s="887">
        <f t="shared" si="1808"/>
        <v>883128.51908562507</v>
      </c>
      <c r="GD692" s="1078">
        <f t="shared" si="1761"/>
        <v>7.9288195357409073E-4</v>
      </c>
    </row>
    <row r="693" spans="1:186" hidden="1" outlineLevel="1">
      <c r="A693" s="211" t="s">
        <v>1481</v>
      </c>
      <c r="B693" s="212" t="s">
        <v>1482</v>
      </c>
      <c r="C693" s="213" t="s">
        <v>215</v>
      </c>
      <c r="D693" s="214"/>
      <c r="E693" s="213"/>
      <c r="F693" s="213"/>
      <c r="G693" s="213" t="s">
        <v>215</v>
      </c>
      <c r="H693" s="213" t="s">
        <v>215</v>
      </c>
      <c r="I693" s="214" t="s">
        <v>215</v>
      </c>
      <c r="J693" s="214"/>
      <c r="K693" s="213"/>
      <c r="L693" s="213"/>
      <c r="M693" s="214" t="s">
        <v>215</v>
      </c>
      <c r="N693" s="213"/>
      <c r="O693" s="214"/>
      <c r="P693" s="213"/>
      <c r="Q693" s="214"/>
      <c r="R693" s="214" t="s">
        <v>215</v>
      </c>
      <c r="S693" s="214"/>
      <c r="T693" s="214"/>
      <c r="U693" s="215">
        <f t="shared" si="1841"/>
        <v>6</v>
      </c>
      <c r="V693" s="845" t="s">
        <v>216</v>
      </c>
      <c r="W693" s="216">
        <v>217924</v>
      </c>
      <c r="X693" s="217">
        <v>3.41</v>
      </c>
      <c r="Y693" s="218">
        <f t="shared" si="1785"/>
        <v>1.0341</v>
      </c>
      <c r="Z693" s="196">
        <v>19</v>
      </c>
      <c r="AA693" s="218">
        <f t="shared" si="1786"/>
        <v>1.8909856119855175</v>
      </c>
      <c r="AB693" s="196">
        <f t="shared" si="1788"/>
        <v>412091.1485063319</v>
      </c>
      <c r="AC693">
        <v>11.9</v>
      </c>
      <c r="AD693" s="196">
        <f t="shared" si="1789"/>
        <v>49038.846672253494</v>
      </c>
      <c r="AE693" s="196">
        <f t="shared" si="1787"/>
        <v>46586.904338640816</v>
      </c>
      <c r="AF693" s="196">
        <f t="shared" si="1842"/>
        <v>0</v>
      </c>
      <c r="AG693" s="606">
        <f t="shared" si="1811"/>
        <v>2.153973936276548E-3</v>
      </c>
      <c r="AH693" s="196">
        <f t="shared" si="1857"/>
        <v>20604.557425316598</v>
      </c>
      <c r="AI693" s="248">
        <f t="shared" si="1790"/>
        <v>1.5962038447854296E-3</v>
      </c>
      <c r="AJ693" s="196">
        <f t="shared" si="1791"/>
        <v>69643.404097570092</v>
      </c>
      <c r="AK693" s="196">
        <f t="shared" si="1858"/>
        <v>16483.645940253275</v>
      </c>
      <c r="AL693" s="196">
        <f t="shared" si="1859"/>
        <v>16483.645940253275</v>
      </c>
      <c r="AM693" s="196">
        <f t="shared" si="1792"/>
        <v>32967.291880506549</v>
      </c>
      <c r="AN693" s="627">
        <f t="shared" si="1793"/>
        <v>1.5962038447854291E-3</v>
      </c>
      <c r="AO693" s="196">
        <f t="shared" si="1794"/>
        <v>15659.463643240611</v>
      </c>
      <c r="AP693" s="589">
        <f t="shared" si="1812"/>
        <v>1.5962038447854294E-3</v>
      </c>
      <c r="AQ693" s="196"/>
      <c r="AR693" s="589"/>
      <c r="AS693">
        <v>1</v>
      </c>
      <c r="AT693" s="589">
        <f t="shared" si="1813"/>
        <v>1.2919896640826874E-3</v>
      </c>
      <c r="AU693" s="196">
        <v>11</v>
      </c>
      <c r="AV693" s="245">
        <f t="shared" si="1795"/>
        <v>1.2498579706851495E-3</v>
      </c>
      <c r="AX693" s="245"/>
      <c r="AY693" s="245"/>
      <c r="AZ693" s="196">
        <v>26</v>
      </c>
      <c r="BA693" s="589">
        <f t="shared" si="1754"/>
        <v>9.526950276647979E-4</v>
      </c>
      <c r="BI693" s="196">
        <v>0</v>
      </c>
      <c r="BK693" s="246">
        <f t="shared" si="1755"/>
        <v>0</v>
      </c>
      <c r="BL693" s="246"/>
      <c r="BM693" s="246">
        <f t="shared" si="1756"/>
        <v>0</v>
      </c>
      <c r="BN693" s="196">
        <v>1</v>
      </c>
      <c r="BO693" s="196">
        <f t="shared" si="1843"/>
        <v>20038.112297385469</v>
      </c>
      <c r="BP693" s="196">
        <f t="shared" si="1796"/>
        <v>20038.112297385469</v>
      </c>
      <c r="BQ693" s="248">
        <f t="shared" si="1757"/>
        <v>1.8744720929812152E-3</v>
      </c>
      <c r="BR693" s="248"/>
      <c r="BS693" s="248"/>
      <c r="BT693" s="276">
        <v>0</v>
      </c>
      <c r="BU693" s="196">
        <f t="shared" si="1844"/>
        <v>0</v>
      </c>
      <c r="BV693" s="264">
        <f t="shared" si="1758"/>
        <v>0</v>
      </c>
      <c r="BW693" s="196">
        <f t="shared" si="1845"/>
        <v>0</v>
      </c>
      <c r="BX693" s="247">
        <f t="shared" si="1759"/>
        <v>0</v>
      </c>
      <c r="BY693" s="196">
        <f t="shared" si="1860"/>
        <v>0</v>
      </c>
      <c r="BZ693" s="620">
        <v>1</v>
      </c>
      <c r="CA693" s="196">
        <f t="shared" si="1846"/>
        <v>126099.89144293754</v>
      </c>
      <c r="CB693" s="196">
        <f t="shared" si="1847"/>
        <v>252199.78288587509</v>
      </c>
      <c r="CC693" s="196">
        <f t="shared" si="1809"/>
        <v>378299.67432881263</v>
      </c>
      <c r="CD693" s="247">
        <f t="shared" si="1797"/>
        <v>1.5962038447854291E-3</v>
      </c>
      <c r="CE693" s="196">
        <f t="shared" si="1848"/>
        <v>32563.446159987161</v>
      </c>
      <c r="CF693" s="247">
        <f t="shared" si="1798"/>
        <v>1.4061908757365058E-3</v>
      </c>
      <c r="CG693" s="196">
        <f t="shared" si="1820"/>
        <v>62637.854572962446</v>
      </c>
      <c r="CH693" s="589">
        <f t="shared" si="1814"/>
        <v>1.5962038447854294E-3</v>
      </c>
      <c r="CI693" s="196">
        <f t="shared" si="1849"/>
        <v>101938.37390836234</v>
      </c>
      <c r="CJ693" s="248">
        <f t="shared" si="1815"/>
        <v>1.6758666082996726E-3</v>
      </c>
      <c r="CK693" s="196">
        <f t="shared" si="1850"/>
        <v>164927.21398036138</v>
      </c>
      <c r="CL693" s="589">
        <f t="shared" si="1816"/>
        <v>2.370862625048281E-3</v>
      </c>
      <c r="CM693" s="196">
        <f t="shared" si="1851"/>
        <v>11337.277754798539</v>
      </c>
      <c r="CN693" s="589">
        <f t="shared" si="1817"/>
        <v>1.633830568671881E-3</v>
      </c>
      <c r="CO693" s="196">
        <f t="shared" si="1852"/>
        <v>906.99731115580232</v>
      </c>
      <c r="CP693" s="589">
        <f t="shared" si="1818"/>
        <v>1.7104572255354903E-3</v>
      </c>
      <c r="CQ693" s="196">
        <f>'Detailed Budget'!$AC$12</f>
        <v>292876014141.44696</v>
      </c>
      <c r="CR693" s="269">
        <f t="shared" si="1701"/>
        <v>0</v>
      </c>
      <c r="CS693" s="269">
        <f>'Detailed Budget'!$AC$16</f>
        <v>10488008800.000002</v>
      </c>
      <c r="CT693" s="607">
        <f t="shared" si="1822"/>
        <v>0</v>
      </c>
      <c r="CU693" s="269">
        <f>'Detailed Budget'!$AC$24</f>
        <v>30624985696</v>
      </c>
      <c r="CV693" s="269">
        <f t="shared" si="1753"/>
        <v>0</v>
      </c>
      <c r="CW693" s="269"/>
      <c r="CX693" s="269">
        <f t="shared" si="1810"/>
        <v>0</v>
      </c>
      <c r="CY693" s="196"/>
      <c r="DA693" s="269">
        <f>'Detailed Budget'!$AC$100</f>
        <v>14925833098.967569</v>
      </c>
      <c r="DB693" s="269">
        <f t="shared" si="1823"/>
        <v>27978057.608510036</v>
      </c>
      <c r="DC693" s="269">
        <f t="shared" si="1799"/>
        <v>27978057.608510036</v>
      </c>
      <c r="DD693" s="207">
        <v>0</v>
      </c>
      <c r="DE693" s="606">
        <v>0</v>
      </c>
      <c r="DF693" s="269">
        <f>'Detailed Budget'!$AC$147</f>
        <v>5913600671000</v>
      </c>
      <c r="DG693" s="269">
        <f t="shared" si="1748"/>
        <v>0</v>
      </c>
      <c r="DH693" s="269">
        <f>'Detailed Budget'!$AC$153</f>
        <v>226428026880.00003</v>
      </c>
      <c r="DI693" s="269"/>
      <c r="DJ693" s="269">
        <f>'Detailed Budget'!$AC$156</f>
        <v>27713070000</v>
      </c>
      <c r="DK693" s="269"/>
      <c r="DL693" s="269"/>
      <c r="DM693" s="196">
        <f>'Detailed Budget'!$AC$178</f>
        <v>5622683761.6229038</v>
      </c>
      <c r="DN693" s="269">
        <f t="shared" si="1853"/>
        <v>0</v>
      </c>
      <c r="DO693" s="196">
        <f>'Detailed Budget'!$AC$179</f>
        <v>26827890683.128094</v>
      </c>
      <c r="DP693" s="269">
        <f t="shared" si="1854"/>
        <v>0</v>
      </c>
      <c r="DQ693" s="269">
        <f t="shared" si="1700"/>
        <v>0</v>
      </c>
      <c r="DR693" s="269">
        <f>'Detailed Budget'!$AC$181</f>
        <v>50888946855.375237</v>
      </c>
      <c r="DS693" s="269">
        <f t="shared" si="1855"/>
        <v>0</v>
      </c>
      <c r="DT693" s="269">
        <f t="shared" si="1856"/>
        <v>0</v>
      </c>
      <c r="DU693" s="272">
        <f>'Detailed Budget'!$AC$192</f>
        <v>77498869683.252869</v>
      </c>
      <c r="DV693" s="269">
        <f t="shared" si="1824"/>
        <v>123703993.75493316</v>
      </c>
      <c r="DW693" s="140">
        <f>'Detailed Budget'!$AC$194</f>
        <v>2684962805.4134097</v>
      </c>
      <c r="DX693" s="269">
        <f t="shared" si="1825"/>
        <v>4285747.9531067563</v>
      </c>
      <c r="DY693" s="607">
        <f t="shared" si="1800"/>
        <v>127989741.70803992</v>
      </c>
      <c r="DZ693" s="196">
        <f>'Detailed Budget'!$AC$198</f>
        <v>18732540018.380611</v>
      </c>
      <c r="EA693" s="269">
        <f t="shared" si="1826"/>
        <v>26341526.853215773</v>
      </c>
      <c r="EB693" s="196">
        <f>'Detailed Budget'!$AC$200</f>
        <v>4683135004.5951529</v>
      </c>
      <c r="EC693" s="269">
        <f t="shared" si="1827"/>
        <v>6585381.7133039432</v>
      </c>
      <c r="ED693" s="269">
        <f t="shared" si="1801"/>
        <v>32926908.566519715</v>
      </c>
      <c r="EE693" s="196">
        <f>'Detailed Budget'!$AC$161</f>
        <v>251147290106.36197</v>
      </c>
      <c r="EF693" s="269">
        <f t="shared" si="1828"/>
        <v>400882270.07521659</v>
      </c>
      <c r="EG693" s="196">
        <f>'Detailed Budget'!$AC$163</f>
        <v>15696705631.647623</v>
      </c>
      <c r="EH693" s="269">
        <f t="shared" si="1829"/>
        <v>25055141.879701037</v>
      </c>
      <c r="EI693" s="269">
        <f t="shared" si="1802"/>
        <v>425937411.95491761</v>
      </c>
      <c r="EJ693" s="196">
        <f>'Detailed Budget'!$AC$204</f>
        <v>45012172507.531975</v>
      </c>
      <c r="EK693" s="269">
        <f t="shared" si="1830"/>
        <v>75434396.872397378</v>
      </c>
      <c r="EL693" s="201">
        <f>'Detailed Budget'!$AC$206</f>
        <v>11253043126.882994</v>
      </c>
      <c r="EM693" s="269">
        <f t="shared" si="1831"/>
        <v>18858599.218099345</v>
      </c>
      <c r="EN693" s="269">
        <f t="shared" si="1803"/>
        <v>94292996.090496719</v>
      </c>
      <c r="EO693" s="140">
        <f>'Detailed Budget'!$AC$209</f>
        <v>135789361677.54817</v>
      </c>
      <c r="EP693" s="269">
        <f t="shared" si="1832"/>
        <v>321937922.48046231</v>
      </c>
      <c r="EQ693" s="196">
        <f>'Detailed Budget'!$AC$211</f>
        <v>33947340419.387043</v>
      </c>
      <c r="ER693" s="269">
        <f t="shared" si="1833"/>
        <v>80484480.620115578</v>
      </c>
      <c r="ES693" s="269">
        <f t="shared" si="1804"/>
        <v>402422403.10057789</v>
      </c>
      <c r="ET693" s="196">
        <f>'Detailed Budget'!$AC$214</f>
        <v>22239745544.201103</v>
      </c>
      <c r="EU693" s="269">
        <f t="shared" si="1834"/>
        <v>36335976.109600022</v>
      </c>
      <c r="EV693" s="140">
        <f>'Detailed Budget'!$AC$217</f>
        <v>5559936386.0502758</v>
      </c>
      <c r="EW693" s="269">
        <f t="shared" si="1835"/>
        <v>9083994.0274000056</v>
      </c>
      <c r="EX693" s="269">
        <f t="shared" si="1805"/>
        <v>45419970.137000024</v>
      </c>
      <c r="EY693" s="196">
        <f>'Detailed Budget'!$AC$219</f>
        <v>372777004.58170313</v>
      </c>
      <c r="EZ693" s="269">
        <f t="shared" si="1836"/>
        <v>637619.12100025069</v>
      </c>
      <c r="FA693" s="196">
        <f>'Detailed Budget'!$AC$222</f>
        <v>93194251.145425782</v>
      </c>
      <c r="FB693" s="269">
        <f t="shared" si="1837"/>
        <v>159404.78025006267</v>
      </c>
      <c r="FC693" s="269">
        <f t="shared" si="1806"/>
        <v>797023.90125031339</v>
      </c>
      <c r="FD693" s="269"/>
      <c r="FE693" s="269">
        <f t="shared" si="1807"/>
        <v>542932393.22932506</v>
      </c>
      <c r="FF693" s="140"/>
      <c r="FG693" s="1087">
        <f t="shared" si="1749"/>
        <v>740595723.15205801</v>
      </c>
      <c r="FJ693" s="140">
        <f>'Detailed Budget'!$AC$235</f>
        <v>3623696172</v>
      </c>
      <c r="FK693" s="269">
        <f t="shared" si="1838"/>
        <v>4681778</v>
      </c>
      <c r="FL693" s="269">
        <f t="shared" si="1750"/>
        <v>4681778</v>
      </c>
      <c r="FO693" s="607"/>
      <c r="FP693" s="607"/>
      <c r="FQ693" s="607"/>
      <c r="FR693" s="269">
        <f>'Detailed Budget'!$AC$257</f>
        <v>13636439388</v>
      </c>
      <c r="FS693" s="269">
        <f t="shared" si="1839"/>
        <v>12991368</v>
      </c>
      <c r="FT693" s="269">
        <f t="shared" si="1751"/>
        <v>12991368</v>
      </c>
      <c r="FU693" s="269"/>
      <c r="FV693" s="269"/>
      <c r="FW693" s="269"/>
      <c r="FX693" s="140">
        <f>'Detailed Budget'!$AC$278</f>
        <v>1114560000</v>
      </c>
      <c r="FY693" s="269">
        <f t="shared" si="1840"/>
        <v>1440000</v>
      </c>
      <c r="FZ693" s="269">
        <f t="shared" si="1752"/>
        <v>1440000</v>
      </c>
      <c r="GB693" s="269">
        <f t="shared" si="1760"/>
        <v>1917473382.2193704</v>
      </c>
      <c r="GC693" s="887">
        <f t="shared" si="1808"/>
        <v>1198420.8638871065</v>
      </c>
      <c r="GD693" s="1078">
        <f t="shared" si="1761"/>
        <v>1.0759546942800402E-3</v>
      </c>
    </row>
    <row r="694" spans="1:186" hidden="1" outlineLevel="1">
      <c r="A694" s="211" t="s">
        <v>1483</v>
      </c>
      <c r="B694" s="212" t="s">
        <v>1484</v>
      </c>
      <c r="C694" s="213" t="s">
        <v>215</v>
      </c>
      <c r="D694" s="214"/>
      <c r="E694" s="213"/>
      <c r="F694" s="213"/>
      <c r="G694" s="213" t="s">
        <v>215</v>
      </c>
      <c r="H694" s="213" t="s">
        <v>215</v>
      </c>
      <c r="I694" s="214" t="s">
        <v>215</v>
      </c>
      <c r="J694" s="214"/>
      <c r="K694" s="213"/>
      <c r="L694" s="213"/>
      <c r="M694" s="214" t="s">
        <v>215</v>
      </c>
      <c r="N694" s="213"/>
      <c r="O694" s="214"/>
      <c r="P694" s="213"/>
      <c r="Q694" s="214"/>
      <c r="R694" s="214" t="s">
        <v>215</v>
      </c>
      <c r="S694" s="214"/>
      <c r="T694" s="214"/>
      <c r="U694" s="215">
        <f t="shared" si="1841"/>
        <v>6</v>
      </c>
      <c r="V694" s="845" t="s">
        <v>216</v>
      </c>
      <c r="W694" s="216">
        <v>219787</v>
      </c>
      <c r="X694" s="217">
        <v>3.41</v>
      </c>
      <c r="Y694" s="218">
        <f t="shared" si="1785"/>
        <v>1.0341</v>
      </c>
      <c r="Z694" s="196">
        <v>19</v>
      </c>
      <c r="AA694" s="218">
        <f t="shared" si="1786"/>
        <v>1.8909856119855175</v>
      </c>
      <c r="AB694" s="196">
        <f t="shared" si="1788"/>
        <v>415614.05470146093</v>
      </c>
      <c r="AC694">
        <v>11.9</v>
      </c>
      <c r="AD694" s="196">
        <f t="shared" si="1789"/>
        <v>49458.072509473852</v>
      </c>
      <c r="AE694" s="196">
        <f t="shared" si="1787"/>
        <v>46985.168884000159</v>
      </c>
      <c r="AF694" s="196">
        <f t="shared" si="1842"/>
        <v>0</v>
      </c>
      <c r="AG694" s="606">
        <f t="shared" si="1811"/>
        <v>2.1723879404398493E-3</v>
      </c>
      <c r="AH694" s="196">
        <f t="shared" si="1857"/>
        <v>20780.70273507305</v>
      </c>
      <c r="AI694" s="248">
        <f t="shared" si="1790"/>
        <v>1.6098495550460493E-3</v>
      </c>
      <c r="AJ694" s="196">
        <f t="shared" si="1791"/>
        <v>70238.775244546909</v>
      </c>
      <c r="AK694" s="196">
        <f t="shared" si="1858"/>
        <v>16624.562188058437</v>
      </c>
      <c r="AL694" s="196">
        <f t="shared" si="1859"/>
        <v>16624.562188058437</v>
      </c>
      <c r="AM694" s="196">
        <f t="shared" si="1792"/>
        <v>33249.124376116873</v>
      </c>
      <c r="AN694" s="627">
        <f t="shared" si="1793"/>
        <v>1.6098495550460488E-3</v>
      </c>
      <c r="AO694" s="196">
        <f t="shared" si="1794"/>
        <v>15793.334078655515</v>
      </c>
      <c r="AP694" s="589">
        <f t="shared" si="1812"/>
        <v>1.6098495550460488E-3</v>
      </c>
      <c r="AQ694" s="196"/>
      <c r="AR694" s="589"/>
      <c r="AS694">
        <v>1</v>
      </c>
      <c r="AT694" s="589">
        <f t="shared" si="1813"/>
        <v>1.2919896640826874E-3</v>
      </c>
      <c r="AU694" s="196">
        <v>13</v>
      </c>
      <c r="AV694" s="245">
        <f t="shared" si="1795"/>
        <v>1.4771048744460858E-3</v>
      </c>
      <c r="AX694" s="245"/>
      <c r="AY694" s="245"/>
      <c r="AZ694" s="196">
        <v>14</v>
      </c>
      <c r="BA694" s="589">
        <f t="shared" si="1754"/>
        <v>5.1298963028104507E-4</v>
      </c>
      <c r="BI694" s="196">
        <v>0</v>
      </c>
      <c r="BK694" s="246">
        <f t="shared" si="1755"/>
        <v>0</v>
      </c>
      <c r="BL694" s="246"/>
      <c r="BM694" s="246">
        <f t="shared" si="1756"/>
        <v>0</v>
      </c>
      <c r="BN694" s="196">
        <v>1</v>
      </c>
      <c r="BO694" s="196">
        <f t="shared" si="1843"/>
        <v>20209.415151637546</v>
      </c>
      <c r="BP694" s="196">
        <f t="shared" si="1796"/>
        <v>20209.415151637546</v>
      </c>
      <c r="BQ694" s="248">
        <f t="shared" si="1757"/>
        <v>1.8904966772822745E-3</v>
      </c>
      <c r="BR694" s="248"/>
      <c r="BS694" s="248"/>
      <c r="BT694" s="276">
        <v>0</v>
      </c>
      <c r="BU694" s="196">
        <f t="shared" si="1844"/>
        <v>0</v>
      </c>
      <c r="BV694" s="264">
        <f t="shared" si="1758"/>
        <v>0</v>
      </c>
      <c r="BW694" s="196">
        <f t="shared" si="1845"/>
        <v>0</v>
      </c>
      <c r="BX694" s="247">
        <f t="shared" si="1759"/>
        <v>0</v>
      </c>
      <c r="BY694" s="196">
        <f t="shared" si="1860"/>
        <v>0</v>
      </c>
      <c r="BZ694" s="620">
        <v>1</v>
      </c>
      <c r="CA694" s="196">
        <f t="shared" si="1846"/>
        <v>127177.90073864703</v>
      </c>
      <c r="CB694" s="196">
        <f t="shared" si="1847"/>
        <v>254355.80147729407</v>
      </c>
      <c r="CC694" s="196">
        <f t="shared" si="1809"/>
        <v>381533.7022159411</v>
      </c>
      <c r="CD694" s="247">
        <f t="shared" si="1797"/>
        <v>1.6098495550460488E-3</v>
      </c>
      <c r="CE694" s="196">
        <f t="shared" si="1848"/>
        <v>32841.826238345013</v>
      </c>
      <c r="CF694" s="247">
        <f t="shared" si="1798"/>
        <v>1.418212193266916E-3</v>
      </c>
      <c r="CG694" s="196">
        <f t="shared" si="1820"/>
        <v>63173.336314622058</v>
      </c>
      <c r="CH694" s="589">
        <f t="shared" si="1814"/>
        <v>1.6098495550460488E-3</v>
      </c>
      <c r="CI694" s="196">
        <f t="shared" si="1849"/>
        <v>102809.82996915087</v>
      </c>
      <c r="CJ694" s="248">
        <f t="shared" si="1815"/>
        <v>1.6901933437269881E-3</v>
      </c>
      <c r="CK694" s="196">
        <f t="shared" si="1850"/>
        <v>166337.15230585751</v>
      </c>
      <c r="CL694" s="589">
        <f t="shared" si="1816"/>
        <v>2.3911307784892284E-3</v>
      </c>
      <c r="CM694" s="196">
        <f t="shared" si="1851"/>
        <v>11434.19846319775</v>
      </c>
      <c r="CN694" s="589">
        <f t="shared" si="1817"/>
        <v>1.6477979442222367E-3</v>
      </c>
      <c r="CO694" s="196">
        <f t="shared" si="1852"/>
        <v>914.7510968365134</v>
      </c>
      <c r="CP694" s="589">
        <f t="shared" si="1818"/>
        <v>1.7250796710264536E-3</v>
      </c>
      <c r="CQ694" s="196">
        <f>'Detailed Budget'!$AC$12</f>
        <v>292876014141.44696</v>
      </c>
      <c r="CR694" s="269">
        <f t="shared" si="1701"/>
        <v>0</v>
      </c>
      <c r="CS694" s="269">
        <f>'Detailed Budget'!$AC$16</f>
        <v>10488008800.000002</v>
      </c>
      <c r="CT694" s="607">
        <f t="shared" si="1822"/>
        <v>0</v>
      </c>
      <c r="CU694" s="269">
        <f>'Detailed Budget'!$AC$24</f>
        <v>30624985696</v>
      </c>
      <c r="CV694" s="269">
        <f t="shared" si="1753"/>
        <v>0</v>
      </c>
      <c r="CW694" s="269"/>
      <c r="CX694" s="269">
        <f t="shared" si="1810"/>
        <v>0</v>
      </c>
      <c r="CY694" s="196"/>
      <c r="DA694" s="269">
        <f>'Detailed Budget'!$AC$100</f>
        <v>14925833098.967569</v>
      </c>
      <c r="DB694" s="269">
        <f t="shared" si="1823"/>
        <v>28217237.879267983</v>
      </c>
      <c r="DC694" s="269">
        <f t="shared" si="1799"/>
        <v>28217237.879267983</v>
      </c>
      <c r="DD694" s="207">
        <v>0</v>
      </c>
      <c r="DE694" s="606">
        <v>0</v>
      </c>
      <c r="DF694" s="269">
        <f>'Detailed Budget'!$AC$147</f>
        <v>5913600671000</v>
      </c>
      <c r="DG694" s="269">
        <f t="shared" si="1748"/>
        <v>0</v>
      </c>
      <c r="DH694" s="269">
        <f>'Detailed Budget'!$AC$153</f>
        <v>226428026880.00003</v>
      </c>
      <c r="DI694" s="269"/>
      <c r="DJ694" s="269">
        <f>'Detailed Budget'!$AC$156</f>
        <v>27713070000</v>
      </c>
      <c r="DK694" s="269"/>
      <c r="DL694" s="269"/>
      <c r="DM694" s="196">
        <f>'Detailed Budget'!$AC$178</f>
        <v>5622683761.6229038</v>
      </c>
      <c r="DN694" s="269">
        <f t="shared" si="1853"/>
        <v>0</v>
      </c>
      <c r="DO694" s="196">
        <f>'Detailed Budget'!$AC$179</f>
        <v>26827890683.128094</v>
      </c>
      <c r="DP694" s="269">
        <f t="shared" si="1854"/>
        <v>0</v>
      </c>
      <c r="DQ694" s="269">
        <f t="shared" si="1700"/>
        <v>0</v>
      </c>
      <c r="DR694" s="269">
        <f>'Detailed Budget'!$AC$181</f>
        <v>50888946855.375237</v>
      </c>
      <c r="DS694" s="269">
        <f t="shared" si="1855"/>
        <v>0</v>
      </c>
      <c r="DT694" s="269">
        <f t="shared" si="1856"/>
        <v>0</v>
      </c>
      <c r="DU694" s="272">
        <f>'Detailed Budget'!$AC$192</f>
        <v>77498869683.252869</v>
      </c>
      <c r="DV694" s="269">
        <f t="shared" si="1824"/>
        <v>124761520.87615636</v>
      </c>
      <c r="DW694" s="140">
        <f>'Detailed Budget'!$AC$194</f>
        <v>2684962805.4134097</v>
      </c>
      <c r="DX694" s="269">
        <f t="shared" si="1825"/>
        <v>4322386.1776099689</v>
      </c>
      <c r="DY694" s="607">
        <f t="shared" si="1800"/>
        <v>129083907.05376633</v>
      </c>
      <c r="DZ694" s="196">
        <f>'Detailed Budget'!$AC$198</f>
        <v>18732540018.380611</v>
      </c>
      <c r="EA694" s="269">
        <f t="shared" si="1826"/>
        <v>26566716.66492784</v>
      </c>
      <c r="EB694" s="196">
        <f>'Detailed Budget'!$AC$200</f>
        <v>4683135004.5951529</v>
      </c>
      <c r="EC694" s="269">
        <f t="shared" si="1827"/>
        <v>6641679.1662319601</v>
      </c>
      <c r="ED694" s="269">
        <f t="shared" si="1801"/>
        <v>33208395.8311598</v>
      </c>
      <c r="EE694" s="196">
        <f>'Detailed Budget'!$AC$161</f>
        <v>251147290106.36197</v>
      </c>
      <c r="EF694" s="269">
        <f t="shared" si="1828"/>
        <v>404309353.22874779</v>
      </c>
      <c r="EG694" s="196">
        <f>'Detailed Budget'!$AC$163</f>
        <v>15696705631.647623</v>
      </c>
      <c r="EH694" s="269">
        <f t="shared" si="1829"/>
        <v>25269334.576796737</v>
      </c>
      <c r="EI694" s="269">
        <f t="shared" si="1802"/>
        <v>429578687.8055445</v>
      </c>
      <c r="EJ694" s="196">
        <f>'Detailed Budget'!$AC$204</f>
        <v>45012172507.531975</v>
      </c>
      <c r="EK694" s="269">
        <f t="shared" si="1830"/>
        <v>76079274.358921468</v>
      </c>
      <c r="EL694" s="201">
        <f>'Detailed Budget'!$AC$206</f>
        <v>11253043126.882994</v>
      </c>
      <c r="EM694" s="269">
        <f t="shared" si="1831"/>
        <v>19019818.589730367</v>
      </c>
      <c r="EN694" s="269">
        <f t="shared" si="1803"/>
        <v>95099092.948651835</v>
      </c>
      <c r="EO694" s="140">
        <f>'Detailed Budget'!$AC$209</f>
        <v>135789361677.54817</v>
      </c>
      <c r="EP694" s="269">
        <f t="shared" si="1832"/>
        <v>324690122.09859115</v>
      </c>
      <c r="EQ694" s="196">
        <f>'Detailed Budget'!$AC$211</f>
        <v>33947340419.387043</v>
      </c>
      <c r="ER694" s="269">
        <f t="shared" si="1833"/>
        <v>81172530.524647787</v>
      </c>
      <c r="ES694" s="269">
        <f t="shared" si="1804"/>
        <v>405862652.62323892</v>
      </c>
      <c r="ET694" s="196">
        <f>'Detailed Budget'!$AC$214</f>
        <v>22239745544.201103</v>
      </c>
      <c r="EU694" s="269">
        <f t="shared" si="1834"/>
        <v>36646606.987760231</v>
      </c>
      <c r="EV694" s="140">
        <f>'Detailed Budget'!$AC$217</f>
        <v>5559936386.0502758</v>
      </c>
      <c r="EW694" s="269">
        <f t="shared" si="1835"/>
        <v>9161651.7469400577</v>
      </c>
      <c r="EX694" s="269">
        <f t="shared" si="1805"/>
        <v>45808258.734700292</v>
      </c>
      <c r="EY694" s="196">
        <f>'Detailed Budget'!$AC$219</f>
        <v>372777004.58170313</v>
      </c>
      <c r="EZ694" s="269">
        <f t="shared" si="1836"/>
        <v>643070.03243003122</v>
      </c>
      <c r="FA694" s="196">
        <f>'Detailed Budget'!$AC$222</f>
        <v>93194251.145425782</v>
      </c>
      <c r="FB694" s="269">
        <f t="shared" si="1837"/>
        <v>160767.50810750781</v>
      </c>
      <c r="FC694" s="269">
        <f t="shared" si="1806"/>
        <v>803837.54053753905</v>
      </c>
      <c r="FD694" s="269"/>
      <c r="FE694" s="269">
        <f t="shared" si="1807"/>
        <v>547573841.84712863</v>
      </c>
      <c r="FF694" s="140"/>
      <c r="FG694" s="1087">
        <f t="shared" si="1749"/>
        <v>746926966.30211163</v>
      </c>
      <c r="FJ694" s="140">
        <f>'Detailed Budget'!$AC$235</f>
        <v>3623696172</v>
      </c>
      <c r="FK694" s="269">
        <f t="shared" si="1838"/>
        <v>4681778</v>
      </c>
      <c r="FL694" s="269">
        <f t="shared" si="1750"/>
        <v>4681778</v>
      </c>
      <c r="FO694" s="607"/>
      <c r="FP694" s="607"/>
      <c r="FQ694" s="607"/>
      <c r="FR694" s="269">
        <f>'Detailed Budget'!$AC$257</f>
        <v>13636439388</v>
      </c>
      <c r="FS694" s="269">
        <f t="shared" si="1839"/>
        <v>6995352</v>
      </c>
      <c r="FT694" s="269">
        <f t="shared" si="1751"/>
        <v>6995352</v>
      </c>
      <c r="FU694" s="269"/>
      <c r="FV694" s="269"/>
      <c r="FW694" s="269"/>
      <c r="FX694" s="140">
        <f>'Detailed Budget'!$AC$278</f>
        <v>1114560000</v>
      </c>
      <c r="FY694" s="269">
        <f t="shared" si="1840"/>
        <v>1440000</v>
      </c>
      <c r="FZ694" s="269">
        <f t="shared" si="1752"/>
        <v>1440000</v>
      </c>
      <c r="GB694" s="269">
        <f t="shared" si="1760"/>
        <v>1927706166.7189789</v>
      </c>
      <c r="GC694" s="887">
        <f t="shared" si="1808"/>
        <v>1204816.3541993618</v>
      </c>
      <c r="GD694" s="1078">
        <f t="shared" si="1761"/>
        <v>1.0816966318839753E-3</v>
      </c>
    </row>
    <row r="695" spans="1:186" hidden="1" outlineLevel="1">
      <c r="A695" s="211" t="s">
        <v>1485</v>
      </c>
      <c r="B695" s="212" t="s">
        <v>1486</v>
      </c>
      <c r="C695" s="213" t="s">
        <v>215</v>
      </c>
      <c r="D695" s="214"/>
      <c r="E695" s="213"/>
      <c r="F695" s="213"/>
      <c r="G695" s="213" t="s">
        <v>215</v>
      </c>
      <c r="H695" s="213" t="s">
        <v>215</v>
      </c>
      <c r="I695" s="214" t="s">
        <v>215</v>
      </c>
      <c r="J695" s="214"/>
      <c r="K695" s="213"/>
      <c r="L695" s="213"/>
      <c r="M695" s="214" t="s">
        <v>215</v>
      </c>
      <c r="N695" s="213"/>
      <c r="O695" s="214"/>
      <c r="P695" s="213"/>
      <c r="Q695" s="214"/>
      <c r="R695" s="214" t="s">
        <v>215</v>
      </c>
      <c r="S695" s="214"/>
      <c r="T695" s="214"/>
      <c r="U695" s="215">
        <f t="shared" si="1841"/>
        <v>6</v>
      </c>
      <c r="V695" s="845" t="s">
        <v>216</v>
      </c>
      <c r="W695" s="216">
        <v>214983</v>
      </c>
      <c r="X695" s="217">
        <v>3.41</v>
      </c>
      <c r="Y695" s="218">
        <f t="shared" si="1785"/>
        <v>1.0341</v>
      </c>
      <c r="Z695" s="196">
        <v>19</v>
      </c>
      <c r="AA695" s="218">
        <f t="shared" si="1786"/>
        <v>1.8909856119855175</v>
      </c>
      <c r="AB695" s="196">
        <f t="shared" si="1788"/>
        <v>406529.75982148253</v>
      </c>
      <c r="AC695">
        <v>11.9</v>
      </c>
      <c r="AD695" s="196">
        <f t="shared" si="1789"/>
        <v>48377.041418756424</v>
      </c>
      <c r="AE695" s="196">
        <f t="shared" si="1787"/>
        <v>45958.189347818603</v>
      </c>
      <c r="AF695" s="196">
        <f t="shared" si="1842"/>
        <v>0</v>
      </c>
      <c r="AG695" s="606">
        <f t="shared" si="1811"/>
        <v>2.1249049152114556E-3</v>
      </c>
      <c r="AH695" s="196">
        <f t="shared" si="1857"/>
        <v>20326.487991074129</v>
      </c>
      <c r="AI695" s="248">
        <f t="shared" si="1790"/>
        <v>1.5746622270310109E-3</v>
      </c>
      <c r="AJ695" s="196">
        <f t="shared" si="1791"/>
        <v>68703.529409830546</v>
      </c>
      <c r="AK695" s="196">
        <f t="shared" si="1858"/>
        <v>16261.190392859302</v>
      </c>
      <c r="AL695" s="196">
        <f t="shared" si="1859"/>
        <v>16261.190392859302</v>
      </c>
      <c r="AM695" s="196">
        <f t="shared" si="1792"/>
        <v>32522.380785718604</v>
      </c>
      <c r="AN695" s="627">
        <f t="shared" si="1793"/>
        <v>1.5746622270310109E-3</v>
      </c>
      <c r="AO695" s="196">
        <f t="shared" si="1794"/>
        <v>15448.130873216336</v>
      </c>
      <c r="AP695" s="589">
        <f t="shared" si="1812"/>
        <v>1.5746622270310109E-3</v>
      </c>
      <c r="AQ695" s="196"/>
      <c r="AR695" s="589"/>
      <c r="AS695">
        <v>1</v>
      </c>
      <c r="AT695" s="589">
        <f t="shared" si="1813"/>
        <v>1.2919896640826874E-3</v>
      </c>
      <c r="AU695" s="196">
        <v>12</v>
      </c>
      <c r="AV695" s="245">
        <f t="shared" si="1795"/>
        <v>1.3634814225656176E-3</v>
      </c>
      <c r="AX695" s="245"/>
      <c r="AY695" s="245"/>
      <c r="AZ695" s="196">
        <v>11</v>
      </c>
      <c r="BA695" s="589">
        <f t="shared" si="1754"/>
        <v>4.0306328093510683E-4</v>
      </c>
      <c r="BI695" s="196">
        <v>0</v>
      </c>
      <c r="BK695" s="246">
        <f t="shared" si="1755"/>
        <v>0</v>
      </c>
      <c r="BL695" s="246"/>
      <c r="BM695" s="246">
        <f t="shared" si="1756"/>
        <v>0</v>
      </c>
      <c r="BN695" s="196">
        <v>1</v>
      </c>
      <c r="BO695" s="196">
        <f t="shared" si="1843"/>
        <v>19767.68734067299</v>
      </c>
      <c r="BP695" s="196">
        <f t="shared" si="1796"/>
        <v>19767.68734067299</v>
      </c>
      <c r="BQ695" s="248">
        <f t="shared" si="1757"/>
        <v>1.8491750975816368E-3</v>
      </c>
      <c r="BR695" s="248"/>
      <c r="BS695" s="248"/>
      <c r="BT695" s="276">
        <v>0</v>
      </c>
      <c r="BU695" s="196">
        <f t="shared" si="1844"/>
        <v>0</v>
      </c>
      <c r="BV695" s="264">
        <f t="shared" si="1758"/>
        <v>0</v>
      </c>
      <c r="BW695" s="196">
        <f t="shared" si="1845"/>
        <v>0</v>
      </c>
      <c r="BX695" s="247">
        <f t="shared" si="1759"/>
        <v>0</v>
      </c>
      <c r="BY695" s="196">
        <f t="shared" si="1860"/>
        <v>0</v>
      </c>
      <c r="BZ695" s="620">
        <v>1</v>
      </c>
      <c r="CA695" s="196">
        <f t="shared" si="1846"/>
        <v>124398.10650537367</v>
      </c>
      <c r="CB695" s="196">
        <f t="shared" si="1847"/>
        <v>248796.21301074733</v>
      </c>
      <c r="CC695" s="196">
        <f t="shared" si="1809"/>
        <v>373194.319516121</v>
      </c>
      <c r="CD695" s="247">
        <f t="shared" si="1797"/>
        <v>1.5746622270310109E-3</v>
      </c>
      <c r="CE695" s="196">
        <f t="shared" si="1848"/>
        <v>32123.985177458751</v>
      </c>
      <c r="CF695" s="247">
        <f t="shared" si="1798"/>
        <v>1.3872135838111509E-3</v>
      </c>
      <c r="CG695" s="196">
        <f t="shared" si="1820"/>
        <v>61792.523492865344</v>
      </c>
      <c r="CH695" s="589">
        <f t="shared" si="1814"/>
        <v>1.5746622270310109E-3</v>
      </c>
      <c r="CI695" s="196">
        <f t="shared" si="1849"/>
        <v>100562.66146886743</v>
      </c>
      <c r="CJ695" s="248">
        <f t="shared" si="1815"/>
        <v>1.6532498992863961E-3</v>
      </c>
      <c r="CK695" s="196">
        <f t="shared" si="1850"/>
        <v>162701.43372524384</v>
      </c>
      <c r="CL695" s="589">
        <f t="shared" si="1816"/>
        <v>2.3388665760575005E-3</v>
      </c>
      <c r="CM695" s="196">
        <f t="shared" si="1851"/>
        <v>11184.275176482879</v>
      </c>
      <c r="CN695" s="589">
        <f t="shared" si="1817"/>
        <v>1.611781158315684E-3</v>
      </c>
      <c r="CO695" s="196">
        <f t="shared" si="1852"/>
        <v>894.75690123257596</v>
      </c>
      <c r="CP695" s="589">
        <f t="shared" si="1818"/>
        <v>1.6873736977904975E-3</v>
      </c>
      <c r="CQ695" s="196">
        <f>'Detailed Budget'!$AC$12</f>
        <v>292876014141.44696</v>
      </c>
      <c r="CR695" s="269">
        <f t="shared" si="1701"/>
        <v>0</v>
      </c>
      <c r="CS695" s="269">
        <f>'Detailed Budget'!$AC$16</f>
        <v>10488008800.000002</v>
      </c>
      <c r="CT695" s="607">
        <f t="shared" si="1822"/>
        <v>0</v>
      </c>
      <c r="CU695" s="269">
        <f>'Detailed Budget'!$AC$24</f>
        <v>30624985696</v>
      </c>
      <c r="CV695" s="269">
        <f t="shared" si="1753"/>
        <v>0</v>
      </c>
      <c r="CW695" s="269"/>
      <c r="CX695" s="269">
        <f t="shared" si="1810"/>
        <v>0</v>
      </c>
      <c r="CY695" s="196"/>
      <c r="DA695" s="269">
        <f>'Detailed Budget'!$AC$100</f>
        <v>14925833098.967569</v>
      </c>
      <c r="DB695" s="269">
        <f t="shared" si="1823"/>
        <v>27600478.877270579</v>
      </c>
      <c r="DC695" s="269">
        <f t="shared" si="1799"/>
        <v>27600478.877270579</v>
      </c>
      <c r="DD695" s="207">
        <v>0</v>
      </c>
      <c r="DE695" s="606">
        <v>0</v>
      </c>
      <c r="DF695" s="269">
        <f>'Detailed Budget'!$AC$147</f>
        <v>5913600671000</v>
      </c>
      <c r="DG695" s="269">
        <f t="shared" si="1748"/>
        <v>0</v>
      </c>
      <c r="DH695" s="269">
        <f>'Detailed Budget'!$AC$153</f>
        <v>226428026880.00003</v>
      </c>
      <c r="DI695" s="269"/>
      <c r="DJ695" s="269">
        <f>'Detailed Budget'!$AC$156</f>
        <v>27713070000</v>
      </c>
      <c r="DK695" s="269"/>
      <c r="DL695" s="269"/>
      <c r="DM695" s="196">
        <f>'Detailed Budget'!$AC$178</f>
        <v>5622683761.6229038</v>
      </c>
      <c r="DN695" s="269">
        <f t="shared" si="1853"/>
        <v>0</v>
      </c>
      <c r="DO695" s="196">
        <f>'Detailed Budget'!$AC$179</f>
        <v>26827890683.128094</v>
      </c>
      <c r="DP695" s="269">
        <f t="shared" si="1854"/>
        <v>0</v>
      </c>
      <c r="DQ695" s="269">
        <f t="shared" si="1700"/>
        <v>0</v>
      </c>
      <c r="DR695" s="269">
        <f>'Detailed Budget'!$AC$181</f>
        <v>50888946855.375237</v>
      </c>
      <c r="DS695" s="269">
        <f t="shared" si="1855"/>
        <v>0</v>
      </c>
      <c r="DT695" s="269">
        <f t="shared" si="1856"/>
        <v>0</v>
      </c>
      <c r="DU695" s="272">
        <f>'Detailed Budget'!$AC$192</f>
        <v>77498869683.252869</v>
      </c>
      <c r="DV695" s="269">
        <f t="shared" si="1824"/>
        <v>122034542.72781706</v>
      </c>
      <c r="DW695" s="140">
        <f>'Detailed Budget'!$AC$194</f>
        <v>2684962805.4134097</v>
      </c>
      <c r="DX695" s="269">
        <f t="shared" si="1825"/>
        <v>4227909.5106677106</v>
      </c>
      <c r="DY695" s="607">
        <f t="shared" si="1800"/>
        <v>126262452.23848477</v>
      </c>
      <c r="DZ695" s="196">
        <f>'Detailed Budget'!$AC$198</f>
        <v>18732540018.380611</v>
      </c>
      <c r="EA695" s="269">
        <f t="shared" si="1826"/>
        <v>25986033.972783569</v>
      </c>
      <c r="EB695" s="196">
        <f>'Detailed Budget'!$AC$200</f>
        <v>4683135004.5951529</v>
      </c>
      <c r="EC695" s="269">
        <f t="shared" si="1827"/>
        <v>6496508.4931958923</v>
      </c>
      <c r="ED695" s="269">
        <f t="shared" si="1801"/>
        <v>32482542.465979461</v>
      </c>
      <c r="EE695" s="196">
        <f>'Detailed Budget'!$AC$161</f>
        <v>251147290106.36197</v>
      </c>
      <c r="EF695" s="269">
        <f t="shared" si="1828"/>
        <v>395472151.15168732</v>
      </c>
      <c r="EG695" s="196">
        <f>'Detailed Budget'!$AC$163</f>
        <v>15696705631.647623</v>
      </c>
      <c r="EH695" s="269">
        <f t="shared" si="1829"/>
        <v>24717009.446980458</v>
      </c>
      <c r="EI695" s="269">
        <f t="shared" si="1802"/>
        <v>420189160.5986678</v>
      </c>
      <c r="EJ695" s="196">
        <f>'Detailed Budget'!$AC$204</f>
        <v>45012172507.531975</v>
      </c>
      <c r="EK695" s="269">
        <f t="shared" si="1830"/>
        <v>74416369.664739117</v>
      </c>
      <c r="EL695" s="201">
        <f>'Detailed Budget'!$AC$206</f>
        <v>11253043126.882994</v>
      </c>
      <c r="EM695" s="269">
        <f t="shared" si="1831"/>
        <v>18604092.416184779</v>
      </c>
      <c r="EN695" s="269">
        <f t="shared" si="1803"/>
        <v>93020462.0809239</v>
      </c>
      <c r="EO695" s="140">
        <f>'Detailed Budget'!$AC$209</f>
        <v>135789361677.54817</v>
      </c>
      <c r="EP695" s="269">
        <f t="shared" si="1832"/>
        <v>317593199.41180068</v>
      </c>
      <c r="EQ695" s="196">
        <f>'Detailed Budget'!$AC$211</f>
        <v>33947340419.387043</v>
      </c>
      <c r="ER695" s="269">
        <f t="shared" si="1833"/>
        <v>79398299.852950171</v>
      </c>
      <c r="ES695" s="269">
        <f t="shared" si="1804"/>
        <v>396991499.26475084</v>
      </c>
      <c r="ET695" s="196">
        <f>'Detailed Budget'!$AC$214</f>
        <v>22239745544.201103</v>
      </c>
      <c r="EU695" s="269">
        <f t="shared" si="1834"/>
        <v>35845602.833878525</v>
      </c>
      <c r="EV695" s="140">
        <f>'Detailed Budget'!$AC$217</f>
        <v>5559936386.0502758</v>
      </c>
      <c r="EW695" s="269">
        <f t="shared" si="1835"/>
        <v>8961400.7084696312</v>
      </c>
      <c r="EX695" s="269">
        <f t="shared" si="1805"/>
        <v>44807003.542348154</v>
      </c>
      <c r="EY695" s="196">
        <f>'Detailed Budget'!$AC$219</f>
        <v>372777004.58170313</v>
      </c>
      <c r="EZ695" s="269">
        <f t="shared" si="1836"/>
        <v>629014.11267229368</v>
      </c>
      <c r="FA695" s="196">
        <f>'Detailed Budget'!$AC$222</f>
        <v>93194251.145425782</v>
      </c>
      <c r="FB695" s="269">
        <f t="shared" si="1837"/>
        <v>157253.52816807342</v>
      </c>
      <c r="FC695" s="269">
        <f t="shared" si="1806"/>
        <v>786267.64084036706</v>
      </c>
      <c r="FD695" s="269"/>
      <c r="FE695" s="269">
        <f t="shared" si="1807"/>
        <v>535605232.52886325</v>
      </c>
      <c r="FF695" s="140"/>
      <c r="FG695" s="1087">
        <f t="shared" si="1749"/>
        <v>730600990.94362676</v>
      </c>
      <c r="FJ695" s="140">
        <f>'Detailed Budget'!$AC$235</f>
        <v>3623696172</v>
      </c>
      <c r="FK695" s="269">
        <f t="shared" si="1838"/>
        <v>4681778</v>
      </c>
      <c r="FL695" s="269">
        <f t="shared" si="1750"/>
        <v>4681778</v>
      </c>
      <c r="FO695" s="607"/>
      <c r="FP695" s="607"/>
      <c r="FQ695" s="607"/>
      <c r="FR695" s="269">
        <f>'Detailed Budget'!$AC$257</f>
        <v>13636439388</v>
      </c>
      <c r="FS695" s="269">
        <f t="shared" si="1839"/>
        <v>5496348</v>
      </c>
      <c r="FT695" s="269">
        <f t="shared" si="1751"/>
        <v>5496348</v>
      </c>
      <c r="FU695" s="269"/>
      <c r="FV695" s="269"/>
      <c r="FW695" s="269"/>
      <c r="FX695" s="140">
        <f>'Detailed Budget'!$AC$278</f>
        <v>1114560000</v>
      </c>
      <c r="FY695" s="269">
        <f t="shared" si="1840"/>
        <v>1440000</v>
      </c>
      <c r="FZ695" s="269">
        <f t="shared" si="1752"/>
        <v>1440000</v>
      </c>
      <c r="GB695" s="269">
        <f t="shared" si="1760"/>
        <v>1884358983.6528926</v>
      </c>
      <c r="GC695" s="887">
        <f t="shared" si="1808"/>
        <v>1177724.3647830579</v>
      </c>
      <c r="GD695" s="1078">
        <f t="shared" si="1761"/>
        <v>1.0573731625016837E-3</v>
      </c>
    </row>
    <row r="696" spans="1:186" hidden="1" outlineLevel="1">
      <c r="A696" s="211" t="s">
        <v>1487</v>
      </c>
      <c r="B696" s="212" t="s">
        <v>1488</v>
      </c>
      <c r="C696" s="213" t="s">
        <v>215</v>
      </c>
      <c r="D696" s="214"/>
      <c r="E696" s="213"/>
      <c r="F696" s="213"/>
      <c r="G696" s="213" t="s">
        <v>215</v>
      </c>
      <c r="H696" s="213" t="s">
        <v>215</v>
      </c>
      <c r="I696" s="214" t="s">
        <v>215</v>
      </c>
      <c r="J696" s="214"/>
      <c r="K696" s="213"/>
      <c r="L696" s="213"/>
      <c r="M696" s="214" t="s">
        <v>215</v>
      </c>
      <c r="N696" s="213"/>
      <c r="O696" s="214"/>
      <c r="P696" s="213"/>
      <c r="Q696" s="214"/>
      <c r="R696" s="214" t="s">
        <v>215</v>
      </c>
      <c r="S696" s="214"/>
      <c r="T696" s="214"/>
      <c r="U696" s="215">
        <f t="shared" si="1841"/>
        <v>6</v>
      </c>
      <c r="V696" s="845" t="s">
        <v>216</v>
      </c>
      <c r="W696" s="216">
        <v>249467</v>
      </c>
      <c r="X696" s="217">
        <v>3.41</v>
      </c>
      <c r="Y696" s="218">
        <f t="shared" si="1785"/>
        <v>1.0341</v>
      </c>
      <c r="Z696" s="196">
        <v>19</v>
      </c>
      <c r="AA696" s="218">
        <f t="shared" si="1786"/>
        <v>1.8909856119855175</v>
      </c>
      <c r="AB696" s="196">
        <f t="shared" si="1788"/>
        <v>471738.50766519108</v>
      </c>
      <c r="AC696">
        <v>11.9</v>
      </c>
      <c r="AD696" s="196">
        <f t="shared" si="1789"/>
        <v>56136.882412157742</v>
      </c>
      <c r="AE696" s="196">
        <f t="shared" si="1787"/>
        <v>53330.038291549856</v>
      </c>
      <c r="AF696" s="196">
        <f t="shared" si="1842"/>
        <v>0</v>
      </c>
      <c r="AG696" s="606">
        <f t="shared" si="1811"/>
        <v>2.4657468473463307E-3</v>
      </c>
      <c r="AH696" s="196">
        <f t="shared" si="1857"/>
        <v>23586.925383259557</v>
      </c>
      <c r="AI696" s="248">
        <f t="shared" si="1790"/>
        <v>1.8272433717584423E-3</v>
      </c>
      <c r="AJ696" s="196">
        <f t="shared" si="1791"/>
        <v>79723.807795417291</v>
      </c>
      <c r="AK696" s="196">
        <f t="shared" si="1858"/>
        <v>18869.540306607643</v>
      </c>
      <c r="AL696" s="196">
        <f t="shared" si="1859"/>
        <v>18869.540306607643</v>
      </c>
      <c r="AM696" s="196">
        <f t="shared" si="1792"/>
        <v>37739.080613215287</v>
      </c>
      <c r="AN696" s="627">
        <f t="shared" si="1793"/>
        <v>1.8272433717584421E-3</v>
      </c>
      <c r="AO696" s="196">
        <f t="shared" si="1794"/>
        <v>17926.06329127726</v>
      </c>
      <c r="AP696" s="589">
        <f t="shared" si="1812"/>
        <v>1.8272433717584418E-3</v>
      </c>
      <c r="AQ696" s="196"/>
      <c r="AR696" s="589"/>
      <c r="AS696">
        <v>1</v>
      </c>
      <c r="AT696" s="589">
        <f t="shared" si="1813"/>
        <v>1.2919896640826874E-3</v>
      </c>
      <c r="AU696" s="196">
        <v>17</v>
      </c>
      <c r="AV696" s="245">
        <f t="shared" si="1795"/>
        <v>1.9315986819679581E-3</v>
      </c>
      <c r="AX696" s="245"/>
      <c r="AY696" s="245"/>
      <c r="AZ696" s="196">
        <v>17</v>
      </c>
      <c r="BA696" s="589">
        <f t="shared" si="1754"/>
        <v>6.229159796269833E-4</v>
      </c>
      <c r="BI696" s="196">
        <v>0</v>
      </c>
      <c r="BK696" s="246">
        <f t="shared" si="1755"/>
        <v>0</v>
      </c>
      <c r="BL696" s="246"/>
      <c r="BM696" s="246">
        <f t="shared" si="1756"/>
        <v>0</v>
      </c>
      <c r="BN696" s="196">
        <v>1</v>
      </c>
      <c r="BO696" s="196">
        <f t="shared" si="1843"/>
        <v>22938.491219378593</v>
      </c>
      <c r="BP696" s="196">
        <f t="shared" si="1796"/>
        <v>22938.491219378593</v>
      </c>
      <c r="BQ696" s="248">
        <f t="shared" si="1757"/>
        <v>2.1457890347999524E-3</v>
      </c>
      <c r="BR696" s="248"/>
      <c r="BS696" s="248"/>
      <c r="BT696" s="276">
        <v>0</v>
      </c>
      <c r="BU696" s="196">
        <f t="shared" si="1844"/>
        <v>0</v>
      </c>
      <c r="BV696" s="264">
        <f t="shared" si="1758"/>
        <v>0</v>
      </c>
      <c r="BW696" s="196">
        <f t="shared" si="1845"/>
        <v>0</v>
      </c>
      <c r="BX696" s="247">
        <f t="shared" si="1759"/>
        <v>0</v>
      </c>
      <c r="BY696" s="196">
        <f t="shared" si="1860"/>
        <v>0</v>
      </c>
      <c r="BZ696" s="620">
        <v>1</v>
      </c>
      <c r="CA696" s="196">
        <f t="shared" si="1846"/>
        <v>144351.98334554848</v>
      </c>
      <c r="CB696" s="196">
        <f t="shared" si="1847"/>
        <v>288703.96669109695</v>
      </c>
      <c r="CC696" s="196">
        <f t="shared" si="1809"/>
        <v>433055.9500366454</v>
      </c>
      <c r="CD696" s="247">
        <f t="shared" si="1797"/>
        <v>1.8272433717584418E-3</v>
      </c>
      <c r="CE696" s="196">
        <f t="shared" si="1848"/>
        <v>37276.781002521602</v>
      </c>
      <c r="CF696" s="247">
        <f t="shared" si="1798"/>
        <v>1.6097273324524096E-3</v>
      </c>
      <c r="CG696" s="196">
        <f t="shared" si="1820"/>
        <v>71704.253165109039</v>
      </c>
      <c r="CH696" s="589">
        <f t="shared" si="1814"/>
        <v>1.8272433717584418E-3</v>
      </c>
      <c r="CI696" s="196">
        <f t="shared" si="1849"/>
        <v>116693.25234392463</v>
      </c>
      <c r="CJ696" s="248">
        <f t="shared" si="1815"/>
        <v>1.9184367723274831E-3</v>
      </c>
      <c r="CK696" s="196">
        <f t="shared" si="1850"/>
        <v>188799.29374478638</v>
      </c>
      <c r="CL696" s="589">
        <f t="shared" si="1816"/>
        <v>2.7140286819392068E-3</v>
      </c>
      <c r="CM696" s="196">
        <f t="shared" si="1851"/>
        <v>12978.270725832528</v>
      </c>
      <c r="CN696" s="589">
        <f t="shared" si="1817"/>
        <v>1.8703163051103516E-3</v>
      </c>
      <c r="CO696" s="196">
        <f t="shared" si="1852"/>
        <v>1038.2789331239542</v>
      </c>
      <c r="CP696" s="589">
        <f t="shared" si="1818"/>
        <v>1.9580341434750751E-3</v>
      </c>
      <c r="CQ696" s="196">
        <f>'Detailed Budget'!$AC$12</f>
        <v>292876014141.44696</v>
      </c>
      <c r="CR696" s="269">
        <f t="shared" si="1701"/>
        <v>0</v>
      </c>
      <c r="CS696" s="269">
        <f>'Detailed Budget'!$AC$16</f>
        <v>10488008800.000002</v>
      </c>
      <c r="CT696" s="607">
        <f t="shared" si="1822"/>
        <v>0</v>
      </c>
      <c r="CU696" s="269">
        <f>'Detailed Budget'!$AC$24</f>
        <v>30624985696</v>
      </c>
      <c r="CV696" s="269">
        <f t="shared" si="1753"/>
        <v>0</v>
      </c>
      <c r="CW696" s="269"/>
      <c r="CX696" s="269">
        <f t="shared" si="1810"/>
        <v>0</v>
      </c>
      <c r="CY696" s="196"/>
      <c r="DA696" s="269">
        <f>'Detailed Budget'!$AC$100</f>
        <v>14925833098.967569</v>
      </c>
      <c r="DB696" s="269">
        <f t="shared" si="1823"/>
        <v>32027688.999018803</v>
      </c>
      <c r="DC696" s="269">
        <f t="shared" si="1799"/>
        <v>32027688.999018803</v>
      </c>
      <c r="DD696" s="207">
        <v>0</v>
      </c>
      <c r="DE696" s="606">
        <v>0</v>
      </c>
      <c r="DF696" s="269">
        <f>'Detailed Budget'!$AC$147</f>
        <v>5913600671000</v>
      </c>
      <c r="DG696" s="269">
        <f t="shared" si="1748"/>
        <v>0</v>
      </c>
      <c r="DH696" s="269">
        <f>'Detailed Budget'!$AC$153</f>
        <v>226428026880.00003</v>
      </c>
      <c r="DI696" s="269"/>
      <c r="DJ696" s="269">
        <f>'Detailed Budget'!$AC$156</f>
        <v>27713070000</v>
      </c>
      <c r="DK696" s="269"/>
      <c r="DL696" s="269"/>
      <c r="DM696" s="196">
        <f>'Detailed Budget'!$AC$178</f>
        <v>5622683761.6229038</v>
      </c>
      <c r="DN696" s="269">
        <f t="shared" si="1853"/>
        <v>0</v>
      </c>
      <c r="DO696" s="196">
        <f>'Detailed Budget'!$AC$179</f>
        <v>26827890683.128094</v>
      </c>
      <c r="DP696" s="269">
        <f t="shared" si="1854"/>
        <v>0</v>
      </c>
      <c r="DQ696" s="269">
        <f t="shared" si="1700"/>
        <v>0</v>
      </c>
      <c r="DR696" s="269">
        <f>'Detailed Budget'!$AC$181</f>
        <v>50888946855.375237</v>
      </c>
      <c r="DS696" s="269">
        <f t="shared" si="1855"/>
        <v>0</v>
      </c>
      <c r="DT696" s="269">
        <f t="shared" si="1856"/>
        <v>0</v>
      </c>
      <c r="DU696" s="272">
        <f>'Detailed Budget'!$AC$192</f>
        <v>77498869683.252869</v>
      </c>
      <c r="DV696" s="269">
        <f t="shared" si="1824"/>
        <v>141609295.94749507</v>
      </c>
      <c r="DW696" s="140">
        <f>'Detailed Budget'!$AC$194</f>
        <v>2684962805.4134097</v>
      </c>
      <c r="DX696" s="269">
        <f t="shared" si="1825"/>
        <v>4906080.4896096047</v>
      </c>
      <c r="DY696" s="607">
        <f t="shared" si="1800"/>
        <v>146515376.43710467</v>
      </c>
      <c r="DZ696" s="196">
        <f>'Detailed Budget'!$AC$198</f>
        <v>18732540018.380611</v>
      </c>
      <c r="EA696" s="269">
        <f t="shared" si="1826"/>
        <v>30154281.673845835</v>
      </c>
      <c r="EB696" s="196">
        <f>'Detailed Budget'!$AC$200</f>
        <v>4683135004.5951529</v>
      </c>
      <c r="EC696" s="269">
        <f t="shared" si="1827"/>
        <v>7538570.4184614588</v>
      </c>
      <c r="ED696" s="269">
        <f t="shared" si="1801"/>
        <v>37692852.092307292</v>
      </c>
      <c r="EE696" s="196">
        <f>'Detailed Budget'!$AC$161</f>
        <v>251147290106.36197</v>
      </c>
      <c r="EF696" s="269">
        <f t="shared" si="1828"/>
        <v>458907221.18194443</v>
      </c>
      <c r="EG696" s="196">
        <f>'Detailed Budget'!$AC$163</f>
        <v>15696705631.647623</v>
      </c>
      <c r="EH696" s="269">
        <f t="shared" si="1829"/>
        <v>28681701.323871527</v>
      </c>
      <c r="EI696" s="269">
        <f t="shared" si="1802"/>
        <v>487588922.50581598</v>
      </c>
      <c r="EJ696" s="196">
        <f>'Detailed Budget'!$AC$204</f>
        <v>45012172507.531975</v>
      </c>
      <c r="EK696" s="269">
        <f t="shared" si="1830"/>
        <v>86353006.940797508</v>
      </c>
      <c r="EL696" s="201">
        <f>'Detailed Budget'!$AC$206</f>
        <v>11253043126.882994</v>
      </c>
      <c r="EM696" s="269">
        <f t="shared" si="1831"/>
        <v>21588251.735199377</v>
      </c>
      <c r="EN696" s="269">
        <f t="shared" si="1803"/>
        <v>107941258.67599688</v>
      </c>
      <c r="EO696" s="140">
        <f>'Detailed Budget'!$AC$209</f>
        <v>135789361677.54817</v>
      </c>
      <c r="EP696" s="269">
        <f t="shared" si="1832"/>
        <v>368536222.29508227</v>
      </c>
      <c r="EQ696" s="196">
        <f>'Detailed Budget'!$AC$211</f>
        <v>33947340419.387043</v>
      </c>
      <c r="ER696" s="269">
        <f t="shared" si="1833"/>
        <v>92134055.573770568</v>
      </c>
      <c r="ES696" s="269">
        <f t="shared" si="1804"/>
        <v>460670277.86885285</v>
      </c>
      <c r="ET696" s="196">
        <f>'Detailed Budget'!$AC$214</f>
        <v>22239745544.201103</v>
      </c>
      <c r="EU696" s="269">
        <f t="shared" si="1834"/>
        <v>41595358.712824613</v>
      </c>
      <c r="EV696" s="140">
        <f>'Detailed Budget'!$AC$217</f>
        <v>5559936386.0502758</v>
      </c>
      <c r="EW696" s="269">
        <f t="shared" si="1835"/>
        <v>10398839.678206153</v>
      </c>
      <c r="EX696" s="269">
        <f t="shared" si="1805"/>
        <v>51994198.391030766</v>
      </c>
      <c r="EY696" s="196">
        <f>'Detailed Budget'!$AC$219</f>
        <v>372777004.58170313</v>
      </c>
      <c r="EZ696" s="269">
        <f t="shared" si="1836"/>
        <v>729910.1028733392</v>
      </c>
      <c r="FA696" s="196">
        <f>'Detailed Budget'!$AC$222</f>
        <v>93194251.145425782</v>
      </c>
      <c r="FB696" s="269">
        <f t="shared" si="1837"/>
        <v>182477.5257183348</v>
      </c>
      <c r="FC696" s="269">
        <f t="shared" si="1806"/>
        <v>912387.62859167403</v>
      </c>
      <c r="FD696" s="269"/>
      <c r="FE696" s="269">
        <f t="shared" si="1807"/>
        <v>621518122.5644722</v>
      </c>
      <c r="FF696" s="140"/>
      <c r="FG696" s="1087">
        <f t="shared" si="1749"/>
        <v>847791859.85744786</v>
      </c>
      <c r="FJ696" s="140">
        <f>'Detailed Budget'!$AC$235</f>
        <v>3623696172</v>
      </c>
      <c r="FK696" s="269">
        <f t="shared" si="1838"/>
        <v>4681778</v>
      </c>
      <c r="FL696" s="269">
        <f t="shared" si="1750"/>
        <v>4681778</v>
      </c>
      <c r="FO696" s="607"/>
      <c r="FP696" s="607"/>
      <c r="FQ696" s="607"/>
      <c r="FR696" s="269">
        <f>'Detailed Budget'!$AC$257</f>
        <v>13636439388</v>
      </c>
      <c r="FS696" s="269">
        <f t="shared" si="1839"/>
        <v>8494356</v>
      </c>
      <c r="FT696" s="269">
        <f t="shared" si="1751"/>
        <v>8494356</v>
      </c>
      <c r="FU696" s="269"/>
      <c r="FV696" s="269"/>
      <c r="FW696" s="269"/>
      <c r="FX696" s="140">
        <f>'Detailed Budget'!$AC$278</f>
        <v>1114560000</v>
      </c>
      <c r="FY696" s="269">
        <f t="shared" si="1840"/>
        <v>1440000</v>
      </c>
      <c r="FZ696" s="269">
        <f t="shared" si="1752"/>
        <v>1440000</v>
      </c>
      <c r="GB696" s="269">
        <f t="shared" si="1760"/>
        <v>2187750956.4561672</v>
      </c>
      <c r="GC696" s="887">
        <f t="shared" si="1808"/>
        <v>1367344.3477851045</v>
      </c>
      <c r="GD696" s="1078">
        <f t="shared" si="1761"/>
        <v>1.2276159519826692E-3</v>
      </c>
    </row>
    <row r="697" spans="1:186" hidden="1" outlineLevel="1">
      <c r="A697" s="211" t="s">
        <v>1489</v>
      </c>
      <c r="B697" s="212" t="s">
        <v>1490</v>
      </c>
      <c r="C697" s="213" t="s">
        <v>215</v>
      </c>
      <c r="D697" s="214"/>
      <c r="E697" s="213"/>
      <c r="F697" s="213"/>
      <c r="G697" s="213" t="s">
        <v>215</v>
      </c>
      <c r="H697" s="213" t="s">
        <v>215</v>
      </c>
      <c r="I697" s="214" t="s">
        <v>215</v>
      </c>
      <c r="J697" s="214"/>
      <c r="K697" s="213"/>
      <c r="L697" s="213"/>
      <c r="M697" s="214" t="s">
        <v>215</v>
      </c>
      <c r="N697" s="213"/>
      <c r="O697" s="214"/>
      <c r="P697" s="213"/>
      <c r="Q697" s="214"/>
      <c r="R697" s="214" t="s">
        <v>215</v>
      </c>
      <c r="S697" s="214"/>
      <c r="T697" s="214"/>
      <c r="U697" s="215">
        <f t="shared" si="1841"/>
        <v>6</v>
      </c>
      <c r="V697" s="845" t="s">
        <v>216</v>
      </c>
      <c r="W697" s="216">
        <v>190194</v>
      </c>
      <c r="X697" s="217">
        <v>3.41</v>
      </c>
      <c r="Y697" s="218">
        <f t="shared" si="1785"/>
        <v>1.0341</v>
      </c>
      <c r="Z697" s="196">
        <v>19</v>
      </c>
      <c r="AA697" s="218">
        <f t="shared" si="1786"/>
        <v>1.8909856119855175</v>
      </c>
      <c r="AB697" s="196">
        <f t="shared" si="1788"/>
        <v>359654.11748597352</v>
      </c>
      <c r="AC697">
        <v>11.9</v>
      </c>
      <c r="AD697" s="196">
        <f t="shared" si="1789"/>
        <v>42798.839980830846</v>
      </c>
      <c r="AE697" s="196">
        <f t="shared" si="1787"/>
        <v>40658.897981789305</v>
      </c>
      <c r="AF697" s="196">
        <f t="shared" si="1842"/>
        <v>0</v>
      </c>
      <c r="AG697" s="606">
        <f t="shared" si="1811"/>
        <v>1.8798889467712683E-3</v>
      </c>
      <c r="AH697" s="196">
        <f t="shared" si="1857"/>
        <v>17982.705874298677</v>
      </c>
      <c r="AI697" s="248">
        <f t="shared" si="1790"/>
        <v>1.3930929776211889E-3</v>
      </c>
      <c r="AJ697" s="196">
        <f t="shared" si="1791"/>
        <v>60781.545855129523</v>
      </c>
      <c r="AK697" s="196">
        <f t="shared" si="1858"/>
        <v>14386.164699438941</v>
      </c>
      <c r="AL697" s="196">
        <f t="shared" si="1859"/>
        <v>14386.164699438941</v>
      </c>
      <c r="AM697" s="196">
        <f t="shared" si="1792"/>
        <v>28772.329398877882</v>
      </c>
      <c r="AN697" s="627">
        <f t="shared" si="1793"/>
        <v>1.3930929776211889E-3</v>
      </c>
      <c r="AO697" s="196">
        <f t="shared" si="1794"/>
        <v>13666.856464466993</v>
      </c>
      <c r="AP697" s="589">
        <f t="shared" si="1812"/>
        <v>1.3930929776211887E-3</v>
      </c>
      <c r="AQ697" s="196"/>
      <c r="AR697" s="589"/>
      <c r="AS697">
        <v>1</v>
      </c>
      <c r="AT697" s="589">
        <f t="shared" si="1813"/>
        <v>1.2919896640826874E-3</v>
      </c>
      <c r="AU697" s="196">
        <v>10</v>
      </c>
      <c r="AV697" s="245">
        <f t="shared" si="1795"/>
        <v>1.1362345188046814E-3</v>
      </c>
      <c r="AX697" s="245"/>
      <c r="AY697" s="245"/>
      <c r="AZ697" s="196">
        <v>13</v>
      </c>
      <c r="BA697" s="589">
        <f t="shared" si="1754"/>
        <v>4.7634751383239895E-4</v>
      </c>
      <c r="BI697" s="196">
        <v>0</v>
      </c>
      <c r="BK697" s="246">
        <f t="shared" si="1755"/>
        <v>0</v>
      </c>
      <c r="BL697" s="246"/>
      <c r="BM697" s="246">
        <f t="shared" si="1756"/>
        <v>0</v>
      </c>
      <c r="BN697" s="196">
        <v>1</v>
      </c>
      <c r="BO697" s="196">
        <f t="shared" si="1843"/>
        <v>17488.338734095061</v>
      </c>
      <c r="BP697" s="196">
        <f t="shared" si="1796"/>
        <v>17488.338734095061</v>
      </c>
      <c r="BQ697" s="248">
        <f t="shared" si="1757"/>
        <v>1.6359526497883173E-3</v>
      </c>
      <c r="BR697" s="248"/>
      <c r="BS697" s="248"/>
      <c r="BT697" s="276">
        <v>0</v>
      </c>
      <c r="BU697" s="196">
        <f t="shared" si="1844"/>
        <v>0</v>
      </c>
      <c r="BV697" s="264">
        <f t="shared" si="1758"/>
        <v>0</v>
      </c>
      <c r="BW697" s="196">
        <f t="shared" si="1845"/>
        <v>0</v>
      </c>
      <c r="BX697" s="247">
        <f t="shared" si="1759"/>
        <v>0</v>
      </c>
      <c r="BY697" s="196">
        <f t="shared" si="1860"/>
        <v>0</v>
      </c>
      <c r="BZ697" s="620">
        <v>1</v>
      </c>
      <c r="CA697" s="196">
        <f t="shared" si="1846"/>
        <v>110054.15995070789</v>
      </c>
      <c r="CB697" s="196">
        <f t="shared" si="1847"/>
        <v>220108.31990141579</v>
      </c>
      <c r="CC697" s="196">
        <f t="shared" si="1809"/>
        <v>330162.47985212365</v>
      </c>
      <c r="CD697" s="247">
        <f t="shared" si="1797"/>
        <v>1.3930929776211887E-3</v>
      </c>
      <c r="CE697" s="196">
        <f t="shared" si="1848"/>
        <v>28419.871510033765</v>
      </c>
      <c r="CF697" s="247">
        <f t="shared" si="1798"/>
        <v>1.2272584360594932E-3</v>
      </c>
      <c r="CG697" s="196">
        <f t="shared" si="1820"/>
        <v>54667.425857867973</v>
      </c>
      <c r="CH697" s="589">
        <f t="shared" si="1814"/>
        <v>1.3930929776211887E-3</v>
      </c>
      <c r="CI697" s="196">
        <f t="shared" si="1849"/>
        <v>88967.103610098333</v>
      </c>
      <c r="CJ697" s="248">
        <f t="shared" si="1815"/>
        <v>1.4626189575216496E-3</v>
      </c>
      <c r="CK697" s="196">
        <f t="shared" si="1850"/>
        <v>143940.85339742689</v>
      </c>
      <c r="CL697" s="589">
        <f t="shared" si="1816"/>
        <v>2.0691793749583929E-3</v>
      </c>
      <c r="CM697" s="196">
        <f t="shared" si="1851"/>
        <v>9894.6522883948237</v>
      </c>
      <c r="CN697" s="589">
        <f t="shared" si="1817"/>
        <v>1.4259318440281005E-3</v>
      </c>
      <c r="CO697" s="196">
        <f t="shared" si="1852"/>
        <v>791.58535360018482</v>
      </c>
      <c r="CP697" s="589">
        <f t="shared" si="1818"/>
        <v>1.4928080502996323E-3</v>
      </c>
      <c r="CQ697" s="196">
        <f>'Detailed Budget'!$AC$12</f>
        <v>292876014141.44696</v>
      </c>
      <c r="CR697" s="269">
        <f t="shared" si="1701"/>
        <v>0</v>
      </c>
      <c r="CS697" s="269">
        <f>'Detailed Budget'!$AC$16</f>
        <v>10488008800.000002</v>
      </c>
      <c r="CT697" s="607">
        <f t="shared" si="1822"/>
        <v>0</v>
      </c>
      <c r="CU697" s="269">
        <f>'Detailed Budget'!$AC$24</f>
        <v>30624985696</v>
      </c>
      <c r="CV697" s="269">
        <f t="shared" si="1753"/>
        <v>0</v>
      </c>
      <c r="CW697" s="269"/>
      <c r="CX697" s="269">
        <f t="shared" si="1810"/>
        <v>0</v>
      </c>
      <c r="CY697" s="196"/>
      <c r="DA697" s="269">
        <f>'Detailed Budget'!$AC$100</f>
        <v>14925833098.967569</v>
      </c>
      <c r="DB697" s="269">
        <f t="shared" si="1823"/>
        <v>24417956.208554167</v>
      </c>
      <c r="DC697" s="269">
        <f t="shared" si="1799"/>
        <v>24417956.208554167</v>
      </c>
      <c r="DD697" s="207">
        <v>0</v>
      </c>
      <c r="DE697" s="606">
        <v>0</v>
      </c>
      <c r="DF697" s="269">
        <f>'Detailed Budget'!$AC$147</f>
        <v>5913600671000</v>
      </c>
      <c r="DG697" s="269">
        <f t="shared" si="1748"/>
        <v>0</v>
      </c>
      <c r="DH697" s="269">
        <f>'Detailed Budget'!$AC$153</f>
        <v>226428026880.00003</v>
      </c>
      <c r="DI697" s="269"/>
      <c r="DJ697" s="269">
        <f>'Detailed Budget'!$AC$156</f>
        <v>27713070000</v>
      </c>
      <c r="DK697" s="269"/>
      <c r="DL697" s="269"/>
      <c r="DM697" s="196">
        <f>'Detailed Budget'!$AC$178</f>
        <v>5622683761.6229038</v>
      </c>
      <c r="DN697" s="269">
        <f t="shared" si="1853"/>
        <v>0</v>
      </c>
      <c r="DO697" s="196">
        <f>'Detailed Budget'!$AC$179</f>
        <v>26827890683.128094</v>
      </c>
      <c r="DP697" s="269">
        <f t="shared" si="1854"/>
        <v>0</v>
      </c>
      <c r="DQ697" s="269">
        <f t="shared" si="1700"/>
        <v>0</v>
      </c>
      <c r="DR697" s="269">
        <f>'Detailed Budget'!$AC$181</f>
        <v>50888946855.375237</v>
      </c>
      <c r="DS697" s="269">
        <f t="shared" si="1855"/>
        <v>0</v>
      </c>
      <c r="DT697" s="269">
        <f t="shared" si="1856"/>
        <v>0</v>
      </c>
      <c r="DU697" s="272">
        <f>'Detailed Budget'!$AC$192</f>
        <v>77498869683.252869</v>
      </c>
      <c r="DV697" s="269">
        <f t="shared" si="1824"/>
        <v>107963131.12931921</v>
      </c>
      <c r="DW697" s="140">
        <f>'Detailed Budget'!$AC$194</f>
        <v>2684962805.4134097</v>
      </c>
      <c r="DX697" s="269">
        <f t="shared" si="1825"/>
        <v>3740402.8293955079</v>
      </c>
      <c r="DY697" s="607">
        <f t="shared" si="1800"/>
        <v>111703533.95871471</v>
      </c>
      <c r="DZ697" s="196">
        <f>'Detailed Budget'!$AC$198</f>
        <v>18732540018.380611</v>
      </c>
      <c r="EA697" s="269">
        <f t="shared" si="1826"/>
        <v>22989667.766379658</v>
      </c>
      <c r="EB697" s="196">
        <f>'Detailed Budget'!$AC$200</f>
        <v>4683135004.5951529</v>
      </c>
      <c r="EC697" s="269">
        <f t="shared" si="1827"/>
        <v>5747416.9415949145</v>
      </c>
      <c r="ED697" s="269">
        <f t="shared" si="1801"/>
        <v>28737084.707974572</v>
      </c>
      <c r="EE697" s="196">
        <f>'Detailed Budget'!$AC$161</f>
        <v>251147290106.36197</v>
      </c>
      <c r="EF697" s="269">
        <f t="shared" si="1828"/>
        <v>349871526.1957643</v>
      </c>
      <c r="EG697" s="196">
        <f>'Detailed Budget'!$AC$163</f>
        <v>15696705631.647623</v>
      </c>
      <c r="EH697" s="269">
        <f t="shared" si="1829"/>
        <v>21866970.387235269</v>
      </c>
      <c r="EI697" s="269">
        <f t="shared" si="1802"/>
        <v>371738496.58299959</v>
      </c>
      <c r="EJ697" s="196">
        <f>'Detailed Budget'!$AC$204</f>
        <v>45012172507.531975</v>
      </c>
      <c r="EK697" s="269">
        <f t="shared" si="1830"/>
        <v>65835656.828751072</v>
      </c>
      <c r="EL697" s="201">
        <f>'Detailed Budget'!$AC$206</f>
        <v>11253043126.882994</v>
      </c>
      <c r="EM697" s="269">
        <f t="shared" si="1831"/>
        <v>16458914.207187768</v>
      </c>
      <c r="EN697" s="269">
        <f t="shared" si="1803"/>
        <v>82294571.035938844</v>
      </c>
      <c r="EO697" s="140">
        <f>'Detailed Budget'!$AC$209</f>
        <v>135789361677.54817</v>
      </c>
      <c r="EP697" s="269">
        <f t="shared" si="1832"/>
        <v>280972546.52194828</v>
      </c>
      <c r="EQ697" s="196">
        <f>'Detailed Budget'!$AC$211</f>
        <v>33947340419.387043</v>
      </c>
      <c r="ER697" s="269">
        <f t="shared" si="1833"/>
        <v>70243136.630487069</v>
      </c>
      <c r="ES697" s="269">
        <f t="shared" si="1804"/>
        <v>351215683.15243536</v>
      </c>
      <c r="ET697" s="196">
        <f>'Detailed Budget'!$AC$214</f>
        <v>22239745544.201103</v>
      </c>
      <c r="EU697" s="269">
        <f t="shared" si="1834"/>
        <v>31712361.374558412</v>
      </c>
      <c r="EV697" s="140">
        <f>'Detailed Budget'!$AC$217</f>
        <v>5559936386.0502758</v>
      </c>
      <c r="EW697" s="269">
        <f t="shared" si="1835"/>
        <v>7928090.3436396029</v>
      </c>
      <c r="EX697" s="269">
        <f t="shared" si="1805"/>
        <v>39640451.718198016</v>
      </c>
      <c r="EY697" s="196">
        <f>'Detailed Budget'!$AC$219</f>
        <v>372777004.58170313</v>
      </c>
      <c r="EZ697" s="269">
        <f t="shared" si="1836"/>
        <v>556484.51340614934</v>
      </c>
      <c r="FA697" s="196">
        <f>'Detailed Budget'!$AC$222</f>
        <v>93194251.145425782</v>
      </c>
      <c r="FB697" s="269">
        <f t="shared" si="1837"/>
        <v>139121.12835153734</v>
      </c>
      <c r="FC697" s="269">
        <f t="shared" si="1806"/>
        <v>695605.64175768662</v>
      </c>
      <c r="FD697" s="269"/>
      <c r="FE697" s="269">
        <f t="shared" si="1807"/>
        <v>473846311.54832989</v>
      </c>
      <c r="FF697" s="140"/>
      <c r="FG697" s="1087">
        <f t="shared" si="1749"/>
        <v>646357734.66521585</v>
      </c>
      <c r="FJ697" s="140">
        <f>'Detailed Budget'!$AC$235</f>
        <v>3623696172</v>
      </c>
      <c r="FK697" s="269">
        <f t="shared" si="1838"/>
        <v>4681778</v>
      </c>
      <c r="FL697" s="269">
        <f t="shared" si="1750"/>
        <v>4681778</v>
      </c>
      <c r="FO697" s="607"/>
      <c r="FP697" s="607"/>
      <c r="FQ697" s="607"/>
      <c r="FR697" s="269">
        <f>'Detailed Budget'!$AC$257</f>
        <v>13636439388</v>
      </c>
      <c r="FS697" s="269">
        <f t="shared" si="1839"/>
        <v>6495684</v>
      </c>
      <c r="FT697" s="269">
        <f t="shared" si="1751"/>
        <v>6495684</v>
      </c>
      <c r="FU697" s="269"/>
      <c r="FV697" s="269"/>
      <c r="FW697" s="269"/>
      <c r="FX697" s="140">
        <f>'Detailed Budget'!$AC$278</f>
        <v>1114560000</v>
      </c>
      <c r="FY697" s="269">
        <f t="shared" si="1840"/>
        <v>1440000</v>
      </c>
      <c r="FZ697" s="269">
        <f t="shared" si="1752"/>
        <v>1440000</v>
      </c>
      <c r="GB697" s="269">
        <f t="shared" si="1760"/>
        <v>1669418579.6717887</v>
      </c>
      <c r="GC697" s="887">
        <f t="shared" si="1808"/>
        <v>1043386.612294868</v>
      </c>
      <c r="GD697" s="1078">
        <f t="shared" si="1761"/>
        <v>9.3676333354737555E-4</v>
      </c>
    </row>
    <row r="698" spans="1:186" hidden="1" outlineLevel="1">
      <c r="A698" s="211" t="s">
        <v>1491</v>
      </c>
      <c r="B698" s="212" t="s">
        <v>1492</v>
      </c>
      <c r="C698" s="213" t="s">
        <v>215</v>
      </c>
      <c r="D698" s="214"/>
      <c r="E698" s="213"/>
      <c r="F698" s="213"/>
      <c r="G698" s="213" t="s">
        <v>215</v>
      </c>
      <c r="H698" s="213" t="s">
        <v>215</v>
      </c>
      <c r="I698" s="214" t="s">
        <v>215</v>
      </c>
      <c r="J698" s="214"/>
      <c r="K698" s="213"/>
      <c r="L698" s="213"/>
      <c r="M698" s="214" t="s">
        <v>215</v>
      </c>
      <c r="N698" s="213"/>
      <c r="O698" s="214"/>
      <c r="P698" s="213"/>
      <c r="Q698" s="214"/>
      <c r="R698" s="214" t="s">
        <v>215</v>
      </c>
      <c r="S698" s="214"/>
      <c r="T698" s="214"/>
      <c r="U698" s="215">
        <f t="shared" si="1841"/>
        <v>6</v>
      </c>
      <c r="V698" s="845" t="s">
        <v>216</v>
      </c>
      <c r="W698" s="216">
        <v>201057</v>
      </c>
      <c r="X698" s="217">
        <v>3.41</v>
      </c>
      <c r="Y698" s="218">
        <f t="shared" si="1785"/>
        <v>1.0341</v>
      </c>
      <c r="Z698" s="196">
        <v>19</v>
      </c>
      <c r="AA698" s="218">
        <f t="shared" si="1786"/>
        <v>1.8909856119855175</v>
      </c>
      <c r="AB698" s="196">
        <f t="shared" si="1788"/>
        <v>380195.89418897219</v>
      </c>
      <c r="AC698">
        <v>11.9</v>
      </c>
      <c r="AD698" s="196">
        <f t="shared" si="1789"/>
        <v>45243.311408487687</v>
      </c>
      <c r="AE698" s="196">
        <f t="shared" si="1787"/>
        <v>42981.145838063298</v>
      </c>
      <c r="AF698" s="196">
        <f t="shared" si="1842"/>
        <v>0</v>
      </c>
      <c r="AG698" s="606">
        <f t="shared" si="1811"/>
        <v>1.9872594927862644E-3</v>
      </c>
      <c r="AH698" s="196">
        <f t="shared" si="1857"/>
        <v>19009.794709448612</v>
      </c>
      <c r="AI698" s="248">
        <f t="shared" si="1790"/>
        <v>1.4726599934886662E-3</v>
      </c>
      <c r="AJ698" s="196">
        <f t="shared" si="1791"/>
        <v>64253.106117936302</v>
      </c>
      <c r="AK698" s="196">
        <f t="shared" si="1858"/>
        <v>15207.835767558889</v>
      </c>
      <c r="AL698" s="196">
        <f t="shared" si="1859"/>
        <v>15207.835767558889</v>
      </c>
      <c r="AM698" s="196">
        <f t="shared" si="1792"/>
        <v>30415.671535117777</v>
      </c>
      <c r="AN698" s="627">
        <f t="shared" si="1793"/>
        <v>1.4726599934886662E-3</v>
      </c>
      <c r="AO698" s="196">
        <f t="shared" si="1794"/>
        <v>14447.443979180944</v>
      </c>
      <c r="AP698" s="589">
        <f t="shared" si="1812"/>
        <v>1.4726599934886662E-3</v>
      </c>
      <c r="AQ698" s="196"/>
      <c r="AR698" s="589"/>
      <c r="AS698">
        <v>1</v>
      </c>
      <c r="AT698" s="589">
        <f t="shared" si="1813"/>
        <v>1.2919896640826874E-3</v>
      </c>
      <c r="AU698" s="196">
        <v>14</v>
      </c>
      <c r="AV698" s="245">
        <f t="shared" si="1795"/>
        <v>1.5907283263265539E-3</v>
      </c>
      <c r="AX698" s="245"/>
      <c r="AY698" s="245"/>
      <c r="AZ698" s="196">
        <v>18</v>
      </c>
      <c r="BA698" s="589">
        <f t="shared" si="1754"/>
        <v>6.5955809607562931E-4</v>
      </c>
      <c r="BI698" s="196">
        <v>0</v>
      </c>
      <c r="BK698" s="246">
        <f t="shared" si="1755"/>
        <v>0</v>
      </c>
      <c r="BL698" s="246"/>
      <c r="BM698" s="246">
        <f t="shared" si="1756"/>
        <v>0</v>
      </c>
      <c r="BN698" s="196">
        <v>1</v>
      </c>
      <c r="BO698" s="196">
        <f t="shared" si="1843"/>
        <v>18487.191608888559</v>
      </c>
      <c r="BP698" s="196">
        <f t="shared" si="1796"/>
        <v>18487.191608888559</v>
      </c>
      <c r="BQ698" s="248">
        <f t="shared" si="1757"/>
        <v>1.7293906848191304E-3</v>
      </c>
      <c r="BR698" s="248"/>
      <c r="BS698" s="248"/>
      <c r="BT698" s="276">
        <v>0</v>
      </c>
      <c r="BU698" s="196">
        <f t="shared" si="1844"/>
        <v>0</v>
      </c>
      <c r="BV698" s="264">
        <f t="shared" si="1758"/>
        <v>0</v>
      </c>
      <c r="BW698" s="196">
        <f t="shared" si="1845"/>
        <v>0</v>
      </c>
      <c r="BX698" s="247">
        <f t="shared" si="1759"/>
        <v>0</v>
      </c>
      <c r="BY698" s="196">
        <f t="shared" si="1860"/>
        <v>0</v>
      </c>
      <c r="BZ698" s="620">
        <v>1</v>
      </c>
      <c r="CA698" s="196">
        <f t="shared" si="1846"/>
        <v>116339.9436218255</v>
      </c>
      <c r="CB698" s="196">
        <f t="shared" si="1847"/>
        <v>232679.887243651</v>
      </c>
      <c r="CC698" s="196">
        <f t="shared" si="1809"/>
        <v>349019.83086547651</v>
      </c>
      <c r="CD698" s="247">
        <f t="shared" si="1797"/>
        <v>1.4726599934886664E-3</v>
      </c>
      <c r="CE698" s="196">
        <f t="shared" si="1848"/>
        <v>30043.082884806354</v>
      </c>
      <c r="CF698" s="247">
        <f t="shared" si="1798"/>
        <v>1.2973537513213537E-3</v>
      </c>
      <c r="CG698" s="196">
        <f t="shared" si="1820"/>
        <v>57789.775916723775</v>
      </c>
      <c r="CH698" s="589">
        <f t="shared" si="1814"/>
        <v>1.4726599934886662E-3</v>
      </c>
      <c r="CI698" s="196">
        <f t="shared" si="1849"/>
        <v>94048.492331700982</v>
      </c>
      <c r="CJ698" s="248">
        <f t="shared" si="1815"/>
        <v>1.5461569752065272E-3</v>
      </c>
      <c r="CK698" s="196">
        <f t="shared" si="1850"/>
        <v>152162.08798135829</v>
      </c>
      <c r="CL698" s="589">
        <f t="shared" si="1816"/>
        <v>2.1873613131382147E-3</v>
      </c>
      <c r="CM698" s="196">
        <f t="shared" si="1851"/>
        <v>10459.788979398918</v>
      </c>
      <c r="CN698" s="589">
        <f t="shared" si="1817"/>
        <v>1.5073744637830728E-3</v>
      </c>
      <c r="CO698" s="196">
        <f t="shared" si="1852"/>
        <v>836.79704112007926</v>
      </c>
      <c r="CP698" s="589">
        <f t="shared" si="1818"/>
        <v>1.5780703290802715E-3</v>
      </c>
      <c r="CQ698" s="196">
        <f>'Detailed Budget'!$AC$12</f>
        <v>292876014141.44696</v>
      </c>
      <c r="CR698" s="269">
        <f t="shared" si="1701"/>
        <v>0</v>
      </c>
      <c r="CS698" s="269">
        <f>'Detailed Budget'!$AC$16</f>
        <v>10488008800.000002</v>
      </c>
      <c r="CT698" s="607">
        <f t="shared" si="1822"/>
        <v>0</v>
      </c>
      <c r="CU698" s="269">
        <f>'Detailed Budget'!$AC$24</f>
        <v>30624985696</v>
      </c>
      <c r="CV698" s="269">
        <f t="shared" si="1753"/>
        <v>0</v>
      </c>
      <c r="CW698" s="269"/>
      <c r="CX698" s="269">
        <f t="shared" si="1810"/>
        <v>0</v>
      </c>
      <c r="CY698" s="196"/>
      <c r="DA698" s="269">
        <f>'Detailed Budget'!$AC$100</f>
        <v>14925833098.967569</v>
      </c>
      <c r="DB698" s="269">
        <f t="shared" si="1823"/>
        <v>25812596.724519566</v>
      </c>
      <c r="DC698" s="269">
        <f t="shared" si="1799"/>
        <v>25812596.724519566</v>
      </c>
      <c r="DD698" s="207">
        <v>0</v>
      </c>
      <c r="DE698" s="606">
        <v>0</v>
      </c>
      <c r="DF698" s="269">
        <f>'Detailed Budget'!$AC$147</f>
        <v>5913600671000</v>
      </c>
      <c r="DG698" s="269">
        <f t="shared" si="1748"/>
        <v>0</v>
      </c>
      <c r="DH698" s="269">
        <f>'Detailed Budget'!$AC$153</f>
        <v>226428026880.00003</v>
      </c>
      <c r="DI698" s="269"/>
      <c r="DJ698" s="269">
        <f>'Detailed Budget'!$AC$156</f>
        <v>27713070000</v>
      </c>
      <c r="DK698" s="269"/>
      <c r="DL698" s="269"/>
      <c r="DM698" s="196">
        <f>'Detailed Budget'!$AC$178</f>
        <v>5622683761.6229038</v>
      </c>
      <c r="DN698" s="269">
        <f t="shared" si="1853"/>
        <v>0</v>
      </c>
      <c r="DO698" s="196">
        <f>'Detailed Budget'!$AC$179</f>
        <v>26827890683.128094</v>
      </c>
      <c r="DP698" s="269">
        <f t="shared" si="1854"/>
        <v>0</v>
      </c>
      <c r="DQ698" s="269">
        <f t="shared" si="1700"/>
        <v>0</v>
      </c>
      <c r="DR698" s="269">
        <f>'Detailed Budget'!$AC$181</f>
        <v>50888946855.375237</v>
      </c>
      <c r="DS698" s="269">
        <f t="shared" si="1855"/>
        <v>0</v>
      </c>
      <c r="DT698" s="269">
        <f t="shared" si="1856"/>
        <v>0</v>
      </c>
      <c r="DU698" s="272">
        <f>'Detailed Budget'!$AC$192</f>
        <v>77498869683.252869</v>
      </c>
      <c r="DV698" s="269">
        <f t="shared" si="1824"/>
        <v>114129484.92311817</v>
      </c>
      <c r="DW698" s="140">
        <f>'Detailed Budget'!$AC$194</f>
        <v>2684962805.4134097</v>
      </c>
      <c r="DX698" s="269">
        <f t="shared" si="1825"/>
        <v>3954037.307537423</v>
      </c>
      <c r="DY698" s="607">
        <f t="shared" si="1800"/>
        <v>118083522.2306556</v>
      </c>
      <c r="DZ698" s="196">
        <f>'Detailed Budget'!$AC$198</f>
        <v>18732540018.380611</v>
      </c>
      <c r="EA698" s="269">
        <f t="shared" si="1826"/>
        <v>24302731.064623464</v>
      </c>
      <c r="EB698" s="196">
        <f>'Detailed Budget'!$AC$200</f>
        <v>4683135004.5951529</v>
      </c>
      <c r="EC698" s="269">
        <f t="shared" si="1827"/>
        <v>6075682.766155866</v>
      </c>
      <c r="ED698" s="269">
        <f t="shared" si="1801"/>
        <v>30378413.830779329</v>
      </c>
      <c r="EE698" s="196">
        <f>'Detailed Budget'!$AC$161</f>
        <v>251147290106.36197</v>
      </c>
      <c r="EF698" s="269">
        <f t="shared" si="1828"/>
        <v>369854566.61273116</v>
      </c>
      <c r="EG698" s="196">
        <f>'Detailed Budget'!$AC$163</f>
        <v>15696705631.647623</v>
      </c>
      <c r="EH698" s="269">
        <f t="shared" si="1829"/>
        <v>23115910.413295697</v>
      </c>
      <c r="EI698" s="269">
        <f t="shared" si="1802"/>
        <v>392970477.02602684</v>
      </c>
      <c r="EJ698" s="196">
        <f>'Detailed Budget'!$AC$204</f>
        <v>45012172507.531975</v>
      </c>
      <c r="EK698" s="269">
        <f t="shared" si="1830"/>
        <v>69595884.491720036</v>
      </c>
      <c r="EL698" s="201">
        <f>'Detailed Budget'!$AC$206</f>
        <v>11253043126.882994</v>
      </c>
      <c r="EM698" s="269">
        <f t="shared" si="1831"/>
        <v>17398971.122930009</v>
      </c>
      <c r="EN698" s="269">
        <f t="shared" si="1803"/>
        <v>86994855.614650041</v>
      </c>
      <c r="EO698" s="140">
        <f>'Detailed Budget'!$AC$209</f>
        <v>135789361677.54817</v>
      </c>
      <c r="EP698" s="269">
        <f t="shared" si="1832"/>
        <v>297020396.46920174</v>
      </c>
      <c r="EQ698" s="196">
        <f>'Detailed Budget'!$AC$211</f>
        <v>33947340419.387043</v>
      </c>
      <c r="ER698" s="269">
        <f t="shared" si="1833"/>
        <v>74255099.117300436</v>
      </c>
      <c r="ES698" s="269">
        <f t="shared" si="1804"/>
        <v>371275495.58650219</v>
      </c>
      <c r="ET698" s="196">
        <f>'Detailed Budget'!$AC$214</f>
        <v>22239745544.201103</v>
      </c>
      <c r="EU698" s="269">
        <f t="shared" si="1834"/>
        <v>33523624.514362123</v>
      </c>
      <c r="EV698" s="140">
        <f>'Detailed Budget'!$AC$217</f>
        <v>5559936386.0502758</v>
      </c>
      <c r="EW698" s="269">
        <f t="shared" si="1835"/>
        <v>8380906.1285905307</v>
      </c>
      <c r="EX698" s="269">
        <f t="shared" si="1805"/>
        <v>41904530.642952651</v>
      </c>
      <c r="EY698" s="196">
        <f>'Detailed Budget'!$AC$219</f>
        <v>372777004.58170313</v>
      </c>
      <c r="EZ698" s="269">
        <f t="shared" si="1836"/>
        <v>588268.33029380615</v>
      </c>
      <c r="FA698" s="196">
        <f>'Detailed Budget'!$AC$222</f>
        <v>93194251.145425782</v>
      </c>
      <c r="FB698" s="269">
        <f t="shared" si="1837"/>
        <v>147067.08257345154</v>
      </c>
      <c r="FC698" s="269">
        <f t="shared" si="1806"/>
        <v>735335.41286725772</v>
      </c>
      <c r="FD698" s="269"/>
      <c r="FE698" s="269">
        <f t="shared" si="1807"/>
        <v>500910217.25697213</v>
      </c>
      <c r="FF698" s="140"/>
      <c r="FG698" s="1087">
        <f t="shared" si="1749"/>
        <v>683274693.5160116</v>
      </c>
      <c r="FJ698" s="140">
        <f>'Detailed Budget'!$AC$235</f>
        <v>3623696172</v>
      </c>
      <c r="FK698" s="269">
        <f t="shared" si="1838"/>
        <v>4681778</v>
      </c>
      <c r="FL698" s="269">
        <f t="shared" si="1750"/>
        <v>4681778</v>
      </c>
      <c r="FO698" s="607"/>
      <c r="FP698" s="607"/>
      <c r="FQ698" s="607"/>
      <c r="FR698" s="269">
        <f>'Detailed Budget'!$AC$257</f>
        <v>13636439388</v>
      </c>
      <c r="FS698" s="269">
        <f t="shared" si="1839"/>
        <v>8994024</v>
      </c>
      <c r="FT698" s="269">
        <f t="shared" si="1751"/>
        <v>8994024</v>
      </c>
      <c r="FU698" s="269"/>
      <c r="FV698" s="269"/>
      <c r="FW698" s="269"/>
      <c r="FX698" s="140">
        <f>'Detailed Budget'!$AC$278</f>
        <v>1114560000</v>
      </c>
      <c r="FY698" s="269">
        <f t="shared" si="1840"/>
        <v>1440000</v>
      </c>
      <c r="FZ698" s="269">
        <f t="shared" si="1752"/>
        <v>1440000</v>
      </c>
      <c r="GB698" s="269">
        <f t="shared" si="1760"/>
        <v>1766545722.5849652</v>
      </c>
      <c r="GC698" s="887">
        <f t="shared" si="1808"/>
        <v>1104091.0766156032</v>
      </c>
      <c r="GD698" s="1078">
        <f t="shared" si="1761"/>
        <v>9.91264431882562E-4</v>
      </c>
    </row>
    <row r="699" spans="1:186" hidden="1" outlineLevel="1">
      <c r="A699" s="211" t="s">
        <v>1493</v>
      </c>
      <c r="B699" s="212" t="s">
        <v>1494</v>
      </c>
      <c r="C699" s="213" t="s">
        <v>215</v>
      </c>
      <c r="D699" s="214"/>
      <c r="E699" s="213"/>
      <c r="F699" s="213"/>
      <c r="G699" s="213" t="s">
        <v>215</v>
      </c>
      <c r="H699" s="213" t="s">
        <v>215</v>
      </c>
      <c r="I699" s="214" t="s">
        <v>215</v>
      </c>
      <c r="J699" s="214"/>
      <c r="K699" s="213"/>
      <c r="L699" s="213"/>
      <c r="M699" s="214" t="s">
        <v>215</v>
      </c>
      <c r="N699" s="213"/>
      <c r="O699" s="214"/>
      <c r="P699" s="213"/>
      <c r="Q699" s="214"/>
      <c r="R699" s="214" t="s">
        <v>215</v>
      </c>
      <c r="S699" s="214"/>
      <c r="T699" s="214"/>
      <c r="U699" s="215">
        <f t="shared" si="1841"/>
        <v>6</v>
      </c>
      <c r="V699" s="845" t="s">
        <v>216</v>
      </c>
      <c r="W699" s="216">
        <v>249939</v>
      </c>
      <c r="X699" s="217">
        <v>3.41</v>
      </c>
      <c r="Y699" s="218">
        <f t="shared" si="1785"/>
        <v>1.0341</v>
      </c>
      <c r="Z699" s="196">
        <v>19</v>
      </c>
      <c r="AA699" s="218">
        <f t="shared" si="1786"/>
        <v>1.8909856119855175</v>
      </c>
      <c r="AB699" s="196">
        <f t="shared" si="1788"/>
        <v>472631.05287404824</v>
      </c>
      <c r="AC699">
        <v>11.9</v>
      </c>
      <c r="AD699" s="196">
        <f t="shared" si="1789"/>
        <v>56243.095292011742</v>
      </c>
      <c r="AE699" s="196">
        <f t="shared" si="1787"/>
        <v>53430.940527411149</v>
      </c>
      <c r="AF699" s="196">
        <f t="shared" si="1842"/>
        <v>0</v>
      </c>
      <c r="AG699" s="606">
        <f t="shared" si="1811"/>
        <v>2.4704121237634413E-3</v>
      </c>
      <c r="AH699" s="196">
        <f t="shared" si="1857"/>
        <v>23631.552643702413</v>
      </c>
      <c r="AI699" s="248">
        <f t="shared" si="1790"/>
        <v>1.8307005780080461E-3</v>
      </c>
      <c r="AJ699" s="196">
        <f t="shared" si="1791"/>
        <v>79874.647935714151</v>
      </c>
      <c r="AK699" s="196">
        <f t="shared" si="1858"/>
        <v>18905.242114961929</v>
      </c>
      <c r="AL699" s="196">
        <f t="shared" si="1859"/>
        <v>18905.242114961929</v>
      </c>
      <c r="AM699" s="196">
        <f t="shared" si="1792"/>
        <v>37810.484229923859</v>
      </c>
      <c r="AN699" s="627">
        <f t="shared" si="1793"/>
        <v>1.8307005780080459E-3</v>
      </c>
      <c r="AO699" s="196">
        <f t="shared" si="1794"/>
        <v>17959.980009213832</v>
      </c>
      <c r="AP699" s="589">
        <f t="shared" si="1812"/>
        <v>1.8307005780080459E-3</v>
      </c>
      <c r="AQ699" s="196"/>
      <c r="AR699" s="589"/>
      <c r="AS699">
        <v>1</v>
      </c>
      <c r="AT699" s="589">
        <f t="shared" si="1813"/>
        <v>1.2919896640826874E-3</v>
      </c>
      <c r="AU699" s="196">
        <v>19</v>
      </c>
      <c r="AV699" s="245">
        <f t="shared" si="1795"/>
        <v>2.1588455857288946E-3</v>
      </c>
      <c r="AX699" s="245"/>
      <c r="AY699" s="245"/>
      <c r="AZ699" s="196">
        <v>42</v>
      </c>
      <c r="BA699" s="589">
        <f t="shared" si="1754"/>
        <v>1.5389688908431351E-3</v>
      </c>
      <c r="BI699" s="196">
        <v>0</v>
      </c>
      <c r="BK699" s="246">
        <f t="shared" si="1755"/>
        <v>0</v>
      </c>
      <c r="BL699" s="246"/>
      <c r="BM699" s="246">
        <f t="shared" si="1756"/>
        <v>0</v>
      </c>
      <c r="BN699" s="196">
        <v>1</v>
      </c>
      <c r="BO699" s="196">
        <f t="shared" si="1843"/>
        <v>22981.891620455877</v>
      </c>
      <c r="BP699" s="196">
        <f t="shared" si="1796"/>
        <v>22981.891620455877</v>
      </c>
      <c r="BQ699" s="248">
        <f t="shared" si="1757"/>
        <v>2.1498489402160016E-3</v>
      </c>
      <c r="BR699" s="248"/>
      <c r="BS699" s="248"/>
      <c r="BT699" s="276">
        <v>0</v>
      </c>
      <c r="BU699" s="196">
        <f t="shared" si="1844"/>
        <v>0</v>
      </c>
      <c r="BV699" s="264">
        <f t="shared" si="1758"/>
        <v>0</v>
      </c>
      <c r="BW699" s="196">
        <f t="shared" si="1845"/>
        <v>0</v>
      </c>
      <c r="BX699" s="247">
        <f t="shared" si="1759"/>
        <v>0</v>
      </c>
      <c r="BY699" s="196">
        <f t="shared" si="1860"/>
        <v>0</v>
      </c>
      <c r="BZ699" s="620">
        <v>1</v>
      </c>
      <c r="CA699" s="196">
        <f t="shared" si="1846"/>
        <v>144625.10217945877</v>
      </c>
      <c r="CB699" s="196">
        <f t="shared" si="1847"/>
        <v>289250.20435891754</v>
      </c>
      <c r="CC699" s="196">
        <f t="shared" si="1809"/>
        <v>433875.30653837632</v>
      </c>
      <c r="CD699" s="247">
        <f t="shared" si="1797"/>
        <v>1.8307005780080461E-3</v>
      </c>
      <c r="CE699" s="196">
        <f t="shared" si="1848"/>
        <v>37347.309932733573</v>
      </c>
      <c r="CF699" s="247">
        <f t="shared" si="1798"/>
        <v>1.6127729910001033E-3</v>
      </c>
      <c r="CG699" s="196">
        <f t="shared" si="1820"/>
        <v>71839.920036855328</v>
      </c>
      <c r="CH699" s="589">
        <f t="shared" si="1814"/>
        <v>1.8307005780080459E-3</v>
      </c>
      <c r="CI699" s="196">
        <f t="shared" si="1849"/>
        <v>116914.03992346955</v>
      </c>
      <c r="CJ699" s="248">
        <f t="shared" si="1815"/>
        <v>1.9220665195747689E-3</v>
      </c>
      <c r="CK699" s="196">
        <f t="shared" si="1850"/>
        <v>189156.50839300652</v>
      </c>
      <c r="CL699" s="589">
        <f t="shared" si="1816"/>
        <v>2.7191637159832897E-3</v>
      </c>
      <c r="CM699" s="196">
        <f t="shared" si="1851"/>
        <v>13002.826052920249</v>
      </c>
      <c r="CN699" s="589">
        <f t="shared" si="1817"/>
        <v>1.8738550068064157E-3</v>
      </c>
      <c r="CO699" s="196">
        <f t="shared" si="1852"/>
        <v>1040.2433919759646</v>
      </c>
      <c r="CP699" s="589">
        <f t="shared" si="1818"/>
        <v>1.9617388102876002E-3</v>
      </c>
      <c r="CQ699" s="196">
        <f>'Detailed Budget'!$AC$12</f>
        <v>292876014141.44696</v>
      </c>
      <c r="CR699" s="269">
        <f t="shared" ref="CR699:CR762" si="1861">BK699*CQ699</f>
        <v>0</v>
      </c>
      <c r="CS699" s="269">
        <f>'Detailed Budget'!$AC$16</f>
        <v>10488008800.000002</v>
      </c>
      <c r="CT699" s="607">
        <f t="shared" si="1822"/>
        <v>0</v>
      </c>
      <c r="CU699" s="269">
        <f>'Detailed Budget'!$AC$24</f>
        <v>30624985696</v>
      </c>
      <c r="CV699" s="269">
        <f t="shared" si="1753"/>
        <v>0</v>
      </c>
      <c r="CW699" s="269"/>
      <c r="CX699" s="269">
        <f t="shared" si="1810"/>
        <v>0</v>
      </c>
      <c r="CY699" s="196"/>
      <c r="DA699" s="269">
        <f>'Detailed Budget'!$AC$100</f>
        <v>14925833098.967569</v>
      </c>
      <c r="DB699" s="269">
        <f t="shared" si="1823"/>
        <v>32088286.469656348</v>
      </c>
      <c r="DC699" s="269">
        <f t="shared" si="1799"/>
        <v>32088286.469656348</v>
      </c>
      <c r="DD699" s="207">
        <v>0</v>
      </c>
      <c r="DE699" s="606">
        <v>0</v>
      </c>
      <c r="DF699" s="269">
        <f>'Detailed Budget'!$AC$147</f>
        <v>5913600671000</v>
      </c>
      <c r="DG699" s="269">
        <f t="shared" si="1748"/>
        <v>0</v>
      </c>
      <c r="DH699" s="269">
        <f>'Detailed Budget'!$AC$153</f>
        <v>226428026880.00003</v>
      </c>
      <c r="DI699" s="269"/>
      <c r="DJ699" s="269">
        <f>'Detailed Budget'!$AC$156</f>
        <v>27713070000</v>
      </c>
      <c r="DK699" s="269"/>
      <c r="DL699" s="269"/>
      <c r="DM699" s="196">
        <f>'Detailed Budget'!$AC$178</f>
        <v>5622683761.6229038</v>
      </c>
      <c r="DN699" s="269">
        <f t="shared" si="1853"/>
        <v>0</v>
      </c>
      <c r="DO699" s="196">
        <f>'Detailed Budget'!$AC$179</f>
        <v>26827890683.128094</v>
      </c>
      <c r="DP699" s="269">
        <f t="shared" si="1854"/>
        <v>0</v>
      </c>
      <c r="DQ699" s="269">
        <f t="shared" ref="DQ699:DQ762" si="1862">DN699+DP699</f>
        <v>0</v>
      </c>
      <c r="DR699" s="269">
        <f>'Detailed Budget'!$AC$181</f>
        <v>50888946855.375237</v>
      </c>
      <c r="DS699" s="269">
        <f t="shared" si="1855"/>
        <v>0</v>
      </c>
      <c r="DT699" s="269">
        <f t="shared" si="1856"/>
        <v>0</v>
      </c>
      <c r="DU699" s="272">
        <f>'Detailed Budget'!$AC$192</f>
        <v>77498869683.252869</v>
      </c>
      <c r="DV699" s="269">
        <f t="shared" si="1824"/>
        <v>141877225.52410126</v>
      </c>
      <c r="DW699" s="140">
        <f>'Detailed Budget'!$AC$194</f>
        <v>2684962805.4134097</v>
      </c>
      <c r="DX699" s="269">
        <f t="shared" si="1825"/>
        <v>4915362.9598004334</v>
      </c>
      <c r="DY699" s="607">
        <f t="shared" si="1800"/>
        <v>146792588.48390168</v>
      </c>
      <c r="DZ699" s="196">
        <f>'Detailed Budget'!$AC$198</f>
        <v>18732540018.380611</v>
      </c>
      <c r="EA699" s="269">
        <f t="shared" si="1826"/>
        <v>30211334.594472829</v>
      </c>
      <c r="EB699" s="196">
        <f>'Detailed Budget'!$AC$200</f>
        <v>4683135004.5951529</v>
      </c>
      <c r="EC699" s="269">
        <f t="shared" si="1827"/>
        <v>7552833.6486182073</v>
      </c>
      <c r="ED699" s="269">
        <f t="shared" si="1801"/>
        <v>37764168.243091039</v>
      </c>
      <c r="EE699" s="196">
        <f>'Detailed Budget'!$AC$161</f>
        <v>251147290106.36197</v>
      </c>
      <c r="EF699" s="269">
        <f t="shared" si="1828"/>
        <v>459775489.16287124</v>
      </c>
      <c r="EG699" s="196">
        <f>'Detailed Budget'!$AC$163</f>
        <v>15696705631.647623</v>
      </c>
      <c r="EH699" s="269">
        <f t="shared" si="1829"/>
        <v>28735968.072679453</v>
      </c>
      <c r="EI699" s="269">
        <f t="shared" si="1802"/>
        <v>488511457.2355507</v>
      </c>
      <c r="EJ699" s="196">
        <f>'Detailed Budget'!$AC$204</f>
        <v>45012172507.531975</v>
      </c>
      <c r="EK699" s="269">
        <f t="shared" si="1830"/>
        <v>86516389.750051081</v>
      </c>
      <c r="EL699" s="201">
        <f>'Detailed Budget'!$AC$206</f>
        <v>11253043126.882994</v>
      </c>
      <c r="EM699" s="269">
        <f t="shared" si="1831"/>
        <v>21629097.43751277</v>
      </c>
      <c r="EN699" s="269">
        <f t="shared" si="1803"/>
        <v>108145487.18756385</v>
      </c>
      <c r="EO699" s="140">
        <f>'Detailed Budget'!$AC$209</f>
        <v>135789361677.54817</v>
      </c>
      <c r="EP699" s="269">
        <f t="shared" si="1832"/>
        <v>369233505.29012078</v>
      </c>
      <c r="EQ699" s="196">
        <f>'Detailed Budget'!$AC$211</f>
        <v>33947340419.387043</v>
      </c>
      <c r="ER699" s="269">
        <f t="shared" si="1833"/>
        <v>92308376.322530195</v>
      </c>
      <c r="ES699" s="269">
        <f t="shared" si="1804"/>
        <v>461541881.61265099</v>
      </c>
      <c r="ET699" s="196">
        <f>'Detailed Budget'!$AC$214</f>
        <v>22239745544.201103</v>
      </c>
      <c r="EU699" s="269">
        <f t="shared" si="1834"/>
        <v>41674058.538101912</v>
      </c>
      <c r="EV699" s="140">
        <f>'Detailed Budget'!$AC$217</f>
        <v>5559936386.0502758</v>
      </c>
      <c r="EW699" s="269">
        <f t="shared" si="1835"/>
        <v>10418514.634525478</v>
      </c>
      <c r="EX699" s="269">
        <f t="shared" si="1805"/>
        <v>52092573.172627389</v>
      </c>
      <c r="EY699" s="196">
        <f>'Detailed Budget'!$AC$219</f>
        <v>372777004.58170313</v>
      </c>
      <c r="EZ699" s="269">
        <f t="shared" si="1836"/>
        <v>731291.11747068563</v>
      </c>
      <c r="FA699" s="196">
        <f>'Detailed Budget'!$AC$222</f>
        <v>93194251.145425782</v>
      </c>
      <c r="FB699" s="269">
        <f t="shared" si="1837"/>
        <v>182822.77936767141</v>
      </c>
      <c r="FC699" s="269">
        <f t="shared" si="1806"/>
        <v>914113.89683835697</v>
      </c>
      <c r="FD699" s="269"/>
      <c r="FE699" s="269">
        <f t="shared" si="1807"/>
        <v>622694055.86968052</v>
      </c>
      <c r="FF699" s="140"/>
      <c r="FG699" s="1087">
        <f t="shared" si="1749"/>
        <v>849395910.7253089</v>
      </c>
      <c r="FJ699" s="140">
        <f>'Detailed Budget'!$AC$235</f>
        <v>3623696172</v>
      </c>
      <c r="FK699" s="269">
        <f t="shared" si="1838"/>
        <v>4681778</v>
      </c>
      <c r="FL699" s="269">
        <f t="shared" si="1750"/>
        <v>4681778</v>
      </c>
      <c r="FO699" s="607"/>
      <c r="FP699" s="607"/>
      <c r="FQ699" s="607"/>
      <c r="FR699" s="269">
        <f>'Detailed Budget'!$AC$257</f>
        <v>13636439388</v>
      </c>
      <c r="FS699" s="269">
        <f t="shared" si="1839"/>
        <v>20986056</v>
      </c>
      <c r="FT699" s="269">
        <f t="shared" si="1751"/>
        <v>20986056</v>
      </c>
      <c r="FU699" s="269"/>
      <c r="FV699" s="269"/>
      <c r="FW699" s="269"/>
      <c r="FX699" s="140">
        <f>'Detailed Budget'!$AC$278</f>
        <v>1114560000</v>
      </c>
      <c r="FY699" s="269">
        <f t="shared" si="1840"/>
        <v>1440000</v>
      </c>
      <c r="FZ699" s="269">
        <f t="shared" si="1752"/>
        <v>1440000</v>
      </c>
      <c r="GB699" s="269">
        <f t="shared" si="1760"/>
        <v>2204354301.0271893</v>
      </c>
      <c r="GC699" s="887">
        <f t="shared" si="1808"/>
        <v>1377721.4381419932</v>
      </c>
      <c r="GD699" s="1078">
        <f t="shared" si="1761"/>
        <v>1.2369326114458964E-3</v>
      </c>
    </row>
    <row r="700" spans="1:186" hidden="1" outlineLevel="1">
      <c r="A700" s="211" t="s">
        <v>1495</v>
      </c>
      <c r="B700" s="212" t="s">
        <v>1496</v>
      </c>
      <c r="C700" s="213" t="s">
        <v>215</v>
      </c>
      <c r="D700" s="214"/>
      <c r="E700" s="213"/>
      <c r="F700" s="213"/>
      <c r="G700" s="213" t="s">
        <v>215</v>
      </c>
      <c r="H700" s="213" t="s">
        <v>215</v>
      </c>
      <c r="I700" s="214" t="s">
        <v>215</v>
      </c>
      <c r="J700" s="214"/>
      <c r="K700" s="213"/>
      <c r="L700" s="213"/>
      <c r="M700" s="214" t="s">
        <v>215</v>
      </c>
      <c r="N700" s="213"/>
      <c r="O700" s="214"/>
      <c r="P700" s="213"/>
      <c r="Q700" s="214"/>
      <c r="R700" s="214" t="s">
        <v>215</v>
      </c>
      <c r="S700" s="214"/>
      <c r="T700" s="214"/>
      <c r="U700" s="215">
        <f t="shared" si="1841"/>
        <v>6</v>
      </c>
      <c r="V700" s="845" t="s">
        <v>216</v>
      </c>
      <c r="W700" s="216">
        <v>233813</v>
      </c>
      <c r="X700" s="217">
        <v>3.41</v>
      </c>
      <c r="Y700" s="218">
        <f t="shared" si="1785"/>
        <v>1.0341</v>
      </c>
      <c r="Z700" s="196">
        <v>19</v>
      </c>
      <c r="AA700" s="218">
        <f t="shared" si="1786"/>
        <v>1.8909856119855175</v>
      </c>
      <c r="AB700" s="196">
        <f t="shared" si="1788"/>
        <v>442137.01889516978</v>
      </c>
      <c r="AC700">
        <v>11.9</v>
      </c>
      <c r="AD700" s="196">
        <f t="shared" si="1789"/>
        <v>52614.305248525205</v>
      </c>
      <c r="AE700" s="196">
        <f t="shared" si="1787"/>
        <v>49983.589986098945</v>
      </c>
      <c r="AF700" s="196">
        <f t="shared" si="1842"/>
        <v>0</v>
      </c>
      <c r="AG700" s="606">
        <f t="shared" si="1811"/>
        <v>2.3110217688856144E-3</v>
      </c>
      <c r="AH700" s="196">
        <f t="shared" si="1857"/>
        <v>22106.850944758491</v>
      </c>
      <c r="AI700" s="248">
        <f t="shared" si="1790"/>
        <v>1.7125842475395809E-3</v>
      </c>
      <c r="AJ700" s="196">
        <f t="shared" si="1791"/>
        <v>74721.156193283692</v>
      </c>
      <c r="AK700" s="196">
        <f t="shared" si="1858"/>
        <v>17685.480755806791</v>
      </c>
      <c r="AL700" s="196">
        <f t="shared" si="1859"/>
        <v>17685.480755806791</v>
      </c>
      <c r="AM700" s="196">
        <f t="shared" si="1792"/>
        <v>35370.961511613583</v>
      </c>
      <c r="AN700" s="627">
        <f t="shared" si="1793"/>
        <v>1.7125842475395807E-3</v>
      </c>
      <c r="AO700" s="196">
        <f t="shared" si="1794"/>
        <v>16801.206718016452</v>
      </c>
      <c r="AP700" s="589">
        <f t="shared" si="1812"/>
        <v>1.7125842475395807E-3</v>
      </c>
      <c r="AQ700" s="196"/>
      <c r="AR700" s="589"/>
      <c r="AS700">
        <v>1</v>
      </c>
      <c r="AT700" s="589">
        <f t="shared" si="1813"/>
        <v>1.2919896640826874E-3</v>
      </c>
      <c r="AU700" s="196">
        <v>17</v>
      </c>
      <c r="AV700" s="245">
        <f t="shared" si="1795"/>
        <v>1.9315986819679581E-3</v>
      </c>
      <c r="AX700" s="245"/>
      <c r="AY700" s="245"/>
      <c r="AZ700" s="196">
        <v>17</v>
      </c>
      <c r="BA700" s="589">
        <f t="shared" si="1754"/>
        <v>6.229159796269833E-4</v>
      </c>
      <c r="BI700" s="196">
        <v>0</v>
      </c>
      <c r="BK700" s="246">
        <f t="shared" si="1755"/>
        <v>0</v>
      </c>
      <c r="BL700" s="246"/>
      <c r="BM700" s="246">
        <f t="shared" si="1756"/>
        <v>0</v>
      </c>
      <c r="BN700" s="196">
        <v>1</v>
      </c>
      <c r="BO700" s="196">
        <f t="shared" si="1843"/>
        <v>21499.105883650212</v>
      </c>
      <c r="BP700" s="196">
        <f t="shared" si="1796"/>
        <v>21499.105883650212</v>
      </c>
      <c r="BQ700" s="248">
        <f t="shared" si="1757"/>
        <v>2.0111412394973336E-3</v>
      </c>
      <c r="BR700" s="248"/>
      <c r="BS700" s="248"/>
      <c r="BT700" s="276">
        <v>0</v>
      </c>
      <c r="BU700" s="196">
        <f t="shared" si="1844"/>
        <v>0</v>
      </c>
      <c r="BV700" s="264">
        <f t="shared" si="1758"/>
        <v>0</v>
      </c>
      <c r="BW700" s="196">
        <f t="shared" si="1845"/>
        <v>0</v>
      </c>
      <c r="BX700" s="247">
        <f t="shared" si="1759"/>
        <v>0</v>
      </c>
      <c r="BY700" s="196">
        <f t="shared" si="1860"/>
        <v>0</v>
      </c>
      <c r="BZ700" s="620">
        <v>1</v>
      </c>
      <c r="CA700" s="196">
        <f t="shared" si="1846"/>
        <v>135293.92778192193</v>
      </c>
      <c r="CB700" s="196">
        <f t="shared" si="1847"/>
        <v>270587.85556384386</v>
      </c>
      <c r="CC700" s="196">
        <f t="shared" si="1809"/>
        <v>405881.78334576578</v>
      </c>
      <c r="CD700" s="247">
        <f t="shared" si="1797"/>
        <v>1.7125842475395805E-3</v>
      </c>
      <c r="CE700" s="196">
        <f t="shared" si="1848"/>
        <v>34937.671100957574</v>
      </c>
      <c r="CF700" s="247">
        <f t="shared" si="1798"/>
        <v>1.5087172923981737E-3</v>
      </c>
      <c r="CG700" s="196">
        <f t="shared" si="1820"/>
        <v>67204.826872065809</v>
      </c>
      <c r="CH700" s="589">
        <f t="shared" si="1814"/>
        <v>1.7125842475395807E-3</v>
      </c>
      <c r="CI700" s="196">
        <f t="shared" si="1849"/>
        <v>109370.7761358819</v>
      </c>
      <c r="CJ700" s="248">
        <f t="shared" si="1815"/>
        <v>1.7980552820541628E-3</v>
      </c>
      <c r="CK700" s="196">
        <f t="shared" si="1850"/>
        <v>176952.17911928124</v>
      </c>
      <c r="CL700" s="589">
        <f t="shared" si="1816"/>
        <v>2.5437239723500571E-3</v>
      </c>
      <c r="CM700" s="196">
        <f t="shared" si="1851"/>
        <v>12163.887060088429</v>
      </c>
      <c r="CN700" s="589">
        <f t="shared" si="1817"/>
        <v>1.7529543636904542E-3</v>
      </c>
      <c r="CO700" s="196">
        <f t="shared" si="1852"/>
        <v>973.12715585833428</v>
      </c>
      <c r="CP700" s="589">
        <f t="shared" si="1818"/>
        <v>1.8351679267732313E-3</v>
      </c>
      <c r="CQ700" s="196">
        <f>'Detailed Budget'!$AC$12</f>
        <v>292876014141.44696</v>
      </c>
      <c r="CR700" s="269">
        <f t="shared" si="1861"/>
        <v>0</v>
      </c>
      <c r="CS700" s="269">
        <f>'Detailed Budget'!$AC$16</f>
        <v>10488008800.000002</v>
      </c>
      <c r="CT700" s="607">
        <f t="shared" si="1822"/>
        <v>0</v>
      </c>
      <c r="CU700" s="269">
        <f>'Detailed Budget'!$AC$24</f>
        <v>30624985696</v>
      </c>
      <c r="CV700" s="269">
        <f t="shared" si="1753"/>
        <v>0</v>
      </c>
      <c r="CW700" s="269"/>
      <c r="CX700" s="269">
        <f t="shared" si="1810"/>
        <v>0</v>
      </c>
      <c r="CY700" s="196"/>
      <c r="DA700" s="269">
        <f>'Detailed Budget'!$AC$100</f>
        <v>14925833098.967569</v>
      </c>
      <c r="DB700" s="269">
        <f t="shared" si="1823"/>
        <v>30017958.479187965</v>
      </c>
      <c r="DC700" s="269">
        <f t="shared" si="1799"/>
        <v>30017958.479187965</v>
      </c>
      <c r="DD700" s="207">
        <v>0</v>
      </c>
      <c r="DE700" s="606">
        <v>0</v>
      </c>
      <c r="DF700" s="269">
        <f>'Detailed Budget'!$AC$147</f>
        <v>5913600671000</v>
      </c>
      <c r="DG700" s="269">
        <f t="shared" si="1748"/>
        <v>0</v>
      </c>
      <c r="DH700" s="269">
        <f>'Detailed Budget'!$AC$153</f>
        <v>226428026880.00003</v>
      </c>
      <c r="DI700" s="269"/>
      <c r="DJ700" s="269">
        <f>'Detailed Budget'!$AC$156</f>
        <v>27713070000</v>
      </c>
      <c r="DK700" s="269"/>
      <c r="DL700" s="269"/>
      <c r="DM700" s="196">
        <f>'Detailed Budget'!$AC$178</f>
        <v>5622683761.6229038</v>
      </c>
      <c r="DN700" s="269">
        <f t="shared" si="1853"/>
        <v>0</v>
      </c>
      <c r="DO700" s="196">
        <f>'Detailed Budget'!$AC$179</f>
        <v>26827890683.128094</v>
      </c>
      <c r="DP700" s="269">
        <f t="shared" si="1854"/>
        <v>0</v>
      </c>
      <c r="DQ700" s="269">
        <f t="shared" si="1862"/>
        <v>0</v>
      </c>
      <c r="DR700" s="269">
        <f>'Detailed Budget'!$AC$181</f>
        <v>50888946855.375237</v>
      </c>
      <c r="DS700" s="269">
        <f t="shared" si="1855"/>
        <v>0</v>
      </c>
      <c r="DT700" s="269">
        <f t="shared" si="1856"/>
        <v>0</v>
      </c>
      <c r="DU700" s="272">
        <f>'Detailed Budget'!$AC$192</f>
        <v>77498869683.252869</v>
      </c>
      <c r="DV700" s="269">
        <f t="shared" si="1824"/>
        <v>132723343.42166162</v>
      </c>
      <c r="DW700" s="140">
        <f>'Detailed Budget'!$AC$194</f>
        <v>2684962805.4134097</v>
      </c>
      <c r="DX700" s="269">
        <f t="shared" si="1825"/>
        <v>4598225.0057806857</v>
      </c>
      <c r="DY700" s="607">
        <f t="shared" si="1800"/>
        <v>137321568.42744231</v>
      </c>
      <c r="DZ700" s="196">
        <f>'Detailed Budget'!$AC$198</f>
        <v>18732540018.380611</v>
      </c>
      <c r="EA700" s="269">
        <f t="shared" si="1826"/>
        <v>28262107.056271631</v>
      </c>
      <c r="EB700" s="196">
        <f>'Detailed Budget'!$AC$200</f>
        <v>4683135004.5951529</v>
      </c>
      <c r="EC700" s="269">
        <f t="shared" si="1827"/>
        <v>7065526.7640679078</v>
      </c>
      <c r="ED700" s="269">
        <f t="shared" si="1801"/>
        <v>35327633.820339538</v>
      </c>
      <c r="EE700" s="196">
        <f>'Detailed Budget'!$AC$161</f>
        <v>251147290106.36197</v>
      </c>
      <c r="EF700" s="269">
        <f t="shared" si="1828"/>
        <v>430110892.8484087</v>
      </c>
      <c r="EG700" s="196">
        <f>'Detailed Budget'!$AC$163</f>
        <v>15696705631.647623</v>
      </c>
      <c r="EH700" s="269">
        <f t="shared" si="1829"/>
        <v>26881930.803025544</v>
      </c>
      <c r="EI700" s="269">
        <f t="shared" si="1802"/>
        <v>456992823.65143424</v>
      </c>
      <c r="EJ700" s="196">
        <f>'Detailed Budget'!$AC$204</f>
        <v>45012172507.531975</v>
      </c>
      <c r="EK700" s="269">
        <f t="shared" si="1830"/>
        <v>80934374.533901036</v>
      </c>
      <c r="EL700" s="201">
        <f>'Detailed Budget'!$AC$206</f>
        <v>11253043126.882994</v>
      </c>
      <c r="EM700" s="269">
        <f t="shared" si="1831"/>
        <v>20233593.633475259</v>
      </c>
      <c r="EN700" s="269">
        <f t="shared" si="1803"/>
        <v>101167968.16737629</v>
      </c>
      <c r="EO700" s="140">
        <f>'Detailed Budget'!$AC$209</f>
        <v>135789361677.54817</v>
      </c>
      <c r="EP700" s="269">
        <f t="shared" si="1832"/>
        <v>345410654.48929143</v>
      </c>
      <c r="EQ700" s="196">
        <f>'Detailed Budget'!$AC$211</f>
        <v>33947340419.387043</v>
      </c>
      <c r="ER700" s="269">
        <f t="shared" si="1833"/>
        <v>86352663.622322857</v>
      </c>
      <c r="ES700" s="269">
        <f t="shared" si="1804"/>
        <v>431763318.11161429</v>
      </c>
      <c r="ET700" s="196">
        <f>'Detailed Budget'!$AC$214</f>
        <v>22239745544.201103</v>
      </c>
      <c r="EU700" s="269">
        <f t="shared" si="1834"/>
        <v>38985258.999072656</v>
      </c>
      <c r="EV700" s="140">
        <f>'Detailed Budget'!$AC$217</f>
        <v>5559936386.0502758</v>
      </c>
      <c r="EW700" s="269">
        <f t="shared" si="1835"/>
        <v>9746314.749768164</v>
      </c>
      <c r="EX700" s="269">
        <f t="shared" si="1805"/>
        <v>48731573.748840824</v>
      </c>
      <c r="EY700" s="196">
        <f>'Detailed Budget'!$AC$219</f>
        <v>372777004.58170313</v>
      </c>
      <c r="EZ700" s="269">
        <f t="shared" si="1836"/>
        <v>684108.4026469395</v>
      </c>
      <c r="FA700" s="196">
        <f>'Detailed Budget'!$AC$222</f>
        <v>93194251.145425782</v>
      </c>
      <c r="FB700" s="269">
        <f t="shared" si="1837"/>
        <v>171027.10066173488</v>
      </c>
      <c r="FC700" s="269">
        <f t="shared" si="1806"/>
        <v>855135.50330867432</v>
      </c>
      <c r="FD700" s="269"/>
      <c r="FE700" s="269">
        <f t="shared" si="1807"/>
        <v>582517995.53114009</v>
      </c>
      <c r="FF700" s="140"/>
      <c r="FG700" s="1087">
        <f t="shared" si="1749"/>
        <v>794593105.01529038</v>
      </c>
      <c r="FJ700" s="140">
        <f>'Detailed Budget'!$AC$235</f>
        <v>3623696172</v>
      </c>
      <c r="FK700" s="269">
        <f t="shared" si="1838"/>
        <v>4681778</v>
      </c>
      <c r="FL700" s="269">
        <f t="shared" si="1750"/>
        <v>4681778</v>
      </c>
      <c r="FO700" s="607"/>
      <c r="FP700" s="607"/>
      <c r="FQ700" s="607"/>
      <c r="FR700" s="269">
        <f>'Detailed Budget'!$AC$257</f>
        <v>13636439388</v>
      </c>
      <c r="FS700" s="269">
        <f t="shared" si="1839"/>
        <v>8494356</v>
      </c>
      <c r="FT700" s="269">
        <f t="shared" si="1751"/>
        <v>8494356</v>
      </c>
      <c r="FU700" s="269"/>
      <c r="FV700" s="269"/>
      <c r="FW700" s="269"/>
      <c r="FX700" s="140">
        <f>'Detailed Budget'!$AC$278</f>
        <v>1114560000</v>
      </c>
      <c r="FY700" s="269">
        <f t="shared" si="1840"/>
        <v>1440000</v>
      </c>
      <c r="FZ700" s="269">
        <f t="shared" si="1752"/>
        <v>1440000</v>
      </c>
      <c r="GB700" s="269">
        <f t="shared" si="1760"/>
        <v>2051387218.9248343</v>
      </c>
      <c r="GC700" s="887">
        <f t="shared" si="1808"/>
        <v>1282117.0118280214</v>
      </c>
      <c r="GD700" s="1078">
        <f t="shared" si="1761"/>
        <v>1.1510979648820675E-3</v>
      </c>
    </row>
    <row r="701" spans="1:186" hidden="1" outlineLevel="1">
      <c r="A701" s="211" t="s">
        <v>1497</v>
      </c>
      <c r="B701" s="212" t="s">
        <v>1498</v>
      </c>
      <c r="C701" s="213" t="s">
        <v>215</v>
      </c>
      <c r="D701" s="214"/>
      <c r="E701" s="213"/>
      <c r="F701" s="213"/>
      <c r="G701" s="213" t="s">
        <v>215</v>
      </c>
      <c r="H701" s="213" t="s">
        <v>215</v>
      </c>
      <c r="I701" s="214" t="s">
        <v>215</v>
      </c>
      <c r="J701" s="214"/>
      <c r="K701" s="213"/>
      <c r="L701" s="213"/>
      <c r="M701" s="214" t="s">
        <v>215</v>
      </c>
      <c r="N701" s="213"/>
      <c r="O701" s="214"/>
      <c r="P701" s="213"/>
      <c r="Q701" s="214"/>
      <c r="R701" s="214" t="s">
        <v>215</v>
      </c>
      <c r="S701" s="214"/>
      <c r="T701" s="214"/>
      <c r="U701" s="215">
        <f t="shared" si="1841"/>
        <v>6</v>
      </c>
      <c r="V701" s="845" t="s">
        <v>216</v>
      </c>
      <c r="W701" s="216">
        <v>188930</v>
      </c>
      <c r="X701" s="217">
        <v>3.41</v>
      </c>
      <c r="Y701" s="218">
        <f t="shared" si="1785"/>
        <v>1.0341</v>
      </c>
      <c r="Z701" s="196">
        <v>19</v>
      </c>
      <c r="AA701" s="218">
        <f t="shared" si="1786"/>
        <v>1.8909856119855175</v>
      </c>
      <c r="AB701" s="196">
        <f t="shared" si="1788"/>
        <v>357263.91167242383</v>
      </c>
      <c r="AC701">
        <v>11.9</v>
      </c>
      <c r="AD701" s="196">
        <f t="shared" si="1789"/>
        <v>42514.405489018442</v>
      </c>
      <c r="AE701" s="196">
        <f t="shared" si="1787"/>
        <v>40388.685214567515</v>
      </c>
      <c r="AF701" s="196">
        <f t="shared" si="1842"/>
        <v>0</v>
      </c>
      <c r="AG701" s="606">
        <f t="shared" si="1811"/>
        <v>1.8673954946712079E-3</v>
      </c>
      <c r="AH701" s="196">
        <f t="shared" si="1857"/>
        <v>17863.195583621193</v>
      </c>
      <c r="AI701" s="248">
        <f t="shared" si="1790"/>
        <v>1.3838346964781814E-3</v>
      </c>
      <c r="AJ701" s="196">
        <f t="shared" si="1791"/>
        <v>60377.601072639634</v>
      </c>
      <c r="AK701" s="196">
        <f t="shared" si="1858"/>
        <v>14290.556466896953</v>
      </c>
      <c r="AL701" s="196">
        <f t="shared" si="1859"/>
        <v>14290.556466896953</v>
      </c>
      <c r="AM701" s="196">
        <f t="shared" si="1792"/>
        <v>28581.112933793906</v>
      </c>
      <c r="AN701" s="627">
        <f t="shared" si="1793"/>
        <v>1.3838346964781814E-3</v>
      </c>
      <c r="AO701" s="196">
        <f t="shared" si="1794"/>
        <v>13576.028643552105</v>
      </c>
      <c r="AP701" s="589">
        <f t="shared" si="1812"/>
        <v>1.3838346964781811E-3</v>
      </c>
      <c r="AQ701" s="196"/>
      <c r="AR701" s="589"/>
      <c r="AS701">
        <v>1</v>
      </c>
      <c r="AT701" s="589">
        <f t="shared" si="1813"/>
        <v>1.2919896640826874E-3</v>
      </c>
      <c r="AU701" s="196">
        <v>13</v>
      </c>
      <c r="AV701" s="245">
        <f t="shared" si="1795"/>
        <v>1.4771048744460858E-3</v>
      </c>
      <c r="AX701" s="245"/>
      <c r="AY701" s="245"/>
      <c r="AZ701" s="196">
        <v>15</v>
      </c>
      <c r="BA701" s="589">
        <f t="shared" si="1754"/>
        <v>5.4963174672969107E-4</v>
      </c>
      <c r="BI701" s="196">
        <v>0</v>
      </c>
      <c r="BK701" s="246">
        <f t="shared" si="1755"/>
        <v>0</v>
      </c>
      <c r="BL701" s="246"/>
      <c r="BM701" s="246">
        <f t="shared" si="1756"/>
        <v>0</v>
      </c>
      <c r="BN701" s="196">
        <v>1</v>
      </c>
      <c r="BO701" s="196">
        <f t="shared" si="1843"/>
        <v>17372.113931210133</v>
      </c>
      <c r="BP701" s="196">
        <f t="shared" si="1796"/>
        <v>17372.113931210133</v>
      </c>
      <c r="BQ701" s="248">
        <f t="shared" si="1757"/>
        <v>1.6250803607080497E-3</v>
      </c>
      <c r="BR701" s="248"/>
      <c r="BS701" s="248"/>
      <c r="BT701" s="276">
        <v>0</v>
      </c>
      <c r="BU701" s="196">
        <f t="shared" si="1844"/>
        <v>0</v>
      </c>
      <c r="BV701" s="264">
        <f t="shared" si="1758"/>
        <v>0</v>
      </c>
      <c r="BW701" s="196">
        <f t="shared" si="1845"/>
        <v>0</v>
      </c>
      <c r="BX701" s="247">
        <f t="shared" si="1759"/>
        <v>0</v>
      </c>
      <c r="BY701" s="196">
        <f t="shared" si="1860"/>
        <v>0</v>
      </c>
      <c r="BZ701" s="620">
        <v>1</v>
      </c>
      <c r="CA701" s="196">
        <f t="shared" si="1846"/>
        <v>109322.75697176167</v>
      </c>
      <c r="CB701" s="196">
        <f t="shared" si="1847"/>
        <v>218645.51394352334</v>
      </c>
      <c r="CC701" s="196">
        <f t="shared" si="1809"/>
        <v>327968.27091528499</v>
      </c>
      <c r="CD701" s="247">
        <f t="shared" si="1797"/>
        <v>1.3838346964781809E-3</v>
      </c>
      <c r="CE701" s="196">
        <f t="shared" si="1848"/>
        <v>28230.997425737296</v>
      </c>
      <c r="CF701" s="247">
        <f t="shared" si="1798"/>
        <v>1.2191022657114317E-3</v>
      </c>
      <c r="CG701" s="196">
        <f t="shared" si="1820"/>
        <v>54304.114574208419</v>
      </c>
      <c r="CH701" s="589">
        <f t="shared" si="1814"/>
        <v>1.3838346964781811E-3</v>
      </c>
      <c r="CI701" s="196">
        <f t="shared" si="1849"/>
        <v>88375.841956401768</v>
      </c>
      <c r="CJ701" s="248">
        <f t="shared" si="1815"/>
        <v>1.4528986174356985E-3</v>
      </c>
      <c r="CK701" s="196">
        <f t="shared" si="1850"/>
        <v>142984.24467846443</v>
      </c>
      <c r="CL701" s="589">
        <f t="shared" si="1816"/>
        <v>2.0554279278572887E-3</v>
      </c>
      <c r="CM701" s="196">
        <f t="shared" si="1851"/>
        <v>9828.8939548378712</v>
      </c>
      <c r="CN701" s="589">
        <f t="shared" si="1817"/>
        <v>1.4164553208420299E-3</v>
      </c>
      <c r="CO701" s="196">
        <f t="shared" si="1852"/>
        <v>786.32459938632633</v>
      </c>
      <c r="CP701" s="589">
        <f t="shared" si="1818"/>
        <v>1.4828870781576158E-3</v>
      </c>
      <c r="CQ701" s="196">
        <f>'Detailed Budget'!$AC$12</f>
        <v>292876014141.44696</v>
      </c>
      <c r="CR701" s="269">
        <f t="shared" si="1861"/>
        <v>0</v>
      </c>
      <c r="CS701" s="269">
        <f>'Detailed Budget'!$AC$16</f>
        <v>10488008800.000002</v>
      </c>
      <c r="CT701" s="607">
        <f t="shared" si="1822"/>
        <v>0</v>
      </c>
      <c r="CU701" s="269">
        <f>'Detailed Budget'!$AC$24</f>
        <v>30624985696</v>
      </c>
      <c r="CV701" s="269">
        <f t="shared" si="1753"/>
        <v>0</v>
      </c>
      <c r="CW701" s="269"/>
      <c r="CX701" s="269">
        <f t="shared" si="1810"/>
        <v>0</v>
      </c>
      <c r="CY701" s="196"/>
      <c r="DA701" s="269">
        <f>'Detailed Budget'!$AC$100</f>
        <v>14925833098.967569</v>
      </c>
      <c r="DB701" s="269">
        <f t="shared" si="1823"/>
        <v>24255678.236338366</v>
      </c>
      <c r="DC701" s="269">
        <f t="shared" si="1799"/>
        <v>24255678.236338366</v>
      </c>
      <c r="DD701" s="207">
        <v>0</v>
      </c>
      <c r="DE701" s="606">
        <v>0</v>
      </c>
      <c r="DF701" s="269">
        <f>'Detailed Budget'!$AC$147</f>
        <v>5913600671000</v>
      </c>
      <c r="DG701" s="269">
        <f t="shared" si="1748"/>
        <v>0</v>
      </c>
      <c r="DH701" s="269">
        <f>'Detailed Budget'!$AC$153</f>
        <v>226428026880.00003</v>
      </c>
      <c r="DI701" s="269"/>
      <c r="DJ701" s="269">
        <f>'Detailed Budget'!$AC$156</f>
        <v>27713070000</v>
      </c>
      <c r="DK701" s="269"/>
      <c r="DL701" s="269"/>
      <c r="DM701" s="196">
        <f>'Detailed Budget'!$AC$178</f>
        <v>5622683761.6229038</v>
      </c>
      <c r="DN701" s="269">
        <f t="shared" si="1853"/>
        <v>0</v>
      </c>
      <c r="DO701" s="196">
        <f>'Detailed Budget'!$AC$179</f>
        <v>26827890683.128094</v>
      </c>
      <c r="DP701" s="269">
        <f t="shared" si="1854"/>
        <v>0</v>
      </c>
      <c r="DQ701" s="269">
        <f t="shared" si="1862"/>
        <v>0</v>
      </c>
      <c r="DR701" s="269">
        <f>'Detailed Budget'!$AC$181</f>
        <v>50888946855.375237</v>
      </c>
      <c r="DS701" s="269">
        <f t="shared" si="1855"/>
        <v>0</v>
      </c>
      <c r="DT701" s="269">
        <f t="shared" si="1856"/>
        <v>0</v>
      </c>
      <c r="DU701" s="272">
        <f>'Detailed Budget'!$AC$192</f>
        <v>77498869683.252869</v>
      </c>
      <c r="DV701" s="269">
        <f t="shared" si="1824"/>
        <v>107245624.80552633</v>
      </c>
      <c r="DW701" s="140">
        <f>'Detailed Budget'!$AC$194</f>
        <v>2684962805.4134097</v>
      </c>
      <c r="DX701" s="269">
        <f t="shared" si="1825"/>
        <v>3715544.688884472</v>
      </c>
      <c r="DY701" s="607">
        <f t="shared" si="1800"/>
        <v>110961169.4944108</v>
      </c>
      <c r="DZ701" s="196">
        <f>'Detailed Budget'!$AC$198</f>
        <v>18732540018.380611</v>
      </c>
      <c r="EA701" s="269">
        <f t="shared" si="1826"/>
        <v>22836881.978937868</v>
      </c>
      <c r="EB701" s="196">
        <f>'Detailed Budget'!$AC$200</f>
        <v>4683135004.5951529</v>
      </c>
      <c r="EC701" s="269">
        <f t="shared" si="1827"/>
        <v>5709220.494734467</v>
      </c>
      <c r="ED701" s="269">
        <f t="shared" si="1801"/>
        <v>28546102.473672334</v>
      </c>
      <c r="EE701" s="196">
        <f>'Detailed Budget'!$AC$161</f>
        <v>251147290106.36197</v>
      </c>
      <c r="EF701" s="269">
        <f t="shared" si="1828"/>
        <v>347546333.97565514</v>
      </c>
      <c r="EG701" s="196">
        <f>'Detailed Budget'!$AC$163</f>
        <v>15696705631.647623</v>
      </c>
      <c r="EH701" s="269">
        <f t="shared" si="1829"/>
        <v>21721645.873478446</v>
      </c>
      <c r="EI701" s="269">
        <f t="shared" si="1802"/>
        <v>369267979.84913361</v>
      </c>
      <c r="EJ701" s="196">
        <f>'Detailed Budget'!$AC$204</f>
        <v>45012172507.531975</v>
      </c>
      <c r="EK701" s="269">
        <f t="shared" si="1830"/>
        <v>65398123.203970365</v>
      </c>
      <c r="EL701" s="201">
        <f>'Detailed Budget'!$AC$206</f>
        <v>11253043126.882994</v>
      </c>
      <c r="EM701" s="269">
        <f t="shared" si="1831"/>
        <v>16349530.800992591</v>
      </c>
      <c r="EN701" s="269">
        <f t="shared" si="1803"/>
        <v>81747654.004962951</v>
      </c>
      <c r="EO701" s="140">
        <f>'Detailed Budget'!$AC$209</f>
        <v>135789361677.54817</v>
      </c>
      <c r="EP701" s="269">
        <f t="shared" si="1832"/>
        <v>279105246.29794675</v>
      </c>
      <c r="EQ701" s="196">
        <f>'Detailed Budget'!$AC$211</f>
        <v>33947340419.387043</v>
      </c>
      <c r="ER701" s="269">
        <f t="shared" si="1833"/>
        <v>69776311.574486688</v>
      </c>
      <c r="ES701" s="269">
        <f t="shared" si="1804"/>
        <v>348881557.87243342</v>
      </c>
      <c r="ET701" s="196">
        <f>'Detailed Budget'!$AC$214</f>
        <v>22239745544.201103</v>
      </c>
      <c r="EU701" s="269">
        <f t="shared" si="1834"/>
        <v>31501605.910256479</v>
      </c>
      <c r="EV701" s="140">
        <f>'Detailed Budget'!$AC$217</f>
        <v>5559936386.0502758</v>
      </c>
      <c r="EW701" s="269">
        <f t="shared" si="1835"/>
        <v>7875401.4775641197</v>
      </c>
      <c r="EX701" s="269">
        <f t="shared" si="1805"/>
        <v>39377007.387820601</v>
      </c>
      <c r="EY701" s="196">
        <f>'Detailed Budget'!$AC$219</f>
        <v>372777004.58170313</v>
      </c>
      <c r="EZ701" s="269">
        <f t="shared" si="1836"/>
        <v>552786.20312850992</v>
      </c>
      <c r="FA701" s="196">
        <f>'Detailed Budget'!$AC$222</f>
        <v>93194251.145425782</v>
      </c>
      <c r="FB701" s="269">
        <f t="shared" si="1837"/>
        <v>138196.55078212748</v>
      </c>
      <c r="FC701" s="269">
        <f t="shared" si="1806"/>
        <v>690982.75391063746</v>
      </c>
      <c r="FD701" s="269"/>
      <c r="FE701" s="269">
        <f t="shared" si="1807"/>
        <v>470697202.01912761</v>
      </c>
      <c r="FF701" s="140"/>
      <c r="FG701" s="1087">
        <f t="shared" si="1749"/>
        <v>642062140.81568944</v>
      </c>
      <c r="FJ701" s="140">
        <f>'Detailed Budget'!$AC$235</f>
        <v>3623696172</v>
      </c>
      <c r="FK701" s="269">
        <f t="shared" si="1838"/>
        <v>4681778</v>
      </c>
      <c r="FL701" s="269">
        <f t="shared" si="1750"/>
        <v>4681778</v>
      </c>
      <c r="FO701" s="607"/>
      <c r="FP701" s="607"/>
      <c r="FQ701" s="607"/>
      <c r="FR701" s="269">
        <f>'Detailed Budget'!$AC$257</f>
        <v>13636439388</v>
      </c>
      <c r="FS701" s="269">
        <f t="shared" si="1839"/>
        <v>7495019.9999999991</v>
      </c>
      <c r="FT701" s="269">
        <f t="shared" si="1751"/>
        <v>7495019.9999999991</v>
      </c>
      <c r="FU701" s="269"/>
      <c r="FV701" s="269"/>
      <c r="FW701" s="269"/>
      <c r="FX701" s="140">
        <f>'Detailed Budget'!$AC$278</f>
        <v>1114560000</v>
      </c>
      <c r="FY701" s="269">
        <f t="shared" si="1840"/>
        <v>1440000</v>
      </c>
      <c r="FZ701" s="269">
        <f t="shared" si="1752"/>
        <v>1440000</v>
      </c>
      <c r="GB701" s="269">
        <f t="shared" si="1760"/>
        <v>1659407070.8883722</v>
      </c>
      <c r="GC701" s="887">
        <f t="shared" si="1808"/>
        <v>1037129.4193052326</v>
      </c>
      <c r="GD701" s="1078">
        <f t="shared" si="1761"/>
        <v>9.3114556071556965E-4</v>
      </c>
    </row>
    <row r="702" spans="1:186" hidden="1" outlineLevel="1">
      <c r="A702" s="211" t="s">
        <v>1499</v>
      </c>
      <c r="B702" s="212" t="s">
        <v>1500</v>
      </c>
      <c r="C702" s="213" t="s">
        <v>215</v>
      </c>
      <c r="D702" s="214"/>
      <c r="E702" s="213"/>
      <c r="F702" s="213"/>
      <c r="G702" s="213" t="s">
        <v>215</v>
      </c>
      <c r="H702" s="213" t="s">
        <v>215</v>
      </c>
      <c r="I702" s="214" t="s">
        <v>215</v>
      </c>
      <c r="J702" s="214"/>
      <c r="K702" s="213"/>
      <c r="L702" s="213"/>
      <c r="M702" s="214" t="s">
        <v>215</v>
      </c>
      <c r="N702" s="213"/>
      <c r="O702" s="214"/>
      <c r="P702" s="213"/>
      <c r="Q702" s="214"/>
      <c r="R702" s="214" t="s">
        <v>215</v>
      </c>
      <c r="S702" s="214"/>
      <c r="T702" s="214"/>
      <c r="U702" s="215">
        <f t="shared" si="1841"/>
        <v>6</v>
      </c>
      <c r="V702" s="845" t="s">
        <v>216</v>
      </c>
      <c r="W702" s="216">
        <v>292924</v>
      </c>
      <c r="X702" s="217">
        <v>3.41</v>
      </c>
      <c r="Y702" s="218">
        <f t="shared" si="1785"/>
        <v>1.0341</v>
      </c>
      <c r="Z702" s="196">
        <v>19</v>
      </c>
      <c r="AA702" s="218">
        <f t="shared" si="1786"/>
        <v>1.8909856119855175</v>
      </c>
      <c r="AB702" s="196">
        <f t="shared" si="1788"/>
        <v>553915.06940524571</v>
      </c>
      <c r="AC702">
        <v>11.9</v>
      </c>
      <c r="AD702" s="196">
        <f t="shared" si="1789"/>
        <v>65915.893259224234</v>
      </c>
      <c r="AE702" s="196">
        <f t="shared" si="1787"/>
        <v>62620.098596263022</v>
      </c>
      <c r="AF702" s="196">
        <f t="shared" si="1842"/>
        <v>0</v>
      </c>
      <c r="AG702" s="606">
        <f t="shared" si="1811"/>
        <v>2.8952784517073458E-3</v>
      </c>
      <c r="AH702" s="196">
        <f t="shared" si="1857"/>
        <v>27695.753470262287</v>
      </c>
      <c r="AI702" s="248">
        <f t="shared" si="1790"/>
        <v>2.1455480581759104E-3</v>
      </c>
      <c r="AJ702" s="196">
        <f t="shared" si="1791"/>
        <v>93611.646729486529</v>
      </c>
      <c r="AK702" s="196">
        <f t="shared" si="1858"/>
        <v>22156.602776209827</v>
      </c>
      <c r="AL702" s="196">
        <f t="shared" si="1859"/>
        <v>22156.602776209827</v>
      </c>
      <c r="AM702" s="196">
        <f t="shared" si="1792"/>
        <v>44313.205552419655</v>
      </c>
      <c r="AN702" s="627">
        <f t="shared" si="1793"/>
        <v>2.1455480581759104E-3</v>
      </c>
      <c r="AO702" s="196">
        <f t="shared" si="1794"/>
        <v>21048.772637399336</v>
      </c>
      <c r="AP702" s="589">
        <f t="shared" si="1812"/>
        <v>2.1455480581759104E-3</v>
      </c>
      <c r="AQ702" s="196"/>
      <c r="AR702" s="589"/>
      <c r="AS702">
        <v>1</v>
      </c>
      <c r="AT702" s="589">
        <f t="shared" si="1813"/>
        <v>1.2919896640826874E-3</v>
      </c>
      <c r="AU702" s="196">
        <v>19</v>
      </c>
      <c r="AV702" s="245">
        <f t="shared" si="1795"/>
        <v>2.1588455857288946E-3</v>
      </c>
      <c r="AX702" s="245"/>
      <c r="AY702" s="245"/>
      <c r="AZ702" s="196">
        <v>30</v>
      </c>
      <c r="BA702" s="589">
        <f t="shared" si="1754"/>
        <v>1.0992634934593821E-3</v>
      </c>
      <c r="BI702" s="196">
        <v>0</v>
      </c>
      <c r="BK702" s="246">
        <f t="shared" si="1755"/>
        <v>0</v>
      </c>
      <c r="BL702" s="246"/>
      <c r="BM702" s="246">
        <f t="shared" si="1756"/>
        <v>0</v>
      </c>
      <c r="BN702" s="196">
        <v>1</v>
      </c>
      <c r="BO702" s="196">
        <f t="shared" si="1843"/>
        <v>26934.362468563999</v>
      </c>
      <c r="BP702" s="196">
        <f t="shared" si="1796"/>
        <v>26934.362468563999</v>
      </c>
      <c r="BQ702" s="248">
        <f t="shared" si="1757"/>
        <v>2.5195841823958329E-3</v>
      </c>
      <c r="BR702" s="248"/>
      <c r="BS702" s="248"/>
      <c r="BT702" s="276">
        <v>0</v>
      </c>
      <c r="BU702" s="196">
        <f t="shared" si="1844"/>
        <v>0</v>
      </c>
      <c r="BV702" s="264">
        <f t="shared" si="1758"/>
        <v>0</v>
      </c>
      <c r="BW702" s="196">
        <f t="shared" si="1845"/>
        <v>0</v>
      </c>
      <c r="BX702" s="247">
        <f t="shared" si="1759"/>
        <v>0</v>
      </c>
      <c r="BY702" s="196">
        <f t="shared" si="1860"/>
        <v>0</v>
      </c>
      <c r="BZ702" s="620">
        <v>1</v>
      </c>
      <c r="CA702" s="196">
        <f t="shared" si="1846"/>
        <v>169498.01123800516</v>
      </c>
      <c r="CB702" s="196">
        <f t="shared" si="1847"/>
        <v>338996.02247601032</v>
      </c>
      <c r="CC702" s="196">
        <f t="shared" si="1809"/>
        <v>508494.0337140155</v>
      </c>
      <c r="CD702" s="247">
        <f t="shared" si="1797"/>
        <v>2.14554805817591E-3</v>
      </c>
      <c r="CE702" s="196">
        <f t="shared" si="1848"/>
        <v>43770.373630109942</v>
      </c>
      <c r="CF702" s="247">
        <f t="shared" si="1798"/>
        <v>1.890140856831924E-3</v>
      </c>
      <c r="CG702" s="196">
        <f t="shared" si="1820"/>
        <v>84195.090549597342</v>
      </c>
      <c r="CH702" s="589">
        <f t="shared" si="1814"/>
        <v>2.1455480581759104E-3</v>
      </c>
      <c r="CI702" s="196">
        <f t="shared" si="1849"/>
        <v>137021.14608181352</v>
      </c>
      <c r="CJ702" s="248">
        <f t="shared" si="1815"/>
        <v>2.2526272937793603E-3</v>
      </c>
      <c r="CK702" s="196">
        <f t="shared" si="1850"/>
        <v>221688.01613398883</v>
      </c>
      <c r="CL702" s="589">
        <f t="shared" si="1816"/>
        <v>3.1868108312055705E-3</v>
      </c>
      <c r="CM702" s="196">
        <f t="shared" si="1851"/>
        <v>15239.077609839242</v>
      </c>
      <c r="CN702" s="589">
        <f t="shared" si="1817"/>
        <v>2.1961242703770214E-3</v>
      </c>
      <c r="CO702" s="196">
        <f t="shared" si="1852"/>
        <v>1219.1464931489979</v>
      </c>
      <c r="CP702" s="589">
        <f t="shared" si="1818"/>
        <v>2.2991225029494592E-3</v>
      </c>
      <c r="CQ702" s="196">
        <f>'Detailed Budget'!$AC$12</f>
        <v>292876014141.44696</v>
      </c>
      <c r="CR702" s="269">
        <f t="shared" si="1861"/>
        <v>0</v>
      </c>
      <c r="CS702" s="269">
        <f>'Detailed Budget'!$AC$16</f>
        <v>10488008800.000002</v>
      </c>
      <c r="CT702" s="607">
        <f t="shared" si="1822"/>
        <v>0</v>
      </c>
      <c r="CU702" s="269">
        <f>'Detailed Budget'!$AC$24</f>
        <v>30624985696</v>
      </c>
      <c r="CV702" s="269">
        <f t="shared" si="1753"/>
        <v>0</v>
      </c>
      <c r="CW702" s="269"/>
      <c r="CX702" s="269">
        <f t="shared" si="1810"/>
        <v>0</v>
      </c>
      <c r="CY702" s="196"/>
      <c r="DA702" s="269">
        <f>'Detailed Budget'!$AC$100</f>
        <v>14925833098.967569</v>
      </c>
      <c r="DB702" s="269">
        <f t="shared" si="1823"/>
        <v>37606892.985238865</v>
      </c>
      <c r="DC702" s="269">
        <f t="shared" si="1799"/>
        <v>37606892.985238865</v>
      </c>
      <c r="DD702" s="207">
        <v>0</v>
      </c>
      <c r="DE702" s="606">
        <v>0</v>
      </c>
      <c r="DF702" s="269">
        <f>'Detailed Budget'!$AC$147</f>
        <v>5913600671000</v>
      </c>
      <c r="DG702" s="269">
        <f t="shared" si="1748"/>
        <v>0</v>
      </c>
      <c r="DH702" s="269">
        <f>'Detailed Budget'!$AC$153</f>
        <v>226428026880.00003</v>
      </c>
      <c r="DI702" s="269"/>
      <c r="DJ702" s="269">
        <f>'Detailed Budget'!$AC$156</f>
        <v>27713070000</v>
      </c>
      <c r="DK702" s="269"/>
      <c r="DL702" s="269"/>
      <c r="DM702" s="196">
        <f>'Detailed Budget'!$AC$178</f>
        <v>5622683761.6229038</v>
      </c>
      <c r="DN702" s="269">
        <f t="shared" si="1853"/>
        <v>0</v>
      </c>
      <c r="DO702" s="196">
        <f>'Detailed Budget'!$AC$179</f>
        <v>26827890683.128094</v>
      </c>
      <c r="DP702" s="269">
        <f t="shared" si="1854"/>
        <v>0</v>
      </c>
      <c r="DQ702" s="269">
        <f t="shared" si="1862"/>
        <v>0</v>
      </c>
      <c r="DR702" s="269">
        <f>'Detailed Budget'!$AC$181</f>
        <v>50888946855.375237</v>
      </c>
      <c r="DS702" s="269">
        <f t="shared" si="1855"/>
        <v>0</v>
      </c>
      <c r="DT702" s="269">
        <f t="shared" si="1856"/>
        <v>0</v>
      </c>
      <c r="DU702" s="272">
        <f>'Detailed Budget'!$AC$192</f>
        <v>77498869683.252869</v>
      </c>
      <c r="DV702" s="269">
        <f t="shared" si="1824"/>
        <v>166277549.35973111</v>
      </c>
      <c r="DW702" s="140">
        <f>'Detailed Budget'!$AC$194</f>
        <v>2684962805.4134097</v>
      </c>
      <c r="DX702" s="269">
        <f t="shared" si="1825"/>
        <v>5760716.7334292857</v>
      </c>
      <c r="DY702" s="607">
        <f t="shared" si="1800"/>
        <v>172038266.09316039</v>
      </c>
      <c r="DZ702" s="196">
        <f>'Detailed Budget'!$AC$198</f>
        <v>18732540018.380611</v>
      </c>
      <c r="EA702" s="269">
        <f t="shared" si="1826"/>
        <v>35407139.240980238</v>
      </c>
      <c r="EB702" s="196">
        <f>'Detailed Budget'!$AC$200</f>
        <v>4683135004.5951529</v>
      </c>
      <c r="EC702" s="269">
        <f t="shared" si="1827"/>
        <v>8851784.8102450594</v>
      </c>
      <c r="ED702" s="269">
        <f t="shared" si="1801"/>
        <v>44258924.051225297</v>
      </c>
      <c r="EE702" s="196">
        <f>'Detailed Budget'!$AC$161</f>
        <v>251147290106.36197</v>
      </c>
      <c r="EF702" s="269">
        <f t="shared" si="1828"/>
        <v>538848580.60384691</v>
      </c>
      <c r="EG702" s="196">
        <f>'Detailed Budget'!$AC$163</f>
        <v>15696705631.647623</v>
      </c>
      <c r="EH702" s="269">
        <f t="shared" si="1829"/>
        <v>33678036.287740432</v>
      </c>
      <c r="EI702" s="269">
        <f t="shared" si="1802"/>
        <v>572526616.89158738</v>
      </c>
      <c r="EJ702" s="196">
        <f>'Detailed Budget'!$AC$204</f>
        <v>45012172507.531975</v>
      </c>
      <c r="EK702" s="269">
        <f t="shared" si="1830"/>
        <v>101395648.34277147</v>
      </c>
      <c r="EL702" s="201">
        <f>'Detailed Budget'!$AC$206</f>
        <v>11253043126.882994</v>
      </c>
      <c r="EM702" s="269">
        <f t="shared" si="1831"/>
        <v>25348912.085692868</v>
      </c>
      <c r="EN702" s="269">
        <f t="shared" si="1803"/>
        <v>126744560.42846434</v>
      </c>
      <c r="EO702" s="140">
        <f>'Detailed Budget'!$AC$209</f>
        <v>135789361677.54817</v>
      </c>
      <c r="EP702" s="269">
        <f t="shared" si="1832"/>
        <v>432735008.55650115</v>
      </c>
      <c r="EQ702" s="196">
        <f>'Detailed Budget'!$AC$211</f>
        <v>33947340419.387043</v>
      </c>
      <c r="ER702" s="269">
        <f t="shared" si="1833"/>
        <v>108183752.13912529</v>
      </c>
      <c r="ES702" s="269">
        <f t="shared" si="1804"/>
        <v>540918760.6956265</v>
      </c>
      <c r="ET702" s="196">
        <f>'Detailed Budget'!$AC$214</f>
        <v>22239745544.201103</v>
      </c>
      <c r="EU702" s="269">
        <f t="shared" si="1834"/>
        <v>48841244.956629261</v>
      </c>
      <c r="EV702" s="140">
        <f>'Detailed Budget'!$AC$217</f>
        <v>5559936386.0502758</v>
      </c>
      <c r="EW702" s="269">
        <f t="shared" si="1835"/>
        <v>12210311.239157315</v>
      </c>
      <c r="EX702" s="269">
        <f t="shared" si="1805"/>
        <v>61051556.19578658</v>
      </c>
      <c r="EY702" s="196">
        <f>'Detailed Budget'!$AC$219</f>
        <v>372777004.58170313</v>
      </c>
      <c r="EZ702" s="269">
        <f t="shared" si="1836"/>
        <v>857059.99981588731</v>
      </c>
      <c r="FA702" s="196">
        <f>'Detailed Budget'!$AC$222</f>
        <v>93194251.145425782</v>
      </c>
      <c r="FB702" s="269">
        <f t="shared" si="1837"/>
        <v>214264.99995397183</v>
      </c>
      <c r="FC702" s="269">
        <f t="shared" si="1806"/>
        <v>1071324.999769859</v>
      </c>
      <c r="FD702" s="269"/>
      <c r="FE702" s="269">
        <f t="shared" si="1807"/>
        <v>729786202.31964719</v>
      </c>
      <c r="FF702" s="140"/>
      <c r="FG702" s="1087">
        <f t="shared" si="1749"/>
        <v>995476687.32490873</v>
      </c>
      <c r="FJ702" s="140">
        <f>'Detailed Budget'!$AC$235</f>
        <v>3623696172</v>
      </c>
      <c r="FK702" s="269">
        <f t="shared" si="1838"/>
        <v>4681778</v>
      </c>
      <c r="FL702" s="269">
        <f t="shared" si="1750"/>
        <v>4681778</v>
      </c>
      <c r="FO702" s="607"/>
      <c r="FP702" s="607"/>
      <c r="FQ702" s="607"/>
      <c r="FR702" s="269">
        <f>'Detailed Budget'!$AC$257</f>
        <v>13636439388</v>
      </c>
      <c r="FS702" s="269">
        <f t="shared" si="1839"/>
        <v>14990039.999999998</v>
      </c>
      <c r="FT702" s="269">
        <f t="shared" si="1751"/>
        <v>14990039.999999998</v>
      </c>
      <c r="FU702" s="269"/>
      <c r="FV702" s="269"/>
      <c r="FW702" s="269"/>
      <c r="FX702" s="140">
        <f>'Detailed Budget'!$AC$278</f>
        <v>1114560000</v>
      </c>
      <c r="FY702" s="269">
        <f t="shared" si="1840"/>
        <v>1440000</v>
      </c>
      <c r="FZ702" s="269">
        <f t="shared" si="1752"/>
        <v>1440000</v>
      </c>
      <c r="GB702" s="269">
        <f t="shared" si="1760"/>
        <v>2572805407.6657677</v>
      </c>
      <c r="GC702" s="887">
        <f t="shared" si="1808"/>
        <v>1608003.3797911047</v>
      </c>
      <c r="GD702" s="1078">
        <f t="shared" si="1761"/>
        <v>1.4436821295756345E-3</v>
      </c>
    </row>
    <row r="703" spans="1:186" hidden="1" outlineLevel="1">
      <c r="A703" s="211" t="s">
        <v>1501</v>
      </c>
      <c r="B703" s="212" t="s">
        <v>1502</v>
      </c>
      <c r="C703" s="213" t="s">
        <v>215</v>
      </c>
      <c r="D703" s="214"/>
      <c r="E703" s="213"/>
      <c r="F703" s="213"/>
      <c r="G703" s="213" t="s">
        <v>215</v>
      </c>
      <c r="H703" s="213" t="s">
        <v>215</v>
      </c>
      <c r="I703" s="214" t="s">
        <v>215</v>
      </c>
      <c r="J703" s="214"/>
      <c r="K703" s="213"/>
      <c r="L703" s="213"/>
      <c r="M703" s="214" t="s">
        <v>215</v>
      </c>
      <c r="N703" s="213"/>
      <c r="O703" s="214"/>
      <c r="P703" s="213"/>
      <c r="Q703" s="214"/>
      <c r="R703" s="214" t="s">
        <v>215</v>
      </c>
      <c r="S703" s="214"/>
      <c r="T703" s="214"/>
      <c r="U703" s="215">
        <f t="shared" si="1841"/>
        <v>6</v>
      </c>
      <c r="V703" s="845" t="s">
        <v>216</v>
      </c>
      <c r="W703" s="216">
        <v>462350</v>
      </c>
      <c r="X703" s="217">
        <v>3.41</v>
      </c>
      <c r="Y703" s="218">
        <f t="shared" si="1785"/>
        <v>1.0341</v>
      </c>
      <c r="Z703" s="196">
        <v>19</v>
      </c>
      <c r="AA703" s="218">
        <f t="shared" si="1786"/>
        <v>1.8909856119855175</v>
      </c>
      <c r="AB703" s="196">
        <f t="shared" si="1788"/>
        <v>874297.19770150399</v>
      </c>
      <c r="AC703">
        <v>11.9</v>
      </c>
      <c r="AD703" s="196">
        <f t="shared" si="1789"/>
        <v>104041.36652647897</v>
      </c>
      <c r="AE703" s="196">
        <f t="shared" si="1787"/>
        <v>98839.298200155026</v>
      </c>
      <c r="AF703" s="196">
        <f t="shared" si="1842"/>
        <v>0</v>
      </c>
      <c r="AG703" s="606">
        <f t="shared" si="1811"/>
        <v>4.5698952361257232E-3</v>
      </c>
      <c r="AH703" s="196">
        <f t="shared" si="1857"/>
        <v>43714.859885075202</v>
      </c>
      <c r="AI703" s="248">
        <f t="shared" si="1790"/>
        <v>3.3865239608145193E-3</v>
      </c>
      <c r="AJ703" s="196">
        <f t="shared" si="1791"/>
        <v>147756.22641155418</v>
      </c>
      <c r="AK703" s="196">
        <f t="shared" si="1858"/>
        <v>34971.887908060162</v>
      </c>
      <c r="AL703" s="196">
        <f t="shared" si="1859"/>
        <v>34971.887908060162</v>
      </c>
      <c r="AM703" s="196">
        <f t="shared" si="1792"/>
        <v>69943.775816120324</v>
      </c>
      <c r="AN703" s="627">
        <f t="shared" si="1793"/>
        <v>3.3865239608145193E-3</v>
      </c>
      <c r="AO703" s="196">
        <f t="shared" si="1794"/>
        <v>33223.293512657154</v>
      </c>
      <c r="AP703" s="589">
        <f t="shared" si="1812"/>
        <v>3.3865239608145193E-3</v>
      </c>
      <c r="AQ703" s="196"/>
      <c r="AR703" s="589"/>
      <c r="AS703">
        <v>1</v>
      </c>
      <c r="AT703" s="589">
        <f t="shared" si="1813"/>
        <v>1.2919896640826874E-3</v>
      </c>
      <c r="AU703" s="196">
        <v>17</v>
      </c>
      <c r="AV703" s="245">
        <f t="shared" si="1795"/>
        <v>1.9315986819679581E-3</v>
      </c>
      <c r="AX703" s="245"/>
      <c r="AY703" s="245"/>
      <c r="AZ703" s="196">
        <v>27</v>
      </c>
      <c r="BA703" s="589">
        <f t="shared" si="1754"/>
        <v>9.8933714411344391E-4</v>
      </c>
      <c r="BI703" s="196">
        <v>0</v>
      </c>
      <c r="BK703" s="246">
        <f t="shared" si="1755"/>
        <v>0</v>
      </c>
      <c r="BL703" s="246"/>
      <c r="BM703" s="246">
        <f t="shared" si="1756"/>
        <v>0</v>
      </c>
      <c r="BN703" s="196">
        <v>1</v>
      </c>
      <c r="BO703" s="196">
        <f t="shared" si="1843"/>
        <v>42513.083555258585</v>
      </c>
      <c r="BP703" s="196">
        <f t="shared" si="1796"/>
        <v>42513.083555258585</v>
      </c>
      <c r="BQ703" s="248">
        <f t="shared" si="1757"/>
        <v>3.9769009938779801E-3</v>
      </c>
      <c r="BR703" s="248"/>
      <c r="BS703" s="248"/>
      <c r="BT703" s="276">
        <v>0</v>
      </c>
      <c r="BU703" s="196">
        <f t="shared" si="1844"/>
        <v>0</v>
      </c>
      <c r="BV703" s="264">
        <f t="shared" si="1758"/>
        <v>0</v>
      </c>
      <c r="BW703" s="196">
        <f t="shared" si="1845"/>
        <v>0</v>
      </c>
      <c r="BX703" s="247">
        <f t="shared" si="1759"/>
        <v>0</v>
      </c>
      <c r="BY703" s="196">
        <f t="shared" si="1860"/>
        <v>0</v>
      </c>
      <c r="BZ703" s="620">
        <v>1</v>
      </c>
      <c r="CA703" s="196">
        <f t="shared" si="1846"/>
        <v>267534.94249666022</v>
      </c>
      <c r="CB703" s="196">
        <f t="shared" si="1847"/>
        <v>535069.88499332045</v>
      </c>
      <c r="CC703" s="196">
        <f t="shared" si="1809"/>
        <v>802604.82748998073</v>
      </c>
      <c r="CD703" s="247">
        <f t="shared" si="1797"/>
        <v>3.3865239608145193E-3</v>
      </c>
      <c r="CE703" s="196">
        <f t="shared" si="1848"/>
        <v>69086.972210816908</v>
      </c>
      <c r="CF703" s="247">
        <f t="shared" si="1798"/>
        <v>2.9833903167928882E-3</v>
      </c>
      <c r="CG703" s="196">
        <f t="shared" si="1820"/>
        <v>132893.17405062862</v>
      </c>
      <c r="CH703" s="589">
        <f t="shared" si="1814"/>
        <v>3.3865239608145193E-3</v>
      </c>
      <c r="CI703" s="196">
        <f t="shared" si="1849"/>
        <v>216273.59619193539</v>
      </c>
      <c r="CJ703" s="248">
        <f t="shared" si="1815"/>
        <v>3.5555373724204475E-3</v>
      </c>
      <c r="CK703" s="196">
        <f t="shared" si="1850"/>
        <v>349911.42500972858</v>
      </c>
      <c r="CL703" s="589">
        <f t="shared" si="1816"/>
        <v>5.0300487082243026E-3</v>
      </c>
      <c r="CM703" s="196">
        <f t="shared" si="1851"/>
        <v>24053.295506374263</v>
      </c>
      <c r="CN703" s="589">
        <f t="shared" si="1817"/>
        <v>3.4663532397782907E-3</v>
      </c>
      <c r="CO703" s="196">
        <f t="shared" si="1852"/>
        <v>1924.2956572607204</v>
      </c>
      <c r="CP703" s="589">
        <f t="shared" si="1818"/>
        <v>3.6289252134979809E-3</v>
      </c>
      <c r="CQ703" s="196">
        <f>'Detailed Budget'!$AC$12</f>
        <v>292876014141.44696</v>
      </c>
      <c r="CR703" s="269">
        <f t="shared" si="1861"/>
        <v>0</v>
      </c>
      <c r="CS703" s="269">
        <f>'Detailed Budget'!$AC$16</f>
        <v>10488008800.000002</v>
      </c>
      <c r="CT703" s="607">
        <f t="shared" si="1822"/>
        <v>0</v>
      </c>
      <c r="CU703" s="269">
        <f>'Detailed Budget'!$AC$24</f>
        <v>30624985696</v>
      </c>
      <c r="CV703" s="269">
        <f t="shared" si="1753"/>
        <v>0</v>
      </c>
      <c r="CW703" s="269"/>
      <c r="CX703" s="269">
        <f t="shared" si="1810"/>
        <v>0</v>
      </c>
      <c r="CY703" s="196"/>
      <c r="DA703" s="269">
        <f>'Detailed Budget'!$AC$100</f>
        <v>14925833098.967569</v>
      </c>
      <c r="DB703" s="269">
        <f t="shared" si="1823"/>
        <v>59358560.485740982</v>
      </c>
      <c r="DC703" s="269">
        <f t="shared" si="1799"/>
        <v>59358560.485740982</v>
      </c>
      <c r="DD703" s="207">
        <v>0</v>
      </c>
      <c r="DE703" s="606">
        <v>0</v>
      </c>
      <c r="DF703" s="269">
        <f>'Detailed Budget'!$AC$147</f>
        <v>5913600671000</v>
      </c>
      <c r="DG703" s="269">
        <f t="shared" si="1748"/>
        <v>0</v>
      </c>
      <c r="DH703" s="269">
        <f>'Detailed Budget'!$AC$153</f>
        <v>226428026880.00003</v>
      </c>
      <c r="DI703" s="269"/>
      <c r="DJ703" s="269">
        <f>'Detailed Budget'!$AC$156</f>
        <v>27713070000</v>
      </c>
      <c r="DK703" s="269"/>
      <c r="DL703" s="269"/>
      <c r="DM703" s="196">
        <f>'Detailed Budget'!$AC$178</f>
        <v>5622683761.6229038</v>
      </c>
      <c r="DN703" s="269">
        <f t="shared" si="1853"/>
        <v>0</v>
      </c>
      <c r="DO703" s="196">
        <f>'Detailed Budget'!$AC$179</f>
        <v>26827890683.128094</v>
      </c>
      <c r="DP703" s="269">
        <f t="shared" si="1854"/>
        <v>0</v>
      </c>
      <c r="DQ703" s="269">
        <f t="shared" si="1862"/>
        <v>0</v>
      </c>
      <c r="DR703" s="269">
        <f>'Detailed Budget'!$AC$181</f>
        <v>50888946855.375237</v>
      </c>
      <c r="DS703" s="269">
        <f t="shared" si="1855"/>
        <v>0</v>
      </c>
      <c r="DT703" s="269">
        <f t="shared" si="1856"/>
        <v>0</v>
      </c>
      <c r="DU703" s="272">
        <f>'Detailed Budget'!$AC$192</f>
        <v>77498869683.252869</v>
      </c>
      <c r="DV703" s="269">
        <f t="shared" si="1824"/>
        <v>262451779.11837777</v>
      </c>
      <c r="DW703" s="140">
        <f>'Detailed Budget'!$AC$194</f>
        <v>2684962805.4134097</v>
      </c>
      <c r="DX703" s="269">
        <f t="shared" si="1825"/>
        <v>9092690.8744282834</v>
      </c>
      <c r="DY703" s="607">
        <f t="shared" si="1800"/>
        <v>271544469.99280608</v>
      </c>
      <c r="DZ703" s="196">
        <f>'Detailed Budget'!$AC$198</f>
        <v>18732540018.380611</v>
      </c>
      <c r="EA703" s="269">
        <f t="shared" si="1826"/>
        <v>55886478.49977199</v>
      </c>
      <c r="EB703" s="196">
        <f>'Detailed Budget'!$AC$200</f>
        <v>4683135004.5951529</v>
      </c>
      <c r="EC703" s="269">
        <f t="shared" si="1827"/>
        <v>13971619.624942997</v>
      </c>
      <c r="ED703" s="269">
        <f t="shared" si="1801"/>
        <v>69858098.124714985</v>
      </c>
      <c r="EE703" s="196">
        <f>'Detailed Budget'!$AC$161</f>
        <v>251147290106.36197</v>
      </c>
      <c r="EF703" s="269">
        <f t="shared" si="1828"/>
        <v>850516315.63883007</v>
      </c>
      <c r="EG703" s="196">
        <f>'Detailed Budget'!$AC$163</f>
        <v>15696705631.647623</v>
      </c>
      <c r="EH703" s="269">
        <f t="shared" si="1829"/>
        <v>53157269.727426879</v>
      </c>
      <c r="EI703" s="269">
        <f t="shared" si="1802"/>
        <v>903673585.36625695</v>
      </c>
      <c r="EJ703" s="196">
        <f>'Detailed Budget'!$AC$204</f>
        <v>45012172507.531975</v>
      </c>
      <c r="EK703" s="269">
        <f t="shared" si="1830"/>
        <v>160042461.56436613</v>
      </c>
      <c r="EL703" s="201">
        <f>'Detailed Budget'!$AC$206</f>
        <v>11253043126.882994</v>
      </c>
      <c r="EM703" s="269">
        <f t="shared" si="1831"/>
        <v>40010615.391091533</v>
      </c>
      <c r="EN703" s="269">
        <f t="shared" si="1803"/>
        <v>200053076.95545766</v>
      </c>
      <c r="EO703" s="140">
        <f>'Detailed Budget'!$AC$209</f>
        <v>135789361677.54817</v>
      </c>
      <c r="EP703" s="269">
        <f t="shared" si="1832"/>
        <v>683027103.29675376</v>
      </c>
      <c r="EQ703" s="196">
        <f>'Detailed Budget'!$AC$211</f>
        <v>33947340419.387043</v>
      </c>
      <c r="ER703" s="269">
        <f t="shared" si="1833"/>
        <v>170756775.82418844</v>
      </c>
      <c r="ES703" s="269">
        <f t="shared" si="1804"/>
        <v>853783879.12094223</v>
      </c>
      <c r="ET703" s="196">
        <f>'Detailed Budget'!$AC$214</f>
        <v>22239745544.201103</v>
      </c>
      <c r="EU703" s="269">
        <f t="shared" si="1834"/>
        <v>77090814.0189863</v>
      </c>
      <c r="EV703" s="140">
        <f>'Detailed Budget'!$AC$217</f>
        <v>5559936386.0502758</v>
      </c>
      <c r="EW703" s="269">
        <f t="shared" si="1835"/>
        <v>19272703.504746575</v>
      </c>
      <c r="EX703" s="269">
        <f t="shared" si="1805"/>
        <v>96363517.523732871</v>
      </c>
      <c r="EY703" s="196">
        <f>'Detailed Budget'!$AC$219</f>
        <v>372777004.58170313</v>
      </c>
      <c r="EZ703" s="269">
        <f t="shared" si="1836"/>
        <v>1352779.8709387949</v>
      </c>
      <c r="FA703" s="196">
        <f>'Detailed Budget'!$AC$222</f>
        <v>93194251.145425782</v>
      </c>
      <c r="FB703" s="269">
        <f t="shared" si="1837"/>
        <v>338194.96773469873</v>
      </c>
      <c r="FC703" s="269">
        <f t="shared" si="1806"/>
        <v>1690974.8386734936</v>
      </c>
      <c r="FD703" s="269"/>
      <c r="FE703" s="269">
        <f t="shared" si="1807"/>
        <v>1151891448.4388063</v>
      </c>
      <c r="FF703" s="140"/>
      <c r="FG703" s="1087">
        <f t="shared" si="1749"/>
        <v>1571256183.8042345</v>
      </c>
      <c r="FJ703" s="140">
        <f>'Detailed Budget'!$AC$235</f>
        <v>3623696172</v>
      </c>
      <c r="FK703" s="269">
        <f t="shared" si="1838"/>
        <v>4681778</v>
      </c>
      <c r="FL703" s="269">
        <f t="shared" si="1750"/>
        <v>4681778</v>
      </c>
      <c r="FO703" s="607"/>
      <c r="FP703" s="607"/>
      <c r="FQ703" s="607"/>
      <c r="FR703" s="269">
        <f>'Detailed Budget'!$AC$257</f>
        <v>13636439388</v>
      </c>
      <c r="FS703" s="269">
        <f t="shared" si="1839"/>
        <v>13491035.999999998</v>
      </c>
      <c r="FT703" s="269">
        <f t="shared" si="1751"/>
        <v>13491035.999999998</v>
      </c>
      <c r="FU703" s="269"/>
      <c r="FV703" s="269"/>
      <c r="FW703" s="269"/>
      <c r="FX703" s="140">
        <f>'Detailed Budget'!$AC$278</f>
        <v>1114560000</v>
      </c>
      <c r="FY703" s="269">
        <f t="shared" si="1840"/>
        <v>1440000</v>
      </c>
      <c r="FZ703" s="269">
        <f t="shared" si="1752"/>
        <v>1440000</v>
      </c>
      <c r="GB703" s="269">
        <f t="shared" si="1760"/>
        <v>4047195160.2125597</v>
      </c>
      <c r="GC703" s="887">
        <f t="shared" si="1808"/>
        <v>2529496.97513285</v>
      </c>
      <c r="GD703" s="1078">
        <f t="shared" si="1761"/>
        <v>2.2710086469403573E-3</v>
      </c>
    </row>
    <row r="704" spans="1:186" hidden="1" outlineLevel="1">
      <c r="A704" s="211" t="s">
        <v>1503</v>
      </c>
      <c r="B704" s="212" t="s">
        <v>1504</v>
      </c>
      <c r="C704" s="213" t="s">
        <v>215</v>
      </c>
      <c r="D704" s="214"/>
      <c r="E704" s="213"/>
      <c r="F704" s="213"/>
      <c r="G704" s="213" t="s">
        <v>215</v>
      </c>
      <c r="H704" s="213" t="s">
        <v>215</v>
      </c>
      <c r="I704" s="214" t="s">
        <v>215</v>
      </c>
      <c r="J704" s="214"/>
      <c r="K704" s="213"/>
      <c r="L704" s="213"/>
      <c r="M704" s="214" t="s">
        <v>215</v>
      </c>
      <c r="N704" s="213"/>
      <c r="O704" s="214"/>
      <c r="P704" s="213"/>
      <c r="Q704" s="214"/>
      <c r="R704" s="214" t="s">
        <v>215</v>
      </c>
      <c r="S704" s="214"/>
      <c r="T704" s="214"/>
      <c r="U704" s="215">
        <f t="shared" si="1841"/>
        <v>6</v>
      </c>
      <c r="V704" s="845" t="s">
        <v>216</v>
      </c>
      <c r="W704" s="216">
        <v>283294</v>
      </c>
      <c r="X704" s="217">
        <v>3.41</v>
      </c>
      <c r="Y704" s="218">
        <f t="shared" si="1785"/>
        <v>1.0341</v>
      </c>
      <c r="Z704" s="196">
        <v>19</v>
      </c>
      <c r="AA704" s="218">
        <f t="shared" si="1786"/>
        <v>1.8909856119855175</v>
      </c>
      <c r="AB704" s="196">
        <f t="shared" si="1788"/>
        <v>535704.87796182523</v>
      </c>
      <c r="AC704">
        <v>11.9</v>
      </c>
      <c r="AD704" s="196">
        <f t="shared" si="1789"/>
        <v>63748.880477457205</v>
      </c>
      <c r="AE704" s="196">
        <f t="shared" si="1787"/>
        <v>60561.436453584342</v>
      </c>
      <c r="AF704" s="196">
        <f t="shared" si="1842"/>
        <v>0</v>
      </c>
      <c r="AG704" s="606">
        <f t="shared" si="1811"/>
        <v>2.8000949519260319E-3</v>
      </c>
      <c r="AH704" s="196">
        <f t="shared" si="1857"/>
        <v>26785.243898091263</v>
      </c>
      <c r="AI704" s="248">
        <f t="shared" si="1790"/>
        <v>2.0750122611765732E-3</v>
      </c>
      <c r="AJ704" s="196">
        <f t="shared" si="1791"/>
        <v>90534.124375548476</v>
      </c>
      <c r="AK704" s="196">
        <f t="shared" si="1858"/>
        <v>21428.19511847301</v>
      </c>
      <c r="AL704" s="196">
        <f t="shared" si="1859"/>
        <v>21428.19511847301</v>
      </c>
      <c r="AM704" s="196">
        <f t="shared" si="1792"/>
        <v>42856.390236946019</v>
      </c>
      <c r="AN704" s="627">
        <f t="shared" si="1793"/>
        <v>2.0750122611765728E-3</v>
      </c>
      <c r="AO704" s="196">
        <f t="shared" si="1794"/>
        <v>20356.785362549359</v>
      </c>
      <c r="AP704" s="589">
        <f t="shared" si="1812"/>
        <v>2.0750122611765728E-3</v>
      </c>
      <c r="AQ704" s="196"/>
      <c r="AR704" s="589"/>
      <c r="AS704">
        <v>1</v>
      </c>
      <c r="AT704" s="589">
        <f t="shared" si="1813"/>
        <v>1.2919896640826874E-3</v>
      </c>
      <c r="AU704" s="196">
        <v>17</v>
      </c>
      <c r="AV704" s="245">
        <f t="shared" si="1795"/>
        <v>1.9315986819679581E-3</v>
      </c>
      <c r="AX704" s="245"/>
      <c r="AY704" s="245"/>
      <c r="AZ704" s="196">
        <v>28</v>
      </c>
      <c r="BA704" s="589">
        <f t="shared" si="1754"/>
        <v>1.0259792605620901E-3</v>
      </c>
      <c r="BI704" s="196">
        <v>0</v>
      </c>
      <c r="BK704" s="246">
        <f t="shared" si="1755"/>
        <v>0</v>
      </c>
      <c r="BL704" s="246"/>
      <c r="BM704" s="246">
        <f t="shared" si="1756"/>
        <v>0</v>
      </c>
      <c r="BN704" s="196">
        <v>1</v>
      </c>
      <c r="BO704" s="196">
        <f t="shared" si="1843"/>
        <v>26048.883946584683</v>
      </c>
      <c r="BP704" s="196">
        <f t="shared" si="1796"/>
        <v>26048.883946584683</v>
      </c>
      <c r="BQ704" s="248">
        <f t="shared" si="1757"/>
        <v>2.4367517901149965E-3</v>
      </c>
      <c r="BR704" s="248"/>
      <c r="BS704" s="248"/>
      <c r="BT704" s="276">
        <v>0</v>
      </c>
      <c r="BU704" s="196">
        <f t="shared" si="1844"/>
        <v>0</v>
      </c>
      <c r="BV704" s="264">
        <f t="shared" si="1758"/>
        <v>0</v>
      </c>
      <c r="BW704" s="196">
        <f t="shared" si="1845"/>
        <v>0</v>
      </c>
      <c r="BX704" s="247">
        <f t="shared" si="1759"/>
        <v>0</v>
      </c>
      <c r="BY704" s="196">
        <f t="shared" si="1860"/>
        <v>0</v>
      </c>
      <c r="BZ704" s="620">
        <v>1</v>
      </c>
      <c r="CA704" s="196">
        <f t="shared" si="1846"/>
        <v>163925.69265631851</v>
      </c>
      <c r="CB704" s="196">
        <f t="shared" si="1847"/>
        <v>327851.38531263702</v>
      </c>
      <c r="CC704" s="196">
        <f t="shared" si="1809"/>
        <v>491777.07796895551</v>
      </c>
      <c r="CD704" s="247">
        <f t="shared" si="1797"/>
        <v>2.0750122611765728E-3</v>
      </c>
      <c r="CE704" s="196">
        <f t="shared" si="1848"/>
        <v>42331.404142946179</v>
      </c>
      <c r="CF704" s="247">
        <f t="shared" si="1798"/>
        <v>1.8280016792592724E-3</v>
      </c>
      <c r="CG704" s="196">
        <f t="shared" si="1820"/>
        <v>81427.141450197436</v>
      </c>
      <c r="CH704" s="589">
        <f t="shared" si="1814"/>
        <v>2.0750122611765728E-3</v>
      </c>
      <c r="CI704" s="196">
        <f t="shared" si="1849"/>
        <v>132516.51813474242</v>
      </c>
      <c r="CJ704" s="248">
        <f t="shared" si="1815"/>
        <v>2.1785712217637686E-3</v>
      </c>
      <c r="CK704" s="196">
        <f t="shared" si="1850"/>
        <v>214399.9291374631</v>
      </c>
      <c r="CL704" s="589">
        <f t="shared" si="1816"/>
        <v>3.082043081534975E-3</v>
      </c>
      <c r="CM704" s="196">
        <f t="shared" si="1851"/>
        <v>14738.086508452019</v>
      </c>
      <c r="CN704" s="589">
        <f t="shared" si="1817"/>
        <v>2.1239257590780821E-3</v>
      </c>
      <c r="CO704" s="196">
        <f t="shared" si="1852"/>
        <v>1179.0665381810718</v>
      </c>
      <c r="CP704" s="589">
        <f t="shared" si="1818"/>
        <v>2.2235378813295057E-3</v>
      </c>
      <c r="CQ704" s="196">
        <f>'Detailed Budget'!$AC$12</f>
        <v>292876014141.44696</v>
      </c>
      <c r="CR704" s="269">
        <f t="shared" si="1861"/>
        <v>0</v>
      </c>
      <c r="CS704" s="269">
        <f>'Detailed Budget'!$AC$16</f>
        <v>10488008800.000002</v>
      </c>
      <c r="CT704" s="607">
        <f t="shared" si="1822"/>
        <v>0</v>
      </c>
      <c r="CU704" s="269">
        <f>'Detailed Budget'!$AC$24</f>
        <v>30624985696</v>
      </c>
      <c r="CV704" s="269">
        <f t="shared" si="1753"/>
        <v>0</v>
      </c>
      <c r="CW704" s="269"/>
      <c r="CX704" s="269">
        <f t="shared" si="1810"/>
        <v>0</v>
      </c>
      <c r="CY704" s="196"/>
      <c r="DA704" s="269">
        <f>'Detailed Budget'!$AC$100</f>
        <v>14925833098.967569</v>
      </c>
      <c r="DB704" s="269">
        <f t="shared" si="1823"/>
        <v>36370550.52286689</v>
      </c>
      <c r="DC704" s="269">
        <f t="shared" si="1799"/>
        <v>36370550.52286689</v>
      </c>
      <c r="DD704" s="207">
        <v>0</v>
      </c>
      <c r="DE704" s="606">
        <v>0</v>
      </c>
      <c r="DF704" s="269">
        <f>'Detailed Budget'!$AC$147</f>
        <v>5913600671000</v>
      </c>
      <c r="DG704" s="269">
        <f t="shared" si="1748"/>
        <v>0</v>
      </c>
      <c r="DH704" s="269">
        <f>'Detailed Budget'!$AC$153</f>
        <v>226428026880.00003</v>
      </c>
      <c r="DI704" s="269"/>
      <c r="DJ704" s="269">
        <f>'Detailed Budget'!$AC$156</f>
        <v>27713070000</v>
      </c>
      <c r="DK704" s="269"/>
      <c r="DL704" s="269"/>
      <c r="DM704" s="196">
        <f>'Detailed Budget'!$AC$178</f>
        <v>5622683761.6229038</v>
      </c>
      <c r="DN704" s="269">
        <f t="shared" si="1853"/>
        <v>0</v>
      </c>
      <c r="DO704" s="196">
        <f>'Detailed Budget'!$AC$179</f>
        <v>26827890683.128094</v>
      </c>
      <c r="DP704" s="269">
        <f t="shared" si="1854"/>
        <v>0</v>
      </c>
      <c r="DQ704" s="269">
        <f t="shared" si="1862"/>
        <v>0</v>
      </c>
      <c r="DR704" s="269">
        <f>'Detailed Budget'!$AC$181</f>
        <v>50888946855.375237</v>
      </c>
      <c r="DS704" s="269">
        <f t="shared" si="1855"/>
        <v>0</v>
      </c>
      <c r="DT704" s="269">
        <f t="shared" si="1856"/>
        <v>0</v>
      </c>
      <c r="DU704" s="272">
        <f>'Detailed Budget'!$AC$192</f>
        <v>77498869683.252869</v>
      </c>
      <c r="DV704" s="269">
        <f t="shared" si="1824"/>
        <v>160811104.82007506</v>
      </c>
      <c r="DW704" s="140">
        <f>'Detailed Budget'!$AC$194</f>
        <v>2684962805.4134097</v>
      </c>
      <c r="DX704" s="269">
        <f t="shared" si="1825"/>
        <v>5571330.7420358732</v>
      </c>
      <c r="DY704" s="607">
        <f t="shared" si="1800"/>
        <v>166382435.56211093</v>
      </c>
      <c r="DZ704" s="196">
        <f>'Detailed Budget'!$AC$198</f>
        <v>18732540018.380611</v>
      </c>
      <c r="EA704" s="269">
        <f t="shared" si="1826"/>
        <v>34243114.610391282</v>
      </c>
      <c r="EB704" s="196">
        <f>'Detailed Budget'!$AC$200</f>
        <v>4683135004.5951529</v>
      </c>
      <c r="EC704" s="269">
        <f t="shared" si="1827"/>
        <v>8560778.6525978204</v>
      </c>
      <c r="ED704" s="269">
        <f t="shared" si="1801"/>
        <v>42803893.262989104</v>
      </c>
      <c r="EE704" s="196">
        <f>'Detailed Budget'!$AC$161</f>
        <v>251147290106.36197</v>
      </c>
      <c r="EF704" s="269">
        <f t="shared" si="1828"/>
        <v>521133706.33197087</v>
      </c>
      <c r="EG704" s="196">
        <f>'Detailed Budget'!$AC$163</f>
        <v>15696705631.647623</v>
      </c>
      <c r="EH704" s="269">
        <f t="shared" si="1829"/>
        <v>32570856.645748179</v>
      </c>
      <c r="EI704" s="269">
        <f t="shared" si="1802"/>
        <v>553704562.97771907</v>
      </c>
      <c r="EJ704" s="196">
        <f>'Detailed Budget'!$AC$204</f>
        <v>45012172507.531975</v>
      </c>
      <c r="EK704" s="269">
        <f t="shared" si="1830"/>
        <v>98062223.653975457</v>
      </c>
      <c r="EL704" s="201">
        <f>'Detailed Budget'!$AC$206</f>
        <v>11253043126.882994</v>
      </c>
      <c r="EM704" s="269">
        <f t="shared" si="1831"/>
        <v>24515555.913493864</v>
      </c>
      <c r="EN704" s="269">
        <f t="shared" si="1803"/>
        <v>122577779.56746933</v>
      </c>
      <c r="EO704" s="140">
        <f>'Detailed Budget'!$AC$209</f>
        <v>135789361677.54817</v>
      </c>
      <c r="EP704" s="269">
        <f t="shared" si="1832"/>
        <v>418508662.70433784</v>
      </c>
      <c r="EQ704" s="196">
        <f>'Detailed Budget'!$AC$211</f>
        <v>33947340419.387043</v>
      </c>
      <c r="ER704" s="269">
        <f t="shared" si="1833"/>
        <v>104627165.67608446</v>
      </c>
      <c r="ES704" s="269">
        <f t="shared" si="1804"/>
        <v>523135828.38042229</v>
      </c>
      <c r="ET704" s="196">
        <f>'Detailed Budget'!$AC$214</f>
        <v>22239745544.201103</v>
      </c>
      <c r="EU704" s="269">
        <f t="shared" si="1834"/>
        <v>47235568.436670721</v>
      </c>
      <c r="EV704" s="140">
        <f>'Detailed Budget'!$AC$217</f>
        <v>5559936386.0502758</v>
      </c>
      <c r="EW704" s="269">
        <f t="shared" si="1835"/>
        <v>11808892.10916768</v>
      </c>
      <c r="EX704" s="269">
        <f t="shared" si="1805"/>
        <v>59044460.545838401</v>
      </c>
      <c r="EY704" s="196">
        <f>'Detailed Budget'!$AC$219</f>
        <v>372777004.58170313</v>
      </c>
      <c r="EZ704" s="269">
        <f t="shared" si="1836"/>
        <v>828883.79097595962</v>
      </c>
      <c r="FA704" s="196">
        <f>'Detailed Budget'!$AC$222</f>
        <v>93194251.145425782</v>
      </c>
      <c r="FB704" s="269">
        <f t="shared" si="1837"/>
        <v>207220.94774398991</v>
      </c>
      <c r="FC704" s="269">
        <f t="shared" si="1806"/>
        <v>1036104.7387199495</v>
      </c>
      <c r="FD704" s="269"/>
      <c r="FE704" s="269">
        <f t="shared" si="1807"/>
        <v>705794173.23244989</v>
      </c>
      <c r="FF704" s="140"/>
      <c r="FG704" s="1087">
        <f t="shared" si="1749"/>
        <v>962749971.52511477</v>
      </c>
      <c r="FJ704" s="140">
        <f>'Detailed Budget'!$AC$235</f>
        <v>3623696172</v>
      </c>
      <c r="FK704" s="269">
        <f t="shared" si="1838"/>
        <v>4681778</v>
      </c>
      <c r="FL704" s="269">
        <f t="shared" si="1750"/>
        <v>4681778</v>
      </c>
      <c r="FO704" s="607"/>
      <c r="FP704" s="607"/>
      <c r="FQ704" s="607"/>
      <c r="FR704" s="269">
        <f>'Detailed Budget'!$AC$257</f>
        <v>13636439388</v>
      </c>
      <c r="FS704" s="269">
        <f t="shared" si="1839"/>
        <v>13990704</v>
      </c>
      <c r="FT704" s="269">
        <f t="shared" si="1751"/>
        <v>13990704</v>
      </c>
      <c r="FU704" s="269"/>
      <c r="FV704" s="269"/>
      <c r="FW704" s="269"/>
      <c r="FX704" s="140">
        <f>'Detailed Budget'!$AC$278</f>
        <v>1114560000</v>
      </c>
      <c r="FY704" s="269">
        <f t="shared" si="1840"/>
        <v>1440000</v>
      </c>
      <c r="FZ704" s="269">
        <f t="shared" si="1752"/>
        <v>1440000</v>
      </c>
      <c r="GB704" s="269">
        <f t="shared" si="1760"/>
        <v>2487918069.083251</v>
      </c>
      <c r="GC704" s="887">
        <f t="shared" si="1808"/>
        <v>1554948.7931770319</v>
      </c>
      <c r="GD704" s="1078">
        <f t="shared" si="1761"/>
        <v>1.3960491708708399E-3</v>
      </c>
    </row>
    <row r="705" spans="1:186" hidden="1" outlineLevel="1">
      <c r="A705" s="211" t="s">
        <v>1505</v>
      </c>
      <c r="B705" s="212" t="s">
        <v>1506</v>
      </c>
      <c r="C705" s="213" t="s">
        <v>215</v>
      </c>
      <c r="D705" s="214"/>
      <c r="E705" s="213"/>
      <c r="F705" s="213"/>
      <c r="G705" s="213" t="s">
        <v>215</v>
      </c>
      <c r="H705" s="213" t="s">
        <v>215</v>
      </c>
      <c r="I705" s="214" t="s">
        <v>215</v>
      </c>
      <c r="J705" s="214"/>
      <c r="K705" s="213"/>
      <c r="L705" s="213"/>
      <c r="M705" s="214" t="s">
        <v>215</v>
      </c>
      <c r="N705" s="213"/>
      <c r="O705" s="214"/>
      <c r="P705" s="213"/>
      <c r="Q705" s="214"/>
      <c r="R705" s="214" t="s">
        <v>215</v>
      </c>
      <c r="S705" s="214"/>
      <c r="T705" s="214"/>
      <c r="U705" s="215">
        <f t="shared" si="1841"/>
        <v>6</v>
      </c>
      <c r="V705" s="845" t="s">
        <v>216</v>
      </c>
      <c r="W705" s="216">
        <v>75282</v>
      </c>
      <c r="X705" s="217">
        <v>3.41</v>
      </c>
      <c r="Y705" s="218">
        <f t="shared" si="1785"/>
        <v>1.0341</v>
      </c>
      <c r="Z705" s="196">
        <v>19</v>
      </c>
      <c r="AA705" s="218">
        <f t="shared" si="1786"/>
        <v>1.8909856119855175</v>
      </c>
      <c r="AB705" s="196">
        <f t="shared" si="1788"/>
        <v>142357.17884149373</v>
      </c>
      <c r="AC705">
        <v>11.9</v>
      </c>
      <c r="AD705" s="196">
        <f t="shared" si="1789"/>
        <v>16940.504282137754</v>
      </c>
      <c r="AE705" s="196">
        <f t="shared" si="1787"/>
        <v>16093.479068030865</v>
      </c>
      <c r="AF705" s="196">
        <f t="shared" si="1842"/>
        <v>0</v>
      </c>
      <c r="AG705" s="606">
        <f t="shared" si="1811"/>
        <v>7.4409182040881738E-4</v>
      </c>
      <c r="AH705" s="196">
        <f t="shared" si="1857"/>
        <v>7117.8589420746866</v>
      </c>
      <c r="AI705" s="248">
        <f t="shared" si="1790"/>
        <v>5.5140974763282934E-4</v>
      </c>
      <c r="AJ705" s="196">
        <f t="shared" si="1791"/>
        <v>24058.36322421244</v>
      </c>
      <c r="AK705" s="196">
        <f t="shared" si="1858"/>
        <v>5694.2871536597495</v>
      </c>
      <c r="AL705" s="196">
        <f t="shared" si="1859"/>
        <v>5694.2871536597495</v>
      </c>
      <c r="AM705" s="196">
        <f t="shared" si="1792"/>
        <v>11388.574307319499</v>
      </c>
      <c r="AN705" s="627">
        <f t="shared" si="1793"/>
        <v>5.5140974763282934E-4</v>
      </c>
      <c r="AO705" s="196">
        <f t="shared" si="1794"/>
        <v>5409.5727959767619</v>
      </c>
      <c r="AP705" s="589">
        <f t="shared" si="1812"/>
        <v>5.5140974763282934E-4</v>
      </c>
      <c r="AQ705" s="196"/>
      <c r="AR705" s="589"/>
      <c r="AS705">
        <v>1</v>
      </c>
      <c r="AT705" s="589">
        <f t="shared" si="1813"/>
        <v>1.2919896640826874E-3</v>
      </c>
      <c r="AU705" s="196">
        <v>12</v>
      </c>
      <c r="AV705" s="245">
        <f t="shared" si="1795"/>
        <v>1.3634814225656176E-3</v>
      </c>
      <c r="AX705" s="245"/>
      <c r="AY705" s="245"/>
      <c r="AZ705" s="196">
        <v>7</v>
      </c>
      <c r="BA705" s="589">
        <f t="shared" si="1754"/>
        <v>2.5649481514052253E-4</v>
      </c>
      <c r="BI705" s="196">
        <v>0</v>
      </c>
      <c r="BK705" s="246">
        <f t="shared" si="1755"/>
        <v>0</v>
      </c>
      <c r="BL705" s="246"/>
      <c r="BM705" s="246">
        <f t="shared" si="1756"/>
        <v>0</v>
      </c>
      <c r="BN705" s="196">
        <v>1</v>
      </c>
      <c r="BO705" s="196">
        <f t="shared" si="1843"/>
        <v>6922.180071822163</v>
      </c>
      <c r="BP705" s="196">
        <f t="shared" si="1796"/>
        <v>6922.180071822163</v>
      </c>
      <c r="BQ705" s="248">
        <f t="shared" si="1757"/>
        <v>6.4753771087081664E-4</v>
      </c>
      <c r="BR705" s="248"/>
      <c r="BS705" s="248"/>
      <c r="BT705" s="276">
        <v>0</v>
      </c>
      <c r="BU705" s="196">
        <f t="shared" si="1844"/>
        <v>0</v>
      </c>
      <c r="BV705" s="264">
        <f t="shared" si="1758"/>
        <v>0</v>
      </c>
      <c r="BW705" s="196">
        <f t="shared" si="1845"/>
        <v>0</v>
      </c>
      <c r="BX705" s="247">
        <f t="shared" si="1759"/>
        <v>0</v>
      </c>
      <c r="BY705" s="196">
        <f t="shared" si="1860"/>
        <v>0</v>
      </c>
      <c r="BZ705" s="620">
        <v>1</v>
      </c>
      <c r="CA705" s="196">
        <f t="shared" si="1846"/>
        <v>43561.296725497086</v>
      </c>
      <c r="CB705" s="196">
        <f t="shared" si="1847"/>
        <v>87122.593450994173</v>
      </c>
      <c r="CC705" s="196">
        <f t="shared" si="1809"/>
        <v>130683.89017649126</v>
      </c>
      <c r="CD705" s="247">
        <f t="shared" si="1797"/>
        <v>5.5140974763282934E-4</v>
      </c>
      <c r="CE705" s="196">
        <f t="shared" si="1848"/>
        <v>11249.065517410443</v>
      </c>
      <c r="CF705" s="247">
        <f t="shared" si="1798"/>
        <v>4.8576963302433699E-4</v>
      </c>
      <c r="CG705" s="196">
        <f t="shared" si="1820"/>
        <v>21638.291183907048</v>
      </c>
      <c r="CH705" s="589">
        <f t="shared" si="1814"/>
        <v>5.5140974763282934E-4</v>
      </c>
      <c r="CI705" s="196">
        <f t="shared" si="1849"/>
        <v>35214.683396823362</v>
      </c>
      <c r="CJ705" s="248">
        <f t="shared" si="1815"/>
        <v>5.7892930565709127E-4</v>
      </c>
      <c r="CK705" s="196">
        <f t="shared" si="1850"/>
        <v>56974.222769725078</v>
      </c>
      <c r="CL705" s="589">
        <f t="shared" si="1816"/>
        <v>8.1901617141244066E-4</v>
      </c>
      <c r="CM705" s="196">
        <f t="shared" si="1851"/>
        <v>3916.4706224956576</v>
      </c>
      <c r="CN705" s="589">
        <f t="shared" si="1817"/>
        <v>5.6440792602355206E-4</v>
      </c>
      <c r="CO705" s="196">
        <f t="shared" si="1852"/>
        <v>313.32286291749011</v>
      </c>
      <c r="CP705" s="589">
        <f t="shared" si="1818"/>
        <v>5.908786588570455E-4</v>
      </c>
      <c r="CQ705" s="196">
        <f>'Detailed Budget'!$AC$12</f>
        <v>292876014141.44696</v>
      </c>
      <c r="CR705" s="269">
        <f t="shared" si="1861"/>
        <v>0</v>
      </c>
      <c r="CS705" s="269">
        <f>'Detailed Budget'!$AC$16</f>
        <v>10488008800.000002</v>
      </c>
      <c r="CT705" s="607">
        <f t="shared" si="1822"/>
        <v>0</v>
      </c>
      <c r="CU705" s="269">
        <f>'Detailed Budget'!$AC$24</f>
        <v>30624985696</v>
      </c>
      <c r="CV705" s="269">
        <f t="shared" si="1753"/>
        <v>0</v>
      </c>
      <c r="CW705" s="269"/>
      <c r="CX705" s="269">
        <f t="shared" si="1810"/>
        <v>0</v>
      </c>
      <c r="CY705" s="196"/>
      <c r="DA705" s="269">
        <f>'Detailed Budget'!$AC$100</f>
        <v>14925833098.967569</v>
      </c>
      <c r="DB705" s="269">
        <f t="shared" si="1823"/>
        <v>9665039.7977453265</v>
      </c>
      <c r="DC705" s="269">
        <f t="shared" si="1799"/>
        <v>9665039.7977453265</v>
      </c>
      <c r="DD705" s="207">
        <v>0</v>
      </c>
      <c r="DE705" s="606">
        <v>0</v>
      </c>
      <c r="DF705" s="269">
        <f>'Detailed Budget'!$AC$147</f>
        <v>5913600671000</v>
      </c>
      <c r="DG705" s="269">
        <f t="shared" si="1748"/>
        <v>0</v>
      </c>
      <c r="DH705" s="269">
        <f>'Detailed Budget'!$AC$153</f>
        <v>226428026880.00003</v>
      </c>
      <c r="DI705" s="269"/>
      <c r="DJ705" s="269">
        <f>'Detailed Budget'!$AC$156</f>
        <v>27713070000</v>
      </c>
      <c r="DK705" s="269"/>
      <c r="DL705" s="269"/>
      <c r="DM705" s="196">
        <f>'Detailed Budget'!$AC$178</f>
        <v>5622683761.6229038</v>
      </c>
      <c r="DN705" s="269">
        <f t="shared" si="1853"/>
        <v>0</v>
      </c>
      <c r="DO705" s="196">
        <f>'Detailed Budget'!$AC$179</f>
        <v>26827890683.128094</v>
      </c>
      <c r="DP705" s="269">
        <f t="shared" si="1854"/>
        <v>0</v>
      </c>
      <c r="DQ705" s="269">
        <f t="shared" si="1862"/>
        <v>0</v>
      </c>
      <c r="DR705" s="269">
        <f>'Detailed Budget'!$AC$181</f>
        <v>50888946855.375237</v>
      </c>
      <c r="DS705" s="269">
        <f t="shared" si="1855"/>
        <v>0</v>
      </c>
      <c r="DT705" s="269">
        <f t="shared" si="1856"/>
        <v>0</v>
      </c>
      <c r="DU705" s="272">
        <f>'Detailed Budget'!$AC$192</f>
        <v>77498869683.252869</v>
      </c>
      <c r="DV705" s="269">
        <f t="shared" si="1824"/>
        <v>42733632.173871994</v>
      </c>
      <c r="DW705" s="140">
        <f>'Detailed Budget'!$AC$194</f>
        <v>2684962805.4134097</v>
      </c>
      <c r="DX705" s="269">
        <f t="shared" si="1825"/>
        <v>1480514.6629365417</v>
      </c>
      <c r="DY705" s="607">
        <f t="shared" si="1800"/>
        <v>44214146.836808532</v>
      </c>
      <c r="DZ705" s="196">
        <f>'Detailed Budget'!$AC$198</f>
        <v>18732540018.380611</v>
      </c>
      <c r="EA705" s="269">
        <f t="shared" si="1826"/>
        <v>9099699.0903424565</v>
      </c>
      <c r="EB705" s="196">
        <f>'Detailed Budget'!$AC$200</f>
        <v>4683135004.5951529</v>
      </c>
      <c r="EC705" s="269">
        <f t="shared" si="1827"/>
        <v>2274924.7725856141</v>
      </c>
      <c r="ED705" s="269">
        <f t="shared" si="1801"/>
        <v>11374623.86292807</v>
      </c>
      <c r="EE705" s="196">
        <f>'Detailed Budget'!$AC$161</f>
        <v>251147290106.36197</v>
      </c>
      <c r="EF705" s="269">
        <f t="shared" si="1828"/>
        <v>138485063.85621804</v>
      </c>
      <c r="EG705" s="196">
        <f>'Detailed Budget'!$AC$163</f>
        <v>15696705631.647623</v>
      </c>
      <c r="EH705" s="269">
        <f t="shared" si="1829"/>
        <v>8655316.4910136275</v>
      </c>
      <c r="EI705" s="269">
        <f t="shared" si="1802"/>
        <v>147140380.34723166</v>
      </c>
      <c r="EJ705" s="196">
        <f>'Detailed Budget'!$AC$204</f>
        <v>45012172507.531975</v>
      </c>
      <c r="EK705" s="269">
        <f t="shared" si="1830"/>
        <v>26058865.7759027</v>
      </c>
      <c r="EL705" s="201">
        <f>'Detailed Budget'!$AC$206</f>
        <v>11253043126.882994</v>
      </c>
      <c r="EM705" s="269">
        <f t="shared" si="1831"/>
        <v>6514716.4439756749</v>
      </c>
      <c r="EN705" s="269">
        <f t="shared" si="1803"/>
        <v>32573582.219878376</v>
      </c>
      <c r="EO705" s="140">
        <f>'Detailed Budget'!$AC$209</f>
        <v>135789361677.54817</v>
      </c>
      <c r="EP705" s="269">
        <f t="shared" si="1832"/>
        <v>111213683.1196847</v>
      </c>
      <c r="EQ705" s="196">
        <f>'Detailed Budget'!$AC$211</f>
        <v>33947340419.387043</v>
      </c>
      <c r="ER705" s="269">
        <f t="shared" si="1833"/>
        <v>27803420.779921174</v>
      </c>
      <c r="ES705" s="269">
        <f t="shared" si="1804"/>
        <v>139017103.89960587</v>
      </c>
      <c r="ET705" s="196">
        <f>'Detailed Budget'!$AC$214</f>
        <v>22239745544.201103</v>
      </c>
      <c r="EU705" s="269">
        <f t="shared" si="1834"/>
        <v>12552288.657894079</v>
      </c>
      <c r="EV705" s="140">
        <f>'Detailed Budget'!$AC$217</f>
        <v>5559936386.0502758</v>
      </c>
      <c r="EW705" s="269">
        <f t="shared" si="1835"/>
        <v>3138072.1644735197</v>
      </c>
      <c r="EX705" s="269">
        <f t="shared" si="1805"/>
        <v>15690360.822367597</v>
      </c>
      <c r="EY705" s="196">
        <f>'Detailed Budget'!$AC$219</f>
        <v>372777004.58170313</v>
      </c>
      <c r="EZ705" s="269">
        <f t="shared" si="1836"/>
        <v>220265.97651998344</v>
      </c>
      <c r="FA705" s="196">
        <f>'Detailed Budget'!$AC$222</f>
        <v>93194251.145425782</v>
      </c>
      <c r="FB705" s="269">
        <f t="shared" si="1837"/>
        <v>55066.494129995859</v>
      </c>
      <c r="FC705" s="269">
        <f t="shared" si="1806"/>
        <v>275332.47064997931</v>
      </c>
      <c r="FD705" s="269"/>
      <c r="FE705" s="269">
        <f t="shared" si="1807"/>
        <v>187556379.41250184</v>
      </c>
      <c r="FF705" s="140"/>
      <c r="FG705" s="1087">
        <f t="shared" si="1749"/>
        <v>255839316.59814078</v>
      </c>
      <c r="FJ705" s="140">
        <f>'Detailed Budget'!$AC$235</f>
        <v>3623696172</v>
      </c>
      <c r="FK705" s="269">
        <f t="shared" si="1838"/>
        <v>4681778</v>
      </c>
      <c r="FL705" s="269">
        <f t="shared" si="1750"/>
        <v>4681778</v>
      </c>
      <c r="FO705" s="607"/>
      <c r="FP705" s="607"/>
      <c r="FQ705" s="607"/>
      <c r="FR705" s="269">
        <f>'Detailed Budget'!$AC$257</f>
        <v>13636439388</v>
      </c>
      <c r="FS705" s="269">
        <f t="shared" si="1839"/>
        <v>3497676</v>
      </c>
      <c r="FT705" s="269">
        <f t="shared" si="1751"/>
        <v>3497676</v>
      </c>
      <c r="FU705" s="269"/>
      <c r="FV705" s="269"/>
      <c r="FW705" s="269"/>
      <c r="FX705" s="140">
        <f>'Detailed Budget'!$AC$278</f>
        <v>1114560000</v>
      </c>
      <c r="FY705" s="269">
        <f t="shared" si="1840"/>
        <v>1440000</v>
      </c>
      <c r="FZ705" s="269">
        <f t="shared" si="1752"/>
        <v>1440000</v>
      </c>
      <c r="GB705" s="269">
        <f t="shared" si="1760"/>
        <v>665409340.85535622</v>
      </c>
      <c r="GC705" s="887">
        <f t="shared" si="1808"/>
        <v>415880.83803459763</v>
      </c>
      <c r="GD705" s="1078">
        <f t="shared" si="1761"/>
        <v>3.7338213429718363E-4</v>
      </c>
    </row>
    <row r="706" spans="1:186" hidden="1" outlineLevel="1">
      <c r="A706" s="211" t="s">
        <v>1507</v>
      </c>
      <c r="B706" s="212" t="s">
        <v>1508</v>
      </c>
      <c r="C706" s="213" t="s">
        <v>215</v>
      </c>
      <c r="D706" s="214"/>
      <c r="E706" s="213"/>
      <c r="F706" s="213"/>
      <c r="G706" s="213" t="s">
        <v>215</v>
      </c>
      <c r="H706" s="213" t="s">
        <v>215</v>
      </c>
      <c r="I706" s="214" t="s">
        <v>215</v>
      </c>
      <c r="J706" s="214"/>
      <c r="K706" s="213"/>
      <c r="L706" s="213"/>
      <c r="M706" s="214" t="s">
        <v>215</v>
      </c>
      <c r="N706" s="213"/>
      <c r="O706" s="214"/>
      <c r="P706" s="213"/>
      <c r="Q706" s="214"/>
      <c r="R706" s="214" t="s">
        <v>215</v>
      </c>
      <c r="S706" s="214"/>
      <c r="T706" s="214"/>
      <c r="U706" s="215">
        <f t="shared" si="1841"/>
        <v>6</v>
      </c>
      <c r="V706" s="845" t="s">
        <v>216</v>
      </c>
      <c r="W706" s="216">
        <v>222285</v>
      </c>
      <c r="X706" s="217">
        <v>3.41</v>
      </c>
      <c r="Y706" s="218">
        <f t="shared" si="1785"/>
        <v>1.0341</v>
      </c>
      <c r="Z706" s="196">
        <v>19</v>
      </c>
      <c r="AA706" s="218">
        <f t="shared" si="1786"/>
        <v>1.8909856119855175</v>
      </c>
      <c r="AB706" s="196">
        <f t="shared" si="1788"/>
        <v>420337.73676020076</v>
      </c>
      <c r="AC706">
        <v>11.9</v>
      </c>
      <c r="AD706" s="196">
        <f t="shared" si="1789"/>
        <v>50020.190674463891</v>
      </c>
      <c r="AE706" s="196">
        <f t="shared" si="1787"/>
        <v>47519.181140740693</v>
      </c>
      <c r="AF706" s="196">
        <f t="shared" si="1842"/>
        <v>0</v>
      </c>
      <c r="AG706" s="606">
        <f t="shared" si="1811"/>
        <v>2.1970783228337978E-3</v>
      </c>
      <c r="AH706" s="196">
        <f t="shared" si="1857"/>
        <v>21016.886838010039</v>
      </c>
      <c r="AI706" s="248">
        <f t="shared" si="1790"/>
        <v>1.628146379646708E-3</v>
      </c>
      <c r="AJ706" s="196">
        <f t="shared" si="1791"/>
        <v>71037.07751247393</v>
      </c>
      <c r="AK706" s="196">
        <f t="shared" si="1858"/>
        <v>16813.509470408029</v>
      </c>
      <c r="AL706" s="196">
        <f t="shared" si="1859"/>
        <v>16813.509470408029</v>
      </c>
      <c r="AM706" s="196">
        <f t="shared" si="1792"/>
        <v>33627.018940816059</v>
      </c>
      <c r="AN706" s="627">
        <f t="shared" si="1793"/>
        <v>1.6281463796467078E-3</v>
      </c>
      <c r="AO706" s="196">
        <f t="shared" si="1794"/>
        <v>15972.833996887628</v>
      </c>
      <c r="AP706" s="589">
        <f t="shared" si="1812"/>
        <v>1.6281463796467078E-3</v>
      </c>
      <c r="AQ706" s="196"/>
      <c r="AR706" s="589"/>
      <c r="AS706">
        <v>1</v>
      </c>
      <c r="AT706" s="589">
        <f t="shared" si="1813"/>
        <v>1.2919896640826874E-3</v>
      </c>
      <c r="AU706" s="196">
        <v>12</v>
      </c>
      <c r="AV706" s="245">
        <f t="shared" si="1795"/>
        <v>1.3634814225656176E-3</v>
      </c>
      <c r="AX706" s="245"/>
      <c r="AY706" s="245"/>
      <c r="AZ706" s="196">
        <v>15</v>
      </c>
      <c r="BA706" s="589">
        <f t="shared" si="1754"/>
        <v>5.4963174672969107E-4</v>
      </c>
      <c r="BI706" s="196">
        <v>0</v>
      </c>
      <c r="BK706" s="246">
        <f t="shared" si="1755"/>
        <v>0</v>
      </c>
      <c r="BL706" s="246"/>
      <c r="BM706" s="246">
        <f t="shared" si="1756"/>
        <v>0</v>
      </c>
      <c r="BN706" s="196">
        <v>1</v>
      </c>
      <c r="BO706" s="196">
        <f t="shared" si="1843"/>
        <v>20439.106257338932</v>
      </c>
      <c r="BP706" s="196">
        <f t="shared" si="1796"/>
        <v>20439.106257338932</v>
      </c>
      <c r="BQ706" s="248">
        <f t="shared" si="1757"/>
        <v>1.9119832106070439E-3</v>
      </c>
      <c r="BR706" s="248"/>
      <c r="BS706" s="248"/>
      <c r="BT706" s="276">
        <v>0</v>
      </c>
      <c r="BU706" s="196">
        <f t="shared" si="1844"/>
        <v>0</v>
      </c>
      <c r="BV706" s="264">
        <f t="shared" si="1758"/>
        <v>0</v>
      </c>
      <c r="BW706" s="196">
        <f t="shared" si="1845"/>
        <v>0</v>
      </c>
      <c r="BX706" s="247">
        <f t="shared" si="1759"/>
        <v>0</v>
      </c>
      <c r="BY706" s="196">
        <f t="shared" si="1860"/>
        <v>0</v>
      </c>
      <c r="BZ706" s="620">
        <v>1</v>
      </c>
      <c r="CA706" s="196">
        <f t="shared" si="1846"/>
        <v>128623.34744862141</v>
      </c>
      <c r="CB706" s="196">
        <f t="shared" si="1847"/>
        <v>257246.69489724282</v>
      </c>
      <c r="CC706" s="196">
        <f t="shared" si="1809"/>
        <v>385870.04234586423</v>
      </c>
      <c r="CD706" s="247">
        <f t="shared" si="1797"/>
        <v>1.6281463796467075E-3</v>
      </c>
      <c r="CE706" s="196">
        <f t="shared" si="1848"/>
        <v>33215.091635949902</v>
      </c>
      <c r="CF706" s="247">
        <f t="shared" si="1798"/>
        <v>1.4343309539706008E-3</v>
      </c>
      <c r="CG706" s="196">
        <f t="shared" si="1820"/>
        <v>63891.335987550512</v>
      </c>
      <c r="CH706" s="589">
        <f t="shared" si="1814"/>
        <v>1.6281463796467078E-3</v>
      </c>
      <c r="CI706" s="196">
        <f t="shared" si="1849"/>
        <v>103978.32016767462</v>
      </c>
      <c r="CJ706" s="248">
        <f t="shared" si="1815"/>
        <v>1.7094033196246982E-3</v>
      </c>
      <c r="CK706" s="196">
        <f t="shared" si="1850"/>
        <v>168227.66542292101</v>
      </c>
      <c r="CL706" s="589">
        <f t="shared" si="1816"/>
        <v>2.4183072934089739E-3</v>
      </c>
      <c r="CM706" s="196">
        <f t="shared" si="1851"/>
        <v>11564.15441036964</v>
      </c>
      <c r="CN706" s="589">
        <f t="shared" si="1817"/>
        <v>1.6665260731136961E-3</v>
      </c>
      <c r="CO706" s="196">
        <f t="shared" si="1852"/>
        <v>925.14774559143348</v>
      </c>
      <c r="CP706" s="589">
        <f t="shared" si="1818"/>
        <v>1.7446861491995215E-3</v>
      </c>
      <c r="CQ706" s="196">
        <f>'Detailed Budget'!$AC$12</f>
        <v>292876014141.44696</v>
      </c>
      <c r="CR706" s="269">
        <f t="shared" si="1861"/>
        <v>0</v>
      </c>
      <c r="CS706" s="269">
        <f>'Detailed Budget'!$AC$16</f>
        <v>10488008800.000002</v>
      </c>
      <c r="CT706" s="607">
        <f t="shared" si="1822"/>
        <v>0</v>
      </c>
      <c r="CU706" s="269">
        <f>'Detailed Budget'!$AC$24</f>
        <v>30624985696</v>
      </c>
      <c r="CV706" s="269">
        <f t="shared" si="1753"/>
        <v>0</v>
      </c>
      <c r="CW706" s="269"/>
      <c r="CX706" s="269">
        <f t="shared" si="1810"/>
        <v>0</v>
      </c>
      <c r="CY706" s="196"/>
      <c r="DA706" s="269">
        <f>'Detailed Budget'!$AC$100</f>
        <v>14925833098.967569</v>
      </c>
      <c r="DB706" s="269">
        <f t="shared" si="1823"/>
        <v>28537942.289548896</v>
      </c>
      <c r="DC706" s="269">
        <f t="shared" si="1799"/>
        <v>28537942.289548896</v>
      </c>
      <c r="DD706" s="207">
        <v>0</v>
      </c>
      <c r="DE706" s="606">
        <v>0</v>
      </c>
      <c r="DF706" s="269">
        <f>'Detailed Budget'!$AC$147</f>
        <v>5913600671000</v>
      </c>
      <c r="DG706" s="269">
        <f t="shared" si="1748"/>
        <v>0</v>
      </c>
      <c r="DH706" s="269">
        <f>'Detailed Budget'!$AC$153</f>
        <v>226428026880.00003</v>
      </c>
      <c r="DI706" s="269"/>
      <c r="DJ706" s="269">
        <f>'Detailed Budget'!$AC$156</f>
        <v>27713070000</v>
      </c>
      <c r="DK706" s="269"/>
      <c r="DL706" s="269"/>
      <c r="DM706" s="196">
        <f>'Detailed Budget'!$AC$178</f>
        <v>5622683761.6229038</v>
      </c>
      <c r="DN706" s="269">
        <f t="shared" si="1853"/>
        <v>0</v>
      </c>
      <c r="DO706" s="196">
        <f>'Detailed Budget'!$AC$179</f>
        <v>26827890683.128094</v>
      </c>
      <c r="DP706" s="269">
        <f t="shared" si="1854"/>
        <v>0</v>
      </c>
      <c r="DQ706" s="269">
        <f t="shared" si="1862"/>
        <v>0</v>
      </c>
      <c r="DR706" s="269">
        <f>'Detailed Budget'!$AC$181</f>
        <v>50888946855.375237</v>
      </c>
      <c r="DS706" s="269">
        <f t="shared" si="1855"/>
        <v>0</v>
      </c>
      <c r="DT706" s="269">
        <f t="shared" si="1856"/>
        <v>0</v>
      </c>
      <c r="DU706" s="272">
        <f>'Detailed Budget'!$AC$192</f>
        <v>77498869683.252869</v>
      </c>
      <c r="DV706" s="269">
        <f t="shared" si="1824"/>
        <v>126179504.10150014</v>
      </c>
      <c r="DW706" s="140">
        <f>'Detailed Budget'!$AC$194</f>
        <v>2684962805.4134097</v>
      </c>
      <c r="DX706" s="269">
        <f t="shared" si="1825"/>
        <v>4371512.4711199105</v>
      </c>
      <c r="DY706" s="607">
        <f t="shared" si="1800"/>
        <v>130551016.57262005</v>
      </c>
      <c r="DZ706" s="196">
        <f>'Detailed Budget'!$AC$198</f>
        <v>18732540018.380611</v>
      </c>
      <c r="EA706" s="269">
        <f t="shared" si="1826"/>
        <v>26868661.994856317</v>
      </c>
      <c r="EB706" s="196">
        <f>'Detailed Budget'!$AC$200</f>
        <v>4683135004.5951529</v>
      </c>
      <c r="EC706" s="269">
        <f t="shared" si="1827"/>
        <v>6717165.4987140791</v>
      </c>
      <c r="ED706" s="269">
        <f t="shared" si="1801"/>
        <v>33585827.493570395</v>
      </c>
      <c r="EE706" s="196">
        <f>'Detailed Budget'!$AC$161</f>
        <v>251147290106.36197</v>
      </c>
      <c r="EF706" s="269">
        <f t="shared" si="1828"/>
        <v>408904551.14475465</v>
      </c>
      <c r="EG706" s="196">
        <f>'Detailed Budget'!$AC$163</f>
        <v>15696705631.647623</v>
      </c>
      <c r="EH706" s="269">
        <f t="shared" si="1829"/>
        <v>25556534.446547166</v>
      </c>
      <c r="EI706" s="269">
        <f t="shared" si="1802"/>
        <v>434461085.5913018</v>
      </c>
      <c r="EJ706" s="196">
        <f>'Detailed Budget'!$AC$204</f>
        <v>45012172507.531975</v>
      </c>
      <c r="EK706" s="269">
        <f t="shared" si="1830"/>
        <v>76943957.107894734</v>
      </c>
      <c r="EL706" s="201">
        <f>'Detailed Budget'!$AC$206</f>
        <v>11253043126.882994</v>
      </c>
      <c r="EM706" s="269">
        <f t="shared" si="1831"/>
        <v>19235989.276973683</v>
      </c>
      <c r="EN706" s="269">
        <f t="shared" si="1803"/>
        <v>96179946.384868413</v>
      </c>
      <c r="EO706" s="140">
        <f>'Detailed Budget'!$AC$209</f>
        <v>135789361677.54817</v>
      </c>
      <c r="EP706" s="269">
        <f t="shared" si="1832"/>
        <v>328380403.71216375</v>
      </c>
      <c r="EQ706" s="196">
        <f>'Detailed Budget'!$AC$211</f>
        <v>33947340419.387043</v>
      </c>
      <c r="ER706" s="269">
        <f t="shared" si="1833"/>
        <v>82095100.928040937</v>
      </c>
      <c r="ES706" s="269">
        <f t="shared" si="1804"/>
        <v>410475504.64020467</v>
      </c>
      <c r="ET706" s="196">
        <f>'Detailed Budget'!$AC$214</f>
        <v>22239745544.201103</v>
      </c>
      <c r="EU706" s="269">
        <f t="shared" si="1834"/>
        <v>37063115.808825284</v>
      </c>
      <c r="EV706" s="140">
        <f>'Detailed Budget'!$AC$217</f>
        <v>5559936386.0502758</v>
      </c>
      <c r="EW706" s="269">
        <f t="shared" si="1835"/>
        <v>9265778.9522063211</v>
      </c>
      <c r="EX706" s="269">
        <f t="shared" si="1805"/>
        <v>46328894.761031605</v>
      </c>
      <c r="EY706" s="196">
        <f>'Detailed Budget'!$AC$219</f>
        <v>372777004.58170313</v>
      </c>
      <c r="EZ706" s="269">
        <f t="shared" si="1836"/>
        <v>650378.87663378404</v>
      </c>
      <c r="FA706" s="196">
        <f>'Detailed Budget'!$AC$222</f>
        <v>93194251.145425782</v>
      </c>
      <c r="FB706" s="269">
        <f t="shared" si="1837"/>
        <v>162594.71915844601</v>
      </c>
      <c r="FC706" s="269">
        <f t="shared" si="1806"/>
        <v>812973.59579222999</v>
      </c>
      <c r="FD706" s="269"/>
      <c r="FE706" s="269">
        <f t="shared" si="1807"/>
        <v>553797319.38189685</v>
      </c>
      <c r="FF706" s="140"/>
      <c r="FG706" s="1087">
        <f t="shared" si="1749"/>
        <v>755416201.6154952</v>
      </c>
      <c r="FJ706" s="140">
        <f>'Detailed Budget'!$AC$235</f>
        <v>3623696172</v>
      </c>
      <c r="FK706" s="269">
        <f t="shared" si="1838"/>
        <v>4681778</v>
      </c>
      <c r="FL706" s="269">
        <f t="shared" si="1750"/>
        <v>4681778</v>
      </c>
      <c r="FO706" s="607"/>
      <c r="FP706" s="607"/>
      <c r="FQ706" s="607"/>
      <c r="FR706" s="269">
        <f>'Detailed Budget'!$AC$257</f>
        <v>13636439388</v>
      </c>
      <c r="FS706" s="269">
        <f t="shared" si="1839"/>
        <v>7495019.9999999991</v>
      </c>
      <c r="FT706" s="269">
        <f t="shared" si="1751"/>
        <v>7495019.9999999991</v>
      </c>
      <c r="FU706" s="269"/>
      <c r="FV706" s="269"/>
      <c r="FW706" s="269"/>
      <c r="FX706" s="140">
        <f>'Detailed Budget'!$AC$278</f>
        <v>1114560000</v>
      </c>
      <c r="FY706" s="269">
        <f t="shared" si="1840"/>
        <v>1440000</v>
      </c>
      <c r="FZ706" s="269">
        <f t="shared" si="1752"/>
        <v>1440000</v>
      </c>
      <c r="GB706" s="269">
        <f t="shared" si="1760"/>
        <v>1949966190.9444332</v>
      </c>
      <c r="GC706" s="887">
        <f t="shared" si="1808"/>
        <v>1218728.8693402708</v>
      </c>
      <c r="GD706" s="1078">
        <f t="shared" si="1761"/>
        <v>1.0941874324250722E-3</v>
      </c>
    </row>
    <row r="707" spans="1:186" hidden="1" outlineLevel="1">
      <c r="A707" s="211" t="s">
        <v>1509</v>
      </c>
      <c r="B707" s="212" t="s">
        <v>1510</v>
      </c>
      <c r="C707" s="213" t="s">
        <v>215</v>
      </c>
      <c r="D707" s="214"/>
      <c r="E707" s="213"/>
      <c r="F707" s="213"/>
      <c r="G707" s="213" t="s">
        <v>215</v>
      </c>
      <c r="H707" s="213" t="s">
        <v>215</v>
      </c>
      <c r="I707" s="214" t="s">
        <v>215</v>
      </c>
      <c r="J707" s="214"/>
      <c r="K707" s="213"/>
      <c r="L707" s="213"/>
      <c r="M707" s="214" t="s">
        <v>215</v>
      </c>
      <c r="N707" s="213"/>
      <c r="O707" s="214"/>
      <c r="P707" s="213"/>
      <c r="Q707" s="214"/>
      <c r="R707" s="214" t="s">
        <v>215</v>
      </c>
      <c r="S707" s="214"/>
      <c r="T707" s="214"/>
      <c r="U707" s="215">
        <f t="shared" si="1841"/>
        <v>6</v>
      </c>
      <c r="V707" s="845" t="s">
        <v>216</v>
      </c>
      <c r="W707" s="216">
        <v>100388</v>
      </c>
      <c r="X707" s="217">
        <v>3.41</v>
      </c>
      <c r="Y707" s="218">
        <f t="shared" si="1785"/>
        <v>1.0341</v>
      </c>
      <c r="Z707" s="196">
        <v>19</v>
      </c>
      <c r="AA707" s="218">
        <f t="shared" si="1786"/>
        <v>1.8909856119855175</v>
      </c>
      <c r="AB707" s="196">
        <f t="shared" si="1788"/>
        <v>189832.26361600214</v>
      </c>
      <c r="AC707">
        <v>11.9</v>
      </c>
      <c r="AD707" s="196">
        <f t="shared" si="1789"/>
        <v>22590.039370304254</v>
      </c>
      <c r="AE707" s="196">
        <f t="shared" si="1787"/>
        <v>21460.537401789039</v>
      </c>
      <c r="AF707" s="196">
        <f t="shared" si="1842"/>
        <v>0</v>
      </c>
      <c r="AG707" s="606">
        <f t="shared" si="1811"/>
        <v>9.9224103593422526E-4</v>
      </c>
      <c r="AH707" s="196">
        <f t="shared" si="1857"/>
        <v>9491.6131808001064</v>
      </c>
      <c r="AI707" s="248">
        <f t="shared" si="1790"/>
        <v>7.3530089191791489E-4</v>
      </c>
      <c r="AJ707" s="196">
        <f t="shared" si="1791"/>
        <v>32081.652551104358</v>
      </c>
      <c r="AK707" s="196">
        <f t="shared" si="1858"/>
        <v>7593.2905446400855</v>
      </c>
      <c r="AL707" s="196">
        <f t="shared" si="1859"/>
        <v>7593.2905446400855</v>
      </c>
      <c r="AM707" s="196">
        <f t="shared" si="1792"/>
        <v>15186.581089280171</v>
      </c>
      <c r="AN707" s="627">
        <f t="shared" si="1793"/>
        <v>7.3530089191791489E-4</v>
      </c>
      <c r="AO707" s="196">
        <f t="shared" si="1794"/>
        <v>7213.6260174080808</v>
      </c>
      <c r="AP707" s="589">
        <f t="shared" si="1812"/>
        <v>7.3530089191791489E-4</v>
      </c>
      <c r="AQ707" s="196"/>
      <c r="AR707" s="589"/>
      <c r="AS707">
        <v>1</v>
      </c>
      <c r="AT707" s="589">
        <f t="shared" si="1813"/>
        <v>1.2919896640826874E-3</v>
      </c>
      <c r="AU707" s="196">
        <v>10</v>
      </c>
      <c r="AV707" s="245">
        <f t="shared" si="1795"/>
        <v>1.1362345188046814E-3</v>
      </c>
      <c r="AX707" s="245"/>
      <c r="AY707" s="245"/>
      <c r="AZ707" s="196">
        <v>13</v>
      </c>
      <c r="BA707" s="589">
        <f t="shared" si="1754"/>
        <v>4.7634751383239895E-4</v>
      </c>
      <c r="BI707" s="196">
        <v>0</v>
      </c>
      <c r="BK707" s="246">
        <f t="shared" si="1755"/>
        <v>0</v>
      </c>
      <c r="BL707" s="246"/>
      <c r="BM707" s="246">
        <f t="shared" si="1756"/>
        <v>0</v>
      </c>
      <c r="BN707" s="196">
        <v>1</v>
      </c>
      <c r="BO707" s="196">
        <f t="shared" si="1843"/>
        <v>9230.6768291236058</v>
      </c>
      <c r="BP707" s="196">
        <f t="shared" si="1796"/>
        <v>9230.6768291236058</v>
      </c>
      <c r="BQ707" s="248">
        <f t="shared" si="1757"/>
        <v>8.634868324287286E-4</v>
      </c>
      <c r="BR707" s="248"/>
      <c r="BS707" s="248"/>
      <c r="BT707" s="276">
        <v>0</v>
      </c>
      <c r="BU707" s="196">
        <f t="shared" si="1844"/>
        <v>0</v>
      </c>
      <c r="BV707" s="264">
        <f t="shared" si="1758"/>
        <v>0</v>
      </c>
      <c r="BW707" s="196">
        <f t="shared" si="1845"/>
        <v>0</v>
      </c>
      <c r="BX707" s="247">
        <f t="shared" si="1759"/>
        <v>0</v>
      </c>
      <c r="BY707" s="196">
        <f t="shared" si="1860"/>
        <v>0</v>
      </c>
      <c r="BZ707" s="620">
        <v>1</v>
      </c>
      <c r="CA707" s="196">
        <f t="shared" si="1846"/>
        <v>58088.672666496655</v>
      </c>
      <c r="CB707" s="196">
        <f t="shared" si="1847"/>
        <v>116177.34533299331</v>
      </c>
      <c r="CC707" s="196">
        <f t="shared" si="1809"/>
        <v>174266.01799948997</v>
      </c>
      <c r="CD707" s="247">
        <f t="shared" si="1797"/>
        <v>7.35300891917915E-4</v>
      </c>
      <c r="CE707" s="196">
        <f t="shared" si="1848"/>
        <v>15000.547131609144</v>
      </c>
      <c r="CF707" s="247">
        <f t="shared" si="1798"/>
        <v>6.4777027602942467E-4</v>
      </c>
      <c r="CG707" s="196">
        <f t="shared" si="1820"/>
        <v>28854.504069632323</v>
      </c>
      <c r="CH707" s="589">
        <f t="shared" si="1814"/>
        <v>7.3530089191791489E-4</v>
      </c>
      <c r="CI707" s="196">
        <f t="shared" si="1849"/>
        <v>46958.524439312241</v>
      </c>
      <c r="CJ707" s="248">
        <f t="shared" si="1815"/>
        <v>7.7199802258579855E-4</v>
      </c>
      <c r="CK707" s="196">
        <f t="shared" si="1850"/>
        <v>75974.712087978027</v>
      </c>
      <c r="CL707" s="589">
        <f t="shared" si="1816"/>
        <v>1.0921521135962395E-3</v>
      </c>
      <c r="CM707" s="196">
        <f t="shared" si="1851"/>
        <v>5222.5851179710171</v>
      </c>
      <c r="CN707" s="589">
        <f t="shared" si="1817"/>
        <v>7.5263386835700897E-4</v>
      </c>
      <c r="CO707" s="196">
        <f t="shared" si="1852"/>
        <v>417.81376109243911</v>
      </c>
      <c r="CP707" s="589">
        <f t="shared" si="1818"/>
        <v>7.8793239825378041E-4</v>
      </c>
      <c r="CQ707" s="196">
        <f>'Detailed Budget'!$AC$12</f>
        <v>292876014141.44696</v>
      </c>
      <c r="CR707" s="269">
        <f t="shared" si="1861"/>
        <v>0</v>
      </c>
      <c r="CS707" s="269">
        <f>'Detailed Budget'!$AC$16</f>
        <v>10488008800.000002</v>
      </c>
      <c r="CT707" s="607">
        <f t="shared" si="1822"/>
        <v>0</v>
      </c>
      <c r="CU707" s="269">
        <f>'Detailed Budget'!$AC$24</f>
        <v>30624985696</v>
      </c>
      <c r="CV707" s="269">
        <f t="shared" si="1753"/>
        <v>0</v>
      </c>
      <c r="CW707" s="269"/>
      <c r="CX707" s="269">
        <f t="shared" si="1810"/>
        <v>0</v>
      </c>
      <c r="CY707" s="196"/>
      <c r="DA707" s="269">
        <f>'Detailed Budget'!$AC$100</f>
        <v>14925833098.967569</v>
      </c>
      <c r="DB707" s="269">
        <f t="shared" si="1823"/>
        <v>12888260.343987381</v>
      </c>
      <c r="DC707" s="269">
        <f t="shared" si="1799"/>
        <v>12888260.343987381</v>
      </c>
      <c r="DD707" s="207">
        <v>0</v>
      </c>
      <c r="DE707" s="606">
        <v>0</v>
      </c>
      <c r="DF707" s="269">
        <f>'Detailed Budget'!$AC$147</f>
        <v>5913600671000</v>
      </c>
      <c r="DG707" s="269">
        <f t="shared" si="1748"/>
        <v>0</v>
      </c>
      <c r="DH707" s="269">
        <f>'Detailed Budget'!$AC$153</f>
        <v>226428026880.00003</v>
      </c>
      <c r="DI707" s="269"/>
      <c r="DJ707" s="269">
        <f>'Detailed Budget'!$AC$156</f>
        <v>27713070000</v>
      </c>
      <c r="DK707" s="269"/>
      <c r="DL707" s="269"/>
      <c r="DM707" s="196">
        <f>'Detailed Budget'!$AC$178</f>
        <v>5622683761.6229038</v>
      </c>
      <c r="DN707" s="269">
        <f t="shared" si="1853"/>
        <v>0</v>
      </c>
      <c r="DO707" s="196">
        <f>'Detailed Budget'!$AC$179</f>
        <v>26827890683.128094</v>
      </c>
      <c r="DP707" s="269">
        <f t="shared" si="1854"/>
        <v>0</v>
      </c>
      <c r="DQ707" s="269">
        <f t="shared" si="1862"/>
        <v>0</v>
      </c>
      <c r="DR707" s="269">
        <f>'Detailed Budget'!$AC$181</f>
        <v>50888946855.375237</v>
      </c>
      <c r="DS707" s="269">
        <f t="shared" si="1855"/>
        <v>0</v>
      </c>
      <c r="DT707" s="269">
        <f t="shared" si="1856"/>
        <v>0</v>
      </c>
      <c r="DU707" s="272">
        <f>'Detailed Budget'!$AC$192</f>
        <v>77498869683.252869</v>
      </c>
      <c r="DV707" s="269">
        <f t="shared" si="1824"/>
        <v>56984988.000726096</v>
      </c>
      <c r="DW707" s="140">
        <f>'Detailed Budget'!$AC$194</f>
        <v>2684962805.4134097</v>
      </c>
      <c r="DX707" s="269">
        <f t="shared" si="1825"/>
        <v>1974255.5455869071</v>
      </c>
      <c r="DY707" s="607">
        <f t="shared" si="1800"/>
        <v>58959243.546313003</v>
      </c>
      <c r="DZ707" s="196">
        <f>'Detailed Budget'!$AC$198</f>
        <v>18732540018.380611</v>
      </c>
      <c r="EA707" s="269">
        <f t="shared" si="1826"/>
        <v>12134382.618438652</v>
      </c>
      <c r="EB707" s="196">
        <f>'Detailed Budget'!$AC$200</f>
        <v>4683135004.5951529</v>
      </c>
      <c r="EC707" s="269">
        <f t="shared" si="1827"/>
        <v>3033595.6546096629</v>
      </c>
      <c r="ED707" s="269">
        <f t="shared" si="1801"/>
        <v>15167978.273048315</v>
      </c>
      <c r="EE707" s="196">
        <f>'Detailed Budget'!$AC$161</f>
        <v>251147290106.36197</v>
      </c>
      <c r="EF707" s="269">
        <f t="shared" si="1828"/>
        <v>184668826.41797528</v>
      </c>
      <c r="EG707" s="196">
        <f>'Detailed Budget'!$AC$163</f>
        <v>15696705631.647623</v>
      </c>
      <c r="EH707" s="269">
        <f t="shared" si="1829"/>
        <v>11541801.651123455</v>
      </c>
      <c r="EI707" s="269">
        <f t="shared" si="1802"/>
        <v>196210628.06909874</v>
      </c>
      <c r="EJ707" s="196">
        <f>'Detailed Budget'!$AC$204</f>
        <v>45012172507.531975</v>
      </c>
      <c r="EK707" s="269">
        <f t="shared" si="1830"/>
        <v>34749308.168105528</v>
      </c>
      <c r="EL707" s="201">
        <f>'Detailed Budget'!$AC$206</f>
        <v>11253043126.882994</v>
      </c>
      <c r="EM707" s="269">
        <f t="shared" si="1831"/>
        <v>8687327.0420263819</v>
      </c>
      <c r="EN707" s="269">
        <f t="shared" si="1803"/>
        <v>43436635.210131913</v>
      </c>
      <c r="EO707" s="140">
        <f>'Detailed Budget'!$AC$209</f>
        <v>135789361677.54817</v>
      </c>
      <c r="EP707" s="269">
        <f t="shared" si="1832"/>
        <v>148302638.36001843</v>
      </c>
      <c r="EQ707" s="196">
        <f>'Detailed Budget'!$AC$211</f>
        <v>33947340419.387043</v>
      </c>
      <c r="ER707" s="269">
        <f t="shared" si="1833"/>
        <v>37075659.590004608</v>
      </c>
      <c r="ES707" s="269">
        <f t="shared" si="1804"/>
        <v>185378297.95002306</v>
      </c>
      <c r="ET707" s="196">
        <f>'Detailed Budget'!$AC$214</f>
        <v>22239745544.201103</v>
      </c>
      <c r="EU707" s="269">
        <f t="shared" si="1834"/>
        <v>16738385.72020763</v>
      </c>
      <c r="EV707" s="140">
        <f>'Detailed Budget'!$AC$217</f>
        <v>5559936386.0502758</v>
      </c>
      <c r="EW707" s="269">
        <f t="shared" si="1835"/>
        <v>4184596.4300519074</v>
      </c>
      <c r="EX707" s="269">
        <f t="shared" si="1805"/>
        <v>20922982.150259536</v>
      </c>
      <c r="EY707" s="196">
        <f>'Detailed Budget'!$AC$219</f>
        <v>372777004.58170313</v>
      </c>
      <c r="EZ707" s="269">
        <f t="shared" si="1836"/>
        <v>293723.07923392183</v>
      </c>
      <c r="FA707" s="196">
        <f>'Detailed Budget'!$AC$222</f>
        <v>93194251.145425782</v>
      </c>
      <c r="FB707" s="269">
        <f t="shared" si="1837"/>
        <v>73430.769808480458</v>
      </c>
      <c r="FC707" s="269">
        <f t="shared" si="1806"/>
        <v>367153.84904240229</v>
      </c>
      <c r="FD707" s="269"/>
      <c r="FE707" s="269">
        <f t="shared" si="1807"/>
        <v>250105069.15945691</v>
      </c>
      <c r="FF707" s="140"/>
      <c r="FG707" s="1087">
        <f t="shared" si="1749"/>
        <v>341159869.75178874</v>
      </c>
      <c r="FJ707" s="140">
        <f>'Detailed Budget'!$AC$235</f>
        <v>3623696172</v>
      </c>
      <c r="FK707" s="269">
        <f t="shared" si="1838"/>
        <v>4681778</v>
      </c>
      <c r="FL707" s="269">
        <f t="shared" si="1750"/>
        <v>4681778</v>
      </c>
      <c r="FO707" s="607"/>
      <c r="FP707" s="607"/>
      <c r="FQ707" s="607"/>
      <c r="FR707" s="269">
        <f>'Detailed Budget'!$AC$257</f>
        <v>13636439388</v>
      </c>
      <c r="FS707" s="269">
        <f t="shared" si="1839"/>
        <v>6495684</v>
      </c>
      <c r="FT707" s="269">
        <f t="shared" si="1751"/>
        <v>6495684</v>
      </c>
      <c r="FU707" s="269"/>
      <c r="FV707" s="269"/>
      <c r="FW707" s="269"/>
      <c r="FX707" s="140">
        <f>'Detailed Budget'!$AC$278</f>
        <v>1114560000</v>
      </c>
      <c r="FY707" s="269">
        <f t="shared" si="1840"/>
        <v>1440000</v>
      </c>
      <c r="FZ707" s="269">
        <f t="shared" si="1752"/>
        <v>1440000</v>
      </c>
      <c r="GB707" s="269">
        <f t="shared" si="1760"/>
        <v>887108511.14369309</v>
      </c>
      <c r="GC707" s="887">
        <f t="shared" si="1808"/>
        <v>554442.81946480821</v>
      </c>
      <c r="GD707" s="1078">
        <f t="shared" si="1761"/>
        <v>4.9778451985396828E-4</v>
      </c>
    </row>
    <row r="708" spans="1:186" hidden="1" outlineLevel="1">
      <c r="A708" s="211" t="s">
        <v>1511</v>
      </c>
      <c r="B708" s="212" t="s">
        <v>1512</v>
      </c>
      <c r="C708" s="213" t="s">
        <v>215</v>
      </c>
      <c r="D708" s="214"/>
      <c r="E708" s="213"/>
      <c r="F708" s="213"/>
      <c r="G708" s="213" t="s">
        <v>215</v>
      </c>
      <c r="H708" s="213" t="s">
        <v>215</v>
      </c>
      <c r="I708" s="214" t="s">
        <v>215</v>
      </c>
      <c r="J708" s="214"/>
      <c r="K708" s="213"/>
      <c r="L708" s="213"/>
      <c r="M708" s="214" t="s">
        <v>215</v>
      </c>
      <c r="N708" s="213"/>
      <c r="O708" s="214"/>
      <c r="P708" s="213"/>
      <c r="Q708" s="214"/>
      <c r="R708" s="214" t="s">
        <v>215</v>
      </c>
      <c r="S708" s="214"/>
      <c r="T708" s="214"/>
      <c r="U708" s="215">
        <f t="shared" si="1841"/>
        <v>6</v>
      </c>
      <c r="V708" s="845" t="s">
        <v>216</v>
      </c>
      <c r="W708" s="216">
        <v>152833</v>
      </c>
      <c r="X708" s="217">
        <v>3.41</v>
      </c>
      <c r="Y708" s="218">
        <f t="shared" si="1785"/>
        <v>1.0341</v>
      </c>
      <c r="Z708" s="196">
        <v>19</v>
      </c>
      <c r="AA708" s="218">
        <f t="shared" si="1786"/>
        <v>1.8909856119855175</v>
      </c>
      <c r="AB708" s="196">
        <f t="shared" si="1788"/>
        <v>289005.0040365826</v>
      </c>
      <c r="AC708">
        <v>11.9</v>
      </c>
      <c r="AD708" s="196">
        <f t="shared" si="1789"/>
        <v>34391.595480353331</v>
      </c>
      <c r="AE708" s="196">
        <f t="shared" si="1787"/>
        <v>32672.015706335664</v>
      </c>
      <c r="AF708" s="196">
        <f t="shared" si="1842"/>
        <v>0</v>
      </c>
      <c r="AG708" s="606">
        <f t="shared" si="1811"/>
        <v>1.510610573424468E-3</v>
      </c>
      <c r="AH708" s="196">
        <f t="shared" si="1857"/>
        <v>14450.250201829131</v>
      </c>
      <c r="AI708" s="248">
        <f t="shared" si="1790"/>
        <v>1.1194389888680987E-3</v>
      </c>
      <c r="AJ708" s="196">
        <f t="shared" si="1791"/>
        <v>48841.845682182466</v>
      </c>
      <c r="AK708" s="196">
        <f t="shared" si="1858"/>
        <v>11560.200161463305</v>
      </c>
      <c r="AL708" s="196">
        <f t="shared" si="1859"/>
        <v>11560.200161463305</v>
      </c>
      <c r="AM708" s="196">
        <f t="shared" si="1792"/>
        <v>23120.400322926609</v>
      </c>
      <c r="AN708" s="627">
        <f t="shared" si="1793"/>
        <v>1.1194389888680987E-3</v>
      </c>
      <c r="AO708" s="196">
        <f t="shared" si="1794"/>
        <v>10982.190153390138</v>
      </c>
      <c r="AP708" s="589">
        <f t="shared" si="1812"/>
        <v>1.1194389888680987E-3</v>
      </c>
      <c r="AQ708" s="196"/>
      <c r="AR708" s="589"/>
      <c r="AS708">
        <v>1</v>
      </c>
      <c r="AT708" s="589">
        <f t="shared" si="1813"/>
        <v>1.2919896640826874E-3</v>
      </c>
      <c r="AU708" s="196">
        <v>11</v>
      </c>
      <c r="AV708" s="245">
        <f t="shared" si="1795"/>
        <v>1.2498579706851495E-3</v>
      </c>
      <c r="AX708" s="245"/>
      <c r="AY708" s="245"/>
      <c r="AZ708" s="196">
        <v>6</v>
      </c>
      <c r="BA708" s="589">
        <f t="shared" si="1754"/>
        <v>2.1985269869187644E-4</v>
      </c>
      <c r="BI708" s="196">
        <v>0</v>
      </c>
      <c r="BK708" s="246">
        <f t="shared" si="1755"/>
        <v>0</v>
      </c>
      <c r="BL708" s="246"/>
      <c r="BM708" s="246">
        <f t="shared" si="1756"/>
        <v>0</v>
      </c>
      <c r="BN708" s="196">
        <v>1</v>
      </c>
      <c r="BO708" s="196">
        <f t="shared" si="1843"/>
        <v>14052.994698823049</v>
      </c>
      <c r="BP708" s="196">
        <f t="shared" si="1796"/>
        <v>14052.994698823049</v>
      </c>
      <c r="BQ708" s="248">
        <f t="shared" si="1757"/>
        <v>1.3145922128200572E-3</v>
      </c>
      <c r="BR708" s="248"/>
      <c r="BS708" s="248"/>
      <c r="BT708" s="276">
        <v>0</v>
      </c>
      <c r="BU708" s="196">
        <f t="shared" si="1844"/>
        <v>0</v>
      </c>
      <c r="BV708" s="264">
        <f t="shared" si="1758"/>
        <v>0</v>
      </c>
      <c r="BW708" s="196">
        <f t="shared" si="1845"/>
        <v>0</v>
      </c>
      <c r="BX708" s="247">
        <f t="shared" si="1759"/>
        <v>0</v>
      </c>
      <c r="BY708" s="196">
        <f t="shared" si="1860"/>
        <v>0</v>
      </c>
      <c r="BZ708" s="620">
        <v>1</v>
      </c>
      <c r="CA708" s="196">
        <f t="shared" si="1846"/>
        <v>88435.53123519427</v>
      </c>
      <c r="CB708" s="196">
        <f t="shared" si="1847"/>
        <v>176871.06247038854</v>
      </c>
      <c r="CC708" s="196">
        <f t="shared" si="1809"/>
        <v>265306.59370558278</v>
      </c>
      <c r="CD708" s="247">
        <f t="shared" si="1797"/>
        <v>1.1194389888680985E-3</v>
      </c>
      <c r="CE708" s="196">
        <f t="shared" si="1848"/>
        <v>22837.177947217002</v>
      </c>
      <c r="CF708" s="247">
        <f t="shared" si="1798"/>
        <v>9.8618036614341411E-4</v>
      </c>
      <c r="CG708" s="196">
        <f t="shared" si="1820"/>
        <v>43928.760613560553</v>
      </c>
      <c r="CH708" s="589">
        <f t="shared" si="1814"/>
        <v>1.1194389888680987E-3</v>
      </c>
      <c r="CI708" s="196">
        <f t="shared" si="1849"/>
        <v>71490.73759446753</v>
      </c>
      <c r="CJ708" s="248">
        <f t="shared" si="1815"/>
        <v>1.1753075445855613E-3</v>
      </c>
      <c r="CK708" s="196">
        <f t="shared" si="1850"/>
        <v>115665.64900727123</v>
      </c>
      <c r="CL708" s="589">
        <f t="shared" si="1816"/>
        <v>1.6627174958884932E-3</v>
      </c>
      <c r="CM708" s="196">
        <f t="shared" si="1851"/>
        <v>7950.9836966058137</v>
      </c>
      <c r="CN708" s="589">
        <f t="shared" si="1817"/>
        <v>1.1458271108360236E-3</v>
      </c>
      <c r="CO708" s="196">
        <f t="shared" si="1852"/>
        <v>636.08927908754777</v>
      </c>
      <c r="CP708" s="589">
        <f t="shared" si="1818"/>
        <v>1.1995664045734552E-3</v>
      </c>
      <c r="CQ708" s="196">
        <f>'Detailed Budget'!$AC$12</f>
        <v>292876014141.44696</v>
      </c>
      <c r="CR708" s="269">
        <f t="shared" si="1861"/>
        <v>0</v>
      </c>
      <c r="CS708" s="269">
        <f>'Detailed Budget'!$AC$16</f>
        <v>10488008800.000002</v>
      </c>
      <c r="CT708" s="607">
        <f t="shared" si="1822"/>
        <v>0</v>
      </c>
      <c r="CU708" s="269">
        <f>'Detailed Budget'!$AC$24</f>
        <v>30624985696</v>
      </c>
      <c r="CV708" s="269">
        <f t="shared" si="1753"/>
        <v>0</v>
      </c>
      <c r="CW708" s="269"/>
      <c r="CX708" s="269">
        <f t="shared" si="1810"/>
        <v>0</v>
      </c>
      <c r="CY708" s="196"/>
      <c r="DA708" s="269">
        <f>'Detailed Budget'!$AC$100</f>
        <v>14925833098.967569</v>
      </c>
      <c r="DB708" s="269">
        <f t="shared" si="1823"/>
        <v>19621383.961754628</v>
      </c>
      <c r="DC708" s="269">
        <f t="shared" si="1799"/>
        <v>19621383.961754628</v>
      </c>
      <c r="DD708" s="207">
        <v>0</v>
      </c>
      <c r="DE708" s="606">
        <v>0</v>
      </c>
      <c r="DF708" s="269">
        <f>'Detailed Budget'!$AC$147</f>
        <v>5913600671000</v>
      </c>
      <c r="DG708" s="269">
        <f t="shared" si="1748"/>
        <v>0</v>
      </c>
      <c r="DH708" s="269">
        <f>'Detailed Budget'!$AC$153</f>
        <v>226428026880.00003</v>
      </c>
      <c r="DI708" s="269"/>
      <c r="DJ708" s="269">
        <f>'Detailed Budget'!$AC$156</f>
        <v>27713070000</v>
      </c>
      <c r="DK708" s="269"/>
      <c r="DL708" s="269"/>
      <c r="DM708" s="196">
        <f>'Detailed Budget'!$AC$178</f>
        <v>5622683761.6229038</v>
      </c>
      <c r="DN708" s="269">
        <f t="shared" si="1853"/>
        <v>0</v>
      </c>
      <c r="DO708" s="196">
        <f>'Detailed Budget'!$AC$179</f>
        <v>26827890683.128094</v>
      </c>
      <c r="DP708" s="269">
        <f t="shared" si="1854"/>
        <v>0</v>
      </c>
      <c r="DQ708" s="269">
        <f t="shared" si="1862"/>
        <v>0</v>
      </c>
      <c r="DR708" s="269">
        <f>'Detailed Budget'!$AC$181</f>
        <v>50888946855.375237</v>
      </c>
      <c r="DS708" s="269">
        <f t="shared" si="1855"/>
        <v>0</v>
      </c>
      <c r="DT708" s="269">
        <f t="shared" si="1856"/>
        <v>0</v>
      </c>
      <c r="DU708" s="272">
        <f>'Detailed Budget'!$AC$192</f>
        <v>77498869683.252869</v>
      </c>
      <c r="DV708" s="269">
        <f t="shared" si="1824"/>
        <v>86755256.316641122</v>
      </c>
      <c r="DW708" s="140">
        <f>'Detailed Budget'!$AC$194</f>
        <v>2684962805.4134097</v>
      </c>
      <c r="DX708" s="269">
        <f t="shared" si="1825"/>
        <v>3005652.0480404408</v>
      </c>
      <c r="DY708" s="607">
        <f t="shared" si="1800"/>
        <v>89760908.364681557</v>
      </c>
      <c r="DZ708" s="196">
        <f>'Detailed Budget'!$AC$198</f>
        <v>18732540018.380611</v>
      </c>
      <c r="EA708" s="269">
        <f t="shared" si="1826"/>
        <v>18473663.174122747</v>
      </c>
      <c r="EB708" s="196">
        <f>'Detailed Budget'!$AC$200</f>
        <v>4683135004.5951529</v>
      </c>
      <c r="EC708" s="269">
        <f t="shared" si="1827"/>
        <v>4618415.7935306868</v>
      </c>
      <c r="ED708" s="269">
        <f t="shared" si="1801"/>
        <v>23092078.967653435</v>
      </c>
      <c r="EE708" s="196">
        <f>'Detailed Budget'!$AC$161</f>
        <v>251147290106.36197</v>
      </c>
      <c r="EF708" s="269">
        <f t="shared" si="1828"/>
        <v>281144068.49362886</v>
      </c>
      <c r="EG708" s="196">
        <f>'Detailed Budget'!$AC$163</f>
        <v>15696705631.647623</v>
      </c>
      <c r="EH708" s="269">
        <f t="shared" si="1829"/>
        <v>17571504.280851804</v>
      </c>
      <c r="EI708" s="269">
        <f t="shared" si="1802"/>
        <v>298715572.77448064</v>
      </c>
      <c r="EJ708" s="196">
        <f>'Detailed Budget'!$AC$204</f>
        <v>45012172507.531975</v>
      </c>
      <c r="EK708" s="269">
        <f t="shared" si="1830"/>
        <v>52903145.946289115</v>
      </c>
      <c r="EL708" s="201">
        <f>'Detailed Budget'!$AC$206</f>
        <v>11253043126.882994</v>
      </c>
      <c r="EM708" s="269">
        <f t="shared" si="1831"/>
        <v>13225786.486572279</v>
      </c>
      <c r="EN708" s="269">
        <f t="shared" si="1803"/>
        <v>66128932.432861395</v>
      </c>
      <c r="EO708" s="140">
        <f>'Detailed Budget'!$AC$209</f>
        <v>135789361677.54817</v>
      </c>
      <c r="EP708" s="269">
        <f t="shared" si="1832"/>
        <v>225779347.41678983</v>
      </c>
      <c r="EQ708" s="196">
        <f>'Detailed Budget'!$AC$211</f>
        <v>33947340419.387043</v>
      </c>
      <c r="ER708" s="269">
        <f t="shared" si="1833"/>
        <v>56444836.854197457</v>
      </c>
      <c r="ES708" s="269">
        <f t="shared" si="1804"/>
        <v>282224184.27098727</v>
      </c>
      <c r="ET708" s="196">
        <f>'Detailed Budget'!$AC$214</f>
        <v>22239745544.201103</v>
      </c>
      <c r="EU708" s="269">
        <f t="shared" si="1834"/>
        <v>25482903.38264028</v>
      </c>
      <c r="EV708" s="140">
        <f>'Detailed Budget'!$AC$217</f>
        <v>5559936386.0502758</v>
      </c>
      <c r="EW708" s="269">
        <f t="shared" si="1835"/>
        <v>6370725.84566007</v>
      </c>
      <c r="EX708" s="269">
        <f t="shared" si="1805"/>
        <v>31853629.228300348</v>
      </c>
      <c r="EY708" s="196">
        <f>'Detailed Budget'!$AC$219</f>
        <v>372777004.58170313</v>
      </c>
      <c r="EZ708" s="269">
        <f t="shared" si="1836"/>
        <v>447170.77109373605</v>
      </c>
      <c r="FA708" s="196">
        <f>'Detailed Budget'!$AC$222</f>
        <v>93194251.145425782</v>
      </c>
      <c r="FB708" s="269">
        <f t="shared" si="1837"/>
        <v>111792.69277343401</v>
      </c>
      <c r="FC708" s="269">
        <f t="shared" si="1806"/>
        <v>558963.46386717004</v>
      </c>
      <c r="FD708" s="269"/>
      <c r="FE708" s="269">
        <f t="shared" si="1807"/>
        <v>380765709.39601618</v>
      </c>
      <c r="FF708" s="140"/>
      <c r="FG708" s="1087">
        <f t="shared" si="1749"/>
        <v>519389631.96572417</v>
      </c>
      <c r="FJ708" s="140">
        <f>'Detailed Budget'!$AC$235</f>
        <v>3623696172</v>
      </c>
      <c r="FK708" s="269">
        <f t="shared" si="1838"/>
        <v>4681778</v>
      </c>
      <c r="FL708" s="269">
        <f t="shared" si="1750"/>
        <v>4681778</v>
      </c>
      <c r="FO708" s="607"/>
      <c r="FP708" s="607"/>
      <c r="FQ708" s="607"/>
      <c r="FR708" s="269">
        <f>'Detailed Budget'!$AC$257</f>
        <v>13636439388</v>
      </c>
      <c r="FS708" s="269">
        <f t="shared" si="1839"/>
        <v>2998008</v>
      </c>
      <c r="FT708" s="269">
        <f t="shared" si="1751"/>
        <v>2998008</v>
      </c>
      <c r="FU708" s="269"/>
      <c r="FV708" s="269"/>
      <c r="FW708" s="269"/>
      <c r="FX708" s="140">
        <f>'Detailed Budget'!$AC$278</f>
        <v>1114560000</v>
      </c>
      <c r="FY708" s="269">
        <f t="shared" si="1840"/>
        <v>1440000</v>
      </c>
      <c r="FZ708" s="269">
        <f t="shared" si="1752"/>
        <v>1440000</v>
      </c>
      <c r="GB708" s="269">
        <f t="shared" si="1760"/>
        <v>1340465071.4303107</v>
      </c>
      <c r="GC708" s="887">
        <f t="shared" si="1808"/>
        <v>837790.66964394425</v>
      </c>
      <c r="GD708" s="1078">
        <f t="shared" si="1761"/>
        <v>7.5217716162219287E-4</v>
      </c>
    </row>
    <row r="709" spans="1:186" hidden="1" outlineLevel="1">
      <c r="A709" s="211" t="s">
        <v>1513</v>
      </c>
      <c r="B709" s="212" t="s">
        <v>1514</v>
      </c>
      <c r="C709" s="213" t="s">
        <v>215</v>
      </c>
      <c r="D709" s="214"/>
      <c r="E709" s="213"/>
      <c r="F709" s="213"/>
      <c r="G709" s="213" t="s">
        <v>215</v>
      </c>
      <c r="H709" s="213" t="s">
        <v>215</v>
      </c>
      <c r="I709" s="214" t="s">
        <v>215</v>
      </c>
      <c r="J709" s="214"/>
      <c r="K709" s="213"/>
      <c r="L709" s="213"/>
      <c r="M709" s="214" t="s">
        <v>215</v>
      </c>
      <c r="N709" s="213"/>
      <c r="O709" s="214"/>
      <c r="P709" s="213"/>
      <c r="Q709" s="214"/>
      <c r="R709" s="214" t="s">
        <v>215</v>
      </c>
      <c r="S709" s="214"/>
      <c r="T709" s="214"/>
      <c r="U709" s="215">
        <f t="shared" si="1841"/>
        <v>6</v>
      </c>
      <c r="V709" s="845" t="s">
        <v>216</v>
      </c>
      <c r="W709" s="216">
        <v>125331</v>
      </c>
      <c r="X709" s="217">
        <v>3.41</v>
      </c>
      <c r="Y709" s="218">
        <f t="shared" si="1785"/>
        <v>1.0341</v>
      </c>
      <c r="Z709" s="196">
        <v>19</v>
      </c>
      <c r="AA709" s="218">
        <f t="shared" si="1786"/>
        <v>1.8909856119855175</v>
      </c>
      <c r="AB709" s="196">
        <f t="shared" si="1788"/>
        <v>236999.11773575688</v>
      </c>
      <c r="AC709">
        <v>11.9</v>
      </c>
      <c r="AD709" s="196">
        <f t="shared" si="1789"/>
        <v>28202.895010555068</v>
      </c>
      <c r="AE709" s="196">
        <f t="shared" si="1787"/>
        <v>26792.750260027315</v>
      </c>
      <c r="AF709" s="196">
        <f t="shared" si="1842"/>
        <v>0</v>
      </c>
      <c r="AG709" s="606">
        <f t="shared" si="1811"/>
        <v>1.2387791496460971E-3</v>
      </c>
      <c r="AH709" s="196">
        <f t="shared" si="1857"/>
        <v>11849.955886787844</v>
      </c>
      <c r="AI709" s="248">
        <f t="shared" si="1790"/>
        <v>9.179981281125651E-4</v>
      </c>
      <c r="AJ709" s="196">
        <f t="shared" si="1791"/>
        <v>40052.850897342913</v>
      </c>
      <c r="AK709" s="196">
        <f t="shared" si="1858"/>
        <v>9479.9647094302763</v>
      </c>
      <c r="AL709" s="196">
        <f t="shared" si="1859"/>
        <v>9479.9647094302763</v>
      </c>
      <c r="AM709" s="196">
        <f t="shared" si="1792"/>
        <v>18959.929418860553</v>
      </c>
      <c r="AN709" s="627">
        <f t="shared" si="1793"/>
        <v>9.1799812811256521E-4</v>
      </c>
      <c r="AO709" s="196">
        <f t="shared" si="1794"/>
        <v>9005.9664739587606</v>
      </c>
      <c r="AP709" s="589">
        <f t="shared" si="1812"/>
        <v>9.1799812811256499E-4</v>
      </c>
      <c r="AQ709" s="196"/>
      <c r="AR709" s="589"/>
      <c r="AS709">
        <v>1</v>
      </c>
      <c r="AT709" s="589">
        <f t="shared" si="1813"/>
        <v>1.2919896640826874E-3</v>
      </c>
      <c r="AU709" s="196">
        <v>10</v>
      </c>
      <c r="AV709" s="245">
        <f t="shared" si="1795"/>
        <v>1.1362345188046814E-3</v>
      </c>
      <c r="AX709" s="245"/>
      <c r="AY709" s="245"/>
      <c r="AZ709" s="196">
        <v>9</v>
      </c>
      <c r="BA709" s="589">
        <f t="shared" si="1754"/>
        <v>3.2977904803781465E-4</v>
      </c>
      <c r="BI709" s="196">
        <v>0</v>
      </c>
      <c r="BK709" s="246">
        <f t="shared" si="1755"/>
        <v>0</v>
      </c>
      <c r="BL709" s="246"/>
      <c r="BM709" s="246">
        <f t="shared" si="1756"/>
        <v>0</v>
      </c>
      <c r="BN709" s="196">
        <v>1</v>
      </c>
      <c r="BO709" s="196">
        <f t="shared" si="1843"/>
        <v>11524.185736053019</v>
      </c>
      <c r="BP709" s="196">
        <f t="shared" si="1796"/>
        <v>11524.185736053019</v>
      </c>
      <c r="BQ709" s="248">
        <f t="shared" si="1757"/>
        <v>1.0780339103789792E-3</v>
      </c>
      <c r="BR709" s="248"/>
      <c r="BS709" s="248"/>
      <c r="BT709" s="276">
        <v>0</v>
      </c>
      <c r="BU709" s="196">
        <f t="shared" si="1844"/>
        <v>0</v>
      </c>
      <c r="BV709" s="264">
        <f t="shared" si="1758"/>
        <v>0</v>
      </c>
      <c r="BW709" s="196">
        <f t="shared" si="1845"/>
        <v>0</v>
      </c>
      <c r="BX709" s="247">
        <f t="shared" si="1759"/>
        <v>0</v>
      </c>
      <c r="BY709" s="196">
        <f t="shared" si="1860"/>
        <v>0</v>
      </c>
      <c r="BZ709" s="620">
        <v>1</v>
      </c>
      <c r="CA709" s="196">
        <f t="shared" si="1846"/>
        <v>72521.730027141617</v>
      </c>
      <c r="CB709" s="196">
        <f t="shared" si="1847"/>
        <v>145043.46005428323</v>
      </c>
      <c r="CC709" s="196">
        <f t="shared" si="1809"/>
        <v>217565.19008142484</v>
      </c>
      <c r="CD709" s="247">
        <f t="shared" si="1797"/>
        <v>9.1799812811256521E-4</v>
      </c>
      <c r="CE709" s="196">
        <f t="shared" si="1848"/>
        <v>18727.672356772779</v>
      </c>
      <c r="CF709" s="247">
        <f t="shared" si="1798"/>
        <v>8.0871913440893153E-4</v>
      </c>
      <c r="CG709" s="196">
        <f t="shared" si="1820"/>
        <v>36023.865895835042</v>
      </c>
      <c r="CH709" s="589">
        <f t="shared" si="1814"/>
        <v>9.1799812811256499E-4</v>
      </c>
      <c r="CI709" s="196">
        <f t="shared" si="1849"/>
        <v>58626.118923610797</v>
      </c>
      <c r="CJ709" s="248">
        <f t="shared" si="1815"/>
        <v>9.6381324629139624E-4</v>
      </c>
      <c r="CK709" s="196">
        <f t="shared" si="1850"/>
        <v>94851.841262883725</v>
      </c>
      <c r="CL709" s="589">
        <f t="shared" si="1816"/>
        <v>1.3635147283453228E-3</v>
      </c>
      <c r="CM709" s="196">
        <f t="shared" si="1851"/>
        <v>6520.2197017614199</v>
      </c>
      <c r="CN709" s="589">
        <f t="shared" si="1817"/>
        <v>9.3963775904542645E-4</v>
      </c>
      <c r="CO709" s="196">
        <f t="shared" si="1852"/>
        <v>521.6262550451894</v>
      </c>
      <c r="CP709" s="589">
        <f t="shared" si="1818"/>
        <v>9.8370677178093516E-4</v>
      </c>
      <c r="CQ709" s="196">
        <f>'Detailed Budget'!$AC$12</f>
        <v>292876014141.44696</v>
      </c>
      <c r="CR709" s="269">
        <f t="shared" si="1861"/>
        <v>0</v>
      </c>
      <c r="CS709" s="269">
        <f>'Detailed Budget'!$AC$16</f>
        <v>10488008800.000002</v>
      </c>
      <c r="CT709" s="607">
        <f t="shared" si="1822"/>
        <v>0</v>
      </c>
      <c r="CU709" s="269">
        <f>'Detailed Budget'!$AC$24</f>
        <v>30624985696</v>
      </c>
      <c r="CV709" s="269">
        <f t="shared" si="1753"/>
        <v>0</v>
      </c>
      <c r="CW709" s="269"/>
      <c r="CX709" s="269">
        <f t="shared" si="1810"/>
        <v>0</v>
      </c>
      <c r="CY709" s="196"/>
      <c r="DA709" s="269">
        <f>'Detailed Budget'!$AC$100</f>
        <v>14925833098.967569</v>
      </c>
      <c r="DB709" s="269">
        <f t="shared" si="1823"/>
        <v>16090554.221344005</v>
      </c>
      <c r="DC709" s="269">
        <f t="shared" si="1799"/>
        <v>16090554.221344005</v>
      </c>
      <c r="DD709" s="207">
        <v>0</v>
      </c>
      <c r="DE709" s="606">
        <v>0</v>
      </c>
      <c r="DF709" s="269">
        <f>'Detailed Budget'!$AC$147</f>
        <v>5913600671000</v>
      </c>
      <c r="DG709" s="269">
        <f t="shared" si="1748"/>
        <v>0</v>
      </c>
      <c r="DH709" s="269">
        <f>'Detailed Budget'!$AC$153</f>
        <v>226428026880.00003</v>
      </c>
      <c r="DI709" s="269"/>
      <c r="DJ709" s="269">
        <f>'Detailed Budget'!$AC$156</f>
        <v>27713070000</v>
      </c>
      <c r="DK709" s="269"/>
      <c r="DL709" s="269"/>
      <c r="DM709" s="196">
        <f>'Detailed Budget'!$AC$178</f>
        <v>5622683761.6229038</v>
      </c>
      <c r="DN709" s="269">
        <f t="shared" si="1853"/>
        <v>0</v>
      </c>
      <c r="DO709" s="196">
        <f>'Detailed Budget'!$AC$179</f>
        <v>26827890683.128094</v>
      </c>
      <c r="DP709" s="269">
        <f t="shared" si="1854"/>
        <v>0</v>
      </c>
      <c r="DQ709" s="269">
        <f t="shared" si="1862"/>
        <v>0</v>
      </c>
      <c r="DR709" s="269">
        <f>'Detailed Budget'!$AC$181</f>
        <v>50888946855.375237</v>
      </c>
      <c r="DS709" s="269">
        <f t="shared" si="1855"/>
        <v>0</v>
      </c>
      <c r="DT709" s="269">
        <f t="shared" si="1856"/>
        <v>0</v>
      </c>
      <c r="DU709" s="272">
        <f>'Detailed Budget'!$AC$192</f>
        <v>77498869683.252869</v>
      </c>
      <c r="DV709" s="269">
        <f t="shared" si="1824"/>
        <v>71143817.300065756</v>
      </c>
      <c r="DW709" s="140">
        <f>'Detailed Budget'!$AC$194</f>
        <v>2684962805.4134097</v>
      </c>
      <c r="DX709" s="269">
        <f t="shared" si="1825"/>
        <v>2464790.8294213717</v>
      </c>
      <c r="DY709" s="607">
        <f t="shared" si="1800"/>
        <v>73608608.129487127</v>
      </c>
      <c r="DZ709" s="196">
        <f>'Detailed Budget'!$AC$198</f>
        <v>18732540018.380611</v>
      </c>
      <c r="EA709" s="269">
        <f t="shared" si="1826"/>
        <v>15149363.548945438</v>
      </c>
      <c r="EB709" s="196">
        <f>'Detailed Budget'!$AC$200</f>
        <v>4683135004.5951529</v>
      </c>
      <c r="EC709" s="269">
        <f t="shared" si="1827"/>
        <v>3787340.8872363595</v>
      </c>
      <c r="ED709" s="269">
        <f t="shared" si="1801"/>
        <v>18936704.436181799</v>
      </c>
      <c r="EE709" s="196">
        <f>'Detailed Budget'!$AC$161</f>
        <v>251147290106.36197</v>
      </c>
      <c r="EF709" s="269">
        <f t="shared" si="1828"/>
        <v>230552742.1981836</v>
      </c>
      <c r="EG709" s="196">
        <f>'Detailed Budget'!$AC$163</f>
        <v>15696705631.647623</v>
      </c>
      <c r="EH709" s="269">
        <f t="shared" si="1829"/>
        <v>14409546.387386475</v>
      </c>
      <c r="EI709" s="269">
        <f t="shared" si="1802"/>
        <v>244962288.58557007</v>
      </c>
      <c r="EJ709" s="196">
        <f>'Detailed Budget'!$AC$204</f>
        <v>45012172507.531975</v>
      </c>
      <c r="EK709" s="269">
        <f t="shared" si="1830"/>
        <v>43383328.107112728</v>
      </c>
      <c r="EL709" s="201">
        <f>'Detailed Budget'!$AC$206</f>
        <v>11253043126.882994</v>
      </c>
      <c r="EM709" s="269">
        <f t="shared" si="1831"/>
        <v>10845832.026778182</v>
      </c>
      <c r="EN709" s="269">
        <f t="shared" si="1803"/>
        <v>54229160.133890912</v>
      </c>
      <c r="EO709" s="140">
        <f>'Detailed Budget'!$AC$209</f>
        <v>135789361677.54817</v>
      </c>
      <c r="EP709" s="269">
        <f t="shared" si="1832"/>
        <v>185150794.59994689</v>
      </c>
      <c r="EQ709" s="196">
        <f>'Detailed Budget'!$AC$211</f>
        <v>33947340419.387043</v>
      </c>
      <c r="ER709" s="269">
        <f t="shared" si="1833"/>
        <v>46287698.649986722</v>
      </c>
      <c r="ES709" s="269">
        <f t="shared" si="1804"/>
        <v>231438493.2499336</v>
      </c>
      <c r="ET709" s="196">
        <f>'Detailed Budget'!$AC$214</f>
        <v>22239745544.201103</v>
      </c>
      <c r="EU709" s="269">
        <f t="shared" si="1834"/>
        <v>20897304.664893635</v>
      </c>
      <c r="EV709" s="140">
        <f>'Detailed Budget'!$AC$217</f>
        <v>5559936386.0502758</v>
      </c>
      <c r="EW709" s="269">
        <f t="shared" si="1835"/>
        <v>5224326.1662234087</v>
      </c>
      <c r="EX709" s="269">
        <f t="shared" si="1805"/>
        <v>26121630.831117041</v>
      </c>
      <c r="EY709" s="196">
        <f>'Detailed Budget'!$AC$219</f>
        <v>372777004.58170313</v>
      </c>
      <c r="EZ709" s="269">
        <f t="shared" si="1836"/>
        <v>366703.26377123408</v>
      </c>
      <c r="FA709" s="196">
        <f>'Detailed Budget'!$AC$222</f>
        <v>93194251.145425782</v>
      </c>
      <c r="FB709" s="269">
        <f t="shared" si="1837"/>
        <v>91675.81594280852</v>
      </c>
      <c r="FC709" s="269">
        <f t="shared" si="1806"/>
        <v>458379.0797140426</v>
      </c>
      <c r="FD709" s="269"/>
      <c r="FE709" s="269">
        <f t="shared" si="1807"/>
        <v>312247663.29465562</v>
      </c>
      <c r="FF709" s="140"/>
      <c r="FG709" s="1087">
        <f t="shared" si="1749"/>
        <v>425926481.60996759</v>
      </c>
      <c r="FJ709" s="140">
        <f>'Detailed Budget'!$AC$235</f>
        <v>3623696172</v>
      </c>
      <c r="FK709" s="269">
        <f t="shared" si="1838"/>
        <v>4681778</v>
      </c>
      <c r="FL709" s="269">
        <f t="shared" si="1750"/>
        <v>4681778</v>
      </c>
      <c r="FO709" s="607"/>
      <c r="FP709" s="607"/>
      <c r="FQ709" s="607"/>
      <c r="FR709" s="269">
        <f>'Detailed Budget'!$AC$257</f>
        <v>13636439388</v>
      </c>
      <c r="FS709" s="269">
        <f t="shared" si="1839"/>
        <v>4497012</v>
      </c>
      <c r="FT709" s="269">
        <f t="shared" si="1751"/>
        <v>4497012</v>
      </c>
      <c r="FU709" s="269"/>
      <c r="FV709" s="269"/>
      <c r="FW709" s="269"/>
      <c r="FX709" s="140">
        <f>'Detailed Budget'!$AC$278</f>
        <v>1114560000</v>
      </c>
      <c r="FY709" s="269">
        <f t="shared" si="1840"/>
        <v>1440000</v>
      </c>
      <c r="FZ709" s="269">
        <f t="shared" si="1752"/>
        <v>1440000</v>
      </c>
      <c r="GB709" s="269">
        <f t="shared" si="1760"/>
        <v>1102391090.2772064</v>
      </c>
      <c r="GC709" s="887">
        <f t="shared" si="1808"/>
        <v>688994.43142325396</v>
      </c>
      <c r="GD709" s="1078">
        <f t="shared" si="1761"/>
        <v>6.1858635406108196E-4</v>
      </c>
    </row>
    <row r="710" spans="1:186" hidden="1" outlineLevel="1">
      <c r="A710" s="211" t="s">
        <v>1515</v>
      </c>
      <c r="B710" s="212" t="s">
        <v>1516</v>
      </c>
      <c r="C710" s="213" t="s">
        <v>215</v>
      </c>
      <c r="D710" s="214"/>
      <c r="E710" s="213"/>
      <c r="F710" s="213"/>
      <c r="G710" s="213" t="s">
        <v>215</v>
      </c>
      <c r="H710" s="213" t="s">
        <v>215</v>
      </c>
      <c r="I710" s="214" t="s">
        <v>215</v>
      </c>
      <c r="J710" s="214"/>
      <c r="K710" s="213"/>
      <c r="L710" s="213"/>
      <c r="M710" s="214" t="s">
        <v>215</v>
      </c>
      <c r="N710" s="213"/>
      <c r="O710" s="214"/>
      <c r="P710" s="213"/>
      <c r="Q710" s="214"/>
      <c r="R710" s="214" t="s">
        <v>215</v>
      </c>
      <c r="S710" s="214"/>
      <c r="T710" s="214"/>
      <c r="U710" s="215">
        <f t="shared" si="1841"/>
        <v>6</v>
      </c>
      <c r="V710" s="845" t="s">
        <v>216</v>
      </c>
      <c r="W710" s="216">
        <v>538558</v>
      </c>
      <c r="X710" s="217">
        <v>3.41</v>
      </c>
      <c r="Y710" s="218">
        <f t="shared" si="1785"/>
        <v>1.0341</v>
      </c>
      <c r="Z710" s="196">
        <v>19</v>
      </c>
      <c r="AA710" s="218">
        <f t="shared" si="1786"/>
        <v>1.8909856119855175</v>
      </c>
      <c r="AB710" s="196">
        <f t="shared" si="1788"/>
        <v>1018405.4292196963</v>
      </c>
      <c r="AC710">
        <v>11.9</v>
      </c>
      <c r="AD710" s="196">
        <f t="shared" si="1789"/>
        <v>121190.24607714386</v>
      </c>
      <c r="AE710" s="196">
        <f t="shared" si="1787"/>
        <v>115130.73377328666</v>
      </c>
      <c r="AF710" s="196">
        <f t="shared" si="1842"/>
        <v>0</v>
      </c>
      <c r="AG710" s="606">
        <f t="shared" si="1811"/>
        <v>5.3231396962850593E-3</v>
      </c>
      <c r="AH710" s="196">
        <f t="shared" si="1857"/>
        <v>50920.271460984819</v>
      </c>
      <c r="AI710" s="248">
        <f t="shared" si="1790"/>
        <v>3.9447162783353435E-3</v>
      </c>
      <c r="AJ710" s="196">
        <f t="shared" si="1791"/>
        <v>172110.51753812868</v>
      </c>
      <c r="AK710" s="196">
        <f t="shared" si="1858"/>
        <v>40736.217168787851</v>
      </c>
      <c r="AL710" s="196">
        <f t="shared" si="1859"/>
        <v>40736.217168787851</v>
      </c>
      <c r="AM710" s="196">
        <f t="shared" si="1792"/>
        <v>81472.434337575702</v>
      </c>
      <c r="AN710" s="627">
        <f t="shared" si="1793"/>
        <v>3.9447162783353426E-3</v>
      </c>
      <c r="AO710" s="196">
        <f t="shared" si="1794"/>
        <v>38699.406310348459</v>
      </c>
      <c r="AP710" s="589">
        <f t="shared" si="1812"/>
        <v>3.9447162783353426E-3</v>
      </c>
      <c r="AQ710" s="196"/>
      <c r="AR710" s="589"/>
      <c r="AS710">
        <v>1</v>
      </c>
      <c r="AT710" s="589">
        <f t="shared" si="1813"/>
        <v>1.2919896640826874E-3</v>
      </c>
      <c r="AU710" s="196">
        <v>20</v>
      </c>
      <c r="AV710" s="245">
        <f t="shared" si="1795"/>
        <v>2.2724690376093627E-3</v>
      </c>
      <c r="AX710" s="245"/>
      <c r="AY710" s="245"/>
      <c r="AZ710" s="196">
        <v>21</v>
      </c>
      <c r="BA710" s="589">
        <f t="shared" si="1754"/>
        <v>7.6948444542156754E-4</v>
      </c>
      <c r="BI710" s="196">
        <v>0</v>
      </c>
      <c r="BK710" s="246">
        <f t="shared" si="1755"/>
        <v>0</v>
      </c>
      <c r="BL710" s="246"/>
      <c r="BM710" s="246">
        <f t="shared" si="1756"/>
        <v>0</v>
      </c>
      <c r="BN710" s="196">
        <v>1</v>
      </c>
      <c r="BO710" s="196">
        <f t="shared" si="1843"/>
        <v>49520.409329194234</v>
      </c>
      <c r="BP710" s="196">
        <f t="shared" si="1796"/>
        <v>49520.409329194234</v>
      </c>
      <c r="BQ710" s="248">
        <f t="shared" si="1757"/>
        <v>4.6324036886794357E-3</v>
      </c>
      <c r="BR710" s="248"/>
      <c r="BS710" s="248"/>
      <c r="BT710" s="276">
        <v>0</v>
      </c>
      <c r="BU710" s="196">
        <f t="shared" si="1844"/>
        <v>0</v>
      </c>
      <c r="BV710" s="264">
        <f t="shared" si="1758"/>
        <v>0</v>
      </c>
      <c r="BW710" s="196">
        <f t="shared" si="1845"/>
        <v>0</v>
      </c>
      <c r="BX710" s="247">
        <f t="shared" si="1759"/>
        <v>0</v>
      </c>
      <c r="BY710" s="196">
        <f t="shared" si="1860"/>
        <v>0</v>
      </c>
      <c r="BZ710" s="620">
        <v>1</v>
      </c>
      <c r="CA710" s="196">
        <f t="shared" si="1846"/>
        <v>311632.06134122709</v>
      </c>
      <c r="CB710" s="196">
        <f t="shared" si="1847"/>
        <v>623264.12268245418</v>
      </c>
      <c r="CC710" s="196">
        <f t="shared" si="1809"/>
        <v>934896.18402368133</v>
      </c>
      <c r="CD710" s="247">
        <f t="shared" si="1797"/>
        <v>3.9447162783353435E-3</v>
      </c>
      <c r="CE710" s="196">
        <f t="shared" si="1848"/>
        <v>80474.405926058462</v>
      </c>
      <c r="CF710" s="247">
        <f t="shared" si="1798"/>
        <v>3.4751351189171499E-3</v>
      </c>
      <c r="CG710" s="196">
        <f t="shared" si="1820"/>
        <v>154797.62524139383</v>
      </c>
      <c r="CH710" s="589">
        <f t="shared" si="1814"/>
        <v>3.9447162783353426E-3</v>
      </c>
      <c r="CI710" s="196">
        <f t="shared" si="1849"/>
        <v>251921.43488252698</v>
      </c>
      <c r="CJ710" s="248">
        <f t="shared" si="1815"/>
        <v>4.1415877500075946E-3</v>
      </c>
      <c r="CK710" s="196">
        <f t="shared" si="1850"/>
        <v>407586.45448337717</v>
      </c>
      <c r="CL710" s="589">
        <f t="shared" si="1816"/>
        <v>5.8591391201554327E-3</v>
      </c>
      <c r="CM710" s="196">
        <f t="shared" si="1851"/>
        <v>28017.940351080157</v>
      </c>
      <c r="CN710" s="589">
        <f t="shared" si="1817"/>
        <v>4.0377036187055626E-3</v>
      </c>
      <c r="CO710" s="196">
        <f t="shared" si="1852"/>
        <v>2241.4725220785535</v>
      </c>
      <c r="CP710" s="589">
        <f t="shared" si="1818"/>
        <v>4.2270719263134988E-3</v>
      </c>
      <c r="CQ710" s="196">
        <f>'Detailed Budget'!$AC$12</f>
        <v>292876014141.44696</v>
      </c>
      <c r="CR710" s="269">
        <f t="shared" si="1861"/>
        <v>0</v>
      </c>
      <c r="CS710" s="269">
        <f>'Detailed Budget'!$AC$16</f>
        <v>10488008800.000002</v>
      </c>
      <c r="CT710" s="607">
        <f t="shared" si="1822"/>
        <v>0</v>
      </c>
      <c r="CU710" s="269">
        <f>'Detailed Budget'!$AC$24</f>
        <v>30624985696</v>
      </c>
      <c r="CV710" s="269">
        <f t="shared" si="1753"/>
        <v>0</v>
      </c>
      <c r="CW710" s="269"/>
      <c r="CX710" s="269">
        <f t="shared" si="1810"/>
        <v>0</v>
      </c>
      <c r="CY710" s="196"/>
      <c r="DA710" s="269">
        <f>'Detailed Budget'!$AC$100</f>
        <v>14925833098.967569</v>
      </c>
      <c r="DB710" s="269">
        <f t="shared" si="1823"/>
        <v>69142484.304270983</v>
      </c>
      <c r="DC710" s="269">
        <f t="shared" si="1799"/>
        <v>69142484.304270983</v>
      </c>
      <c r="DD710" s="207">
        <v>0</v>
      </c>
      <c r="DE710" s="606">
        <v>0</v>
      </c>
      <c r="DF710" s="269">
        <f>'Detailed Budget'!$AC$147</f>
        <v>5913600671000</v>
      </c>
      <c r="DG710" s="269">
        <f t="shared" si="1748"/>
        <v>0</v>
      </c>
      <c r="DH710" s="269">
        <f>'Detailed Budget'!$AC$153</f>
        <v>226428026880.00003</v>
      </c>
      <c r="DI710" s="269"/>
      <c r="DJ710" s="269">
        <f>'Detailed Budget'!$AC$156</f>
        <v>27713070000</v>
      </c>
      <c r="DK710" s="269"/>
      <c r="DL710" s="269"/>
      <c r="DM710" s="196">
        <f>'Detailed Budget'!$AC$178</f>
        <v>5622683761.6229038</v>
      </c>
      <c r="DN710" s="269">
        <f t="shared" si="1853"/>
        <v>0</v>
      </c>
      <c r="DO710" s="196">
        <f>'Detailed Budget'!$AC$179</f>
        <v>26827890683.128094</v>
      </c>
      <c r="DP710" s="269">
        <f t="shared" si="1854"/>
        <v>0</v>
      </c>
      <c r="DQ710" s="269">
        <f t="shared" si="1862"/>
        <v>0</v>
      </c>
      <c r="DR710" s="269">
        <f>'Detailed Budget'!$AC$181</f>
        <v>50888946855.375237</v>
      </c>
      <c r="DS710" s="269">
        <f t="shared" si="1855"/>
        <v>0</v>
      </c>
      <c r="DT710" s="269">
        <f t="shared" si="1856"/>
        <v>0</v>
      </c>
      <c r="DU710" s="272">
        <f>'Detailed Budget'!$AC$192</f>
        <v>77498869683.252869</v>
      </c>
      <c r="DV710" s="269">
        <f t="shared" si="1824"/>
        <v>305711052.79211706</v>
      </c>
      <c r="DW710" s="140">
        <f>'Detailed Budget'!$AC$194</f>
        <v>2684962805.4134097</v>
      </c>
      <c r="DX710" s="269">
        <f t="shared" si="1825"/>
        <v>10591416.485239206</v>
      </c>
      <c r="DY710" s="607">
        <f t="shared" si="1800"/>
        <v>316302469.27735627</v>
      </c>
      <c r="DZ710" s="196">
        <f>'Detailed Budget'!$AC$198</f>
        <v>18732540018.380611</v>
      </c>
      <c r="EA710" s="269">
        <f t="shared" si="1826"/>
        <v>65098107.684395373</v>
      </c>
      <c r="EB710" s="196">
        <f>'Detailed Budget'!$AC$200</f>
        <v>4683135004.5951529</v>
      </c>
      <c r="EC710" s="269">
        <f t="shared" si="1827"/>
        <v>16274526.921098843</v>
      </c>
      <c r="ED710" s="269">
        <f t="shared" si="1801"/>
        <v>81372634.605494216</v>
      </c>
      <c r="EE710" s="196">
        <f>'Detailed Budget'!$AC$161</f>
        <v>251147290106.36197</v>
      </c>
      <c r="EF710" s="269">
        <f t="shared" si="1828"/>
        <v>990704803.54237485</v>
      </c>
      <c r="EG710" s="196">
        <f>'Detailed Budget'!$AC$163</f>
        <v>15696705631.647623</v>
      </c>
      <c r="EH710" s="269">
        <f t="shared" si="1829"/>
        <v>61919050.221398428</v>
      </c>
      <c r="EI710" s="269">
        <f t="shared" si="1802"/>
        <v>1052623853.7637733</v>
      </c>
      <c r="EJ710" s="196">
        <f>'Detailed Budget'!$AC$204</f>
        <v>45012172507.531975</v>
      </c>
      <c r="EK710" s="269">
        <f t="shared" si="1830"/>
        <v>186421862.25842306</v>
      </c>
      <c r="EL710" s="201">
        <f>'Detailed Budget'!$AC$206</f>
        <v>11253043126.882994</v>
      </c>
      <c r="EM710" s="269">
        <f t="shared" si="1831"/>
        <v>46605465.564605765</v>
      </c>
      <c r="EN710" s="269">
        <f t="shared" si="1803"/>
        <v>233027327.82302883</v>
      </c>
      <c r="EO710" s="140">
        <f>'Detailed Budget'!$AC$209</f>
        <v>135789361677.54817</v>
      </c>
      <c r="EP710" s="269">
        <f t="shared" si="1832"/>
        <v>795608761.10585737</v>
      </c>
      <c r="EQ710" s="196">
        <f>'Detailed Budget'!$AC$211</f>
        <v>33947340419.387043</v>
      </c>
      <c r="ER710" s="269">
        <f t="shared" si="1833"/>
        <v>198902190.27646434</v>
      </c>
      <c r="ES710" s="269">
        <f t="shared" si="1804"/>
        <v>994510951.38232172</v>
      </c>
      <c r="ET710" s="196">
        <f>'Detailed Budget'!$AC$214</f>
        <v>22239745544.201103</v>
      </c>
      <c r="EU710" s="269">
        <f t="shared" si="1834"/>
        <v>89797501.062911704</v>
      </c>
      <c r="EV710" s="140">
        <f>'Detailed Budget'!$AC$217</f>
        <v>5559936386.0502758</v>
      </c>
      <c r="EW710" s="269">
        <f t="shared" si="1835"/>
        <v>22449375.265727926</v>
      </c>
      <c r="EX710" s="269">
        <f t="shared" si="1805"/>
        <v>112246876.32863963</v>
      </c>
      <c r="EY710" s="196">
        <f>'Detailed Budget'!$AC$219</f>
        <v>372777004.58170313</v>
      </c>
      <c r="EZ710" s="269">
        <f t="shared" si="1836"/>
        <v>1575755.2108425559</v>
      </c>
      <c r="FA710" s="196">
        <f>'Detailed Budget'!$AC$222</f>
        <v>93194251.145425782</v>
      </c>
      <c r="FB710" s="269">
        <f t="shared" si="1837"/>
        <v>393938.80271063896</v>
      </c>
      <c r="FC710" s="269">
        <f t="shared" si="1806"/>
        <v>1969694.0135531947</v>
      </c>
      <c r="FD710" s="269"/>
      <c r="FE710" s="269">
        <f t="shared" si="1807"/>
        <v>1341754849.5475435</v>
      </c>
      <c r="FF710" s="140"/>
      <c r="FG710" s="1087">
        <f t="shared" si="1749"/>
        <v>1830242430.7066963</v>
      </c>
      <c r="FJ710" s="140">
        <f>'Detailed Budget'!$AC$235</f>
        <v>3623696172</v>
      </c>
      <c r="FK710" s="269">
        <f t="shared" si="1838"/>
        <v>4681778</v>
      </c>
      <c r="FL710" s="269">
        <f t="shared" si="1750"/>
        <v>4681778</v>
      </c>
      <c r="FO710" s="607"/>
      <c r="FP710" s="607"/>
      <c r="FQ710" s="607"/>
      <c r="FR710" s="269">
        <f>'Detailed Budget'!$AC$257</f>
        <v>13636439388</v>
      </c>
      <c r="FS710" s="269">
        <f t="shared" si="1839"/>
        <v>10493028</v>
      </c>
      <c r="FT710" s="269">
        <f t="shared" si="1751"/>
        <v>10493028</v>
      </c>
      <c r="FU710" s="269"/>
      <c r="FV710" s="269"/>
      <c r="FW710" s="269"/>
      <c r="FX710" s="140">
        <f>'Detailed Budget'!$AC$278</f>
        <v>1114560000</v>
      </c>
      <c r="FY710" s="269">
        <f t="shared" si="1840"/>
        <v>1440000</v>
      </c>
      <c r="FZ710" s="269">
        <f t="shared" si="1752"/>
        <v>1440000</v>
      </c>
      <c r="GB710" s="269">
        <f t="shared" si="1760"/>
        <v>4708053528.2051344</v>
      </c>
      <c r="GC710" s="887">
        <f t="shared" si="1808"/>
        <v>2942533.4551282092</v>
      </c>
      <c r="GD710" s="1078">
        <f t="shared" si="1761"/>
        <v>2.6418370870581812E-3</v>
      </c>
    </row>
    <row r="711" spans="1:186" hidden="1" outlineLevel="1">
      <c r="A711" s="211" t="s">
        <v>1517</v>
      </c>
      <c r="B711" s="212" t="s">
        <v>1518</v>
      </c>
      <c r="C711" s="213" t="s">
        <v>215</v>
      </c>
      <c r="D711" s="214"/>
      <c r="E711" s="213"/>
      <c r="F711" s="213"/>
      <c r="G711" s="213" t="s">
        <v>215</v>
      </c>
      <c r="H711" s="213" t="s">
        <v>215</v>
      </c>
      <c r="I711" s="214" t="s">
        <v>215</v>
      </c>
      <c r="J711" s="214"/>
      <c r="K711" s="213"/>
      <c r="L711" s="213"/>
      <c r="M711" s="214" t="s">
        <v>215</v>
      </c>
      <c r="N711" s="213"/>
      <c r="O711" s="214"/>
      <c r="P711" s="213"/>
      <c r="Q711" s="214"/>
      <c r="R711" s="214" t="s">
        <v>215</v>
      </c>
      <c r="S711" s="214"/>
      <c r="T711" s="214"/>
      <c r="U711" s="215">
        <f t="shared" si="1841"/>
        <v>6</v>
      </c>
      <c r="V711" s="845" t="s">
        <v>216</v>
      </c>
      <c r="W711" s="216">
        <v>120308</v>
      </c>
      <c r="X711" s="217">
        <v>3.41</v>
      </c>
      <c r="Y711" s="218">
        <f t="shared" si="1785"/>
        <v>1.0341</v>
      </c>
      <c r="Z711" s="196">
        <v>19</v>
      </c>
      <c r="AA711" s="218">
        <f t="shared" si="1786"/>
        <v>1.8909856119855175</v>
      </c>
      <c r="AB711" s="196">
        <f>W711*AA711</f>
        <v>227500.69700675365</v>
      </c>
      <c r="AC711">
        <v>11.9</v>
      </c>
      <c r="AD711" s="196">
        <f>AB711*AC711/100</f>
        <v>27072.582943803685</v>
      </c>
      <c r="AE711" s="196">
        <f t="shared" si="1787"/>
        <v>25718.953796613499</v>
      </c>
      <c r="AF711" s="196">
        <f t="shared" si="1842"/>
        <v>0</v>
      </c>
      <c r="AG711" s="606">
        <f t="shared" si="1811"/>
        <v>1.1891315152326453E-3</v>
      </c>
      <c r="AH711" s="196">
        <f t="shared" si="1857"/>
        <v>11375.034850337683</v>
      </c>
      <c r="AI711" s="248">
        <f t="shared" si="1790"/>
        <v>8.8120671499442678E-4</v>
      </c>
      <c r="AJ711" s="196">
        <f t="shared" si="1791"/>
        <v>38447.61779414137</v>
      </c>
      <c r="AK711" s="196">
        <f t="shared" si="1858"/>
        <v>9100.0278802701469</v>
      </c>
      <c r="AL711" s="196">
        <f t="shared" si="1859"/>
        <v>9100.0278802701469</v>
      </c>
      <c r="AM711" s="196">
        <f t="shared" si="1792"/>
        <v>18200.055760540294</v>
      </c>
      <c r="AN711" s="627">
        <f t="shared" si="1793"/>
        <v>8.8120671499442678E-4</v>
      </c>
      <c r="AO711" s="196">
        <f t="shared" si="1794"/>
        <v>8645.0264862566382</v>
      </c>
      <c r="AP711" s="589">
        <f t="shared" si="1812"/>
        <v>8.8120671499442667E-4</v>
      </c>
      <c r="AQ711" s="196"/>
      <c r="AR711" s="589"/>
      <c r="AS711">
        <v>1</v>
      </c>
      <c r="AT711" s="589">
        <f t="shared" si="1813"/>
        <v>1.2919896640826874E-3</v>
      </c>
      <c r="AU711" s="196">
        <v>10</v>
      </c>
      <c r="AV711" s="245">
        <f t="shared" si="1795"/>
        <v>1.1362345188046814E-3</v>
      </c>
      <c r="AX711" s="245"/>
      <c r="AY711" s="245"/>
      <c r="AZ711" s="196">
        <v>13</v>
      </c>
      <c r="BA711" s="589">
        <f t="shared" si="1754"/>
        <v>4.7634751383239895E-4</v>
      </c>
      <c r="BI711" s="196">
        <v>0</v>
      </c>
      <c r="BK711" s="246">
        <f t="shared" si="1755"/>
        <v>0</v>
      </c>
      <c r="BL711" s="246"/>
      <c r="BM711" s="246">
        <f t="shared" si="1756"/>
        <v>0</v>
      </c>
      <c r="BN711" s="196">
        <v>1</v>
      </c>
      <c r="BO711" s="196">
        <f t="shared" si="1843"/>
        <v>11062.320874588624</v>
      </c>
      <c r="BP711" s="196">
        <f t="shared" si="1796"/>
        <v>11062.320874588624</v>
      </c>
      <c r="BQ711" s="248">
        <f t="shared" si="1757"/>
        <v>1.0348286033772512E-3</v>
      </c>
      <c r="BR711" s="248"/>
      <c r="BS711" s="248"/>
      <c r="BT711" s="276">
        <v>0</v>
      </c>
      <c r="BU711" s="196">
        <f t="shared" si="1844"/>
        <v>0</v>
      </c>
      <c r="BV711" s="264">
        <f t="shared" si="1758"/>
        <v>0</v>
      </c>
      <c r="BW711" s="196">
        <f t="shared" si="1845"/>
        <v>0</v>
      </c>
      <c r="BX711" s="247">
        <f t="shared" si="1759"/>
        <v>0</v>
      </c>
      <c r="BY711" s="196">
        <f t="shared" si="1860"/>
        <v>0</v>
      </c>
      <c r="BZ711" s="620">
        <v>1</v>
      </c>
      <c r="CA711" s="196">
        <f t="shared" si="1846"/>
        <v>69615.213284066616</v>
      </c>
      <c r="CB711" s="196">
        <f t="shared" si="1847"/>
        <v>139230.42656813323</v>
      </c>
      <c r="CC711" s="196">
        <f t="shared" si="1809"/>
        <v>208845.63985219985</v>
      </c>
      <c r="CD711" s="247">
        <f t="shared" si="1797"/>
        <v>8.8120671499442667E-4</v>
      </c>
      <c r="CE711" s="196">
        <f t="shared" si="1848"/>
        <v>17977.107067673754</v>
      </c>
      <c r="CF711" s="247">
        <f t="shared" si="1798"/>
        <v>7.7630739100836767E-4</v>
      </c>
      <c r="CG711" s="196">
        <f t="shared" si="1820"/>
        <v>34580.105945026553</v>
      </c>
      <c r="CH711" s="589">
        <f t="shared" si="1814"/>
        <v>8.8120671499442667E-4</v>
      </c>
      <c r="CI711" s="196">
        <f t="shared" si="1849"/>
        <v>56276.50872858087</v>
      </c>
      <c r="CJ711" s="248">
        <f t="shared" si="1815"/>
        <v>9.2518566064920345E-4</v>
      </c>
      <c r="CK711" s="196">
        <f t="shared" si="1850"/>
        <v>91050.381139981473</v>
      </c>
      <c r="CL711" s="589">
        <f t="shared" si="1816"/>
        <v>1.3088679571516156E-3</v>
      </c>
      <c r="CM711" s="196">
        <f t="shared" si="1851"/>
        <v>6258.9031594698281</v>
      </c>
      <c r="CN711" s="589">
        <f t="shared" si="1817"/>
        <v>9.0197907552989431E-4</v>
      </c>
      <c r="CO711" s="196">
        <f t="shared" si="1852"/>
        <v>500.72058382983187</v>
      </c>
      <c r="CP711" s="589">
        <f t="shared" si="1818"/>
        <v>9.4428189593493057E-4</v>
      </c>
      <c r="CQ711" s="196">
        <f>'Detailed Budget'!$AC$12</f>
        <v>292876014141.44696</v>
      </c>
      <c r="CR711" s="269">
        <f t="shared" si="1861"/>
        <v>0</v>
      </c>
      <c r="CS711" s="269">
        <f>'Detailed Budget'!$AC$16</f>
        <v>10488008800.000002</v>
      </c>
      <c r="CT711" s="607">
        <f t="shared" si="1822"/>
        <v>0</v>
      </c>
      <c r="CU711" s="269">
        <f>'Detailed Budget'!$AC$24</f>
        <v>30624985696</v>
      </c>
      <c r="CV711" s="269">
        <f t="shared" si="1753"/>
        <v>0</v>
      </c>
      <c r="CW711" s="269"/>
      <c r="CX711" s="269">
        <f t="shared" si="1810"/>
        <v>0</v>
      </c>
      <c r="CY711" s="196"/>
      <c r="DA711" s="269">
        <f>'Detailed Budget'!$AC$100</f>
        <v>14925833098.967569</v>
      </c>
      <c r="DB711" s="269">
        <f t="shared" si="1823"/>
        <v>15445679.020046558</v>
      </c>
      <c r="DC711" s="269">
        <f t="shared" si="1799"/>
        <v>15445679.020046558</v>
      </c>
      <c r="DD711" s="207">
        <v>0</v>
      </c>
      <c r="DE711" s="606">
        <v>0</v>
      </c>
      <c r="DF711" s="269">
        <f>'Detailed Budget'!$AC$147</f>
        <v>5913600671000</v>
      </c>
      <c r="DG711" s="269">
        <f t="shared" ref="DG711:DG771" si="1863">DE711*DF711</f>
        <v>0</v>
      </c>
      <c r="DH711" s="269">
        <f>'Detailed Budget'!$AC$153</f>
        <v>226428026880.00003</v>
      </c>
      <c r="DI711" s="269"/>
      <c r="DJ711" s="269">
        <f>'Detailed Budget'!$AC$156</f>
        <v>27713070000</v>
      </c>
      <c r="DK711" s="269"/>
      <c r="DL711" s="269"/>
      <c r="DM711" s="196">
        <f>'Detailed Budget'!$AC$178</f>
        <v>5622683761.6229038</v>
      </c>
      <c r="DN711" s="269">
        <f t="shared" si="1853"/>
        <v>0</v>
      </c>
      <c r="DO711" s="196">
        <f>'Detailed Budget'!$AC$179</f>
        <v>26827890683.128094</v>
      </c>
      <c r="DP711" s="269">
        <f t="shared" si="1854"/>
        <v>0</v>
      </c>
      <c r="DQ711" s="269">
        <f t="shared" si="1862"/>
        <v>0</v>
      </c>
      <c r="DR711" s="269">
        <f>'Detailed Budget'!$AC$181</f>
        <v>50888946855.375237</v>
      </c>
      <c r="DS711" s="269">
        <f t="shared" si="1855"/>
        <v>0</v>
      </c>
      <c r="DT711" s="269">
        <f t="shared" si="1856"/>
        <v>0</v>
      </c>
      <c r="DU711" s="272">
        <f>'Detailed Budget'!$AC$192</f>
        <v>77498869683.252869</v>
      </c>
      <c r="DV711" s="269">
        <f t="shared" si="1824"/>
        <v>68292524.369360417</v>
      </c>
      <c r="DW711" s="140">
        <f>'Detailed Budget'!$AC$194</f>
        <v>2684962805.4134097</v>
      </c>
      <c r="DX711" s="269">
        <f t="shared" si="1825"/>
        <v>2366007.2536405711</v>
      </c>
      <c r="DY711" s="607">
        <f t="shared" si="1800"/>
        <v>70658531.623000994</v>
      </c>
      <c r="DZ711" s="196">
        <f>'Detailed Budget'!$AC$198</f>
        <v>18732540018.380611</v>
      </c>
      <c r="EA711" s="269">
        <f t="shared" si="1826"/>
        <v>14542209.268628892</v>
      </c>
      <c r="EB711" s="196">
        <f>'Detailed Budget'!$AC$200</f>
        <v>4683135004.5951529</v>
      </c>
      <c r="EC711" s="269">
        <f t="shared" si="1827"/>
        <v>3635552.3171572229</v>
      </c>
      <c r="ED711" s="269">
        <f t="shared" si="1801"/>
        <v>18177761.585786115</v>
      </c>
      <c r="EE711" s="196">
        <f>'Detailed Budget'!$AC$161</f>
        <v>251147290106.36197</v>
      </c>
      <c r="EF711" s="269">
        <f t="shared" si="1828"/>
        <v>221312678.49437949</v>
      </c>
      <c r="EG711" s="196">
        <f>'Detailed Budget'!$AC$163</f>
        <v>15696705631.647623</v>
      </c>
      <c r="EH711" s="269">
        <f t="shared" si="1829"/>
        <v>13832042.405898718</v>
      </c>
      <c r="EI711" s="269">
        <f t="shared" si="1802"/>
        <v>235144720.90027821</v>
      </c>
      <c r="EJ711" s="196">
        <f>'Detailed Budget'!$AC$204</f>
        <v>45012172507.531975</v>
      </c>
      <c r="EK711" s="269">
        <f t="shared" si="1830"/>
        <v>41644616.558636881</v>
      </c>
      <c r="EL711" s="201">
        <f>'Detailed Budget'!$AC$206</f>
        <v>11253043126.882994</v>
      </c>
      <c r="EM711" s="269">
        <f t="shared" si="1831"/>
        <v>10411154.13965922</v>
      </c>
      <c r="EN711" s="269">
        <f t="shared" si="1803"/>
        <v>52055770.6982961</v>
      </c>
      <c r="EO711" s="140">
        <f>'Detailed Budget'!$AC$209</f>
        <v>135789361677.54817</v>
      </c>
      <c r="EP711" s="269">
        <f t="shared" si="1832"/>
        <v>177730344.42181435</v>
      </c>
      <c r="EQ711" s="196">
        <f>'Detailed Budget'!$AC$211</f>
        <v>33947340419.387043</v>
      </c>
      <c r="ER711" s="269">
        <f t="shared" si="1833"/>
        <v>44432586.105453588</v>
      </c>
      <c r="ES711" s="269">
        <f t="shared" si="1804"/>
        <v>222162930.52726793</v>
      </c>
      <c r="ET711" s="196">
        <f>'Detailed Budget'!$AC$214</f>
        <v>22239745544.201103</v>
      </c>
      <c r="EU711" s="269">
        <f t="shared" si="1834"/>
        <v>20059785.125978597</v>
      </c>
      <c r="EV711" s="140">
        <f>'Detailed Budget'!$AC$217</f>
        <v>5559936386.0502758</v>
      </c>
      <c r="EW711" s="269">
        <f t="shared" si="1835"/>
        <v>5014946.2814946491</v>
      </c>
      <c r="EX711" s="269">
        <f t="shared" si="1805"/>
        <v>25074731.407473244</v>
      </c>
      <c r="EY711" s="196">
        <f>'Detailed Budget'!$AC$219</f>
        <v>372777004.58170313</v>
      </c>
      <c r="EZ711" s="269">
        <f t="shared" si="1836"/>
        <v>352006.57664735493</v>
      </c>
      <c r="FA711" s="196">
        <f>'Detailed Budget'!$AC$222</f>
        <v>93194251.145425782</v>
      </c>
      <c r="FB711" s="269">
        <f t="shared" si="1837"/>
        <v>88001.644161838733</v>
      </c>
      <c r="FC711" s="269">
        <f t="shared" si="1806"/>
        <v>440008.22080919368</v>
      </c>
      <c r="FD711" s="269"/>
      <c r="FE711" s="269">
        <f t="shared" si="1807"/>
        <v>299733440.85384649</v>
      </c>
      <c r="FF711" s="140"/>
      <c r="FG711" s="1087">
        <f t="shared" ref="FG711:FG774" si="1864">FE711/0.423*0.577</f>
        <v>408856253.8360979</v>
      </c>
      <c r="FJ711" s="140">
        <f>'Detailed Budget'!$AC$235</f>
        <v>3623696172</v>
      </c>
      <c r="FK711" s="269">
        <f t="shared" si="1838"/>
        <v>4681778</v>
      </c>
      <c r="FL711" s="269">
        <f t="shared" ref="FL711:FL771" si="1865">FI711+FK711</f>
        <v>4681778</v>
      </c>
      <c r="FO711" s="607"/>
      <c r="FP711" s="607"/>
      <c r="FQ711" s="607"/>
      <c r="FR711" s="269">
        <f>'Detailed Budget'!$AC$257</f>
        <v>13636439388</v>
      </c>
      <c r="FS711" s="269">
        <f t="shared" si="1839"/>
        <v>6495684</v>
      </c>
      <c r="FT711" s="269">
        <f t="shared" ref="FT711:FT774" si="1866">FM711+FO711+FQ711+FS711</f>
        <v>6495684</v>
      </c>
      <c r="FU711" s="269"/>
      <c r="FV711" s="269"/>
      <c r="FW711" s="269"/>
      <c r="FX711" s="140">
        <f>'Detailed Budget'!$AC$278</f>
        <v>1114560000</v>
      </c>
      <c r="FY711" s="269">
        <f t="shared" si="1840"/>
        <v>1440000</v>
      </c>
      <c r="FZ711" s="269">
        <f t="shared" ref="FZ711:FZ771" si="1867">FU711+FW711+FY711</f>
        <v>1440000</v>
      </c>
      <c r="GB711" s="269">
        <f t="shared" si="1760"/>
        <v>1060633849.8190563</v>
      </c>
      <c r="GC711" s="887">
        <f t="shared" si="1808"/>
        <v>662896.1561369102</v>
      </c>
      <c r="GD711" s="1078">
        <f t="shared" si="1761"/>
        <v>5.951550515419699E-4</v>
      </c>
    </row>
    <row r="712" spans="1:186" collapsed="1">
      <c r="A712" s="220"/>
      <c r="B712" s="221"/>
      <c r="C712" s="222"/>
      <c r="D712" s="222"/>
      <c r="E712" s="222"/>
      <c r="F712" s="222"/>
      <c r="G712" s="222"/>
      <c r="H712" s="222"/>
      <c r="I712" s="222"/>
      <c r="J712" s="222"/>
      <c r="K712" s="222"/>
      <c r="L712" s="222"/>
      <c r="M712" s="222"/>
      <c r="N712" s="222"/>
      <c r="O712" s="222"/>
      <c r="P712" s="222"/>
      <c r="Q712" s="222"/>
      <c r="R712" s="222"/>
      <c r="S712" s="222"/>
      <c r="T712" s="222"/>
      <c r="U712" s="223"/>
      <c r="V712" s="845"/>
      <c r="X712" s="217"/>
      <c r="Y712" s="218"/>
      <c r="Z712" s="196"/>
      <c r="AA712" s="218"/>
      <c r="AG712" s="606"/>
      <c r="AJ712" s="196"/>
      <c r="AK712" s="196"/>
      <c r="AL712" s="196"/>
      <c r="AM712" s="196"/>
      <c r="AO712" s="196"/>
      <c r="AP712" s="589"/>
      <c r="AQ712" s="196"/>
      <c r="AR712" s="589"/>
      <c r="AS712"/>
      <c r="AT712" s="589"/>
      <c r="AV712" s="245"/>
      <c r="AX712" s="245"/>
      <c r="AY712" s="245"/>
      <c r="BA712" s="589">
        <f t="shared" si="1754"/>
        <v>0</v>
      </c>
      <c r="BK712" s="246">
        <f t="shared" si="1755"/>
        <v>0</v>
      </c>
      <c r="BL712" s="246"/>
      <c r="BM712" s="246">
        <f t="shared" si="1756"/>
        <v>0</v>
      </c>
      <c r="BN712" s="196"/>
      <c r="BQ712" s="248"/>
      <c r="BR712" s="248"/>
      <c r="BS712" s="248"/>
      <c r="BT712" s="276"/>
      <c r="BV712" s="264">
        <f t="shared" si="1758"/>
        <v>0</v>
      </c>
      <c r="BX712" s="247">
        <f t="shared" si="1759"/>
        <v>0</v>
      </c>
      <c r="CA712" s="196"/>
      <c r="CB712" s="196"/>
      <c r="CC712" s="196"/>
      <c r="CD712" s="247"/>
      <c r="CF712" s="247"/>
      <c r="CG712" s="196"/>
      <c r="CH712" s="589"/>
      <c r="CI712" s="196"/>
      <c r="CJ712" s="248"/>
      <c r="CK712" s="196"/>
      <c r="CL712" s="589"/>
      <c r="CM712" s="196"/>
      <c r="CN712" s="589"/>
      <c r="CO712" s="196"/>
      <c r="CP712" s="589"/>
      <c r="CQ712" s="196"/>
      <c r="CR712" s="269">
        <f t="shared" si="1861"/>
        <v>0</v>
      </c>
      <c r="CS712" s="269"/>
      <c r="CT712" s="607"/>
      <c r="CU712" s="269">
        <f>'Detailed Budget'!$AC$24</f>
        <v>30624985696</v>
      </c>
      <c r="CV712" s="269">
        <f t="shared" ref="CV712:CV775" si="1868">BK712*CU712</f>
        <v>0</v>
      </c>
      <c r="CW712" s="269"/>
      <c r="CX712" s="269"/>
      <c r="CY712" s="196"/>
      <c r="DC712" s="269"/>
      <c r="DD712" s="207"/>
      <c r="DE712" s="606">
        <v>0</v>
      </c>
      <c r="DF712" s="269">
        <f>'Detailed Budget'!$AC$147</f>
        <v>5913600671000</v>
      </c>
      <c r="DG712" s="269"/>
      <c r="DH712" s="269"/>
      <c r="DI712" s="605"/>
      <c r="DJ712" s="269"/>
      <c r="DK712" s="269"/>
      <c r="DL712" s="269"/>
      <c r="DM712" s="196"/>
      <c r="DN712" s="269"/>
      <c r="DO712" s="196"/>
      <c r="DP712" s="269"/>
      <c r="DQ712" s="269"/>
      <c r="DR712" s="269"/>
      <c r="DS712" s="269"/>
      <c r="DT712" s="269"/>
      <c r="DU712" s="272"/>
      <c r="DV712" s="269"/>
      <c r="DW712" s="140"/>
      <c r="DX712" s="269"/>
      <c r="DY712" s="607"/>
      <c r="DZ712" s="196"/>
      <c r="EA712" s="269"/>
      <c r="EB712" s="196"/>
      <c r="ED712" s="269"/>
      <c r="EE712" s="196"/>
      <c r="EG712" s="196"/>
      <c r="EI712" s="269"/>
      <c r="EJ712" s="196"/>
      <c r="EL712" s="201"/>
      <c r="EN712" s="269"/>
      <c r="EO712" s="140"/>
      <c r="EQ712" s="196"/>
      <c r="ES712" s="269"/>
      <c r="ET712" s="196"/>
      <c r="EV712" s="140"/>
      <c r="EX712" s="269"/>
      <c r="EY712" s="196"/>
      <c r="FA712" s="196"/>
      <c r="FC712" s="269"/>
      <c r="FD712" s="269"/>
      <c r="FE712" s="269"/>
      <c r="FF712" s="140"/>
      <c r="FG712" s="1087">
        <f t="shared" si="1864"/>
        <v>0</v>
      </c>
      <c r="FJ712" s="140"/>
      <c r="FO712" s="607"/>
      <c r="FP712" s="607"/>
      <c r="FQ712" s="607"/>
      <c r="FT712" s="269">
        <f t="shared" si="1866"/>
        <v>0</v>
      </c>
      <c r="FU712" s="269"/>
      <c r="FV712" s="269"/>
      <c r="FW712" s="269"/>
      <c r="FX712" s="140">
        <f>'Detailed Budget'!$AC$278</f>
        <v>1114560000</v>
      </c>
      <c r="FY712" s="269"/>
      <c r="FZ712" s="269"/>
      <c r="GB712" s="269">
        <f t="shared" si="1760"/>
        <v>0</v>
      </c>
      <c r="GD712" s="1078">
        <f t="shared" si="1761"/>
        <v>0</v>
      </c>
    </row>
    <row r="713" spans="1:186" s="4" customFormat="1">
      <c r="A713" s="198">
        <v>6</v>
      </c>
      <c r="B713" s="199" t="s">
        <v>2273</v>
      </c>
      <c r="C713" s="197">
        <f t="shared" ref="C713:T713" si="1869">C714+C732+C754+C776+C796+C828</f>
        <v>137</v>
      </c>
      <c r="D713" s="197">
        <f t="shared" si="1869"/>
        <v>5</v>
      </c>
      <c r="E713" s="197">
        <f t="shared" si="1869"/>
        <v>0</v>
      </c>
      <c r="F713" s="197">
        <f t="shared" si="1869"/>
        <v>0</v>
      </c>
      <c r="G713" s="197">
        <f t="shared" si="1869"/>
        <v>127</v>
      </c>
      <c r="H713" s="197">
        <f t="shared" si="1869"/>
        <v>137</v>
      </c>
      <c r="I713" s="197">
        <f t="shared" si="1869"/>
        <v>135</v>
      </c>
      <c r="J713" s="197">
        <f t="shared" si="1869"/>
        <v>0</v>
      </c>
      <c r="K713" s="197">
        <f t="shared" si="1869"/>
        <v>1</v>
      </c>
      <c r="L713" s="197">
        <f t="shared" si="1869"/>
        <v>0</v>
      </c>
      <c r="M713" s="197">
        <f t="shared" si="1869"/>
        <v>20</v>
      </c>
      <c r="N713" s="197">
        <f t="shared" si="1869"/>
        <v>62</v>
      </c>
      <c r="O713" s="197">
        <f t="shared" si="1869"/>
        <v>43</v>
      </c>
      <c r="P713" s="197">
        <f t="shared" si="1869"/>
        <v>9</v>
      </c>
      <c r="Q713" s="197">
        <f t="shared" si="1869"/>
        <v>36</v>
      </c>
      <c r="R713" s="197">
        <f t="shared" si="1869"/>
        <v>101</v>
      </c>
      <c r="S713" s="197">
        <f t="shared" si="1869"/>
        <v>0</v>
      </c>
      <c r="T713" s="197">
        <f t="shared" si="1869"/>
        <v>0</v>
      </c>
      <c r="U713" s="200">
        <f>SUM(C713:T713)</f>
        <v>813</v>
      </c>
      <c r="V713" s="843"/>
      <c r="W713" s="201">
        <f>W714+W732+W754+W776+W796+W828</f>
        <v>27722432</v>
      </c>
      <c r="X713" s="202">
        <f>AVERAGE(X714,X732,X754,X776,X796,X828)</f>
        <v>3.2050000000000001</v>
      </c>
      <c r="Y713" s="239"/>
      <c r="Z713" s="201"/>
      <c r="AA713" s="239"/>
      <c r="AB713" s="201">
        <f>AB714+AB732+AB754+AB776+AB796+AB828</f>
        <v>50705810.798004813</v>
      </c>
      <c r="AC713" s="4">
        <v>12.7</v>
      </c>
      <c r="AD713" s="201">
        <f>AD714+AD732+AD754+AD776+AD796+AD828</f>
        <v>6429532.6545680324</v>
      </c>
      <c r="AE713" s="201">
        <f t="shared" si="1787"/>
        <v>6108056.0218396308</v>
      </c>
      <c r="AF713" s="201">
        <f>AF714+AF732+AF754+AF776+AF796+AF828</f>
        <v>150649.64632214053</v>
      </c>
      <c r="AG713" s="606">
        <f t="shared" si="1811"/>
        <v>0.28240969558149076</v>
      </c>
      <c r="AH713" s="201">
        <f>AH714+AH732+AH754+AH776+AH796+AH828</f>
        <v>2535290.5399002414</v>
      </c>
      <c r="AI713" s="247">
        <f t="shared" si="1790"/>
        <v>0.19640511678569633</v>
      </c>
      <c r="AJ713" s="201">
        <f>AJ714+AJ732+AJ754+AJ776+AJ796+AJ828</f>
        <v>8964823.1944682728</v>
      </c>
      <c r="AK713" s="201">
        <f t="shared" si="1858"/>
        <v>2028232.4319201927</v>
      </c>
      <c r="AL713" s="201">
        <f t="shared" si="1859"/>
        <v>2028232.4319201927</v>
      </c>
      <c r="AM713" s="201">
        <f t="shared" si="1792"/>
        <v>4056464.8638403853</v>
      </c>
      <c r="AN713" s="264">
        <f t="shared" si="1793"/>
        <v>0.19640511678569628</v>
      </c>
      <c r="AO713" s="201">
        <f t="shared" si="1794"/>
        <v>1926820.810324183</v>
      </c>
      <c r="AP713" s="606">
        <f t="shared" si="1812"/>
        <v>0.19640511678569628</v>
      </c>
      <c r="AQ713" s="201">
        <f>AQ714+AQ732+AQ754+AQ776+AQ796+AQ828</f>
        <v>6</v>
      </c>
      <c r="AR713" s="606">
        <f>AQ713/37</f>
        <v>0.16216216216216217</v>
      </c>
      <c r="AS713" s="201">
        <f>AS714+AS732+AS754+AS776+AS796+AS828</f>
        <v>137</v>
      </c>
      <c r="AT713" s="606">
        <f t="shared" si="1813"/>
        <v>0.17700258397932817</v>
      </c>
      <c r="AU713" s="201">
        <f>AU714+AU732+AU754+AU776+AU796+AU828</f>
        <v>1544</v>
      </c>
      <c r="AV713" s="246">
        <f t="shared" si="1795"/>
        <v>0.1754346097034428</v>
      </c>
      <c r="AW713" s="201">
        <f>AW714+AW732+AW754+AW776+AW796+AW828</f>
        <v>78771</v>
      </c>
      <c r="AX713" s="201">
        <f t="shared" ref="AX713:AY713" si="1870">AX714+AX732+AX754+AX776+AX796+AX828</f>
        <v>157.54200000000003</v>
      </c>
      <c r="AY713" s="201">
        <f t="shared" si="1870"/>
        <v>15754.2</v>
      </c>
      <c r="AZ713" s="201">
        <f>AZ714+AZ732+AZ754+AZ776+AZ796+AZ828</f>
        <v>3595</v>
      </c>
      <c r="BA713" s="606">
        <f t="shared" ref="BA713:BA776" si="1871">AZ713/27291</f>
        <v>0.13172840863288263</v>
      </c>
      <c r="BB713" s="201">
        <f>BB714+BB732+BB754+BB776+BB796+BB828</f>
        <v>203</v>
      </c>
      <c r="BC713" s="201">
        <f>BC714+BC732+BC754+BC776+BC796+BC828</f>
        <v>18</v>
      </c>
      <c r="BD713" s="201">
        <f>BD714+BD732+BD754+BD776+BD796+BD828</f>
        <v>221</v>
      </c>
      <c r="BE713" s="247">
        <f>BD713/1306</f>
        <v>0.16921898928024504</v>
      </c>
      <c r="BF713" s="201">
        <f>BF714+BF732+BF754+BF776+BF796+BF828</f>
        <v>3816</v>
      </c>
      <c r="BG713" s="606">
        <f>BF713/28597</f>
        <v>0.13344057068923312</v>
      </c>
      <c r="BH713" s="1083">
        <v>28.9</v>
      </c>
      <c r="BI713" s="201"/>
      <c r="BJ713" s="201"/>
      <c r="BK713" s="246">
        <f t="shared" ref="BK713:BK776" si="1872">BJ713/52440044</f>
        <v>0</v>
      </c>
      <c r="BL713" s="246"/>
      <c r="BM713" s="246">
        <f t="shared" ref="BM713:BM776" si="1873">BL713/1048801</f>
        <v>0</v>
      </c>
      <c r="BN713" s="201"/>
      <c r="BO713" s="201">
        <f>BO714+BO732+BO754+BO776+BO796+BO828</f>
        <v>2992862</v>
      </c>
      <c r="BP713" s="201">
        <f>BP714+BP732+BP754+BP776+BP796+BP828</f>
        <v>2992861.7406305545</v>
      </c>
      <c r="BQ713" s="247">
        <f t="shared" ref="BQ713:BQ776" si="1874">BP713/10690003</f>
        <v>0.27996827883308867</v>
      </c>
      <c r="BR713" s="201">
        <f>BR714+BR732+BR754+BR776+BR796+BR828</f>
        <v>189050.4</v>
      </c>
      <c r="BS713" s="247">
        <f>BR713/2211211</f>
        <v>8.5496318533147667E-2</v>
      </c>
      <c r="BT713" s="272"/>
      <c r="BU713" s="201"/>
      <c r="BV713" s="264">
        <f t="shared" ref="BV713:BV776" si="1875">BU713/14417138</f>
        <v>0</v>
      </c>
      <c r="BW713" s="201"/>
      <c r="BX713" s="247">
        <f t="shared" ref="BX713:BX776" si="1876">BW713/61673312</f>
        <v>0</v>
      </c>
      <c r="BY713" s="201">
        <f>BU713+BW713</f>
        <v>0</v>
      </c>
      <c r="CA713" s="201">
        <f>CA714+CA732+CA754+CA776+CA796+CA828</f>
        <v>15515978.104189476</v>
      </c>
      <c r="CB713" s="201">
        <f>CB714+CB732+CB754+CB776+CB796+CB828</f>
        <v>31031956.208378952</v>
      </c>
      <c r="CC713" s="201">
        <f>CC714+CC732+CC754+CC776+CC796+CC828</f>
        <v>46547934.312568426</v>
      </c>
      <c r="CD713" s="247">
        <f t="shared" si="1797"/>
        <v>0.1964051167856963</v>
      </c>
      <c r="CE713" s="201">
        <f>CE714+CE732+CE754+CE776+CE796+CE828</f>
        <v>4312039.4872448761</v>
      </c>
      <c r="CF713" s="247">
        <f t="shared" si="1798"/>
        <v>0.18620727526774936</v>
      </c>
      <c r="CG713" s="201">
        <f t="shared" ref="CG713:CG730" si="1877">AO713*4</f>
        <v>7707283.2412967319</v>
      </c>
      <c r="CH713" s="606">
        <f t="shared" si="1814"/>
        <v>0.19640511678569628</v>
      </c>
      <c r="CI713" s="201">
        <f>CI714+CI732+CI754+CI776+CI796+CI828</f>
        <v>8417669.0882473532</v>
      </c>
      <c r="CJ713" s="247">
        <f t="shared" si="1815"/>
        <v>0.13838645844391731</v>
      </c>
      <c r="CK713" s="201">
        <f>CK714+CK732+CK754+CK776+CK796+CK828</f>
        <v>13301444.212373387</v>
      </c>
      <c r="CL713" s="606">
        <f t="shared" si="1816"/>
        <v>0.19121099654321422</v>
      </c>
      <c r="CM713" s="201">
        <f>CM714+CM732+CM754+CM776+CM796+CM828</f>
        <v>1288578.1174492298</v>
      </c>
      <c r="CN713" s="606">
        <f t="shared" si="1817"/>
        <v>0.18569875096507488</v>
      </c>
      <c r="CO713" s="201">
        <f>CO714+CO732+CO754+CO776+CO796+CO828</f>
        <v>103085.00939567017</v>
      </c>
      <c r="CP713" s="606">
        <f t="shared" si="1818"/>
        <v>0.1944024497057518</v>
      </c>
      <c r="CQ713" s="201">
        <f>'Detailed Budget'!$AC$12</f>
        <v>292876014141.44696</v>
      </c>
      <c r="CR713" s="607">
        <f t="shared" si="1861"/>
        <v>0</v>
      </c>
      <c r="CS713" s="607">
        <f>'Detailed Budget'!$AC$16</f>
        <v>10488008800.000002</v>
      </c>
      <c r="CT713" s="607">
        <f t="shared" ref="CT713:CT730" si="1878">BM713*CS713</f>
        <v>0</v>
      </c>
      <c r="CU713" s="607">
        <f>'Detailed Budget'!$AC$24</f>
        <v>30624985696</v>
      </c>
      <c r="CV713" s="607">
        <f t="shared" si="1868"/>
        <v>0</v>
      </c>
      <c r="CW713" s="607"/>
      <c r="CX713" s="607">
        <f t="shared" si="1810"/>
        <v>0</v>
      </c>
      <c r="CY713" s="201">
        <f>'Detailed Budget'!$AC$97</f>
        <v>74629165494.837845</v>
      </c>
      <c r="CZ713" s="607">
        <f t="shared" ref="CZ713:CZ730" si="1879">BQ713*CY713</f>
        <v>20893799014.339481</v>
      </c>
      <c r="DA713" s="607">
        <f>'Detailed Budget'!$AC$100</f>
        <v>14925833098.967569</v>
      </c>
      <c r="DB713" s="607">
        <f t="shared" ref="DB713:DB730" si="1880">BQ713*DA713</f>
        <v>4178759802.8678966</v>
      </c>
      <c r="DC713" s="607">
        <f t="shared" si="1799"/>
        <v>25072558817.207378</v>
      </c>
      <c r="DD713" s="201">
        <f>DD714+DD732+DD754+DD776+DD796+DD828</f>
        <v>0</v>
      </c>
      <c r="DE713" s="606">
        <v>0</v>
      </c>
      <c r="DF713" s="607">
        <f>'Detailed Budget'!$AC$147</f>
        <v>5913600671000</v>
      </c>
      <c r="DG713" s="607">
        <f t="shared" si="1863"/>
        <v>0</v>
      </c>
      <c r="DH713" s="607">
        <f>'Detailed Budget'!$AC$153</f>
        <v>226428026880.00003</v>
      </c>
      <c r="DI713" s="605">
        <f>BS713*DH713</f>
        <v>19358762710.964603</v>
      </c>
      <c r="DJ713" s="607">
        <f>'Detailed Budget'!$AC$156</f>
        <v>27713070000</v>
      </c>
      <c r="DK713" s="607">
        <f>AT713*DJ713</f>
        <v>4905285000</v>
      </c>
      <c r="DL713" s="607">
        <f>DI713+DK713</f>
        <v>24264047710.964603</v>
      </c>
      <c r="DM713" s="201">
        <f>'Detailed Budget'!$AC$178</f>
        <v>5622683761.6229038</v>
      </c>
      <c r="DN713" s="607">
        <f>DN714+DN732+DN754+DN776+DN796+DN828</f>
        <v>48981749.76090616</v>
      </c>
      <c r="DO713" s="607">
        <f>'Detailed Budget'!$AC$179</f>
        <v>26827890683.128094</v>
      </c>
      <c r="DP713" s="607">
        <f>DP714+DP732+DP754+DP776+DP796+DP828</f>
        <v>233709932.05420715</v>
      </c>
      <c r="DQ713" s="607">
        <f>DQ714+DQ732+DQ754+DQ776+DQ796+DQ828</f>
        <v>282691681.81511331</v>
      </c>
      <c r="DR713" s="607">
        <f>'Detailed Budget'!$AC$181</f>
        <v>50888946855.375237</v>
      </c>
      <c r="DS713" s="607">
        <f>DS714+DS732+DS754+DS776+DS796+DS828</f>
        <v>0</v>
      </c>
      <c r="DT713" s="607">
        <f>DT714+DT732+DT754+DT776+DT796+DT828</f>
        <v>282691681.81511331</v>
      </c>
      <c r="DU713" s="272">
        <f>'Detailed Budget'!$AC$192</f>
        <v>77498869683.252869</v>
      </c>
      <c r="DV713" s="607">
        <f t="shared" ref="DV713:DV730" si="1881">BZ713*CD713*DU713</f>
        <v>0</v>
      </c>
      <c r="DW713" s="929">
        <f>'Detailed Budget'!$AC$194</f>
        <v>2684962805.4134097</v>
      </c>
      <c r="DX713" s="607">
        <f t="shared" ref="DX713:DX730" si="1882">BZ713*AN713*DW713</f>
        <v>0</v>
      </c>
      <c r="DY713" s="607">
        <f t="shared" si="1800"/>
        <v>0</v>
      </c>
      <c r="DZ713" s="201">
        <f>'Detailed Budget'!$AC$198</f>
        <v>18732540018.380611</v>
      </c>
      <c r="EA713" s="607">
        <f t="shared" ref="EA713:EA730" si="1883">CF713*DZ713</f>
        <v>3488135235.666729</v>
      </c>
      <c r="EB713" s="201">
        <f>'Detailed Budget'!$AC$200</f>
        <v>4683135004.5951529</v>
      </c>
      <c r="EC713" s="607">
        <f t="shared" ref="EC713:EC730" si="1884">CF713*EB713</f>
        <v>872033808.91668224</v>
      </c>
      <c r="ED713" s="607">
        <f t="shared" si="1801"/>
        <v>4360169044.5834112</v>
      </c>
      <c r="EE713" s="201">
        <f>'Detailed Budget'!$AC$161</f>
        <v>251147290106.36197</v>
      </c>
      <c r="EF713" s="607">
        <f t="shared" ref="EF713:EF730" si="1885">CH713*EE713</f>
        <v>49326612843.751167</v>
      </c>
      <c r="EG713" s="201">
        <f>'Detailed Budget'!$AC$163</f>
        <v>15696705631.647623</v>
      </c>
      <c r="EH713" s="607">
        <f t="shared" ref="EH713:EH730" si="1886">AP713*EG713</f>
        <v>3082913302.734448</v>
      </c>
      <c r="EI713" s="607">
        <f t="shared" si="1802"/>
        <v>52409526146.485619</v>
      </c>
      <c r="EJ713" s="201">
        <f>'Detailed Budget'!$AC$204</f>
        <v>45012172507.531975</v>
      </c>
      <c r="EK713" s="607">
        <f t="shared" ref="EK713:EK730" si="1887">CJ713*EJ713</f>
        <v>6229075140.1840105</v>
      </c>
      <c r="EL713" s="201">
        <f>'Detailed Budget'!$AC$206</f>
        <v>11253043126.882994</v>
      </c>
      <c r="EM713" s="607">
        <f t="shared" ref="EM713:EM730" si="1888">CJ713*EL713</f>
        <v>1557268785.0460026</v>
      </c>
      <c r="EN713" s="607">
        <f t="shared" si="1803"/>
        <v>7786343925.2300129</v>
      </c>
      <c r="EO713" s="929">
        <f>'Detailed Budget'!$AC$209</f>
        <v>135789361677.54817</v>
      </c>
      <c r="EP713" s="607">
        <f t="shared" ref="EP713:EP730" si="1889">CL713*EO713</f>
        <v>25964419166.330929</v>
      </c>
      <c r="EQ713" s="201">
        <f>'Detailed Budget'!$AC$211</f>
        <v>33947340419.387043</v>
      </c>
      <c r="ER713" s="607">
        <f t="shared" ref="ER713:ER730" si="1890">CL713*EQ713</f>
        <v>6491104791.5827322</v>
      </c>
      <c r="ES713" s="607">
        <f t="shared" si="1804"/>
        <v>32455523957.913662</v>
      </c>
      <c r="ET713" s="201">
        <f>'Detailed Budget'!$AC$214</f>
        <v>22239745544.201103</v>
      </c>
      <c r="EU713" s="607">
        <f t="shared" ref="EU713:EU730" si="1891">CN713*ET713</f>
        <v>4129892969.3392344</v>
      </c>
      <c r="EV713" s="929">
        <f>'Detailed Budget'!$AC$217</f>
        <v>5559936386.0502758</v>
      </c>
      <c r="EW713" s="607">
        <f t="shared" ref="EW713:EW730" si="1892">CN713*EV713</f>
        <v>1032473242.3348086</v>
      </c>
      <c r="EX713" s="607">
        <f t="shared" si="1805"/>
        <v>5162366211.6740427</v>
      </c>
      <c r="EY713" s="201">
        <f>'Detailed Budget'!$AC$219</f>
        <v>372777004.58170313</v>
      </c>
      <c r="EZ713" s="607">
        <f t="shared" ref="EZ713:EZ730" si="1893">CP713*EY713</f>
        <v>72468762.884655342</v>
      </c>
      <c r="FA713" s="201">
        <f>'Detailed Budget'!$AC$222</f>
        <v>93194251.145425782</v>
      </c>
      <c r="FB713" s="607">
        <f t="shared" ref="FB713:FB730" si="1894">CP713*FA713</f>
        <v>18117190.721163835</v>
      </c>
      <c r="FC713" s="607">
        <f t="shared" si="1806"/>
        <v>90585953.605819181</v>
      </c>
      <c r="FD713" s="607"/>
      <c r="FE713" s="607">
        <f t="shared" si="1807"/>
        <v>45494820048.423538</v>
      </c>
      <c r="FF713" s="929">
        <f>'Detailed Budget'!$AC$165</f>
        <v>14927760000</v>
      </c>
      <c r="FG713" s="1087">
        <f t="shared" si="1864"/>
        <v>62057946023.499718</v>
      </c>
      <c r="FH713" s="607">
        <f t="shared" ref="FH713:FH730" si="1895">AV713*FF713</f>
        <v>2618845749.3466654</v>
      </c>
      <c r="FI713" s="607"/>
      <c r="FJ713" s="929">
        <f>'Detailed Budget'!$AC$235</f>
        <v>3623696172</v>
      </c>
      <c r="FK713" s="607">
        <f t="shared" ref="FK713:FK730" si="1896">AT713*FJ713</f>
        <v>641403586</v>
      </c>
      <c r="FL713" s="607">
        <f t="shared" si="1865"/>
        <v>641403586</v>
      </c>
      <c r="FM713" s="607"/>
      <c r="FN713" s="605">
        <f>'Detailed Budget'!$AC$251</f>
        <v>1047595800</v>
      </c>
      <c r="FO713" s="607">
        <f>AR713*FN713</f>
        <v>169880400</v>
      </c>
      <c r="FP713" s="607">
        <f>'Detailed Budget'!$AB$254</f>
        <v>2773297530</v>
      </c>
      <c r="FQ713" s="607">
        <f>BE713*FP713</f>
        <v>469294605.00000006</v>
      </c>
      <c r="FR713" s="607">
        <f>'Detailed Budget'!$AC$257</f>
        <v>13636439388</v>
      </c>
      <c r="FS713" s="607">
        <f t="shared" ref="FS713:FS730" si="1897">BA713*FR713</f>
        <v>1796306459.9999998</v>
      </c>
      <c r="FT713" s="607">
        <f t="shared" si="1866"/>
        <v>2435481465</v>
      </c>
      <c r="FU713" s="607"/>
      <c r="FV713" s="605">
        <f>'Detailed Budget'!$AC$265</f>
        <v>6277805540</v>
      </c>
      <c r="FW713" s="607">
        <f>AR713*FV713</f>
        <v>1018022520</v>
      </c>
      <c r="FX713" s="929">
        <f>'Detailed Budget'!$AC$278</f>
        <v>1114560000</v>
      </c>
      <c r="FY713" s="607">
        <f t="shared" ref="FY713:FY730" si="1898">AT713*FX713</f>
        <v>197280000</v>
      </c>
      <c r="FZ713" s="607">
        <f t="shared" si="1867"/>
        <v>1215302520</v>
      </c>
      <c r="GB713" s="269">
        <f t="shared" ref="GB713:GB776" si="1899">SUM(CX713,DC713,DG713,DL713,DT713,DY713,ED713,EI713,FE713,FG713,FH713,FL713,FT713,FZ713,GA713)</f>
        <v>220852792793.32608</v>
      </c>
      <c r="GC713" s="888">
        <f t="shared" si="1808"/>
        <v>138032995.49582881</v>
      </c>
      <c r="GD713" s="1078">
        <f t="shared" ref="GD713:GD776" si="1900">GB713/1782113496426</f>
        <v>0.12392745649266604</v>
      </c>
    </row>
    <row r="714" spans="1:186" s="210" customFormat="1">
      <c r="A714" s="203">
        <v>6.1</v>
      </c>
      <c r="B714" s="204" t="s">
        <v>326</v>
      </c>
      <c r="C714" s="205">
        <f t="shared" ref="C714:T714" si="1901">COUNTA(C715:C730)</f>
        <v>16</v>
      </c>
      <c r="D714" s="205">
        <f t="shared" si="1901"/>
        <v>0</v>
      </c>
      <c r="E714" s="205">
        <f t="shared" si="1901"/>
        <v>0</v>
      </c>
      <c r="F714" s="205">
        <f t="shared" si="1901"/>
        <v>0</v>
      </c>
      <c r="G714" s="205">
        <f t="shared" si="1901"/>
        <v>16</v>
      </c>
      <c r="H714" s="205">
        <f t="shared" si="1901"/>
        <v>16</v>
      </c>
      <c r="I714" s="205">
        <f t="shared" si="1901"/>
        <v>16</v>
      </c>
      <c r="J714" s="205">
        <f t="shared" si="1901"/>
        <v>0</v>
      </c>
      <c r="K714" s="205">
        <f t="shared" si="1901"/>
        <v>0</v>
      </c>
      <c r="L714" s="205">
        <f t="shared" si="1901"/>
        <v>0</v>
      </c>
      <c r="M714" s="205">
        <f t="shared" si="1901"/>
        <v>0</v>
      </c>
      <c r="N714" s="205">
        <f t="shared" si="1901"/>
        <v>11</v>
      </c>
      <c r="O714" s="205">
        <f t="shared" si="1901"/>
        <v>5</v>
      </c>
      <c r="P714" s="205">
        <f t="shared" si="1901"/>
        <v>0</v>
      </c>
      <c r="Q714" s="205">
        <f t="shared" si="1901"/>
        <v>0</v>
      </c>
      <c r="R714" s="205">
        <f t="shared" si="1901"/>
        <v>16</v>
      </c>
      <c r="S714" s="205">
        <f t="shared" si="1901"/>
        <v>0</v>
      </c>
      <c r="T714" s="205">
        <f t="shared" si="1901"/>
        <v>0</v>
      </c>
      <c r="U714" s="206">
        <f>SUM(C714:T714)</f>
        <v>96</v>
      </c>
      <c r="V714" s="844"/>
      <c r="W714" s="207">
        <f>SUM(W715:W730)</f>
        <v>2398957</v>
      </c>
      <c r="X714" s="208">
        <v>3.11</v>
      </c>
      <c r="Y714" s="209">
        <f t="shared" si="1785"/>
        <v>1.0310999999999999</v>
      </c>
      <c r="Z714" s="207">
        <v>19</v>
      </c>
      <c r="AA714" s="209">
        <f t="shared" si="1786"/>
        <v>1.7894309732827145</v>
      </c>
      <c r="AB714" s="207">
        <f t="shared" ref="AB714:AB746" si="1902">W714*AA714</f>
        <v>4292767.959373381</v>
      </c>
      <c r="AC714" s="210">
        <v>11.5</v>
      </c>
      <c r="AD714" s="207">
        <f t="shared" ref="AD714:AD746" si="1903">AB714*AC714/100</f>
        <v>493668.31532793882</v>
      </c>
      <c r="AE714" s="207">
        <f t="shared" si="1787"/>
        <v>468984.89956154185</v>
      </c>
      <c r="AF714" s="207">
        <f>SUM(AF715:AF730)</f>
        <v>0</v>
      </c>
      <c r="AG714" s="588">
        <f t="shared" si="1811"/>
        <v>2.168380287343875E-2</v>
      </c>
      <c r="AH714" s="207">
        <f>SUM(AH715:AH730)</f>
        <v>214638.3979686691</v>
      </c>
      <c r="AI714" s="633">
        <f t="shared" si="1790"/>
        <v>1.6627711481694708E-2</v>
      </c>
      <c r="AJ714" s="207">
        <f>SUM(AJ715:AJ730)</f>
        <v>708306.71329660784</v>
      </c>
      <c r="AK714" s="207">
        <f t="shared" si="1858"/>
        <v>171710.71837493524</v>
      </c>
      <c r="AL714" s="207">
        <f t="shared" si="1859"/>
        <v>171710.71837493524</v>
      </c>
      <c r="AM714" s="207">
        <f t="shared" si="1792"/>
        <v>343421.43674987048</v>
      </c>
      <c r="AN714" s="632">
        <f t="shared" si="1793"/>
        <v>1.6627711481694705E-2</v>
      </c>
      <c r="AO714" s="207">
        <f t="shared" si="1794"/>
        <v>163125.18245618849</v>
      </c>
      <c r="AP714" s="588">
        <f t="shared" si="1812"/>
        <v>1.6627711481694705E-2</v>
      </c>
      <c r="AQ714" s="207">
        <v>1</v>
      </c>
      <c r="AR714" s="588">
        <f>AQ714/37</f>
        <v>2.7027027027027029E-2</v>
      </c>
      <c r="AS714" s="207">
        <f>SUM(AS715:AS730)</f>
        <v>16</v>
      </c>
      <c r="AT714" s="588">
        <f t="shared" si="1813"/>
        <v>2.0671834625322998E-2</v>
      </c>
      <c r="AU714" s="207">
        <f>SUM(AU715:AU730)</f>
        <v>177</v>
      </c>
      <c r="AV714" s="892">
        <f t="shared" si="1795"/>
        <v>2.0111350982842859E-2</v>
      </c>
      <c r="AW714" s="207">
        <v>6353</v>
      </c>
      <c r="AX714" s="208">
        <f>AW714*0.002</f>
        <v>12.706</v>
      </c>
      <c r="AY714" s="207">
        <f>AX714*100</f>
        <v>1270.5999999999999</v>
      </c>
      <c r="AZ714" s="207">
        <f>SUM(AZ715:AZ730)</f>
        <v>356</v>
      </c>
      <c r="BA714" s="588">
        <f t="shared" si="1871"/>
        <v>1.3044593455718002E-2</v>
      </c>
      <c r="BB714" s="207">
        <v>22</v>
      </c>
      <c r="BC714" s="207">
        <v>2</v>
      </c>
      <c r="BD714" s="207">
        <f>BB714+BC714</f>
        <v>24</v>
      </c>
      <c r="BE714" s="633">
        <f>BD714/1306</f>
        <v>1.8376722817764167E-2</v>
      </c>
      <c r="BF714" s="207">
        <f>AZ714+BD714</f>
        <v>380</v>
      </c>
      <c r="BG714" s="588">
        <f>BF714/28597</f>
        <v>1.3288107144106024E-2</v>
      </c>
      <c r="BH714" s="1084">
        <v>46.3</v>
      </c>
      <c r="BI714" s="207"/>
      <c r="BJ714" s="207"/>
      <c r="BK714" s="892">
        <f t="shared" si="1872"/>
        <v>0</v>
      </c>
      <c r="BL714" s="892"/>
      <c r="BM714" s="892">
        <f t="shared" si="1873"/>
        <v>0</v>
      </c>
      <c r="BN714" s="207"/>
      <c r="BO714" s="207">
        <v>288156</v>
      </c>
      <c r="BP714" s="207">
        <f>SUM(BP715:BP730)</f>
        <v>288155.88336229534</v>
      </c>
      <c r="BQ714" s="633">
        <f t="shared" si="1874"/>
        <v>2.6955641019211624E-2</v>
      </c>
      <c r="BR714" s="207">
        <f>AY714*0.5*24</f>
        <v>15247.199999999999</v>
      </c>
      <c r="BS714" s="633">
        <f>BR714/2211211</f>
        <v>6.8954070868858736E-3</v>
      </c>
      <c r="BT714" s="634"/>
      <c r="BU714" s="207"/>
      <c r="BV714" s="264">
        <f t="shared" si="1875"/>
        <v>0</v>
      </c>
      <c r="BW714" s="207"/>
      <c r="BX714" s="247">
        <f t="shared" si="1876"/>
        <v>0</v>
      </c>
      <c r="BY714" s="207">
        <f>SUM(BY715:BY730)</f>
        <v>0</v>
      </c>
      <c r="CA714" s="207">
        <f>SUM(CA715:CA730)</f>
        <v>1313586.9955682545</v>
      </c>
      <c r="CB714" s="207">
        <f>SUM(CB715:CB730)</f>
        <v>2627173.991136509</v>
      </c>
      <c r="CC714" s="207">
        <f>SUM(CC715:CC730)</f>
        <v>3940760.9867047635</v>
      </c>
      <c r="CD714" s="633">
        <f t="shared" si="1797"/>
        <v>1.6627711481694705E-2</v>
      </c>
      <c r="CE714" s="207">
        <f>SUM(CE715:CE730)</f>
        <v>370965.68782064365</v>
      </c>
      <c r="CF714" s="633">
        <f t="shared" si="1798"/>
        <v>1.6019452083228521E-2</v>
      </c>
      <c r="CG714" s="207">
        <f t="shared" si="1877"/>
        <v>652500.72982475394</v>
      </c>
      <c r="CH714" s="588">
        <f t="shared" si="1814"/>
        <v>1.6627711481694705E-2</v>
      </c>
      <c r="CI714" s="207">
        <f t="shared" ref="CI714:CO714" si="1904">SUM(CI715:CI730)</f>
        <v>422535.26989209483</v>
      </c>
      <c r="CJ714" s="633">
        <f t="shared" si="1815"/>
        <v>6.9464787644897179E-3</v>
      </c>
      <c r="CK714" s="207">
        <f t="shared" si="1904"/>
        <v>1012950.6470166906</v>
      </c>
      <c r="CL714" s="588">
        <f t="shared" si="1816"/>
        <v>1.4561373905923804E-2</v>
      </c>
      <c r="CM714" s="207">
        <f t="shared" si="1904"/>
        <v>98130.062680041301</v>
      </c>
      <c r="CN714" s="588">
        <f t="shared" si="1817"/>
        <v>1.4141657246112712E-2</v>
      </c>
      <c r="CO714" s="207">
        <f t="shared" si="1904"/>
        <v>7850.0050141478077</v>
      </c>
      <c r="CP714" s="588">
        <f t="shared" si="1818"/>
        <v>1.4803900333319141E-2</v>
      </c>
      <c r="CQ714" s="207">
        <f>'Detailed Budget'!$AC$12</f>
        <v>292876014141.44696</v>
      </c>
      <c r="CR714" s="605">
        <f t="shared" si="1861"/>
        <v>0</v>
      </c>
      <c r="CS714" s="605">
        <f>'Detailed Budget'!$AC$16</f>
        <v>10488008800.000002</v>
      </c>
      <c r="CT714" s="605">
        <f t="shared" si="1878"/>
        <v>0</v>
      </c>
      <c r="CU714" s="605">
        <f>'Detailed Budget'!$AC$24</f>
        <v>30624985696</v>
      </c>
      <c r="CV714" s="605">
        <f t="shared" si="1868"/>
        <v>0</v>
      </c>
      <c r="CW714" s="605"/>
      <c r="CX714" s="605">
        <f t="shared" si="1810"/>
        <v>0</v>
      </c>
      <c r="CY714" s="207">
        <f>'Detailed Budget'!$AC$97</f>
        <v>74629165494.837845</v>
      </c>
      <c r="CZ714" s="605">
        <f t="shared" si="1879"/>
        <v>2011676994.6421838</v>
      </c>
      <c r="DA714" s="605">
        <f>'Detailed Budget'!$AC$100</f>
        <v>14925833098.967569</v>
      </c>
      <c r="DB714" s="605">
        <f t="shared" si="1880"/>
        <v>402335398.92843676</v>
      </c>
      <c r="DC714" s="605">
        <f t="shared" si="1799"/>
        <v>2414012393.5706205</v>
      </c>
      <c r="DD714" s="207">
        <f>SUM(DD715:DD730)</f>
        <v>0</v>
      </c>
      <c r="DE714" s="606">
        <v>0</v>
      </c>
      <c r="DF714" s="605">
        <f>'Detailed Budget'!$AC$147</f>
        <v>5913600671000</v>
      </c>
      <c r="DG714" s="605">
        <f t="shared" si="1863"/>
        <v>0</v>
      </c>
      <c r="DH714" s="605">
        <f>'Detailed Budget'!$AC$153</f>
        <v>226428026880.00003</v>
      </c>
      <c r="DI714" s="605">
        <f>BS714*DH714</f>
        <v>1561313421.2179372</v>
      </c>
      <c r="DJ714" s="605">
        <f>'Detailed Budget'!$AC$156</f>
        <v>27713070000</v>
      </c>
      <c r="DK714" s="605">
        <f>AT714*DJ714</f>
        <v>572880000</v>
      </c>
      <c r="DL714" s="605">
        <f>DI714+DK714</f>
        <v>2134193421.2179372</v>
      </c>
      <c r="DM714" s="207">
        <f>'Detailed Budget'!$AC$178</f>
        <v>5622683761.6229038</v>
      </c>
      <c r="DN714" s="605">
        <f>SUM(DN715:DN730)</f>
        <v>0</v>
      </c>
      <c r="DO714" s="605">
        <f>'Detailed Budget'!$AC$179</f>
        <v>26827890683.128094</v>
      </c>
      <c r="DP714" s="605">
        <f>SUM(DP715:DP730)</f>
        <v>0</v>
      </c>
      <c r="DQ714" s="605">
        <f>SUM(DQ715:DQ730)</f>
        <v>0</v>
      </c>
      <c r="DR714" s="605">
        <f>'Detailed Budget'!$AC$181</f>
        <v>50888946855.375237</v>
      </c>
      <c r="DS714" s="605">
        <f>SUM(DS715:DS730)</f>
        <v>0</v>
      </c>
      <c r="DT714" s="605">
        <f>SUM(DT715:DT730)</f>
        <v>0</v>
      </c>
      <c r="DU714" s="634">
        <f>'Detailed Budget'!$AC$192</f>
        <v>77498869683.252869</v>
      </c>
      <c r="DV714" s="605">
        <f t="shared" si="1881"/>
        <v>0</v>
      </c>
      <c r="DW714" s="930">
        <f>'Detailed Budget'!$AC$194</f>
        <v>2684962805.4134097</v>
      </c>
      <c r="DX714" s="605">
        <f t="shared" si="1882"/>
        <v>0</v>
      </c>
      <c r="DY714" s="605">
        <f t="shared" si="1800"/>
        <v>0</v>
      </c>
      <c r="DZ714" s="207">
        <f>'Detailed Budget'!$AC$198</f>
        <v>18732540018.380611</v>
      </c>
      <c r="EA714" s="605">
        <f t="shared" si="1883"/>
        <v>300085027.22160894</v>
      </c>
      <c r="EB714" s="207">
        <f>'Detailed Budget'!$AC$200</f>
        <v>4683135004.5951529</v>
      </c>
      <c r="EC714" s="605">
        <f t="shared" si="1884"/>
        <v>75021256.805402234</v>
      </c>
      <c r="ED714" s="605">
        <f t="shared" si="1801"/>
        <v>375106284.02701116</v>
      </c>
      <c r="EE714" s="207">
        <f>'Detailed Budget'!$AC$161</f>
        <v>251147290106.36197</v>
      </c>
      <c r="EF714" s="605">
        <f t="shared" si="1885"/>
        <v>4176004679.2980657</v>
      </c>
      <c r="EG714" s="207">
        <f>'Detailed Budget'!$AC$163</f>
        <v>15696705631.647623</v>
      </c>
      <c r="EH714" s="605">
        <f t="shared" si="1886"/>
        <v>261000292.4561291</v>
      </c>
      <c r="EI714" s="605">
        <f t="shared" si="1802"/>
        <v>4437004971.7541952</v>
      </c>
      <c r="EJ714" s="207">
        <f>'Detailed Budget'!$AC$204</f>
        <v>45012172507.531975</v>
      </c>
      <c r="EK714" s="605">
        <f t="shared" si="1887"/>
        <v>312676100.46711874</v>
      </c>
      <c r="EL714" s="207">
        <f>'Detailed Budget'!$AC$206</f>
        <v>11253043126.882994</v>
      </c>
      <c r="EM714" s="605">
        <f t="shared" si="1888"/>
        <v>78169025.116779685</v>
      </c>
      <c r="EN714" s="605">
        <f t="shared" si="1803"/>
        <v>390845125.58389843</v>
      </c>
      <c r="EO714" s="930">
        <f>'Detailed Budget'!$AC$209</f>
        <v>135789361677.54817</v>
      </c>
      <c r="EP714" s="605">
        <f t="shared" si="1889"/>
        <v>1977279667.8334997</v>
      </c>
      <c r="EQ714" s="207">
        <f>'Detailed Budget'!$AC$211</f>
        <v>33947340419.387043</v>
      </c>
      <c r="ER714" s="605">
        <f t="shared" si="1890"/>
        <v>494319916.95837492</v>
      </c>
      <c r="ES714" s="605">
        <f t="shared" si="1804"/>
        <v>2471599584.7918744</v>
      </c>
      <c r="ET714" s="207">
        <f>'Detailed Budget'!$AC$214</f>
        <v>22239745544.201103</v>
      </c>
      <c r="EU714" s="605">
        <f t="shared" si="1891"/>
        <v>314506858.72685444</v>
      </c>
      <c r="EV714" s="930">
        <f>'Detailed Budget'!$AC$217</f>
        <v>5559936386.0502758</v>
      </c>
      <c r="EW714" s="605">
        <f t="shared" si="1892"/>
        <v>78626714.681713611</v>
      </c>
      <c r="EX714" s="605">
        <f t="shared" si="1805"/>
        <v>393133573.40856802</v>
      </c>
      <c r="EY714" s="207">
        <f>'Detailed Budget'!$AC$219</f>
        <v>372777004.58170313</v>
      </c>
      <c r="EZ714" s="605">
        <f t="shared" si="1893"/>
        <v>5518553.6223807856</v>
      </c>
      <c r="FA714" s="207">
        <f>'Detailed Budget'!$AC$222</f>
        <v>93194251.145425782</v>
      </c>
      <c r="FB714" s="605">
        <f t="shared" si="1894"/>
        <v>1379638.4055951964</v>
      </c>
      <c r="FC714" s="605">
        <f t="shared" si="1806"/>
        <v>6898192.0279759821</v>
      </c>
      <c r="FD714" s="605"/>
      <c r="FE714" s="605">
        <f t="shared" si="1807"/>
        <v>3262476475.8123169</v>
      </c>
      <c r="FF714" s="930">
        <f>'Detailed Budget'!$AC$165</f>
        <v>14927760000</v>
      </c>
      <c r="FG714" s="1087">
        <f t="shared" si="1864"/>
        <v>4450233868.8976517</v>
      </c>
      <c r="FH714" s="605">
        <f t="shared" si="1895"/>
        <v>300217420.74764234</v>
      </c>
      <c r="FI714" s="605"/>
      <c r="FJ714" s="930">
        <f>'Detailed Budget'!$AC$235</f>
        <v>3623696172</v>
      </c>
      <c r="FK714" s="605">
        <f t="shared" si="1896"/>
        <v>74908448</v>
      </c>
      <c r="FL714" s="605">
        <f t="shared" si="1865"/>
        <v>74908448</v>
      </c>
      <c r="FM714" s="605"/>
      <c r="FN714" s="605">
        <f>'Detailed Budget'!$AC$251</f>
        <v>1047595800</v>
      </c>
      <c r="FO714" s="605">
        <f>AR714*FN714</f>
        <v>28313400</v>
      </c>
      <c r="FP714" s="605">
        <f>'Detailed Budget'!$AB$254</f>
        <v>2773297530</v>
      </c>
      <c r="FQ714" s="605">
        <f>BE714*FP714</f>
        <v>50964120.000000007</v>
      </c>
      <c r="FR714" s="605">
        <f>'Detailed Budget'!$AC$257</f>
        <v>13636439388</v>
      </c>
      <c r="FS714" s="605">
        <f t="shared" si="1897"/>
        <v>177881808</v>
      </c>
      <c r="FT714" s="605">
        <f t="shared" si="1866"/>
        <v>257159328</v>
      </c>
      <c r="FU714" s="605"/>
      <c r="FV714" s="605">
        <f>'Detailed Budget'!$AC$265</f>
        <v>6277805540</v>
      </c>
      <c r="FW714" s="605">
        <f>AR714*FV714</f>
        <v>169670420</v>
      </c>
      <c r="FX714" s="930">
        <f>'Detailed Budget'!$AC$278</f>
        <v>1114560000</v>
      </c>
      <c r="FY714" s="605">
        <f t="shared" si="1898"/>
        <v>23040000</v>
      </c>
      <c r="FZ714" s="605">
        <f t="shared" si="1867"/>
        <v>192710420</v>
      </c>
      <c r="GB714" s="269">
        <f t="shared" si="1899"/>
        <v>17898023032.027374</v>
      </c>
      <c r="GC714" s="889">
        <f t="shared" si="1808"/>
        <v>11186264.39501711</v>
      </c>
      <c r="GD714" s="1078">
        <f t="shared" si="1900"/>
        <v>1.0043144315960557E-2</v>
      </c>
    </row>
    <row r="715" spans="1:186" hidden="1" outlineLevel="1">
      <c r="A715" s="211" t="s">
        <v>1519</v>
      </c>
      <c r="B715" s="212" t="s">
        <v>1520</v>
      </c>
      <c r="C715" s="213" t="s">
        <v>215</v>
      </c>
      <c r="D715" s="214"/>
      <c r="E715" s="213"/>
      <c r="F715" s="213"/>
      <c r="G715" s="213" t="s">
        <v>215</v>
      </c>
      <c r="H715" s="213" t="s">
        <v>215</v>
      </c>
      <c r="I715" s="214" t="s">
        <v>215</v>
      </c>
      <c r="J715" s="214"/>
      <c r="K715" s="213"/>
      <c r="L715" s="213"/>
      <c r="M715" s="214"/>
      <c r="N715" s="213"/>
      <c r="O715" s="214" t="s">
        <v>215</v>
      </c>
      <c r="P715" s="213"/>
      <c r="Q715" s="214"/>
      <c r="R715" s="214" t="s">
        <v>215</v>
      </c>
      <c r="S715" s="214"/>
      <c r="T715" s="214"/>
      <c r="U715" s="215">
        <f t="shared" ref="U715:U781" si="1905">COUNTA(C715:T715)</f>
        <v>6</v>
      </c>
      <c r="V715" s="845" t="s">
        <v>216</v>
      </c>
      <c r="W715" s="216">
        <v>313690</v>
      </c>
      <c r="X715" s="217">
        <v>3.11</v>
      </c>
      <c r="Y715" s="218">
        <f t="shared" si="1785"/>
        <v>1.0310999999999999</v>
      </c>
      <c r="Z715" s="196">
        <v>19</v>
      </c>
      <c r="AA715" s="218">
        <f t="shared" si="1786"/>
        <v>1.7894309732827145</v>
      </c>
      <c r="AB715" s="196">
        <f t="shared" si="1902"/>
        <v>561326.60200905474</v>
      </c>
      <c r="AC715">
        <v>11.5</v>
      </c>
      <c r="AD715" s="196">
        <f t="shared" si="1903"/>
        <v>64552.559231041298</v>
      </c>
      <c r="AE715" s="196">
        <f t="shared" si="1787"/>
        <v>61324.931269489229</v>
      </c>
      <c r="AF715" s="196">
        <f t="shared" ref="AF715:AF730" si="1906">AE715*BT715</f>
        <v>0</v>
      </c>
      <c r="AG715" s="606">
        <f t="shared" si="1811"/>
        <v>2.8353956004084284E-3</v>
      </c>
      <c r="AH715" s="196">
        <f>AB715*0.05</f>
        <v>28066.330100452738</v>
      </c>
      <c r="AI715" s="248">
        <f t="shared" si="1790"/>
        <v>2.1742560682383272E-3</v>
      </c>
      <c r="AJ715" s="196">
        <f t="shared" si="1791"/>
        <v>92618.889331494036</v>
      </c>
      <c r="AK715" s="196">
        <f t="shared" si="1858"/>
        <v>22453.06408036219</v>
      </c>
      <c r="AL715" s="196">
        <f t="shared" si="1859"/>
        <v>22453.06408036219</v>
      </c>
      <c r="AM715" s="196">
        <f t="shared" si="1792"/>
        <v>44906.12816072438</v>
      </c>
      <c r="AN715" s="627">
        <f t="shared" si="1793"/>
        <v>2.1742560682383272E-3</v>
      </c>
      <c r="AO715" s="196">
        <f t="shared" si="1794"/>
        <v>21330.410876344078</v>
      </c>
      <c r="AP715" s="589">
        <f t="shared" si="1812"/>
        <v>2.1742560682383267E-3</v>
      </c>
      <c r="AQ715" s="196"/>
      <c r="AR715" s="589"/>
      <c r="AS715">
        <v>1</v>
      </c>
      <c r="AT715" s="589">
        <f t="shared" si="1813"/>
        <v>1.2919896640826874E-3</v>
      </c>
      <c r="AU715" s="196">
        <v>13</v>
      </c>
      <c r="AV715" s="245">
        <f t="shared" si="1795"/>
        <v>1.4771048744460858E-3</v>
      </c>
      <c r="AX715" s="245"/>
      <c r="AY715" s="245"/>
      <c r="AZ715" s="196">
        <v>38</v>
      </c>
      <c r="BA715" s="589">
        <f t="shared" si="1871"/>
        <v>1.3924004250485508E-3</v>
      </c>
      <c r="BI715" s="196">
        <v>0</v>
      </c>
      <c r="BK715" s="246">
        <f t="shared" si="1872"/>
        <v>0</v>
      </c>
      <c r="BL715" s="246"/>
      <c r="BM715" s="246">
        <f t="shared" si="1873"/>
        <v>0</v>
      </c>
      <c r="BN715" s="196">
        <v>1</v>
      </c>
      <c r="BO715" s="196">
        <f t="shared" ref="BO715:BO730" si="1907">AJ715/708307*288156</f>
        <v>37679.549509190219</v>
      </c>
      <c r="BP715" s="196">
        <f t="shared" si="1796"/>
        <v>37679.549509190219</v>
      </c>
      <c r="BQ715" s="248">
        <f t="shared" si="1874"/>
        <v>3.5247463924182451E-3</v>
      </c>
      <c r="BR715" s="248"/>
      <c r="BS715" s="248"/>
      <c r="BT715" s="276">
        <v>0</v>
      </c>
      <c r="BU715" s="196">
        <f t="shared" ref="BU715:BU730" si="1908">AD715*BT715*0.18*4</f>
        <v>0</v>
      </c>
      <c r="BV715" s="264">
        <f t="shared" si="1875"/>
        <v>0</v>
      </c>
      <c r="BW715" s="196">
        <f t="shared" ref="BW715:BW730" si="1909">AD715*BT715*0.77*4</f>
        <v>0</v>
      </c>
      <c r="BX715" s="247">
        <f t="shared" si="1876"/>
        <v>0</v>
      </c>
      <c r="BY715" s="196">
        <f t="shared" ref="BY715:BY730" si="1910">BU715+BW715</f>
        <v>0</v>
      </c>
      <c r="BZ715" s="620">
        <v>1</v>
      </c>
      <c r="CA715" s="196">
        <f t="shared" ref="CA715:CA730" si="1911">AK715*0.85*0.75*12</f>
        <v>171765.94021477073</v>
      </c>
      <c r="CB715" s="196">
        <f t="shared" ref="CB715:CB730" si="1912">AL715*0.85*0.75*2*12</f>
        <v>343531.88042954146</v>
      </c>
      <c r="CC715" s="196">
        <f t="shared" si="1809"/>
        <v>515297.82064431219</v>
      </c>
      <c r="CD715" s="247">
        <f t="shared" si="1797"/>
        <v>2.1742560682383267E-3</v>
      </c>
      <c r="CE715" s="196">
        <f t="shared" ref="CE715:CE730" si="1913">AH715/214638*370965</f>
        <v>48507.841788101134</v>
      </c>
      <c r="CF715" s="247">
        <f t="shared" si="1798"/>
        <v>2.0947194651625501E-3</v>
      </c>
      <c r="CG715" s="196">
        <f t="shared" si="1877"/>
        <v>85321.643505376313</v>
      </c>
      <c r="CH715" s="589">
        <f t="shared" si="1814"/>
        <v>2.1742560682383267E-3</v>
      </c>
      <c r="CI715" s="196">
        <f t="shared" ref="CI715:CI730" si="1914">AD715/493668*422535</f>
        <v>55251.131559444882</v>
      </c>
      <c r="CJ715" s="248">
        <f t="shared" si="1815"/>
        <v>9.0832846259135923E-4</v>
      </c>
      <c r="CK715" s="196">
        <f t="shared" ref="CK715:CK730" si="1915">AD715/493668*1012950</f>
        <v>132454.43268164695</v>
      </c>
      <c r="CL715" s="589">
        <f t="shared" si="1816"/>
        <v>1.904059714513115E-3</v>
      </c>
      <c r="CM715" s="196">
        <f t="shared" ref="CM715:CM730" si="1916">AD715/493668*98130</f>
        <v>12831.584460289268</v>
      </c>
      <c r="CN715" s="589">
        <f t="shared" si="1817"/>
        <v>1.8491771472073477E-3</v>
      </c>
      <c r="CO715" s="196">
        <f t="shared" ref="CO715:CO730" si="1917">AD715/493668*7850</f>
        <v>1026.4744523924464</v>
      </c>
      <c r="CP715" s="589">
        <f t="shared" si="1818"/>
        <v>1.9357727110402071E-3</v>
      </c>
      <c r="CQ715" s="196">
        <f>'Detailed Budget'!$AC$12</f>
        <v>292876014141.44696</v>
      </c>
      <c r="CR715" s="269">
        <f t="shared" si="1861"/>
        <v>0</v>
      </c>
      <c r="CS715" s="269">
        <f>'Detailed Budget'!$AC$16</f>
        <v>10488008800.000002</v>
      </c>
      <c r="CT715" s="607">
        <f t="shared" si="1878"/>
        <v>0</v>
      </c>
      <c r="CU715" s="269">
        <f>'Detailed Budget'!$AC$24</f>
        <v>30624985696</v>
      </c>
      <c r="CV715" s="269">
        <f t="shared" si="1868"/>
        <v>0</v>
      </c>
      <c r="CW715" s="269"/>
      <c r="CX715" s="269">
        <f t="shared" si="1810"/>
        <v>0</v>
      </c>
      <c r="CY715" s="196">
        <f>'Detailed Budget'!$AC$97</f>
        <v>74629165494.837845</v>
      </c>
      <c r="CZ715" s="269">
        <f t="shared" si="1879"/>
        <v>263048881.84711388</v>
      </c>
      <c r="DA715" s="269">
        <f>'Detailed Budget'!$AC$100</f>
        <v>14925833098.967569</v>
      </c>
      <c r="DB715" s="269">
        <f t="shared" si="1880"/>
        <v>52609776.369422778</v>
      </c>
      <c r="DC715" s="269">
        <f t="shared" si="1799"/>
        <v>315658658.21653664</v>
      </c>
      <c r="DD715" s="207">
        <v>0</v>
      </c>
      <c r="DE715" s="606">
        <v>0</v>
      </c>
      <c r="DF715" s="269">
        <f>'Detailed Budget'!$AC$147</f>
        <v>5913600671000</v>
      </c>
      <c r="DG715" s="269">
        <f t="shared" si="1863"/>
        <v>0</v>
      </c>
      <c r="DH715" s="269">
        <f>'Detailed Budget'!$AC$153</f>
        <v>226428026880.00003</v>
      </c>
      <c r="DI715" s="269"/>
      <c r="DJ715" s="269">
        <f>'Detailed Budget'!$AC$156</f>
        <v>27713070000</v>
      </c>
      <c r="DK715" s="269"/>
      <c r="DL715" s="269"/>
      <c r="DM715" s="196">
        <f>'Detailed Budget'!$AC$178</f>
        <v>5622683761.6229038</v>
      </c>
      <c r="DN715" s="269">
        <f t="shared" ref="DN715:DN730" si="1918">BT715*BV715*DM715</f>
        <v>0</v>
      </c>
      <c r="DO715" s="196">
        <f>'Detailed Budget'!$AC$179</f>
        <v>26827890683.128094</v>
      </c>
      <c r="DP715" s="269">
        <f t="shared" ref="DP715:DP730" si="1919">BT715*BX715*DO715</f>
        <v>0</v>
      </c>
      <c r="DQ715" s="269">
        <f t="shared" si="1862"/>
        <v>0</v>
      </c>
      <c r="DR715" s="269">
        <f>'Detailed Budget'!$AC$181</f>
        <v>50888946855.375237</v>
      </c>
      <c r="DS715" s="269">
        <f t="shared" ref="DS715:DS730" si="1920">BT715*AG715*DR715</f>
        <v>0</v>
      </c>
      <c r="DT715" s="269">
        <f t="shared" ref="DT715:DT730" si="1921">DQ715+DS715</f>
        <v>0</v>
      </c>
      <c r="DU715" s="272">
        <f>'Detailed Budget'!$AC$192</f>
        <v>77498869683.252869</v>
      </c>
      <c r="DV715" s="269">
        <f t="shared" si="1881"/>
        <v>168502387.69042385</v>
      </c>
      <c r="DW715" s="140">
        <f>'Detailed Budget'!$AC$194</f>
        <v>2684962805.4134097</v>
      </c>
      <c r="DX715" s="269">
        <f t="shared" si="1882"/>
        <v>5837796.6726643089</v>
      </c>
      <c r="DY715" s="607">
        <f t="shared" si="1800"/>
        <v>174340184.36308816</v>
      </c>
      <c r="DZ715" s="196">
        <f>'Detailed Budget'!$AC$198</f>
        <v>18732540018.380611</v>
      </c>
      <c r="EA715" s="269">
        <f t="shared" si="1883"/>
        <v>39239416.2084383</v>
      </c>
      <c r="EB715" s="196">
        <f>'Detailed Budget'!$AC$200</f>
        <v>4683135004.5951529</v>
      </c>
      <c r="EC715" s="269">
        <f t="shared" si="1884"/>
        <v>9809854.0521095749</v>
      </c>
      <c r="ED715" s="269">
        <f t="shared" si="1801"/>
        <v>49049270.260547876</v>
      </c>
      <c r="EE715" s="196">
        <f>'Detailed Budget'!$AC$161</f>
        <v>251147290106.36197</v>
      </c>
      <c r="EF715" s="269">
        <f t="shared" si="1885"/>
        <v>546058519.53536904</v>
      </c>
      <c r="EG715" s="196">
        <f>'Detailed Budget'!$AC$163</f>
        <v>15696705631.647623</v>
      </c>
      <c r="EH715" s="269">
        <f t="shared" si="1886"/>
        <v>34128657.470960565</v>
      </c>
      <c r="EI715" s="269">
        <f t="shared" si="1802"/>
        <v>580187177.00632966</v>
      </c>
      <c r="EJ715" s="196">
        <f>'Detailed Budget'!$AC$204</f>
        <v>45012172507.531975</v>
      </c>
      <c r="EK715" s="269">
        <f t="shared" si="1887"/>
        <v>40885837.451663569</v>
      </c>
      <c r="EL715" s="201">
        <f>'Detailed Budget'!$AC$206</f>
        <v>11253043126.882994</v>
      </c>
      <c r="EM715" s="269">
        <f t="shared" si="1888"/>
        <v>10221459.362915892</v>
      </c>
      <c r="EN715" s="269">
        <f t="shared" si="1803"/>
        <v>51107296.814579457</v>
      </c>
      <c r="EO715" s="140">
        <f>'Detailed Budget'!$AC$209</f>
        <v>135789361677.54817</v>
      </c>
      <c r="EP715" s="269">
        <f t="shared" si="1889"/>
        <v>258551053.22967049</v>
      </c>
      <c r="EQ715" s="196">
        <f>'Detailed Budget'!$AC$211</f>
        <v>33947340419.387043</v>
      </c>
      <c r="ER715" s="269">
        <f t="shared" si="1890"/>
        <v>64637763.307417624</v>
      </c>
      <c r="ES715" s="269">
        <f t="shared" si="1804"/>
        <v>323188816.5370881</v>
      </c>
      <c r="ET715" s="196">
        <f>'Detailed Budget'!$AC$214</f>
        <v>22239745544.201103</v>
      </c>
      <c r="EU715" s="269">
        <f t="shared" si="1891"/>
        <v>41125229.220043115</v>
      </c>
      <c r="EV715" s="140">
        <f>'Detailed Budget'!$AC$217</f>
        <v>5559936386.0502758</v>
      </c>
      <c r="EW715" s="269">
        <f t="shared" si="1892"/>
        <v>10281307.305010779</v>
      </c>
      <c r="EX715" s="269">
        <f t="shared" si="1805"/>
        <v>51406536.525053896</v>
      </c>
      <c r="EY715" s="196">
        <f>'Detailed Budget'!$AC$219</f>
        <v>372777004.58170313</v>
      </c>
      <c r="EZ715" s="269">
        <f t="shared" si="1893"/>
        <v>721611.5527725711</v>
      </c>
      <c r="FA715" s="196">
        <f>'Detailed Budget'!$AC$222</f>
        <v>93194251.145425782</v>
      </c>
      <c r="FB715" s="269">
        <f t="shared" si="1894"/>
        <v>180402.88819314277</v>
      </c>
      <c r="FC715" s="269">
        <f t="shared" si="1806"/>
        <v>902014.44096571393</v>
      </c>
      <c r="FD715" s="269"/>
      <c r="FE715" s="269">
        <f t="shared" si="1807"/>
        <v>426604664.31768715</v>
      </c>
      <c r="FF715" s="140">
        <f>'Detailed Budget'!$AC$165</f>
        <v>14927760000</v>
      </c>
      <c r="FG715" s="1087">
        <f t="shared" si="1864"/>
        <v>581917000.73594677</v>
      </c>
      <c r="FH715" s="269">
        <f t="shared" si="1895"/>
        <v>22049867.060561303</v>
      </c>
      <c r="FJ715" s="140">
        <f>'Detailed Budget'!$AC$235</f>
        <v>3623696172</v>
      </c>
      <c r="FK715" s="269">
        <f t="shared" si="1896"/>
        <v>4681778</v>
      </c>
      <c r="FL715" s="269">
        <f t="shared" si="1865"/>
        <v>4681778</v>
      </c>
      <c r="FO715" s="607"/>
      <c r="FP715" s="607"/>
      <c r="FQ715" s="607"/>
      <c r="FR715" s="269">
        <f>'Detailed Budget'!$AC$257</f>
        <v>13636439388</v>
      </c>
      <c r="FS715" s="269">
        <f t="shared" si="1897"/>
        <v>18987384</v>
      </c>
      <c r="FT715" s="269">
        <f t="shared" si="1866"/>
        <v>18987384</v>
      </c>
      <c r="FU715" s="269"/>
      <c r="FV715" s="269"/>
      <c r="FW715" s="269"/>
      <c r="FX715" s="140">
        <f>'Detailed Budget'!$AC$278</f>
        <v>1114560000</v>
      </c>
      <c r="FY715" s="269">
        <f t="shared" si="1898"/>
        <v>1440000</v>
      </c>
      <c r="FZ715" s="269">
        <f t="shared" si="1867"/>
        <v>1440000</v>
      </c>
      <c r="GB715" s="269">
        <f t="shared" si="1899"/>
        <v>2174915983.9606972</v>
      </c>
      <c r="GC715" s="887">
        <f t="shared" si="1808"/>
        <v>1359322.4899754357</v>
      </c>
      <c r="GD715" s="1078">
        <f t="shared" si="1900"/>
        <v>1.2204138447536907E-3</v>
      </c>
    </row>
    <row r="716" spans="1:186" hidden="1" outlineLevel="1">
      <c r="A716" s="211" t="s">
        <v>1521</v>
      </c>
      <c r="B716" s="212" t="s">
        <v>1522</v>
      </c>
      <c r="C716" s="213" t="s">
        <v>215</v>
      </c>
      <c r="D716" s="214"/>
      <c r="E716" s="213"/>
      <c r="F716" s="213"/>
      <c r="G716" s="213" t="s">
        <v>215</v>
      </c>
      <c r="H716" s="213" t="s">
        <v>215</v>
      </c>
      <c r="I716" s="214" t="s">
        <v>215</v>
      </c>
      <c r="J716" s="214"/>
      <c r="K716" s="213"/>
      <c r="L716" s="213"/>
      <c r="M716" s="214"/>
      <c r="N716" s="213" t="s">
        <v>215</v>
      </c>
      <c r="O716" s="214"/>
      <c r="P716" s="213"/>
      <c r="Q716" s="214"/>
      <c r="R716" s="214" t="s">
        <v>215</v>
      </c>
      <c r="S716" s="214"/>
      <c r="T716" s="214"/>
      <c r="U716" s="215">
        <f>COUNTA(C716:T716)</f>
        <v>6</v>
      </c>
      <c r="V716" s="845" t="s">
        <v>216</v>
      </c>
      <c r="W716" s="216">
        <v>147999</v>
      </c>
      <c r="X716" s="217">
        <v>3.11</v>
      </c>
      <c r="Y716" s="218">
        <f t="shared" si="1785"/>
        <v>1.0310999999999999</v>
      </c>
      <c r="Z716" s="196">
        <v>19</v>
      </c>
      <c r="AA716" s="218">
        <f t="shared" si="1786"/>
        <v>1.7894309732827145</v>
      </c>
      <c r="AB716" s="196">
        <f t="shared" si="1902"/>
        <v>264833.99461486848</v>
      </c>
      <c r="AC716">
        <v>11.5</v>
      </c>
      <c r="AD716" s="196">
        <f t="shared" si="1903"/>
        <v>30455.909380709872</v>
      </c>
      <c r="AE716" s="196">
        <f t="shared" si="1787"/>
        <v>28933.113911674376</v>
      </c>
      <c r="AF716" s="196">
        <f t="shared" si="1906"/>
        <v>0</v>
      </c>
      <c r="AG716" s="606">
        <f t="shared" si="1811"/>
        <v>1.3377401685257639E-3</v>
      </c>
      <c r="AH716" s="196">
        <f t="shared" ref="AH716:AH730" si="1922">AB716*0.05</f>
        <v>13241.699730743425</v>
      </c>
      <c r="AI716" s="248">
        <f t="shared" si="1790"/>
        <v>1.0258144150059108E-3</v>
      </c>
      <c r="AJ716" s="196">
        <f t="shared" si="1791"/>
        <v>43697.609111453297</v>
      </c>
      <c r="AK716" s="196">
        <f t="shared" si="1858"/>
        <v>10593.359784594739</v>
      </c>
      <c r="AL716" s="196">
        <f t="shared" si="1859"/>
        <v>10593.359784594739</v>
      </c>
      <c r="AM716" s="196">
        <f t="shared" si="1792"/>
        <v>21186.719569189478</v>
      </c>
      <c r="AN716" s="627">
        <f t="shared" si="1793"/>
        <v>1.0258144150059108E-3</v>
      </c>
      <c r="AO716" s="196">
        <f t="shared" si="1794"/>
        <v>10063.691795365003</v>
      </c>
      <c r="AP716" s="589">
        <f t="shared" si="1812"/>
        <v>1.0258144150059108E-3</v>
      </c>
      <c r="AQ716" s="196"/>
      <c r="AR716" s="589"/>
      <c r="AS716">
        <v>1</v>
      </c>
      <c r="AT716" s="589">
        <f t="shared" si="1813"/>
        <v>1.2919896640826874E-3</v>
      </c>
      <c r="AU716" s="196">
        <v>10</v>
      </c>
      <c r="AV716" s="245">
        <f t="shared" si="1795"/>
        <v>1.1362345188046814E-3</v>
      </c>
      <c r="AX716" s="245"/>
      <c r="AY716" s="245"/>
      <c r="AZ716" s="196">
        <v>19</v>
      </c>
      <c r="BA716" s="589">
        <f t="shared" si="1871"/>
        <v>6.9620021252427542E-4</v>
      </c>
      <c r="BI716" s="196">
        <v>0</v>
      </c>
      <c r="BK716" s="246">
        <f t="shared" si="1872"/>
        <v>0</v>
      </c>
      <c r="BL716" s="246"/>
      <c r="BM716" s="246">
        <f t="shared" si="1873"/>
        <v>0</v>
      </c>
      <c r="BN716" s="196">
        <v>1</v>
      </c>
      <c r="BO716" s="196">
        <f t="shared" si="1907"/>
        <v>17777.218425230778</v>
      </c>
      <c r="BP716" s="196">
        <f t="shared" si="1796"/>
        <v>17777.218425230778</v>
      </c>
      <c r="BQ716" s="248">
        <f t="shared" si="1874"/>
        <v>1.6629759996541421E-3</v>
      </c>
      <c r="BR716" s="248"/>
      <c r="BS716" s="248"/>
      <c r="BT716" s="276">
        <v>0</v>
      </c>
      <c r="BU716" s="196">
        <f t="shared" si="1908"/>
        <v>0</v>
      </c>
      <c r="BV716" s="264">
        <f t="shared" si="1875"/>
        <v>0</v>
      </c>
      <c r="BW716" s="196">
        <f t="shared" si="1909"/>
        <v>0</v>
      </c>
      <c r="BX716" s="247">
        <f t="shared" si="1876"/>
        <v>0</v>
      </c>
      <c r="BY716" s="196">
        <f t="shared" si="1910"/>
        <v>0</v>
      </c>
      <c r="BZ716" s="620">
        <v>1</v>
      </c>
      <c r="CA716" s="196">
        <f t="shared" si="1911"/>
        <v>81039.202352149761</v>
      </c>
      <c r="CB716" s="196">
        <f t="shared" si="1912"/>
        <v>162078.40470429952</v>
      </c>
      <c r="CC716" s="196">
        <f t="shared" si="1809"/>
        <v>243117.60705644928</v>
      </c>
      <c r="CD716" s="247">
        <f t="shared" si="1797"/>
        <v>1.0258144150059108E-3</v>
      </c>
      <c r="CE716" s="196">
        <f t="shared" si="1913"/>
        <v>22886.008724527972</v>
      </c>
      <c r="CF716" s="247">
        <f t="shared" si="1798"/>
        <v>9.8828903096876601E-4</v>
      </c>
      <c r="CG716" s="196">
        <f t="shared" si="1877"/>
        <v>40254.767181460011</v>
      </c>
      <c r="CH716" s="589">
        <f t="shared" si="1814"/>
        <v>1.0258144150059108E-3</v>
      </c>
      <c r="CI716" s="196">
        <f t="shared" si="1914"/>
        <v>26067.494085454691</v>
      </c>
      <c r="CJ716" s="248">
        <f t="shared" si="1815"/>
        <v>4.2854953659682667E-4</v>
      </c>
      <c r="CK716" s="196">
        <f t="shared" si="1915"/>
        <v>62492.025829484723</v>
      </c>
      <c r="CL716" s="589">
        <f t="shared" si="1816"/>
        <v>8.9833572536015312E-4</v>
      </c>
      <c r="CM716" s="196">
        <f t="shared" si="1916"/>
        <v>6053.9439208720432</v>
      </c>
      <c r="CN716" s="589">
        <f t="shared" si="1817"/>
        <v>8.724421199577297E-4</v>
      </c>
      <c r="CO716" s="196">
        <f t="shared" si="1917"/>
        <v>484.29083642969061</v>
      </c>
      <c r="CP716" s="589">
        <f t="shared" si="1818"/>
        <v>9.1329792298523878E-4</v>
      </c>
      <c r="CQ716" s="196">
        <f>'Detailed Budget'!$AC$12</f>
        <v>292876014141.44696</v>
      </c>
      <c r="CR716" s="269">
        <f t="shared" si="1861"/>
        <v>0</v>
      </c>
      <c r="CS716" s="269">
        <f>'Detailed Budget'!$AC$16</f>
        <v>10488008800.000002</v>
      </c>
      <c r="CT716" s="607">
        <f t="shared" si="1878"/>
        <v>0</v>
      </c>
      <c r="CU716" s="269">
        <f>'Detailed Budget'!$AC$24</f>
        <v>30624985696</v>
      </c>
      <c r="CV716" s="269">
        <f t="shared" si="1868"/>
        <v>0</v>
      </c>
      <c r="CW716" s="269"/>
      <c r="CX716" s="269">
        <f t="shared" si="1810"/>
        <v>0</v>
      </c>
      <c r="CY716" s="196">
        <f>'Detailed Budget'!$AC$97</f>
        <v>74629165494.837845</v>
      </c>
      <c r="CZ716" s="269">
        <f t="shared" si="1879"/>
        <v>124106511.09213237</v>
      </c>
      <c r="DA716" s="269">
        <f>'Detailed Budget'!$AC$100</f>
        <v>14925833098.967569</v>
      </c>
      <c r="DB716" s="269">
        <f t="shared" si="1880"/>
        <v>24821302.218426477</v>
      </c>
      <c r="DC716" s="269">
        <f t="shared" si="1799"/>
        <v>148927813.31055886</v>
      </c>
      <c r="DD716" s="207">
        <v>0</v>
      </c>
      <c r="DE716" s="606">
        <v>0</v>
      </c>
      <c r="DF716" s="269">
        <f>'Detailed Budget'!$AC$147</f>
        <v>5913600671000</v>
      </c>
      <c r="DG716" s="269">
        <f t="shared" si="1863"/>
        <v>0</v>
      </c>
      <c r="DH716" s="269">
        <f>'Detailed Budget'!$AC$153</f>
        <v>226428026880.00003</v>
      </c>
      <c r="DI716" s="269"/>
      <c r="DJ716" s="269">
        <f>'Detailed Budget'!$AC$156</f>
        <v>27713070000</v>
      </c>
      <c r="DK716" s="269"/>
      <c r="DL716" s="269"/>
      <c r="DM716" s="196">
        <f>'Detailed Budget'!$AC$178</f>
        <v>5622683761.6229038</v>
      </c>
      <c r="DN716" s="269">
        <f t="shared" si="1918"/>
        <v>0</v>
      </c>
      <c r="DO716" s="196">
        <f>'Detailed Budget'!$AC$179</f>
        <v>26827890683.128094</v>
      </c>
      <c r="DP716" s="269">
        <f t="shared" si="1919"/>
        <v>0</v>
      </c>
      <c r="DQ716" s="269">
        <f t="shared" si="1862"/>
        <v>0</v>
      </c>
      <c r="DR716" s="269">
        <f>'Detailed Budget'!$AC$181</f>
        <v>50888946855.375237</v>
      </c>
      <c r="DS716" s="269">
        <f t="shared" si="1920"/>
        <v>0</v>
      </c>
      <c r="DT716" s="269">
        <f t="shared" si="1921"/>
        <v>0</v>
      </c>
      <c r="DU716" s="272">
        <f>'Detailed Budget'!$AC$192</f>
        <v>77498869683.252869</v>
      </c>
      <c r="DV716" s="269">
        <f t="shared" si="1881"/>
        <v>79499457.667745352</v>
      </c>
      <c r="DW716" s="140">
        <f>'Detailed Budget'!$AC$194</f>
        <v>2684962805.4134097</v>
      </c>
      <c r="DX716" s="269">
        <f t="shared" si="1882"/>
        <v>2754273.5495477859</v>
      </c>
      <c r="DY716" s="607">
        <f t="shared" si="1800"/>
        <v>82253731.217293143</v>
      </c>
      <c r="DZ716" s="196">
        <f>'Detailed Budget'!$AC$198</f>
        <v>18732540018.380611</v>
      </c>
      <c r="EA716" s="269">
        <f t="shared" si="1883"/>
        <v>18513163.822349004</v>
      </c>
      <c r="EB716" s="196">
        <f>'Detailed Budget'!$AC$200</f>
        <v>4683135004.5951529</v>
      </c>
      <c r="EC716" s="269">
        <f t="shared" si="1884"/>
        <v>4628290.9555872511</v>
      </c>
      <c r="ED716" s="269">
        <f t="shared" si="1801"/>
        <v>23141454.777936257</v>
      </c>
      <c r="EE716" s="196">
        <f>'Detailed Budget'!$AC$161</f>
        <v>251147290106.36197</v>
      </c>
      <c r="EF716" s="269">
        <f t="shared" si="1885"/>
        <v>257630510.48077747</v>
      </c>
      <c r="EG716" s="196">
        <f>'Detailed Budget'!$AC$163</f>
        <v>15696705631.647623</v>
      </c>
      <c r="EH716" s="269">
        <f t="shared" si="1886"/>
        <v>16101906.905048592</v>
      </c>
      <c r="EI716" s="269">
        <f t="shared" si="1802"/>
        <v>273732417.38582605</v>
      </c>
      <c r="EJ716" s="196">
        <f>'Detailed Budget'!$AC$204</f>
        <v>45012172507.531975</v>
      </c>
      <c r="EK716" s="269">
        <f t="shared" si="1887"/>
        <v>19289945.66931925</v>
      </c>
      <c r="EL716" s="201">
        <f>'Detailed Budget'!$AC$206</f>
        <v>11253043126.882994</v>
      </c>
      <c r="EM716" s="269">
        <f t="shared" si="1888"/>
        <v>4822486.4173298124</v>
      </c>
      <c r="EN716" s="269">
        <f t="shared" si="1803"/>
        <v>24112432.08664906</v>
      </c>
      <c r="EO716" s="140">
        <f>'Detailed Budget'!$AC$209</f>
        <v>135789361677.54817</v>
      </c>
      <c r="EP716" s="269">
        <f t="shared" si="1889"/>
        <v>121984434.71879241</v>
      </c>
      <c r="EQ716" s="196">
        <f>'Detailed Budget'!$AC$211</f>
        <v>33947340419.387043</v>
      </c>
      <c r="ER716" s="269">
        <f t="shared" si="1890"/>
        <v>30496108.679698102</v>
      </c>
      <c r="ES716" s="269">
        <f t="shared" si="1804"/>
        <v>152480543.39849052</v>
      </c>
      <c r="ET716" s="196">
        <f>'Detailed Budget'!$AC$214</f>
        <v>22239745544.201103</v>
      </c>
      <c r="EU716" s="269">
        <f t="shared" si="1891"/>
        <v>19402890.749903284</v>
      </c>
      <c r="EV716" s="140">
        <f>'Detailed Budget'!$AC$217</f>
        <v>5559936386.0502758</v>
      </c>
      <c r="EW716" s="269">
        <f t="shared" si="1892"/>
        <v>4850722.687475821</v>
      </c>
      <c r="EX716" s="269">
        <f t="shared" si="1805"/>
        <v>24253613.437379107</v>
      </c>
      <c r="EY716" s="196">
        <f>'Detailed Budget'!$AC$219</f>
        <v>372777004.58170313</v>
      </c>
      <c r="EZ716" s="269">
        <f t="shared" si="1893"/>
        <v>340456.46402112831</v>
      </c>
      <c r="FA716" s="196">
        <f>'Detailed Budget'!$AC$222</f>
        <v>93194251.145425782</v>
      </c>
      <c r="FB716" s="269">
        <f t="shared" si="1894"/>
        <v>85114.116005282078</v>
      </c>
      <c r="FC716" s="269">
        <f t="shared" si="1806"/>
        <v>425570.5800264104</v>
      </c>
      <c r="FD716" s="269"/>
      <c r="FE716" s="269">
        <f t="shared" si="1807"/>
        <v>201272159.50254509</v>
      </c>
      <c r="FF716" s="140">
        <f>'Detailed Budget'!$AC$165</f>
        <v>14927760000</v>
      </c>
      <c r="FG716" s="1087">
        <f t="shared" si="1864"/>
        <v>274548548.54129672</v>
      </c>
      <c r="FH716" s="269">
        <f t="shared" si="1895"/>
        <v>16961436.200431772</v>
      </c>
      <c r="FJ716" s="140">
        <f>'Detailed Budget'!$AC$235</f>
        <v>3623696172</v>
      </c>
      <c r="FK716" s="269">
        <f t="shared" si="1896"/>
        <v>4681778</v>
      </c>
      <c r="FL716" s="269">
        <f t="shared" si="1865"/>
        <v>4681778</v>
      </c>
      <c r="FO716" s="607"/>
      <c r="FP716" s="607"/>
      <c r="FQ716" s="607"/>
      <c r="FR716" s="269">
        <f>'Detailed Budget'!$AC$257</f>
        <v>13636439388</v>
      </c>
      <c r="FS716" s="269">
        <f t="shared" si="1897"/>
        <v>9493692</v>
      </c>
      <c r="FT716" s="269">
        <f t="shared" si="1866"/>
        <v>9493692</v>
      </c>
      <c r="FU716" s="269"/>
      <c r="FV716" s="269"/>
      <c r="FW716" s="269"/>
      <c r="FX716" s="140">
        <f>'Detailed Budget'!$AC$278</f>
        <v>1114560000</v>
      </c>
      <c r="FY716" s="269">
        <f t="shared" si="1898"/>
        <v>1440000</v>
      </c>
      <c r="FZ716" s="269">
        <f t="shared" si="1867"/>
        <v>1440000</v>
      </c>
      <c r="GB716" s="269">
        <f t="shared" si="1899"/>
        <v>1036453030.9358879</v>
      </c>
      <c r="GC716" s="887">
        <f t="shared" si="1808"/>
        <v>647783.14433493</v>
      </c>
      <c r="GD716" s="1078">
        <f t="shared" si="1900"/>
        <v>5.8158643263432879E-4</v>
      </c>
    </row>
    <row r="717" spans="1:186" hidden="1" outlineLevel="1">
      <c r="A717" s="211" t="s">
        <v>1523</v>
      </c>
      <c r="B717" s="212" t="s">
        <v>1524</v>
      </c>
      <c r="C717" s="213" t="s">
        <v>215</v>
      </c>
      <c r="D717" s="214"/>
      <c r="E717" s="213"/>
      <c r="F717" s="213"/>
      <c r="G717" s="213" t="s">
        <v>215</v>
      </c>
      <c r="H717" s="213" t="s">
        <v>215</v>
      </c>
      <c r="I717" s="214" t="s">
        <v>215</v>
      </c>
      <c r="J717" s="214"/>
      <c r="K717" s="213"/>
      <c r="L717" s="213"/>
      <c r="M717" s="214"/>
      <c r="N717" s="213"/>
      <c r="O717" s="214" t="s">
        <v>215</v>
      </c>
      <c r="P717" s="213"/>
      <c r="Q717" s="214"/>
      <c r="R717" s="214" t="s">
        <v>215</v>
      </c>
      <c r="S717" s="214"/>
      <c r="T717" s="214"/>
      <c r="U717" s="215">
        <f t="shared" si="1905"/>
        <v>6</v>
      </c>
      <c r="V717" s="845" t="s">
        <v>216</v>
      </c>
      <c r="W717" s="216">
        <v>87187</v>
      </c>
      <c r="X717" s="217">
        <v>3.11</v>
      </c>
      <c r="Y717" s="218">
        <f t="shared" si="1785"/>
        <v>1.0310999999999999</v>
      </c>
      <c r="Z717" s="196">
        <v>19</v>
      </c>
      <c r="AA717" s="218">
        <f t="shared" si="1786"/>
        <v>1.7894309732827145</v>
      </c>
      <c r="AB717" s="196">
        <f t="shared" si="1902"/>
        <v>156015.11826760002</v>
      </c>
      <c r="AC717">
        <v>11.5</v>
      </c>
      <c r="AD717" s="196">
        <f t="shared" si="1903"/>
        <v>17941.738600774002</v>
      </c>
      <c r="AE717" s="196">
        <f t="shared" si="1787"/>
        <v>17044.6516707353</v>
      </c>
      <c r="AF717" s="196">
        <f t="shared" si="1906"/>
        <v>0</v>
      </c>
      <c r="AG717" s="606">
        <f t="shared" si="1811"/>
        <v>7.8806986583190278E-4</v>
      </c>
      <c r="AH717" s="196">
        <f t="shared" si="1922"/>
        <v>7800.7559133800014</v>
      </c>
      <c r="AI717" s="248">
        <f t="shared" si="1790"/>
        <v>6.0431274130987598E-4</v>
      </c>
      <c r="AJ717" s="196">
        <f t="shared" si="1791"/>
        <v>25742.494514154005</v>
      </c>
      <c r="AK717" s="196">
        <f t="shared" si="1858"/>
        <v>6240.6047307040008</v>
      </c>
      <c r="AL717" s="196">
        <f t="shared" si="1859"/>
        <v>6240.6047307040008</v>
      </c>
      <c r="AM717" s="196">
        <f t="shared" si="1792"/>
        <v>12481.209461408002</v>
      </c>
      <c r="AN717" s="627">
        <f t="shared" si="1793"/>
        <v>6.0431274130987598E-4</v>
      </c>
      <c r="AO717" s="196">
        <f t="shared" si="1794"/>
        <v>5928.5744941688008</v>
      </c>
      <c r="AP717" s="589">
        <f t="shared" si="1812"/>
        <v>6.0431274130987598E-4</v>
      </c>
      <c r="AQ717" s="196"/>
      <c r="AR717" s="589"/>
      <c r="AS717">
        <v>1</v>
      </c>
      <c r="AT717" s="589">
        <f t="shared" si="1813"/>
        <v>1.2919896640826874E-3</v>
      </c>
      <c r="AU717" s="196">
        <v>12</v>
      </c>
      <c r="AV717" s="245">
        <f t="shared" si="1795"/>
        <v>1.3634814225656176E-3</v>
      </c>
      <c r="AX717" s="245"/>
      <c r="AY717" s="245"/>
      <c r="AZ717" s="196">
        <v>22</v>
      </c>
      <c r="BA717" s="589">
        <f t="shared" si="1871"/>
        <v>8.0612656187021366E-4</v>
      </c>
      <c r="BI717" s="196">
        <v>0</v>
      </c>
      <c r="BK717" s="246">
        <f t="shared" si="1872"/>
        <v>0</v>
      </c>
      <c r="BL717" s="246"/>
      <c r="BM717" s="246">
        <f t="shared" si="1873"/>
        <v>0</v>
      </c>
      <c r="BN717" s="196">
        <v>1</v>
      </c>
      <c r="BO717" s="196">
        <f t="shared" si="1907"/>
        <v>10472.654158748341</v>
      </c>
      <c r="BP717" s="196">
        <f t="shared" si="1796"/>
        <v>10472.654158748341</v>
      </c>
      <c r="BQ717" s="248">
        <f t="shared" si="1874"/>
        <v>9.7966802803968727E-4</v>
      </c>
      <c r="BR717" s="248"/>
      <c r="BS717" s="248"/>
      <c r="BT717" s="276">
        <v>0</v>
      </c>
      <c r="BU717" s="196">
        <f t="shared" si="1908"/>
        <v>0</v>
      </c>
      <c r="BV717" s="264">
        <f t="shared" si="1875"/>
        <v>0</v>
      </c>
      <c r="BW717" s="196">
        <f t="shared" si="1909"/>
        <v>0</v>
      </c>
      <c r="BX717" s="247">
        <f t="shared" si="1876"/>
        <v>0</v>
      </c>
      <c r="BY717" s="196">
        <f t="shared" si="1910"/>
        <v>0</v>
      </c>
      <c r="BZ717" s="620">
        <v>1</v>
      </c>
      <c r="CA717" s="196">
        <f t="shared" si="1911"/>
        <v>47740.62618988561</v>
      </c>
      <c r="CB717" s="196">
        <f t="shared" si="1912"/>
        <v>95481.25237977122</v>
      </c>
      <c r="CC717" s="196">
        <f t="shared" si="1809"/>
        <v>143221.87856965684</v>
      </c>
      <c r="CD717" s="247">
        <f t="shared" si="1797"/>
        <v>6.0431274130987608E-4</v>
      </c>
      <c r="CE717" s="196">
        <f t="shared" si="1913"/>
        <v>13482.269763075561</v>
      </c>
      <c r="CF717" s="247">
        <f t="shared" si="1798"/>
        <v>5.8220633749602227E-4</v>
      </c>
      <c r="CG717" s="196">
        <f t="shared" si="1877"/>
        <v>23714.297976675203</v>
      </c>
      <c r="CH717" s="589">
        <f t="shared" si="1814"/>
        <v>6.0431274130987598E-4</v>
      </c>
      <c r="CI717" s="196">
        <f t="shared" si="1914"/>
        <v>15356.499752218177</v>
      </c>
      <c r="CJ717" s="248">
        <f t="shared" si="1815"/>
        <v>2.5246081694651671E-4</v>
      </c>
      <c r="CK717" s="196">
        <f t="shared" si="1915"/>
        <v>36814.385610681718</v>
      </c>
      <c r="CL717" s="589">
        <f t="shared" si="1816"/>
        <v>5.2921436554960281E-4</v>
      </c>
      <c r="CM717" s="196">
        <f t="shared" si="1916"/>
        <v>3566.4106421602223</v>
      </c>
      <c r="CN717" s="589">
        <f t="shared" si="1817"/>
        <v>5.1396030454769668E-4</v>
      </c>
      <c r="CO717" s="196">
        <f t="shared" si="1917"/>
        <v>285.29831387911696</v>
      </c>
      <c r="CP717" s="589">
        <f t="shared" si="1818"/>
        <v>5.3802867594587801E-4</v>
      </c>
      <c r="CQ717" s="196">
        <f>'Detailed Budget'!$AC$12</f>
        <v>292876014141.44696</v>
      </c>
      <c r="CR717" s="269">
        <f t="shared" si="1861"/>
        <v>0</v>
      </c>
      <c r="CS717" s="269">
        <f>'Detailed Budget'!$AC$16</f>
        <v>10488008800.000002</v>
      </c>
      <c r="CT717" s="607">
        <f t="shared" si="1878"/>
        <v>0</v>
      </c>
      <c r="CU717" s="269">
        <f>'Detailed Budget'!$AC$24</f>
        <v>30624985696</v>
      </c>
      <c r="CV717" s="269">
        <f t="shared" si="1868"/>
        <v>0</v>
      </c>
      <c r="CW717" s="269"/>
      <c r="CX717" s="269">
        <f t="shared" si="1810"/>
        <v>0</v>
      </c>
      <c r="CY717" s="196">
        <f>'Detailed Budget'!$AC$97</f>
        <v>74629165494.837845</v>
      </c>
      <c r="CZ717" s="269">
        <f t="shared" si="1879"/>
        <v>73111807.394575268</v>
      </c>
      <c r="DA717" s="269">
        <f>'Detailed Budget'!$AC$100</f>
        <v>14925833098.967569</v>
      </c>
      <c r="DB717" s="269">
        <f t="shared" si="1880"/>
        <v>14622361.478915052</v>
      </c>
      <c r="DC717" s="269">
        <f t="shared" si="1799"/>
        <v>87734168.873490319</v>
      </c>
      <c r="DD717" s="207">
        <v>0</v>
      </c>
      <c r="DE717" s="606">
        <v>0</v>
      </c>
      <c r="DF717" s="269">
        <f>'Detailed Budget'!$AC$147</f>
        <v>5913600671000</v>
      </c>
      <c r="DG717" s="269">
        <f t="shared" si="1863"/>
        <v>0</v>
      </c>
      <c r="DH717" s="269">
        <f>'Detailed Budget'!$AC$153</f>
        <v>226428026880.00003</v>
      </c>
      <c r="DI717" s="269"/>
      <c r="DJ717" s="269">
        <f>'Detailed Budget'!$AC$156</f>
        <v>27713070000</v>
      </c>
      <c r="DK717" s="269"/>
      <c r="DL717" s="269"/>
      <c r="DM717" s="196">
        <f>'Detailed Budget'!$AC$178</f>
        <v>5622683761.6229038</v>
      </c>
      <c r="DN717" s="269">
        <f t="shared" si="1918"/>
        <v>0</v>
      </c>
      <c r="DO717" s="196">
        <f>'Detailed Budget'!$AC$179</f>
        <v>26827890683.128094</v>
      </c>
      <c r="DP717" s="269">
        <f t="shared" si="1919"/>
        <v>0</v>
      </c>
      <c r="DQ717" s="269">
        <f t="shared" si="1862"/>
        <v>0</v>
      </c>
      <c r="DR717" s="269">
        <f>'Detailed Budget'!$AC$181</f>
        <v>50888946855.375237</v>
      </c>
      <c r="DS717" s="269">
        <f t="shared" si="1920"/>
        <v>0</v>
      </c>
      <c r="DT717" s="269">
        <f t="shared" si="1921"/>
        <v>0</v>
      </c>
      <c r="DU717" s="272">
        <f>'Detailed Budget'!$AC$192</f>
        <v>77498869683.252869</v>
      </c>
      <c r="DV717" s="269">
        <f t="shared" si="1881"/>
        <v>46833554.386703387</v>
      </c>
      <c r="DW717" s="140">
        <f>'Detailed Budget'!$AC$194</f>
        <v>2684962805.4134097</v>
      </c>
      <c r="DX717" s="269">
        <f t="shared" si="1882"/>
        <v>1622557.2332544327</v>
      </c>
      <c r="DY717" s="607">
        <f t="shared" si="1800"/>
        <v>48456111.61995782</v>
      </c>
      <c r="DZ717" s="196">
        <f>'Detailed Budget'!$AC$198</f>
        <v>18732540018.380611</v>
      </c>
      <c r="EA717" s="269">
        <f t="shared" si="1883"/>
        <v>10906203.516099045</v>
      </c>
      <c r="EB717" s="196">
        <f>'Detailed Budget'!$AC$200</f>
        <v>4683135004.5951529</v>
      </c>
      <c r="EC717" s="269">
        <f t="shared" si="1884"/>
        <v>2726550.8790247613</v>
      </c>
      <c r="ED717" s="269">
        <f t="shared" si="1801"/>
        <v>13632754.395123806</v>
      </c>
      <c r="EE717" s="196">
        <f>'Detailed Budget'!$AC$161</f>
        <v>251147290106.36197</v>
      </c>
      <c r="EF717" s="269">
        <f t="shared" si="1885"/>
        <v>151771507.3567223</v>
      </c>
      <c r="EG717" s="196">
        <f>'Detailed Budget'!$AC$163</f>
        <v>15696705631.647623</v>
      </c>
      <c r="EH717" s="269">
        <f t="shared" si="1886"/>
        <v>9485719.2097951435</v>
      </c>
      <c r="EI717" s="269">
        <f t="shared" si="1802"/>
        <v>161257226.56651744</v>
      </c>
      <c r="EJ717" s="196">
        <f>'Detailed Budget'!$AC$204</f>
        <v>45012172507.531975</v>
      </c>
      <c r="EK717" s="269">
        <f t="shared" si="1887"/>
        <v>11363809.843789062</v>
      </c>
      <c r="EL717" s="201">
        <f>'Detailed Budget'!$AC$206</f>
        <v>11253043126.882994</v>
      </c>
      <c r="EM717" s="269">
        <f t="shared" si="1888"/>
        <v>2840952.4609472654</v>
      </c>
      <c r="EN717" s="269">
        <f t="shared" si="1803"/>
        <v>14204762.304736327</v>
      </c>
      <c r="EO717" s="140">
        <f>'Detailed Budget'!$AC$209</f>
        <v>135789361677.54817</v>
      </c>
      <c r="EP717" s="269">
        <f t="shared" si="1889"/>
        <v>71861680.888569206</v>
      </c>
      <c r="EQ717" s="196">
        <f>'Detailed Budget'!$AC$211</f>
        <v>33947340419.387043</v>
      </c>
      <c r="ER717" s="269">
        <f t="shared" si="1890"/>
        <v>17965420.222142301</v>
      </c>
      <c r="ES717" s="269">
        <f t="shared" si="1804"/>
        <v>89827101.110711515</v>
      </c>
      <c r="ET717" s="196">
        <f>'Detailed Budget'!$AC$214</f>
        <v>22239745544.201103</v>
      </c>
      <c r="EU717" s="269">
        <f t="shared" si="1891"/>
        <v>11430346.39296088</v>
      </c>
      <c r="EV717" s="140">
        <f>'Detailed Budget'!$AC$217</f>
        <v>5559936386.0502758</v>
      </c>
      <c r="EW717" s="269">
        <f t="shared" si="1892"/>
        <v>2857586.59824022</v>
      </c>
      <c r="EX717" s="269">
        <f t="shared" si="1805"/>
        <v>14287932.991201099</v>
      </c>
      <c r="EY717" s="196">
        <f>'Detailed Budget'!$AC$219</f>
        <v>372777004.58170313</v>
      </c>
      <c r="EZ717" s="269">
        <f t="shared" si="1893"/>
        <v>200564.71819816422</v>
      </c>
      <c r="FA717" s="196">
        <f>'Detailed Budget'!$AC$222</f>
        <v>93194251.145425782</v>
      </c>
      <c r="FB717" s="269">
        <f t="shared" si="1894"/>
        <v>50141.179549541055</v>
      </c>
      <c r="FC717" s="269">
        <f t="shared" si="1806"/>
        <v>250705.89774770528</v>
      </c>
      <c r="FD717" s="269"/>
      <c r="FE717" s="269">
        <f t="shared" si="1807"/>
        <v>118570502.30439666</v>
      </c>
      <c r="FF717" s="140">
        <f>'Detailed Budget'!$AC$165</f>
        <v>14927760000</v>
      </c>
      <c r="FG717" s="1087">
        <f t="shared" si="1864"/>
        <v>161738013.78164744</v>
      </c>
      <c r="FH717" s="269">
        <f t="shared" si="1895"/>
        <v>20353723.440518126</v>
      </c>
      <c r="FJ717" s="140">
        <f>'Detailed Budget'!$AC$235</f>
        <v>3623696172</v>
      </c>
      <c r="FK717" s="269">
        <f t="shared" si="1896"/>
        <v>4681778</v>
      </c>
      <c r="FL717" s="269">
        <f t="shared" si="1865"/>
        <v>4681778</v>
      </c>
      <c r="FO717" s="607"/>
      <c r="FP717" s="607"/>
      <c r="FQ717" s="607"/>
      <c r="FR717" s="269">
        <f>'Detailed Budget'!$AC$257</f>
        <v>13636439388</v>
      </c>
      <c r="FS717" s="269">
        <f t="shared" si="1897"/>
        <v>10992696</v>
      </c>
      <c r="FT717" s="269">
        <f t="shared" si="1866"/>
        <v>10992696</v>
      </c>
      <c r="FU717" s="269"/>
      <c r="FV717" s="269"/>
      <c r="FW717" s="269"/>
      <c r="FX717" s="140">
        <f>'Detailed Budget'!$AC$278</f>
        <v>1114560000</v>
      </c>
      <c r="FY717" s="269">
        <f t="shared" si="1898"/>
        <v>1440000</v>
      </c>
      <c r="FZ717" s="269">
        <f t="shared" si="1867"/>
        <v>1440000</v>
      </c>
      <c r="GB717" s="269">
        <f t="shared" si="1899"/>
        <v>628856974.98165166</v>
      </c>
      <c r="GC717" s="887">
        <f t="shared" si="1808"/>
        <v>393035.60936353228</v>
      </c>
      <c r="GD717" s="1078">
        <f t="shared" si="1900"/>
        <v>3.5287145080423567E-4</v>
      </c>
    </row>
    <row r="718" spans="1:186" hidden="1" outlineLevel="1">
      <c r="A718" s="211" t="s">
        <v>1525</v>
      </c>
      <c r="B718" s="212" t="s">
        <v>1526</v>
      </c>
      <c r="C718" s="213" t="s">
        <v>215</v>
      </c>
      <c r="D718" s="214"/>
      <c r="E718" s="213"/>
      <c r="F718" s="213"/>
      <c r="G718" s="213" t="s">
        <v>215</v>
      </c>
      <c r="H718" s="213" t="s">
        <v>215</v>
      </c>
      <c r="I718" s="214" t="s">
        <v>215</v>
      </c>
      <c r="J718" s="214"/>
      <c r="K718" s="213"/>
      <c r="L718" s="213"/>
      <c r="M718" s="214"/>
      <c r="N718" s="213"/>
      <c r="O718" s="214" t="s">
        <v>215</v>
      </c>
      <c r="P718" s="213"/>
      <c r="Q718" s="214"/>
      <c r="R718" s="214" t="s">
        <v>215</v>
      </c>
      <c r="S718" s="214"/>
      <c r="T718" s="214"/>
      <c r="U718" s="215">
        <f t="shared" si="1905"/>
        <v>6</v>
      </c>
      <c r="V718" s="845" t="s">
        <v>216</v>
      </c>
      <c r="W718" s="216">
        <v>138340</v>
      </c>
      <c r="X718" s="217">
        <v>3.11</v>
      </c>
      <c r="Y718" s="218">
        <f t="shared" si="1785"/>
        <v>1.0310999999999999</v>
      </c>
      <c r="Z718" s="196">
        <v>19</v>
      </c>
      <c r="AA718" s="218">
        <f t="shared" si="1786"/>
        <v>1.7894309732827145</v>
      </c>
      <c r="AB718" s="196">
        <f t="shared" si="1902"/>
        <v>247549.88084393073</v>
      </c>
      <c r="AC718">
        <v>11.5</v>
      </c>
      <c r="AD718" s="196">
        <f t="shared" si="1903"/>
        <v>28468.236297052033</v>
      </c>
      <c r="AE718" s="196">
        <f t="shared" si="1787"/>
        <v>27044.82448219943</v>
      </c>
      <c r="AF718" s="196">
        <f t="shared" si="1906"/>
        <v>0</v>
      </c>
      <c r="AG718" s="606">
        <f t="shared" si="1811"/>
        <v>1.2504339550527652E-3</v>
      </c>
      <c r="AH718" s="196">
        <f t="shared" si="1922"/>
        <v>12377.494042196537</v>
      </c>
      <c r="AI718" s="248">
        <f t="shared" si="1790"/>
        <v>9.5886570971369866E-4</v>
      </c>
      <c r="AJ718" s="196">
        <f t="shared" si="1791"/>
        <v>40845.73033924857</v>
      </c>
      <c r="AK718" s="196">
        <f t="shared" si="1858"/>
        <v>9901.9952337572304</v>
      </c>
      <c r="AL718" s="196">
        <f t="shared" si="1859"/>
        <v>9901.9952337572304</v>
      </c>
      <c r="AM718" s="196">
        <f t="shared" si="1792"/>
        <v>19803.990467514461</v>
      </c>
      <c r="AN718" s="627">
        <f t="shared" si="1793"/>
        <v>9.5886570971369877E-4</v>
      </c>
      <c r="AO718" s="196">
        <f t="shared" si="1794"/>
        <v>9406.8954720693673</v>
      </c>
      <c r="AP718" s="589">
        <f t="shared" si="1812"/>
        <v>9.5886570971369866E-4</v>
      </c>
      <c r="AQ718" s="196"/>
      <c r="AR718" s="589"/>
      <c r="AS718">
        <v>1</v>
      </c>
      <c r="AT718" s="589">
        <f t="shared" si="1813"/>
        <v>1.2919896640826874E-3</v>
      </c>
      <c r="AU718" s="196">
        <v>11</v>
      </c>
      <c r="AV718" s="245">
        <f t="shared" si="1795"/>
        <v>1.2498579706851495E-3</v>
      </c>
      <c r="AX718" s="245"/>
      <c r="AY718" s="245"/>
      <c r="AZ718" s="196">
        <v>16</v>
      </c>
      <c r="BA718" s="589">
        <f t="shared" si="1871"/>
        <v>5.8627386317833719E-4</v>
      </c>
      <c r="BI718" s="196">
        <v>0</v>
      </c>
      <c r="BK718" s="246">
        <f t="shared" si="1872"/>
        <v>0</v>
      </c>
      <c r="BL718" s="246"/>
      <c r="BM718" s="246">
        <f t="shared" si="1873"/>
        <v>0</v>
      </c>
      <c r="BN718" s="196">
        <v>1</v>
      </c>
      <c r="BO718" s="196">
        <f t="shared" si="1907"/>
        <v>16617.006851035654</v>
      </c>
      <c r="BP718" s="196">
        <f t="shared" si="1796"/>
        <v>16617.006851035654</v>
      </c>
      <c r="BQ718" s="248">
        <f t="shared" si="1874"/>
        <v>1.5544436097011062E-3</v>
      </c>
      <c r="BR718" s="248"/>
      <c r="BS718" s="248"/>
      <c r="BT718" s="276">
        <v>0</v>
      </c>
      <c r="BU718" s="196">
        <f t="shared" si="1908"/>
        <v>0</v>
      </c>
      <c r="BV718" s="264">
        <f t="shared" si="1875"/>
        <v>0</v>
      </c>
      <c r="BW718" s="196">
        <f t="shared" si="1909"/>
        <v>0</v>
      </c>
      <c r="BX718" s="247">
        <f t="shared" si="1876"/>
        <v>0</v>
      </c>
      <c r="BY718" s="196">
        <f t="shared" si="1910"/>
        <v>0</v>
      </c>
      <c r="BZ718" s="620">
        <v>1</v>
      </c>
      <c r="CA718" s="196">
        <f t="shared" si="1911"/>
        <v>75750.263538242798</v>
      </c>
      <c r="CB718" s="196">
        <f t="shared" si="1912"/>
        <v>151500.5270764856</v>
      </c>
      <c r="CC718" s="196">
        <f t="shared" si="1809"/>
        <v>227250.79061472841</v>
      </c>
      <c r="CD718" s="247">
        <f t="shared" si="1797"/>
        <v>9.5886570971369866E-4</v>
      </c>
      <c r="CE718" s="196">
        <f t="shared" si="1913"/>
        <v>21392.37729276008</v>
      </c>
      <c r="CF718" s="247">
        <f t="shared" si="1798"/>
        <v>9.2378938063243047E-4</v>
      </c>
      <c r="CG718" s="196">
        <f t="shared" si="1877"/>
        <v>37627.581888277469</v>
      </c>
      <c r="CH718" s="589">
        <f t="shared" si="1814"/>
        <v>9.5886570971369866E-4</v>
      </c>
      <c r="CI718" s="196">
        <f t="shared" si="1914"/>
        <v>24366.226337892836</v>
      </c>
      <c r="CJ718" s="248">
        <f t="shared" si="1815"/>
        <v>4.0058069914529829E-4</v>
      </c>
      <c r="CK718" s="196">
        <f t="shared" si="1915"/>
        <v>58413.549100000113</v>
      </c>
      <c r="CL718" s="589">
        <f t="shared" si="1816"/>
        <v>8.397067834669395E-4</v>
      </c>
      <c r="CM718" s="196">
        <f t="shared" si="1916"/>
        <v>5658.8396003583703</v>
      </c>
      <c r="CN718" s="589">
        <f t="shared" si="1817"/>
        <v>8.1550309714898295E-4</v>
      </c>
      <c r="CO718" s="196">
        <f t="shared" si="1917"/>
        <v>452.68410132286976</v>
      </c>
      <c r="CP718" s="589">
        <f t="shared" si="1818"/>
        <v>8.5369248890720842E-4</v>
      </c>
      <c r="CQ718" s="196">
        <f>'Detailed Budget'!$AC$12</f>
        <v>292876014141.44696</v>
      </c>
      <c r="CR718" s="269">
        <f t="shared" si="1861"/>
        <v>0</v>
      </c>
      <c r="CS718" s="269">
        <f>'Detailed Budget'!$AC$16</f>
        <v>10488008800.000002</v>
      </c>
      <c r="CT718" s="607">
        <f t="shared" si="1878"/>
        <v>0</v>
      </c>
      <c r="CU718" s="269">
        <f>'Detailed Budget'!$AC$24</f>
        <v>30624985696</v>
      </c>
      <c r="CV718" s="269">
        <f t="shared" si="1868"/>
        <v>0</v>
      </c>
      <c r="CW718" s="269"/>
      <c r="CX718" s="269">
        <f t="shared" si="1810"/>
        <v>0</v>
      </c>
      <c r="CY718" s="196">
        <f>'Detailed Budget'!$AC$97</f>
        <v>74629165494.837845</v>
      </c>
      <c r="CZ718" s="269">
        <f t="shared" si="1879"/>
        <v>116006829.40077698</v>
      </c>
      <c r="DA718" s="269">
        <f>'Detailed Budget'!$AC$100</f>
        <v>14925833098.967569</v>
      </c>
      <c r="DB718" s="269">
        <f t="shared" si="1880"/>
        <v>23201365.880155396</v>
      </c>
      <c r="DC718" s="269">
        <f t="shared" si="1799"/>
        <v>139208195.28093237</v>
      </c>
      <c r="DD718" s="207">
        <v>0</v>
      </c>
      <c r="DE718" s="606">
        <v>0</v>
      </c>
      <c r="DF718" s="269">
        <f>'Detailed Budget'!$AC$147</f>
        <v>5913600671000</v>
      </c>
      <c r="DG718" s="269">
        <f t="shared" si="1863"/>
        <v>0</v>
      </c>
      <c r="DH718" s="269">
        <f>'Detailed Budget'!$AC$153</f>
        <v>226428026880.00003</v>
      </c>
      <c r="DI718" s="269"/>
      <c r="DJ718" s="269">
        <f>'Detailed Budget'!$AC$156</f>
        <v>27713070000</v>
      </c>
      <c r="DK718" s="269"/>
      <c r="DL718" s="269"/>
      <c r="DM718" s="196">
        <f>'Detailed Budget'!$AC$178</f>
        <v>5622683761.6229038</v>
      </c>
      <c r="DN718" s="269">
        <f t="shared" si="1918"/>
        <v>0</v>
      </c>
      <c r="DO718" s="196">
        <f>'Detailed Budget'!$AC$179</f>
        <v>26827890683.128094</v>
      </c>
      <c r="DP718" s="269">
        <f t="shared" si="1919"/>
        <v>0</v>
      </c>
      <c r="DQ718" s="269">
        <f t="shared" si="1862"/>
        <v>0</v>
      </c>
      <c r="DR718" s="269">
        <f>'Detailed Budget'!$AC$181</f>
        <v>50888946855.375237</v>
      </c>
      <c r="DS718" s="269">
        <f t="shared" si="1920"/>
        <v>0</v>
      </c>
      <c r="DT718" s="269">
        <f t="shared" si="1921"/>
        <v>0</v>
      </c>
      <c r="DU718" s="272">
        <f>'Detailed Budget'!$AC$192</f>
        <v>77498869683.252869</v>
      </c>
      <c r="DV718" s="269">
        <f t="shared" si="1881"/>
        <v>74311008.680841714</v>
      </c>
      <c r="DW718" s="140">
        <f>'Detailed Budget'!$AC$194</f>
        <v>2684962805.4134097</v>
      </c>
      <c r="DX718" s="269">
        <f t="shared" si="1882"/>
        <v>2574518.7659676126</v>
      </c>
      <c r="DY718" s="607">
        <f t="shared" si="1800"/>
        <v>76885527.446809322</v>
      </c>
      <c r="DZ718" s="196">
        <f>'Detailed Budget'!$AC$198</f>
        <v>18732540018.380611</v>
      </c>
      <c r="EA718" s="269">
        <f t="shared" si="1883"/>
        <v>17304921.541252043</v>
      </c>
      <c r="EB718" s="196">
        <f>'Detailed Budget'!$AC$200</f>
        <v>4683135004.5951529</v>
      </c>
      <c r="EC718" s="269">
        <f t="shared" si="1884"/>
        <v>4326230.3853130108</v>
      </c>
      <c r="ED718" s="269">
        <f t="shared" si="1801"/>
        <v>21631151.926565055</v>
      </c>
      <c r="EE718" s="196">
        <f>'Detailed Budget'!$AC$161</f>
        <v>251147290106.36197</v>
      </c>
      <c r="EF718" s="269">
        <f t="shared" si="1885"/>
        <v>240816524.57050893</v>
      </c>
      <c r="EG718" s="196">
        <f>'Detailed Budget'!$AC$163</f>
        <v>15696705631.647623</v>
      </c>
      <c r="EH718" s="269">
        <f t="shared" si="1886"/>
        <v>15051032.785656808</v>
      </c>
      <c r="EI718" s="269">
        <f t="shared" si="1802"/>
        <v>255867557.35616574</v>
      </c>
      <c r="EJ718" s="196">
        <f>'Detailed Budget'!$AC$204</f>
        <v>45012172507.531975</v>
      </c>
      <c r="EK718" s="269">
        <f t="shared" si="1887"/>
        <v>18031007.533115935</v>
      </c>
      <c r="EL718" s="201">
        <f>'Detailed Budget'!$AC$206</f>
        <v>11253043126.882994</v>
      </c>
      <c r="EM718" s="269">
        <f t="shared" si="1888"/>
        <v>4507751.8832789836</v>
      </c>
      <c r="EN718" s="269">
        <f t="shared" si="1803"/>
        <v>22538759.416394919</v>
      </c>
      <c r="EO718" s="140">
        <f>'Detailed Budget'!$AC$209</f>
        <v>135789361677.54817</v>
      </c>
      <c r="EP718" s="269">
        <f t="shared" si="1889"/>
        <v>114023248.12328288</v>
      </c>
      <c r="EQ718" s="196">
        <f>'Detailed Budget'!$AC$211</f>
        <v>33947340419.387043</v>
      </c>
      <c r="ER718" s="269">
        <f t="shared" si="1890"/>
        <v>28505812.03082072</v>
      </c>
      <c r="ES718" s="269">
        <f t="shared" si="1804"/>
        <v>142529060.15410361</v>
      </c>
      <c r="ET718" s="196">
        <f>'Detailed Budget'!$AC$214</f>
        <v>22239745544.201103</v>
      </c>
      <c r="EU718" s="269">
        <f t="shared" si="1891"/>
        <v>18136581.371101294</v>
      </c>
      <c r="EV718" s="140">
        <f>'Detailed Budget'!$AC$217</f>
        <v>5559936386.0502758</v>
      </c>
      <c r="EW718" s="269">
        <f t="shared" si="1892"/>
        <v>4534145.3427753234</v>
      </c>
      <c r="EX718" s="269">
        <f t="shared" si="1805"/>
        <v>22670726.713876616</v>
      </c>
      <c r="EY718" s="196">
        <f>'Detailed Budget'!$AC$219</f>
        <v>372777004.58170313</v>
      </c>
      <c r="EZ718" s="269">
        <f t="shared" si="1893"/>
        <v>318236.92884872796</v>
      </c>
      <c r="FA718" s="196">
        <f>'Detailed Budget'!$AC$222</f>
        <v>93194251.145425782</v>
      </c>
      <c r="FB718" s="269">
        <f t="shared" si="1894"/>
        <v>79559.232212181989</v>
      </c>
      <c r="FC718" s="269">
        <f t="shared" si="1806"/>
        <v>397796.16106090997</v>
      </c>
      <c r="FD718" s="269"/>
      <c r="FE718" s="269">
        <f t="shared" si="1807"/>
        <v>188136342.44543603</v>
      </c>
      <c r="FF718" s="140">
        <f>'Detailed Budget'!$AC$165</f>
        <v>14927760000</v>
      </c>
      <c r="FG718" s="1087">
        <f t="shared" si="1864"/>
        <v>256630424.56505102</v>
      </c>
      <c r="FH718" s="269">
        <f t="shared" si="1895"/>
        <v>18657579.820474949</v>
      </c>
      <c r="FJ718" s="140">
        <f>'Detailed Budget'!$AC$235</f>
        <v>3623696172</v>
      </c>
      <c r="FK718" s="269">
        <f t="shared" si="1896"/>
        <v>4681778</v>
      </c>
      <c r="FL718" s="269">
        <f t="shared" si="1865"/>
        <v>4681778</v>
      </c>
      <c r="FO718" s="607"/>
      <c r="FP718" s="607"/>
      <c r="FQ718" s="607"/>
      <c r="FR718" s="269">
        <f>'Detailed Budget'!$AC$257</f>
        <v>13636439388</v>
      </c>
      <c r="FS718" s="269">
        <f t="shared" si="1897"/>
        <v>7994688</v>
      </c>
      <c r="FT718" s="269">
        <f t="shared" si="1866"/>
        <v>7994688</v>
      </c>
      <c r="FU718" s="269"/>
      <c r="FV718" s="269"/>
      <c r="FW718" s="269"/>
      <c r="FX718" s="140">
        <f>'Detailed Budget'!$AC$278</f>
        <v>1114560000</v>
      </c>
      <c r="FY718" s="269">
        <f t="shared" si="1898"/>
        <v>1440000</v>
      </c>
      <c r="FZ718" s="269">
        <f t="shared" si="1867"/>
        <v>1440000</v>
      </c>
      <c r="GB718" s="269">
        <f t="shared" si="1899"/>
        <v>971133244.8414346</v>
      </c>
      <c r="GC718" s="887">
        <f t="shared" si="1808"/>
        <v>606958.27802589664</v>
      </c>
      <c r="GD718" s="1078">
        <f t="shared" si="1900"/>
        <v>5.4493344379526144E-4</v>
      </c>
    </row>
    <row r="719" spans="1:186" hidden="1" outlineLevel="1">
      <c r="A719" s="211" t="s">
        <v>1527</v>
      </c>
      <c r="B719" s="212" t="s">
        <v>1528</v>
      </c>
      <c r="C719" s="213" t="s">
        <v>215</v>
      </c>
      <c r="D719" s="214"/>
      <c r="E719" s="213"/>
      <c r="F719" s="213"/>
      <c r="G719" s="213" t="s">
        <v>215</v>
      </c>
      <c r="H719" s="213" t="s">
        <v>215</v>
      </c>
      <c r="I719" s="214" t="s">
        <v>215</v>
      </c>
      <c r="J719" s="214"/>
      <c r="K719" s="213"/>
      <c r="L719" s="213"/>
      <c r="M719" s="214"/>
      <c r="N719" s="213" t="s">
        <v>215</v>
      </c>
      <c r="O719" s="214"/>
      <c r="P719" s="213"/>
      <c r="Q719" s="214"/>
      <c r="R719" s="214" t="s">
        <v>215</v>
      </c>
      <c r="S719" s="214"/>
      <c r="T719" s="214"/>
      <c r="U719" s="215">
        <f t="shared" si="1905"/>
        <v>6</v>
      </c>
      <c r="V719" s="845" t="s">
        <v>216</v>
      </c>
      <c r="W719" s="216">
        <v>165087</v>
      </c>
      <c r="X719" s="217">
        <v>3.11</v>
      </c>
      <c r="Y719" s="218">
        <f t="shared" si="1785"/>
        <v>1.0310999999999999</v>
      </c>
      <c r="Z719" s="196">
        <v>19</v>
      </c>
      <c r="AA719" s="218">
        <f t="shared" si="1786"/>
        <v>1.7894309732827145</v>
      </c>
      <c r="AB719" s="196">
        <f t="shared" si="1902"/>
        <v>295411.7910863235</v>
      </c>
      <c r="AC719">
        <v>11.5</v>
      </c>
      <c r="AD719" s="196">
        <f t="shared" si="1903"/>
        <v>33972.355974927203</v>
      </c>
      <c r="AE719" s="196">
        <f t="shared" si="1787"/>
        <v>32273.738176180839</v>
      </c>
      <c r="AF719" s="196">
        <f t="shared" si="1906"/>
        <v>0</v>
      </c>
      <c r="AG719" s="606">
        <f t="shared" si="1811"/>
        <v>1.4921959689012279E-3</v>
      </c>
      <c r="AH719" s="196">
        <f t="shared" si="1922"/>
        <v>14770.589554316175</v>
      </c>
      <c r="AI719" s="248">
        <f t="shared" si="1790"/>
        <v>1.1442551931437428E-3</v>
      </c>
      <c r="AJ719" s="196">
        <f t="shared" si="1791"/>
        <v>48742.945529243378</v>
      </c>
      <c r="AK719" s="196">
        <f t="shared" si="1858"/>
        <v>11816.47164345294</v>
      </c>
      <c r="AL719" s="196">
        <f t="shared" si="1859"/>
        <v>11816.47164345294</v>
      </c>
      <c r="AM719" s="196">
        <f t="shared" si="1792"/>
        <v>23632.94328690588</v>
      </c>
      <c r="AN719" s="627">
        <f t="shared" si="1793"/>
        <v>1.1442551931437428E-3</v>
      </c>
      <c r="AO719" s="196">
        <f t="shared" si="1794"/>
        <v>11225.648061280293</v>
      </c>
      <c r="AP719" s="589">
        <f t="shared" si="1812"/>
        <v>1.1442551931437428E-3</v>
      </c>
      <c r="AQ719" s="196"/>
      <c r="AR719" s="589"/>
      <c r="AS719">
        <v>1</v>
      </c>
      <c r="AT719" s="589">
        <f t="shared" si="1813"/>
        <v>1.2919896640826874E-3</v>
      </c>
      <c r="AU719" s="196">
        <v>11</v>
      </c>
      <c r="AV719" s="245">
        <f t="shared" si="1795"/>
        <v>1.2498579706851495E-3</v>
      </c>
      <c r="AX719" s="245"/>
      <c r="AY719" s="245"/>
      <c r="AZ719" s="196">
        <v>21</v>
      </c>
      <c r="BA719" s="589">
        <f t="shared" si="1871"/>
        <v>7.6948444542156754E-4</v>
      </c>
      <c r="BI719" s="196">
        <v>0</v>
      </c>
      <c r="BK719" s="246">
        <f t="shared" si="1872"/>
        <v>0</v>
      </c>
      <c r="BL719" s="246"/>
      <c r="BM719" s="246">
        <f t="shared" si="1873"/>
        <v>0</v>
      </c>
      <c r="BN719" s="196">
        <v>1</v>
      </c>
      <c r="BO719" s="196">
        <f t="shared" si="1907"/>
        <v>19829.780323962143</v>
      </c>
      <c r="BP719" s="196">
        <f t="shared" si="1796"/>
        <v>19829.780323962143</v>
      </c>
      <c r="BQ719" s="248">
        <f t="shared" si="1874"/>
        <v>1.8549836070169618E-3</v>
      </c>
      <c r="BR719" s="248"/>
      <c r="BS719" s="248"/>
      <c r="BT719" s="276">
        <v>0</v>
      </c>
      <c r="BU719" s="196">
        <f t="shared" si="1908"/>
        <v>0</v>
      </c>
      <c r="BV719" s="264">
        <f t="shared" si="1875"/>
        <v>0</v>
      </c>
      <c r="BW719" s="196">
        <f t="shared" si="1909"/>
        <v>0</v>
      </c>
      <c r="BX719" s="247">
        <f t="shared" si="1876"/>
        <v>0</v>
      </c>
      <c r="BY719" s="196">
        <f t="shared" si="1910"/>
        <v>0</v>
      </c>
      <c r="BZ719" s="620">
        <v>1</v>
      </c>
      <c r="CA719" s="196">
        <f t="shared" si="1911"/>
        <v>90396.008072414988</v>
      </c>
      <c r="CB719" s="196">
        <f t="shared" si="1912"/>
        <v>180792.01614482998</v>
      </c>
      <c r="CC719" s="196">
        <f t="shared" si="1809"/>
        <v>271188.02421724494</v>
      </c>
      <c r="CD719" s="247">
        <f t="shared" si="1797"/>
        <v>1.1442551931437426E-3</v>
      </c>
      <c r="CE719" s="196">
        <f t="shared" si="1913"/>
        <v>25528.432775263002</v>
      </c>
      <c r="CF719" s="247">
        <f t="shared" si="1798"/>
        <v>1.1023971192747294E-3</v>
      </c>
      <c r="CG719" s="196">
        <f t="shared" si="1877"/>
        <v>44902.592245121174</v>
      </c>
      <c r="CH719" s="589">
        <f t="shared" si="1814"/>
        <v>1.1442551931437428E-3</v>
      </c>
      <c r="CI719" s="196">
        <f t="shared" si="1914"/>
        <v>29077.253198234168</v>
      </c>
      <c r="CJ719" s="248">
        <f t="shared" si="1815"/>
        <v>4.7802996877114256E-4</v>
      </c>
      <c r="CK719" s="196">
        <f t="shared" si="1915"/>
        <v>69707.370104609799</v>
      </c>
      <c r="CL719" s="589">
        <f t="shared" si="1816"/>
        <v>1.0020577834480749E-3</v>
      </c>
      <c r="CM719" s="196">
        <f t="shared" si="1916"/>
        <v>6752.9337364779694</v>
      </c>
      <c r="CN719" s="589">
        <f t="shared" si="1817"/>
        <v>9.7317449616187758E-4</v>
      </c>
      <c r="CO719" s="196">
        <f t="shared" si="1917"/>
        <v>540.20717243811339</v>
      </c>
      <c r="CP719" s="589">
        <f t="shared" si="1818"/>
        <v>1.0187475199958387E-3</v>
      </c>
      <c r="CQ719" s="196">
        <f>'Detailed Budget'!$AC$12</f>
        <v>292876014141.44696</v>
      </c>
      <c r="CR719" s="269">
        <f t="shared" si="1861"/>
        <v>0</v>
      </c>
      <c r="CS719" s="269">
        <f>'Detailed Budget'!$AC$16</f>
        <v>10488008800.000002</v>
      </c>
      <c r="CT719" s="607">
        <f t="shared" si="1878"/>
        <v>0</v>
      </c>
      <c r="CU719" s="269">
        <f>'Detailed Budget'!$AC$24</f>
        <v>30624985696</v>
      </c>
      <c r="CV719" s="269">
        <f t="shared" si="1868"/>
        <v>0</v>
      </c>
      <c r="CW719" s="269"/>
      <c r="CX719" s="269">
        <f t="shared" si="1810"/>
        <v>0</v>
      </c>
      <c r="CY719" s="196">
        <f>'Detailed Budget'!$AC$97</f>
        <v>74629165494.837845</v>
      </c>
      <c r="CZ719" s="269">
        <f t="shared" si="1879"/>
        <v>138435878.5982801</v>
      </c>
      <c r="DA719" s="269">
        <f>'Detailed Budget'!$AC$100</f>
        <v>14925833098.967569</v>
      </c>
      <c r="DB719" s="269">
        <f t="shared" si="1880"/>
        <v>27687175.71965602</v>
      </c>
      <c r="DC719" s="269">
        <f t="shared" si="1799"/>
        <v>166123054.31793612</v>
      </c>
      <c r="DD719" s="207">
        <v>0</v>
      </c>
      <c r="DE719" s="606">
        <v>0</v>
      </c>
      <c r="DF719" s="269">
        <f>'Detailed Budget'!$AC$147</f>
        <v>5913600671000</v>
      </c>
      <c r="DG719" s="269">
        <f t="shared" si="1863"/>
        <v>0</v>
      </c>
      <c r="DH719" s="269">
        <f>'Detailed Budget'!$AC$153</f>
        <v>226428026880.00003</v>
      </c>
      <c r="DI719" s="269"/>
      <c r="DJ719" s="269">
        <f>'Detailed Budget'!$AC$156</f>
        <v>27713070000</v>
      </c>
      <c r="DK719" s="269"/>
      <c r="DL719" s="269"/>
      <c r="DM719" s="196">
        <f>'Detailed Budget'!$AC$178</f>
        <v>5622683761.6229038</v>
      </c>
      <c r="DN719" s="269">
        <f t="shared" si="1918"/>
        <v>0</v>
      </c>
      <c r="DO719" s="196">
        <f>'Detailed Budget'!$AC$179</f>
        <v>26827890683.128094</v>
      </c>
      <c r="DP719" s="269">
        <f t="shared" si="1919"/>
        <v>0</v>
      </c>
      <c r="DQ719" s="269">
        <f t="shared" si="1862"/>
        <v>0</v>
      </c>
      <c r="DR719" s="269">
        <f>'Detailed Budget'!$AC$181</f>
        <v>50888946855.375237</v>
      </c>
      <c r="DS719" s="269">
        <f t="shared" si="1920"/>
        <v>0</v>
      </c>
      <c r="DT719" s="269">
        <f t="shared" si="1921"/>
        <v>0</v>
      </c>
      <c r="DU719" s="272">
        <f>'Detailed Budget'!$AC$192</f>
        <v>77498869683.252869</v>
      </c>
      <c r="DV719" s="269">
        <f t="shared" si="1881"/>
        <v>88678484.097832248</v>
      </c>
      <c r="DW719" s="140">
        <f>'Detailed Budget'!$AC$194</f>
        <v>2684962805.4134097</v>
      </c>
      <c r="DX719" s="269">
        <f t="shared" si="1882"/>
        <v>3072282.6334920865</v>
      </c>
      <c r="DY719" s="607">
        <f t="shared" si="1800"/>
        <v>91750766.73132433</v>
      </c>
      <c r="DZ719" s="196">
        <f>'Detailed Budget'!$AC$198</f>
        <v>18732540018.380611</v>
      </c>
      <c r="EA719" s="269">
        <f t="shared" si="1883"/>
        <v>20650698.152961373</v>
      </c>
      <c r="EB719" s="196">
        <f>'Detailed Budget'!$AC$200</f>
        <v>4683135004.5951529</v>
      </c>
      <c r="EC719" s="269">
        <f t="shared" si="1884"/>
        <v>5162674.5382403433</v>
      </c>
      <c r="ED719" s="269">
        <f t="shared" si="1801"/>
        <v>25813372.691201717</v>
      </c>
      <c r="EE719" s="196">
        <f>'Detailed Budget'!$AC$161</f>
        <v>251147290106.36197</v>
      </c>
      <c r="EF719" s="269">
        <f t="shared" si="1885"/>
        <v>287376590.94818282</v>
      </c>
      <c r="EG719" s="196">
        <f>'Detailed Budget'!$AC$163</f>
        <v>15696705631.647623</v>
      </c>
      <c r="EH719" s="269">
        <f t="shared" si="1886"/>
        <v>17961036.934261426</v>
      </c>
      <c r="EI719" s="269">
        <f t="shared" si="1802"/>
        <v>305337627.88244426</v>
      </c>
      <c r="EJ719" s="196">
        <f>'Detailed Budget'!$AC$204</f>
        <v>45012172507.531975</v>
      </c>
      <c r="EK719" s="269">
        <f t="shared" si="1887"/>
        <v>21517167.418096792</v>
      </c>
      <c r="EL719" s="201">
        <f>'Detailed Budget'!$AC$206</f>
        <v>11253043126.882994</v>
      </c>
      <c r="EM719" s="269">
        <f t="shared" si="1888"/>
        <v>5379291.854524198</v>
      </c>
      <c r="EN719" s="269">
        <f t="shared" si="1803"/>
        <v>26896459.272620991</v>
      </c>
      <c r="EO719" s="140">
        <f>'Detailed Budget'!$AC$209</f>
        <v>135789361677.54817</v>
      </c>
      <c r="EP719" s="269">
        <f t="shared" si="1889"/>
        <v>136068786.77843288</v>
      </c>
      <c r="EQ719" s="196">
        <f>'Detailed Budget'!$AC$211</f>
        <v>33947340419.387043</v>
      </c>
      <c r="ER719" s="269">
        <f t="shared" si="1890"/>
        <v>34017196.694608219</v>
      </c>
      <c r="ES719" s="269">
        <f t="shared" si="1804"/>
        <v>170085983.47304109</v>
      </c>
      <c r="ET719" s="196">
        <f>'Detailed Budget'!$AC$214</f>
        <v>22239745544.201103</v>
      </c>
      <c r="EU719" s="269">
        <f t="shared" si="1891"/>
        <v>21643153.16474627</v>
      </c>
      <c r="EV719" s="140">
        <f>'Detailed Budget'!$AC$217</f>
        <v>5559936386.0502758</v>
      </c>
      <c r="EW719" s="269">
        <f t="shared" si="1892"/>
        <v>5410788.2911865674</v>
      </c>
      <c r="EX719" s="269">
        <f t="shared" si="1805"/>
        <v>27053941.455932837</v>
      </c>
      <c r="EY719" s="196">
        <f>'Detailed Budget'!$AC$219</f>
        <v>372777004.58170313</v>
      </c>
      <c r="EZ719" s="269">
        <f t="shared" si="1893"/>
        <v>379765.64892908745</v>
      </c>
      <c r="FA719" s="196">
        <f>'Detailed Budget'!$AC$222</f>
        <v>93194251.145425782</v>
      </c>
      <c r="FB719" s="269">
        <f t="shared" si="1894"/>
        <v>94941.412232271861</v>
      </c>
      <c r="FC719" s="269">
        <f t="shared" si="1806"/>
        <v>474707.06116135931</v>
      </c>
      <c r="FD719" s="269"/>
      <c r="FE719" s="269">
        <f t="shared" si="1807"/>
        <v>224511091.26275629</v>
      </c>
      <c r="FF719" s="140">
        <f>'Detailed Budget'!$AC$165</f>
        <v>14927760000</v>
      </c>
      <c r="FG719" s="1087">
        <f t="shared" si="1864"/>
        <v>306247989.73666757</v>
      </c>
      <c r="FH719" s="269">
        <f t="shared" si="1895"/>
        <v>18657579.820474949</v>
      </c>
      <c r="FJ719" s="140">
        <f>'Detailed Budget'!$AC$235</f>
        <v>3623696172</v>
      </c>
      <c r="FK719" s="269">
        <f t="shared" si="1896"/>
        <v>4681778</v>
      </c>
      <c r="FL719" s="269">
        <f t="shared" si="1865"/>
        <v>4681778</v>
      </c>
      <c r="FO719" s="607"/>
      <c r="FP719" s="607"/>
      <c r="FQ719" s="607"/>
      <c r="FR719" s="269">
        <f>'Detailed Budget'!$AC$257</f>
        <v>13636439388</v>
      </c>
      <c r="FS719" s="269">
        <f t="shared" si="1897"/>
        <v>10493028</v>
      </c>
      <c r="FT719" s="269">
        <f t="shared" si="1866"/>
        <v>10493028</v>
      </c>
      <c r="FU719" s="269"/>
      <c r="FV719" s="269"/>
      <c r="FW719" s="269"/>
      <c r="FX719" s="140">
        <f>'Detailed Budget'!$AC$278</f>
        <v>1114560000</v>
      </c>
      <c r="FY719" s="269">
        <f t="shared" si="1898"/>
        <v>1440000</v>
      </c>
      <c r="FZ719" s="269">
        <f t="shared" si="1867"/>
        <v>1440000</v>
      </c>
      <c r="GB719" s="269">
        <f t="shared" si="1899"/>
        <v>1155056288.4428053</v>
      </c>
      <c r="GC719" s="887">
        <f t="shared" si="1808"/>
        <v>721910.18027675326</v>
      </c>
      <c r="GD719" s="1078">
        <f t="shared" si="1900"/>
        <v>6.4813845513164681E-4</v>
      </c>
    </row>
    <row r="720" spans="1:186" hidden="1" outlineLevel="1">
      <c r="A720" s="211" t="s">
        <v>1529</v>
      </c>
      <c r="B720" s="212" t="s">
        <v>1530</v>
      </c>
      <c r="C720" s="213" t="s">
        <v>215</v>
      </c>
      <c r="D720" s="214"/>
      <c r="E720" s="213"/>
      <c r="F720" s="213"/>
      <c r="G720" s="213" t="s">
        <v>215</v>
      </c>
      <c r="H720" s="213" t="s">
        <v>215</v>
      </c>
      <c r="I720" s="214" t="s">
        <v>215</v>
      </c>
      <c r="J720" s="214"/>
      <c r="K720" s="213"/>
      <c r="L720" s="213"/>
      <c r="M720" s="214"/>
      <c r="N720" s="213" t="s">
        <v>215</v>
      </c>
      <c r="O720" s="214"/>
      <c r="P720" s="213"/>
      <c r="Q720" s="214"/>
      <c r="R720" s="214" t="s">
        <v>215</v>
      </c>
      <c r="S720" s="214"/>
      <c r="T720" s="214"/>
      <c r="U720" s="215">
        <f t="shared" si="1905"/>
        <v>6</v>
      </c>
      <c r="V720" s="845" t="s">
        <v>216</v>
      </c>
      <c r="W720" s="216">
        <v>179600</v>
      </c>
      <c r="X720" s="217">
        <v>3.11</v>
      </c>
      <c r="Y720" s="218">
        <f t="shared" si="1785"/>
        <v>1.0310999999999999</v>
      </c>
      <c r="Z720" s="196">
        <v>19</v>
      </c>
      <c r="AA720" s="218">
        <f t="shared" si="1786"/>
        <v>1.7894309732827145</v>
      </c>
      <c r="AB720" s="196">
        <f t="shared" si="1902"/>
        <v>321381.80280157551</v>
      </c>
      <c r="AC720">
        <v>11.5</v>
      </c>
      <c r="AD720" s="196">
        <f t="shared" si="1903"/>
        <v>36958.907322181185</v>
      </c>
      <c r="AE720" s="196">
        <f t="shared" si="1787"/>
        <v>35110.961956072126</v>
      </c>
      <c r="AF720" s="196">
        <f t="shared" si="1906"/>
        <v>0</v>
      </c>
      <c r="AG720" s="606">
        <f t="shared" si="1811"/>
        <v>1.6233767408376221E-3</v>
      </c>
      <c r="AH720" s="196">
        <f t="shared" si="1922"/>
        <v>16069.090140078777</v>
      </c>
      <c r="AI720" s="248">
        <f t="shared" si="1790"/>
        <v>1.244848066102214E-3</v>
      </c>
      <c r="AJ720" s="196">
        <f t="shared" si="1791"/>
        <v>53027.997462259962</v>
      </c>
      <c r="AK720" s="196">
        <f t="shared" si="1858"/>
        <v>12855.272112063021</v>
      </c>
      <c r="AL720" s="196">
        <f t="shared" si="1859"/>
        <v>12855.272112063021</v>
      </c>
      <c r="AM720" s="196">
        <f t="shared" si="1792"/>
        <v>25710.544224126043</v>
      </c>
      <c r="AN720" s="627">
        <f t="shared" si="1793"/>
        <v>1.244848066102214E-3</v>
      </c>
      <c r="AO720" s="196">
        <f t="shared" si="1794"/>
        <v>12212.50850645987</v>
      </c>
      <c r="AP720" s="589">
        <f t="shared" si="1812"/>
        <v>1.244848066102214E-3</v>
      </c>
      <c r="AQ720" s="196"/>
      <c r="AR720" s="589"/>
      <c r="AS720">
        <v>1</v>
      </c>
      <c r="AT720" s="589">
        <f t="shared" si="1813"/>
        <v>1.2919896640826874E-3</v>
      </c>
      <c r="AU720" s="196">
        <v>10</v>
      </c>
      <c r="AV720" s="245">
        <f t="shared" si="1795"/>
        <v>1.1362345188046814E-3</v>
      </c>
      <c r="AX720" s="245"/>
      <c r="AY720" s="245"/>
      <c r="AZ720" s="196">
        <v>27</v>
      </c>
      <c r="BA720" s="589">
        <f t="shared" si="1871"/>
        <v>9.8933714411344391E-4</v>
      </c>
      <c r="BI720" s="196">
        <v>0</v>
      </c>
      <c r="BK720" s="246">
        <f t="shared" si="1872"/>
        <v>0</v>
      </c>
      <c r="BL720" s="246"/>
      <c r="BM720" s="246">
        <f t="shared" si="1873"/>
        <v>0</v>
      </c>
      <c r="BN720" s="196">
        <v>1</v>
      </c>
      <c r="BO720" s="196">
        <f t="shared" si="1907"/>
        <v>21573.040555486506</v>
      </c>
      <c r="BP720" s="196">
        <f t="shared" si="1796"/>
        <v>21573.040555486506</v>
      </c>
      <c r="BQ720" s="248">
        <f t="shared" si="1874"/>
        <v>2.018057483752484E-3</v>
      </c>
      <c r="BR720" s="248"/>
      <c r="BS720" s="248"/>
      <c r="BT720" s="276">
        <v>0</v>
      </c>
      <c r="BU720" s="196">
        <f t="shared" si="1908"/>
        <v>0</v>
      </c>
      <c r="BV720" s="264">
        <f t="shared" si="1875"/>
        <v>0</v>
      </c>
      <c r="BW720" s="196">
        <f t="shared" si="1909"/>
        <v>0</v>
      </c>
      <c r="BX720" s="247">
        <f t="shared" si="1876"/>
        <v>0</v>
      </c>
      <c r="BY720" s="196">
        <f t="shared" si="1910"/>
        <v>0</v>
      </c>
      <c r="BZ720" s="620">
        <v>1</v>
      </c>
      <c r="CA720" s="196">
        <f t="shared" si="1911"/>
        <v>98342.831657282106</v>
      </c>
      <c r="CB720" s="196">
        <f t="shared" si="1912"/>
        <v>196685.66331456421</v>
      </c>
      <c r="CC720" s="196">
        <f t="shared" si="1809"/>
        <v>295028.49497184635</v>
      </c>
      <c r="CD720" s="247">
        <f t="shared" si="1797"/>
        <v>1.244848066102214E-3</v>
      </c>
      <c r="CE720" s="196">
        <f t="shared" si="1913"/>
        <v>27772.668510768475</v>
      </c>
      <c r="CF720" s="247">
        <f t="shared" si="1798"/>
        <v>1.1993101977850551E-3</v>
      </c>
      <c r="CG720" s="196">
        <f t="shared" si="1877"/>
        <v>48850.034025839479</v>
      </c>
      <c r="CH720" s="589">
        <f t="shared" si="1814"/>
        <v>1.244848066102214E-3</v>
      </c>
      <c r="CI720" s="196">
        <f t="shared" si="1914"/>
        <v>31633.470075795529</v>
      </c>
      <c r="CJ720" s="248">
        <f t="shared" si="1815"/>
        <v>5.2005416774971499E-4</v>
      </c>
      <c r="CK720" s="196">
        <f t="shared" si="1915"/>
        <v>75835.43023247087</v>
      </c>
      <c r="CL720" s="589">
        <f t="shared" si="1816"/>
        <v>1.0901499082742688E-3</v>
      </c>
      <c r="CM720" s="196">
        <f t="shared" si="1916"/>
        <v>7346.5923971690281</v>
      </c>
      <c r="CN720" s="589">
        <f t="shared" si="1817"/>
        <v>1.058727455890974E-3</v>
      </c>
      <c r="CO720" s="196">
        <f t="shared" si="1917"/>
        <v>587.69744540687725</v>
      </c>
      <c r="CP720" s="589">
        <f t="shared" si="1818"/>
        <v>1.1083068599662758E-3</v>
      </c>
      <c r="CQ720" s="196">
        <f>'Detailed Budget'!$AC$12</f>
        <v>292876014141.44696</v>
      </c>
      <c r="CR720" s="269">
        <f t="shared" si="1861"/>
        <v>0</v>
      </c>
      <c r="CS720" s="269">
        <f>'Detailed Budget'!$AC$16</f>
        <v>10488008800.000002</v>
      </c>
      <c r="CT720" s="607">
        <f t="shared" si="1878"/>
        <v>0</v>
      </c>
      <c r="CU720" s="269">
        <f>'Detailed Budget'!$AC$24</f>
        <v>30624985696</v>
      </c>
      <c r="CV720" s="269">
        <f t="shared" si="1868"/>
        <v>0</v>
      </c>
      <c r="CW720" s="269"/>
      <c r="CX720" s="269">
        <f t="shared" si="1810"/>
        <v>0</v>
      </c>
      <c r="CY720" s="196">
        <f>'Detailed Budget'!$AC$97</f>
        <v>74629165494.837845</v>
      </c>
      <c r="CZ720" s="269">
        <f t="shared" si="1879"/>
        <v>150605945.93306017</v>
      </c>
      <c r="DA720" s="269">
        <f>'Detailed Budget'!$AC$100</f>
        <v>14925833098.967569</v>
      </c>
      <c r="DB720" s="269">
        <f t="shared" si="1880"/>
        <v>30121189.186612032</v>
      </c>
      <c r="DC720" s="269">
        <f t="shared" si="1799"/>
        <v>180727135.11967221</v>
      </c>
      <c r="DD720" s="207">
        <v>0</v>
      </c>
      <c r="DE720" s="606">
        <v>0</v>
      </c>
      <c r="DF720" s="269">
        <f>'Detailed Budget'!$AC$147</f>
        <v>5913600671000</v>
      </c>
      <c r="DG720" s="269">
        <f t="shared" si="1863"/>
        <v>0</v>
      </c>
      <c r="DH720" s="269">
        <f>'Detailed Budget'!$AC$153</f>
        <v>226428026880.00003</v>
      </c>
      <c r="DI720" s="269"/>
      <c r="DJ720" s="269">
        <f>'Detailed Budget'!$AC$156</f>
        <v>27713070000</v>
      </c>
      <c r="DK720" s="269"/>
      <c r="DL720" s="269"/>
      <c r="DM720" s="196">
        <f>'Detailed Budget'!$AC$178</f>
        <v>5622683761.6229038</v>
      </c>
      <c r="DN720" s="269">
        <f t="shared" si="1918"/>
        <v>0</v>
      </c>
      <c r="DO720" s="196">
        <f>'Detailed Budget'!$AC$179</f>
        <v>26827890683.128094</v>
      </c>
      <c r="DP720" s="269">
        <f t="shared" si="1919"/>
        <v>0</v>
      </c>
      <c r="DQ720" s="269">
        <f t="shared" si="1862"/>
        <v>0</v>
      </c>
      <c r="DR720" s="269">
        <f>'Detailed Budget'!$AC$181</f>
        <v>50888946855.375237</v>
      </c>
      <c r="DS720" s="269">
        <f t="shared" si="1920"/>
        <v>0</v>
      </c>
      <c r="DT720" s="269">
        <f t="shared" si="1921"/>
        <v>0</v>
      </c>
      <c r="DU720" s="272">
        <f>'Detailed Budget'!$AC$192</f>
        <v>77498869683.252869</v>
      </c>
      <c r="DV720" s="269">
        <f t="shared" si="1881"/>
        <v>96474318.05030483</v>
      </c>
      <c r="DW720" s="140">
        <f>'Detailed Budget'!$AC$194</f>
        <v>2684962805.4134097</v>
      </c>
      <c r="DX720" s="269">
        <f t="shared" si="1882"/>
        <v>3342370.7558752582</v>
      </c>
      <c r="DY720" s="607">
        <f t="shared" si="1800"/>
        <v>99816688.80618009</v>
      </c>
      <c r="DZ720" s="196">
        <f>'Detailed Budget'!$AC$198</f>
        <v>18732540018.380611</v>
      </c>
      <c r="EA720" s="269">
        <f t="shared" si="1883"/>
        <v>22466126.274460513</v>
      </c>
      <c r="EB720" s="196">
        <f>'Detailed Budget'!$AC$200</f>
        <v>4683135004.5951529</v>
      </c>
      <c r="EC720" s="269">
        <f t="shared" si="1884"/>
        <v>5616531.5686151283</v>
      </c>
      <c r="ED720" s="269">
        <f t="shared" si="1801"/>
        <v>28082657.84307564</v>
      </c>
      <c r="EE720" s="196">
        <f>'Detailed Budget'!$AC$161</f>
        <v>251147290106.36197</v>
      </c>
      <c r="EF720" s="269">
        <f t="shared" si="1885"/>
        <v>312640218.39571637</v>
      </c>
      <c r="EG720" s="196">
        <f>'Detailed Budget'!$AC$163</f>
        <v>15696705631.647623</v>
      </c>
      <c r="EH720" s="269">
        <f t="shared" si="1886"/>
        <v>19540013.649732273</v>
      </c>
      <c r="EI720" s="269">
        <f t="shared" si="1802"/>
        <v>332180232.04544866</v>
      </c>
      <c r="EJ720" s="196">
        <f>'Detailed Budget'!$AC$204</f>
        <v>45012172507.531975</v>
      </c>
      <c r="EK720" s="269">
        <f t="shared" si="1887"/>
        <v>23408767.912011143</v>
      </c>
      <c r="EL720" s="201">
        <f>'Detailed Budget'!$AC$206</f>
        <v>11253043126.882994</v>
      </c>
      <c r="EM720" s="269">
        <f t="shared" si="1888"/>
        <v>5852191.9780027857</v>
      </c>
      <c r="EN720" s="269">
        <f t="shared" si="1803"/>
        <v>29260959.890013929</v>
      </c>
      <c r="EO720" s="140">
        <f>'Detailed Budget'!$AC$209</f>
        <v>135789361677.54817</v>
      </c>
      <c r="EP720" s="269">
        <f t="shared" si="1889"/>
        <v>148030760.17740065</v>
      </c>
      <c r="EQ720" s="196">
        <f>'Detailed Budget'!$AC$211</f>
        <v>33947340419.387043</v>
      </c>
      <c r="ER720" s="269">
        <f t="shared" si="1890"/>
        <v>37007690.044350162</v>
      </c>
      <c r="ES720" s="269">
        <f t="shared" si="1804"/>
        <v>185038450.2217508</v>
      </c>
      <c r="ET720" s="196">
        <f>'Detailed Budget'!$AC$214</f>
        <v>22239745544.201103</v>
      </c>
      <c r="EU720" s="269">
        <f t="shared" si="1891"/>
        <v>23545829.219674658</v>
      </c>
      <c r="EV720" s="140">
        <f>'Detailed Budget'!$AC$217</f>
        <v>5559936386.0502758</v>
      </c>
      <c r="EW720" s="269">
        <f t="shared" si="1892"/>
        <v>5886457.3049186645</v>
      </c>
      <c r="EX720" s="269">
        <f t="shared" si="1805"/>
        <v>29432286.524593323</v>
      </c>
      <c r="EY720" s="196">
        <f>'Detailed Budget'!$AC$219</f>
        <v>372777004.58170313</v>
      </c>
      <c r="EZ720" s="269">
        <f t="shared" si="1893"/>
        <v>413151.31141558138</v>
      </c>
      <c r="FA720" s="196">
        <f>'Detailed Budget'!$AC$222</f>
        <v>93194251.145425782</v>
      </c>
      <c r="FB720" s="269">
        <f t="shared" si="1894"/>
        <v>103287.82785389535</v>
      </c>
      <c r="FC720" s="269">
        <f t="shared" si="1806"/>
        <v>516439.13926947676</v>
      </c>
      <c r="FD720" s="269"/>
      <c r="FE720" s="269">
        <f t="shared" si="1807"/>
        <v>244248135.77562752</v>
      </c>
      <c r="FF720" s="140">
        <f>'Detailed Budget'!$AC$165</f>
        <v>14927760000</v>
      </c>
      <c r="FG720" s="1087">
        <f t="shared" si="1864"/>
        <v>333170624.9232555</v>
      </c>
      <c r="FH720" s="269">
        <f t="shared" si="1895"/>
        <v>16961436.200431772</v>
      </c>
      <c r="FJ720" s="140">
        <f>'Detailed Budget'!$AC$235</f>
        <v>3623696172</v>
      </c>
      <c r="FK720" s="269">
        <f t="shared" si="1896"/>
        <v>4681778</v>
      </c>
      <c r="FL720" s="269">
        <f t="shared" si="1865"/>
        <v>4681778</v>
      </c>
      <c r="FO720" s="607"/>
      <c r="FP720" s="607"/>
      <c r="FQ720" s="607"/>
      <c r="FR720" s="269">
        <f>'Detailed Budget'!$AC$257</f>
        <v>13636439388</v>
      </c>
      <c r="FS720" s="269">
        <f t="shared" si="1897"/>
        <v>13491035.999999998</v>
      </c>
      <c r="FT720" s="269">
        <f t="shared" si="1866"/>
        <v>13491035.999999998</v>
      </c>
      <c r="FU720" s="269"/>
      <c r="FV720" s="269"/>
      <c r="FW720" s="269"/>
      <c r="FX720" s="140">
        <f>'Detailed Budget'!$AC$278</f>
        <v>1114560000</v>
      </c>
      <c r="FY720" s="269">
        <f t="shared" si="1898"/>
        <v>1440000</v>
      </c>
      <c r="FZ720" s="269">
        <f t="shared" si="1867"/>
        <v>1440000</v>
      </c>
      <c r="GB720" s="269">
        <f t="shared" si="1899"/>
        <v>1254799724.7136915</v>
      </c>
      <c r="GC720" s="887">
        <f t="shared" si="1808"/>
        <v>784249.82794605719</v>
      </c>
      <c r="GD720" s="1078">
        <f t="shared" si="1900"/>
        <v>7.0410763805457514E-4</v>
      </c>
    </row>
    <row r="721" spans="1:186" hidden="1" outlineLevel="1">
      <c r="A721" s="211" t="s">
        <v>1531</v>
      </c>
      <c r="B721" s="212" t="s">
        <v>1532</v>
      </c>
      <c r="C721" s="213" t="s">
        <v>215</v>
      </c>
      <c r="D721" s="214"/>
      <c r="E721" s="213"/>
      <c r="F721" s="213"/>
      <c r="G721" s="213" t="s">
        <v>215</v>
      </c>
      <c r="H721" s="213" t="s">
        <v>215</v>
      </c>
      <c r="I721" s="214" t="s">
        <v>215</v>
      </c>
      <c r="J721" s="214"/>
      <c r="K721" s="213"/>
      <c r="L721" s="213"/>
      <c r="M721" s="214"/>
      <c r="N721" s="213" t="s">
        <v>215</v>
      </c>
      <c r="O721" s="214"/>
      <c r="P721" s="213"/>
      <c r="Q721" s="214"/>
      <c r="R721" s="214" t="s">
        <v>215</v>
      </c>
      <c r="S721" s="214"/>
      <c r="T721" s="214"/>
      <c r="U721" s="215">
        <f t="shared" si="1905"/>
        <v>6</v>
      </c>
      <c r="V721" s="845" t="s">
        <v>216</v>
      </c>
      <c r="W721" s="216">
        <v>94264</v>
      </c>
      <c r="X721" s="217">
        <v>3.11</v>
      </c>
      <c r="Y721" s="218">
        <f t="shared" si="1785"/>
        <v>1.0310999999999999</v>
      </c>
      <c r="Z721" s="196">
        <v>19</v>
      </c>
      <c r="AA721" s="218">
        <f t="shared" si="1786"/>
        <v>1.7894309732827145</v>
      </c>
      <c r="AB721" s="196">
        <f t="shared" si="1902"/>
        <v>168678.92126552179</v>
      </c>
      <c r="AC721">
        <v>11.5</v>
      </c>
      <c r="AD721" s="196">
        <f t="shared" si="1903"/>
        <v>19398.075945535005</v>
      </c>
      <c r="AE721" s="196">
        <f t="shared" si="1787"/>
        <v>18428.172148258254</v>
      </c>
      <c r="AF721" s="196">
        <f t="shared" si="1906"/>
        <v>0</v>
      </c>
      <c r="AG721" s="606">
        <f t="shared" si="1811"/>
        <v>8.5203777894386193E-4</v>
      </c>
      <c r="AH721" s="196">
        <f t="shared" si="1922"/>
        <v>8433.9460632760893</v>
      </c>
      <c r="AI721" s="248">
        <f t="shared" si="1790"/>
        <v>6.5336502284554061E-4</v>
      </c>
      <c r="AJ721" s="196">
        <f t="shared" si="1791"/>
        <v>27832.022008811095</v>
      </c>
      <c r="AK721" s="196">
        <f t="shared" si="1858"/>
        <v>6747.1568506208714</v>
      </c>
      <c r="AL721" s="196">
        <f t="shared" si="1859"/>
        <v>6747.1568506208714</v>
      </c>
      <c r="AM721" s="196">
        <f t="shared" si="1792"/>
        <v>13494.313701241743</v>
      </c>
      <c r="AN721" s="627">
        <f t="shared" si="1793"/>
        <v>6.5336502284554061E-4</v>
      </c>
      <c r="AO721" s="196">
        <f t="shared" si="1794"/>
        <v>6409.799008089828</v>
      </c>
      <c r="AP721" s="589">
        <f t="shared" si="1812"/>
        <v>6.5336502284554061E-4</v>
      </c>
      <c r="AQ721" s="196"/>
      <c r="AR721" s="589"/>
      <c r="AS721">
        <v>1</v>
      </c>
      <c r="AT721" s="589">
        <f t="shared" si="1813"/>
        <v>1.2919896640826874E-3</v>
      </c>
      <c r="AU721" s="196">
        <v>10</v>
      </c>
      <c r="AV721" s="245">
        <f t="shared" si="1795"/>
        <v>1.1362345188046814E-3</v>
      </c>
      <c r="AX721" s="245"/>
      <c r="AY721" s="245"/>
      <c r="AZ721" s="196">
        <v>14</v>
      </c>
      <c r="BA721" s="589">
        <f t="shared" si="1871"/>
        <v>5.1298963028104507E-4</v>
      </c>
      <c r="BI721" s="196">
        <v>0</v>
      </c>
      <c r="BK721" s="246">
        <f t="shared" si="1872"/>
        <v>0</v>
      </c>
      <c r="BL721" s="246"/>
      <c r="BM721" s="246">
        <f t="shared" si="1873"/>
        <v>0</v>
      </c>
      <c r="BN721" s="196">
        <v>1</v>
      </c>
      <c r="BO721" s="196">
        <f t="shared" si="1907"/>
        <v>11322.723245670266</v>
      </c>
      <c r="BP721" s="196">
        <f t="shared" si="1796"/>
        <v>11322.723245670266</v>
      </c>
      <c r="BQ721" s="248">
        <f t="shared" si="1874"/>
        <v>1.0591880325637201E-3</v>
      </c>
      <c r="BR721" s="248"/>
      <c r="BS721" s="248"/>
      <c r="BT721" s="276">
        <v>0</v>
      </c>
      <c r="BU721" s="196">
        <f t="shared" si="1908"/>
        <v>0</v>
      </c>
      <c r="BV721" s="264">
        <f t="shared" si="1875"/>
        <v>0</v>
      </c>
      <c r="BW721" s="196">
        <f t="shared" si="1909"/>
        <v>0</v>
      </c>
      <c r="BX721" s="247">
        <f t="shared" si="1876"/>
        <v>0</v>
      </c>
      <c r="BY721" s="196">
        <f t="shared" si="1910"/>
        <v>0</v>
      </c>
      <c r="BZ721" s="620">
        <v>1</v>
      </c>
      <c r="CA721" s="196">
        <f t="shared" si="1911"/>
        <v>51615.749907249658</v>
      </c>
      <c r="CB721" s="196">
        <f t="shared" si="1912"/>
        <v>103231.49981449932</v>
      </c>
      <c r="CC721" s="196">
        <f t="shared" si="1809"/>
        <v>154847.24972174899</v>
      </c>
      <c r="CD721" s="247">
        <f t="shared" si="1797"/>
        <v>6.533650228455405E-4</v>
      </c>
      <c r="CE721" s="196">
        <f t="shared" si="1913"/>
        <v>14576.630425941419</v>
      </c>
      <c r="CF721" s="247">
        <f t="shared" si="1798"/>
        <v>6.2946423432077062E-4</v>
      </c>
      <c r="CG721" s="196">
        <f t="shared" si="1877"/>
        <v>25639.196032359312</v>
      </c>
      <c r="CH721" s="589">
        <f t="shared" si="1814"/>
        <v>6.5336502284554061E-4</v>
      </c>
      <c r="CI721" s="196">
        <f t="shared" si="1914"/>
        <v>16602.992334213748</v>
      </c>
      <c r="CJ721" s="248">
        <f t="shared" si="1815"/>
        <v>2.7295315183050735E-4</v>
      </c>
      <c r="CK721" s="196">
        <f t="shared" si="1915"/>
        <v>39802.62246900687</v>
      </c>
      <c r="CL721" s="589">
        <f t="shared" si="1816"/>
        <v>5.7217088504212508E-4</v>
      </c>
      <c r="CM721" s="196">
        <f t="shared" si="1916"/>
        <v>3855.8974706388703</v>
      </c>
      <c r="CN721" s="589">
        <f t="shared" si="1817"/>
        <v>5.5567864644825581E-4</v>
      </c>
      <c r="CO721" s="196">
        <f t="shared" si="1917"/>
        <v>308.45608014384118</v>
      </c>
      <c r="CP721" s="589">
        <f t="shared" si="1818"/>
        <v>5.8170065616849128E-4</v>
      </c>
      <c r="CQ721" s="196">
        <f>'Detailed Budget'!$AC$12</f>
        <v>292876014141.44696</v>
      </c>
      <c r="CR721" s="269">
        <f t="shared" si="1861"/>
        <v>0</v>
      </c>
      <c r="CS721" s="269">
        <f>'Detailed Budget'!$AC$16</f>
        <v>10488008800.000002</v>
      </c>
      <c r="CT721" s="607">
        <f t="shared" si="1878"/>
        <v>0</v>
      </c>
      <c r="CU721" s="269">
        <f>'Detailed Budget'!$AC$24</f>
        <v>30624985696</v>
      </c>
      <c r="CV721" s="269">
        <f t="shared" si="1868"/>
        <v>0</v>
      </c>
      <c r="CW721" s="269"/>
      <c r="CX721" s="269">
        <f t="shared" si="1810"/>
        <v>0</v>
      </c>
      <c r="CY721" s="196">
        <f>'Detailed Budget'!$AC$97</f>
        <v>74629165494.837845</v>
      </c>
      <c r="CZ721" s="269">
        <f t="shared" si="1879"/>
        <v>79046318.972349569</v>
      </c>
      <c r="DA721" s="269">
        <f>'Detailed Budget'!$AC$100</f>
        <v>14925833098.967569</v>
      </c>
      <c r="DB721" s="269">
        <f t="shared" si="1880"/>
        <v>15809263.794469913</v>
      </c>
      <c r="DC721" s="269">
        <f t="shared" si="1799"/>
        <v>94855582.766819477</v>
      </c>
      <c r="DD721" s="207">
        <v>0</v>
      </c>
      <c r="DE721" s="606">
        <v>0</v>
      </c>
      <c r="DF721" s="269">
        <f>'Detailed Budget'!$AC$147</f>
        <v>5913600671000</v>
      </c>
      <c r="DG721" s="269">
        <f t="shared" si="1863"/>
        <v>0</v>
      </c>
      <c r="DH721" s="269">
        <f>'Detailed Budget'!$AC$153</f>
        <v>226428026880.00003</v>
      </c>
      <c r="DI721" s="269"/>
      <c r="DJ721" s="269">
        <f>'Detailed Budget'!$AC$156</f>
        <v>27713070000</v>
      </c>
      <c r="DK721" s="269"/>
      <c r="DL721" s="269"/>
      <c r="DM721" s="196">
        <f>'Detailed Budget'!$AC$178</f>
        <v>5622683761.6229038</v>
      </c>
      <c r="DN721" s="269">
        <f t="shared" si="1918"/>
        <v>0</v>
      </c>
      <c r="DO721" s="196">
        <f>'Detailed Budget'!$AC$179</f>
        <v>26827890683.128094</v>
      </c>
      <c r="DP721" s="269">
        <f t="shared" si="1919"/>
        <v>0</v>
      </c>
      <c r="DQ721" s="269">
        <f t="shared" si="1862"/>
        <v>0</v>
      </c>
      <c r="DR721" s="269">
        <f>'Detailed Budget'!$AC$181</f>
        <v>50888946855.375237</v>
      </c>
      <c r="DS721" s="269">
        <f t="shared" si="1920"/>
        <v>0</v>
      </c>
      <c r="DT721" s="269">
        <f t="shared" si="1921"/>
        <v>0</v>
      </c>
      <c r="DU721" s="272">
        <f>'Detailed Budget'!$AC$192</f>
        <v>77498869683.252869</v>
      </c>
      <c r="DV721" s="269">
        <f t="shared" si="1881"/>
        <v>50635050.761102073</v>
      </c>
      <c r="DW721" s="140">
        <f>'Detailed Budget'!$AC$194</f>
        <v>2684962805.4134097</v>
      </c>
      <c r="DX721" s="269">
        <f t="shared" si="1882"/>
        <v>1754260.7846983592</v>
      </c>
      <c r="DY721" s="607">
        <f t="shared" si="1800"/>
        <v>52389311.545800433</v>
      </c>
      <c r="DZ721" s="196">
        <f>'Detailed Budget'!$AC$198</f>
        <v>18732540018.380611</v>
      </c>
      <c r="EA721" s="269">
        <f t="shared" si="1883"/>
        <v>11791463.959553147</v>
      </c>
      <c r="EB721" s="196">
        <f>'Detailed Budget'!$AC$200</f>
        <v>4683135004.5951529</v>
      </c>
      <c r="EC721" s="269">
        <f t="shared" si="1884"/>
        <v>2947865.9898882867</v>
      </c>
      <c r="ED721" s="269">
        <f t="shared" si="1801"/>
        <v>14739329.949441433</v>
      </c>
      <c r="EE721" s="196">
        <f>'Detailed Budget'!$AC$161</f>
        <v>251147290106.36197</v>
      </c>
      <c r="EF721" s="269">
        <f t="shared" si="1885"/>
        <v>164090854.93793881</v>
      </c>
      <c r="EG721" s="196">
        <f>'Detailed Budget'!$AC$163</f>
        <v>15696705631.647623</v>
      </c>
      <c r="EH721" s="269">
        <f t="shared" si="1886"/>
        <v>10255678.433621176</v>
      </c>
      <c r="EI721" s="269">
        <f t="shared" si="1802"/>
        <v>174346533.37155998</v>
      </c>
      <c r="EJ721" s="196">
        <f>'Detailed Budget'!$AC$204</f>
        <v>45012172507.531975</v>
      </c>
      <c r="EK721" s="269">
        <f t="shared" si="1887"/>
        <v>12286214.356669364</v>
      </c>
      <c r="EL721" s="201">
        <f>'Detailed Budget'!$AC$206</f>
        <v>11253043126.882994</v>
      </c>
      <c r="EM721" s="269">
        <f t="shared" si="1888"/>
        <v>3071553.5891673411</v>
      </c>
      <c r="EN721" s="269">
        <f t="shared" si="1803"/>
        <v>15357767.945836706</v>
      </c>
      <c r="EO721" s="140">
        <f>'Detailed Budget'!$AC$209</f>
        <v>135789361677.54817</v>
      </c>
      <c r="EP721" s="269">
        <f t="shared" si="1889"/>
        <v>77694719.250347957</v>
      </c>
      <c r="EQ721" s="196">
        <f>'Detailed Budget'!$AC$211</f>
        <v>33947340419.387043</v>
      </c>
      <c r="ER721" s="269">
        <f t="shared" si="1890"/>
        <v>19423679.812586989</v>
      </c>
      <c r="ES721" s="269">
        <f t="shared" si="1804"/>
        <v>97118399.06293495</v>
      </c>
      <c r="ET721" s="196">
        <f>'Detailed Budget'!$AC$214</f>
        <v>22239745544.201103</v>
      </c>
      <c r="EU721" s="269">
        <f t="shared" si="1891"/>
        <v>12358151.701355297</v>
      </c>
      <c r="EV721" s="140">
        <f>'Detailed Budget'!$AC$217</f>
        <v>5559936386.0502758</v>
      </c>
      <c r="EW721" s="269">
        <f t="shared" si="1892"/>
        <v>3089537.9253388243</v>
      </c>
      <c r="EX721" s="269">
        <f t="shared" si="1805"/>
        <v>15447689.62669412</v>
      </c>
      <c r="EY721" s="196">
        <f>'Detailed Budget'!$AC$219</f>
        <v>372777004.58170313</v>
      </c>
      <c r="EZ721" s="269">
        <f t="shared" si="1893"/>
        <v>216844.62816970138</v>
      </c>
      <c r="FA721" s="196">
        <f>'Detailed Budget'!$AC$222</f>
        <v>93194251.145425782</v>
      </c>
      <c r="FB721" s="269">
        <f t="shared" si="1894"/>
        <v>54211.157042425344</v>
      </c>
      <c r="FC721" s="269">
        <f t="shared" si="1806"/>
        <v>271055.78521212674</v>
      </c>
      <c r="FD721" s="269"/>
      <c r="FE721" s="269">
        <f t="shared" si="1807"/>
        <v>128194912.4206779</v>
      </c>
      <c r="FF721" s="140">
        <f>'Detailed Budget'!$AC$165</f>
        <v>14927760000</v>
      </c>
      <c r="FG721" s="1087">
        <f t="shared" si="1864"/>
        <v>174866346.25704762</v>
      </c>
      <c r="FH721" s="269">
        <f t="shared" si="1895"/>
        <v>16961436.200431772</v>
      </c>
      <c r="FJ721" s="140">
        <f>'Detailed Budget'!$AC$235</f>
        <v>3623696172</v>
      </c>
      <c r="FK721" s="269">
        <f t="shared" si="1896"/>
        <v>4681778</v>
      </c>
      <c r="FL721" s="269">
        <f t="shared" si="1865"/>
        <v>4681778</v>
      </c>
      <c r="FO721" s="607"/>
      <c r="FP721" s="607"/>
      <c r="FQ721" s="607"/>
      <c r="FR721" s="269">
        <f>'Detailed Budget'!$AC$257</f>
        <v>13636439388</v>
      </c>
      <c r="FS721" s="269">
        <f t="shared" si="1897"/>
        <v>6995352</v>
      </c>
      <c r="FT721" s="269">
        <f t="shared" si="1866"/>
        <v>6995352</v>
      </c>
      <c r="FU721" s="269"/>
      <c r="FV721" s="269"/>
      <c r="FW721" s="269"/>
      <c r="FX721" s="140">
        <f>'Detailed Budget'!$AC$278</f>
        <v>1114560000</v>
      </c>
      <c r="FY721" s="269">
        <f t="shared" si="1898"/>
        <v>1440000</v>
      </c>
      <c r="FZ721" s="269">
        <f t="shared" si="1867"/>
        <v>1440000</v>
      </c>
      <c r="GB721" s="269">
        <f t="shared" si="1899"/>
        <v>669470582.51177871</v>
      </c>
      <c r="GC721" s="887">
        <f t="shared" si="1808"/>
        <v>418419.11406986171</v>
      </c>
      <c r="GD721" s="1078">
        <f t="shared" si="1900"/>
        <v>3.7566102487545896E-4</v>
      </c>
    </row>
    <row r="722" spans="1:186" hidden="1" outlineLevel="1">
      <c r="A722" s="211" t="s">
        <v>1533</v>
      </c>
      <c r="B722" s="212" t="s">
        <v>1534</v>
      </c>
      <c r="C722" s="213" t="s">
        <v>215</v>
      </c>
      <c r="D722" s="214"/>
      <c r="E722" s="213"/>
      <c r="F722" s="213"/>
      <c r="G722" s="213" t="s">
        <v>215</v>
      </c>
      <c r="H722" s="213" t="s">
        <v>215</v>
      </c>
      <c r="I722" s="214" t="s">
        <v>215</v>
      </c>
      <c r="J722" s="214"/>
      <c r="K722" s="213"/>
      <c r="L722" s="213"/>
      <c r="M722" s="214"/>
      <c r="N722" s="213"/>
      <c r="O722" s="214" t="s">
        <v>215</v>
      </c>
      <c r="P722" s="213"/>
      <c r="Q722" s="214"/>
      <c r="R722" s="214" t="s">
        <v>215</v>
      </c>
      <c r="S722" s="214"/>
      <c r="T722" s="214"/>
      <c r="U722" s="215">
        <f t="shared" si="1905"/>
        <v>6</v>
      </c>
      <c r="V722" s="845" t="s">
        <v>216</v>
      </c>
      <c r="W722" s="216">
        <v>160001</v>
      </c>
      <c r="X722" s="217">
        <v>3.11</v>
      </c>
      <c r="Y722" s="218">
        <f t="shared" si="1785"/>
        <v>1.0310999999999999</v>
      </c>
      <c r="Z722" s="196">
        <v>19</v>
      </c>
      <c r="AA722" s="218">
        <f t="shared" si="1786"/>
        <v>1.7894309732827145</v>
      </c>
      <c r="AB722" s="196">
        <f t="shared" si="1902"/>
        <v>286310.74515620759</v>
      </c>
      <c r="AC722">
        <v>11.5</v>
      </c>
      <c r="AD722" s="196">
        <f t="shared" si="1903"/>
        <v>32925.73569296387</v>
      </c>
      <c r="AE722" s="196">
        <f t="shared" si="1787"/>
        <v>31279.448908315673</v>
      </c>
      <c r="AF722" s="196">
        <f t="shared" si="1906"/>
        <v>0</v>
      </c>
      <c r="AG722" s="606">
        <f t="shared" si="1811"/>
        <v>1.4462243981668169E-3</v>
      </c>
      <c r="AH722" s="196">
        <f t="shared" si="1922"/>
        <v>14315.53725781038</v>
      </c>
      <c r="AI722" s="248">
        <f t="shared" si="1790"/>
        <v>1.1090029812050131E-3</v>
      </c>
      <c r="AJ722" s="196">
        <f t="shared" si="1791"/>
        <v>47241.272950774248</v>
      </c>
      <c r="AK722" s="196">
        <f t="shared" si="1858"/>
        <v>11452.429806248303</v>
      </c>
      <c r="AL722" s="196">
        <f t="shared" si="1859"/>
        <v>11452.429806248303</v>
      </c>
      <c r="AM722" s="196">
        <f t="shared" si="1792"/>
        <v>22904.859612496606</v>
      </c>
      <c r="AN722" s="627">
        <f t="shared" si="1793"/>
        <v>1.1090029812050128E-3</v>
      </c>
      <c r="AO722" s="196">
        <f t="shared" si="1794"/>
        <v>10879.808315935888</v>
      </c>
      <c r="AP722" s="589">
        <f t="shared" si="1812"/>
        <v>1.1090029812050128E-3</v>
      </c>
      <c r="AQ722" s="196"/>
      <c r="AR722" s="589"/>
      <c r="AS722">
        <v>1</v>
      </c>
      <c r="AT722" s="589">
        <f t="shared" si="1813"/>
        <v>1.2919896640826874E-3</v>
      </c>
      <c r="AU722" s="196">
        <v>11</v>
      </c>
      <c r="AV722" s="245">
        <f t="shared" si="1795"/>
        <v>1.2498579706851495E-3</v>
      </c>
      <c r="AX722" s="245"/>
      <c r="AY722" s="245"/>
      <c r="AZ722" s="196">
        <v>18</v>
      </c>
      <c r="BA722" s="589">
        <f t="shared" si="1871"/>
        <v>6.5955809607562931E-4</v>
      </c>
      <c r="BI722" s="196">
        <v>0</v>
      </c>
      <c r="BK722" s="246">
        <f t="shared" si="1872"/>
        <v>0</v>
      </c>
      <c r="BL722" s="246"/>
      <c r="BM722" s="246">
        <f t="shared" si="1873"/>
        <v>0</v>
      </c>
      <c r="BN722" s="196">
        <v>1</v>
      </c>
      <c r="BO722" s="196">
        <f t="shared" si="1907"/>
        <v>19218.864487296192</v>
      </c>
      <c r="BP722" s="196">
        <f t="shared" si="1796"/>
        <v>19218.864487296192</v>
      </c>
      <c r="BQ722" s="248">
        <f t="shared" si="1874"/>
        <v>1.7978352753779576E-3</v>
      </c>
      <c r="BR722" s="248"/>
      <c r="BS722" s="248"/>
      <c r="BT722" s="276">
        <v>0</v>
      </c>
      <c r="BU722" s="196">
        <f t="shared" si="1908"/>
        <v>0</v>
      </c>
      <c r="BV722" s="264">
        <f t="shared" si="1875"/>
        <v>0</v>
      </c>
      <c r="BW722" s="196">
        <f t="shared" si="1909"/>
        <v>0</v>
      </c>
      <c r="BX722" s="247">
        <f t="shared" si="1876"/>
        <v>0</v>
      </c>
      <c r="BY722" s="196">
        <f t="shared" si="1910"/>
        <v>0</v>
      </c>
      <c r="BZ722" s="620">
        <v>1</v>
      </c>
      <c r="CA722" s="196">
        <f t="shared" si="1911"/>
        <v>87611.088017799513</v>
      </c>
      <c r="CB722" s="196">
        <f t="shared" si="1912"/>
        <v>175222.17603559903</v>
      </c>
      <c r="CC722" s="196">
        <f t="shared" si="1809"/>
        <v>262833.26405339851</v>
      </c>
      <c r="CD722" s="247">
        <f t="shared" si="1797"/>
        <v>1.1090029812050126E-3</v>
      </c>
      <c r="CE722" s="196">
        <f t="shared" si="1913"/>
        <v>24741.952864095027</v>
      </c>
      <c r="CF722" s="247">
        <f t="shared" si="1798"/>
        <v>1.0684344708007049E-3</v>
      </c>
      <c r="CG722" s="196">
        <f t="shared" si="1877"/>
        <v>43519.233263743554</v>
      </c>
      <c r="CH722" s="589">
        <f t="shared" si="1814"/>
        <v>1.1090029812050128E-3</v>
      </c>
      <c r="CI722" s="196">
        <f t="shared" si="1914"/>
        <v>28181.441233838304</v>
      </c>
      <c r="CJ722" s="248">
        <f t="shared" si="1815"/>
        <v>4.6330282235034593E-4</v>
      </c>
      <c r="CK722" s="196">
        <f t="shared" si="1915"/>
        <v>67559.825571411857</v>
      </c>
      <c r="CL722" s="589">
        <f t="shared" si="1816"/>
        <v>9.7118638905228981E-4</v>
      </c>
      <c r="CM722" s="196">
        <f t="shared" si="1916"/>
        <v>6544.8893660325248</v>
      </c>
      <c r="CN722" s="589">
        <f t="shared" si="1817"/>
        <v>9.4319293802901842E-4</v>
      </c>
      <c r="CO722" s="196">
        <f t="shared" si="1917"/>
        <v>523.56447083822809</v>
      </c>
      <c r="CP722" s="589">
        <f t="shared" si="1818"/>
        <v>9.8736194822641489E-4</v>
      </c>
      <c r="CQ722" s="196">
        <f>'Detailed Budget'!$AC$12</f>
        <v>292876014141.44696</v>
      </c>
      <c r="CR722" s="269">
        <f t="shared" si="1861"/>
        <v>0</v>
      </c>
      <c r="CS722" s="269">
        <f>'Detailed Budget'!$AC$16</f>
        <v>10488008800.000002</v>
      </c>
      <c r="CT722" s="607">
        <f t="shared" si="1878"/>
        <v>0</v>
      </c>
      <c r="CU722" s="269">
        <f>'Detailed Budget'!$AC$24</f>
        <v>30624985696</v>
      </c>
      <c r="CV722" s="269">
        <f t="shared" si="1868"/>
        <v>0</v>
      </c>
      <c r="CW722" s="269"/>
      <c r="CX722" s="269">
        <f t="shared" si="1810"/>
        <v>0</v>
      </c>
      <c r="CY722" s="196">
        <f>'Detailed Budget'!$AC$97</f>
        <v>74629165494.837845</v>
      </c>
      <c r="CZ722" s="269">
        <f t="shared" si="1879"/>
        <v>134170946.29863897</v>
      </c>
      <c r="DA722" s="269">
        <f>'Detailed Budget'!$AC$100</f>
        <v>14925833098.967569</v>
      </c>
      <c r="DB722" s="269">
        <f t="shared" si="1880"/>
        <v>26834189.259727795</v>
      </c>
      <c r="DC722" s="269">
        <f t="shared" si="1799"/>
        <v>161005135.55836678</v>
      </c>
      <c r="DD722" s="207">
        <v>0</v>
      </c>
      <c r="DE722" s="606">
        <v>0</v>
      </c>
      <c r="DF722" s="269">
        <f>'Detailed Budget'!$AC$147</f>
        <v>5913600671000</v>
      </c>
      <c r="DG722" s="269">
        <f t="shared" si="1863"/>
        <v>0</v>
      </c>
      <c r="DH722" s="269">
        <f>'Detailed Budget'!$AC$153</f>
        <v>226428026880.00003</v>
      </c>
      <c r="DI722" s="269"/>
      <c r="DJ722" s="269">
        <f>'Detailed Budget'!$AC$156</f>
        <v>27713070000</v>
      </c>
      <c r="DK722" s="269"/>
      <c r="DL722" s="269"/>
      <c r="DM722" s="196">
        <f>'Detailed Budget'!$AC$178</f>
        <v>5622683761.6229038</v>
      </c>
      <c r="DN722" s="269">
        <f t="shared" si="1918"/>
        <v>0</v>
      </c>
      <c r="DO722" s="196">
        <f>'Detailed Budget'!$AC$179</f>
        <v>26827890683.128094</v>
      </c>
      <c r="DP722" s="269">
        <f t="shared" si="1919"/>
        <v>0</v>
      </c>
      <c r="DQ722" s="269">
        <f t="shared" si="1862"/>
        <v>0</v>
      </c>
      <c r="DR722" s="269">
        <f>'Detailed Budget'!$AC$181</f>
        <v>50888946855.375237</v>
      </c>
      <c r="DS722" s="269">
        <f t="shared" si="1920"/>
        <v>0</v>
      </c>
      <c r="DT722" s="269">
        <f t="shared" si="1921"/>
        <v>0</v>
      </c>
      <c r="DU722" s="272">
        <f>'Detailed Budget'!$AC$192</f>
        <v>77498869683.252869</v>
      </c>
      <c r="DV722" s="269">
        <f t="shared" si="1881"/>
        <v>85946477.518746197</v>
      </c>
      <c r="DW722" s="140">
        <f>'Detailed Budget'!$AC$194</f>
        <v>2684962805.4134097</v>
      </c>
      <c r="DX722" s="269">
        <f t="shared" si="1882"/>
        <v>2977631.7556280461</v>
      </c>
      <c r="DY722" s="607">
        <f t="shared" si="1800"/>
        <v>88924109.274374247</v>
      </c>
      <c r="DZ722" s="196">
        <f>'Detailed Budget'!$AC$198</f>
        <v>18732540018.380611</v>
      </c>
      <c r="EA722" s="269">
        <f t="shared" si="1883"/>
        <v>20014491.481291514</v>
      </c>
      <c r="EB722" s="196">
        <f>'Detailed Budget'!$AC$200</f>
        <v>4683135004.5951529</v>
      </c>
      <c r="EC722" s="269">
        <f t="shared" si="1884"/>
        <v>5003622.8703228785</v>
      </c>
      <c r="ED722" s="269">
        <f t="shared" si="1801"/>
        <v>25018114.351614393</v>
      </c>
      <c r="EE722" s="196">
        <f>'Detailed Budget'!$AC$161</f>
        <v>251147290106.36197</v>
      </c>
      <c r="EF722" s="269">
        <f t="shared" si="1885"/>
        <v>278523093.44951564</v>
      </c>
      <c r="EG722" s="196">
        <f>'Detailed Budget'!$AC$163</f>
        <v>15696705631.647623</v>
      </c>
      <c r="EH722" s="269">
        <f t="shared" si="1886"/>
        <v>17407693.340594728</v>
      </c>
      <c r="EI722" s="269">
        <f t="shared" si="1802"/>
        <v>295930786.79011035</v>
      </c>
      <c r="EJ722" s="196">
        <f>'Detailed Budget'!$AC$204</f>
        <v>45012172507.531975</v>
      </c>
      <c r="EK722" s="269">
        <f t="shared" si="1887"/>
        <v>20854266.562860213</v>
      </c>
      <c r="EL722" s="201">
        <f>'Detailed Budget'!$AC$206</f>
        <v>11253043126.882994</v>
      </c>
      <c r="EM722" s="269">
        <f t="shared" si="1888"/>
        <v>5213566.6407150533</v>
      </c>
      <c r="EN722" s="269">
        <f t="shared" si="1803"/>
        <v>26067833.203575268</v>
      </c>
      <c r="EO722" s="140">
        <f>'Detailed Budget'!$AC$209</f>
        <v>135789361677.54817</v>
      </c>
      <c r="EP722" s="269">
        <f t="shared" si="1889"/>
        <v>131876779.83933339</v>
      </c>
      <c r="EQ722" s="196">
        <f>'Detailed Budget'!$AC$211</f>
        <v>33947340419.387043</v>
      </c>
      <c r="ER722" s="269">
        <f t="shared" si="1890"/>
        <v>32969194.959833346</v>
      </c>
      <c r="ES722" s="269">
        <f t="shared" si="1804"/>
        <v>164845974.79916674</v>
      </c>
      <c r="ET722" s="196">
        <f>'Detailed Budget'!$AC$214</f>
        <v>22239745544.201103</v>
      </c>
      <c r="EU722" s="269">
        <f t="shared" si="1891"/>
        <v>20976370.94085281</v>
      </c>
      <c r="EV722" s="140">
        <f>'Detailed Budget'!$AC$217</f>
        <v>5559936386.0502758</v>
      </c>
      <c r="EW722" s="269">
        <f t="shared" si="1892"/>
        <v>5244092.7352132024</v>
      </c>
      <c r="EX722" s="269">
        <f t="shared" si="1805"/>
        <v>26220463.676066011</v>
      </c>
      <c r="EY722" s="196">
        <f>'Detailed Budget'!$AC$219</f>
        <v>372777004.58170313</v>
      </c>
      <c r="EZ722" s="269">
        <f t="shared" si="1893"/>
        <v>368065.82949779759</v>
      </c>
      <c r="FA722" s="196">
        <f>'Detailed Budget'!$AC$222</f>
        <v>93194251.145425782</v>
      </c>
      <c r="FB722" s="269">
        <f t="shared" si="1894"/>
        <v>92016.457374449397</v>
      </c>
      <c r="FC722" s="269">
        <f t="shared" si="1806"/>
        <v>460082.286872247</v>
      </c>
      <c r="FD722" s="269"/>
      <c r="FE722" s="269">
        <f t="shared" si="1807"/>
        <v>217594353.96568024</v>
      </c>
      <c r="FF722" s="140">
        <f>'Detailed Budget'!$AC$165</f>
        <v>14927760000</v>
      </c>
      <c r="FG722" s="1087">
        <f t="shared" si="1864"/>
        <v>296813102.21796095</v>
      </c>
      <c r="FH722" s="269">
        <f t="shared" si="1895"/>
        <v>18657579.820474949</v>
      </c>
      <c r="FJ722" s="140">
        <f>'Detailed Budget'!$AC$235</f>
        <v>3623696172</v>
      </c>
      <c r="FK722" s="269">
        <f t="shared" si="1896"/>
        <v>4681778</v>
      </c>
      <c r="FL722" s="269">
        <f t="shared" si="1865"/>
        <v>4681778</v>
      </c>
      <c r="FO722" s="607"/>
      <c r="FP722" s="607"/>
      <c r="FQ722" s="607"/>
      <c r="FR722" s="269">
        <f>'Detailed Budget'!$AC$257</f>
        <v>13636439388</v>
      </c>
      <c r="FS722" s="269">
        <f t="shared" si="1897"/>
        <v>8994024</v>
      </c>
      <c r="FT722" s="269">
        <f t="shared" si="1866"/>
        <v>8994024</v>
      </c>
      <c r="FU722" s="269"/>
      <c r="FV722" s="269"/>
      <c r="FW722" s="269"/>
      <c r="FX722" s="140">
        <f>'Detailed Budget'!$AC$278</f>
        <v>1114560000</v>
      </c>
      <c r="FY722" s="269">
        <f t="shared" si="1898"/>
        <v>1440000</v>
      </c>
      <c r="FZ722" s="269">
        <f t="shared" si="1867"/>
        <v>1440000</v>
      </c>
      <c r="GB722" s="269">
        <f t="shared" si="1899"/>
        <v>1119058983.9785819</v>
      </c>
      <c r="GC722" s="887">
        <f t="shared" si="1808"/>
        <v>699411.86498661374</v>
      </c>
      <c r="GD722" s="1078">
        <f t="shared" si="1900"/>
        <v>6.2793923407394468E-4</v>
      </c>
    </row>
    <row r="723" spans="1:186" hidden="1" outlineLevel="1">
      <c r="A723" s="211" t="s">
        <v>1535</v>
      </c>
      <c r="B723" s="212" t="s">
        <v>1536</v>
      </c>
      <c r="C723" s="213" t="s">
        <v>215</v>
      </c>
      <c r="D723" s="214"/>
      <c r="E723" s="213"/>
      <c r="F723" s="213"/>
      <c r="G723" s="213" t="s">
        <v>215</v>
      </c>
      <c r="H723" s="213" t="s">
        <v>215</v>
      </c>
      <c r="I723" s="214" t="s">
        <v>215</v>
      </c>
      <c r="J723" s="214"/>
      <c r="K723" s="213"/>
      <c r="L723" s="213"/>
      <c r="M723" s="214"/>
      <c r="N723" s="213"/>
      <c r="O723" s="214" t="s">
        <v>215</v>
      </c>
      <c r="P723" s="213"/>
      <c r="Q723" s="214"/>
      <c r="R723" s="214" t="s">
        <v>215</v>
      </c>
      <c r="S723" s="214"/>
      <c r="T723" s="214"/>
      <c r="U723" s="215">
        <f t="shared" si="1905"/>
        <v>6</v>
      </c>
      <c r="V723" s="845" t="s">
        <v>216</v>
      </c>
      <c r="W723" s="216">
        <v>221873</v>
      </c>
      <c r="X723" s="217">
        <v>3.11</v>
      </c>
      <c r="Y723" s="218">
        <f t="shared" si="1785"/>
        <v>1.0310999999999999</v>
      </c>
      <c r="Z723" s="196">
        <v>19</v>
      </c>
      <c r="AA723" s="218">
        <f t="shared" si="1786"/>
        <v>1.7894309732827145</v>
      </c>
      <c r="AB723" s="196">
        <f t="shared" si="1902"/>
        <v>397026.4183351557</v>
      </c>
      <c r="AC723">
        <v>11.5</v>
      </c>
      <c r="AD723" s="196">
        <f t="shared" si="1903"/>
        <v>45658.038108542904</v>
      </c>
      <c r="AE723" s="196">
        <f t="shared" si="1787"/>
        <v>43375.136203115755</v>
      </c>
      <c r="AF723" s="196">
        <f t="shared" si="1906"/>
        <v>0</v>
      </c>
      <c r="AG723" s="606">
        <f t="shared" si="1811"/>
        <v>2.0054758776161786E-3</v>
      </c>
      <c r="AH723" s="196">
        <f t="shared" si="1922"/>
        <v>19851.320916757788</v>
      </c>
      <c r="AI723" s="248">
        <f t="shared" si="1790"/>
        <v>1.5378517537321633E-3</v>
      </c>
      <c r="AJ723" s="196">
        <f t="shared" si="1791"/>
        <v>65509.359025300691</v>
      </c>
      <c r="AK723" s="196">
        <f t="shared" si="1858"/>
        <v>15881.056733406229</v>
      </c>
      <c r="AL723" s="196">
        <f t="shared" si="1859"/>
        <v>15881.056733406229</v>
      </c>
      <c r="AM723" s="196">
        <f t="shared" si="1792"/>
        <v>31762.113466812458</v>
      </c>
      <c r="AN723" s="627">
        <f t="shared" si="1793"/>
        <v>1.5378517537321633E-3</v>
      </c>
      <c r="AO723" s="196">
        <f t="shared" si="1794"/>
        <v>15087.003896735916</v>
      </c>
      <c r="AP723" s="589">
        <f t="shared" si="1812"/>
        <v>1.5378517537321631E-3</v>
      </c>
      <c r="AQ723" s="196"/>
      <c r="AR723" s="589"/>
      <c r="AS723">
        <v>1</v>
      </c>
      <c r="AT723" s="589">
        <f t="shared" si="1813"/>
        <v>1.2919896640826874E-3</v>
      </c>
      <c r="AU723" s="196">
        <v>12</v>
      </c>
      <c r="AV723" s="245">
        <f t="shared" si="1795"/>
        <v>1.3634814225656176E-3</v>
      </c>
      <c r="AX723" s="245"/>
      <c r="AY723" s="245"/>
      <c r="AZ723" s="196">
        <v>32</v>
      </c>
      <c r="BA723" s="589">
        <f t="shared" si="1871"/>
        <v>1.1725477263566744E-3</v>
      </c>
      <c r="BI723" s="196">
        <v>0</v>
      </c>
      <c r="BK723" s="246">
        <f t="shared" si="1872"/>
        <v>0</v>
      </c>
      <c r="BL723" s="246"/>
      <c r="BM723" s="246">
        <f t="shared" si="1873"/>
        <v>0</v>
      </c>
      <c r="BN723" s="196">
        <v>1</v>
      </c>
      <c r="BO723" s="196">
        <f t="shared" si="1907"/>
        <v>26650.752935230834</v>
      </c>
      <c r="BP723" s="196">
        <f t="shared" si="1796"/>
        <v>26650.752935230834</v>
      </c>
      <c r="BQ723" s="248">
        <f t="shared" si="1874"/>
        <v>2.4930538312506398E-3</v>
      </c>
      <c r="BR723" s="248"/>
      <c r="BS723" s="248"/>
      <c r="BT723" s="276">
        <v>0</v>
      </c>
      <c r="BU723" s="196">
        <f t="shared" si="1908"/>
        <v>0</v>
      </c>
      <c r="BV723" s="264">
        <f t="shared" si="1875"/>
        <v>0</v>
      </c>
      <c r="BW723" s="196">
        <f t="shared" si="1909"/>
        <v>0</v>
      </c>
      <c r="BX723" s="247">
        <f t="shared" si="1876"/>
        <v>0</v>
      </c>
      <c r="BY723" s="196">
        <f t="shared" si="1910"/>
        <v>0</v>
      </c>
      <c r="BZ723" s="620">
        <v>1</v>
      </c>
      <c r="CA723" s="196">
        <f t="shared" si="1911"/>
        <v>121490.08401055765</v>
      </c>
      <c r="CB723" s="196">
        <f t="shared" si="1912"/>
        <v>242980.1680211153</v>
      </c>
      <c r="CC723" s="196">
        <f t="shared" si="1809"/>
        <v>364470.25203167298</v>
      </c>
      <c r="CD723" s="247">
        <f t="shared" si="1797"/>
        <v>1.5378517537321633E-3</v>
      </c>
      <c r="CE723" s="196">
        <f t="shared" si="1913"/>
        <v>34309.606238806984</v>
      </c>
      <c r="CF723" s="247">
        <f t="shared" si="1798"/>
        <v>1.4815954984029151E-3</v>
      </c>
      <c r="CG723" s="196">
        <f t="shared" si="1877"/>
        <v>60348.015586943664</v>
      </c>
      <c r="CH723" s="589">
        <f t="shared" si="1814"/>
        <v>1.5378517537321631E-3</v>
      </c>
      <c r="CI723" s="196">
        <f t="shared" si="1914"/>
        <v>39079.136448368488</v>
      </c>
      <c r="CJ723" s="248">
        <f t="shared" si="1815"/>
        <v>6.4246090401521433E-4</v>
      </c>
      <c r="CK723" s="196">
        <f t="shared" si="1915"/>
        <v>93685.046837243921</v>
      </c>
      <c r="CL723" s="589">
        <f t="shared" si="1816"/>
        <v>1.3467418184773764E-3</v>
      </c>
      <c r="CM723" s="196">
        <f t="shared" si="1916"/>
        <v>9075.782265796679</v>
      </c>
      <c r="CN723" s="589">
        <f t="shared" si="1817"/>
        <v>1.307923367599655E-3</v>
      </c>
      <c r="CO723" s="196">
        <f t="shared" si="1917"/>
        <v>726.02558632939906</v>
      </c>
      <c r="CP723" s="589">
        <f t="shared" si="1818"/>
        <v>1.3691724272900754E-3</v>
      </c>
      <c r="CQ723" s="196">
        <f>'Detailed Budget'!$AC$12</f>
        <v>292876014141.44696</v>
      </c>
      <c r="CR723" s="269">
        <f t="shared" si="1861"/>
        <v>0</v>
      </c>
      <c r="CS723" s="269">
        <f>'Detailed Budget'!$AC$16</f>
        <v>10488008800.000002</v>
      </c>
      <c r="CT723" s="607">
        <f t="shared" si="1878"/>
        <v>0</v>
      </c>
      <c r="CU723" s="269">
        <f>'Detailed Budget'!$AC$24</f>
        <v>30624985696</v>
      </c>
      <c r="CV723" s="269">
        <f t="shared" si="1868"/>
        <v>0</v>
      </c>
      <c r="CW723" s="269"/>
      <c r="CX723" s="269">
        <f t="shared" si="1810"/>
        <v>0</v>
      </c>
      <c r="CY723" s="196">
        <f>'Detailed Budget'!$AC$97</f>
        <v>74629165494.837845</v>
      </c>
      <c r="CZ723" s="269">
        <f t="shared" si="1879"/>
        <v>186054526.95994353</v>
      </c>
      <c r="DA723" s="269">
        <f>'Detailed Budget'!$AC$100</f>
        <v>14925833098.967569</v>
      </c>
      <c r="DB723" s="269">
        <f t="shared" si="1880"/>
        <v>37210905.39198871</v>
      </c>
      <c r="DC723" s="269">
        <f t="shared" si="1799"/>
        <v>223265432.35193223</v>
      </c>
      <c r="DD723" s="207">
        <v>0</v>
      </c>
      <c r="DE723" s="606">
        <v>0</v>
      </c>
      <c r="DF723" s="269">
        <f>'Detailed Budget'!$AC$147</f>
        <v>5913600671000</v>
      </c>
      <c r="DG723" s="269">
        <f t="shared" si="1863"/>
        <v>0</v>
      </c>
      <c r="DH723" s="269">
        <f>'Detailed Budget'!$AC$153</f>
        <v>226428026880.00003</v>
      </c>
      <c r="DI723" s="269"/>
      <c r="DJ723" s="269">
        <f>'Detailed Budget'!$AC$156</f>
        <v>27713070000</v>
      </c>
      <c r="DK723" s="269"/>
      <c r="DL723" s="269"/>
      <c r="DM723" s="196">
        <f>'Detailed Budget'!$AC$178</f>
        <v>5622683761.6229038</v>
      </c>
      <c r="DN723" s="269">
        <f t="shared" si="1918"/>
        <v>0</v>
      </c>
      <c r="DO723" s="196">
        <f>'Detailed Budget'!$AC$179</f>
        <v>26827890683.128094</v>
      </c>
      <c r="DP723" s="269">
        <f t="shared" si="1919"/>
        <v>0</v>
      </c>
      <c r="DQ723" s="269">
        <f t="shared" si="1862"/>
        <v>0</v>
      </c>
      <c r="DR723" s="269">
        <f>'Detailed Budget'!$AC$181</f>
        <v>50888946855.375237</v>
      </c>
      <c r="DS723" s="269">
        <f t="shared" si="1920"/>
        <v>0</v>
      </c>
      <c r="DT723" s="269">
        <f t="shared" si="1921"/>
        <v>0</v>
      </c>
      <c r="DU723" s="272">
        <f>'Detailed Budget'!$AC$192</f>
        <v>77498869683.252869</v>
      </c>
      <c r="DV723" s="269">
        <f t="shared" si="1881"/>
        <v>119181772.65465081</v>
      </c>
      <c r="DW723" s="140">
        <f>'Detailed Budget'!$AC$194</f>
        <v>2684962805.4134097</v>
      </c>
      <c r="DX723" s="269">
        <f t="shared" si="1882"/>
        <v>4129074.7590106414</v>
      </c>
      <c r="DY723" s="607">
        <f t="shared" si="1800"/>
        <v>123310847.41366145</v>
      </c>
      <c r="DZ723" s="196">
        <f>'Detailed Budget'!$AC$198</f>
        <v>18732540018.380611</v>
      </c>
      <c r="EA723" s="269">
        <f t="shared" si="1883"/>
        <v>27754046.964885175</v>
      </c>
      <c r="EB723" s="196">
        <f>'Detailed Budget'!$AC$200</f>
        <v>4683135004.5951529</v>
      </c>
      <c r="EC723" s="269">
        <f t="shared" si="1884"/>
        <v>6938511.7412212938</v>
      </c>
      <c r="ED723" s="269">
        <f t="shared" si="1801"/>
        <v>34692558.706106469</v>
      </c>
      <c r="EE723" s="196">
        <f>'Detailed Budget'!$AC$161</f>
        <v>251147290106.36197</v>
      </c>
      <c r="EF723" s="269">
        <f t="shared" si="1885"/>
        <v>386227300.5351491</v>
      </c>
      <c r="EG723" s="196">
        <f>'Detailed Budget'!$AC$163</f>
        <v>15696705631.647623</v>
      </c>
      <c r="EH723" s="269">
        <f t="shared" si="1886"/>
        <v>24139206.283446819</v>
      </c>
      <c r="EI723" s="269">
        <f t="shared" si="1802"/>
        <v>410366506.81859589</v>
      </c>
      <c r="EJ723" s="196">
        <f>'Detailed Budget'!$AC$204</f>
        <v>45012172507.531975</v>
      </c>
      <c r="EK723" s="269">
        <f t="shared" si="1887"/>
        <v>28918561.040877771</v>
      </c>
      <c r="EL723" s="201">
        <f>'Detailed Budget'!$AC$206</f>
        <v>11253043126.882994</v>
      </c>
      <c r="EM723" s="269">
        <f t="shared" si="1888"/>
        <v>7229640.2602194427</v>
      </c>
      <c r="EN723" s="269">
        <f t="shared" si="1803"/>
        <v>36148201.301097214</v>
      </c>
      <c r="EO723" s="140">
        <f>'Detailed Budget'!$AC$209</f>
        <v>135789361677.54817</v>
      </c>
      <c r="EP723" s="269">
        <f t="shared" si="1889"/>
        <v>182873211.87550339</v>
      </c>
      <c r="EQ723" s="196">
        <f>'Detailed Budget'!$AC$211</f>
        <v>33947340419.387043</v>
      </c>
      <c r="ER723" s="269">
        <f t="shared" si="1890"/>
        <v>45718302.968875848</v>
      </c>
      <c r="ES723" s="269">
        <f t="shared" si="1804"/>
        <v>228591514.84437925</v>
      </c>
      <c r="ET723" s="196">
        <f>'Detailed Budget'!$AC$214</f>
        <v>22239745544.201103</v>
      </c>
      <c r="EU723" s="269">
        <f t="shared" si="1891"/>
        <v>29087882.886730928</v>
      </c>
      <c r="EV723" s="140">
        <f>'Detailed Budget'!$AC$217</f>
        <v>5559936386.0502758</v>
      </c>
      <c r="EW723" s="269">
        <f t="shared" si="1892"/>
        <v>7271970.721682732</v>
      </c>
      <c r="EX723" s="269">
        <f t="shared" si="1805"/>
        <v>36359853.608413659</v>
      </c>
      <c r="EY723" s="196">
        <f>'Detailed Budget'!$AC$219</f>
        <v>372777004.58170313</v>
      </c>
      <c r="EZ723" s="269">
        <f t="shared" si="1893"/>
        <v>510395.99620105402</v>
      </c>
      <c r="FA723" s="196">
        <f>'Detailed Budget'!$AC$222</f>
        <v>93194251.145425782</v>
      </c>
      <c r="FB723" s="269">
        <f t="shared" si="1894"/>
        <v>127598.9990502635</v>
      </c>
      <c r="FC723" s="269">
        <f t="shared" si="1806"/>
        <v>637994.99525131751</v>
      </c>
      <c r="FD723" s="269"/>
      <c r="FE723" s="269">
        <f t="shared" si="1807"/>
        <v>301737564.7491414</v>
      </c>
      <c r="FF723" s="140">
        <f>'Detailed Budget'!$AC$165</f>
        <v>14927760000</v>
      </c>
      <c r="FG723" s="1087">
        <f t="shared" si="1864"/>
        <v>411590011.48996353</v>
      </c>
      <c r="FH723" s="269">
        <f t="shared" si="1895"/>
        <v>20353723.440518126</v>
      </c>
      <c r="FJ723" s="140">
        <f>'Detailed Budget'!$AC$235</f>
        <v>3623696172</v>
      </c>
      <c r="FK723" s="269">
        <f t="shared" si="1896"/>
        <v>4681778</v>
      </c>
      <c r="FL723" s="269">
        <f t="shared" si="1865"/>
        <v>4681778</v>
      </c>
      <c r="FO723" s="607"/>
      <c r="FP723" s="607"/>
      <c r="FQ723" s="607"/>
      <c r="FR723" s="269">
        <f>'Detailed Budget'!$AC$257</f>
        <v>13636439388</v>
      </c>
      <c r="FS723" s="269">
        <f t="shared" si="1897"/>
        <v>15989376</v>
      </c>
      <c r="FT723" s="269">
        <f t="shared" si="1866"/>
        <v>15989376</v>
      </c>
      <c r="FU723" s="269"/>
      <c r="FV723" s="269"/>
      <c r="FW723" s="269"/>
      <c r="FX723" s="140">
        <f>'Detailed Budget'!$AC$278</f>
        <v>1114560000</v>
      </c>
      <c r="FY723" s="269">
        <f t="shared" si="1898"/>
        <v>1440000</v>
      </c>
      <c r="FZ723" s="269">
        <f t="shared" si="1867"/>
        <v>1440000</v>
      </c>
      <c r="GB723" s="269">
        <f t="shared" si="1899"/>
        <v>1547427798.9699192</v>
      </c>
      <c r="GC723" s="887">
        <f t="shared" si="1808"/>
        <v>967142.37435619952</v>
      </c>
      <c r="GD723" s="1078">
        <f t="shared" si="1900"/>
        <v>8.6831046511530311E-4</v>
      </c>
    </row>
    <row r="724" spans="1:186" hidden="1" outlineLevel="1">
      <c r="A724" s="211" t="s">
        <v>1537</v>
      </c>
      <c r="B724" s="212" t="s">
        <v>1538</v>
      </c>
      <c r="C724" s="213" t="s">
        <v>215</v>
      </c>
      <c r="D724" s="214"/>
      <c r="E724" s="213"/>
      <c r="F724" s="213"/>
      <c r="G724" s="213" t="s">
        <v>215</v>
      </c>
      <c r="H724" s="213" t="s">
        <v>215</v>
      </c>
      <c r="I724" s="214" t="s">
        <v>215</v>
      </c>
      <c r="J724" s="214"/>
      <c r="K724" s="213"/>
      <c r="L724" s="213"/>
      <c r="M724" s="214"/>
      <c r="N724" s="213" t="s">
        <v>215</v>
      </c>
      <c r="O724" s="214"/>
      <c r="P724" s="213"/>
      <c r="Q724" s="214"/>
      <c r="R724" s="214" t="s">
        <v>215</v>
      </c>
      <c r="S724" s="214"/>
      <c r="T724" s="214"/>
      <c r="U724" s="215">
        <f t="shared" si="1905"/>
        <v>6</v>
      </c>
      <c r="V724" s="845" t="s">
        <v>216</v>
      </c>
      <c r="W724" s="216">
        <v>148558</v>
      </c>
      <c r="X724" s="217">
        <v>3.11</v>
      </c>
      <c r="Y724" s="218">
        <f t="shared" si="1785"/>
        <v>1.0310999999999999</v>
      </c>
      <c r="Z724" s="196">
        <v>19</v>
      </c>
      <c r="AA724" s="218">
        <f t="shared" si="1786"/>
        <v>1.7894309732827145</v>
      </c>
      <c r="AB724" s="196">
        <f t="shared" si="1902"/>
        <v>265834.2865289335</v>
      </c>
      <c r="AC724">
        <v>11.5</v>
      </c>
      <c r="AD724" s="196">
        <f t="shared" si="1903"/>
        <v>30570.942950827353</v>
      </c>
      <c r="AE724" s="196">
        <f t="shared" si="1787"/>
        <v>29042.395803285985</v>
      </c>
      <c r="AF724" s="196">
        <f t="shared" si="1906"/>
        <v>0</v>
      </c>
      <c r="AG724" s="606">
        <f t="shared" si="1811"/>
        <v>1.3427928834373912E-3</v>
      </c>
      <c r="AH724" s="196">
        <f t="shared" si="1922"/>
        <v>13291.714326446676</v>
      </c>
      <c r="AI724" s="248">
        <f t="shared" si="1790"/>
        <v>1.0296889699555273E-3</v>
      </c>
      <c r="AJ724" s="196">
        <f t="shared" si="1791"/>
        <v>43862.657277274033</v>
      </c>
      <c r="AK724" s="196">
        <f t="shared" si="1858"/>
        <v>10633.37146115734</v>
      </c>
      <c r="AL724" s="196">
        <f t="shared" si="1859"/>
        <v>10633.37146115734</v>
      </c>
      <c r="AM724" s="196">
        <f t="shared" si="1792"/>
        <v>21266.742922314679</v>
      </c>
      <c r="AN724" s="627">
        <f t="shared" si="1793"/>
        <v>1.0296889699555273E-3</v>
      </c>
      <c r="AO724" s="196">
        <f t="shared" si="1794"/>
        <v>10101.702888099473</v>
      </c>
      <c r="AP724" s="589">
        <f t="shared" si="1812"/>
        <v>1.0296889699555273E-3</v>
      </c>
      <c r="AQ724" s="196"/>
      <c r="AR724" s="589"/>
      <c r="AS724">
        <v>1</v>
      </c>
      <c r="AT724" s="589">
        <f t="shared" si="1813"/>
        <v>1.2919896640826874E-3</v>
      </c>
      <c r="AU724" s="196">
        <v>11</v>
      </c>
      <c r="AV724" s="245">
        <f t="shared" si="1795"/>
        <v>1.2498579706851495E-3</v>
      </c>
      <c r="AX724" s="245"/>
      <c r="AY724" s="245"/>
      <c r="AZ724" s="196">
        <v>22</v>
      </c>
      <c r="BA724" s="589">
        <f t="shared" si="1871"/>
        <v>8.0612656187021366E-4</v>
      </c>
      <c r="BI724" s="196">
        <v>0</v>
      </c>
      <c r="BK724" s="246">
        <f t="shared" si="1872"/>
        <v>0</v>
      </c>
      <c r="BL724" s="246"/>
      <c r="BM724" s="246">
        <f t="shared" si="1873"/>
        <v>0</v>
      </c>
      <c r="BN724" s="196">
        <v>1</v>
      </c>
      <c r="BO724" s="196">
        <f t="shared" si="1907"/>
        <v>17844.363913373967</v>
      </c>
      <c r="BP724" s="196">
        <f t="shared" si="1796"/>
        <v>17844.363913373967</v>
      </c>
      <c r="BQ724" s="248">
        <f t="shared" si="1874"/>
        <v>1.6692571473903204E-3</v>
      </c>
      <c r="BR724" s="248"/>
      <c r="BS724" s="248"/>
      <c r="BT724" s="276">
        <v>0</v>
      </c>
      <c r="BU724" s="196">
        <f t="shared" si="1908"/>
        <v>0</v>
      </c>
      <c r="BV724" s="264">
        <f t="shared" si="1875"/>
        <v>0</v>
      </c>
      <c r="BW724" s="196">
        <f t="shared" si="1909"/>
        <v>0</v>
      </c>
      <c r="BX724" s="247">
        <f t="shared" si="1876"/>
        <v>0</v>
      </c>
      <c r="BY724" s="196">
        <f t="shared" si="1910"/>
        <v>0</v>
      </c>
      <c r="BZ724" s="620">
        <v>1</v>
      </c>
      <c r="CA724" s="196">
        <f t="shared" si="1911"/>
        <v>81345.291677853646</v>
      </c>
      <c r="CB724" s="196">
        <f t="shared" si="1912"/>
        <v>162690.58335570729</v>
      </c>
      <c r="CC724" s="196">
        <f t="shared" si="1809"/>
        <v>244035.87503356094</v>
      </c>
      <c r="CD724" s="247">
        <f t="shared" si="1797"/>
        <v>1.0296889699555273E-3</v>
      </c>
      <c r="CE724" s="196">
        <f t="shared" si="1913"/>
        <v>22972.450382086539</v>
      </c>
      <c r="CF724" s="247">
        <f t="shared" si="1798"/>
        <v>9.9202185057100322E-4</v>
      </c>
      <c r="CG724" s="196">
        <f t="shared" si="1877"/>
        <v>40406.811552397892</v>
      </c>
      <c r="CH724" s="589">
        <f t="shared" si="1814"/>
        <v>1.0296889699555273E-3</v>
      </c>
      <c r="CI724" s="196">
        <f t="shared" si="1914"/>
        <v>26165.952380401071</v>
      </c>
      <c r="CJ724" s="248">
        <f t="shared" si="1815"/>
        <v>4.3016819071582495E-4</v>
      </c>
      <c r="CK724" s="196">
        <f t="shared" si="1915"/>
        <v>62728.061494851936</v>
      </c>
      <c r="CL724" s="589">
        <f t="shared" si="1816"/>
        <v>9.0172878660027187E-4</v>
      </c>
      <c r="CM724" s="196">
        <f t="shared" si="1916"/>
        <v>6076.8099851817178</v>
      </c>
      <c r="CN724" s="589">
        <f t="shared" si="1817"/>
        <v>8.7573737968959532E-4</v>
      </c>
      <c r="CO724" s="196">
        <f t="shared" si="1917"/>
        <v>486.12002836723207</v>
      </c>
      <c r="CP724" s="589">
        <f t="shared" si="1818"/>
        <v>9.1674749723201574E-4</v>
      </c>
      <c r="CQ724" s="196">
        <f>'Detailed Budget'!$AC$12</f>
        <v>292876014141.44696</v>
      </c>
      <c r="CR724" s="269">
        <f t="shared" si="1861"/>
        <v>0</v>
      </c>
      <c r="CS724" s="269">
        <f>'Detailed Budget'!$AC$16</f>
        <v>10488008800.000002</v>
      </c>
      <c r="CT724" s="607">
        <f t="shared" si="1878"/>
        <v>0</v>
      </c>
      <c r="CU724" s="269">
        <f>'Detailed Budget'!$AC$24</f>
        <v>30624985696</v>
      </c>
      <c r="CV724" s="269">
        <f t="shared" si="1868"/>
        <v>0</v>
      </c>
      <c r="CW724" s="269"/>
      <c r="CX724" s="269">
        <f t="shared" si="1810"/>
        <v>0</v>
      </c>
      <c r="CY724" s="196">
        <f>'Detailed Budget'!$AC$97</f>
        <v>74629165494.837845</v>
      </c>
      <c r="CZ724" s="269">
        <f t="shared" si="1879"/>
        <v>124575267.90603314</v>
      </c>
      <c r="DA724" s="269">
        <f>'Detailed Budget'!$AC$100</f>
        <v>14925833098.967569</v>
      </c>
      <c r="DB724" s="269">
        <f t="shared" si="1880"/>
        <v>24915053.581206631</v>
      </c>
      <c r="DC724" s="269">
        <f t="shared" si="1799"/>
        <v>149490321.48723978</v>
      </c>
      <c r="DD724" s="207">
        <v>0</v>
      </c>
      <c r="DE724" s="606">
        <v>0</v>
      </c>
      <c r="DF724" s="269">
        <f>'Detailed Budget'!$AC$147</f>
        <v>5913600671000</v>
      </c>
      <c r="DG724" s="269">
        <f t="shared" si="1863"/>
        <v>0</v>
      </c>
      <c r="DH724" s="269">
        <f>'Detailed Budget'!$AC$153</f>
        <v>226428026880.00003</v>
      </c>
      <c r="DI724" s="269"/>
      <c r="DJ724" s="269">
        <f>'Detailed Budget'!$AC$156</f>
        <v>27713070000</v>
      </c>
      <c r="DK724" s="269"/>
      <c r="DL724" s="269"/>
      <c r="DM724" s="196">
        <f>'Detailed Budget'!$AC$178</f>
        <v>5622683761.6229038</v>
      </c>
      <c r="DN724" s="269">
        <f t="shared" si="1918"/>
        <v>0</v>
      </c>
      <c r="DO724" s="196">
        <f>'Detailed Budget'!$AC$179</f>
        <v>26827890683.128094</v>
      </c>
      <c r="DP724" s="269">
        <f t="shared" si="1919"/>
        <v>0</v>
      </c>
      <c r="DQ724" s="269">
        <f t="shared" si="1862"/>
        <v>0</v>
      </c>
      <c r="DR724" s="269">
        <f>'Detailed Budget'!$AC$181</f>
        <v>50888946855.375237</v>
      </c>
      <c r="DS724" s="269">
        <f t="shared" si="1920"/>
        <v>0</v>
      </c>
      <c r="DT724" s="269">
        <f t="shared" si="1921"/>
        <v>0</v>
      </c>
      <c r="DU724" s="272">
        <f>'Detailed Budget'!$AC$192</f>
        <v>77498869683.252869</v>
      </c>
      <c r="DV724" s="269">
        <f t="shared" si="1881"/>
        <v>79799731.296866283</v>
      </c>
      <c r="DW724" s="140">
        <f>'Detailed Budget'!$AC$194</f>
        <v>2684962805.4134097</v>
      </c>
      <c r="DX724" s="269">
        <f t="shared" si="1882"/>
        <v>2764676.5854750369</v>
      </c>
      <c r="DY724" s="607">
        <f t="shared" si="1800"/>
        <v>82564407.882341325</v>
      </c>
      <c r="DZ724" s="196">
        <f>'Detailed Budget'!$AC$198</f>
        <v>18732540018.380611</v>
      </c>
      <c r="EA724" s="269">
        <f t="shared" si="1883"/>
        <v>18583089.014929309</v>
      </c>
      <c r="EB724" s="196">
        <f>'Detailed Budget'!$AC$200</f>
        <v>4683135004.5951529</v>
      </c>
      <c r="EC724" s="269">
        <f t="shared" si="1884"/>
        <v>4645772.2537323274</v>
      </c>
      <c r="ED724" s="269">
        <f t="shared" si="1801"/>
        <v>23228861.268661637</v>
      </c>
      <c r="EE724" s="196">
        <f>'Detailed Budget'!$AC$161</f>
        <v>251147290106.36197</v>
      </c>
      <c r="EF724" s="269">
        <f t="shared" si="1885"/>
        <v>258603594.45674184</v>
      </c>
      <c r="EG724" s="196">
        <f>'Detailed Budget'!$AC$163</f>
        <v>15696705631.647623</v>
      </c>
      <c r="EH724" s="269">
        <f t="shared" si="1886"/>
        <v>16162724.653546365</v>
      </c>
      <c r="EI724" s="269">
        <f t="shared" si="1802"/>
        <v>274766319.1102882</v>
      </c>
      <c r="EJ724" s="196">
        <f>'Detailed Budget'!$AC$204</f>
        <v>45012172507.531975</v>
      </c>
      <c r="EK724" s="269">
        <f t="shared" si="1887"/>
        <v>19362804.807753626</v>
      </c>
      <c r="EL724" s="201">
        <f>'Detailed Budget'!$AC$206</f>
        <v>11253043126.882994</v>
      </c>
      <c r="EM724" s="269">
        <f t="shared" si="1888"/>
        <v>4840701.2019384066</v>
      </c>
      <c r="EN724" s="269">
        <f t="shared" si="1803"/>
        <v>24203506.009692032</v>
      </c>
      <c r="EO724" s="140">
        <f>'Detailed Budget'!$AC$209</f>
        <v>135789361677.54817</v>
      </c>
      <c r="EP724" s="269">
        <f t="shared" si="1889"/>
        <v>122445176.33872098</v>
      </c>
      <c r="EQ724" s="196">
        <f>'Detailed Budget'!$AC$211</f>
        <v>33947340419.387043</v>
      </c>
      <c r="ER724" s="269">
        <f t="shared" si="1890"/>
        <v>30611294.084680244</v>
      </c>
      <c r="ES724" s="269">
        <f t="shared" si="1804"/>
        <v>153056470.42340124</v>
      </c>
      <c r="ET724" s="196">
        <f>'Detailed Budget'!$AC$214</f>
        <v>22239745544.201103</v>
      </c>
      <c r="EU724" s="269">
        <f t="shared" si="1891"/>
        <v>19476176.487842027</v>
      </c>
      <c r="EV724" s="140">
        <f>'Detailed Budget'!$AC$217</f>
        <v>5559936386.0502758</v>
      </c>
      <c r="EW724" s="269">
        <f t="shared" si="1892"/>
        <v>4869044.1219605068</v>
      </c>
      <c r="EX724" s="269">
        <f t="shared" si="1805"/>
        <v>24345220.609802533</v>
      </c>
      <c r="EY724" s="196">
        <f>'Detailed Budget'!$AC$219</f>
        <v>372777004.58170313</v>
      </c>
      <c r="EZ724" s="269">
        <f t="shared" si="1893"/>
        <v>341742.38597592403</v>
      </c>
      <c r="FA724" s="196">
        <f>'Detailed Budget'!$AC$222</f>
        <v>93194251.145425782</v>
      </c>
      <c r="FB724" s="269">
        <f t="shared" si="1894"/>
        <v>85435.596493981007</v>
      </c>
      <c r="FC724" s="269">
        <f t="shared" si="1806"/>
        <v>427177.98246990505</v>
      </c>
      <c r="FD724" s="269"/>
      <c r="FE724" s="269">
        <f t="shared" si="1807"/>
        <v>202032375.02536574</v>
      </c>
      <c r="FF724" s="140">
        <f>'Detailed Budget'!$AC$165</f>
        <v>14927760000</v>
      </c>
      <c r="FG724" s="1087">
        <f t="shared" si="1864"/>
        <v>275585532.83601898</v>
      </c>
      <c r="FH724" s="269">
        <f t="shared" si="1895"/>
        <v>18657579.820474949</v>
      </c>
      <c r="FJ724" s="140">
        <f>'Detailed Budget'!$AC$235</f>
        <v>3623696172</v>
      </c>
      <c r="FK724" s="269">
        <f t="shared" si="1896"/>
        <v>4681778</v>
      </c>
      <c r="FL724" s="269">
        <f t="shared" si="1865"/>
        <v>4681778</v>
      </c>
      <c r="FO724" s="607"/>
      <c r="FP724" s="607"/>
      <c r="FQ724" s="607"/>
      <c r="FR724" s="269">
        <f>'Detailed Budget'!$AC$257</f>
        <v>13636439388</v>
      </c>
      <c r="FS724" s="269">
        <f t="shared" si="1897"/>
        <v>10992696</v>
      </c>
      <c r="FT724" s="269">
        <f t="shared" si="1866"/>
        <v>10992696</v>
      </c>
      <c r="FU724" s="269"/>
      <c r="FV724" s="269"/>
      <c r="FW724" s="269"/>
      <c r="FX724" s="140">
        <f>'Detailed Budget'!$AC$278</f>
        <v>1114560000</v>
      </c>
      <c r="FY724" s="269">
        <f t="shared" si="1898"/>
        <v>1440000</v>
      </c>
      <c r="FZ724" s="269">
        <f t="shared" si="1867"/>
        <v>1440000</v>
      </c>
      <c r="GB724" s="269">
        <f t="shared" si="1899"/>
        <v>1043439871.4303907</v>
      </c>
      <c r="GC724" s="887">
        <f t="shared" si="1808"/>
        <v>652149.91964399419</v>
      </c>
      <c r="GD724" s="1078">
        <f t="shared" si="1900"/>
        <v>5.8550696884513396E-4</v>
      </c>
    </row>
    <row r="725" spans="1:186" hidden="1" outlineLevel="1">
      <c r="A725" s="211" t="s">
        <v>1539</v>
      </c>
      <c r="B725" s="212" t="s">
        <v>1540</v>
      </c>
      <c r="C725" s="213" t="s">
        <v>215</v>
      </c>
      <c r="D725" s="214"/>
      <c r="E725" s="213"/>
      <c r="F725" s="213"/>
      <c r="G725" s="213" t="s">
        <v>215</v>
      </c>
      <c r="H725" s="213" t="s">
        <v>215</v>
      </c>
      <c r="I725" s="214" t="s">
        <v>215</v>
      </c>
      <c r="J725" s="214"/>
      <c r="K725" s="213"/>
      <c r="L725" s="213"/>
      <c r="M725" s="214"/>
      <c r="N725" s="213" t="s">
        <v>215</v>
      </c>
      <c r="O725" s="214"/>
      <c r="P725" s="213"/>
      <c r="Q725" s="214"/>
      <c r="R725" s="214" t="s">
        <v>215</v>
      </c>
      <c r="S725" s="214"/>
      <c r="T725" s="214"/>
      <c r="U725" s="215">
        <f t="shared" si="1905"/>
        <v>6</v>
      </c>
      <c r="V725" s="845" t="s">
        <v>216</v>
      </c>
      <c r="W725" s="216">
        <v>170414</v>
      </c>
      <c r="X725" s="217">
        <v>3.11</v>
      </c>
      <c r="Y725" s="218">
        <f t="shared" si="1785"/>
        <v>1.0310999999999999</v>
      </c>
      <c r="Z725" s="196">
        <v>19</v>
      </c>
      <c r="AA725" s="218">
        <f t="shared" si="1786"/>
        <v>1.7894309732827145</v>
      </c>
      <c r="AB725" s="196">
        <f t="shared" si="1902"/>
        <v>304944.08988100052</v>
      </c>
      <c r="AC725">
        <v>11.5</v>
      </c>
      <c r="AD725" s="196">
        <f t="shared" si="1903"/>
        <v>35068.570336315061</v>
      </c>
      <c r="AE725" s="196">
        <f t="shared" si="1787"/>
        <v>33315.141819499309</v>
      </c>
      <c r="AF725" s="196">
        <f t="shared" si="1906"/>
        <v>0</v>
      </c>
      <c r="AG725" s="606">
        <f t="shared" si="1811"/>
        <v>1.5403459015206156E-3</v>
      </c>
      <c r="AH725" s="196">
        <f t="shared" si="1922"/>
        <v>15247.204494050027</v>
      </c>
      <c r="AI725" s="248">
        <f t="shared" si="1790"/>
        <v>1.1811778303827546E-3</v>
      </c>
      <c r="AJ725" s="196">
        <f t="shared" si="1791"/>
        <v>50315.774830365088</v>
      </c>
      <c r="AK725" s="196">
        <f t="shared" si="1858"/>
        <v>12197.763595240021</v>
      </c>
      <c r="AL725" s="196">
        <f t="shared" si="1859"/>
        <v>12197.763595240021</v>
      </c>
      <c r="AM725" s="196">
        <f t="shared" si="1792"/>
        <v>24395.527190480043</v>
      </c>
      <c r="AN725" s="627">
        <f t="shared" si="1793"/>
        <v>1.1811778303827546E-3</v>
      </c>
      <c r="AO725" s="196">
        <f t="shared" si="1794"/>
        <v>11587.87541547802</v>
      </c>
      <c r="AP725" s="589">
        <f t="shared" si="1812"/>
        <v>1.1811778303827544E-3</v>
      </c>
      <c r="AQ725" s="196"/>
      <c r="AR725" s="589"/>
      <c r="AS725">
        <v>1</v>
      </c>
      <c r="AT725" s="589">
        <f t="shared" si="1813"/>
        <v>1.2919896640826874E-3</v>
      </c>
      <c r="AU725" s="196">
        <v>12</v>
      </c>
      <c r="AV725" s="245">
        <f t="shared" si="1795"/>
        <v>1.3634814225656176E-3</v>
      </c>
      <c r="AX725" s="245"/>
      <c r="AY725" s="245"/>
      <c r="AZ725" s="196">
        <v>31</v>
      </c>
      <c r="BA725" s="589">
        <f t="shared" si="1871"/>
        <v>1.1359056099080284E-3</v>
      </c>
      <c r="BI725" s="196">
        <v>0</v>
      </c>
      <c r="BK725" s="246">
        <f t="shared" si="1872"/>
        <v>0</v>
      </c>
      <c r="BL725" s="246"/>
      <c r="BM725" s="246">
        <f t="shared" si="1873"/>
        <v>0</v>
      </c>
      <c r="BN725" s="196">
        <v>1</v>
      </c>
      <c r="BO725" s="196">
        <f t="shared" si="1907"/>
        <v>20469.644394335624</v>
      </c>
      <c r="BP725" s="196">
        <f t="shared" si="1796"/>
        <v>20469.644394335624</v>
      </c>
      <c r="BQ725" s="248">
        <f t="shared" si="1874"/>
        <v>1.9148399111146765E-3</v>
      </c>
      <c r="BR725" s="248"/>
      <c r="BS725" s="248"/>
      <c r="BT725" s="276">
        <v>0</v>
      </c>
      <c r="BU725" s="196">
        <f t="shared" si="1908"/>
        <v>0</v>
      </c>
      <c r="BV725" s="264">
        <f t="shared" si="1875"/>
        <v>0</v>
      </c>
      <c r="BW725" s="196">
        <f t="shared" si="1909"/>
        <v>0</v>
      </c>
      <c r="BX725" s="247">
        <f t="shared" si="1876"/>
        <v>0</v>
      </c>
      <c r="BY725" s="196">
        <f t="shared" si="1910"/>
        <v>0</v>
      </c>
      <c r="BZ725" s="620">
        <v>1</v>
      </c>
      <c r="CA725" s="196">
        <f t="shared" si="1911"/>
        <v>93312.891503586172</v>
      </c>
      <c r="CB725" s="196">
        <f t="shared" si="1912"/>
        <v>186625.78300717234</v>
      </c>
      <c r="CC725" s="196">
        <f t="shared" si="1809"/>
        <v>279938.67451075849</v>
      </c>
      <c r="CD725" s="247">
        <f t="shared" si="1797"/>
        <v>1.1811778303827544E-3</v>
      </c>
      <c r="CE725" s="196">
        <f t="shared" si="1913"/>
        <v>26352.180020011689</v>
      </c>
      <c r="CF725" s="247">
        <f t="shared" si="1798"/>
        <v>1.1379690871121514E-3</v>
      </c>
      <c r="CG725" s="196">
        <f t="shared" si="1877"/>
        <v>46351.50166191208</v>
      </c>
      <c r="CH725" s="589">
        <f t="shared" si="1814"/>
        <v>1.1811778303827544E-3</v>
      </c>
      <c r="CI725" s="196">
        <f t="shared" si="1914"/>
        <v>30015.513193188308</v>
      </c>
      <c r="CJ725" s="248">
        <f t="shared" si="1815"/>
        <v>4.934549607065699E-4</v>
      </c>
      <c r="CK725" s="196">
        <f t="shared" si="1915"/>
        <v>71956.675989066222</v>
      </c>
      <c r="CL725" s="589">
        <f t="shared" si="1816"/>
        <v>1.0343920181996172E-3</v>
      </c>
      <c r="CM725" s="196">
        <f t="shared" si="1916"/>
        <v>6970.8362849173882</v>
      </c>
      <c r="CN725" s="589">
        <f t="shared" si="1817"/>
        <v>1.0045767297784214E-3</v>
      </c>
      <c r="CO725" s="196">
        <f t="shared" si="1917"/>
        <v>557.63848809336082</v>
      </c>
      <c r="CP725" s="589">
        <f t="shared" si="1818"/>
        <v>1.0516202964047493E-3</v>
      </c>
      <c r="CQ725" s="196">
        <f>'Detailed Budget'!$AC$12</f>
        <v>292876014141.44696</v>
      </c>
      <c r="CR725" s="269">
        <f t="shared" si="1861"/>
        <v>0</v>
      </c>
      <c r="CS725" s="269">
        <f>'Detailed Budget'!$AC$16</f>
        <v>10488008800.000002</v>
      </c>
      <c r="CT725" s="607">
        <f t="shared" si="1878"/>
        <v>0</v>
      </c>
      <c r="CU725" s="269">
        <f>'Detailed Budget'!$AC$24</f>
        <v>30624985696</v>
      </c>
      <c r="CV725" s="269">
        <f t="shared" si="1868"/>
        <v>0</v>
      </c>
      <c r="CW725" s="269"/>
      <c r="CX725" s="269">
        <f t="shared" si="1810"/>
        <v>0</v>
      </c>
      <c r="CY725" s="196">
        <f>'Detailed Budget'!$AC$97</f>
        <v>74629165494.837845</v>
      </c>
      <c r="CZ725" s="269">
        <f t="shared" si="1879"/>
        <v>142902904.62269777</v>
      </c>
      <c r="DA725" s="269">
        <f>'Detailed Budget'!$AC$100</f>
        <v>14925833098.967569</v>
      </c>
      <c r="DB725" s="269">
        <f t="shared" si="1880"/>
        <v>28580580.924539559</v>
      </c>
      <c r="DC725" s="269">
        <f t="shared" si="1799"/>
        <v>171483485.54723734</v>
      </c>
      <c r="DD725" s="207">
        <v>0</v>
      </c>
      <c r="DE725" s="606">
        <v>0</v>
      </c>
      <c r="DF725" s="269">
        <f>'Detailed Budget'!$AC$147</f>
        <v>5913600671000</v>
      </c>
      <c r="DG725" s="269">
        <f t="shared" si="1863"/>
        <v>0</v>
      </c>
      <c r="DH725" s="269">
        <f>'Detailed Budget'!$AC$153</f>
        <v>226428026880.00003</v>
      </c>
      <c r="DI725" s="269"/>
      <c r="DJ725" s="269">
        <f>'Detailed Budget'!$AC$156</f>
        <v>27713070000</v>
      </c>
      <c r="DK725" s="269"/>
      <c r="DL725" s="269"/>
      <c r="DM725" s="196">
        <f>'Detailed Budget'!$AC$178</f>
        <v>5622683761.6229038</v>
      </c>
      <c r="DN725" s="269">
        <f t="shared" si="1918"/>
        <v>0</v>
      </c>
      <c r="DO725" s="196">
        <f>'Detailed Budget'!$AC$179</f>
        <v>26827890683.128094</v>
      </c>
      <c r="DP725" s="269">
        <f t="shared" si="1919"/>
        <v>0</v>
      </c>
      <c r="DQ725" s="269">
        <f t="shared" si="1862"/>
        <v>0</v>
      </c>
      <c r="DR725" s="269">
        <f>'Detailed Budget'!$AC$181</f>
        <v>50888946855.375237</v>
      </c>
      <c r="DS725" s="269">
        <f t="shared" si="1920"/>
        <v>0</v>
      </c>
      <c r="DT725" s="269">
        <f t="shared" si="1921"/>
        <v>0</v>
      </c>
      <c r="DU725" s="272">
        <f>'Detailed Budget'!$AC$192</f>
        <v>77498869683.252869</v>
      </c>
      <c r="DV725" s="269">
        <f t="shared" si="1881"/>
        <v>91539946.749580443</v>
      </c>
      <c r="DW725" s="140">
        <f>'Detailed Budget'!$AC$194</f>
        <v>2684962805.4134097</v>
      </c>
      <c r="DX725" s="269">
        <f t="shared" si="1882"/>
        <v>3171418.5411566054</v>
      </c>
      <c r="DY725" s="607">
        <f t="shared" si="1800"/>
        <v>94711365.290737048</v>
      </c>
      <c r="DZ725" s="196">
        <f>'Detailed Budget'!$AC$198</f>
        <v>18732540018.380611</v>
      </c>
      <c r="EA725" s="269">
        <f t="shared" si="1883"/>
        <v>21317051.464008428</v>
      </c>
      <c r="EB725" s="196">
        <f>'Detailed Budget'!$AC$200</f>
        <v>4683135004.5951529</v>
      </c>
      <c r="EC725" s="269">
        <f t="shared" si="1884"/>
        <v>5329262.866002107</v>
      </c>
      <c r="ED725" s="269">
        <f t="shared" si="1801"/>
        <v>26646314.330010533</v>
      </c>
      <c r="EE725" s="196">
        <f>'Detailed Budget'!$AC$161</f>
        <v>251147290106.36197</v>
      </c>
      <c r="EF725" s="269">
        <f t="shared" si="1885"/>
        <v>296649611.23434085</v>
      </c>
      <c r="EG725" s="196">
        <f>'Detailed Budget'!$AC$163</f>
        <v>15696705631.647623</v>
      </c>
      <c r="EH725" s="269">
        <f t="shared" si="1886"/>
        <v>18540600.702146303</v>
      </c>
      <c r="EI725" s="269">
        <f t="shared" si="1802"/>
        <v>315190211.93648714</v>
      </c>
      <c r="EJ725" s="196">
        <f>'Detailed Budget'!$AC$204</f>
        <v>45012172507.531975</v>
      </c>
      <c r="EK725" s="269">
        <f t="shared" si="1887"/>
        <v>22211479.816021536</v>
      </c>
      <c r="EL725" s="201">
        <f>'Detailed Budget'!$AC$206</f>
        <v>11253043126.882994</v>
      </c>
      <c r="EM725" s="269">
        <f t="shared" si="1888"/>
        <v>5552869.9540053839</v>
      </c>
      <c r="EN725" s="269">
        <f t="shared" si="1803"/>
        <v>27764349.770026919</v>
      </c>
      <c r="EO725" s="140">
        <f>'Detailed Budget'!$AC$209</f>
        <v>135789361677.54817</v>
      </c>
      <c r="EP725" s="269">
        <f t="shared" si="1889"/>
        <v>140459431.87567681</v>
      </c>
      <c r="EQ725" s="196">
        <f>'Detailed Budget'!$AC$211</f>
        <v>33947340419.387043</v>
      </c>
      <c r="ER725" s="269">
        <f t="shared" si="1890"/>
        <v>35114857.968919203</v>
      </c>
      <c r="ES725" s="269">
        <f t="shared" si="1804"/>
        <v>175574289.84459603</v>
      </c>
      <c r="ET725" s="196">
        <f>'Detailed Budget'!$AC$214</f>
        <v>22239745544.201103</v>
      </c>
      <c r="EU725" s="269">
        <f t="shared" si="1891"/>
        <v>22341530.849897761</v>
      </c>
      <c r="EV725" s="140">
        <f>'Detailed Budget'!$AC$217</f>
        <v>5559936386.0502758</v>
      </c>
      <c r="EW725" s="269">
        <f t="shared" si="1892"/>
        <v>5585382.7124744402</v>
      </c>
      <c r="EX725" s="269">
        <f t="shared" si="1805"/>
        <v>27926913.5623722</v>
      </c>
      <c r="EY725" s="196">
        <f>'Detailed Budget'!$AC$219</f>
        <v>372777004.58170313</v>
      </c>
      <c r="EZ725" s="269">
        <f t="shared" si="1893"/>
        <v>392019.86405108526</v>
      </c>
      <c r="FA725" s="196">
        <f>'Detailed Budget'!$AC$222</f>
        <v>93194251.145425782</v>
      </c>
      <c r="FB725" s="269">
        <f t="shared" si="1894"/>
        <v>98004.966012771314</v>
      </c>
      <c r="FC725" s="269">
        <f t="shared" si="1806"/>
        <v>490024.83006385656</v>
      </c>
      <c r="FD725" s="269"/>
      <c r="FE725" s="269">
        <f t="shared" si="1807"/>
        <v>231755578.00705901</v>
      </c>
      <c r="FF725" s="140">
        <f>'Detailed Budget'!$AC$165</f>
        <v>14927760000</v>
      </c>
      <c r="FG725" s="1087">
        <f t="shared" si="1864"/>
        <v>316129949.19639021</v>
      </c>
      <c r="FH725" s="269">
        <f t="shared" si="1895"/>
        <v>20353723.440518126</v>
      </c>
      <c r="FJ725" s="140">
        <f>'Detailed Budget'!$AC$235</f>
        <v>3623696172</v>
      </c>
      <c r="FK725" s="269">
        <f t="shared" si="1896"/>
        <v>4681778</v>
      </c>
      <c r="FL725" s="269">
        <f t="shared" si="1865"/>
        <v>4681778</v>
      </c>
      <c r="FO725" s="607"/>
      <c r="FP725" s="607"/>
      <c r="FQ725" s="607"/>
      <c r="FR725" s="269">
        <f>'Detailed Budget'!$AC$257</f>
        <v>13636439388</v>
      </c>
      <c r="FS725" s="269">
        <f t="shared" si="1897"/>
        <v>15489708.000000002</v>
      </c>
      <c r="FT725" s="269">
        <f t="shared" si="1866"/>
        <v>15489708.000000002</v>
      </c>
      <c r="FU725" s="269"/>
      <c r="FV725" s="269"/>
      <c r="FW725" s="269"/>
      <c r="FX725" s="140">
        <f>'Detailed Budget'!$AC$278</f>
        <v>1114560000</v>
      </c>
      <c r="FY725" s="269">
        <f t="shared" si="1898"/>
        <v>1440000</v>
      </c>
      <c r="FZ725" s="269">
        <f t="shared" si="1867"/>
        <v>1440000</v>
      </c>
      <c r="GB725" s="269">
        <f t="shared" si="1899"/>
        <v>1197882113.7484393</v>
      </c>
      <c r="GC725" s="887">
        <f t="shared" si="1808"/>
        <v>748676.32109277463</v>
      </c>
      <c r="GD725" s="1078">
        <f t="shared" si="1900"/>
        <v>6.7216937425746044E-4</v>
      </c>
    </row>
    <row r="726" spans="1:186" hidden="1" outlineLevel="1">
      <c r="A726" s="211" t="s">
        <v>1541</v>
      </c>
      <c r="B726" s="212" t="s">
        <v>2263</v>
      </c>
      <c r="C726" s="213" t="s">
        <v>215</v>
      </c>
      <c r="D726" s="214"/>
      <c r="E726" s="213"/>
      <c r="F726" s="213"/>
      <c r="G726" s="213" t="s">
        <v>215</v>
      </c>
      <c r="H726" s="213" t="s">
        <v>215</v>
      </c>
      <c r="I726" s="214" t="s">
        <v>215</v>
      </c>
      <c r="J726" s="214"/>
      <c r="K726" s="213"/>
      <c r="L726" s="213"/>
      <c r="M726" s="214"/>
      <c r="N726" s="213" t="s">
        <v>215</v>
      </c>
      <c r="O726" s="214"/>
      <c r="P726" s="213"/>
      <c r="Q726" s="214"/>
      <c r="R726" s="214" t="s">
        <v>215</v>
      </c>
      <c r="S726" s="214"/>
      <c r="T726" s="214"/>
      <c r="U726" s="215">
        <f t="shared" si="1905"/>
        <v>6</v>
      </c>
      <c r="V726" s="845" t="s">
        <v>216</v>
      </c>
      <c r="W726" s="216">
        <v>43459</v>
      </c>
      <c r="X726" s="217">
        <v>3.11</v>
      </c>
      <c r="Y726" s="218">
        <f t="shared" si="1785"/>
        <v>1.0310999999999999</v>
      </c>
      <c r="Z726" s="196">
        <v>19</v>
      </c>
      <c r="AA726" s="218">
        <f t="shared" si="1786"/>
        <v>1.7894309732827145</v>
      </c>
      <c r="AB726" s="196">
        <f t="shared" si="1902"/>
        <v>77766.880667893493</v>
      </c>
      <c r="AC726">
        <v>11.5</v>
      </c>
      <c r="AD726" s="196">
        <f t="shared" si="1903"/>
        <v>8943.1912768077509</v>
      </c>
      <c r="AE726" s="196">
        <f t="shared" si="1787"/>
        <v>8496.0317129673622</v>
      </c>
      <c r="AF726" s="196">
        <f t="shared" si="1906"/>
        <v>0</v>
      </c>
      <c r="AG726" s="606">
        <f t="shared" si="1811"/>
        <v>3.9281920812952233E-4</v>
      </c>
      <c r="AH726" s="196">
        <f t="shared" si="1922"/>
        <v>3888.3440333946746</v>
      </c>
      <c r="AI726" s="248">
        <f t="shared" si="1790"/>
        <v>3.012241208504238E-4</v>
      </c>
      <c r="AJ726" s="196">
        <f t="shared" si="1791"/>
        <v>12831.535310202426</v>
      </c>
      <c r="AK726" s="196">
        <f t="shared" si="1858"/>
        <v>3110.6752267157399</v>
      </c>
      <c r="AL726" s="196">
        <f t="shared" si="1859"/>
        <v>3110.6752267157399</v>
      </c>
      <c r="AM726" s="196">
        <f t="shared" si="1792"/>
        <v>6221.3504534314798</v>
      </c>
      <c r="AN726" s="627">
        <f t="shared" si="1793"/>
        <v>3.0122412085042385E-4</v>
      </c>
      <c r="AO726" s="196">
        <f t="shared" si="1794"/>
        <v>2955.1414653799525</v>
      </c>
      <c r="AP726" s="589">
        <f t="shared" si="1812"/>
        <v>3.012241208504238E-4</v>
      </c>
      <c r="AQ726" s="196"/>
      <c r="AR726" s="589"/>
      <c r="AS726">
        <v>1</v>
      </c>
      <c r="AT726" s="589">
        <f t="shared" si="1813"/>
        <v>1.2919896640826874E-3</v>
      </c>
      <c r="AU726" s="196">
        <v>10</v>
      </c>
      <c r="AV726" s="245">
        <f t="shared" si="1795"/>
        <v>1.1362345188046814E-3</v>
      </c>
      <c r="AX726" s="245"/>
      <c r="AY726" s="245"/>
      <c r="AZ726" s="196">
        <v>11</v>
      </c>
      <c r="BA726" s="589">
        <f t="shared" si="1871"/>
        <v>4.0306328093510683E-4</v>
      </c>
      <c r="BI726" s="196">
        <v>0</v>
      </c>
      <c r="BK726" s="246">
        <f t="shared" si="1872"/>
        <v>0</v>
      </c>
      <c r="BL726" s="246"/>
      <c r="BM726" s="246">
        <f t="shared" si="1873"/>
        <v>0</v>
      </c>
      <c r="BN726" s="196">
        <v>1</v>
      </c>
      <c r="BO726" s="196">
        <f t="shared" si="1907"/>
        <v>5220.1713223880179</v>
      </c>
      <c r="BP726" s="196">
        <f t="shared" si="1796"/>
        <v>5220.1713223880179</v>
      </c>
      <c r="BQ726" s="248">
        <f t="shared" si="1874"/>
        <v>4.8832271818707797E-4</v>
      </c>
      <c r="BR726" s="248"/>
      <c r="BS726" s="248"/>
      <c r="BT726" s="276">
        <v>0</v>
      </c>
      <c r="BU726" s="196">
        <f t="shared" si="1908"/>
        <v>0</v>
      </c>
      <c r="BV726" s="264">
        <f t="shared" si="1875"/>
        <v>0</v>
      </c>
      <c r="BW726" s="196">
        <f t="shared" si="1909"/>
        <v>0</v>
      </c>
      <c r="BX726" s="247">
        <f t="shared" si="1876"/>
        <v>0</v>
      </c>
      <c r="BY726" s="196">
        <f t="shared" si="1910"/>
        <v>0</v>
      </c>
      <c r="BZ726" s="620">
        <v>1</v>
      </c>
      <c r="CA726" s="196">
        <f t="shared" si="1911"/>
        <v>23796.665484375411</v>
      </c>
      <c r="CB726" s="196">
        <f t="shared" si="1912"/>
        <v>47593.330968750823</v>
      </c>
      <c r="CC726" s="196">
        <f t="shared" si="1809"/>
        <v>71389.996453126238</v>
      </c>
      <c r="CD726" s="247">
        <f t="shared" si="1797"/>
        <v>3.0122412085042385E-4</v>
      </c>
      <c r="CE726" s="196">
        <f t="shared" si="1913"/>
        <v>6720.3363074024892</v>
      </c>
      <c r="CF726" s="247">
        <f t="shared" si="1798"/>
        <v>2.9020502163441375E-4</v>
      </c>
      <c r="CG726" s="196">
        <f t="shared" si="1877"/>
        <v>11820.56586151981</v>
      </c>
      <c r="CH726" s="589">
        <f t="shared" si="1814"/>
        <v>3.012241208504238E-4</v>
      </c>
      <c r="CI726" s="196">
        <f t="shared" si="1914"/>
        <v>7654.5600001336179</v>
      </c>
      <c r="CJ726" s="248">
        <f t="shared" si="1815"/>
        <v>1.2584094697235446E-4</v>
      </c>
      <c r="CK726" s="196">
        <f t="shared" si="1915"/>
        <v>18350.400681920666</v>
      </c>
      <c r="CL726" s="589">
        <f t="shared" si="1816"/>
        <v>2.637907843189947E-4</v>
      </c>
      <c r="CM726" s="196">
        <f t="shared" si="1916"/>
        <v>1777.7035578428106</v>
      </c>
      <c r="CN726" s="589">
        <f t="shared" si="1817"/>
        <v>2.5618728566573407E-4</v>
      </c>
      <c r="CO726" s="196">
        <f t="shared" si="1917"/>
        <v>142.20903830700155</v>
      </c>
      <c r="CP726" s="589">
        <f t="shared" si="1818"/>
        <v>2.6818434202268587E-4</v>
      </c>
      <c r="CQ726" s="196">
        <f>'Detailed Budget'!$AC$12</f>
        <v>292876014141.44696</v>
      </c>
      <c r="CR726" s="269">
        <f t="shared" si="1861"/>
        <v>0</v>
      </c>
      <c r="CS726" s="269">
        <f>'Detailed Budget'!$AC$16</f>
        <v>10488008800.000002</v>
      </c>
      <c r="CT726" s="607">
        <f t="shared" si="1878"/>
        <v>0</v>
      </c>
      <c r="CU726" s="269">
        <f>'Detailed Budget'!$AC$24</f>
        <v>30624985696</v>
      </c>
      <c r="CV726" s="269">
        <f t="shared" si="1868"/>
        <v>0</v>
      </c>
      <c r="CW726" s="269"/>
      <c r="CX726" s="269">
        <f t="shared" si="1810"/>
        <v>0</v>
      </c>
      <c r="CY726" s="196">
        <f>'Detailed Budget'!$AC$97</f>
        <v>74629165494.837845</v>
      </c>
      <c r="CZ726" s="269">
        <f t="shared" si="1879"/>
        <v>36443116.950472504</v>
      </c>
      <c r="DA726" s="269">
        <f>'Detailed Budget'!$AC$100</f>
        <v>14925833098.967569</v>
      </c>
      <c r="DB726" s="269">
        <f t="shared" si="1880"/>
        <v>7288623.390094501</v>
      </c>
      <c r="DC726" s="269">
        <f t="shared" si="1799"/>
        <v>43731740.340567008</v>
      </c>
      <c r="DD726" s="207">
        <v>0</v>
      </c>
      <c r="DE726" s="606">
        <v>0</v>
      </c>
      <c r="DF726" s="269">
        <f>'Detailed Budget'!$AC$147</f>
        <v>5913600671000</v>
      </c>
      <c r="DG726" s="269">
        <f t="shared" si="1863"/>
        <v>0</v>
      </c>
      <c r="DH726" s="269">
        <f>'Detailed Budget'!$AC$153</f>
        <v>226428026880.00003</v>
      </c>
      <c r="DI726" s="269"/>
      <c r="DJ726" s="269">
        <f>'Detailed Budget'!$AC$156</f>
        <v>27713070000</v>
      </c>
      <c r="DK726" s="269"/>
      <c r="DL726" s="269"/>
      <c r="DM726" s="196">
        <f>'Detailed Budget'!$AC$178</f>
        <v>5622683761.6229038</v>
      </c>
      <c r="DN726" s="269">
        <f t="shared" si="1918"/>
        <v>0</v>
      </c>
      <c r="DO726" s="196">
        <f>'Detailed Budget'!$AC$179</f>
        <v>26827890683.128094</v>
      </c>
      <c r="DP726" s="269">
        <f t="shared" si="1919"/>
        <v>0</v>
      </c>
      <c r="DQ726" s="269">
        <f t="shared" si="1862"/>
        <v>0</v>
      </c>
      <c r="DR726" s="269">
        <f>'Detailed Budget'!$AC$181</f>
        <v>50888946855.375237</v>
      </c>
      <c r="DS726" s="269">
        <f t="shared" si="1920"/>
        <v>0</v>
      </c>
      <c r="DT726" s="269">
        <f t="shared" si="1921"/>
        <v>0</v>
      </c>
      <c r="DU726" s="272">
        <f>'Detailed Budget'!$AC$192</f>
        <v>77498869683.252869</v>
      </c>
      <c r="DV726" s="269">
        <f t="shared" si="1881"/>
        <v>23344528.887239411</v>
      </c>
      <c r="DW726" s="140">
        <f>'Detailed Budget'!$AC$194</f>
        <v>2684962805.4134097</v>
      </c>
      <c r="DX726" s="269">
        <f t="shared" si="1882"/>
        <v>808775.56057674205</v>
      </c>
      <c r="DY726" s="607">
        <f t="shared" si="1800"/>
        <v>24153304.447816152</v>
      </c>
      <c r="DZ726" s="196">
        <f>'Detailed Budget'!$AC$198</f>
        <v>18732540018.380611</v>
      </c>
      <c r="EA726" s="269">
        <f t="shared" si="1883"/>
        <v>5436277.1813016664</v>
      </c>
      <c r="EB726" s="196">
        <f>'Detailed Budget'!$AC$200</f>
        <v>4683135004.5951529</v>
      </c>
      <c r="EC726" s="269">
        <f t="shared" si="1884"/>
        <v>1359069.2953254166</v>
      </c>
      <c r="ED726" s="269">
        <f t="shared" si="1801"/>
        <v>6795346.4766270835</v>
      </c>
      <c r="EE726" s="196">
        <f>'Detailed Budget'!$AC$161</f>
        <v>251147290106.36197</v>
      </c>
      <c r="EF726" s="269">
        <f t="shared" si="1885"/>
        <v>75651621.666255221</v>
      </c>
      <c r="EG726" s="196">
        <f>'Detailed Budget'!$AC$163</f>
        <v>15696705631.647623</v>
      </c>
      <c r="EH726" s="269">
        <f t="shared" si="1886"/>
        <v>4728226.3541409513</v>
      </c>
      <c r="EI726" s="269">
        <f t="shared" si="1802"/>
        <v>80379848.020396173</v>
      </c>
      <c r="EJ726" s="196">
        <f>'Detailed Budget'!$AC$204</f>
        <v>45012172507.531975</v>
      </c>
      <c r="EK726" s="269">
        <f t="shared" si="1887"/>
        <v>5664374.4136308022</v>
      </c>
      <c r="EL726" s="201">
        <f>'Detailed Budget'!$AC$206</f>
        <v>11253043126.882994</v>
      </c>
      <c r="EM726" s="269">
        <f t="shared" si="1888"/>
        <v>1416093.6034077005</v>
      </c>
      <c r="EN726" s="269">
        <f t="shared" si="1803"/>
        <v>7080468.0170385027</v>
      </c>
      <c r="EO726" s="140">
        <f>'Detailed Budget'!$AC$209</f>
        <v>135789361677.54817</v>
      </c>
      <c r="EP726" s="269">
        <f t="shared" si="1889"/>
        <v>35819982.219096072</v>
      </c>
      <c r="EQ726" s="196">
        <f>'Detailed Budget'!$AC$211</f>
        <v>33947340419.387043</v>
      </c>
      <c r="ER726" s="269">
        <f t="shared" si="1890"/>
        <v>8954995.554774018</v>
      </c>
      <c r="ES726" s="269">
        <f t="shared" si="1804"/>
        <v>44774977.773870088</v>
      </c>
      <c r="ET726" s="196">
        <f>'Detailed Budget'!$AC$214</f>
        <v>22239745544.201103</v>
      </c>
      <c r="EU726" s="269">
        <f t="shared" si="1891"/>
        <v>5697540.0448654843</v>
      </c>
      <c r="EV726" s="140">
        <f>'Detailed Budget'!$AC$217</f>
        <v>5559936386.0502758</v>
      </c>
      <c r="EW726" s="269">
        <f t="shared" si="1892"/>
        <v>1424385.0112163711</v>
      </c>
      <c r="EX726" s="269">
        <f t="shared" si="1805"/>
        <v>7121925.0560818557</v>
      </c>
      <c r="EY726" s="196">
        <f>'Detailed Budget'!$AC$219</f>
        <v>372777004.58170313</v>
      </c>
      <c r="EZ726" s="269">
        <f t="shared" si="1893"/>
        <v>99972.955694931807</v>
      </c>
      <c r="FA726" s="196">
        <f>'Detailed Budget'!$AC$222</f>
        <v>93194251.145425782</v>
      </c>
      <c r="FB726" s="269">
        <f t="shared" si="1894"/>
        <v>24993.238923732952</v>
      </c>
      <c r="FC726" s="269">
        <f t="shared" si="1806"/>
        <v>124966.19461866475</v>
      </c>
      <c r="FD726" s="269"/>
      <c r="FE726" s="269">
        <f t="shared" si="1807"/>
        <v>59102337.041609108</v>
      </c>
      <c r="FF726" s="140">
        <f>'Detailed Budget'!$AC$165</f>
        <v>14927760000</v>
      </c>
      <c r="FG726" s="1087">
        <f t="shared" si="1864"/>
        <v>80619499.936190203</v>
      </c>
      <c r="FH726" s="269">
        <f t="shared" si="1895"/>
        <v>16961436.200431772</v>
      </c>
      <c r="FJ726" s="140">
        <f>'Detailed Budget'!$AC$235</f>
        <v>3623696172</v>
      </c>
      <c r="FK726" s="269">
        <f t="shared" si="1896"/>
        <v>4681778</v>
      </c>
      <c r="FL726" s="269">
        <f t="shared" si="1865"/>
        <v>4681778</v>
      </c>
      <c r="FO726" s="607"/>
      <c r="FP726" s="607"/>
      <c r="FQ726" s="607"/>
      <c r="FR726" s="269">
        <f>'Detailed Budget'!$AC$257</f>
        <v>13636439388</v>
      </c>
      <c r="FS726" s="269">
        <f t="shared" si="1897"/>
        <v>5496348</v>
      </c>
      <c r="FT726" s="269">
        <f t="shared" si="1866"/>
        <v>5496348</v>
      </c>
      <c r="FU726" s="269"/>
      <c r="FV726" s="269"/>
      <c r="FW726" s="269"/>
      <c r="FX726" s="140">
        <f>'Detailed Budget'!$AC$278</f>
        <v>1114560000</v>
      </c>
      <c r="FY726" s="269">
        <f t="shared" si="1898"/>
        <v>1440000</v>
      </c>
      <c r="FZ726" s="269">
        <f t="shared" si="1867"/>
        <v>1440000</v>
      </c>
      <c r="GB726" s="269">
        <f t="shared" si="1899"/>
        <v>323361638.46363747</v>
      </c>
      <c r="GC726" s="887">
        <f t="shared" si="1808"/>
        <v>202101.02403977342</v>
      </c>
      <c r="GD726" s="1078">
        <f t="shared" si="1900"/>
        <v>1.8144839770987316E-4</v>
      </c>
    </row>
    <row r="727" spans="1:186" hidden="1" outlineLevel="1">
      <c r="A727" s="211" t="s">
        <v>1542</v>
      </c>
      <c r="B727" s="212" t="s">
        <v>1543</v>
      </c>
      <c r="C727" s="213" t="s">
        <v>215</v>
      </c>
      <c r="D727" s="214"/>
      <c r="E727" s="213"/>
      <c r="F727" s="213"/>
      <c r="G727" s="213" t="s">
        <v>215</v>
      </c>
      <c r="H727" s="213" t="s">
        <v>215</v>
      </c>
      <c r="I727" s="214" t="s">
        <v>215</v>
      </c>
      <c r="J727" s="214"/>
      <c r="K727" s="213"/>
      <c r="L727" s="213"/>
      <c r="M727" s="214"/>
      <c r="N727" s="213" t="s">
        <v>215</v>
      </c>
      <c r="O727" s="214"/>
      <c r="P727" s="213"/>
      <c r="Q727" s="214"/>
      <c r="R727" s="214" t="s">
        <v>215</v>
      </c>
      <c r="S727" s="214"/>
      <c r="T727" s="214"/>
      <c r="U727" s="215">
        <f t="shared" si="1905"/>
        <v>6</v>
      </c>
      <c r="V727" s="845" t="s">
        <v>216</v>
      </c>
      <c r="W727" s="216">
        <v>131330</v>
      </c>
      <c r="X727" s="217">
        <v>3.11</v>
      </c>
      <c r="Y727" s="218">
        <f t="shared" si="1785"/>
        <v>1.0310999999999999</v>
      </c>
      <c r="Z727" s="196">
        <v>19</v>
      </c>
      <c r="AA727" s="218">
        <f t="shared" si="1786"/>
        <v>1.7894309732827145</v>
      </c>
      <c r="AB727" s="196">
        <f t="shared" si="1902"/>
        <v>235005.96972121889</v>
      </c>
      <c r="AC727">
        <v>11.5</v>
      </c>
      <c r="AD727" s="196">
        <f t="shared" si="1903"/>
        <v>27025.686517940172</v>
      </c>
      <c r="AE727" s="196">
        <f t="shared" si="1787"/>
        <v>25674.402192043162</v>
      </c>
      <c r="AF727" s="196">
        <f t="shared" si="1906"/>
        <v>0</v>
      </c>
      <c r="AG727" s="606">
        <f t="shared" si="1811"/>
        <v>1.1870716446225216E-3</v>
      </c>
      <c r="AH727" s="196">
        <f t="shared" si="1922"/>
        <v>11750.298486060945</v>
      </c>
      <c r="AI727" s="248">
        <f t="shared" si="1790"/>
        <v>9.1027782027396304E-4</v>
      </c>
      <c r="AJ727" s="196">
        <f t="shared" si="1791"/>
        <v>38775.985004001115</v>
      </c>
      <c r="AK727" s="196">
        <f t="shared" si="1858"/>
        <v>9400.2387888487556</v>
      </c>
      <c r="AL727" s="196">
        <f t="shared" si="1859"/>
        <v>9400.2387888487556</v>
      </c>
      <c r="AM727" s="196">
        <f t="shared" si="1792"/>
        <v>18800.477577697511</v>
      </c>
      <c r="AN727" s="627">
        <f t="shared" si="1793"/>
        <v>9.1027782027396304E-4</v>
      </c>
      <c r="AO727" s="196">
        <f t="shared" si="1794"/>
        <v>8930.2268494063173</v>
      </c>
      <c r="AP727" s="589">
        <f t="shared" si="1812"/>
        <v>9.1027782027396293E-4</v>
      </c>
      <c r="AQ727" s="196"/>
      <c r="AR727" s="589"/>
      <c r="AS727">
        <v>1</v>
      </c>
      <c r="AT727" s="589">
        <f t="shared" si="1813"/>
        <v>1.2919896640826874E-3</v>
      </c>
      <c r="AU727" s="196">
        <v>11</v>
      </c>
      <c r="AV727" s="245">
        <f t="shared" si="1795"/>
        <v>1.2498579706851495E-3</v>
      </c>
      <c r="AX727" s="245"/>
      <c r="AY727" s="245"/>
      <c r="AZ727" s="196">
        <v>22</v>
      </c>
      <c r="BA727" s="589">
        <f t="shared" si="1871"/>
        <v>8.0612656187021366E-4</v>
      </c>
      <c r="BI727" s="196">
        <v>0</v>
      </c>
      <c r="BK727" s="246">
        <f t="shared" si="1872"/>
        <v>0</v>
      </c>
      <c r="BL727" s="246"/>
      <c r="BM727" s="246">
        <f t="shared" si="1873"/>
        <v>0</v>
      </c>
      <c r="BN727" s="196">
        <v>1</v>
      </c>
      <c r="BO727" s="196">
        <f t="shared" si="1907"/>
        <v>15774.985613318724</v>
      </c>
      <c r="BP727" s="196">
        <f t="shared" si="1796"/>
        <v>15774.985613318724</v>
      </c>
      <c r="BQ727" s="248">
        <f t="shared" si="1874"/>
        <v>1.475676443993395E-3</v>
      </c>
      <c r="BR727" s="248"/>
      <c r="BS727" s="248"/>
      <c r="BT727" s="276">
        <v>0</v>
      </c>
      <c r="BU727" s="196">
        <f t="shared" si="1908"/>
        <v>0</v>
      </c>
      <c r="BV727" s="264">
        <f t="shared" si="1875"/>
        <v>0</v>
      </c>
      <c r="BW727" s="196">
        <f t="shared" si="1909"/>
        <v>0</v>
      </c>
      <c r="BX727" s="247">
        <f t="shared" si="1876"/>
        <v>0</v>
      </c>
      <c r="BY727" s="196">
        <f t="shared" si="1910"/>
        <v>0</v>
      </c>
      <c r="BZ727" s="620">
        <v>1</v>
      </c>
      <c r="CA727" s="196">
        <f t="shared" si="1911"/>
        <v>71911.826734692979</v>
      </c>
      <c r="CB727" s="196">
        <f t="shared" si="1912"/>
        <v>143823.65346938596</v>
      </c>
      <c r="CC727" s="196">
        <f t="shared" si="1809"/>
        <v>215735.48020407895</v>
      </c>
      <c r="CD727" s="247">
        <f t="shared" si="1797"/>
        <v>9.1027782027396304E-4</v>
      </c>
      <c r="CE727" s="196">
        <f t="shared" si="1913"/>
        <v>20308.377257902135</v>
      </c>
      <c r="CF727" s="247">
        <f t="shared" si="1798"/>
        <v>8.7697888794605386E-4</v>
      </c>
      <c r="CG727" s="196">
        <f t="shared" si="1877"/>
        <v>35720.907397625269</v>
      </c>
      <c r="CH727" s="589">
        <f t="shared" si="1814"/>
        <v>9.1027782027396293E-4</v>
      </c>
      <c r="CI727" s="196">
        <f t="shared" si="1914"/>
        <v>23131.534660658275</v>
      </c>
      <c r="CJ727" s="248">
        <f t="shared" si="1815"/>
        <v>3.8028237110562395E-4</v>
      </c>
      <c r="CK727" s="196">
        <f t="shared" si="1915"/>
        <v>55453.602741817369</v>
      </c>
      <c r="CL727" s="589">
        <f t="shared" si="1816"/>
        <v>7.9715694573307197E-4</v>
      </c>
      <c r="CM727" s="196">
        <f t="shared" si="1916"/>
        <v>5372.0934271726528</v>
      </c>
      <c r="CN727" s="589">
        <f t="shared" si="1817"/>
        <v>7.7417971482272613E-4</v>
      </c>
      <c r="CO727" s="196">
        <f t="shared" si="1917"/>
        <v>429.74557631005115</v>
      </c>
      <c r="CP727" s="589">
        <f t="shared" si="1818"/>
        <v>8.1043396391631964E-4</v>
      </c>
      <c r="CQ727" s="196">
        <f>'Detailed Budget'!$AC$12</f>
        <v>292876014141.44696</v>
      </c>
      <c r="CR727" s="269">
        <f t="shared" si="1861"/>
        <v>0</v>
      </c>
      <c r="CS727" s="269">
        <f>'Detailed Budget'!$AC$16</f>
        <v>10488008800.000002</v>
      </c>
      <c r="CT727" s="607">
        <f t="shared" si="1878"/>
        <v>0</v>
      </c>
      <c r="CU727" s="269">
        <f>'Detailed Budget'!$AC$24</f>
        <v>30624985696</v>
      </c>
      <c r="CV727" s="269">
        <f t="shared" si="1868"/>
        <v>0</v>
      </c>
      <c r="CW727" s="269"/>
      <c r="CX727" s="269">
        <f t="shared" si="1810"/>
        <v>0</v>
      </c>
      <c r="CY727" s="196">
        <f>'Detailed Budget'!$AC$97</f>
        <v>74629165494.837845</v>
      </c>
      <c r="CZ727" s="269">
        <f t="shared" si="1879"/>
        <v>110128501.55561689</v>
      </c>
      <c r="DA727" s="269">
        <f>'Detailed Budget'!$AC$100</f>
        <v>14925833098.967569</v>
      </c>
      <c r="DB727" s="269">
        <f t="shared" si="1880"/>
        <v>22025700.311123379</v>
      </c>
      <c r="DC727" s="269">
        <f t="shared" si="1799"/>
        <v>132154201.86674026</v>
      </c>
      <c r="DD727" s="207">
        <v>0</v>
      </c>
      <c r="DE727" s="606">
        <v>0</v>
      </c>
      <c r="DF727" s="269">
        <f>'Detailed Budget'!$AC$147</f>
        <v>5913600671000</v>
      </c>
      <c r="DG727" s="269">
        <f t="shared" si="1863"/>
        <v>0</v>
      </c>
      <c r="DH727" s="269">
        <f>'Detailed Budget'!$AC$153</f>
        <v>226428026880.00003</v>
      </c>
      <c r="DI727" s="269"/>
      <c r="DJ727" s="269">
        <f>'Detailed Budget'!$AC$156</f>
        <v>27713070000</v>
      </c>
      <c r="DK727" s="269"/>
      <c r="DL727" s="269"/>
      <c r="DM727" s="196">
        <f>'Detailed Budget'!$AC$178</f>
        <v>5622683761.6229038</v>
      </c>
      <c r="DN727" s="269">
        <f t="shared" si="1918"/>
        <v>0</v>
      </c>
      <c r="DO727" s="196">
        <f>'Detailed Budget'!$AC$179</f>
        <v>26827890683.128094</v>
      </c>
      <c r="DP727" s="269">
        <f t="shared" si="1919"/>
        <v>0</v>
      </c>
      <c r="DQ727" s="269">
        <f t="shared" si="1862"/>
        <v>0</v>
      </c>
      <c r="DR727" s="269">
        <f>'Detailed Budget'!$AC$181</f>
        <v>50888946855.375237</v>
      </c>
      <c r="DS727" s="269">
        <f t="shared" si="1920"/>
        <v>0</v>
      </c>
      <c r="DT727" s="269">
        <f t="shared" si="1921"/>
        <v>0</v>
      </c>
      <c r="DU727" s="272">
        <f>'Detailed Budget'!$AC$192</f>
        <v>77498869683.252869</v>
      </c>
      <c r="DV727" s="269">
        <f t="shared" si="1881"/>
        <v>70545502.168967336</v>
      </c>
      <c r="DW727" s="140">
        <f>'Detailed Budget'!$AC$194</f>
        <v>2684962805.4134097</v>
      </c>
      <c r="DX727" s="269">
        <f t="shared" si="1882"/>
        <v>2444062.0900283833</v>
      </c>
      <c r="DY727" s="607">
        <f t="shared" si="1800"/>
        <v>72989564.258995727</v>
      </c>
      <c r="DZ727" s="196">
        <f>'Detailed Budget'!$AC$198</f>
        <v>18732540018.380611</v>
      </c>
      <c r="EA727" s="269">
        <f t="shared" si="1883"/>
        <v>16428042.113724381</v>
      </c>
      <c r="EB727" s="196">
        <f>'Detailed Budget'!$AC$200</f>
        <v>4683135004.5951529</v>
      </c>
      <c r="EC727" s="269">
        <f t="shared" si="1884"/>
        <v>4107010.5284310952</v>
      </c>
      <c r="ED727" s="269">
        <f t="shared" si="1801"/>
        <v>20535052.642155476</v>
      </c>
      <c r="EE727" s="196">
        <f>'Detailed Budget'!$AC$161</f>
        <v>251147290106.36197</v>
      </c>
      <c r="EF727" s="269">
        <f t="shared" si="1885"/>
        <v>228613807.8057318</v>
      </c>
      <c r="EG727" s="196">
        <f>'Detailed Budget'!$AC$163</f>
        <v>15696705631.647623</v>
      </c>
      <c r="EH727" s="269">
        <f t="shared" si="1886"/>
        <v>14288362.987858238</v>
      </c>
      <c r="EI727" s="269">
        <f t="shared" si="1802"/>
        <v>242902170.79359004</v>
      </c>
      <c r="EJ727" s="196">
        <f>'Detailed Budget'!$AC$204</f>
        <v>45012172507.531975</v>
      </c>
      <c r="EK727" s="269">
        <f t="shared" si="1887"/>
        <v>17117335.689779639</v>
      </c>
      <c r="EL727" s="201">
        <f>'Detailed Budget'!$AC$206</f>
        <v>11253043126.882994</v>
      </c>
      <c r="EM727" s="269">
        <f t="shared" si="1888"/>
        <v>4279333.9224449098</v>
      </c>
      <c r="EN727" s="269">
        <f t="shared" si="1803"/>
        <v>21396669.612224549</v>
      </c>
      <c r="EO727" s="140">
        <f>'Detailed Budget'!$AC$209</f>
        <v>135789361677.54817</v>
      </c>
      <c r="EP727" s="269">
        <f t="shared" si="1889"/>
        <v>108245432.81791775</v>
      </c>
      <c r="EQ727" s="196">
        <f>'Detailed Budget'!$AC$211</f>
        <v>33947340419.387043</v>
      </c>
      <c r="ER727" s="269">
        <f t="shared" si="1890"/>
        <v>27061358.204479437</v>
      </c>
      <c r="ES727" s="269">
        <f t="shared" si="1804"/>
        <v>135306791.02239719</v>
      </c>
      <c r="ET727" s="196">
        <f>'Detailed Budget'!$AC$214</f>
        <v>22239745544.201103</v>
      </c>
      <c r="EU727" s="269">
        <f t="shared" si="1891"/>
        <v>17217559.863139603</v>
      </c>
      <c r="EV727" s="140">
        <f>'Detailed Budget'!$AC$217</f>
        <v>5559936386.0502758</v>
      </c>
      <c r="EW727" s="269">
        <f t="shared" si="1892"/>
        <v>4304389.9657849008</v>
      </c>
      <c r="EX727" s="269">
        <f t="shared" si="1805"/>
        <v>21521949.828924503</v>
      </c>
      <c r="EY727" s="196">
        <f>'Detailed Budget'!$AC$219</f>
        <v>372777004.58170313</v>
      </c>
      <c r="EZ727" s="269">
        <f t="shared" si="1893"/>
        <v>302111.14548000169</v>
      </c>
      <c r="FA727" s="196">
        <f>'Detailed Budget'!$AC$222</f>
        <v>93194251.145425782</v>
      </c>
      <c r="FB727" s="269">
        <f t="shared" si="1894"/>
        <v>75527.786370000424</v>
      </c>
      <c r="FC727" s="269">
        <f t="shared" si="1806"/>
        <v>377638.93185000215</v>
      </c>
      <c r="FD727" s="269"/>
      <c r="FE727" s="269">
        <f t="shared" si="1807"/>
        <v>178603049.39539626</v>
      </c>
      <c r="FF727" s="140">
        <f>'Detailed Budget'!$AC$165</f>
        <v>14927760000</v>
      </c>
      <c r="FG727" s="1087">
        <f t="shared" si="1864"/>
        <v>243626381.79939395</v>
      </c>
      <c r="FH727" s="269">
        <f t="shared" si="1895"/>
        <v>18657579.820474949</v>
      </c>
      <c r="FJ727" s="140">
        <f>'Detailed Budget'!$AC$235</f>
        <v>3623696172</v>
      </c>
      <c r="FK727" s="269">
        <f t="shared" si="1896"/>
        <v>4681778</v>
      </c>
      <c r="FL727" s="269">
        <f t="shared" si="1865"/>
        <v>4681778</v>
      </c>
      <c r="FO727" s="607"/>
      <c r="FP727" s="607"/>
      <c r="FQ727" s="607"/>
      <c r="FR727" s="269">
        <f>'Detailed Budget'!$AC$257</f>
        <v>13636439388</v>
      </c>
      <c r="FS727" s="269">
        <f t="shared" si="1897"/>
        <v>10992696</v>
      </c>
      <c r="FT727" s="269">
        <f t="shared" si="1866"/>
        <v>10992696</v>
      </c>
      <c r="FU727" s="269"/>
      <c r="FV727" s="269"/>
      <c r="FW727" s="269"/>
      <c r="FX727" s="140">
        <f>'Detailed Budget'!$AC$278</f>
        <v>1114560000</v>
      </c>
      <c r="FY727" s="269">
        <f t="shared" si="1898"/>
        <v>1440000</v>
      </c>
      <c r="FZ727" s="269">
        <f t="shared" si="1867"/>
        <v>1440000</v>
      </c>
      <c r="GB727" s="269">
        <f t="shared" si="1899"/>
        <v>926582474.57674658</v>
      </c>
      <c r="GC727" s="887">
        <f t="shared" si="1808"/>
        <v>579114.04661046667</v>
      </c>
      <c r="GD727" s="1078">
        <f t="shared" si="1900"/>
        <v>5.1993460373595337E-4</v>
      </c>
    </row>
    <row r="728" spans="1:186" hidden="1" outlineLevel="1">
      <c r="A728" s="211" t="s">
        <v>1544</v>
      </c>
      <c r="B728" s="212" t="s">
        <v>1545</v>
      </c>
      <c r="C728" s="213" t="s">
        <v>215</v>
      </c>
      <c r="D728" s="214"/>
      <c r="E728" s="213"/>
      <c r="F728" s="213"/>
      <c r="G728" s="213" t="s">
        <v>215</v>
      </c>
      <c r="H728" s="213" t="s">
        <v>215</v>
      </c>
      <c r="I728" s="214" t="s">
        <v>215</v>
      </c>
      <c r="J728" s="214"/>
      <c r="K728" s="213"/>
      <c r="L728" s="213"/>
      <c r="M728" s="214"/>
      <c r="N728" s="213" t="s">
        <v>215</v>
      </c>
      <c r="O728" s="214"/>
      <c r="P728" s="213"/>
      <c r="Q728" s="214"/>
      <c r="R728" s="214" t="s">
        <v>215</v>
      </c>
      <c r="S728" s="214"/>
      <c r="T728" s="214"/>
      <c r="U728" s="215">
        <f t="shared" si="1905"/>
        <v>6</v>
      </c>
      <c r="V728" s="845" t="s">
        <v>216</v>
      </c>
      <c r="W728" s="216">
        <v>113951</v>
      </c>
      <c r="X728" s="217">
        <v>3.11</v>
      </c>
      <c r="Y728" s="218">
        <f t="shared" si="1785"/>
        <v>1.0310999999999999</v>
      </c>
      <c r="Z728" s="196">
        <v>19</v>
      </c>
      <c r="AA728" s="218">
        <f t="shared" si="1786"/>
        <v>1.7894309732827145</v>
      </c>
      <c r="AB728" s="196">
        <f t="shared" si="1902"/>
        <v>203907.44883653859</v>
      </c>
      <c r="AC728">
        <v>11.5</v>
      </c>
      <c r="AD728" s="196">
        <f t="shared" si="1903"/>
        <v>23449.356616201938</v>
      </c>
      <c r="AE728" s="196">
        <f t="shared" si="1787"/>
        <v>22276.888785391839</v>
      </c>
      <c r="AF728" s="196">
        <f t="shared" si="1906"/>
        <v>0</v>
      </c>
      <c r="AG728" s="606">
        <f t="shared" si="1811"/>
        <v>1.0299855400622933E-3</v>
      </c>
      <c r="AH728" s="196">
        <f t="shared" si="1922"/>
        <v>10195.37244182693</v>
      </c>
      <c r="AI728" s="248">
        <f t="shared" si="1790"/>
        <v>7.8982005557023038E-4</v>
      </c>
      <c r="AJ728" s="196">
        <f t="shared" si="1791"/>
        <v>33644.729058028868</v>
      </c>
      <c r="AK728" s="196">
        <f t="shared" si="1858"/>
        <v>8156.2979534615442</v>
      </c>
      <c r="AL728" s="196">
        <f t="shared" si="1859"/>
        <v>8156.2979534615442</v>
      </c>
      <c r="AM728" s="196">
        <f t="shared" si="1792"/>
        <v>16312.595906923088</v>
      </c>
      <c r="AN728" s="627">
        <f t="shared" si="1793"/>
        <v>7.8982005557023038E-4</v>
      </c>
      <c r="AO728" s="196">
        <f t="shared" si="1794"/>
        <v>7748.4830557884661</v>
      </c>
      <c r="AP728" s="589">
        <f t="shared" si="1812"/>
        <v>7.8982005557023038E-4</v>
      </c>
      <c r="AQ728" s="196"/>
      <c r="AR728" s="589"/>
      <c r="AS728">
        <v>1</v>
      </c>
      <c r="AT728" s="589">
        <f t="shared" si="1813"/>
        <v>1.2919896640826874E-3</v>
      </c>
      <c r="AU728" s="196">
        <v>10</v>
      </c>
      <c r="AV728" s="245">
        <f t="shared" si="1795"/>
        <v>1.1362345188046814E-3</v>
      </c>
      <c r="AX728" s="245"/>
      <c r="AY728" s="245"/>
      <c r="AZ728" s="196">
        <v>20</v>
      </c>
      <c r="BA728" s="589">
        <f t="shared" si="1871"/>
        <v>7.3284232897292143E-4</v>
      </c>
      <c r="BI728" s="196">
        <v>0</v>
      </c>
      <c r="BK728" s="246">
        <f t="shared" si="1872"/>
        <v>0</v>
      </c>
      <c r="BL728" s="246"/>
      <c r="BM728" s="246">
        <f t="shared" si="1873"/>
        <v>0</v>
      </c>
      <c r="BN728" s="196">
        <v>1</v>
      </c>
      <c r="BO728" s="196">
        <f t="shared" si="1907"/>
        <v>13687.469623264158</v>
      </c>
      <c r="BP728" s="196">
        <f t="shared" si="1796"/>
        <v>13687.469623264158</v>
      </c>
      <c r="BQ728" s="248">
        <f t="shared" si="1874"/>
        <v>1.2803990441596844E-3</v>
      </c>
      <c r="BR728" s="248"/>
      <c r="BS728" s="248"/>
      <c r="BT728" s="276">
        <v>0</v>
      </c>
      <c r="BU728" s="196">
        <f t="shared" si="1908"/>
        <v>0</v>
      </c>
      <c r="BV728" s="264">
        <f t="shared" si="1875"/>
        <v>0</v>
      </c>
      <c r="BW728" s="196">
        <f t="shared" si="1909"/>
        <v>0</v>
      </c>
      <c r="BX728" s="247">
        <f t="shared" si="1876"/>
        <v>0</v>
      </c>
      <c r="BY728" s="196">
        <f t="shared" si="1910"/>
        <v>0</v>
      </c>
      <c r="BZ728" s="620">
        <v>1</v>
      </c>
      <c r="CA728" s="196">
        <f t="shared" si="1911"/>
        <v>62395.67934398081</v>
      </c>
      <c r="CB728" s="196">
        <f t="shared" si="1912"/>
        <v>124791.35868796162</v>
      </c>
      <c r="CC728" s="196">
        <f t="shared" si="1809"/>
        <v>187187.03803194244</v>
      </c>
      <c r="CD728" s="247">
        <f t="shared" si="1797"/>
        <v>7.8982005557023049E-4</v>
      </c>
      <c r="CE728" s="196">
        <f t="shared" si="1913"/>
        <v>17620.95406164019</v>
      </c>
      <c r="CF728" s="247">
        <f t="shared" si="1798"/>
        <v>7.6092759659134078E-4</v>
      </c>
      <c r="CG728" s="196">
        <f t="shared" si="1877"/>
        <v>30993.932223153864</v>
      </c>
      <c r="CH728" s="589">
        <f t="shared" si="1814"/>
        <v>7.8982005557023038E-4</v>
      </c>
      <c r="CI728" s="196">
        <f t="shared" si="1914"/>
        <v>20070.520871976481</v>
      </c>
      <c r="CJ728" s="248">
        <f t="shared" si="1815"/>
        <v>3.2995931218957557E-4</v>
      </c>
      <c r="CK728" s="196">
        <f t="shared" si="1915"/>
        <v>48115.384801894703</v>
      </c>
      <c r="CL728" s="589">
        <f t="shared" si="1816"/>
        <v>6.9166855343965044E-4</v>
      </c>
      <c r="CM728" s="196">
        <f t="shared" si="1916"/>
        <v>4661.2001684287743</v>
      </c>
      <c r="CN728" s="589">
        <f t="shared" si="1817"/>
        <v>6.7173191718392187E-4</v>
      </c>
      <c r="CO728" s="196">
        <f t="shared" si="1917"/>
        <v>372.87701337170978</v>
      </c>
      <c r="CP728" s="589">
        <f t="shared" si="1818"/>
        <v>7.0318861358584141E-4</v>
      </c>
      <c r="CQ728" s="196">
        <f>'Detailed Budget'!$AC$12</f>
        <v>292876014141.44696</v>
      </c>
      <c r="CR728" s="269">
        <f t="shared" si="1861"/>
        <v>0</v>
      </c>
      <c r="CS728" s="269">
        <f>'Detailed Budget'!$AC$16</f>
        <v>10488008800.000002</v>
      </c>
      <c r="CT728" s="607">
        <f t="shared" si="1878"/>
        <v>0</v>
      </c>
      <c r="CU728" s="269">
        <f>'Detailed Budget'!$AC$24</f>
        <v>30624985696</v>
      </c>
      <c r="CV728" s="269">
        <f t="shared" si="1868"/>
        <v>0</v>
      </c>
      <c r="CW728" s="269"/>
      <c r="CX728" s="269">
        <f t="shared" si="1810"/>
        <v>0</v>
      </c>
      <c r="CY728" s="196">
        <f>'Detailed Budget'!$AC$97</f>
        <v>74629165494.837845</v>
      </c>
      <c r="CZ728" s="269">
        <f t="shared" si="1879"/>
        <v>95555112.166025281</v>
      </c>
      <c r="DA728" s="269">
        <f>'Detailed Budget'!$AC$100</f>
        <v>14925833098.967569</v>
      </c>
      <c r="DB728" s="269">
        <f t="shared" si="1880"/>
        <v>19111022.433205057</v>
      </c>
      <c r="DC728" s="269">
        <f t="shared" si="1799"/>
        <v>114666134.59923033</v>
      </c>
      <c r="DD728" s="207">
        <v>0</v>
      </c>
      <c r="DE728" s="606">
        <v>0</v>
      </c>
      <c r="DF728" s="269">
        <f>'Detailed Budget'!$AC$147</f>
        <v>5913600671000</v>
      </c>
      <c r="DG728" s="269">
        <f t="shared" si="1863"/>
        <v>0</v>
      </c>
      <c r="DH728" s="269">
        <f>'Detailed Budget'!$AC$153</f>
        <v>226428026880.00003</v>
      </c>
      <c r="DI728" s="269"/>
      <c r="DJ728" s="269">
        <f>'Detailed Budget'!$AC$156</f>
        <v>27713070000</v>
      </c>
      <c r="DK728" s="269"/>
      <c r="DL728" s="269"/>
      <c r="DM728" s="196">
        <f>'Detailed Budget'!$AC$178</f>
        <v>5622683761.6229038</v>
      </c>
      <c r="DN728" s="269">
        <f t="shared" si="1918"/>
        <v>0</v>
      </c>
      <c r="DO728" s="196">
        <f>'Detailed Budget'!$AC$179</f>
        <v>26827890683.128094</v>
      </c>
      <c r="DP728" s="269">
        <f t="shared" si="1919"/>
        <v>0</v>
      </c>
      <c r="DQ728" s="269">
        <f t="shared" si="1862"/>
        <v>0</v>
      </c>
      <c r="DR728" s="269">
        <f>'Detailed Budget'!$AC$181</f>
        <v>50888946855.375237</v>
      </c>
      <c r="DS728" s="269">
        <f t="shared" si="1920"/>
        <v>0</v>
      </c>
      <c r="DT728" s="269">
        <f t="shared" si="1921"/>
        <v>0</v>
      </c>
      <c r="DU728" s="272">
        <f>'Detailed Budget'!$AC$192</f>
        <v>77498869683.252869</v>
      </c>
      <c r="DV728" s="269">
        <f t="shared" si="1881"/>
        <v>61210161.559856832</v>
      </c>
      <c r="DW728" s="140">
        <f>'Detailed Budget'!$AC$194</f>
        <v>2684962805.4134097</v>
      </c>
      <c r="DX728" s="269">
        <f t="shared" si="1882"/>
        <v>2120637.472175621</v>
      </c>
      <c r="DY728" s="607">
        <f t="shared" si="1800"/>
        <v>63330799.032032453</v>
      </c>
      <c r="DZ728" s="196">
        <f>'Detailed Budget'!$AC$198</f>
        <v>18732540018.380611</v>
      </c>
      <c r="EA728" s="269">
        <f t="shared" si="1883"/>
        <v>14254106.65423747</v>
      </c>
      <c r="EB728" s="196">
        <f>'Detailed Budget'!$AC$200</f>
        <v>4683135004.5951529</v>
      </c>
      <c r="EC728" s="269">
        <f t="shared" si="1884"/>
        <v>3563526.6635593674</v>
      </c>
      <c r="ED728" s="269">
        <f t="shared" si="1801"/>
        <v>17817633.317796838</v>
      </c>
      <c r="EE728" s="196">
        <f>'Detailed Budget'!$AC$161</f>
        <v>251147290106.36197</v>
      </c>
      <c r="EF728" s="269">
        <f t="shared" si="1885"/>
        <v>198361166.62811959</v>
      </c>
      <c r="EG728" s="196">
        <f>'Detailed Budget'!$AC$163</f>
        <v>15696705631.647623</v>
      </c>
      <c r="EH728" s="269">
        <f t="shared" si="1886"/>
        <v>12397572.914257474</v>
      </c>
      <c r="EI728" s="269">
        <f t="shared" si="1802"/>
        <v>210758739.54237705</v>
      </c>
      <c r="EJ728" s="196">
        <f>'Detailed Budget'!$AC$204</f>
        <v>45012172507.531975</v>
      </c>
      <c r="EK728" s="269">
        <f t="shared" si="1887"/>
        <v>14852185.480743773</v>
      </c>
      <c r="EL728" s="201">
        <f>'Detailed Budget'!$AC$206</f>
        <v>11253043126.882994</v>
      </c>
      <c r="EM728" s="269">
        <f t="shared" si="1888"/>
        <v>3713046.3701859433</v>
      </c>
      <c r="EN728" s="269">
        <f t="shared" si="1803"/>
        <v>18565231.850929715</v>
      </c>
      <c r="EO728" s="140">
        <f>'Detailed Budget'!$AC$209</f>
        <v>135789361677.54817</v>
      </c>
      <c r="EP728" s="269">
        <f t="shared" si="1889"/>
        <v>93921231.364003256</v>
      </c>
      <c r="EQ728" s="196">
        <f>'Detailed Budget'!$AC$211</f>
        <v>33947340419.387043</v>
      </c>
      <c r="ER728" s="269">
        <f t="shared" si="1890"/>
        <v>23480307.841000814</v>
      </c>
      <c r="ES728" s="269">
        <f t="shared" si="1804"/>
        <v>117401539.20500407</v>
      </c>
      <c r="ET728" s="196">
        <f>'Detailed Budget'!$AC$214</f>
        <v>22239745544.201103</v>
      </c>
      <c r="EU728" s="269">
        <f t="shared" si="1891"/>
        <v>14939146.912088791</v>
      </c>
      <c r="EV728" s="140">
        <f>'Detailed Budget'!$AC$217</f>
        <v>5559936386.0502758</v>
      </c>
      <c r="EW728" s="269">
        <f t="shared" si="1892"/>
        <v>3734786.7280221977</v>
      </c>
      <c r="EX728" s="269">
        <f t="shared" si="1805"/>
        <v>18673933.640110988</v>
      </c>
      <c r="EY728" s="196">
        <f>'Detailed Budget'!$AC$219</f>
        <v>372777004.58170313</v>
      </c>
      <c r="EZ728" s="269">
        <f t="shared" si="1893"/>
        <v>262132.54502849068</v>
      </c>
      <c r="FA728" s="196">
        <f>'Detailed Budget'!$AC$222</f>
        <v>93194251.145425782</v>
      </c>
      <c r="FB728" s="269">
        <f t="shared" si="1894"/>
        <v>65533.136257122671</v>
      </c>
      <c r="FC728" s="269">
        <f t="shared" si="1806"/>
        <v>327665.68128561333</v>
      </c>
      <c r="FD728" s="269"/>
      <c r="FE728" s="269">
        <f t="shared" si="1807"/>
        <v>154968370.37733039</v>
      </c>
      <c r="FF728" s="140">
        <f>'Detailed Budget'!$AC$165</f>
        <v>14927760000</v>
      </c>
      <c r="FG728" s="1087">
        <f t="shared" si="1864"/>
        <v>211387115.14827335</v>
      </c>
      <c r="FH728" s="269">
        <f t="shared" si="1895"/>
        <v>16961436.200431772</v>
      </c>
      <c r="FJ728" s="140">
        <f>'Detailed Budget'!$AC$235</f>
        <v>3623696172</v>
      </c>
      <c r="FK728" s="269">
        <f t="shared" si="1896"/>
        <v>4681778</v>
      </c>
      <c r="FL728" s="269">
        <f t="shared" si="1865"/>
        <v>4681778</v>
      </c>
      <c r="FO728" s="607"/>
      <c r="FP728" s="607"/>
      <c r="FQ728" s="607"/>
      <c r="FR728" s="269">
        <f>'Detailed Budget'!$AC$257</f>
        <v>13636439388</v>
      </c>
      <c r="FS728" s="269">
        <f t="shared" si="1897"/>
        <v>9993360</v>
      </c>
      <c r="FT728" s="269">
        <f t="shared" si="1866"/>
        <v>9993360</v>
      </c>
      <c r="FU728" s="269"/>
      <c r="FV728" s="269"/>
      <c r="FW728" s="269"/>
      <c r="FX728" s="140">
        <f>'Detailed Budget'!$AC$278</f>
        <v>1114560000</v>
      </c>
      <c r="FY728" s="269">
        <f t="shared" si="1898"/>
        <v>1440000</v>
      </c>
      <c r="FZ728" s="269">
        <f t="shared" si="1867"/>
        <v>1440000</v>
      </c>
      <c r="GB728" s="269">
        <f t="shared" si="1899"/>
        <v>806005366.2174722</v>
      </c>
      <c r="GC728" s="887">
        <f t="shared" si="1808"/>
        <v>503753.35388592014</v>
      </c>
      <c r="GD728" s="1078">
        <f t="shared" si="1900"/>
        <v>4.5227499137058498E-4</v>
      </c>
    </row>
    <row r="729" spans="1:186" hidden="1" outlineLevel="1">
      <c r="A729" s="211" t="s">
        <v>1546</v>
      </c>
      <c r="B729" s="212" t="s">
        <v>1547</v>
      </c>
      <c r="C729" s="213" t="s">
        <v>215</v>
      </c>
      <c r="D729" s="214"/>
      <c r="E729" s="213"/>
      <c r="F729" s="213"/>
      <c r="G729" s="213" t="s">
        <v>215</v>
      </c>
      <c r="H729" s="213" t="s">
        <v>215</v>
      </c>
      <c r="I729" s="214" t="s">
        <v>215</v>
      </c>
      <c r="J729" s="214"/>
      <c r="K729" s="213"/>
      <c r="L729" s="213"/>
      <c r="M729" s="214"/>
      <c r="N729" s="213" t="s">
        <v>215</v>
      </c>
      <c r="O729" s="214"/>
      <c r="P729" s="213"/>
      <c r="Q729" s="214"/>
      <c r="R729" s="214" t="s">
        <v>215</v>
      </c>
      <c r="S729" s="214"/>
      <c r="T729" s="214"/>
      <c r="U729" s="215">
        <f t="shared" si="1905"/>
        <v>6</v>
      </c>
      <c r="V729" s="845" t="s">
        <v>216</v>
      </c>
      <c r="W729" s="216">
        <v>145408</v>
      </c>
      <c r="X729" s="217">
        <v>3.11</v>
      </c>
      <c r="Y729" s="218">
        <f t="shared" si="1785"/>
        <v>1.0310999999999999</v>
      </c>
      <c r="Z729" s="196">
        <v>19</v>
      </c>
      <c r="AA729" s="218">
        <f t="shared" si="1786"/>
        <v>1.7894309732827145</v>
      </c>
      <c r="AB729" s="196">
        <f t="shared" si="1902"/>
        <v>260197.57896309294</v>
      </c>
      <c r="AC729">
        <v>11.5</v>
      </c>
      <c r="AD729" s="196">
        <f t="shared" si="1903"/>
        <v>29922.721580755686</v>
      </c>
      <c r="AE729" s="196">
        <f t="shared" si="1787"/>
        <v>28426.585501717902</v>
      </c>
      <c r="AF729" s="196">
        <f t="shared" si="1906"/>
        <v>0</v>
      </c>
      <c r="AG729" s="606">
        <f t="shared" si="1811"/>
        <v>1.3143205185507626E-3</v>
      </c>
      <c r="AH729" s="196">
        <f t="shared" si="1922"/>
        <v>13009.878948154648</v>
      </c>
      <c r="AI729" s="248">
        <f t="shared" si="1790"/>
        <v>1.0078556102215519E-3</v>
      </c>
      <c r="AJ729" s="196">
        <f t="shared" si="1791"/>
        <v>42932.600528910334</v>
      </c>
      <c r="AK729" s="196">
        <f t="shared" si="1858"/>
        <v>10407.903158523717</v>
      </c>
      <c r="AL729" s="196">
        <f t="shared" si="1859"/>
        <v>10407.903158523717</v>
      </c>
      <c r="AM729" s="196">
        <f t="shared" si="1792"/>
        <v>20815.806317047434</v>
      </c>
      <c r="AN729" s="627">
        <f t="shared" si="1793"/>
        <v>1.0078556102215519E-3</v>
      </c>
      <c r="AO729" s="196">
        <f t="shared" si="1794"/>
        <v>9887.5080005975306</v>
      </c>
      <c r="AP729" s="589">
        <f t="shared" si="1812"/>
        <v>1.0078556102215517E-3</v>
      </c>
      <c r="AQ729" s="196"/>
      <c r="AR729" s="589"/>
      <c r="AS729">
        <v>1</v>
      </c>
      <c r="AT729" s="589">
        <f t="shared" si="1813"/>
        <v>1.2919896640826874E-3</v>
      </c>
      <c r="AU729" s="196">
        <v>11</v>
      </c>
      <c r="AV729" s="245">
        <f t="shared" si="1795"/>
        <v>1.2498579706851495E-3</v>
      </c>
      <c r="AX729" s="245"/>
      <c r="AY729" s="245"/>
      <c r="AZ729" s="196">
        <v>18</v>
      </c>
      <c r="BA729" s="589">
        <f t="shared" si="1871"/>
        <v>6.5955809607562931E-4</v>
      </c>
      <c r="BI729" s="196">
        <v>0</v>
      </c>
      <c r="BK729" s="246">
        <f t="shared" si="1872"/>
        <v>0</v>
      </c>
      <c r="BL729" s="246"/>
      <c r="BM729" s="246">
        <f t="shared" si="1873"/>
        <v>0</v>
      </c>
      <c r="BN729" s="196">
        <v>1</v>
      </c>
      <c r="BO729" s="196">
        <f t="shared" si="1907"/>
        <v>17465.994883586758</v>
      </c>
      <c r="BP729" s="196">
        <f t="shared" si="1796"/>
        <v>17465.994883586758</v>
      </c>
      <c r="BQ729" s="248">
        <f t="shared" si="1874"/>
        <v>1.6338624866229466E-3</v>
      </c>
      <c r="BR729" s="248"/>
      <c r="BS729" s="248"/>
      <c r="BT729" s="276">
        <v>0</v>
      </c>
      <c r="BU729" s="196">
        <f t="shared" si="1908"/>
        <v>0</v>
      </c>
      <c r="BV729" s="264">
        <f t="shared" si="1875"/>
        <v>0</v>
      </c>
      <c r="BW729" s="196">
        <f t="shared" si="1909"/>
        <v>0</v>
      </c>
      <c r="BX729" s="247">
        <f t="shared" si="1876"/>
        <v>0</v>
      </c>
      <c r="BY729" s="196">
        <f t="shared" si="1910"/>
        <v>0</v>
      </c>
      <c r="BZ729" s="620">
        <v>1</v>
      </c>
      <c r="CA729" s="196">
        <f t="shared" si="1911"/>
        <v>79620.459162706436</v>
      </c>
      <c r="CB729" s="196">
        <f t="shared" si="1912"/>
        <v>159240.91832541287</v>
      </c>
      <c r="CC729" s="196">
        <f t="shared" si="1809"/>
        <v>238861.37748811929</v>
      </c>
      <c r="CD729" s="247">
        <f t="shared" si="1797"/>
        <v>1.0078556102215519E-3</v>
      </c>
      <c r="CE729" s="196">
        <f t="shared" si="1913"/>
        <v>22485.346229475625</v>
      </c>
      <c r="CF729" s="247">
        <f t="shared" si="1798"/>
        <v>9.7098717839381565E-4</v>
      </c>
      <c r="CG729" s="196">
        <f t="shared" si="1877"/>
        <v>39550.032002390122</v>
      </c>
      <c r="CH729" s="589">
        <f t="shared" si="1814"/>
        <v>1.0078556102215517E-3</v>
      </c>
      <c r="CI729" s="196">
        <f t="shared" si="1914"/>
        <v>25611.133723726478</v>
      </c>
      <c r="CJ729" s="248">
        <f t="shared" si="1815"/>
        <v>4.2104697340841058E-4</v>
      </c>
      <c r="CK729" s="196">
        <f t="shared" si="1915"/>
        <v>61397.985741888217</v>
      </c>
      <c r="CL729" s="589">
        <f t="shared" si="1816"/>
        <v>8.8260867406650813E-4</v>
      </c>
      <c r="CM729" s="196">
        <f t="shared" si="1916"/>
        <v>5947.9582811111013</v>
      </c>
      <c r="CN729" s="589">
        <f t="shared" si="1817"/>
        <v>8.57168384778367E-4</v>
      </c>
      <c r="CO729" s="196">
        <f t="shared" si="1917"/>
        <v>475.81241727017374</v>
      </c>
      <c r="CP729" s="589">
        <f t="shared" si="1818"/>
        <v>8.9730893036735096E-4</v>
      </c>
      <c r="CQ729" s="196">
        <f>'Detailed Budget'!$AC$12</f>
        <v>292876014141.44696</v>
      </c>
      <c r="CR729" s="269">
        <f t="shared" si="1861"/>
        <v>0</v>
      </c>
      <c r="CS729" s="269">
        <f>'Detailed Budget'!$AC$16</f>
        <v>10488008800.000002</v>
      </c>
      <c r="CT729" s="607">
        <f t="shared" si="1878"/>
        <v>0</v>
      </c>
      <c r="CU729" s="269">
        <f>'Detailed Budget'!$AC$24</f>
        <v>30624985696</v>
      </c>
      <c r="CV729" s="269">
        <f t="shared" si="1868"/>
        <v>0</v>
      </c>
      <c r="CW729" s="269"/>
      <c r="CX729" s="269">
        <f t="shared" si="1810"/>
        <v>0</v>
      </c>
      <c r="CY729" s="196">
        <f>'Detailed Budget'!$AC$97</f>
        <v>74629165494.837845</v>
      </c>
      <c r="CZ729" s="269">
        <f t="shared" si="1879"/>
        <v>121933793.90999116</v>
      </c>
      <c r="DA729" s="269">
        <f>'Detailed Budget'!$AC$100</f>
        <v>14925833098.967569</v>
      </c>
      <c r="DB729" s="269">
        <f t="shared" si="1880"/>
        <v>24386758.781998236</v>
      </c>
      <c r="DC729" s="269">
        <f t="shared" si="1799"/>
        <v>146320552.69198939</v>
      </c>
      <c r="DD729" s="207">
        <v>0</v>
      </c>
      <c r="DE729" s="606">
        <v>0</v>
      </c>
      <c r="DF729" s="269">
        <f>'Detailed Budget'!$AC$147</f>
        <v>5913600671000</v>
      </c>
      <c r="DG729" s="269">
        <f t="shared" si="1863"/>
        <v>0</v>
      </c>
      <c r="DH729" s="269">
        <f>'Detailed Budget'!$AC$153</f>
        <v>226428026880.00003</v>
      </c>
      <c r="DI729" s="269"/>
      <c r="DJ729" s="269">
        <f>'Detailed Budget'!$AC$156</f>
        <v>27713070000</v>
      </c>
      <c r="DK729" s="269"/>
      <c r="DL729" s="269"/>
      <c r="DM729" s="196">
        <f>'Detailed Budget'!$AC$178</f>
        <v>5622683761.6229038</v>
      </c>
      <c r="DN729" s="269">
        <f t="shared" si="1918"/>
        <v>0</v>
      </c>
      <c r="DO729" s="196">
        <f>'Detailed Budget'!$AC$179</f>
        <v>26827890683.128094</v>
      </c>
      <c r="DP729" s="269">
        <f t="shared" si="1919"/>
        <v>0</v>
      </c>
      <c r="DQ729" s="269">
        <f t="shared" si="1862"/>
        <v>0</v>
      </c>
      <c r="DR729" s="269">
        <f>'Detailed Budget'!$AC$181</f>
        <v>50888946855.375237</v>
      </c>
      <c r="DS729" s="269">
        <f t="shared" si="1920"/>
        <v>0</v>
      </c>
      <c r="DT729" s="269">
        <f t="shared" si="1921"/>
        <v>0</v>
      </c>
      <c r="DU729" s="272">
        <f>'Detailed Budget'!$AC$192</f>
        <v>77498869683.252869</v>
      </c>
      <c r="DV729" s="269">
        <f t="shared" si="1881"/>
        <v>78107670.596095353</v>
      </c>
      <c r="DW729" s="140">
        <f>'Detailed Budget'!$AC$194</f>
        <v>2684962805.4134097</v>
      </c>
      <c r="DX729" s="269">
        <f t="shared" si="1882"/>
        <v>2706054.8266721019</v>
      </c>
      <c r="DY729" s="607">
        <f t="shared" si="1800"/>
        <v>80813725.42276746</v>
      </c>
      <c r="DZ729" s="196">
        <f>'Detailed Budget'!$AC$198</f>
        <v>18732540018.380611</v>
      </c>
      <c r="EA729" s="269">
        <f t="shared" si="1883"/>
        <v>18189056.176596627</v>
      </c>
      <c r="EB729" s="196">
        <f>'Detailed Budget'!$AC$200</f>
        <v>4683135004.5951529</v>
      </c>
      <c r="EC729" s="269">
        <f t="shared" si="1884"/>
        <v>4547264.0441491567</v>
      </c>
      <c r="ED729" s="269">
        <f t="shared" si="1801"/>
        <v>22736320.220745783</v>
      </c>
      <c r="EE729" s="196">
        <f>'Detailed Budget'!$AC$161</f>
        <v>251147290106.36197</v>
      </c>
      <c r="EF729" s="269">
        <f t="shared" si="1885"/>
        <v>253120205.32563651</v>
      </c>
      <c r="EG729" s="196">
        <f>'Detailed Budget'!$AC$163</f>
        <v>15696705631.647623</v>
      </c>
      <c r="EH729" s="269">
        <f t="shared" si="1886"/>
        <v>15820012.832852282</v>
      </c>
      <c r="EI729" s="269">
        <f t="shared" si="1802"/>
        <v>268940218.15848881</v>
      </c>
      <c r="EJ729" s="196">
        <f>'Detailed Budget'!$AC$204</f>
        <v>45012172507.531975</v>
      </c>
      <c r="EK729" s="269">
        <f t="shared" si="1887"/>
        <v>18952239.000833604</v>
      </c>
      <c r="EL729" s="201">
        <f>'Detailed Budget'!$AC$206</f>
        <v>11253043126.882994</v>
      </c>
      <c r="EM729" s="269">
        <f t="shared" si="1888"/>
        <v>4738059.7502084011</v>
      </c>
      <c r="EN729" s="269">
        <f t="shared" si="1803"/>
        <v>23690298.751042005</v>
      </c>
      <c r="EO729" s="140">
        <f>'Detailed Budget'!$AC$209</f>
        <v>135789361677.54817</v>
      </c>
      <c r="EP729" s="269">
        <f t="shared" si="1889"/>
        <v>119848868.4625583</v>
      </c>
      <c r="EQ729" s="196">
        <f>'Detailed Budget'!$AC$211</f>
        <v>33947340419.387043</v>
      </c>
      <c r="ER729" s="269">
        <f t="shared" si="1890"/>
        <v>29962217.115639575</v>
      </c>
      <c r="ES729" s="269">
        <f t="shared" si="1804"/>
        <v>149811085.57819787</v>
      </c>
      <c r="ET729" s="196">
        <f>'Detailed Budget'!$AC$214</f>
        <v>22239745544.201103</v>
      </c>
      <c r="EU729" s="269">
        <f t="shared" si="1891"/>
        <v>19063206.766004745</v>
      </c>
      <c r="EV729" s="140">
        <f>'Detailed Budget'!$AC$217</f>
        <v>5559936386.0502758</v>
      </c>
      <c r="EW729" s="269">
        <f t="shared" si="1892"/>
        <v>4765801.6915011862</v>
      </c>
      <c r="EX729" s="269">
        <f t="shared" si="1805"/>
        <v>23829008.45750593</v>
      </c>
      <c r="EY729" s="196">
        <f>'Detailed Budget'!$AC$219</f>
        <v>372777004.58170313</v>
      </c>
      <c r="EZ729" s="269">
        <f t="shared" si="1893"/>
        <v>334496.13524675311</v>
      </c>
      <c r="FA729" s="196">
        <f>'Detailed Budget'!$AC$222</f>
        <v>93194251.145425782</v>
      </c>
      <c r="FB729" s="269">
        <f t="shared" si="1894"/>
        <v>83624.033811688278</v>
      </c>
      <c r="FC729" s="269">
        <f t="shared" si="1806"/>
        <v>418120.16905844142</v>
      </c>
      <c r="FD729" s="269"/>
      <c r="FE729" s="269">
        <f t="shared" si="1807"/>
        <v>197748512.95580426</v>
      </c>
      <c r="FF729" s="140">
        <f>'Detailed Budget'!$AC$165</f>
        <v>14927760000</v>
      </c>
      <c r="FG729" s="1087">
        <f t="shared" si="1864"/>
        <v>269742061.40779918</v>
      </c>
      <c r="FH729" s="269">
        <f t="shared" si="1895"/>
        <v>18657579.820474949</v>
      </c>
      <c r="FJ729" s="140">
        <f>'Detailed Budget'!$AC$235</f>
        <v>3623696172</v>
      </c>
      <c r="FK729" s="269">
        <f t="shared" si="1896"/>
        <v>4681778</v>
      </c>
      <c r="FL729" s="269">
        <f t="shared" si="1865"/>
        <v>4681778</v>
      </c>
      <c r="FO729" s="607"/>
      <c r="FP729" s="607"/>
      <c r="FQ729" s="607"/>
      <c r="FR729" s="269">
        <f>'Detailed Budget'!$AC$257</f>
        <v>13636439388</v>
      </c>
      <c r="FS729" s="269">
        <f t="shared" si="1897"/>
        <v>8994024</v>
      </c>
      <c r="FT729" s="269">
        <f t="shared" si="1866"/>
        <v>8994024</v>
      </c>
      <c r="FU729" s="269"/>
      <c r="FV729" s="269"/>
      <c r="FW729" s="269"/>
      <c r="FX729" s="140">
        <f>'Detailed Budget'!$AC$278</f>
        <v>1114560000</v>
      </c>
      <c r="FY729" s="269">
        <f t="shared" si="1898"/>
        <v>1440000</v>
      </c>
      <c r="FZ729" s="269">
        <f t="shared" si="1867"/>
        <v>1440000</v>
      </c>
      <c r="GB729" s="269">
        <f t="shared" si="1899"/>
        <v>1020074772.6780699</v>
      </c>
      <c r="GC729" s="887">
        <f t="shared" si="1808"/>
        <v>637546.73292379372</v>
      </c>
      <c r="GD729" s="1078">
        <f t="shared" si="1900"/>
        <v>5.723960761892065E-4</v>
      </c>
    </row>
    <row r="730" spans="1:186" hidden="1" outlineLevel="1">
      <c r="A730" s="211" t="s">
        <v>1548</v>
      </c>
      <c r="B730" s="212" t="s">
        <v>1549</v>
      </c>
      <c r="C730" s="213" t="s">
        <v>215</v>
      </c>
      <c r="D730" s="214"/>
      <c r="E730" s="213"/>
      <c r="F730" s="213"/>
      <c r="G730" s="213" t="s">
        <v>215</v>
      </c>
      <c r="H730" s="213" t="s">
        <v>215</v>
      </c>
      <c r="I730" s="214" t="s">
        <v>215</v>
      </c>
      <c r="J730" s="214"/>
      <c r="K730" s="213"/>
      <c r="L730" s="213"/>
      <c r="M730" s="214"/>
      <c r="N730" s="213" t="s">
        <v>215</v>
      </c>
      <c r="O730" s="214"/>
      <c r="P730" s="213"/>
      <c r="Q730" s="214"/>
      <c r="R730" s="214" t="s">
        <v>215</v>
      </c>
      <c r="S730" s="214"/>
      <c r="T730" s="214"/>
      <c r="U730" s="215">
        <f t="shared" si="1905"/>
        <v>6</v>
      </c>
      <c r="V730" s="845" t="s">
        <v>216</v>
      </c>
      <c r="W730" s="216">
        <v>137796</v>
      </c>
      <c r="X730" s="217">
        <v>3.11</v>
      </c>
      <c r="Y730" s="218">
        <f t="shared" si="1785"/>
        <v>1.0310999999999999</v>
      </c>
      <c r="Z730" s="196">
        <v>19</v>
      </c>
      <c r="AA730" s="218">
        <f t="shared" si="1786"/>
        <v>1.7894309732827145</v>
      </c>
      <c r="AB730" s="196">
        <f t="shared" si="1902"/>
        <v>246576.43039446493</v>
      </c>
      <c r="AC730">
        <v>11.5</v>
      </c>
      <c r="AD730" s="196">
        <f t="shared" si="1903"/>
        <v>28356.289495363468</v>
      </c>
      <c r="AE730" s="196">
        <f t="shared" si="1787"/>
        <v>26938.475020595291</v>
      </c>
      <c r="AF730" s="196">
        <f t="shared" si="1906"/>
        <v>0</v>
      </c>
      <c r="AG730" s="606">
        <f t="shared" si="1811"/>
        <v>1.2455168228310744E-3</v>
      </c>
      <c r="AH730" s="196">
        <f t="shared" si="1922"/>
        <v>12328.821519723248</v>
      </c>
      <c r="AI730" s="248">
        <f t="shared" si="1790"/>
        <v>9.5509512314376774E-4</v>
      </c>
      <c r="AJ730" s="196">
        <f t="shared" si="1791"/>
        <v>40685.111015086717</v>
      </c>
      <c r="AK730" s="196">
        <f t="shared" si="1858"/>
        <v>9863.0572157785973</v>
      </c>
      <c r="AL730" s="196">
        <f t="shared" si="1859"/>
        <v>9863.0572157785973</v>
      </c>
      <c r="AM730" s="196">
        <f t="shared" si="1792"/>
        <v>19726.114431557195</v>
      </c>
      <c r="AN730" s="627">
        <f t="shared" si="1793"/>
        <v>9.5509512314376774E-4</v>
      </c>
      <c r="AO730" s="196">
        <f t="shared" si="1794"/>
        <v>9369.9043549896669</v>
      </c>
      <c r="AP730" s="589">
        <f t="shared" si="1812"/>
        <v>9.5509512314376763E-4</v>
      </c>
      <c r="AQ730" s="196"/>
      <c r="AR730" s="589"/>
      <c r="AS730">
        <v>1</v>
      </c>
      <c r="AT730" s="589">
        <f t="shared" si="1813"/>
        <v>1.2919896640826874E-3</v>
      </c>
      <c r="AU730" s="196">
        <v>12</v>
      </c>
      <c r="AV730" s="245">
        <f t="shared" si="1795"/>
        <v>1.3634814225656176E-3</v>
      </c>
      <c r="AX730" s="245"/>
      <c r="AY730" s="245"/>
      <c r="AZ730" s="196">
        <v>25</v>
      </c>
      <c r="BA730" s="589">
        <f t="shared" si="1871"/>
        <v>9.1605291121615189E-4</v>
      </c>
      <c r="BI730" s="196">
        <v>0</v>
      </c>
      <c r="BK730" s="246">
        <f t="shared" si="1872"/>
        <v>0</v>
      </c>
      <c r="BL730" s="246"/>
      <c r="BM730" s="246">
        <f t="shared" si="1873"/>
        <v>0</v>
      </c>
      <c r="BN730" s="196">
        <v>1</v>
      </c>
      <c r="BO730" s="196">
        <f t="shared" si="1907"/>
        <v>16551.663120177167</v>
      </c>
      <c r="BP730" s="196">
        <f t="shared" si="1796"/>
        <v>16551.663120177167</v>
      </c>
      <c r="BQ730" s="248">
        <f t="shared" si="1874"/>
        <v>1.5483310079685822E-3</v>
      </c>
      <c r="BR730" s="248"/>
      <c r="BS730" s="248"/>
      <c r="BT730" s="276">
        <v>0</v>
      </c>
      <c r="BU730" s="196">
        <f t="shared" si="1908"/>
        <v>0</v>
      </c>
      <c r="BV730" s="264">
        <f t="shared" si="1875"/>
        <v>0</v>
      </c>
      <c r="BW730" s="196">
        <f t="shared" si="1909"/>
        <v>0</v>
      </c>
      <c r="BX730" s="247">
        <f t="shared" si="1876"/>
        <v>0</v>
      </c>
      <c r="BY730" s="196">
        <f t="shared" si="1910"/>
        <v>0</v>
      </c>
      <c r="BZ730" s="620">
        <v>1</v>
      </c>
      <c r="CA730" s="196">
        <f t="shared" si="1911"/>
        <v>75452.387700706284</v>
      </c>
      <c r="CB730" s="196">
        <f t="shared" si="1912"/>
        <v>150904.77540141257</v>
      </c>
      <c r="CC730" s="196">
        <f t="shared" si="1809"/>
        <v>226357.16310211885</v>
      </c>
      <c r="CD730" s="247">
        <f t="shared" si="1797"/>
        <v>9.5509512314376785E-4</v>
      </c>
      <c r="CE730" s="196">
        <f t="shared" si="1913"/>
        <v>21308.25517878537</v>
      </c>
      <c r="CF730" s="247">
        <f t="shared" si="1798"/>
        <v>9.2015672613579872E-4</v>
      </c>
      <c r="CG730" s="196">
        <f t="shared" si="1877"/>
        <v>37479.617419958668</v>
      </c>
      <c r="CH730" s="589">
        <f t="shared" si="1814"/>
        <v>9.5509512314376763E-4</v>
      </c>
      <c r="CI730" s="196">
        <f t="shared" si="1914"/>
        <v>24270.410036549671</v>
      </c>
      <c r="CJ730" s="248">
        <f t="shared" si="1815"/>
        <v>3.9900547939443058E-4</v>
      </c>
      <c r="CK730" s="196">
        <f t="shared" si="1915"/>
        <v>58183.847128694637</v>
      </c>
      <c r="CL730" s="589">
        <f t="shared" si="1816"/>
        <v>8.3640477038174365E-4</v>
      </c>
      <c r="CM730" s="196">
        <f t="shared" si="1916"/>
        <v>5636.5871155918894</v>
      </c>
      <c r="CN730" s="589">
        <f t="shared" si="1817"/>
        <v>8.1229626120240899E-4</v>
      </c>
      <c r="CO730" s="196">
        <f t="shared" si="1917"/>
        <v>450.90399324769527</v>
      </c>
      <c r="CP730" s="589">
        <f t="shared" si="1818"/>
        <v>8.5033547926454886E-4</v>
      </c>
      <c r="CQ730" s="196">
        <f>'Detailed Budget'!$AC$12</f>
        <v>292876014141.44696</v>
      </c>
      <c r="CR730" s="269">
        <f t="shared" si="1861"/>
        <v>0</v>
      </c>
      <c r="CS730" s="269">
        <f>'Detailed Budget'!$AC$16</f>
        <v>10488008800.000002</v>
      </c>
      <c r="CT730" s="607">
        <f t="shared" si="1878"/>
        <v>0</v>
      </c>
      <c r="CU730" s="269">
        <f>'Detailed Budget'!$AC$24</f>
        <v>30624985696</v>
      </c>
      <c r="CV730" s="269">
        <f t="shared" si="1868"/>
        <v>0</v>
      </c>
      <c r="CW730" s="269"/>
      <c r="CX730" s="269">
        <f t="shared" si="1810"/>
        <v>0</v>
      </c>
      <c r="CY730" s="196">
        <f>'Detailed Budget'!$AC$97</f>
        <v>74629165494.837845</v>
      </c>
      <c r="CZ730" s="269">
        <f t="shared" si="1879"/>
        <v>115550651.03447641</v>
      </c>
      <c r="DA730" s="269">
        <f>'Detailed Budget'!$AC$100</f>
        <v>14925833098.967569</v>
      </c>
      <c r="DB730" s="269">
        <f t="shared" si="1880"/>
        <v>23110130.206895284</v>
      </c>
      <c r="DC730" s="269">
        <f t="shared" si="1799"/>
        <v>138660781.24137169</v>
      </c>
      <c r="DD730" s="207">
        <v>0</v>
      </c>
      <c r="DE730" s="606">
        <v>0</v>
      </c>
      <c r="DF730" s="269">
        <f>'Detailed Budget'!$AC$147</f>
        <v>5913600671000</v>
      </c>
      <c r="DG730" s="269">
        <f t="shared" si="1863"/>
        <v>0</v>
      </c>
      <c r="DH730" s="269">
        <f>'Detailed Budget'!$AC$153</f>
        <v>226428026880.00003</v>
      </c>
      <c r="DI730" s="269"/>
      <c r="DJ730" s="269">
        <f>'Detailed Budget'!$AC$156</f>
        <v>27713070000</v>
      </c>
      <c r="DK730" s="269"/>
      <c r="DL730" s="269"/>
      <c r="DM730" s="196">
        <f>'Detailed Budget'!$AC$178</f>
        <v>5622683761.6229038</v>
      </c>
      <c r="DN730" s="269">
        <f t="shared" si="1918"/>
        <v>0</v>
      </c>
      <c r="DO730" s="196">
        <f>'Detailed Budget'!$AC$179</f>
        <v>26827890683.128094</v>
      </c>
      <c r="DP730" s="269">
        <f t="shared" si="1919"/>
        <v>0</v>
      </c>
      <c r="DQ730" s="269">
        <f t="shared" si="1862"/>
        <v>0</v>
      </c>
      <c r="DR730" s="269">
        <f>'Detailed Budget'!$AC$181</f>
        <v>50888946855.375237</v>
      </c>
      <c r="DS730" s="269">
        <f t="shared" si="1920"/>
        <v>0</v>
      </c>
      <c r="DT730" s="269">
        <f t="shared" si="1921"/>
        <v>0</v>
      </c>
      <c r="DU730" s="272">
        <f>'Detailed Budget'!$AC$192</f>
        <v>77498869683.252869</v>
      </c>
      <c r="DV730" s="269">
        <f t="shared" si="1881"/>
        <v>74018792.483629212</v>
      </c>
      <c r="DW730" s="140">
        <f>'Detailed Budget'!$AC$194</f>
        <v>2684962805.4134097</v>
      </c>
      <c r="DX730" s="269">
        <f t="shared" si="1882"/>
        <v>2564394.8812727565</v>
      </c>
      <c r="DY730" s="607">
        <f t="shared" si="1800"/>
        <v>76583187.364901975</v>
      </c>
      <c r="DZ730" s="196">
        <f>'Detailed Budget'!$AC$198</f>
        <v>18732540018.380611</v>
      </c>
      <c r="EA730" s="269">
        <f t="shared" si="1883"/>
        <v>17236872.695520937</v>
      </c>
      <c r="EB730" s="196">
        <f>'Detailed Budget'!$AC$200</f>
        <v>4683135004.5951529</v>
      </c>
      <c r="EC730" s="269">
        <f t="shared" si="1884"/>
        <v>4309218.1738802344</v>
      </c>
      <c r="ED730" s="269">
        <f t="shared" si="1801"/>
        <v>21546090.869401172</v>
      </c>
      <c r="EE730" s="196">
        <f>'Detailed Budget'!$AC$161</f>
        <v>251147290106.36197</v>
      </c>
      <c r="EF730" s="269">
        <f t="shared" si="1885"/>
        <v>239869551.97135931</v>
      </c>
      <c r="EG730" s="196">
        <f>'Detailed Budget'!$AC$163</f>
        <v>15696705631.647623</v>
      </c>
      <c r="EH730" s="269">
        <f t="shared" si="1886"/>
        <v>14991846.998209957</v>
      </c>
      <c r="EI730" s="269">
        <f t="shared" si="1802"/>
        <v>254861398.96956927</v>
      </c>
      <c r="EJ730" s="196">
        <f>'Detailed Budget'!$AC$204</f>
        <v>45012172507.531975</v>
      </c>
      <c r="EK730" s="269">
        <f t="shared" si="1887"/>
        <v>17960103.469952606</v>
      </c>
      <c r="EL730" s="201">
        <f>'Detailed Budget'!$AC$206</f>
        <v>11253043126.882994</v>
      </c>
      <c r="EM730" s="269">
        <f t="shared" si="1888"/>
        <v>4490025.8674881514</v>
      </c>
      <c r="EN730" s="269">
        <f t="shared" si="1803"/>
        <v>22450129.337440759</v>
      </c>
      <c r="EO730" s="140">
        <f>'Detailed Budget'!$AC$209</f>
        <v>135789361677.54817</v>
      </c>
      <c r="EP730" s="269">
        <f t="shared" si="1889"/>
        <v>113574869.87419322</v>
      </c>
      <c r="EQ730" s="196">
        <f>'Detailed Budget'!$AC$211</f>
        <v>33947340419.387043</v>
      </c>
      <c r="ER730" s="269">
        <f t="shared" si="1890"/>
        <v>28393717.468548305</v>
      </c>
      <c r="ES730" s="269">
        <f t="shared" si="1804"/>
        <v>141968587.34274152</v>
      </c>
      <c r="ET730" s="196">
        <f>'Detailed Budget'!$AC$214</f>
        <v>22239745544.201103</v>
      </c>
      <c r="EU730" s="269">
        <f t="shared" si="1891"/>
        <v>18065262.15564749</v>
      </c>
      <c r="EV730" s="140">
        <f>'Detailed Budget'!$AC$217</f>
        <v>5559936386.0502758</v>
      </c>
      <c r="EW730" s="269">
        <f t="shared" si="1892"/>
        <v>4516315.5389118725</v>
      </c>
      <c r="EX730" s="269">
        <f t="shared" si="1805"/>
        <v>22581577.694559362</v>
      </c>
      <c r="EY730" s="196">
        <f>'Detailed Budget'!$AC$219</f>
        <v>372777004.58170313</v>
      </c>
      <c r="EZ730" s="269">
        <f t="shared" si="1893"/>
        <v>316985.51284978545</v>
      </c>
      <c r="FA730" s="196">
        <f>'Detailed Budget'!$AC$222</f>
        <v>93194251.145425782</v>
      </c>
      <c r="FB730" s="269">
        <f t="shared" si="1894"/>
        <v>79246.378212446361</v>
      </c>
      <c r="FC730" s="269">
        <f t="shared" si="1806"/>
        <v>396231.89106223179</v>
      </c>
      <c r="FD730" s="269"/>
      <c r="FE730" s="269">
        <f t="shared" si="1807"/>
        <v>187396526.26580387</v>
      </c>
      <c r="FF730" s="140">
        <f>'Detailed Budget'!$AC$165</f>
        <v>14927760000</v>
      </c>
      <c r="FG730" s="1087">
        <f t="shared" si="1864"/>
        <v>255621266.32474902</v>
      </c>
      <c r="FH730" s="269">
        <f t="shared" si="1895"/>
        <v>20353723.440518126</v>
      </c>
      <c r="FJ730" s="140">
        <f>'Detailed Budget'!$AC$235</f>
        <v>3623696172</v>
      </c>
      <c r="FK730" s="269">
        <f t="shared" si="1896"/>
        <v>4681778</v>
      </c>
      <c r="FL730" s="269">
        <f t="shared" si="1865"/>
        <v>4681778</v>
      </c>
      <c r="FO730" s="607"/>
      <c r="FP730" s="607"/>
      <c r="FQ730" s="607"/>
      <c r="FR730" s="269">
        <f>'Detailed Budget'!$AC$257</f>
        <v>13636439388</v>
      </c>
      <c r="FS730" s="269">
        <f t="shared" si="1897"/>
        <v>12491700</v>
      </c>
      <c r="FT730" s="269">
        <f t="shared" si="1866"/>
        <v>12491700</v>
      </c>
      <c r="FU730" s="269"/>
      <c r="FV730" s="269"/>
      <c r="FW730" s="269"/>
      <c r="FX730" s="140">
        <f>'Detailed Budget'!$AC$278</f>
        <v>1114560000</v>
      </c>
      <c r="FY730" s="269">
        <f t="shared" si="1898"/>
        <v>1440000</v>
      </c>
      <c r="FZ730" s="269">
        <f t="shared" si="1867"/>
        <v>1440000</v>
      </c>
      <c r="GB730" s="269">
        <f t="shared" si="1899"/>
        <v>973636452.47631502</v>
      </c>
      <c r="GC730" s="887">
        <f t="shared" si="1808"/>
        <v>608522.78279769688</v>
      </c>
      <c r="GD730" s="1078">
        <f t="shared" si="1900"/>
        <v>5.4633807242295582E-4</v>
      </c>
    </row>
    <row r="731" spans="1:186" hidden="1" outlineLevel="1">
      <c r="A731" s="211"/>
      <c r="B731" s="212"/>
      <c r="C731" s="213"/>
      <c r="D731" s="214"/>
      <c r="E731" s="213"/>
      <c r="F731" s="213"/>
      <c r="G731" s="213"/>
      <c r="H731" s="213"/>
      <c r="I731" s="214"/>
      <c r="J731" s="214"/>
      <c r="K731" s="213"/>
      <c r="L731" s="213"/>
      <c r="M731" s="214"/>
      <c r="N731" s="213"/>
      <c r="O731" s="214"/>
      <c r="P731" s="213"/>
      <c r="Q731" s="214"/>
      <c r="R731" s="214"/>
      <c r="S731" s="214"/>
      <c r="T731" s="214"/>
      <c r="U731" s="215"/>
      <c r="V731" s="845"/>
      <c r="W731" s="216"/>
      <c r="X731" s="217"/>
      <c r="Y731" s="218"/>
      <c r="Z731" s="196"/>
      <c r="AA731" s="218"/>
      <c r="AG731" s="606"/>
      <c r="AJ731" s="196"/>
      <c r="AK731" s="196"/>
      <c r="AL731" s="196"/>
      <c r="AM731" s="196"/>
      <c r="AO731" s="196"/>
      <c r="AP731" s="589"/>
      <c r="AQ731" s="196"/>
      <c r="AR731" s="589"/>
      <c r="AS731"/>
      <c r="AT731" s="589"/>
      <c r="AV731" s="245"/>
      <c r="AX731" s="245"/>
      <c r="AY731" s="245"/>
      <c r="BA731" s="589">
        <f t="shared" si="1871"/>
        <v>0</v>
      </c>
      <c r="BK731" s="246">
        <f t="shared" si="1872"/>
        <v>0</v>
      </c>
      <c r="BL731" s="246"/>
      <c r="BM731" s="246">
        <f t="shared" si="1873"/>
        <v>0</v>
      </c>
      <c r="BN731" s="196"/>
      <c r="BQ731" s="248">
        <f t="shared" si="1874"/>
        <v>0</v>
      </c>
      <c r="BR731" s="248"/>
      <c r="BS731" s="248"/>
      <c r="BT731" s="276"/>
      <c r="BV731" s="264">
        <f t="shared" si="1875"/>
        <v>0</v>
      </c>
      <c r="BX731" s="247">
        <f t="shared" si="1876"/>
        <v>0</v>
      </c>
      <c r="BY731" s="196"/>
      <c r="BZ731" s="620"/>
      <c r="CA731" s="196"/>
      <c r="CB731" s="196"/>
      <c r="CC731" s="196"/>
      <c r="CD731" s="247"/>
      <c r="CF731" s="247"/>
      <c r="CG731" s="196"/>
      <c r="CH731" s="589"/>
      <c r="CI731" s="196"/>
      <c r="CJ731" s="248"/>
      <c r="CK731" s="196"/>
      <c r="CL731" s="589"/>
      <c r="CM731" s="196"/>
      <c r="CN731" s="589"/>
      <c r="CO731" s="196"/>
      <c r="CP731" s="589"/>
      <c r="CQ731" s="196"/>
      <c r="CR731" s="269">
        <f t="shared" si="1861"/>
        <v>0</v>
      </c>
      <c r="CS731" s="269"/>
      <c r="CT731" s="607"/>
      <c r="CU731" s="269">
        <f>'Detailed Budget'!$AC$24</f>
        <v>30624985696</v>
      </c>
      <c r="CV731" s="269">
        <f t="shared" si="1868"/>
        <v>0</v>
      </c>
      <c r="CW731" s="269"/>
      <c r="CX731" s="269"/>
      <c r="CY731" s="196"/>
      <c r="DC731" s="269"/>
      <c r="DD731" s="207"/>
      <c r="DE731" s="606">
        <v>0</v>
      </c>
      <c r="DF731" s="269">
        <f>'Detailed Budget'!$AC$147</f>
        <v>5913600671000</v>
      </c>
      <c r="DG731" s="269">
        <f t="shared" si="1863"/>
        <v>0</v>
      </c>
      <c r="DH731" s="269">
        <f>'Detailed Budget'!$AC$153</f>
        <v>226428026880.00003</v>
      </c>
      <c r="DI731" s="269"/>
      <c r="DJ731" s="269">
        <f>'Detailed Budget'!$AC$156</f>
        <v>27713070000</v>
      </c>
      <c r="DK731" s="269"/>
      <c r="DL731" s="269"/>
      <c r="DM731" s="196"/>
      <c r="DN731" s="269"/>
      <c r="DO731" s="196"/>
      <c r="DP731" s="269"/>
      <c r="DQ731" s="269"/>
      <c r="DR731" s="269"/>
      <c r="DS731" s="269"/>
      <c r="DT731" s="269"/>
      <c r="DU731" s="272"/>
      <c r="DV731" s="269"/>
      <c r="DW731" s="140"/>
      <c r="DX731" s="269"/>
      <c r="DY731" s="607"/>
      <c r="DZ731" s="196"/>
      <c r="EA731" s="269"/>
      <c r="EB731" s="196"/>
      <c r="ED731" s="269"/>
      <c r="EE731" s="196"/>
      <c r="EG731" s="196"/>
      <c r="EI731" s="269"/>
      <c r="EJ731" s="196"/>
      <c r="EL731" s="201"/>
      <c r="EN731" s="269"/>
      <c r="EO731" s="140"/>
      <c r="EQ731" s="196"/>
      <c r="ES731" s="269"/>
      <c r="ET731" s="196"/>
      <c r="EV731" s="140"/>
      <c r="EX731" s="269"/>
      <c r="EY731" s="196"/>
      <c r="FA731" s="196"/>
      <c r="FC731" s="269"/>
      <c r="FD731" s="269"/>
      <c r="FE731" s="269"/>
      <c r="FF731" s="140"/>
      <c r="FG731" s="1087">
        <f t="shared" si="1864"/>
        <v>0</v>
      </c>
      <c r="FJ731" s="140"/>
      <c r="FL731" s="269">
        <f t="shared" si="1865"/>
        <v>0</v>
      </c>
      <c r="FO731" s="607"/>
      <c r="FP731" s="607"/>
      <c r="FQ731" s="607"/>
      <c r="FT731" s="269">
        <f t="shared" si="1866"/>
        <v>0</v>
      </c>
      <c r="FU731" s="269"/>
      <c r="FV731" s="269"/>
      <c r="FW731" s="269"/>
      <c r="FX731" s="140">
        <f>'Detailed Budget'!$AC$278</f>
        <v>1114560000</v>
      </c>
      <c r="FY731" s="269"/>
      <c r="FZ731" s="269"/>
      <c r="GB731" s="269">
        <f t="shared" si="1899"/>
        <v>0</v>
      </c>
      <c r="GD731" s="1078">
        <f t="shared" si="1900"/>
        <v>0</v>
      </c>
    </row>
    <row r="732" spans="1:186" s="210" customFormat="1" collapsed="1">
      <c r="A732" s="203">
        <v>6.2</v>
      </c>
      <c r="B732" s="204" t="s">
        <v>1550</v>
      </c>
      <c r="C732" s="205">
        <f>COUNTA(C733:C752)</f>
        <v>20</v>
      </c>
      <c r="D732" s="205">
        <f t="shared" ref="D732:T732" si="1923">COUNTA(D733:D752)</f>
        <v>0</v>
      </c>
      <c r="E732" s="205">
        <f t="shared" si="1923"/>
        <v>0</v>
      </c>
      <c r="F732" s="205">
        <f t="shared" si="1923"/>
        <v>0</v>
      </c>
      <c r="G732" s="205">
        <f t="shared" si="1923"/>
        <v>15</v>
      </c>
      <c r="H732" s="205">
        <f t="shared" si="1923"/>
        <v>20</v>
      </c>
      <c r="I732" s="205">
        <f t="shared" si="1923"/>
        <v>18</v>
      </c>
      <c r="J732" s="205">
        <f t="shared" si="1923"/>
        <v>0</v>
      </c>
      <c r="K732" s="205">
        <f t="shared" si="1923"/>
        <v>0</v>
      </c>
      <c r="L732" s="205">
        <f t="shared" si="1923"/>
        <v>0</v>
      </c>
      <c r="M732" s="205">
        <f t="shared" si="1923"/>
        <v>2</v>
      </c>
      <c r="N732" s="205">
        <f t="shared" si="1923"/>
        <v>11</v>
      </c>
      <c r="O732" s="205">
        <f t="shared" si="1923"/>
        <v>5</v>
      </c>
      <c r="P732" s="205">
        <f t="shared" si="1923"/>
        <v>0</v>
      </c>
      <c r="Q732" s="205">
        <f t="shared" si="1923"/>
        <v>16</v>
      </c>
      <c r="R732" s="205">
        <f t="shared" si="1923"/>
        <v>4</v>
      </c>
      <c r="S732" s="205">
        <f t="shared" si="1923"/>
        <v>0</v>
      </c>
      <c r="T732" s="205">
        <f t="shared" si="1923"/>
        <v>0</v>
      </c>
      <c r="U732" s="206">
        <f>SUM(C732:T732)</f>
        <v>111</v>
      </c>
      <c r="V732" s="844"/>
      <c r="W732" s="207">
        <f>SUM(W733:W752)</f>
        <v>9113605</v>
      </c>
      <c r="X732" s="208">
        <v>3.24</v>
      </c>
      <c r="Y732" s="209">
        <f t="shared" si="1785"/>
        <v>1.0324</v>
      </c>
      <c r="Z732" s="207">
        <v>19</v>
      </c>
      <c r="AA732" s="209">
        <f t="shared" si="1786"/>
        <v>1.8327866870051304</v>
      </c>
      <c r="AB732" s="207">
        <f t="shared" si="1902"/>
        <v>16703293.914623391</v>
      </c>
      <c r="AC732" s="210">
        <v>12.6</v>
      </c>
      <c r="AD732" s="207">
        <f t="shared" si="1903"/>
        <v>2104615.0332425474</v>
      </c>
      <c r="AE732" s="207">
        <f t="shared" si="1787"/>
        <v>1999384.28158042</v>
      </c>
      <c r="AF732" s="207">
        <f>SUM(AF733:AF752)</f>
        <v>0</v>
      </c>
      <c r="AG732" s="588">
        <f t="shared" si="1811"/>
        <v>9.2442751718816663E-2</v>
      </c>
      <c r="AH732" s="207">
        <f>SUM(AH733:AH752)</f>
        <v>835164.69573116954</v>
      </c>
      <c r="AI732" s="633">
        <f t="shared" si="1790"/>
        <v>6.4698943580180426E-2</v>
      </c>
      <c r="AJ732" s="207">
        <f>SUM(AJ733:AJ752)</f>
        <v>2939779.728973717</v>
      </c>
      <c r="AK732" s="207">
        <f t="shared" si="1858"/>
        <v>668131.75658493571</v>
      </c>
      <c r="AL732" s="207">
        <f t="shared" si="1859"/>
        <v>668131.75658493571</v>
      </c>
      <c r="AM732" s="207">
        <f t="shared" si="1792"/>
        <v>1336263.5131698714</v>
      </c>
      <c r="AN732" s="632">
        <f t="shared" si="1793"/>
        <v>6.469894358018044E-2</v>
      </c>
      <c r="AO732" s="207">
        <f t="shared" si="1794"/>
        <v>634725.16875568882</v>
      </c>
      <c r="AP732" s="588">
        <f t="shared" si="1812"/>
        <v>6.4698943580180426E-2</v>
      </c>
      <c r="AQ732" s="207">
        <v>1</v>
      </c>
      <c r="AR732" s="588">
        <f>AQ732/37</f>
        <v>2.7027027027027029E-2</v>
      </c>
      <c r="AS732" s="207">
        <f>SUM(AS733:AS752)</f>
        <v>20</v>
      </c>
      <c r="AT732" s="588">
        <f t="shared" si="1813"/>
        <v>2.5839793281653745E-2</v>
      </c>
      <c r="AU732" s="207">
        <f>SUM(AU733:AU752)</f>
        <v>245</v>
      </c>
      <c r="AV732" s="892">
        <f t="shared" si="1795"/>
        <v>2.7837745710714693E-2</v>
      </c>
      <c r="AW732" s="207">
        <v>3345</v>
      </c>
      <c r="AX732" s="208">
        <f>AW732*0.002</f>
        <v>6.69</v>
      </c>
      <c r="AY732" s="207">
        <f>AX732*100</f>
        <v>669</v>
      </c>
      <c r="AZ732" s="207">
        <f>SUM(AZ733:AZ752)</f>
        <v>372</v>
      </c>
      <c r="BA732" s="588">
        <f t="shared" si="1871"/>
        <v>1.363086731889634E-2</v>
      </c>
      <c r="BB732" s="207">
        <v>39</v>
      </c>
      <c r="BC732" s="207">
        <v>4</v>
      </c>
      <c r="BD732" s="207">
        <f>BB732+BC732</f>
        <v>43</v>
      </c>
      <c r="BE732" s="633">
        <f>BD732/1306</f>
        <v>3.2924961715160794E-2</v>
      </c>
      <c r="BF732" s="207">
        <f>AZ732+BD732</f>
        <v>415</v>
      </c>
      <c r="BG732" s="588">
        <f>BF732/28597</f>
        <v>1.4512011749484211E-2</v>
      </c>
      <c r="BH732" s="1084">
        <v>3.4</v>
      </c>
      <c r="BI732" s="207"/>
      <c r="BJ732" s="207"/>
      <c r="BK732" s="892">
        <f t="shared" si="1872"/>
        <v>0</v>
      </c>
      <c r="BL732" s="892"/>
      <c r="BM732" s="892">
        <f t="shared" si="1873"/>
        <v>0</v>
      </c>
      <c r="BN732" s="207"/>
      <c r="BO732" s="207">
        <v>964951</v>
      </c>
      <c r="BP732" s="207">
        <f>SUM(BP733:BP752)</f>
        <v>964950.91103855276</v>
      </c>
      <c r="BQ732" s="633">
        <f t="shared" si="1874"/>
        <v>9.0266664194439683E-2</v>
      </c>
      <c r="BR732" s="207">
        <f>AY732*0.5*24</f>
        <v>8028</v>
      </c>
      <c r="BS732" s="633">
        <f>BR732/2211211</f>
        <v>3.6305897537593653E-3</v>
      </c>
      <c r="BT732" s="634"/>
      <c r="BU732" s="207"/>
      <c r="BV732" s="264">
        <f t="shared" si="1875"/>
        <v>0</v>
      </c>
      <c r="BW732" s="207"/>
      <c r="BX732" s="247">
        <f t="shared" si="1876"/>
        <v>0</v>
      </c>
      <c r="BY732" s="207">
        <f>SUM(BY733:BY752)</f>
        <v>0</v>
      </c>
      <c r="CA732" s="207">
        <f>SUM(CA733:CA752)</f>
        <v>5111207.9378747577</v>
      </c>
      <c r="CB732" s="207">
        <f>SUM(CB733:CB752)</f>
        <v>10222415.875749515</v>
      </c>
      <c r="CC732" s="207">
        <f>SUM(CC733:CC752)</f>
        <v>15333623.813624274</v>
      </c>
      <c r="CD732" s="633">
        <f t="shared" si="1797"/>
        <v>6.4698943580180426E-2</v>
      </c>
      <c r="CE732" s="207">
        <f>SUM(CE733:CE752)</f>
        <v>1433157.4778692732</v>
      </c>
      <c r="CF732" s="633">
        <f t="shared" si="1798"/>
        <v>6.1888196936282419E-2</v>
      </c>
      <c r="CG732" s="207">
        <f t="shared" ref="CG732:CG752" si="1924">AO732*4</f>
        <v>2538900.6750227553</v>
      </c>
      <c r="CH732" s="588">
        <f t="shared" si="1814"/>
        <v>6.4698943580180426E-2</v>
      </c>
      <c r="CI732" s="207">
        <f t="shared" ref="CI732:CO732" si="1925">SUM(CI733:CI752)</f>
        <v>680537.01074913156</v>
      </c>
      <c r="CJ732" s="633">
        <f t="shared" si="1815"/>
        <v>1.1188026729284395E-2</v>
      </c>
      <c r="CK732" s="207">
        <f t="shared" si="1925"/>
        <v>4599900.072655756</v>
      </c>
      <c r="CL732" s="588">
        <f t="shared" si="1816"/>
        <v>6.6124509703504711E-2</v>
      </c>
      <c r="CM732" s="207">
        <f t="shared" si="1925"/>
        <v>445615.00703852123</v>
      </c>
      <c r="CN732" s="588">
        <f t="shared" si="1817"/>
        <v>6.4218186773303487E-2</v>
      </c>
      <c r="CO732" s="207">
        <f t="shared" si="1925"/>
        <v>35649.00056307856</v>
      </c>
      <c r="CP732" s="588">
        <f t="shared" si="1818"/>
        <v>6.7228524105031356E-2</v>
      </c>
      <c r="CQ732" s="207">
        <f>'Detailed Budget'!$AC$12</f>
        <v>292876014141.44696</v>
      </c>
      <c r="CR732" s="605">
        <f t="shared" si="1861"/>
        <v>0</v>
      </c>
      <c r="CS732" s="605">
        <f>'Detailed Budget'!$AC$16</f>
        <v>10488008800.000002</v>
      </c>
      <c r="CT732" s="605">
        <f t="shared" ref="CT732:CT752" si="1926">BM732*CS732</f>
        <v>0</v>
      </c>
      <c r="CU732" s="605">
        <f>'Detailed Budget'!$AC$24</f>
        <v>30624985696</v>
      </c>
      <c r="CV732" s="605">
        <f t="shared" si="1868"/>
        <v>0</v>
      </c>
      <c r="CW732" s="605"/>
      <c r="CX732" s="605">
        <f t="shared" si="1810"/>
        <v>0</v>
      </c>
      <c r="CY732" s="207">
        <f>'Detailed Budget'!$AC$97</f>
        <v>74629165494.837845</v>
      </c>
      <c r="CZ732" s="605">
        <f t="shared" ref="CZ732:CZ752" si="1927">BQ732*CY732</f>
        <v>6736525820.8337927</v>
      </c>
      <c r="DA732" s="605">
        <f>'Detailed Budget'!$AC$100</f>
        <v>14925833098.967569</v>
      </c>
      <c r="DB732" s="605">
        <f t="shared" ref="DB732:DB752" si="1928">BQ732*DA732</f>
        <v>1347305164.1667585</v>
      </c>
      <c r="DC732" s="605">
        <f t="shared" si="1799"/>
        <v>8083830985.0005512</v>
      </c>
      <c r="DD732" s="207">
        <f>SUM(DD733:DD752)</f>
        <v>0</v>
      </c>
      <c r="DE732" s="606">
        <v>0</v>
      </c>
      <c r="DF732" s="605">
        <f>'Detailed Budget'!$AC$147</f>
        <v>5913600671000</v>
      </c>
      <c r="DG732" s="605">
        <f t="shared" si="1863"/>
        <v>0</v>
      </c>
      <c r="DH732" s="605">
        <f>'Detailed Budget'!$AC$153</f>
        <v>226428026880.00003</v>
      </c>
      <c r="DI732" s="605">
        <f>BS732*DH732</f>
        <v>822067274.35447824</v>
      </c>
      <c r="DJ732" s="605">
        <f>'Detailed Budget'!$AC$156</f>
        <v>27713070000</v>
      </c>
      <c r="DK732" s="605">
        <f>AT732*DJ732</f>
        <v>716100000</v>
      </c>
      <c r="DL732" s="605">
        <f>DI732+DK732</f>
        <v>1538167274.3544784</v>
      </c>
      <c r="DM732" s="207">
        <f>'Detailed Budget'!$AC$178</f>
        <v>5622683761.6229038</v>
      </c>
      <c r="DN732" s="605">
        <f>SUM(DN733:DN752)</f>
        <v>0</v>
      </c>
      <c r="DO732" s="605">
        <f>'Detailed Budget'!$AC$179</f>
        <v>26827890683.128094</v>
      </c>
      <c r="DP732" s="605">
        <f>SUM(DP733:DP752)</f>
        <v>0</v>
      </c>
      <c r="DQ732" s="605">
        <f>SUM(DQ733:DQ752)</f>
        <v>0</v>
      </c>
      <c r="DR732" s="605">
        <f>'Detailed Budget'!$AC$181</f>
        <v>50888946855.375237</v>
      </c>
      <c r="DS732" s="605">
        <f>SUM(DS733:DS752)</f>
        <v>0</v>
      </c>
      <c r="DT732" s="605">
        <f>SUM(DT733:DT752)</f>
        <v>0</v>
      </c>
      <c r="DU732" s="634">
        <f>'Detailed Budget'!$AC$192</f>
        <v>77498869683.252869</v>
      </c>
      <c r="DV732" s="605">
        <f t="shared" ref="DV732:DV752" si="1929">BZ732*CD732*DU732</f>
        <v>0</v>
      </c>
      <c r="DW732" s="930">
        <f>'Detailed Budget'!$AC$194</f>
        <v>2684962805.4134097</v>
      </c>
      <c r="DX732" s="605">
        <f t="shared" ref="DX732:DX752" si="1930">BZ732*AN732*DW732</f>
        <v>0</v>
      </c>
      <c r="DY732" s="605">
        <f t="shared" si="1800"/>
        <v>0</v>
      </c>
      <c r="DZ732" s="207">
        <f>'Detailed Budget'!$AC$198</f>
        <v>18732540018.380611</v>
      </c>
      <c r="EA732" s="605">
        <f t="shared" ref="EA732:EA752" si="1931">CF732*DZ732</f>
        <v>1159323125.7743309</v>
      </c>
      <c r="EB732" s="207">
        <f>'Detailed Budget'!$AC$200</f>
        <v>4683135004.5951529</v>
      </c>
      <c r="EC732" s="605">
        <f t="shared" ref="EC732:EC752" si="1932">CF732*EB732</f>
        <v>289830781.44358271</v>
      </c>
      <c r="ED732" s="605">
        <f t="shared" si="1801"/>
        <v>1449153907.2179136</v>
      </c>
      <c r="EE732" s="207">
        <f>'Detailed Budget'!$AC$161</f>
        <v>251147290106.36197</v>
      </c>
      <c r="EF732" s="605">
        <f t="shared" ref="EF732:EF752" si="1933">CH732*EE732</f>
        <v>16248964352.906719</v>
      </c>
      <c r="EG732" s="207">
        <f>'Detailed Budget'!$AC$163</f>
        <v>15696705631.647623</v>
      </c>
      <c r="EH732" s="605">
        <f t="shared" ref="EH732:EH752" si="1934">AP732*EG732</f>
        <v>1015560272.05667</v>
      </c>
      <c r="EI732" s="605">
        <f t="shared" si="1802"/>
        <v>17264524624.96339</v>
      </c>
      <c r="EJ732" s="207">
        <f>'Detailed Budget'!$AC$204</f>
        <v>45012172507.531975</v>
      </c>
      <c r="EK732" s="605">
        <f t="shared" ref="EK732:EK752" si="1935">CJ732*EJ732</f>
        <v>503597389.15742791</v>
      </c>
      <c r="EL732" s="207">
        <f>'Detailed Budget'!$AC$206</f>
        <v>11253043126.882994</v>
      </c>
      <c r="EM732" s="605">
        <f t="shared" ref="EM732:EM752" si="1936">CJ732*EL732</f>
        <v>125899347.28935698</v>
      </c>
      <c r="EN732" s="605">
        <f t="shared" si="1803"/>
        <v>629496736.44678485</v>
      </c>
      <c r="EO732" s="930">
        <f>'Detailed Budget'!$AC$209</f>
        <v>135789361677.54817</v>
      </c>
      <c r="EP732" s="605">
        <f t="shared" ref="EP732:EP752" si="1937">CL732*EO732</f>
        <v>8979004963.8797455</v>
      </c>
      <c r="EQ732" s="207">
        <f>'Detailed Budget'!$AC$211</f>
        <v>33947340419.387043</v>
      </c>
      <c r="ER732" s="605">
        <f t="shared" ref="ER732:ER752" si="1938">CL732*EQ732</f>
        <v>2244751240.9699364</v>
      </c>
      <c r="ES732" s="605">
        <f t="shared" si="1804"/>
        <v>11223756204.849682</v>
      </c>
      <c r="ET732" s="207">
        <f>'Detailed Budget'!$AC$214</f>
        <v>22239745544.201103</v>
      </c>
      <c r="EU732" s="605">
        <f t="shared" ref="EU732:EU752" si="1939">CN732*ET732</f>
        <v>1428196133.1482503</v>
      </c>
      <c r="EV732" s="930">
        <f>'Detailed Budget'!$AC$217</f>
        <v>5559936386.0502758</v>
      </c>
      <c r="EW732" s="605">
        <f t="shared" ref="EW732:EW752" si="1940">CN732*EV732</f>
        <v>357049033.28706259</v>
      </c>
      <c r="EX732" s="605">
        <f t="shared" si="1805"/>
        <v>1785245166.435313</v>
      </c>
      <c r="EY732" s="207">
        <f>'Detailed Budget'!$AC$219</f>
        <v>372777004.58170313</v>
      </c>
      <c r="EZ732" s="605">
        <f t="shared" ref="EZ732:EZ752" si="1941">CP732*EY732</f>
        <v>25061247.838322412</v>
      </c>
      <c r="FA732" s="207">
        <f>'Detailed Budget'!$AC$222</f>
        <v>93194251.145425782</v>
      </c>
      <c r="FB732" s="605">
        <f t="shared" ref="FB732:FB752" si="1942">CP732*FA732</f>
        <v>6265311.9595806031</v>
      </c>
      <c r="FC732" s="605">
        <f t="shared" si="1806"/>
        <v>31326559.797903016</v>
      </c>
      <c r="FD732" s="605"/>
      <c r="FE732" s="605">
        <f t="shared" si="1807"/>
        <v>13669824667.529682</v>
      </c>
      <c r="FF732" s="930">
        <f>'Detailed Budget'!$AC$165</f>
        <v>14927760000</v>
      </c>
      <c r="FG732" s="1087">
        <f t="shared" si="1864"/>
        <v>18646545704.880913</v>
      </c>
      <c r="FH732" s="605">
        <f t="shared" ref="FH732:FH752" si="1943">AV732*FF732</f>
        <v>415555186.91057837</v>
      </c>
      <c r="FI732" s="605"/>
      <c r="FJ732" s="930">
        <f>'Detailed Budget'!$AC$235</f>
        <v>3623696172</v>
      </c>
      <c r="FK732" s="605">
        <f t="shared" ref="FK732:FK752" si="1944">AT732*FJ732</f>
        <v>93635560</v>
      </c>
      <c r="FL732" s="605">
        <f t="shared" si="1865"/>
        <v>93635560</v>
      </c>
      <c r="FM732" s="605"/>
      <c r="FN732" s="605">
        <f>'Detailed Budget'!$AC$251</f>
        <v>1047595800</v>
      </c>
      <c r="FO732" s="605">
        <f>AR732*FN732</f>
        <v>28313400</v>
      </c>
      <c r="FP732" s="605">
        <f>'Detailed Budget'!$AB$254</f>
        <v>2773297530</v>
      </c>
      <c r="FQ732" s="605">
        <f>BE732*FP732</f>
        <v>91310715</v>
      </c>
      <c r="FR732" s="605">
        <f>'Detailed Budget'!$AC$257</f>
        <v>13636439388</v>
      </c>
      <c r="FS732" s="605">
        <f t="shared" ref="FS732:FS752" si="1945">BA732*FR732</f>
        <v>185876496</v>
      </c>
      <c r="FT732" s="605">
        <f t="shared" si="1866"/>
        <v>305500611</v>
      </c>
      <c r="FU732" s="605"/>
      <c r="FV732" s="605">
        <f>'Detailed Budget'!$AC$265</f>
        <v>6277805540</v>
      </c>
      <c r="FW732" s="605">
        <f>AR732*FV732</f>
        <v>169670420</v>
      </c>
      <c r="FX732" s="930">
        <f>'Detailed Budget'!$AC$278</f>
        <v>1114560000</v>
      </c>
      <c r="FY732" s="605">
        <f t="shared" ref="FY732:FY752" si="1946">AT732*FX732</f>
        <v>28800000</v>
      </c>
      <c r="FZ732" s="605">
        <f t="shared" si="1867"/>
        <v>198470420</v>
      </c>
      <c r="GB732" s="269">
        <f t="shared" si="1899"/>
        <v>61665208941.857506</v>
      </c>
      <c r="GC732" s="889">
        <f t="shared" si="1808"/>
        <v>38540755.588660941</v>
      </c>
      <c r="GD732" s="1078">
        <f t="shared" si="1900"/>
        <v>3.4602290519389532E-2</v>
      </c>
    </row>
    <row r="733" spans="1:186" hidden="1" outlineLevel="1">
      <c r="A733" s="211" t="s">
        <v>1551</v>
      </c>
      <c r="B733" s="212" t="s">
        <v>1552</v>
      </c>
      <c r="C733" s="213" t="s">
        <v>215</v>
      </c>
      <c r="D733" s="214"/>
      <c r="E733" s="213"/>
      <c r="F733" s="213"/>
      <c r="G733" s="213" t="s">
        <v>215</v>
      </c>
      <c r="H733" s="213" t="s">
        <v>215</v>
      </c>
      <c r="I733" s="214" t="s">
        <v>215</v>
      </c>
      <c r="J733" s="214"/>
      <c r="K733" s="213"/>
      <c r="L733" s="213"/>
      <c r="M733" s="214"/>
      <c r="N733" s="213" t="s">
        <v>215</v>
      </c>
      <c r="O733" s="214"/>
      <c r="P733" s="213"/>
      <c r="Q733" s="214" t="s">
        <v>215</v>
      </c>
      <c r="R733" s="214"/>
      <c r="S733" s="214"/>
      <c r="T733" s="214"/>
      <c r="U733" s="215">
        <f t="shared" si="1905"/>
        <v>6</v>
      </c>
      <c r="V733" s="845" t="s">
        <v>1073</v>
      </c>
      <c r="W733" s="216">
        <v>461743</v>
      </c>
      <c r="X733" s="217">
        <v>3.24</v>
      </c>
      <c r="Y733" s="218">
        <f t="shared" si="1785"/>
        <v>1.0324</v>
      </c>
      <c r="Z733" s="196">
        <v>19</v>
      </c>
      <c r="AA733" s="218">
        <f t="shared" si="1786"/>
        <v>1.8327866870051304</v>
      </c>
      <c r="AB733" s="196">
        <f t="shared" si="1902"/>
        <v>846276.42321780988</v>
      </c>
      <c r="AC733">
        <v>12.6</v>
      </c>
      <c r="AD733" s="196">
        <f t="shared" si="1903"/>
        <v>106630.82932544405</v>
      </c>
      <c r="AE733" s="196">
        <f t="shared" si="1787"/>
        <v>101299.28785917185</v>
      </c>
      <c r="AF733" s="196">
        <f t="shared" ref="AF733:AF752" si="1947">AE733*BT733</f>
        <v>0</v>
      </c>
      <c r="AG733" s="606">
        <f t="shared" si="1811"/>
        <v>4.683634358401704E-3</v>
      </c>
      <c r="AH733" s="196">
        <f>AB733*0.05</f>
        <v>42313.821160890497</v>
      </c>
      <c r="AI733" s="248">
        <f t="shared" si="1790"/>
        <v>3.2779876136329426E-3</v>
      </c>
      <c r="AJ733" s="196">
        <f t="shared" si="1791"/>
        <v>148944.65048633455</v>
      </c>
      <c r="AK733" s="196">
        <f t="shared" si="1858"/>
        <v>33851.056928712394</v>
      </c>
      <c r="AL733" s="196">
        <f t="shared" si="1859"/>
        <v>33851.056928712394</v>
      </c>
      <c r="AM733" s="196">
        <f t="shared" si="1792"/>
        <v>67702.113857424789</v>
      </c>
      <c r="AN733" s="627">
        <f t="shared" si="1793"/>
        <v>3.2779876136329422E-3</v>
      </c>
      <c r="AO733" s="196">
        <f t="shared" si="1794"/>
        <v>32158.504082276773</v>
      </c>
      <c r="AP733" s="589">
        <f t="shared" si="1812"/>
        <v>3.2779876136329422E-3</v>
      </c>
      <c r="AQ733" s="196"/>
      <c r="AR733" s="589"/>
      <c r="AS733">
        <v>1</v>
      </c>
      <c r="AT733" s="589">
        <f t="shared" si="1813"/>
        <v>1.2919896640826874E-3</v>
      </c>
      <c r="AU733" s="196">
        <v>11</v>
      </c>
      <c r="AV733" s="245">
        <f t="shared" si="1795"/>
        <v>1.2498579706851495E-3</v>
      </c>
      <c r="AX733" s="245"/>
      <c r="AY733" s="245"/>
      <c r="AZ733" s="196">
        <v>11</v>
      </c>
      <c r="BA733" s="589">
        <f t="shared" si="1871"/>
        <v>4.0306328093510683E-4</v>
      </c>
      <c r="BI733" s="196">
        <v>0</v>
      </c>
      <c r="BK733" s="246">
        <f t="shared" si="1872"/>
        <v>0</v>
      </c>
      <c r="BL733" s="246"/>
      <c r="BM733" s="246">
        <f t="shared" si="1873"/>
        <v>0</v>
      </c>
      <c r="BN733" s="196">
        <v>1</v>
      </c>
      <c r="BO733" s="196">
        <f t="shared" ref="BO733:BO752" si="1948">AJ733/2939780*964951</f>
        <v>48889.47112758064</v>
      </c>
      <c r="BP733" s="196">
        <f t="shared" si="1796"/>
        <v>48889.47112758064</v>
      </c>
      <c r="BQ733" s="248">
        <f t="shared" si="1874"/>
        <v>4.5733823580386872E-3</v>
      </c>
      <c r="BR733" s="248"/>
      <c r="BS733" s="248"/>
      <c r="BT733" s="276">
        <v>0</v>
      </c>
      <c r="BU733" s="196">
        <f t="shared" ref="BU733:BU752" si="1949">AD733*BT733*0.18*4</f>
        <v>0</v>
      </c>
      <c r="BV733" s="264">
        <f t="shared" si="1875"/>
        <v>0</v>
      </c>
      <c r="BW733" s="196">
        <f t="shared" ref="BW733:BW752" si="1950">AD733*BT733*0.77*4</f>
        <v>0</v>
      </c>
      <c r="BX733" s="247">
        <f t="shared" si="1876"/>
        <v>0</v>
      </c>
      <c r="BY733" s="196">
        <f t="shared" ref="BY733:BY752" si="1951">BU733+BW733</f>
        <v>0</v>
      </c>
      <c r="BZ733" s="620">
        <v>1</v>
      </c>
      <c r="CA733" s="196">
        <f t="shared" ref="CA733:CA752" si="1952">AK733*0.85*0.75*12</f>
        <v>258960.58550464979</v>
      </c>
      <c r="CB733" s="196">
        <f t="shared" ref="CB733:CB752" si="1953">AL733*0.85*0.75*2*12</f>
        <v>517921.17100929958</v>
      </c>
      <c r="CC733" s="196">
        <f t="shared" si="1809"/>
        <v>776881.75651394937</v>
      </c>
      <c r="CD733" s="247">
        <f t="shared" si="1797"/>
        <v>3.2779876136329418E-3</v>
      </c>
      <c r="CE733" s="196">
        <f t="shared" ref="CE733:CE752" si="1954">AH733/835165*1433158</f>
        <v>72611.269997305324</v>
      </c>
      <c r="CF733" s="247">
        <f t="shared" si="1798"/>
        <v>3.1355804555880853E-3</v>
      </c>
      <c r="CG733" s="196">
        <f t="shared" si="1924"/>
        <v>128634.01632910709</v>
      </c>
      <c r="CH733" s="589">
        <f t="shared" si="1814"/>
        <v>3.2779876136329422E-3</v>
      </c>
      <c r="CI733" s="196">
        <f t="shared" ref="CI733:CI752" si="1955">AD733/2104615*680537</f>
        <v>34479.572129177883</v>
      </c>
      <c r="CJ733" s="248">
        <f t="shared" si="1815"/>
        <v>5.6684407828295872E-4</v>
      </c>
      <c r="CK733" s="196">
        <f t="shared" ref="CK733:CK752" si="1956">AD733/2104615*4599900</f>
        <v>233055.0489348931</v>
      </c>
      <c r="CL733" s="589">
        <f t="shared" si="1816"/>
        <v>3.3502142658174642E-3</v>
      </c>
      <c r="CM733" s="196">
        <f t="shared" ref="CM733:CM752" si="1957">AD733/2104615*445615</f>
        <v>22577.192032679493</v>
      </c>
      <c r="CN733" s="589">
        <f t="shared" si="1817"/>
        <v>3.253629953817999E-3</v>
      </c>
      <c r="CO733" s="196">
        <f t="shared" ref="CO733:CO752" si="1958">AD733/2104615*35649</f>
        <v>1806.1652295658612</v>
      </c>
      <c r="CP733" s="589">
        <f t="shared" si="1818"/>
        <v>3.4061494223009982E-3</v>
      </c>
      <c r="CQ733" s="196">
        <f>'Detailed Budget'!$AC$12</f>
        <v>292876014141.44696</v>
      </c>
      <c r="CR733" s="269">
        <f t="shared" si="1861"/>
        <v>0</v>
      </c>
      <c r="CS733" s="269">
        <f>'Detailed Budget'!$AC$16</f>
        <v>10488008800.000002</v>
      </c>
      <c r="CT733" s="607">
        <f t="shared" si="1926"/>
        <v>0</v>
      </c>
      <c r="CU733" s="269">
        <f>'Detailed Budget'!$AC$24</f>
        <v>30624985696</v>
      </c>
      <c r="CV733" s="269">
        <f t="shared" si="1868"/>
        <v>0</v>
      </c>
      <c r="CW733" s="269"/>
      <c r="CX733" s="269">
        <f t="shared" si="1810"/>
        <v>0</v>
      </c>
      <c r="CY733" s="196">
        <f>'Detailed Budget'!$AC$97</f>
        <v>74629165494.837845</v>
      </c>
      <c r="CZ733" s="269">
        <f t="shared" si="1927"/>
        <v>341307708.86924094</v>
      </c>
      <c r="DA733" s="269">
        <f>'Detailed Budget'!$AC$100</f>
        <v>14925833098.967569</v>
      </c>
      <c r="DB733" s="269">
        <f t="shared" si="1928"/>
        <v>68261541.773848191</v>
      </c>
      <c r="DC733" s="269">
        <f t="shared" si="1799"/>
        <v>409569250.64308912</v>
      </c>
      <c r="DD733" s="207">
        <v>0</v>
      </c>
      <c r="DE733" s="606">
        <v>0</v>
      </c>
      <c r="DF733" s="269">
        <f>'Detailed Budget'!$AC$147</f>
        <v>5913600671000</v>
      </c>
      <c r="DG733" s="269">
        <f t="shared" si="1863"/>
        <v>0</v>
      </c>
      <c r="DH733" s="269">
        <f>'Detailed Budget'!$AC$153</f>
        <v>226428026880.00003</v>
      </c>
      <c r="DI733" s="269"/>
      <c r="DJ733" s="269">
        <f>'Detailed Budget'!$AC$156</f>
        <v>27713070000</v>
      </c>
      <c r="DK733" s="269"/>
      <c r="DL733" s="269"/>
      <c r="DM733" s="196">
        <f>'Detailed Budget'!$AC$178</f>
        <v>5622683761.6229038</v>
      </c>
      <c r="DN733" s="269">
        <f t="shared" ref="DN733:DN752" si="1959">BT733*BV733*DM733</f>
        <v>0</v>
      </c>
      <c r="DO733" s="196">
        <f>'Detailed Budget'!$AC$179</f>
        <v>26827890683.128094</v>
      </c>
      <c r="DP733" s="269">
        <f t="shared" ref="DP733:DP752" si="1960">BT733*BX733*DO733</f>
        <v>0</v>
      </c>
      <c r="DQ733" s="269">
        <f t="shared" si="1862"/>
        <v>0</v>
      </c>
      <c r="DR733" s="269">
        <f>'Detailed Budget'!$AC$181</f>
        <v>50888946855.375237</v>
      </c>
      <c r="DS733" s="269">
        <f t="shared" ref="DS733:DS752" si="1961">BT733*AG733*DR733</f>
        <v>0</v>
      </c>
      <c r="DT733" s="269">
        <f t="shared" ref="DT733:DT752" si="1962">DQ733+DS733</f>
        <v>0</v>
      </c>
      <c r="DU733" s="272">
        <f>'Detailed Budget'!$AC$192</f>
        <v>77498869683.252869</v>
      </c>
      <c r="DV733" s="269">
        <f t="shared" si="1929"/>
        <v>254040334.89225641</v>
      </c>
      <c r="DW733" s="140">
        <f>'Detailed Budget'!$AC$194</f>
        <v>2684962805.4134097</v>
      </c>
      <c r="DX733" s="269">
        <f t="shared" si="1930"/>
        <v>8801274.8192103133</v>
      </c>
      <c r="DY733" s="607">
        <f t="shared" si="1800"/>
        <v>262841609.71146673</v>
      </c>
      <c r="DZ733" s="196">
        <f>'Detailed Budget'!$AC$198</f>
        <v>18732540018.380611</v>
      </c>
      <c r="EA733" s="269">
        <f t="shared" si="1931"/>
        <v>58737386.36515592</v>
      </c>
      <c r="EB733" s="196">
        <f>'Detailed Budget'!$AC$200</f>
        <v>4683135004.5951529</v>
      </c>
      <c r="EC733" s="269">
        <f t="shared" si="1932"/>
        <v>14684346.59128898</v>
      </c>
      <c r="ED733" s="269">
        <f t="shared" si="1801"/>
        <v>73421732.956444904</v>
      </c>
      <c r="EE733" s="196">
        <f>'Detailed Budget'!$AC$161</f>
        <v>251147290106.36197</v>
      </c>
      <c r="EF733" s="269">
        <f t="shared" si="1933"/>
        <v>823257706.16613376</v>
      </c>
      <c r="EG733" s="196">
        <f>'Detailed Budget'!$AC$163</f>
        <v>15696705631.647623</v>
      </c>
      <c r="EH733" s="269">
        <f t="shared" si="1934"/>
        <v>51453606.63538336</v>
      </c>
      <c r="EI733" s="269">
        <f t="shared" si="1802"/>
        <v>874711312.80151713</v>
      </c>
      <c r="EJ733" s="196">
        <f>'Detailed Budget'!$AC$204</f>
        <v>45012172507.531975</v>
      </c>
      <c r="EK733" s="269">
        <f t="shared" si="1935"/>
        <v>25514883.436545499</v>
      </c>
      <c r="EL733" s="201">
        <f>'Detailed Budget'!$AC$206</f>
        <v>11253043126.882994</v>
      </c>
      <c r="EM733" s="269">
        <f t="shared" si="1936"/>
        <v>6378720.8591363747</v>
      </c>
      <c r="EN733" s="269">
        <f t="shared" si="1803"/>
        <v>31893604.295681871</v>
      </c>
      <c r="EO733" s="140">
        <f>'Detailed Budget'!$AC$209</f>
        <v>135789361677.54817</v>
      </c>
      <c r="EP733" s="269">
        <f t="shared" si="1937"/>
        <v>454923456.63836914</v>
      </c>
      <c r="EQ733" s="196">
        <f>'Detailed Budget'!$AC$211</f>
        <v>33947340419.387043</v>
      </c>
      <c r="ER733" s="269">
        <f t="shared" si="1938"/>
        <v>113730864.15959229</v>
      </c>
      <c r="ES733" s="269">
        <f t="shared" si="1804"/>
        <v>568654320.79796147</v>
      </c>
      <c r="ET733" s="196">
        <f>'Detailed Budget'!$AC$214</f>
        <v>22239745544.201103</v>
      </c>
      <c r="EU733" s="269">
        <f t="shared" si="1939"/>
        <v>72359902.26790309</v>
      </c>
      <c r="EV733" s="140">
        <f>'Detailed Budget'!$AC$217</f>
        <v>5559936386.0502758</v>
      </c>
      <c r="EW733" s="269">
        <f t="shared" si="1940"/>
        <v>18089975.566975772</v>
      </c>
      <c r="EX733" s="269">
        <f t="shared" si="1805"/>
        <v>90449877.834878862</v>
      </c>
      <c r="EY733" s="196">
        <f>'Detailed Budget'!$AC$219</f>
        <v>372777004.58170313</v>
      </c>
      <c r="EZ733" s="269">
        <f t="shared" si="1941"/>
        <v>1269734.1788030646</v>
      </c>
      <c r="FA733" s="196">
        <f>'Detailed Budget'!$AC$222</f>
        <v>93194251.145425782</v>
      </c>
      <c r="FB733" s="269">
        <f t="shared" si="1942"/>
        <v>317433.54470076616</v>
      </c>
      <c r="FC733" s="269">
        <f t="shared" si="1806"/>
        <v>1587167.7235038308</v>
      </c>
      <c r="FD733" s="269"/>
      <c r="FE733" s="269">
        <f t="shared" si="1807"/>
        <v>692584970.65202594</v>
      </c>
      <c r="FF733" s="140">
        <f>'Detailed Budget'!$AC$165</f>
        <v>14927760000</v>
      </c>
      <c r="FG733" s="1087">
        <f t="shared" si="1864"/>
        <v>944731744.83739698</v>
      </c>
      <c r="FH733" s="269">
        <f t="shared" si="1943"/>
        <v>18657579.820474949</v>
      </c>
      <c r="FJ733" s="140">
        <f>'Detailed Budget'!$AC$235</f>
        <v>3623696172</v>
      </c>
      <c r="FK733" s="269">
        <f t="shared" si="1944"/>
        <v>4681778</v>
      </c>
      <c r="FL733" s="269">
        <f t="shared" si="1865"/>
        <v>4681778</v>
      </c>
      <c r="FO733" s="607"/>
      <c r="FP733" s="607"/>
      <c r="FQ733" s="607"/>
      <c r="FR733" s="269">
        <f>'Detailed Budget'!$AC$257</f>
        <v>13636439388</v>
      </c>
      <c r="FS733" s="269">
        <f t="shared" si="1945"/>
        <v>5496348</v>
      </c>
      <c r="FT733" s="269">
        <f t="shared" si="1866"/>
        <v>5496348</v>
      </c>
      <c r="FU733" s="269"/>
      <c r="FV733" s="269"/>
      <c r="FW733" s="269"/>
      <c r="FX733" s="140">
        <f>'Detailed Budget'!$AC$278</f>
        <v>1114560000</v>
      </c>
      <c r="FY733" s="269">
        <f t="shared" si="1946"/>
        <v>1440000</v>
      </c>
      <c r="FZ733" s="269">
        <f t="shared" si="1867"/>
        <v>1440000</v>
      </c>
      <c r="GB733" s="269">
        <f t="shared" si="1899"/>
        <v>3288136327.4224157</v>
      </c>
      <c r="GC733" s="887">
        <f t="shared" si="1808"/>
        <v>2055085.2046390099</v>
      </c>
      <c r="GD733" s="1078">
        <f t="shared" si="1900"/>
        <v>1.8450768337800708E-3</v>
      </c>
    </row>
    <row r="734" spans="1:186" hidden="1" outlineLevel="1">
      <c r="A734" s="211" t="s">
        <v>1553</v>
      </c>
      <c r="B734" s="212" t="s">
        <v>1554</v>
      </c>
      <c r="C734" s="213" t="s">
        <v>215</v>
      </c>
      <c r="D734" s="214"/>
      <c r="E734" s="213"/>
      <c r="F734" s="213"/>
      <c r="G734" s="213"/>
      <c r="H734" s="213" t="s">
        <v>215</v>
      </c>
      <c r="I734" s="214" t="s">
        <v>215</v>
      </c>
      <c r="J734" s="214"/>
      <c r="K734" s="213"/>
      <c r="L734" s="213"/>
      <c r="M734" s="214"/>
      <c r="N734" s="213" t="s">
        <v>215</v>
      </c>
      <c r="O734" s="214"/>
      <c r="P734" s="213"/>
      <c r="Q734" s="214" t="s">
        <v>215</v>
      </c>
      <c r="R734" s="214"/>
      <c r="S734" s="214"/>
      <c r="T734" s="214"/>
      <c r="U734" s="215">
        <f t="shared" si="1905"/>
        <v>5</v>
      </c>
      <c r="V734" s="845" t="s">
        <v>1127</v>
      </c>
      <c r="W734" s="216">
        <v>687316</v>
      </c>
      <c r="X734" s="217">
        <v>3.24</v>
      </c>
      <c r="Y734" s="218">
        <f t="shared" si="1785"/>
        <v>1.0324</v>
      </c>
      <c r="Z734" s="196">
        <v>19</v>
      </c>
      <c r="AA734" s="218">
        <f t="shared" si="1786"/>
        <v>1.8327866870051304</v>
      </c>
      <c r="AB734" s="196">
        <f t="shared" si="1902"/>
        <v>1259703.6145656181</v>
      </c>
      <c r="AC734">
        <v>12.6</v>
      </c>
      <c r="AD734" s="196">
        <f t="shared" si="1903"/>
        <v>158722.65543526786</v>
      </c>
      <c r="AE734" s="196">
        <f t="shared" si="1787"/>
        <v>150786.52266350447</v>
      </c>
      <c r="AF734" s="196">
        <f t="shared" si="1947"/>
        <v>0</v>
      </c>
      <c r="AG734" s="606">
        <f t="shared" si="1811"/>
        <v>6.9717068427225205E-3</v>
      </c>
      <c r="AH734" s="196">
        <f t="shared" ref="AH734:AH752" si="1963">AB734*0.05</f>
        <v>62985.18072828091</v>
      </c>
      <c r="AI734" s="248">
        <f t="shared" si="1790"/>
        <v>4.8793665191496985E-3</v>
      </c>
      <c r="AJ734" s="196">
        <f t="shared" si="1791"/>
        <v>221707.83616354878</v>
      </c>
      <c r="AK734" s="196">
        <f t="shared" si="1858"/>
        <v>50388.144582624722</v>
      </c>
      <c r="AL734" s="196">
        <f t="shared" si="1859"/>
        <v>50388.144582624722</v>
      </c>
      <c r="AM734" s="196">
        <f t="shared" si="1792"/>
        <v>100776.28916524944</v>
      </c>
      <c r="AN734" s="627">
        <f t="shared" si="1793"/>
        <v>4.8793665191496985E-3</v>
      </c>
      <c r="AO734" s="196">
        <f t="shared" si="1794"/>
        <v>47868.737353493489</v>
      </c>
      <c r="AP734" s="589">
        <f t="shared" si="1812"/>
        <v>4.8793665191496985E-3</v>
      </c>
      <c r="AQ734" s="196"/>
      <c r="AR734" s="589"/>
      <c r="AS734">
        <v>1</v>
      </c>
      <c r="AT734" s="589">
        <f t="shared" si="1813"/>
        <v>1.2919896640826874E-3</v>
      </c>
      <c r="AU734" s="196">
        <v>11</v>
      </c>
      <c r="AV734" s="245">
        <f t="shared" si="1795"/>
        <v>1.2498579706851495E-3</v>
      </c>
      <c r="AX734" s="245"/>
      <c r="AY734" s="245"/>
      <c r="AZ734" s="196">
        <v>12</v>
      </c>
      <c r="BA734" s="589">
        <f t="shared" si="1871"/>
        <v>4.3970539738375289E-4</v>
      </c>
      <c r="BI734" s="196">
        <v>0</v>
      </c>
      <c r="BK734" s="246">
        <f t="shared" si="1872"/>
        <v>0</v>
      </c>
      <c r="BL734" s="246"/>
      <c r="BM734" s="246">
        <f t="shared" si="1873"/>
        <v>0</v>
      </c>
      <c r="BN734" s="196">
        <v>1</v>
      </c>
      <c r="BO734" s="196">
        <f t="shared" si="1948"/>
        <v>72773.200108121207</v>
      </c>
      <c r="BP734" s="196">
        <f t="shared" si="1796"/>
        <v>72773.200108121207</v>
      </c>
      <c r="BQ734" s="248">
        <f t="shared" si="1874"/>
        <v>6.8075939836612963E-3</v>
      </c>
      <c r="BR734" s="248"/>
      <c r="BS734" s="248"/>
      <c r="BT734" s="276">
        <v>0</v>
      </c>
      <c r="BU734" s="196">
        <f t="shared" si="1949"/>
        <v>0</v>
      </c>
      <c r="BV734" s="264">
        <f t="shared" si="1875"/>
        <v>0</v>
      </c>
      <c r="BW734" s="196">
        <f t="shared" si="1950"/>
        <v>0</v>
      </c>
      <c r="BX734" s="247">
        <f t="shared" si="1876"/>
        <v>0</v>
      </c>
      <c r="BY734" s="196">
        <f t="shared" si="1951"/>
        <v>0</v>
      </c>
      <c r="BZ734" s="620">
        <v>0</v>
      </c>
      <c r="CA734" s="196">
        <f t="shared" si="1952"/>
        <v>385469.30605707911</v>
      </c>
      <c r="CB734" s="196">
        <f t="shared" si="1953"/>
        <v>770938.61211415823</v>
      </c>
      <c r="CC734" s="196">
        <f t="shared" si="1809"/>
        <v>1156407.9181712372</v>
      </c>
      <c r="CD734" s="247">
        <f t="shared" si="1797"/>
        <v>4.8793665191496976E-3</v>
      </c>
      <c r="CE734" s="196">
        <f t="shared" si="1954"/>
        <v>108083.69081819954</v>
      </c>
      <c r="CF734" s="247">
        <f t="shared" si="1798"/>
        <v>4.6673899039356972E-3</v>
      </c>
      <c r="CG734" s="196">
        <f t="shared" si="1924"/>
        <v>191474.94941397395</v>
      </c>
      <c r="CH734" s="589">
        <f t="shared" si="1814"/>
        <v>4.8793665191496985E-3</v>
      </c>
      <c r="CI734" s="196">
        <f t="shared" si="1955"/>
        <v>51323.705172656701</v>
      </c>
      <c r="CJ734" s="248">
        <f t="shared" si="1815"/>
        <v>8.4376158276168781E-4</v>
      </c>
      <c r="CK734" s="196">
        <f t="shared" si="1956"/>
        <v>346908.26718268596</v>
      </c>
      <c r="CL734" s="589">
        <f t="shared" si="1816"/>
        <v>4.9868776967373542E-3</v>
      </c>
      <c r="CM734" s="196">
        <f t="shared" si="1957"/>
        <v>33606.714815672647</v>
      </c>
      <c r="CN734" s="589">
        <f t="shared" si="1817"/>
        <v>4.843109533524864E-3</v>
      </c>
      <c r="CO734" s="196">
        <f t="shared" si="1958"/>
        <v>2688.5221019577757</v>
      </c>
      <c r="CP734" s="589">
        <f t="shared" si="1818"/>
        <v>5.0701385756540601E-3</v>
      </c>
      <c r="CQ734" s="196">
        <f>'Detailed Budget'!$AC$12</f>
        <v>292876014141.44696</v>
      </c>
      <c r="CR734" s="269">
        <f t="shared" si="1861"/>
        <v>0</v>
      </c>
      <c r="CS734" s="269">
        <f>'Detailed Budget'!$AC$16</f>
        <v>10488008800.000002</v>
      </c>
      <c r="CT734" s="607">
        <f t="shared" si="1926"/>
        <v>0</v>
      </c>
      <c r="CU734" s="269">
        <f>'Detailed Budget'!$AC$24</f>
        <v>30624985696</v>
      </c>
      <c r="CV734" s="269">
        <f t="shared" si="1868"/>
        <v>0</v>
      </c>
      <c r="CW734" s="269"/>
      <c r="CX734" s="269">
        <f t="shared" si="1810"/>
        <v>0</v>
      </c>
      <c r="CY734" s="196">
        <f>'Detailed Budget'!$AC$97</f>
        <v>74629165494.837845</v>
      </c>
      <c r="CZ734" s="269">
        <f t="shared" si="1927"/>
        <v>508045058.02832133</v>
      </c>
      <c r="DA734" s="269">
        <f>'Detailed Budget'!$AC$100</f>
        <v>14925833098.967569</v>
      </c>
      <c r="DB734" s="269">
        <f t="shared" si="1928"/>
        <v>101609011.60566427</v>
      </c>
      <c r="DC734" s="269">
        <f t="shared" si="1799"/>
        <v>609654069.63398564</v>
      </c>
      <c r="DD734" s="207">
        <v>0</v>
      </c>
      <c r="DE734" s="606">
        <v>0</v>
      </c>
      <c r="DF734" s="269">
        <f>'Detailed Budget'!$AC$147</f>
        <v>5913600671000</v>
      </c>
      <c r="DG734" s="269">
        <f t="shared" si="1863"/>
        <v>0</v>
      </c>
      <c r="DH734" s="269">
        <f>'Detailed Budget'!$AC$153</f>
        <v>226428026880.00003</v>
      </c>
      <c r="DI734" s="269"/>
      <c r="DJ734" s="269">
        <f>'Detailed Budget'!$AC$156</f>
        <v>27713070000</v>
      </c>
      <c r="DK734" s="269"/>
      <c r="DL734" s="269"/>
      <c r="DM734" s="196">
        <f>'Detailed Budget'!$AC$178</f>
        <v>5622683761.6229038</v>
      </c>
      <c r="DN734" s="269">
        <f t="shared" si="1959"/>
        <v>0</v>
      </c>
      <c r="DO734" s="196">
        <f>'Detailed Budget'!$AC$179</f>
        <v>26827890683.128094</v>
      </c>
      <c r="DP734" s="269">
        <f t="shared" si="1960"/>
        <v>0</v>
      </c>
      <c r="DQ734" s="269">
        <f t="shared" si="1862"/>
        <v>0</v>
      </c>
      <c r="DR734" s="269">
        <f>'Detailed Budget'!$AC$181</f>
        <v>50888946855.375237</v>
      </c>
      <c r="DS734" s="269">
        <f t="shared" si="1961"/>
        <v>0</v>
      </c>
      <c r="DT734" s="269">
        <f t="shared" si="1962"/>
        <v>0</v>
      </c>
      <c r="DU734" s="272">
        <f>'Detailed Budget'!$AC$192</f>
        <v>77498869683.252869</v>
      </c>
      <c r="DV734" s="269">
        <f t="shared" si="1929"/>
        <v>0</v>
      </c>
      <c r="DW734" s="140">
        <f>'Detailed Budget'!$AC$194</f>
        <v>2684962805.4134097</v>
      </c>
      <c r="DX734" s="269">
        <f t="shared" si="1930"/>
        <v>0</v>
      </c>
      <c r="DY734" s="607">
        <f t="shared" si="1800"/>
        <v>0</v>
      </c>
      <c r="DZ734" s="196">
        <f>'Detailed Budget'!$AC$198</f>
        <v>18732540018.380611</v>
      </c>
      <c r="EA734" s="269">
        <f t="shared" si="1931"/>
        <v>87432068.156861082</v>
      </c>
      <c r="EB734" s="196">
        <f>'Detailed Budget'!$AC$200</f>
        <v>4683135004.5951529</v>
      </c>
      <c r="EC734" s="269">
        <f t="shared" si="1932"/>
        <v>21858017.03921527</v>
      </c>
      <c r="ED734" s="269">
        <f t="shared" si="1801"/>
        <v>109290085.19607635</v>
      </c>
      <c r="EE734" s="196">
        <f>'Detailed Budget'!$AC$161</f>
        <v>251147290106.36197</v>
      </c>
      <c r="EF734" s="269">
        <f t="shared" si="1933"/>
        <v>1225439678.7201588</v>
      </c>
      <c r="EG734" s="196">
        <f>'Detailed Budget'!$AC$163</f>
        <v>15696705631.647623</v>
      </c>
      <c r="EH734" s="269">
        <f t="shared" si="1934"/>
        <v>76589979.920009926</v>
      </c>
      <c r="EI734" s="269">
        <f t="shared" si="1802"/>
        <v>1302029658.6401687</v>
      </c>
      <c r="EJ734" s="196">
        <f>'Detailed Budget'!$AC$204</f>
        <v>45012172507.531975</v>
      </c>
      <c r="EK734" s="269">
        <f t="shared" si="1935"/>
        <v>37979541.918497309</v>
      </c>
      <c r="EL734" s="201">
        <f>'Detailed Budget'!$AC$206</f>
        <v>11253043126.882994</v>
      </c>
      <c r="EM734" s="269">
        <f t="shared" si="1936"/>
        <v>9494885.4796243273</v>
      </c>
      <c r="EN734" s="269">
        <f t="shared" si="1803"/>
        <v>47474427.39812164</v>
      </c>
      <c r="EO734" s="140">
        <f>'Detailed Budget'!$AC$209</f>
        <v>135789361677.54817</v>
      </c>
      <c r="EP734" s="269">
        <f t="shared" si="1937"/>
        <v>677164939.20396698</v>
      </c>
      <c r="EQ734" s="196">
        <f>'Detailed Budget'!$AC$211</f>
        <v>33947340419.387043</v>
      </c>
      <c r="ER734" s="269">
        <f t="shared" si="1938"/>
        <v>169291234.80099174</v>
      </c>
      <c r="ES734" s="269">
        <f t="shared" si="1804"/>
        <v>846456174.00495875</v>
      </c>
      <c r="ET734" s="196">
        <f>'Detailed Budget'!$AC$214</f>
        <v>22239745544.201103</v>
      </c>
      <c r="EU734" s="269">
        <f t="shared" si="1939"/>
        <v>107709523.66828747</v>
      </c>
      <c r="EV734" s="140">
        <f>'Detailed Budget'!$AC$217</f>
        <v>5559936386.0502758</v>
      </c>
      <c r="EW734" s="269">
        <f t="shared" si="1940"/>
        <v>26927380.917071868</v>
      </c>
      <c r="EX734" s="269">
        <f t="shared" si="1805"/>
        <v>134636904.58535933</v>
      </c>
      <c r="EY734" s="196">
        <f>'Detailed Budget'!$AC$219</f>
        <v>372777004.58170313</v>
      </c>
      <c r="EZ734" s="269">
        <f t="shared" si="1941"/>
        <v>1890031.0710464632</v>
      </c>
      <c r="FA734" s="196">
        <f>'Detailed Budget'!$AC$222</f>
        <v>93194251.145425782</v>
      </c>
      <c r="FB734" s="269">
        <f t="shared" si="1942"/>
        <v>472507.7677616158</v>
      </c>
      <c r="FC734" s="269">
        <f t="shared" si="1806"/>
        <v>2362538.8388080793</v>
      </c>
      <c r="FD734" s="269"/>
      <c r="FE734" s="269">
        <f t="shared" si="1807"/>
        <v>1030930044.8272477</v>
      </c>
      <c r="FF734" s="140">
        <f>'Detailed Budget'!$AC$165</f>
        <v>14927760000</v>
      </c>
      <c r="FG734" s="1087">
        <f t="shared" si="1864"/>
        <v>1406256822.3766477</v>
      </c>
      <c r="FH734" s="269">
        <f t="shared" si="1943"/>
        <v>18657579.820474949</v>
      </c>
      <c r="FJ734" s="140">
        <f>'Detailed Budget'!$AC$235</f>
        <v>3623696172</v>
      </c>
      <c r="FK734" s="269">
        <f t="shared" si="1944"/>
        <v>4681778</v>
      </c>
      <c r="FL734" s="269">
        <f t="shared" si="1865"/>
        <v>4681778</v>
      </c>
      <c r="FO734" s="607"/>
      <c r="FP734" s="607"/>
      <c r="FQ734" s="607"/>
      <c r="FR734" s="269">
        <f>'Detailed Budget'!$AC$257</f>
        <v>13636439388</v>
      </c>
      <c r="FS734" s="269">
        <f t="shared" si="1945"/>
        <v>5996016</v>
      </c>
      <c r="FT734" s="269">
        <f t="shared" si="1866"/>
        <v>5996016</v>
      </c>
      <c r="FU734" s="269"/>
      <c r="FV734" s="269"/>
      <c r="FW734" s="269"/>
      <c r="FX734" s="140">
        <f>'Detailed Budget'!$AC$278</f>
        <v>1114560000</v>
      </c>
      <c r="FY734" s="269">
        <f t="shared" si="1946"/>
        <v>1440000</v>
      </c>
      <c r="FZ734" s="269">
        <f t="shared" si="1867"/>
        <v>1440000</v>
      </c>
      <c r="GB734" s="269">
        <f t="shared" si="1899"/>
        <v>4488936054.4946003</v>
      </c>
      <c r="GC734" s="887">
        <f t="shared" si="1808"/>
        <v>2805585.034059125</v>
      </c>
      <c r="GD734" s="1078">
        <f t="shared" si="1900"/>
        <v>2.5188833727465111E-3</v>
      </c>
    </row>
    <row r="735" spans="1:186" hidden="1" outlineLevel="1">
      <c r="A735" s="211" t="s">
        <v>1555</v>
      </c>
      <c r="B735" s="212" t="s">
        <v>1556</v>
      </c>
      <c r="C735" s="213" t="s">
        <v>215</v>
      </c>
      <c r="D735" s="214"/>
      <c r="E735" s="213"/>
      <c r="F735" s="213"/>
      <c r="G735" s="213" t="s">
        <v>215</v>
      </c>
      <c r="H735" s="213" t="s">
        <v>215</v>
      </c>
      <c r="I735" s="214" t="s">
        <v>215</v>
      </c>
      <c r="J735" s="214"/>
      <c r="K735" s="213"/>
      <c r="L735" s="213"/>
      <c r="M735" s="214"/>
      <c r="N735" s="213"/>
      <c r="O735" s="214" t="s">
        <v>215</v>
      </c>
      <c r="P735" s="213"/>
      <c r="Q735" s="214" t="s">
        <v>215</v>
      </c>
      <c r="R735" s="214"/>
      <c r="S735" s="214"/>
      <c r="T735" s="214"/>
      <c r="U735" s="215">
        <f t="shared" si="1905"/>
        <v>6</v>
      </c>
      <c r="V735" s="845" t="s">
        <v>1073</v>
      </c>
      <c r="W735" s="216">
        <v>1319571</v>
      </c>
      <c r="X735" s="217">
        <v>3.24</v>
      </c>
      <c r="Y735" s="218">
        <f t="shared" si="1785"/>
        <v>1.0324</v>
      </c>
      <c r="Z735" s="196">
        <v>19</v>
      </c>
      <c r="AA735" s="218">
        <f t="shared" si="1786"/>
        <v>1.8327866870051304</v>
      </c>
      <c r="AB735" s="196">
        <f t="shared" si="1902"/>
        <v>2418492.1613580468</v>
      </c>
      <c r="AC735">
        <v>12.6</v>
      </c>
      <c r="AD735" s="196">
        <f t="shared" si="1903"/>
        <v>304730.01233111392</v>
      </c>
      <c r="AE735" s="196">
        <f t="shared" si="1787"/>
        <v>289493.51171455823</v>
      </c>
      <c r="AF735" s="196">
        <f t="shared" si="1947"/>
        <v>0</v>
      </c>
      <c r="AG735" s="606">
        <f t="shared" si="1811"/>
        <v>1.338490908135152E-2</v>
      </c>
      <c r="AH735" s="196">
        <f t="shared" si="1963"/>
        <v>120924.60806790234</v>
      </c>
      <c r="AI735" s="248">
        <f t="shared" si="1790"/>
        <v>9.367846168343073E-3</v>
      </c>
      <c r="AJ735" s="196">
        <f t="shared" si="1791"/>
        <v>425654.62039901625</v>
      </c>
      <c r="AK735" s="196">
        <f t="shared" si="1858"/>
        <v>96739.686454321869</v>
      </c>
      <c r="AL735" s="196">
        <f t="shared" si="1859"/>
        <v>96739.686454321869</v>
      </c>
      <c r="AM735" s="196">
        <f t="shared" si="1792"/>
        <v>193479.37290864374</v>
      </c>
      <c r="AN735" s="627">
        <f t="shared" si="1793"/>
        <v>9.3678461683430712E-3</v>
      </c>
      <c r="AO735" s="196">
        <f t="shared" si="1794"/>
        <v>91902.70213160578</v>
      </c>
      <c r="AP735" s="589">
        <f t="shared" si="1812"/>
        <v>9.367846168343073E-3</v>
      </c>
      <c r="AQ735" s="196"/>
      <c r="AR735" s="589"/>
      <c r="AS735">
        <v>1</v>
      </c>
      <c r="AT735" s="589">
        <f t="shared" si="1813"/>
        <v>1.2919896640826874E-3</v>
      </c>
      <c r="AU735" s="196">
        <v>11</v>
      </c>
      <c r="AV735" s="245">
        <f t="shared" si="1795"/>
        <v>1.2498579706851495E-3</v>
      </c>
      <c r="AX735" s="245"/>
      <c r="AY735" s="245"/>
      <c r="AZ735" s="196">
        <v>40</v>
      </c>
      <c r="BA735" s="589">
        <f t="shared" si="1871"/>
        <v>1.4656846579458429E-3</v>
      </c>
      <c r="BI735" s="196">
        <v>0</v>
      </c>
      <c r="BK735" s="246">
        <f t="shared" si="1872"/>
        <v>0</v>
      </c>
      <c r="BL735" s="246"/>
      <c r="BM735" s="246">
        <f t="shared" si="1873"/>
        <v>0</v>
      </c>
      <c r="BN735" s="196">
        <v>1</v>
      </c>
      <c r="BO735" s="196">
        <f t="shared" si="1948"/>
        <v>139716.52695393912</v>
      </c>
      <c r="BP735" s="196">
        <f t="shared" si="1796"/>
        <v>139716.52695393912</v>
      </c>
      <c r="BQ735" s="248">
        <f t="shared" si="1874"/>
        <v>1.3069830471884723E-2</v>
      </c>
      <c r="BR735" s="248"/>
      <c r="BS735" s="248"/>
      <c r="BT735" s="276">
        <v>0</v>
      </c>
      <c r="BU735" s="196">
        <f t="shared" si="1949"/>
        <v>0</v>
      </c>
      <c r="BV735" s="264">
        <f t="shared" si="1875"/>
        <v>0</v>
      </c>
      <c r="BW735" s="196">
        <f t="shared" si="1950"/>
        <v>0</v>
      </c>
      <c r="BX735" s="247">
        <f t="shared" si="1876"/>
        <v>0</v>
      </c>
      <c r="BY735" s="196">
        <f t="shared" si="1951"/>
        <v>0</v>
      </c>
      <c r="BZ735" s="620">
        <v>1</v>
      </c>
      <c r="CA735" s="196">
        <f t="shared" si="1952"/>
        <v>740058.60137556226</v>
      </c>
      <c r="CB735" s="196">
        <f t="shared" si="1953"/>
        <v>1480117.2027511245</v>
      </c>
      <c r="CC735" s="196">
        <f t="shared" si="1809"/>
        <v>2220175.8041266869</v>
      </c>
      <c r="CD735" s="247">
        <f t="shared" si="1797"/>
        <v>9.3678461683430712E-3</v>
      </c>
      <c r="CE735" s="196">
        <f t="shared" si="1954"/>
        <v>207508.77904291824</v>
      </c>
      <c r="CF735" s="247">
        <f t="shared" si="1798"/>
        <v>8.9608744201012808E-3</v>
      </c>
      <c r="CG735" s="196">
        <f t="shared" si="1924"/>
        <v>367610.80852642312</v>
      </c>
      <c r="CH735" s="589">
        <f t="shared" si="1814"/>
        <v>9.367846168343073E-3</v>
      </c>
      <c r="CI735" s="196">
        <f t="shared" si="1955"/>
        <v>98535.859718656022</v>
      </c>
      <c r="CJ735" s="248">
        <f t="shared" si="1815"/>
        <v>1.6199292836576236E-3</v>
      </c>
      <c r="CK735" s="196">
        <f t="shared" si="1956"/>
        <v>666025.65491640556</v>
      </c>
      <c r="CL735" s="589">
        <f t="shared" si="1816"/>
        <v>9.5742557850557949E-3</v>
      </c>
      <c r="CM735" s="196">
        <f t="shared" si="1957"/>
        <v>64521.190072735073</v>
      </c>
      <c r="CN735" s="589">
        <f t="shared" si="1817"/>
        <v>9.2982367502908985E-3</v>
      </c>
      <c r="CO735" s="196">
        <f t="shared" si="1958"/>
        <v>5161.666247552108</v>
      </c>
      <c r="CP735" s="589">
        <f t="shared" si="1818"/>
        <v>9.7341074999191118E-3</v>
      </c>
      <c r="CQ735" s="196">
        <f>'Detailed Budget'!$AC$12</f>
        <v>292876014141.44696</v>
      </c>
      <c r="CR735" s="269">
        <f t="shared" si="1861"/>
        <v>0</v>
      </c>
      <c r="CS735" s="269">
        <f>'Detailed Budget'!$AC$16</f>
        <v>10488008800.000002</v>
      </c>
      <c r="CT735" s="607">
        <f t="shared" si="1926"/>
        <v>0</v>
      </c>
      <c r="CU735" s="269">
        <f>'Detailed Budget'!$AC$24</f>
        <v>30624985696</v>
      </c>
      <c r="CV735" s="269">
        <f t="shared" si="1868"/>
        <v>0</v>
      </c>
      <c r="CW735" s="269"/>
      <c r="CX735" s="269">
        <f t="shared" si="1810"/>
        <v>0</v>
      </c>
      <c r="CY735" s="196">
        <f>'Detailed Budget'!$AC$97</f>
        <v>74629165494.837845</v>
      </c>
      <c r="CZ735" s="269">
        <f t="shared" si="1927"/>
        <v>975390541.27575958</v>
      </c>
      <c r="DA735" s="269">
        <f>'Detailed Budget'!$AC$100</f>
        <v>14925833098.967569</v>
      </c>
      <c r="DB735" s="269">
        <f t="shared" si="1928"/>
        <v>195078108.25515193</v>
      </c>
      <c r="DC735" s="269">
        <f t="shared" si="1799"/>
        <v>1170468649.5309114</v>
      </c>
      <c r="DD735" s="207">
        <v>0</v>
      </c>
      <c r="DE735" s="606">
        <v>0</v>
      </c>
      <c r="DF735" s="269">
        <f>'Detailed Budget'!$AC$147</f>
        <v>5913600671000</v>
      </c>
      <c r="DG735" s="269">
        <f t="shared" si="1863"/>
        <v>0</v>
      </c>
      <c r="DH735" s="269">
        <f>'Detailed Budget'!$AC$153</f>
        <v>226428026880.00003</v>
      </c>
      <c r="DI735" s="269"/>
      <c r="DJ735" s="269">
        <f>'Detailed Budget'!$AC$156</f>
        <v>27713070000</v>
      </c>
      <c r="DK735" s="269"/>
      <c r="DL735" s="269"/>
      <c r="DM735" s="196">
        <f>'Detailed Budget'!$AC$178</f>
        <v>5622683761.6229038</v>
      </c>
      <c r="DN735" s="269">
        <f t="shared" si="1959"/>
        <v>0</v>
      </c>
      <c r="DO735" s="196">
        <f>'Detailed Budget'!$AC$179</f>
        <v>26827890683.128094</v>
      </c>
      <c r="DP735" s="269">
        <f t="shared" si="1960"/>
        <v>0</v>
      </c>
      <c r="DQ735" s="269">
        <f t="shared" si="1862"/>
        <v>0</v>
      </c>
      <c r="DR735" s="269">
        <f>'Detailed Budget'!$AC$181</f>
        <v>50888946855.375237</v>
      </c>
      <c r="DS735" s="269">
        <f t="shared" si="1961"/>
        <v>0</v>
      </c>
      <c r="DT735" s="269">
        <f t="shared" si="1962"/>
        <v>0</v>
      </c>
      <c r="DU735" s="272">
        <f>'Detailed Budget'!$AC$192</f>
        <v>77498869683.252869</v>
      </c>
      <c r="DV735" s="269">
        <f t="shared" si="1929"/>
        <v>725997489.4131794</v>
      </c>
      <c r="DW735" s="140">
        <f>'Detailed Budget'!$AC$194</f>
        <v>2684962805.4134097</v>
      </c>
      <c r="DX735" s="269">
        <f t="shared" si="1930"/>
        <v>25152318.528835673</v>
      </c>
      <c r="DY735" s="607">
        <f t="shared" si="1800"/>
        <v>751149807.94201505</v>
      </c>
      <c r="DZ735" s="196">
        <f>'Detailed Budget'!$AC$198</f>
        <v>18732540018.380611</v>
      </c>
      <c r="EA735" s="269">
        <f t="shared" si="1931"/>
        <v>167859938.6742304</v>
      </c>
      <c r="EB735" s="196">
        <f>'Detailed Budget'!$AC$200</f>
        <v>4683135004.5951529</v>
      </c>
      <c r="EC735" s="269">
        <f t="shared" si="1932"/>
        <v>41964984.668557599</v>
      </c>
      <c r="ED735" s="269">
        <f t="shared" si="1801"/>
        <v>209824923.34278798</v>
      </c>
      <c r="EE735" s="196">
        <f>'Detailed Budget'!$AC$161</f>
        <v>251147290106.36197</v>
      </c>
      <c r="EF735" s="269">
        <f t="shared" si="1933"/>
        <v>2352709179.3126292</v>
      </c>
      <c r="EG735" s="196">
        <f>'Detailed Budget'!$AC$163</f>
        <v>15696705631.647623</v>
      </c>
      <c r="EH735" s="269">
        <f t="shared" si="1934"/>
        <v>147044323.70703933</v>
      </c>
      <c r="EI735" s="269">
        <f t="shared" si="1802"/>
        <v>2499753503.0196686</v>
      </c>
      <c r="EJ735" s="196">
        <f>'Detailed Budget'!$AC$204</f>
        <v>45012172507.531975</v>
      </c>
      <c r="EK735" s="269">
        <f t="shared" si="1935"/>
        <v>72916536.365999654</v>
      </c>
      <c r="EL735" s="201">
        <f>'Detailed Budget'!$AC$206</f>
        <v>11253043126.882994</v>
      </c>
      <c r="EM735" s="269">
        <f t="shared" si="1936"/>
        <v>18229134.091499913</v>
      </c>
      <c r="EN735" s="269">
        <f t="shared" si="1803"/>
        <v>91145670.457499564</v>
      </c>
      <c r="EO735" s="140">
        <f>'Detailed Budget'!$AC$209</f>
        <v>135789361677.54817</v>
      </c>
      <c r="EP735" s="269">
        <f t="shared" si="1937"/>
        <v>1300082081.5902994</v>
      </c>
      <c r="EQ735" s="196">
        <f>'Detailed Budget'!$AC$211</f>
        <v>33947340419.387043</v>
      </c>
      <c r="ER735" s="269">
        <f t="shared" si="1938"/>
        <v>325020520.39757484</v>
      </c>
      <c r="ES735" s="269">
        <f t="shared" si="1804"/>
        <v>1625102601.9878743</v>
      </c>
      <c r="ET735" s="196">
        <f>'Detailed Budget'!$AC$214</f>
        <v>22239745544.201103</v>
      </c>
      <c r="EU735" s="269">
        <f t="shared" si="1939"/>
        <v>206790419.33620897</v>
      </c>
      <c r="EV735" s="140">
        <f>'Detailed Budget'!$AC$217</f>
        <v>5559936386.0502758</v>
      </c>
      <c r="EW735" s="269">
        <f t="shared" si="1940"/>
        <v>51697604.834052242</v>
      </c>
      <c r="EX735" s="269">
        <f t="shared" si="1805"/>
        <v>258488024.1702612</v>
      </c>
      <c r="EY735" s="196">
        <f>'Detailed Budget'!$AC$219</f>
        <v>372777004.58170313</v>
      </c>
      <c r="EZ735" s="269">
        <f t="shared" si="1941"/>
        <v>3628651.4360961374</v>
      </c>
      <c r="FA735" s="196">
        <f>'Detailed Budget'!$AC$222</f>
        <v>93194251.145425782</v>
      </c>
      <c r="FB735" s="269">
        <f t="shared" si="1942"/>
        <v>907162.85902403435</v>
      </c>
      <c r="FC735" s="269">
        <f t="shared" si="1806"/>
        <v>4535814.2951201722</v>
      </c>
      <c r="FD735" s="269"/>
      <c r="FE735" s="269">
        <f t="shared" si="1807"/>
        <v>1979272110.9107552</v>
      </c>
      <c r="FF735" s="140">
        <f>'Detailed Budget'!$AC$165</f>
        <v>14927760000</v>
      </c>
      <c r="FG735" s="1087">
        <f t="shared" si="1864"/>
        <v>2699858174.9302735</v>
      </c>
      <c r="FH735" s="269">
        <f t="shared" si="1943"/>
        <v>18657579.820474949</v>
      </c>
      <c r="FJ735" s="140">
        <f>'Detailed Budget'!$AC$235</f>
        <v>3623696172</v>
      </c>
      <c r="FK735" s="269">
        <f t="shared" si="1944"/>
        <v>4681778</v>
      </c>
      <c r="FL735" s="269">
        <f t="shared" si="1865"/>
        <v>4681778</v>
      </c>
      <c r="FO735" s="607"/>
      <c r="FP735" s="607"/>
      <c r="FQ735" s="607"/>
      <c r="FR735" s="269">
        <f>'Detailed Budget'!$AC$257</f>
        <v>13636439388</v>
      </c>
      <c r="FS735" s="269">
        <f t="shared" si="1945"/>
        <v>19986720</v>
      </c>
      <c r="FT735" s="269">
        <f t="shared" si="1866"/>
        <v>19986720</v>
      </c>
      <c r="FU735" s="269"/>
      <c r="FV735" s="269"/>
      <c r="FW735" s="269"/>
      <c r="FX735" s="140">
        <f>'Detailed Budget'!$AC$278</f>
        <v>1114560000</v>
      </c>
      <c r="FY735" s="269">
        <f t="shared" si="1946"/>
        <v>1440000</v>
      </c>
      <c r="FZ735" s="269">
        <f t="shared" si="1867"/>
        <v>1440000</v>
      </c>
      <c r="GB735" s="269">
        <f t="shared" si="1899"/>
        <v>9355093247.4968872</v>
      </c>
      <c r="GC735" s="887">
        <f t="shared" si="1808"/>
        <v>5846933.2796855541</v>
      </c>
      <c r="GD735" s="1078">
        <f t="shared" si="1900"/>
        <v>5.2494374046649535E-3</v>
      </c>
    </row>
    <row r="736" spans="1:186" hidden="1" outlineLevel="1">
      <c r="A736" s="211" t="s">
        <v>1557</v>
      </c>
      <c r="B736" s="212" t="s">
        <v>1558</v>
      </c>
      <c r="C736" s="213" t="s">
        <v>215</v>
      </c>
      <c r="D736" s="214"/>
      <c r="E736" s="213"/>
      <c r="F736" s="213"/>
      <c r="G736" s="213" t="s">
        <v>215</v>
      </c>
      <c r="H736" s="213" t="s">
        <v>215</v>
      </c>
      <c r="I736" s="214" t="s">
        <v>215</v>
      </c>
      <c r="J736" s="214"/>
      <c r="K736" s="213"/>
      <c r="L736" s="213"/>
      <c r="M736" s="214"/>
      <c r="N736" s="213" t="s">
        <v>215</v>
      </c>
      <c r="O736" s="214"/>
      <c r="P736" s="213"/>
      <c r="Q736" s="214" t="s">
        <v>215</v>
      </c>
      <c r="R736" s="214"/>
      <c r="S736" s="214"/>
      <c r="T736" s="214"/>
      <c r="U736" s="215">
        <f t="shared" si="1905"/>
        <v>6</v>
      </c>
      <c r="V736" s="845" t="s">
        <v>1073</v>
      </c>
      <c r="W736" s="216">
        <v>328975</v>
      </c>
      <c r="X736" s="217">
        <v>3.24</v>
      </c>
      <c r="Y736" s="218">
        <f t="shared" si="1785"/>
        <v>1.0324</v>
      </c>
      <c r="Z736" s="196">
        <v>19</v>
      </c>
      <c r="AA736" s="218">
        <f t="shared" si="1786"/>
        <v>1.8327866870051304</v>
      </c>
      <c r="AB736" s="196">
        <f t="shared" si="1902"/>
        <v>602941.00035751273</v>
      </c>
      <c r="AC736">
        <v>12.6</v>
      </c>
      <c r="AD736" s="196">
        <f t="shared" si="1903"/>
        <v>75970.566045046595</v>
      </c>
      <c r="AE736" s="196">
        <f t="shared" si="1787"/>
        <v>72172.037742794259</v>
      </c>
      <c r="AF736" s="196">
        <f t="shared" si="1947"/>
        <v>0</v>
      </c>
      <c r="AG736" s="606">
        <f t="shared" si="1811"/>
        <v>3.3369181840443712E-3</v>
      </c>
      <c r="AH736" s="196">
        <f t="shared" si="1963"/>
        <v>30147.050017875637</v>
      </c>
      <c r="AI736" s="248">
        <f t="shared" si="1790"/>
        <v>2.3354462876424703E-3</v>
      </c>
      <c r="AJ736" s="196">
        <f t="shared" si="1791"/>
        <v>106117.61606292223</v>
      </c>
      <c r="AK736" s="196">
        <f t="shared" si="1858"/>
        <v>24117.640014300508</v>
      </c>
      <c r="AL736" s="196">
        <f t="shared" si="1859"/>
        <v>24117.640014300508</v>
      </c>
      <c r="AM736" s="196">
        <f t="shared" si="1792"/>
        <v>48235.280028601017</v>
      </c>
      <c r="AN736" s="627">
        <f t="shared" si="1793"/>
        <v>2.3354462876424703E-3</v>
      </c>
      <c r="AO736" s="196">
        <f t="shared" si="1794"/>
        <v>22911.758013585484</v>
      </c>
      <c r="AP736" s="589">
        <f t="shared" si="1812"/>
        <v>2.3354462876424703E-3</v>
      </c>
      <c r="AQ736" s="196"/>
      <c r="AR736" s="589"/>
      <c r="AS736">
        <v>1</v>
      </c>
      <c r="AT736" s="589">
        <f t="shared" si="1813"/>
        <v>1.2919896640826874E-3</v>
      </c>
      <c r="AU736" s="196">
        <v>11</v>
      </c>
      <c r="AV736" s="245">
        <f t="shared" si="1795"/>
        <v>1.2498579706851495E-3</v>
      </c>
      <c r="AX736" s="245"/>
      <c r="AY736" s="245"/>
      <c r="AZ736" s="196">
        <v>13</v>
      </c>
      <c r="BA736" s="589">
        <f t="shared" si="1871"/>
        <v>4.7634751383239895E-4</v>
      </c>
      <c r="BI736" s="196">
        <v>0</v>
      </c>
      <c r="BK736" s="246">
        <f t="shared" si="1872"/>
        <v>0</v>
      </c>
      <c r="BL736" s="246"/>
      <c r="BM736" s="246">
        <f t="shared" si="1873"/>
        <v>0</v>
      </c>
      <c r="BN736" s="196">
        <v>1</v>
      </c>
      <c r="BO736" s="196">
        <f t="shared" si="1948"/>
        <v>34831.960125428726</v>
      </c>
      <c r="BP736" s="196">
        <f t="shared" si="1796"/>
        <v>34831.960125428726</v>
      </c>
      <c r="BQ736" s="248">
        <f t="shared" si="1874"/>
        <v>3.2583676660735013E-3</v>
      </c>
      <c r="BR736" s="248"/>
      <c r="BS736" s="248"/>
      <c r="BT736" s="276">
        <v>0</v>
      </c>
      <c r="BU736" s="196">
        <f t="shared" si="1949"/>
        <v>0</v>
      </c>
      <c r="BV736" s="264">
        <f t="shared" si="1875"/>
        <v>0</v>
      </c>
      <c r="BW736" s="196">
        <f t="shared" si="1950"/>
        <v>0</v>
      </c>
      <c r="BX736" s="247">
        <f t="shared" si="1876"/>
        <v>0</v>
      </c>
      <c r="BY736" s="196">
        <f t="shared" si="1951"/>
        <v>0</v>
      </c>
      <c r="BZ736" s="620">
        <v>1</v>
      </c>
      <c r="CA736" s="196">
        <f t="shared" si="1952"/>
        <v>184499.94610939888</v>
      </c>
      <c r="CB736" s="196">
        <f t="shared" si="1953"/>
        <v>368999.89221879776</v>
      </c>
      <c r="CC736" s="196">
        <f t="shared" si="1809"/>
        <v>553499.83832819667</v>
      </c>
      <c r="CD736" s="247">
        <f t="shared" si="1797"/>
        <v>2.3354462876424703E-3</v>
      </c>
      <c r="CE736" s="196">
        <f t="shared" si="1954"/>
        <v>51732.874233856317</v>
      </c>
      <c r="CF736" s="247">
        <f t="shared" si="1798"/>
        <v>2.2339863958459366E-3</v>
      </c>
      <c r="CG736" s="196">
        <f t="shared" si="1924"/>
        <v>91647.032054341937</v>
      </c>
      <c r="CH736" s="589">
        <f t="shared" si="1814"/>
        <v>2.3354462876424703E-3</v>
      </c>
      <c r="CI736" s="196">
        <f t="shared" si="1955"/>
        <v>24565.434107709902</v>
      </c>
      <c r="CJ736" s="248">
        <f t="shared" si="1815"/>
        <v>4.0385567437543467E-4</v>
      </c>
      <c r="CK736" s="196">
        <f t="shared" si="1956"/>
        <v>166043.19875635678</v>
      </c>
      <c r="CL736" s="589">
        <f t="shared" si="1816"/>
        <v>2.3869051357514898E-3</v>
      </c>
      <c r="CM736" s="196">
        <f t="shared" si="1957"/>
        <v>16085.423599168227</v>
      </c>
      <c r="CN736" s="589">
        <f t="shared" si="1817"/>
        <v>2.3180923458661551E-3</v>
      </c>
      <c r="CO736" s="196">
        <f t="shared" si="1958"/>
        <v>1286.826668507003</v>
      </c>
      <c r="CP736" s="589">
        <f t="shared" si="1818"/>
        <v>2.4267568890085408E-3</v>
      </c>
      <c r="CQ736" s="196">
        <f>'Detailed Budget'!$AC$12</f>
        <v>292876014141.44696</v>
      </c>
      <c r="CR736" s="269">
        <f t="shared" si="1861"/>
        <v>0</v>
      </c>
      <c r="CS736" s="269">
        <f>'Detailed Budget'!$AC$16</f>
        <v>10488008800.000002</v>
      </c>
      <c r="CT736" s="607">
        <f t="shared" si="1926"/>
        <v>0</v>
      </c>
      <c r="CU736" s="269">
        <f>'Detailed Budget'!$AC$24</f>
        <v>30624985696</v>
      </c>
      <c r="CV736" s="269">
        <f t="shared" si="1868"/>
        <v>0</v>
      </c>
      <c r="CW736" s="269"/>
      <c r="CX736" s="269">
        <f t="shared" si="1810"/>
        <v>0</v>
      </c>
      <c r="CY736" s="196">
        <f>'Detailed Budget'!$AC$97</f>
        <v>74629165494.837845</v>
      </c>
      <c r="CZ736" s="269">
        <f t="shared" si="1927"/>
        <v>243169259.79442787</v>
      </c>
      <c r="DA736" s="269">
        <f>'Detailed Budget'!$AC$100</f>
        <v>14925833098.967569</v>
      </c>
      <c r="DB736" s="269">
        <f t="shared" si="1928"/>
        <v>48633851.958885573</v>
      </c>
      <c r="DC736" s="269">
        <f t="shared" si="1799"/>
        <v>291803111.75331342</v>
      </c>
      <c r="DD736" s="207">
        <v>0</v>
      </c>
      <c r="DE736" s="606">
        <v>0</v>
      </c>
      <c r="DF736" s="269">
        <f>'Detailed Budget'!$AC$147</f>
        <v>5913600671000</v>
      </c>
      <c r="DG736" s="269">
        <f t="shared" si="1863"/>
        <v>0</v>
      </c>
      <c r="DH736" s="269">
        <f>'Detailed Budget'!$AC$153</f>
        <v>226428026880.00003</v>
      </c>
      <c r="DI736" s="269"/>
      <c r="DJ736" s="269">
        <f>'Detailed Budget'!$AC$156</f>
        <v>27713070000</v>
      </c>
      <c r="DK736" s="269"/>
      <c r="DL736" s="269"/>
      <c r="DM736" s="196">
        <f>'Detailed Budget'!$AC$178</f>
        <v>5622683761.6229038</v>
      </c>
      <c r="DN736" s="269">
        <f t="shared" si="1959"/>
        <v>0</v>
      </c>
      <c r="DO736" s="196">
        <f>'Detailed Budget'!$AC$179</f>
        <v>26827890683.128094</v>
      </c>
      <c r="DP736" s="269">
        <f t="shared" si="1960"/>
        <v>0</v>
      </c>
      <c r="DQ736" s="269">
        <f t="shared" si="1862"/>
        <v>0</v>
      </c>
      <c r="DR736" s="269">
        <f>'Detailed Budget'!$AC$181</f>
        <v>50888946855.375237</v>
      </c>
      <c r="DS736" s="269">
        <f t="shared" si="1961"/>
        <v>0</v>
      </c>
      <c r="DT736" s="269">
        <f t="shared" si="1962"/>
        <v>0</v>
      </c>
      <c r="DU736" s="272">
        <f>'Detailed Budget'!$AC$192</f>
        <v>77498869683.252869</v>
      </c>
      <c r="DV736" s="269">
        <f t="shared" si="1929"/>
        <v>180994447.4982405</v>
      </c>
      <c r="DW736" s="140">
        <f>'Detailed Budget'!$AC$194</f>
        <v>2684962805.4134097</v>
      </c>
      <c r="DX736" s="269">
        <f t="shared" si="1930"/>
        <v>6270586.4163608598</v>
      </c>
      <c r="DY736" s="607">
        <f t="shared" si="1800"/>
        <v>187265033.91460136</v>
      </c>
      <c r="DZ736" s="196">
        <f>'Detailed Budget'!$AC$198</f>
        <v>18732540018.380611</v>
      </c>
      <c r="EA736" s="269">
        <f t="shared" si="1931"/>
        <v>41848239.560701877</v>
      </c>
      <c r="EB736" s="196">
        <f>'Detailed Budget'!$AC$200</f>
        <v>4683135004.5951529</v>
      </c>
      <c r="EC736" s="269">
        <f t="shared" si="1932"/>
        <v>10462059.890175469</v>
      </c>
      <c r="ED736" s="269">
        <f t="shared" si="1801"/>
        <v>52310299.450877346</v>
      </c>
      <c r="EE736" s="196">
        <f>'Detailed Budget'!$AC$161</f>
        <v>251147290106.36197</v>
      </c>
      <c r="EF736" s="269">
        <f t="shared" si="1933"/>
        <v>586541006.33036959</v>
      </c>
      <c r="EG736" s="196">
        <f>'Detailed Budget'!$AC$163</f>
        <v>15696705631.647623</v>
      </c>
      <c r="EH736" s="269">
        <f t="shared" si="1934"/>
        <v>36658812.895648099</v>
      </c>
      <c r="EI736" s="269">
        <f t="shared" si="1802"/>
        <v>623199819.22601771</v>
      </c>
      <c r="EJ736" s="196">
        <f>'Detailed Budget'!$AC$204</f>
        <v>45012172507.531975</v>
      </c>
      <c r="EK736" s="269">
        <f t="shared" si="1935"/>
        <v>18178421.283132724</v>
      </c>
      <c r="EL736" s="201">
        <f>'Detailed Budget'!$AC$206</f>
        <v>11253043126.882994</v>
      </c>
      <c r="EM736" s="269">
        <f t="shared" si="1936"/>
        <v>4544605.3207831811</v>
      </c>
      <c r="EN736" s="269">
        <f t="shared" si="1803"/>
        <v>22723026.603915907</v>
      </c>
      <c r="EO736" s="140">
        <f>'Detailed Budget'!$AC$209</f>
        <v>135789361677.54817</v>
      </c>
      <c r="EP736" s="269">
        <f t="shared" si="1937"/>
        <v>324116324.7685563</v>
      </c>
      <c r="EQ736" s="196">
        <f>'Detailed Budget'!$AC$211</f>
        <v>33947340419.387043</v>
      </c>
      <c r="ER736" s="269">
        <f t="shared" si="1938"/>
        <v>81029081.192139074</v>
      </c>
      <c r="ES736" s="269">
        <f t="shared" si="1804"/>
        <v>405145405.96069539</v>
      </c>
      <c r="ET736" s="196">
        <f>'Detailed Budget'!$AC$214</f>
        <v>22239745544.201103</v>
      </c>
      <c r="EU736" s="269">
        <f t="shared" si="1939"/>
        <v>51553783.920023501</v>
      </c>
      <c r="EV736" s="140">
        <f>'Detailed Budget'!$AC$217</f>
        <v>5559936386.0502758</v>
      </c>
      <c r="EW736" s="269">
        <f t="shared" si="1940"/>
        <v>12888445.980005875</v>
      </c>
      <c r="EX736" s="269">
        <f t="shared" si="1805"/>
        <v>64442229.900029376</v>
      </c>
      <c r="EY736" s="196">
        <f>'Detailed Budget'!$AC$219</f>
        <v>372777004.58170313</v>
      </c>
      <c r="EZ736" s="269">
        <f t="shared" si="1941"/>
        <v>904639.16393261647</v>
      </c>
      <c r="FA736" s="196">
        <f>'Detailed Budget'!$AC$222</f>
        <v>93194251.145425782</v>
      </c>
      <c r="FB736" s="269">
        <f t="shared" si="1942"/>
        <v>226159.79098315412</v>
      </c>
      <c r="FC736" s="269">
        <f t="shared" si="1806"/>
        <v>1130798.9549157706</v>
      </c>
      <c r="FD736" s="269"/>
      <c r="FE736" s="269">
        <f t="shared" si="1807"/>
        <v>493441461.41955644</v>
      </c>
      <c r="FF736" s="140">
        <f>'Detailed Budget'!$AC$165</f>
        <v>14927760000</v>
      </c>
      <c r="FG736" s="1087">
        <f t="shared" si="1864"/>
        <v>673086816.16804731</v>
      </c>
      <c r="FH736" s="269">
        <f t="shared" si="1943"/>
        <v>18657579.820474949</v>
      </c>
      <c r="FJ736" s="140">
        <f>'Detailed Budget'!$AC$235</f>
        <v>3623696172</v>
      </c>
      <c r="FK736" s="269">
        <f t="shared" si="1944"/>
        <v>4681778</v>
      </c>
      <c r="FL736" s="269">
        <f t="shared" si="1865"/>
        <v>4681778</v>
      </c>
      <c r="FO736" s="607"/>
      <c r="FP736" s="607"/>
      <c r="FQ736" s="607"/>
      <c r="FR736" s="269">
        <f>'Detailed Budget'!$AC$257</f>
        <v>13636439388</v>
      </c>
      <c r="FS736" s="269">
        <f t="shared" si="1945"/>
        <v>6495684</v>
      </c>
      <c r="FT736" s="269">
        <f t="shared" si="1866"/>
        <v>6495684</v>
      </c>
      <c r="FU736" s="269"/>
      <c r="FV736" s="269"/>
      <c r="FW736" s="269"/>
      <c r="FX736" s="140">
        <f>'Detailed Budget'!$AC$278</f>
        <v>1114560000</v>
      </c>
      <c r="FY736" s="269">
        <f t="shared" si="1946"/>
        <v>1440000</v>
      </c>
      <c r="FZ736" s="269">
        <f t="shared" si="1867"/>
        <v>1440000</v>
      </c>
      <c r="GB736" s="269">
        <f t="shared" si="1899"/>
        <v>2352381583.7528887</v>
      </c>
      <c r="GC736" s="887">
        <f t="shared" si="1808"/>
        <v>1470238.4898455555</v>
      </c>
      <c r="GD736" s="1078">
        <f t="shared" si="1900"/>
        <v>1.3199953810296326E-3</v>
      </c>
    </row>
    <row r="737" spans="1:186" hidden="1" outlineLevel="1">
      <c r="A737" s="211" t="s">
        <v>1559</v>
      </c>
      <c r="B737" s="212" t="s">
        <v>1560</v>
      </c>
      <c r="C737" s="213" t="s">
        <v>215</v>
      </c>
      <c r="D737" s="214"/>
      <c r="E737" s="213"/>
      <c r="F737" s="213"/>
      <c r="G737" s="213"/>
      <c r="H737" s="213" t="s">
        <v>215</v>
      </c>
      <c r="I737" s="214" t="s">
        <v>215</v>
      </c>
      <c r="J737" s="214"/>
      <c r="K737" s="213"/>
      <c r="L737" s="213"/>
      <c r="M737" s="214"/>
      <c r="N737" s="213" t="s">
        <v>215</v>
      </c>
      <c r="O737" s="214"/>
      <c r="P737" s="213"/>
      <c r="Q737" s="214" t="s">
        <v>215</v>
      </c>
      <c r="R737" s="214"/>
      <c r="S737" s="214"/>
      <c r="T737" s="214"/>
      <c r="U737" s="215">
        <f t="shared" si="1905"/>
        <v>5</v>
      </c>
      <c r="V737" s="845" t="s">
        <v>1127</v>
      </c>
      <c r="W737" s="216">
        <v>222986</v>
      </c>
      <c r="X737" s="217">
        <v>3.24</v>
      </c>
      <c r="Y737" s="218">
        <f t="shared" si="1785"/>
        <v>1.0324</v>
      </c>
      <c r="Z737" s="196">
        <v>19</v>
      </c>
      <c r="AA737" s="218">
        <f t="shared" si="1786"/>
        <v>1.8327866870051304</v>
      </c>
      <c r="AB737" s="196">
        <f t="shared" si="1902"/>
        <v>408685.772188526</v>
      </c>
      <c r="AC737">
        <v>12.6</v>
      </c>
      <c r="AD737" s="196">
        <f t="shared" si="1903"/>
        <v>51494.407295754274</v>
      </c>
      <c r="AE737" s="196">
        <f t="shared" si="1787"/>
        <v>48919.686930966556</v>
      </c>
      <c r="AF737" s="196">
        <f t="shared" si="1947"/>
        <v>0</v>
      </c>
      <c r="AG737" s="606">
        <f t="shared" si="1811"/>
        <v>2.2618315622382193E-3</v>
      </c>
      <c r="AH737" s="196">
        <f t="shared" si="1963"/>
        <v>20434.288609426301</v>
      </c>
      <c r="AI737" s="248">
        <f t="shared" si="1790"/>
        <v>1.583013377600863E-3</v>
      </c>
      <c r="AJ737" s="196">
        <f t="shared" si="1791"/>
        <v>71928.695905180575</v>
      </c>
      <c r="AK737" s="196">
        <f t="shared" si="1858"/>
        <v>16347.430887541041</v>
      </c>
      <c r="AL737" s="196">
        <f t="shared" si="1859"/>
        <v>16347.430887541041</v>
      </c>
      <c r="AM737" s="196">
        <f t="shared" si="1792"/>
        <v>32694.861775082081</v>
      </c>
      <c r="AN737" s="627">
        <f t="shared" si="1793"/>
        <v>1.583013377600863E-3</v>
      </c>
      <c r="AO737" s="196">
        <f t="shared" si="1794"/>
        <v>15530.059343163988</v>
      </c>
      <c r="AP737" s="589">
        <f t="shared" si="1812"/>
        <v>1.583013377600863E-3</v>
      </c>
      <c r="AQ737" s="196"/>
      <c r="AR737" s="589"/>
      <c r="AS737">
        <v>1</v>
      </c>
      <c r="AT737" s="589">
        <f t="shared" si="1813"/>
        <v>1.2919896640826874E-3</v>
      </c>
      <c r="AU737" s="196">
        <v>10</v>
      </c>
      <c r="AV737" s="245">
        <f t="shared" si="1795"/>
        <v>1.1362345188046814E-3</v>
      </c>
      <c r="AX737" s="245"/>
      <c r="AY737" s="245"/>
      <c r="AZ737" s="196">
        <v>10</v>
      </c>
      <c r="BA737" s="589">
        <f t="shared" si="1871"/>
        <v>3.6642116448646071E-4</v>
      </c>
      <c r="BI737" s="196">
        <v>0</v>
      </c>
      <c r="BK737" s="246">
        <f t="shared" si="1872"/>
        <v>0</v>
      </c>
      <c r="BL737" s="246"/>
      <c r="BM737" s="246">
        <f t="shared" si="1873"/>
        <v>0</v>
      </c>
      <c r="BN737" s="196">
        <v>1</v>
      </c>
      <c r="BO737" s="196">
        <f t="shared" si="1948"/>
        <v>23609.816735401935</v>
      </c>
      <c r="BP737" s="196">
        <f t="shared" si="1796"/>
        <v>23609.816735401935</v>
      </c>
      <c r="BQ737" s="248">
        <f t="shared" si="1874"/>
        <v>2.2085884106301874E-3</v>
      </c>
      <c r="BR737" s="248"/>
      <c r="BS737" s="248"/>
      <c r="BT737" s="276">
        <v>0</v>
      </c>
      <c r="BU737" s="196">
        <f t="shared" si="1949"/>
        <v>0</v>
      </c>
      <c r="BV737" s="264">
        <f t="shared" si="1875"/>
        <v>0</v>
      </c>
      <c r="BW737" s="196">
        <f t="shared" si="1950"/>
        <v>0</v>
      </c>
      <c r="BX737" s="247">
        <f t="shared" si="1876"/>
        <v>0</v>
      </c>
      <c r="BY737" s="196">
        <f t="shared" si="1951"/>
        <v>0</v>
      </c>
      <c r="BZ737" s="620">
        <v>0</v>
      </c>
      <c r="CA737" s="196">
        <f t="shared" si="1952"/>
        <v>125057.84628968895</v>
      </c>
      <c r="CB737" s="196">
        <f t="shared" si="1953"/>
        <v>250115.69257937791</v>
      </c>
      <c r="CC737" s="196">
        <f t="shared" si="1809"/>
        <v>375173.53886906686</v>
      </c>
      <c r="CD737" s="247">
        <f t="shared" si="1797"/>
        <v>1.583013377600863E-3</v>
      </c>
      <c r="CE737" s="196">
        <f t="shared" si="1954"/>
        <v>35065.60283885002</v>
      </c>
      <c r="CF737" s="247">
        <f t="shared" si="1798"/>
        <v>1.5142417827011235E-3</v>
      </c>
      <c r="CG737" s="196">
        <f t="shared" si="1924"/>
        <v>62120.237372655953</v>
      </c>
      <c r="CH737" s="589">
        <f t="shared" si="1814"/>
        <v>1.583013377600863E-3</v>
      </c>
      <c r="CI737" s="196">
        <f t="shared" si="1955"/>
        <v>16650.954905211034</v>
      </c>
      <c r="CJ737" s="248">
        <f t="shared" si="1815"/>
        <v>2.7374165637595764E-4</v>
      </c>
      <c r="CK737" s="196">
        <f t="shared" si="1956"/>
        <v>112547.48451367118</v>
      </c>
      <c r="CL737" s="589">
        <f t="shared" si="1816"/>
        <v>1.6178932399139199E-3</v>
      </c>
      <c r="CM737" s="196">
        <f t="shared" si="1957"/>
        <v>10903.029916206784</v>
      </c>
      <c r="CN737" s="589">
        <f t="shared" si="1817"/>
        <v>1.5712505200556593E-3</v>
      </c>
      <c r="CO737" s="196">
        <f t="shared" si="1958"/>
        <v>872.23749982127083</v>
      </c>
      <c r="CP737" s="589">
        <f t="shared" si="1818"/>
        <v>1.6449055753551441E-3</v>
      </c>
      <c r="CQ737" s="196">
        <f>'Detailed Budget'!$AC$12</f>
        <v>292876014141.44696</v>
      </c>
      <c r="CR737" s="269">
        <f t="shared" si="1861"/>
        <v>0</v>
      </c>
      <c r="CS737" s="269">
        <f>'Detailed Budget'!$AC$16</f>
        <v>10488008800.000002</v>
      </c>
      <c r="CT737" s="607">
        <f t="shared" si="1926"/>
        <v>0</v>
      </c>
      <c r="CU737" s="269">
        <f>'Detailed Budget'!$AC$24</f>
        <v>30624985696</v>
      </c>
      <c r="CV737" s="269">
        <f t="shared" si="1868"/>
        <v>0</v>
      </c>
      <c r="CW737" s="269"/>
      <c r="CX737" s="269">
        <f t="shared" si="1810"/>
        <v>0</v>
      </c>
      <c r="CY737" s="196">
        <f>'Detailed Budget'!$AC$97</f>
        <v>74629165494.837845</v>
      </c>
      <c r="CZ737" s="269">
        <f t="shared" si="1927"/>
        <v>164825110.00690114</v>
      </c>
      <c r="DA737" s="269">
        <f>'Detailed Budget'!$AC$100</f>
        <v>14925833098.967569</v>
      </c>
      <c r="DB737" s="269">
        <f t="shared" si="1928"/>
        <v>32965022.001380228</v>
      </c>
      <c r="DC737" s="269">
        <f t="shared" si="1799"/>
        <v>197790132.00828138</v>
      </c>
      <c r="DD737" s="207">
        <v>0</v>
      </c>
      <c r="DE737" s="606">
        <v>0</v>
      </c>
      <c r="DF737" s="269">
        <f>'Detailed Budget'!$AC$147</f>
        <v>5913600671000</v>
      </c>
      <c r="DG737" s="269">
        <f t="shared" si="1863"/>
        <v>0</v>
      </c>
      <c r="DH737" s="269">
        <f>'Detailed Budget'!$AC$153</f>
        <v>226428026880.00003</v>
      </c>
      <c r="DI737" s="269"/>
      <c r="DJ737" s="269">
        <f>'Detailed Budget'!$AC$156</f>
        <v>27713070000</v>
      </c>
      <c r="DK737" s="269"/>
      <c r="DL737" s="269"/>
      <c r="DM737" s="196">
        <f>'Detailed Budget'!$AC$178</f>
        <v>5622683761.6229038</v>
      </c>
      <c r="DN737" s="269">
        <f t="shared" si="1959"/>
        <v>0</v>
      </c>
      <c r="DO737" s="196">
        <f>'Detailed Budget'!$AC$179</f>
        <v>26827890683.128094</v>
      </c>
      <c r="DP737" s="269">
        <f t="shared" si="1960"/>
        <v>0</v>
      </c>
      <c r="DQ737" s="269">
        <f t="shared" si="1862"/>
        <v>0</v>
      </c>
      <c r="DR737" s="269">
        <f>'Detailed Budget'!$AC$181</f>
        <v>50888946855.375237</v>
      </c>
      <c r="DS737" s="269">
        <f t="shared" si="1961"/>
        <v>0</v>
      </c>
      <c r="DT737" s="269">
        <f t="shared" si="1962"/>
        <v>0</v>
      </c>
      <c r="DU737" s="272">
        <f>'Detailed Budget'!$AC$192</f>
        <v>77498869683.252869</v>
      </c>
      <c r="DV737" s="269">
        <f t="shared" si="1929"/>
        <v>0</v>
      </c>
      <c r="DW737" s="140">
        <f>'Detailed Budget'!$AC$194</f>
        <v>2684962805.4134097</v>
      </c>
      <c r="DX737" s="269">
        <f t="shared" si="1930"/>
        <v>0</v>
      </c>
      <c r="DY737" s="607">
        <f t="shared" si="1800"/>
        <v>0</v>
      </c>
      <c r="DZ737" s="196">
        <f>'Detailed Budget'!$AC$198</f>
        <v>18732540018.380611</v>
      </c>
      <c r="EA737" s="269">
        <f t="shared" si="1931"/>
        <v>28365594.791952793</v>
      </c>
      <c r="EB737" s="196">
        <f>'Detailed Budget'!$AC$200</f>
        <v>4683135004.5951529</v>
      </c>
      <c r="EC737" s="269">
        <f t="shared" si="1932"/>
        <v>7091398.6979881981</v>
      </c>
      <c r="ED737" s="269">
        <f t="shared" si="1801"/>
        <v>35456993.489940993</v>
      </c>
      <c r="EE737" s="196">
        <f>'Detailed Budget'!$AC$161</f>
        <v>251147290106.36197</v>
      </c>
      <c r="EF737" s="269">
        <f t="shared" si="1933"/>
        <v>397569519.98657584</v>
      </c>
      <c r="EG737" s="196">
        <f>'Detailed Budget'!$AC$163</f>
        <v>15696705631.647623</v>
      </c>
      <c r="EH737" s="269">
        <f t="shared" si="1934"/>
        <v>24848094.99916099</v>
      </c>
      <c r="EI737" s="269">
        <f t="shared" si="1802"/>
        <v>422417614.98573685</v>
      </c>
      <c r="EJ737" s="196">
        <f>'Detailed Budget'!$AC$204</f>
        <v>45012172507.531975</v>
      </c>
      <c r="EK737" s="269">
        <f t="shared" si="1935"/>
        <v>12321706.659292145</v>
      </c>
      <c r="EL737" s="201">
        <f>'Detailed Budget'!$AC$206</f>
        <v>11253043126.882994</v>
      </c>
      <c r="EM737" s="269">
        <f t="shared" si="1936"/>
        <v>3080426.6648230362</v>
      </c>
      <c r="EN737" s="269">
        <f t="shared" si="1803"/>
        <v>15402133.324115181</v>
      </c>
      <c r="EO737" s="140">
        <f>'Detailed Budget'!$AC$209</f>
        <v>135789361677.54817</v>
      </c>
      <c r="EP737" s="269">
        <f t="shared" si="1937"/>
        <v>219692690.31033149</v>
      </c>
      <c r="EQ737" s="196">
        <f>'Detailed Budget'!$AC$211</f>
        <v>33947340419.387043</v>
      </c>
      <c r="ER737" s="269">
        <f t="shared" si="1938"/>
        <v>54923172.577582873</v>
      </c>
      <c r="ES737" s="269">
        <f t="shared" si="1804"/>
        <v>274615862.88791436</v>
      </c>
      <c r="ET737" s="196">
        <f>'Detailed Budget'!$AC$214</f>
        <v>22239745544.201103</v>
      </c>
      <c r="EU737" s="269">
        <f t="shared" si="1939"/>
        <v>34944211.752231516</v>
      </c>
      <c r="EV737" s="140">
        <f>'Detailed Budget'!$AC$217</f>
        <v>5559936386.0502758</v>
      </c>
      <c r="EW737" s="269">
        <f t="shared" si="1940"/>
        <v>8736052.938057879</v>
      </c>
      <c r="EX737" s="269">
        <f t="shared" si="1805"/>
        <v>43680264.690289393</v>
      </c>
      <c r="EY737" s="196">
        <f>'Detailed Budget'!$AC$219</f>
        <v>372777004.58170313</v>
      </c>
      <c r="EZ737" s="269">
        <f t="shared" si="1941"/>
        <v>613182.97320063354</v>
      </c>
      <c r="FA737" s="196">
        <f>'Detailed Budget'!$AC$222</f>
        <v>93194251.145425782</v>
      </c>
      <c r="FB737" s="269">
        <f t="shared" si="1942"/>
        <v>153295.74330015838</v>
      </c>
      <c r="FC737" s="269">
        <f t="shared" si="1806"/>
        <v>766478.71650079195</v>
      </c>
      <c r="FD737" s="269"/>
      <c r="FE737" s="269">
        <f t="shared" si="1807"/>
        <v>334464739.61881971</v>
      </c>
      <c r="FF737" s="140">
        <f>'Detailed Budget'!$AC$165</f>
        <v>14927760000</v>
      </c>
      <c r="FG737" s="1087">
        <f t="shared" si="1864"/>
        <v>456232044.35002118</v>
      </c>
      <c r="FH737" s="269">
        <f t="shared" si="1943"/>
        <v>16961436.200431772</v>
      </c>
      <c r="FJ737" s="140">
        <f>'Detailed Budget'!$AC$235</f>
        <v>3623696172</v>
      </c>
      <c r="FK737" s="269">
        <f t="shared" si="1944"/>
        <v>4681778</v>
      </c>
      <c r="FL737" s="269">
        <f t="shared" si="1865"/>
        <v>4681778</v>
      </c>
      <c r="FO737" s="607"/>
      <c r="FP737" s="607"/>
      <c r="FQ737" s="607"/>
      <c r="FR737" s="269">
        <f>'Detailed Budget'!$AC$257</f>
        <v>13636439388</v>
      </c>
      <c r="FS737" s="269">
        <f t="shared" si="1945"/>
        <v>4996680</v>
      </c>
      <c r="FT737" s="269">
        <f t="shared" si="1866"/>
        <v>4996680</v>
      </c>
      <c r="FU737" s="269"/>
      <c r="FV737" s="269"/>
      <c r="FW737" s="269"/>
      <c r="FX737" s="140">
        <f>'Detailed Budget'!$AC$278</f>
        <v>1114560000</v>
      </c>
      <c r="FY737" s="269">
        <f t="shared" si="1946"/>
        <v>1440000</v>
      </c>
      <c r="FZ737" s="269">
        <f t="shared" si="1867"/>
        <v>1440000</v>
      </c>
      <c r="GB737" s="269">
        <f t="shared" si="1899"/>
        <v>1474441418.6532319</v>
      </c>
      <c r="GC737" s="887">
        <f t="shared" si="1808"/>
        <v>921525.88665826991</v>
      </c>
      <c r="GD737" s="1078">
        <f t="shared" si="1900"/>
        <v>8.2735550884396555E-4</v>
      </c>
    </row>
    <row r="738" spans="1:186" hidden="1" outlineLevel="1">
      <c r="A738" s="211" t="s">
        <v>1561</v>
      </c>
      <c r="B738" s="212" t="s">
        <v>1562</v>
      </c>
      <c r="C738" s="213" t="s">
        <v>215</v>
      </c>
      <c r="D738" s="214"/>
      <c r="E738" s="213"/>
      <c r="F738" s="213"/>
      <c r="G738" s="213" t="s">
        <v>215</v>
      </c>
      <c r="H738" s="213" t="s">
        <v>215</v>
      </c>
      <c r="I738" s="214" t="s">
        <v>215</v>
      </c>
      <c r="J738" s="214"/>
      <c r="K738" s="213"/>
      <c r="L738" s="213"/>
      <c r="M738" s="214"/>
      <c r="N738" s="213"/>
      <c r="O738" s="214" t="s">
        <v>215</v>
      </c>
      <c r="P738" s="213"/>
      <c r="Q738" s="214"/>
      <c r="R738" s="214" t="s">
        <v>215</v>
      </c>
      <c r="S738" s="214"/>
      <c r="T738" s="214"/>
      <c r="U738" s="215">
        <f t="shared" si="1905"/>
        <v>6</v>
      </c>
      <c r="V738" s="845" t="s">
        <v>216</v>
      </c>
      <c r="W738" s="216">
        <v>237731</v>
      </c>
      <c r="X738" s="217">
        <v>3.24</v>
      </c>
      <c r="Y738" s="218">
        <f t="shared" si="1785"/>
        <v>1.0324</v>
      </c>
      <c r="Z738" s="196">
        <v>19</v>
      </c>
      <c r="AA738" s="218">
        <f t="shared" si="1786"/>
        <v>1.8327866870051304</v>
      </c>
      <c r="AB738" s="196">
        <f t="shared" si="1902"/>
        <v>435710.21188841667</v>
      </c>
      <c r="AC738">
        <v>12.6</v>
      </c>
      <c r="AD738" s="196">
        <f t="shared" si="1903"/>
        <v>54899.486697940498</v>
      </c>
      <c r="AE738" s="196">
        <f t="shared" si="1787"/>
        <v>52154.512363043468</v>
      </c>
      <c r="AF738" s="196">
        <f t="shared" si="1947"/>
        <v>0</v>
      </c>
      <c r="AG738" s="606">
        <f t="shared" si="1811"/>
        <v>2.411395689067718E-3</v>
      </c>
      <c r="AH738" s="196">
        <f t="shared" si="1963"/>
        <v>21785.510594420834</v>
      </c>
      <c r="AI738" s="248">
        <f t="shared" si="1790"/>
        <v>1.6876904974771098E-3</v>
      </c>
      <c r="AJ738" s="196">
        <f t="shared" si="1791"/>
        <v>76684.997292361339</v>
      </c>
      <c r="AK738" s="196">
        <f t="shared" si="1858"/>
        <v>17428.408475536668</v>
      </c>
      <c r="AL738" s="196">
        <f t="shared" si="1859"/>
        <v>17428.408475536668</v>
      </c>
      <c r="AM738" s="196">
        <f t="shared" si="1792"/>
        <v>34856.816951073335</v>
      </c>
      <c r="AN738" s="627">
        <f t="shared" si="1793"/>
        <v>1.6876904974771098E-3</v>
      </c>
      <c r="AO738" s="196">
        <f t="shared" si="1794"/>
        <v>16556.988051759832</v>
      </c>
      <c r="AP738" s="589">
        <f t="shared" si="1812"/>
        <v>1.6876904974771096E-3</v>
      </c>
      <c r="AQ738" s="196"/>
      <c r="AR738" s="589"/>
      <c r="AS738">
        <v>1</v>
      </c>
      <c r="AT738" s="589">
        <f t="shared" si="1813"/>
        <v>1.2919896640826874E-3</v>
      </c>
      <c r="AU738" s="196">
        <v>11</v>
      </c>
      <c r="AV738" s="245">
        <f t="shared" si="1795"/>
        <v>1.2498579706851495E-3</v>
      </c>
      <c r="AX738" s="245"/>
      <c r="AY738" s="245"/>
      <c r="AZ738" s="196">
        <v>28</v>
      </c>
      <c r="BA738" s="589">
        <f t="shared" si="1871"/>
        <v>1.0259792605620901E-3</v>
      </c>
      <c r="BI738" s="196">
        <v>0</v>
      </c>
      <c r="BK738" s="246">
        <f t="shared" si="1872"/>
        <v>0</v>
      </c>
      <c r="BL738" s="246"/>
      <c r="BM738" s="246">
        <f t="shared" si="1873"/>
        <v>0</v>
      </c>
      <c r="BN738" s="196">
        <v>1</v>
      </c>
      <c r="BO738" s="196">
        <f t="shared" si="1948"/>
        <v>25171.021240453832</v>
      </c>
      <c r="BP738" s="196">
        <f t="shared" si="1796"/>
        <v>25171.021240453832</v>
      </c>
      <c r="BQ738" s="248">
        <f t="shared" si="1874"/>
        <v>2.354631821941849E-3</v>
      </c>
      <c r="BR738" s="248"/>
      <c r="BS738" s="248"/>
      <c r="BT738" s="276">
        <v>0</v>
      </c>
      <c r="BU738" s="196">
        <f t="shared" si="1949"/>
        <v>0</v>
      </c>
      <c r="BV738" s="264">
        <f t="shared" si="1875"/>
        <v>0</v>
      </c>
      <c r="BW738" s="196">
        <f t="shared" si="1950"/>
        <v>0</v>
      </c>
      <c r="BX738" s="247">
        <f t="shared" si="1876"/>
        <v>0</v>
      </c>
      <c r="BY738" s="196">
        <f t="shared" si="1951"/>
        <v>0</v>
      </c>
      <c r="BZ738" s="620">
        <v>1</v>
      </c>
      <c r="CA738" s="196">
        <f t="shared" si="1952"/>
        <v>133327.3248378555</v>
      </c>
      <c r="CB738" s="196">
        <f t="shared" si="1953"/>
        <v>266654.649675711</v>
      </c>
      <c r="CC738" s="196">
        <f t="shared" si="1809"/>
        <v>399981.97451356647</v>
      </c>
      <c r="CD738" s="247">
        <f t="shared" si="1797"/>
        <v>1.6876904974771096E-3</v>
      </c>
      <c r="CE738" s="196">
        <f t="shared" si="1954"/>
        <v>37384.323807246437</v>
      </c>
      <c r="CF738" s="247">
        <f t="shared" si="1798"/>
        <v>1.6143713652127074E-3</v>
      </c>
      <c r="CG738" s="196">
        <f t="shared" si="1924"/>
        <v>66227.952207039329</v>
      </c>
      <c r="CH738" s="589">
        <f t="shared" si="1814"/>
        <v>1.6876904974771096E-3</v>
      </c>
      <c r="CI738" s="196">
        <f t="shared" si="1955"/>
        <v>17752.003087954959</v>
      </c>
      <c r="CJ738" s="248">
        <f t="shared" si="1815"/>
        <v>2.9184288570543798E-4</v>
      </c>
      <c r="CK738" s="196">
        <f t="shared" si="1956"/>
        <v>119989.71254213074</v>
      </c>
      <c r="CL738" s="589">
        <f t="shared" si="1816"/>
        <v>1.7248767986240217E-3</v>
      </c>
      <c r="CM738" s="196">
        <f t="shared" si="1957"/>
        <v>11623.995250866668</v>
      </c>
      <c r="CN738" s="589">
        <f t="shared" si="1817"/>
        <v>1.6751498182995879E-3</v>
      </c>
      <c r="CO738" s="196">
        <f t="shared" si="1958"/>
        <v>929.91440301189562</v>
      </c>
      <c r="CP738" s="589">
        <f t="shared" si="1818"/>
        <v>1.7536753308941091E-3</v>
      </c>
      <c r="CQ738" s="196">
        <f>'Detailed Budget'!$AC$12</f>
        <v>292876014141.44696</v>
      </c>
      <c r="CR738" s="269">
        <f t="shared" si="1861"/>
        <v>0</v>
      </c>
      <c r="CS738" s="269">
        <f>'Detailed Budget'!$AC$16</f>
        <v>10488008800.000002</v>
      </c>
      <c r="CT738" s="607">
        <f t="shared" si="1926"/>
        <v>0</v>
      </c>
      <c r="CU738" s="269">
        <f>'Detailed Budget'!$AC$24</f>
        <v>30624985696</v>
      </c>
      <c r="CV738" s="269">
        <f t="shared" si="1868"/>
        <v>0</v>
      </c>
      <c r="CW738" s="269"/>
      <c r="CX738" s="269">
        <f t="shared" si="1810"/>
        <v>0</v>
      </c>
      <c r="CY738" s="196">
        <f>'Detailed Budget'!$AC$97</f>
        <v>74629165494.837845</v>
      </c>
      <c r="CZ738" s="269">
        <f t="shared" si="1927"/>
        <v>175724207.91910982</v>
      </c>
      <c r="DA738" s="269">
        <f>'Detailed Budget'!$AC$100</f>
        <v>14925833098.967569</v>
      </c>
      <c r="DB738" s="269">
        <f t="shared" si="1928"/>
        <v>35144841.58382196</v>
      </c>
      <c r="DC738" s="269">
        <f t="shared" si="1799"/>
        <v>210869049.50293177</v>
      </c>
      <c r="DD738" s="207">
        <v>0</v>
      </c>
      <c r="DE738" s="606">
        <v>0</v>
      </c>
      <c r="DF738" s="269">
        <f>'Detailed Budget'!$AC$147</f>
        <v>5913600671000</v>
      </c>
      <c r="DG738" s="269">
        <f t="shared" si="1863"/>
        <v>0</v>
      </c>
      <c r="DH738" s="269">
        <f>'Detailed Budget'!$AC$153</f>
        <v>226428026880.00003</v>
      </c>
      <c r="DI738" s="269"/>
      <c r="DJ738" s="269">
        <f>'Detailed Budget'!$AC$156</f>
        <v>27713070000</v>
      </c>
      <c r="DK738" s="269"/>
      <c r="DL738" s="269"/>
      <c r="DM738" s="196">
        <f>'Detailed Budget'!$AC$178</f>
        <v>5622683761.6229038</v>
      </c>
      <c r="DN738" s="269">
        <f t="shared" si="1959"/>
        <v>0</v>
      </c>
      <c r="DO738" s="196">
        <f>'Detailed Budget'!$AC$179</f>
        <v>26827890683.128094</v>
      </c>
      <c r="DP738" s="269">
        <f t="shared" si="1960"/>
        <v>0</v>
      </c>
      <c r="DQ738" s="269">
        <f t="shared" si="1862"/>
        <v>0</v>
      </c>
      <c r="DR738" s="269">
        <f>'Detailed Budget'!$AC$181</f>
        <v>50888946855.375237</v>
      </c>
      <c r="DS738" s="269">
        <f t="shared" si="1961"/>
        <v>0</v>
      </c>
      <c r="DT738" s="269">
        <f t="shared" si="1962"/>
        <v>0</v>
      </c>
      <c r="DU738" s="272">
        <f>'Detailed Budget'!$AC$192</f>
        <v>77498869683.252869</v>
      </c>
      <c r="DV738" s="269">
        <f t="shared" si="1929"/>
        <v>130794105.92964272</v>
      </c>
      <c r="DW738" s="140">
        <f>'Detailed Budget'!$AC$194</f>
        <v>2684962805.4134097</v>
      </c>
      <c r="DX738" s="269">
        <f t="shared" si="1930"/>
        <v>4531386.2127756942</v>
      </c>
      <c r="DY738" s="607">
        <f t="shared" si="1800"/>
        <v>135325492.14241841</v>
      </c>
      <c r="DZ738" s="196">
        <f>'Detailed Budget'!$AC$198</f>
        <v>18732540018.380611</v>
      </c>
      <c r="EA738" s="269">
        <f t="shared" si="1931"/>
        <v>30241276.203374781</v>
      </c>
      <c r="EB738" s="196">
        <f>'Detailed Budget'!$AC$200</f>
        <v>4683135004.5951529</v>
      </c>
      <c r="EC738" s="269">
        <f t="shared" si="1932"/>
        <v>7560319.0508436952</v>
      </c>
      <c r="ED738" s="269">
        <f t="shared" si="1801"/>
        <v>37801595.254218474</v>
      </c>
      <c r="EE738" s="196">
        <f>'Detailed Budget'!$AC$161</f>
        <v>251147290106.36197</v>
      </c>
      <c r="EF738" s="269">
        <f t="shared" si="1933"/>
        <v>423858894.97963399</v>
      </c>
      <c r="EG738" s="196">
        <f>'Detailed Budget'!$AC$163</f>
        <v>15696705631.647623</v>
      </c>
      <c r="EH738" s="269">
        <f t="shared" si="1934"/>
        <v>26491180.936227124</v>
      </c>
      <c r="EI738" s="269">
        <f t="shared" si="1802"/>
        <v>450350075.91586113</v>
      </c>
      <c r="EJ738" s="196">
        <f>'Detailed Budget'!$AC$204</f>
        <v>45012172507.531975</v>
      </c>
      <c r="EK738" s="269">
        <f t="shared" si="1935"/>
        <v>13136482.316469112</v>
      </c>
      <c r="EL738" s="201">
        <f>'Detailed Budget'!$AC$206</f>
        <v>11253043126.882994</v>
      </c>
      <c r="EM738" s="269">
        <f t="shared" si="1936"/>
        <v>3284120.5791172781</v>
      </c>
      <c r="EN738" s="269">
        <f t="shared" si="1803"/>
        <v>16420602.89558639</v>
      </c>
      <c r="EO738" s="140">
        <f>'Detailed Budget'!$AC$209</f>
        <v>135789361677.54817</v>
      </c>
      <c r="EP738" s="269">
        <f t="shared" si="1937"/>
        <v>234219919.45756871</v>
      </c>
      <c r="EQ738" s="196">
        <f>'Detailed Budget'!$AC$211</f>
        <v>33947340419.387043</v>
      </c>
      <c r="ER738" s="269">
        <f t="shared" si="1938"/>
        <v>58554979.864392176</v>
      </c>
      <c r="ES738" s="269">
        <f t="shared" si="1804"/>
        <v>292774899.32196087</v>
      </c>
      <c r="ET738" s="196">
        <f>'Detailed Budget'!$AC$214</f>
        <v>22239745544.201103</v>
      </c>
      <c r="EU738" s="269">
        <f t="shared" si="1939"/>
        <v>37254905.70739755</v>
      </c>
      <c r="EV738" s="140">
        <f>'Detailed Budget'!$AC$217</f>
        <v>5559936386.0502758</v>
      </c>
      <c r="EW738" s="269">
        <f t="shared" si="1940"/>
        <v>9313726.4268493876</v>
      </c>
      <c r="EX738" s="269">
        <f t="shared" si="1805"/>
        <v>46568632.134246938</v>
      </c>
      <c r="EY738" s="196">
        <f>'Detailed Budget'!$AC$219</f>
        <v>372777004.58170313</v>
      </c>
      <c r="EZ738" s="269">
        <f t="shared" si="1941"/>
        <v>653729.8368595331</v>
      </c>
      <c r="FA738" s="196">
        <f>'Detailed Budget'!$AC$222</f>
        <v>93194251.145425782</v>
      </c>
      <c r="FB738" s="269">
        <f t="shared" si="1942"/>
        <v>163432.45921488327</v>
      </c>
      <c r="FC738" s="269">
        <f t="shared" si="1806"/>
        <v>817162.29607441637</v>
      </c>
      <c r="FD738" s="269"/>
      <c r="FE738" s="269">
        <f t="shared" si="1807"/>
        <v>356581296.64786857</v>
      </c>
      <c r="FF738" s="140">
        <f>'Detailed Budget'!$AC$165</f>
        <v>14927760000</v>
      </c>
      <c r="FG738" s="1087">
        <f t="shared" si="1864"/>
        <v>486400492.11777818</v>
      </c>
      <c r="FH738" s="269">
        <f t="shared" si="1943"/>
        <v>18657579.820474949</v>
      </c>
      <c r="FJ738" s="140">
        <f>'Detailed Budget'!$AC$235</f>
        <v>3623696172</v>
      </c>
      <c r="FK738" s="269">
        <f t="shared" si="1944"/>
        <v>4681778</v>
      </c>
      <c r="FL738" s="269">
        <f t="shared" si="1865"/>
        <v>4681778</v>
      </c>
      <c r="FO738" s="607"/>
      <c r="FP738" s="607"/>
      <c r="FQ738" s="607"/>
      <c r="FR738" s="269">
        <f>'Detailed Budget'!$AC$257</f>
        <v>13636439388</v>
      </c>
      <c r="FS738" s="269">
        <f t="shared" si="1945"/>
        <v>13990704</v>
      </c>
      <c r="FT738" s="269">
        <f t="shared" si="1866"/>
        <v>13990704</v>
      </c>
      <c r="FU738" s="269"/>
      <c r="FV738" s="269"/>
      <c r="FW738" s="269"/>
      <c r="FX738" s="140">
        <f>'Detailed Budget'!$AC$278</f>
        <v>1114560000</v>
      </c>
      <c r="FY738" s="269">
        <f t="shared" si="1946"/>
        <v>1440000</v>
      </c>
      <c r="FZ738" s="269">
        <f t="shared" si="1867"/>
        <v>1440000</v>
      </c>
      <c r="GB738" s="269">
        <f t="shared" si="1899"/>
        <v>1716098063.4015515</v>
      </c>
      <c r="GC738" s="887">
        <f t="shared" si="1808"/>
        <v>1072561.2896259697</v>
      </c>
      <c r="GD738" s="1078">
        <f t="shared" si="1900"/>
        <v>9.6295666176321459E-4</v>
      </c>
    </row>
    <row r="739" spans="1:186" hidden="1" outlineLevel="1">
      <c r="A739" s="211" t="s">
        <v>1563</v>
      </c>
      <c r="B739" s="212" t="s">
        <v>1564</v>
      </c>
      <c r="C739" s="213" t="s">
        <v>215</v>
      </c>
      <c r="D739" s="214"/>
      <c r="E739" s="213"/>
      <c r="F739" s="213"/>
      <c r="G739" s="213" t="s">
        <v>215</v>
      </c>
      <c r="H739" s="213" t="s">
        <v>215</v>
      </c>
      <c r="I739" s="214" t="s">
        <v>215</v>
      </c>
      <c r="J739" s="214"/>
      <c r="K739" s="213"/>
      <c r="L739" s="213"/>
      <c r="M739" s="214" t="s">
        <v>215</v>
      </c>
      <c r="N739" s="213"/>
      <c r="O739" s="214"/>
      <c r="P739" s="213"/>
      <c r="Q739" s="214"/>
      <c r="R739" s="214" t="s">
        <v>215</v>
      </c>
      <c r="S739" s="214"/>
      <c r="T739" s="214"/>
      <c r="U739" s="215">
        <f t="shared" si="1905"/>
        <v>6</v>
      </c>
      <c r="V739" s="845" t="s">
        <v>216</v>
      </c>
      <c r="W739" s="216">
        <v>181734</v>
      </c>
      <c r="X739" s="217">
        <v>3.24</v>
      </c>
      <c r="Y739" s="218">
        <f t="shared" si="1785"/>
        <v>1.0324</v>
      </c>
      <c r="Z739" s="196">
        <v>19</v>
      </c>
      <c r="AA739" s="218">
        <f t="shared" si="1786"/>
        <v>1.8327866870051304</v>
      </c>
      <c r="AB739" s="196">
        <f t="shared" si="1902"/>
        <v>333079.65577619034</v>
      </c>
      <c r="AC739">
        <v>12.6</v>
      </c>
      <c r="AD739" s="196">
        <f t="shared" si="1903"/>
        <v>41968.036627799978</v>
      </c>
      <c r="AE739" s="196">
        <f t="shared" si="1787"/>
        <v>39869.634796409977</v>
      </c>
      <c r="AF739" s="196">
        <f t="shared" si="1947"/>
        <v>0</v>
      </c>
      <c r="AG739" s="606">
        <f t="shared" si="1811"/>
        <v>1.8433968820096352E-3</v>
      </c>
      <c r="AH739" s="196">
        <f t="shared" si="1963"/>
        <v>16653.982788809517</v>
      </c>
      <c r="AI739" s="248">
        <f t="shared" si="1790"/>
        <v>1.2901588134004612E-3</v>
      </c>
      <c r="AJ739" s="196">
        <f t="shared" si="1791"/>
        <v>58622.019416609495</v>
      </c>
      <c r="AK739" s="196">
        <f t="shared" si="1858"/>
        <v>13323.186231047614</v>
      </c>
      <c r="AL739" s="196">
        <f t="shared" si="1859"/>
        <v>13323.186231047614</v>
      </c>
      <c r="AM739" s="196">
        <f t="shared" si="1792"/>
        <v>26646.372462095227</v>
      </c>
      <c r="AN739" s="627">
        <f t="shared" si="1793"/>
        <v>1.2901588134004612E-3</v>
      </c>
      <c r="AO739" s="196">
        <f t="shared" si="1794"/>
        <v>12657.026919495233</v>
      </c>
      <c r="AP739" s="589">
        <f t="shared" si="1812"/>
        <v>1.2901588134004612E-3</v>
      </c>
      <c r="AQ739" s="196"/>
      <c r="AR739" s="589"/>
      <c r="AS739">
        <v>1</v>
      </c>
      <c r="AT739" s="589">
        <f t="shared" si="1813"/>
        <v>1.2919896640826874E-3</v>
      </c>
      <c r="AU739" s="196">
        <v>19</v>
      </c>
      <c r="AV739" s="245">
        <f t="shared" si="1795"/>
        <v>2.1588455857288946E-3</v>
      </c>
      <c r="AX739" s="245"/>
      <c r="AY739" s="245"/>
      <c r="AZ739" s="196">
        <v>22</v>
      </c>
      <c r="BA739" s="589">
        <f t="shared" si="1871"/>
        <v>8.0612656187021366E-4</v>
      </c>
      <c r="BI739" s="196">
        <v>0</v>
      </c>
      <c r="BK739" s="246">
        <f t="shared" si="1872"/>
        <v>0</v>
      </c>
      <c r="BL739" s="246"/>
      <c r="BM739" s="246">
        <f t="shared" si="1873"/>
        <v>0</v>
      </c>
      <c r="BN739" s="196">
        <v>1</v>
      </c>
      <c r="BO739" s="196">
        <f t="shared" si="1948"/>
        <v>19242.04405026116</v>
      </c>
      <c r="BP739" s="196">
        <f t="shared" si="1796"/>
        <v>19242.04405026116</v>
      </c>
      <c r="BQ739" s="248">
        <f t="shared" si="1874"/>
        <v>1.800003615551947E-3</v>
      </c>
      <c r="BR739" s="248"/>
      <c r="BS739" s="248"/>
      <c r="BT739" s="276">
        <v>0</v>
      </c>
      <c r="BU739" s="196">
        <f t="shared" si="1949"/>
        <v>0</v>
      </c>
      <c r="BV739" s="264">
        <f t="shared" si="1875"/>
        <v>0</v>
      </c>
      <c r="BW739" s="196">
        <f t="shared" si="1950"/>
        <v>0</v>
      </c>
      <c r="BX739" s="247">
        <f t="shared" si="1876"/>
        <v>0</v>
      </c>
      <c r="BY739" s="196">
        <f t="shared" si="1951"/>
        <v>0</v>
      </c>
      <c r="BZ739" s="620">
        <v>1</v>
      </c>
      <c r="CA739" s="196">
        <f t="shared" si="1952"/>
        <v>101922.37466751423</v>
      </c>
      <c r="CB739" s="196">
        <f t="shared" si="1953"/>
        <v>203844.74933502846</v>
      </c>
      <c r="CC739" s="196">
        <f t="shared" si="1809"/>
        <v>305767.1240025427</v>
      </c>
      <c r="CD739" s="247">
        <f t="shared" si="1797"/>
        <v>1.2901588134004609E-3</v>
      </c>
      <c r="CE739" s="196">
        <f t="shared" si="1954"/>
        <v>28578.530788101354</v>
      </c>
      <c r="CF739" s="247">
        <f t="shared" si="1798"/>
        <v>1.2341098371081859E-3</v>
      </c>
      <c r="CG739" s="196">
        <f t="shared" si="1924"/>
        <v>50628.10767798093</v>
      </c>
      <c r="CH739" s="589">
        <f t="shared" si="1814"/>
        <v>1.2901588134004612E-3</v>
      </c>
      <c r="CI739" s="196">
        <f t="shared" si="1955"/>
        <v>13570.558863532338</v>
      </c>
      <c r="CJ739" s="248">
        <f t="shared" si="1815"/>
        <v>2.2309995326983887E-4</v>
      </c>
      <c r="CK739" s="196">
        <f t="shared" si="1956"/>
        <v>91726.406817502066</v>
      </c>
      <c r="CL739" s="589">
        <f t="shared" si="1816"/>
        <v>1.3185859653185234E-3</v>
      </c>
      <c r="CM739" s="196">
        <f t="shared" si="1957"/>
        <v>8885.989428896537</v>
      </c>
      <c r="CN739" s="589">
        <f t="shared" si="1817"/>
        <v>1.2805720628729835E-3</v>
      </c>
      <c r="CO739" s="196">
        <f t="shared" si="1958"/>
        <v>710.87516612037894</v>
      </c>
      <c r="CP739" s="589">
        <f t="shared" si="1818"/>
        <v>1.3406010683701744E-3</v>
      </c>
      <c r="CQ739" s="196">
        <f>'Detailed Budget'!$AC$12</f>
        <v>292876014141.44696</v>
      </c>
      <c r="CR739" s="269">
        <f t="shared" si="1861"/>
        <v>0</v>
      </c>
      <c r="CS739" s="269">
        <f>'Detailed Budget'!$AC$16</f>
        <v>10488008800.000002</v>
      </c>
      <c r="CT739" s="607">
        <f t="shared" si="1926"/>
        <v>0</v>
      </c>
      <c r="CU739" s="269">
        <f>'Detailed Budget'!$AC$24</f>
        <v>30624985696</v>
      </c>
      <c r="CV739" s="269">
        <f t="shared" si="1868"/>
        <v>0</v>
      </c>
      <c r="CW739" s="269"/>
      <c r="CX739" s="269">
        <f t="shared" si="1810"/>
        <v>0</v>
      </c>
      <c r="CY739" s="196">
        <f>'Detailed Budget'!$AC$97</f>
        <v>74629165494.837845</v>
      </c>
      <c r="CZ739" s="269">
        <f t="shared" si="1927"/>
        <v>134332767.71633273</v>
      </c>
      <c r="DA739" s="269">
        <f>'Detailed Budget'!$AC$100</f>
        <v>14925833098.967569</v>
      </c>
      <c r="DB739" s="269">
        <f t="shared" si="1928"/>
        <v>26866553.543266546</v>
      </c>
      <c r="DC739" s="269">
        <f t="shared" si="1799"/>
        <v>161199321.25959927</v>
      </c>
      <c r="DD739" s="207">
        <v>0</v>
      </c>
      <c r="DE739" s="606">
        <v>0</v>
      </c>
      <c r="DF739" s="269">
        <f>'Detailed Budget'!$AC$147</f>
        <v>5913600671000</v>
      </c>
      <c r="DG739" s="269">
        <f t="shared" si="1863"/>
        <v>0</v>
      </c>
      <c r="DH739" s="269">
        <f>'Detailed Budget'!$AC$153</f>
        <v>226428026880.00003</v>
      </c>
      <c r="DI739" s="269"/>
      <c r="DJ739" s="269">
        <f>'Detailed Budget'!$AC$156</f>
        <v>27713070000</v>
      </c>
      <c r="DK739" s="269"/>
      <c r="DL739" s="269"/>
      <c r="DM739" s="196">
        <f>'Detailed Budget'!$AC$178</f>
        <v>5622683761.6229038</v>
      </c>
      <c r="DN739" s="269">
        <f t="shared" si="1959"/>
        <v>0</v>
      </c>
      <c r="DO739" s="196">
        <f>'Detailed Budget'!$AC$179</f>
        <v>26827890683.128094</v>
      </c>
      <c r="DP739" s="269">
        <f t="shared" si="1960"/>
        <v>0</v>
      </c>
      <c r="DQ739" s="269">
        <f t="shared" si="1862"/>
        <v>0</v>
      </c>
      <c r="DR739" s="269">
        <f>'Detailed Budget'!$AC$181</f>
        <v>50888946855.375237</v>
      </c>
      <c r="DS739" s="269">
        <f t="shared" si="1961"/>
        <v>0</v>
      </c>
      <c r="DT739" s="269">
        <f t="shared" si="1962"/>
        <v>0</v>
      </c>
      <c r="DU739" s="272">
        <f>'Detailed Budget'!$AC$192</f>
        <v>77498869683.252869</v>
      </c>
      <c r="DV739" s="269">
        <f t="shared" si="1929"/>
        <v>99985849.750422478</v>
      </c>
      <c r="DW739" s="140">
        <f>'Detailed Budget'!$AC$194</f>
        <v>2684962805.4134097</v>
      </c>
      <c r="DX739" s="269">
        <f t="shared" si="1930"/>
        <v>3464028.4270565379</v>
      </c>
      <c r="DY739" s="607">
        <f t="shared" si="1800"/>
        <v>103449878.17747901</v>
      </c>
      <c r="DZ739" s="196">
        <f>'Detailed Budget'!$AC$198</f>
        <v>18732540018.380611</v>
      </c>
      <c r="EA739" s="269">
        <f t="shared" si="1931"/>
        <v>23118011.91070627</v>
      </c>
      <c r="EB739" s="196">
        <f>'Detailed Budget'!$AC$200</f>
        <v>4683135004.5951529</v>
      </c>
      <c r="EC739" s="269">
        <f t="shared" si="1932"/>
        <v>5779502.9776765676</v>
      </c>
      <c r="ED739" s="269">
        <f t="shared" si="1801"/>
        <v>28897514.888382837</v>
      </c>
      <c r="EE739" s="196">
        <f>'Detailed Budget'!$AC$161</f>
        <v>251147290106.36197</v>
      </c>
      <c r="EF739" s="269">
        <f t="shared" si="1933"/>
        <v>324019889.79236531</v>
      </c>
      <c r="EG739" s="196">
        <f>'Detailed Budget'!$AC$163</f>
        <v>15696705631.647623</v>
      </c>
      <c r="EH739" s="269">
        <f t="shared" si="1934"/>
        <v>20251243.112022832</v>
      </c>
      <c r="EI739" s="269">
        <f t="shared" si="1802"/>
        <v>344271132.90438813</v>
      </c>
      <c r="EJ739" s="196">
        <f>'Detailed Budget'!$AC$204</f>
        <v>45012172507.531975</v>
      </c>
      <c r="EK739" s="269">
        <f t="shared" si="1935"/>
        <v>10042213.583004309</v>
      </c>
      <c r="EL739" s="201">
        <f>'Detailed Budget'!$AC$206</f>
        <v>11253043126.882994</v>
      </c>
      <c r="EM739" s="269">
        <f t="shared" si="1936"/>
        <v>2510553.3957510772</v>
      </c>
      <c r="EN739" s="269">
        <f t="shared" si="1803"/>
        <v>12552766.978755387</v>
      </c>
      <c r="EO739" s="140">
        <f>'Detailed Budget'!$AC$209</f>
        <v>135789361677.54817</v>
      </c>
      <c r="EP739" s="269">
        <f t="shared" si="1937"/>
        <v>179049946.54757595</v>
      </c>
      <c r="EQ739" s="196">
        <f>'Detailed Budget'!$AC$211</f>
        <v>33947340419.387043</v>
      </c>
      <c r="ER739" s="269">
        <f t="shared" si="1938"/>
        <v>44762486.636893988</v>
      </c>
      <c r="ES739" s="269">
        <f t="shared" si="1804"/>
        <v>223812433.18446994</v>
      </c>
      <c r="ET739" s="196">
        <f>'Detailed Budget'!$AC$214</f>
        <v>22239745544.201103</v>
      </c>
      <c r="EU739" s="269">
        <f t="shared" si="1939"/>
        <v>28479596.82930785</v>
      </c>
      <c r="EV739" s="140">
        <f>'Detailed Budget'!$AC$217</f>
        <v>5559936386.0502758</v>
      </c>
      <c r="EW739" s="269">
        <f t="shared" si="1940"/>
        <v>7119899.2073269626</v>
      </c>
      <c r="EX739" s="269">
        <f t="shared" si="1805"/>
        <v>35599496.03663481</v>
      </c>
      <c r="EY739" s="196">
        <f>'Detailed Budget'!$AC$219</f>
        <v>372777004.58170313</v>
      </c>
      <c r="EZ739" s="269">
        <f t="shared" si="1941"/>
        <v>499745.25060606463</v>
      </c>
      <c r="FA739" s="196">
        <f>'Detailed Budget'!$AC$222</f>
        <v>93194251.145425782</v>
      </c>
      <c r="FB739" s="269">
        <f t="shared" si="1942"/>
        <v>124936.31265151616</v>
      </c>
      <c r="FC739" s="269">
        <f t="shared" si="1806"/>
        <v>624681.56325758074</v>
      </c>
      <c r="FD739" s="269"/>
      <c r="FE739" s="269">
        <f t="shared" si="1807"/>
        <v>272589377.76311773</v>
      </c>
      <c r="FF739" s="140">
        <f>'Detailed Budget'!$AC$165</f>
        <v>14927760000</v>
      </c>
      <c r="FG739" s="1087">
        <f t="shared" si="1864"/>
        <v>371829955.01021022</v>
      </c>
      <c r="FH739" s="269">
        <f t="shared" si="1943"/>
        <v>32226728.780820362</v>
      </c>
      <c r="FJ739" s="140">
        <f>'Detailed Budget'!$AC$235</f>
        <v>3623696172</v>
      </c>
      <c r="FK739" s="269">
        <f t="shared" si="1944"/>
        <v>4681778</v>
      </c>
      <c r="FL739" s="269">
        <f t="shared" si="1865"/>
        <v>4681778</v>
      </c>
      <c r="FO739" s="607"/>
      <c r="FP739" s="607"/>
      <c r="FQ739" s="607"/>
      <c r="FR739" s="269">
        <f>'Detailed Budget'!$AC$257</f>
        <v>13636439388</v>
      </c>
      <c r="FS739" s="269">
        <f t="shared" si="1945"/>
        <v>10992696</v>
      </c>
      <c r="FT739" s="269">
        <f t="shared" si="1866"/>
        <v>10992696</v>
      </c>
      <c r="FU739" s="269"/>
      <c r="FV739" s="269"/>
      <c r="FW739" s="269"/>
      <c r="FX739" s="140">
        <f>'Detailed Budget'!$AC$278</f>
        <v>1114560000</v>
      </c>
      <c r="FY739" s="269">
        <f t="shared" si="1946"/>
        <v>1440000</v>
      </c>
      <c r="FZ739" s="269">
        <f t="shared" si="1867"/>
        <v>1440000</v>
      </c>
      <c r="GB739" s="269">
        <f t="shared" si="1899"/>
        <v>1331578382.7839978</v>
      </c>
      <c r="GC739" s="887">
        <f t="shared" si="1808"/>
        <v>832236.48923999863</v>
      </c>
      <c r="GD739" s="1078">
        <f t="shared" si="1900"/>
        <v>7.4719056078889298E-4</v>
      </c>
    </row>
    <row r="740" spans="1:186" hidden="1" outlineLevel="1">
      <c r="A740" s="211" t="s">
        <v>1565</v>
      </c>
      <c r="B740" s="212" t="s">
        <v>1566</v>
      </c>
      <c r="C740" s="213" t="s">
        <v>215</v>
      </c>
      <c r="D740" s="214"/>
      <c r="E740" s="213"/>
      <c r="F740" s="213"/>
      <c r="G740" s="213" t="s">
        <v>215</v>
      </c>
      <c r="H740" s="213" t="s">
        <v>215</v>
      </c>
      <c r="I740" s="214" t="s">
        <v>215</v>
      </c>
      <c r="J740" s="214"/>
      <c r="K740" s="213"/>
      <c r="L740" s="213"/>
      <c r="M740" s="214"/>
      <c r="N740" s="213" t="s">
        <v>215</v>
      </c>
      <c r="O740" s="214"/>
      <c r="P740" s="213"/>
      <c r="Q740" s="214" t="s">
        <v>215</v>
      </c>
      <c r="R740" s="214"/>
      <c r="S740" s="214"/>
      <c r="T740" s="214"/>
      <c r="U740" s="215">
        <f t="shared" si="1905"/>
        <v>6</v>
      </c>
      <c r="V740" s="845" t="s">
        <v>1073</v>
      </c>
      <c r="W740" s="216">
        <v>283791</v>
      </c>
      <c r="X740" s="217">
        <v>3.24</v>
      </c>
      <c r="Y740" s="218">
        <f t="shared" si="1785"/>
        <v>1.0324</v>
      </c>
      <c r="Z740" s="196">
        <v>19</v>
      </c>
      <c r="AA740" s="218">
        <f t="shared" si="1786"/>
        <v>1.8327866870051304</v>
      </c>
      <c r="AB740" s="196">
        <f t="shared" si="1902"/>
        <v>520128.36669187294</v>
      </c>
      <c r="AC740">
        <v>12.6</v>
      </c>
      <c r="AD740" s="196">
        <f t="shared" si="1903"/>
        <v>65536.174203175993</v>
      </c>
      <c r="AE740" s="196">
        <f t="shared" si="1787"/>
        <v>62259.365493017191</v>
      </c>
      <c r="AF740" s="196">
        <f t="shared" si="1947"/>
        <v>0</v>
      </c>
      <c r="AG740" s="606">
        <f t="shared" si="1811"/>
        <v>2.8785997366612549E-3</v>
      </c>
      <c r="AH740" s="196">
        <f t="shared" si="1963"/>
        <v>26006.418334593647</v>
      </c>
      <c r="AI740" s="248">
        <f t="shared" si="1790"/>
        <v>2.0146778248084029E-3</v>
      </c>
      <c r="AJ740" s="196">
        <f t="shared" si="1791"/>
        <v>91542.59253776964</v>
      </c>
      <c r="AK740" s="196">
        <f t="shared" si="1858"/>
        <v>20805.13466767492</v>
      </c>
      <c r="AL740" s="196">
        <f t="shared" si="1859"/>
        <v>20805.13466767492</v>
      </c>
      <c r="AM740" s="196">
        <f t="shared" si="1792"/>
        <v>41610.26933534984</v>
      </c>
      <c r="AN740" s="627">
        <f t="shared" si="1793"/>
        <v>2.0146778248084029E-3</v>
      </c>
      <c r="AO740" s="196">
        <f t="shared" si="1794"/>
        <v>19764.877934291173</v>
      </c>
      <c r="AP740" s="589">
        <f t="shared" si="1812"/>
        <v>2.0146778248084029E-3</v>
      </c>
      <c r="AQ740" s="196"/>
      <c r="AR740" s="589"/>
      <c r="AS740">
        <v>1</v>
      </c>
      <c r="AT740" s="589">
        <f t="shared" si="1813"/>
        <v>1.2919896640826874E-3</v>
      </c>
      <c r="AU740" s="196">
        <v>10</v>
      </c>
      <c r="AV740" s="245">
        <f t="shared" si="1795"/>
        <v>1.1362345188046814E-3</v>
      </c>
      <c r="AX740" s="245"/>
      <c r="AY740" s="245"/>
      <c r="AZ740" s="196">
        <v>22</v>
      </c>
      <c r="BA740" s="589">
        <f t="shared" si="1871"/>
        <v>8.0612656187021366E-4</v>
      </c>
      <c r="BI740" s="196">
        <v>0</v>
      </c>
      <c r="BK740" s="246">
        <f t="shared" si="1872"/>
        <v>0</v>
      </c>
      <c r="BL740" s="246"/>
      <c r="BM740" s="246">
        <f t="shared" si="1873"/>
        <v>0</v>
      </c>
      <c r="BN740" s="196">
        <v>1</v>
      </c>
      <c r="BO740" s="196">
        <f t="shared" si="1948"/>
        <v>30047.866238940787</v>
      </c>
      <c r="BP740" s="196">
        <f t="shared" si="1796"/>
        <v>30047.866238940787</v>
      </c>
      <c r="BQ740" s="248">
        <f t="shared" si="1874"/>
        <v>2.8108379613121519E-3</v>
      </c>
      <c r="BR740" s="248"/>
      <c r="BS740" s="248"/>
      <c r="BT740" s="276">
        <v>0</v>
      </c>
      <c r="BU740" s="196">
        <f t="shared" si="1949"/>
        <v>0</v>
      </c>
      <c r="BV740" s="264">
        <f t="shared" si="1875"/>
        <v>0</v>
      </c>
      <c r="BW740" s="196">
        <f t="shared" si="1950"/>
        <v>0</v>
      </c>
      <c r="BX740" s="247">
        <f t="shared" si="1876"/>
        <v>0</v>
      </c>
      <c r="BY740" s="196">
        <f t="shared" si="1951"/>
        <v>0</v>
      </c>
      <c r="BZ740" s="620">
        <v>1</v>
      </c>
      <c r="CA740" s="196">
        <f t="shared" si="1952"/>
        <v>159159.28020771313</v>
      </c>
      <c r="CB740" s="196">
        <f t="shared" si="1953"/>
        <v>318318.56041542627</v>
      </c>
      <c r="CC740" s="196">
        <f t="shared" si="1809"/>
        <v>477477.8406231394</v>
      </c>
      <c r="CD740" s="247">
        <f t="shared" si="1797"/>
        <v>2.0146778248084029E-3</v>
      </c>
      <c r="CE740" s="196">
        <f t="shared" si="1954"/>
        <v>44627.476591535284</v>
      </c>
      <c r="CF740" s="247">
        <f t="shared" si="1798"/>
        <v>1.9271532282499105E-3</v>
      </c>
      <c r="CG740" s="196">
        <f t="shared" si="1924"/>
        <v>79059.511737164692</v>
      </c>
      <c r="CH740" s="589">
        <f t="shared" si="1814"/>
        <v>2.0146778248084029E-3</v>
      </c>
      <c r="CI740" s="196">
        <f t="shared" si="1955"/>
        <v>21191.425217299497</v>
      </c>
      <c r="CJ740" s="248">
        <f t="shared" si="1815"/>
        <v>3.483869767814545E-4</v>
      </c>
      <c r="CK740" s="196">
        <f t="shared" si="1956"/>
        <v>143237.52691926516</v>
      </c>
      <c r="CL740" s="589">
        <f t="shared" si="1816"/>
        <v>2.0590689121667335E-3</v>
      </c>
      <c r="CM740" s="196">
        <f t="shared" si="1957"/>
        <v>13876.125689282017</v>
      </c>
      <c r="CN740" s="589">
        <f t="shared" si="1817"/>
        <v>1.9997074091517657E-3</v>
      </c>
      <c r="CO740" s="196">
        <f t="shared" si="1958"/>
        <v>1110.0838272886115</v>
      </c>
      <c r="CP740" s="589">
        <f t="shared" si="1818"/>
        <v>2.0934471138798478E-3</v>
      </c>
      <c r="CQ740" s="196">
        <f>'Detailed Budget'!$AC$12</f>
        <v>292876014141.44696</v>
      </c>
      <c r="CR740" s="269">
        <f t="shared" si="1861"/>
        <v>0</v>
      </c>
      <c r="CS740" s="269">
        <f>'Detailed Budget'!$AC$16</f>
        <v>10488008800.000002</v>
      </c>
      <c r="CT740" s="607">
        <f t="shared" si="1926"/>
        <v>0</v>
      </c>
      <c r="CU740" s="269">
        <f>'Detailed Budget'!$AC$24</f>
        <v>30624985696</v>
      </c>
      <c r="CV740" s="269">
        <f t="shared" si="1868"/>
        <v>0</v>
      </c>
      <c r="CW740" s="269"/>
      <c r="CX740" s="269">
        <f t="shared" si="1810"/>
        <v>0</v>
      </c>
      <c r="CY740" s="196">
        <f>'Detailed Budget'!$AC$97</f>
        <v>74629165494.837845</v>
      </c>
      <c r="CZ740" s="269">
        <f t="shared" si="1927"/>
        <v>209770491.3939372</v>
      </c>
      <c r="DA740" s="269">
        <f>'Detailed Budget'!$AC$100</f>
        <v>14925833098.967569</v>
      </c>
      <c r="DB740" s="269">
        <f t="shared" si="1928"/>
        <v>41954098.278787442</v>
      </c>
      <c r="DC740" s="269">
        <f t="shared" si="1799"/>
        <v>251724589.67272463</v>
      </c>
      <c r="DD740" s="207">
        <v>0</v>
      </c>
      <c r="DE740" s="606">
        <v>0</v>
      </c>
      <c r="DF740" s="269">
        <f>'Detailed Budget'!$AC$147</f>
        <v>5913600671000</v>
      </c>
      <c r="DG740" s="269">
        <f t="shared" si="1863"/>
        <v>0</v>
      </c>
      <c r="DH740" s="269">
        <f>'Detailed Budget'!$AC$153</f>
        <v>226428026880.00003</v>
      </c>
      <c r="DI740" s="269"/>
      <c r="DJ740" s="269">
        <f>'Detailed Budget'!$AC$156</f>
        <v>27713070000</v>
      </c>
      <c r="DK740" s="269"/>
      <c r="DL740" s="269"/>
      <c r="DM740" s="196">
        <f>'Detailed Budget'!$AC$178</f>
        <v>5622683761.6229038</v>
      </c>
      <c r="DN740" s="269">
        <f t="shared" si="1959"/>
        <v>0</v>
      </c>
      <c r="DO740" s="196">
        <f>'Detailed Budget'!$AC$179</f>
        <v>26827890683.128094</v>
      </c>
      <c r="DP740" s="269">
        <f t="shared" si="1960"/>
        <v>0</v>
      </c>
      <c r="DQ740" s="269">
        <f t="shared" si="1862"/>
        <v>0</v>
      </c>
      <c r="DR740" s="269">
        <f>'Detailed Budget'!$AC$181</f>
        <v>50888946855.375237</v>
      </c>
      <c r="DS740" s="269">
        <f t="shared" si="1961"/>
        <v>0</v>
      </c>
      <c r="DT740" s="269">
        <f t="shared" si="1962"/>
        <v>0</v>
      </c>
      <c r="DU740" s="272">
        <f>'Detailed Budget'!$AC$192</f>
        <v>77498869683.252869</v>
      </c>
      <c r="DV740" s="269">
        <f t="shared" si="1929"/>
        <v>156135254.19856578</v>
      </c>
      <c r="DW740" s="140">
        <f>'Detailed Budget'!$AC$194</f>
        <v>2684962805.4134097</v>
      </c>
      <c r="DX740" s="269">
        <f t="shared" si="1930"/>
        <v>5409335.0245017549</v>
      </c>
      <c r="DY740" s="607">
        <f t="shared" si="1800"/>
        <v>161544589.22306752</v>
      </c>
      <c r="DZ740" s="196">
        <f>'Detailed Budget'!$AC$198</f>
        <v>18732540018.380611</v>
      </c>
      <c r="EA740" s="269">
        <f t="shared" si="1931"/>
        <v>36100474.969742835</v>
      </c>
      <c r="EB740" s="196">
        <f>'Detailed Budget'!$AC$200</f>
        <v>4683135004.5951529</v>
      </c>
      <c r="EC740" s="269">
        <f t="shared" si="1932"/>
        <v>9025118.7424357086</v>
      </c>
      <c r="ED740" s="269">
        <f t="shared" si="1801"/>
        <v>45125593.712178543</v>
      </c>
      <c r="EE740" s="196">
        <f>'Detailed Budget'!$AC$161</f>
        <v>251147290106.36197</v>
      </c>
      <c r="EF740" s="269">
        <f t="shared" si="1933"/>
        <v>505980876.13801026</v>
      </c>
      <c r="EG740" s="196">
        <f>'Detailed Budget'!$AC$163</f>
        <v>15696705631.647623</v>
      </c>
      <c r="EH740" s="269">
        <f t="shared" si="1934"/>
        <v>31623804.758625641</v>
      </c>
      <c r="EI740" s="269">
        <f t="shared" si="1802"/>
        <v>537604680.89663589</v>
      </c>
      <c r="EJ740" s="196">
        <f>'Detailed Budget'!$AC$204</f>
        <v>45012172507.531975</v>
      </c>
      <c r="EK740" s="269">
        <f t="shared" si="1935"/>
        <v>15681654.698264366</v>
      </c>
      <c r="EL740" s="201">
        <f>'Detailed Budget'!$AC$206</f>
        <v>11253043126.882994</v>
      </c>
      <c r="EM740" s="269">
        <f t="shared" si="1936"/>
        <v>3920413.6745660915</v>
      </c>
      <c r="EN740" s="269">
        <f t="shared" si="1803"/>
        <v>19602068.372830458</v>
      </c>
      <c r="EO740" s="140">
        <f>'Detailed Budget'!$AC$209</f>
        <v>135789361677.54817</v>
      </c>
      <c r="EP740" s="269">
        <f t="shared" si="1937"/>
        <v>279599653.23320425</v>
      </c>
      <c r="EQ740" s="196">
        <f>'Detailed Budget'!$AC$211</f>
        <v>33947340419.387043</v>
      </c>
      <c r="ER740" s="269">
        <f t="shared" si="1938"/>
        <v>69899913.308301061</v>
      </c>
      <c r="ES740" s="269">
        <f t="shared" si="1804"/>
        <v>349499566.54150534</v>
      </c>
      <c r="ET740" s="196">
        <f>'Detailed Budget'!$AC$214</f>
        <v>22239745544.201103</v>
      </c>
      <c r="EU740" s="269">
        <f t="shared" si="1939"/>
        <v>44472983.942388915</v>
      </c>
      <c r="EV740" s="140">
        <f>'Detailed Budget'!$AC$217</f>
        <v>5559936386.0502758</v>
      </c>
      <c r="EW740" s="269">
        <f t="shared" si="1940"/>
        <v>11118245.985597229</v>
      </c>
      <c r="EX740" s="269">
        <f t="shared" si="1805"/>
        <v>55591229.927986145</v>
      </c>
      <c r="EY740" s="196">
        <f>'Detailed Budget'!$AC$219</f>
        <v>372777004.58170313</v>
      </c>
      <c r="EZ740" s="269">
        <f t="shared" si="1941"/>
        <v>780388.94436234119</v>
      </c>
      <c r="FA740" s="196">
        <f>'Detailed Budget'!$AC$222</f>
        <v>93194251.145425782</v>
      </c>
      <c r="FB740" s="269">
        <f t="shared" si="1942"/>
        <v>195097.2360905853</v>
      </c>
      <c r="FC740" s="269">
        <f t="shared" si="1806"/>
        <v>975486.18045292655</v>
      </c>
      <c r="FD740" s="269"/>
      <c r="FE740" s="269">
        <f t="shared" si="1807"/>
        <v>425668351.02277488</v>
      </c>
      <c r="FF740" s="140">
        <f>'Detailed Budget'!$AC$165</f>
        <v>14927760000</v>
      </c>
      <c r="FG740" s="1087">
        <f t="shared" si="1864"/>
        <v>580639807.42350137</v>
      </c>
      <c r="FH740" s="269">
        <f t="shared" si="1943"/>
        <v>16961436.200431772</v>
      </c>
      <c r="FJ740" s="140">
        <f>'Detailed Budget'!$AC$235</f>
        <v>3623696172</v>
      </c>
      <c r="FK740" s="269">
        <f t="shared" si="1944"/>
        <v>4681778</v>
      </c>
      <c r="FL740" s="269">
        <f t="shared" si="1865"/>
        <v>4681778</v>
      </c>
      <c r="FO740" s="607"/>
      <c r="FP740" s="607"/>
      <c r="FQ740" s="607"/>
      <c r="FR740" s="269">
        <f>'Detailed Budget'!$AC$257</f>
        <v>13636439388</v>
      </c>
      <c r="FS740" s="269">
        <f t="shared" si="1945"/>
        <v>10992696</v>
      </c>
      <c r="FT740" s="269">
        <f t="shared" si="1866"/>
        <v>10992696</v>
      </c>
      <c r="FU740" s="269"/>
      <c r="FV740" s="269"/>
      <c r="FW740" s="269"/>
      <c r="FX740" s="140">
        <f>'Detailed Budget'!$AC$278</f>
        <v>1114560000</v>
      </c>
      <c r="FY740" s="269">
        <f t="shared" si="1946"/>
        <v>1440000</v>
      </c>
      <c r="FZ740" s="269">
        <f t="shared" si="1867"/>
        <v>1440000</v>
      </c>
      <c r="GB740" s="269">
        <f t="shared" si="1899"/>
        <v>2036383522.1513147</v>
      </c>
      <c r="GC740" s="887">
        <f t="shared" si="1808"/>
        <v>1272739.7013445718</v>
      </c>
      <c r="GD740" s="1078">
        <f t="shared" si="1900"/>
        <v>1.1426789181694932E-3</v>
      </c>
    </row>
    <row r="741" spans="1:186" hidden="1" outlineLevel="1">
      <c r="A741" s="211" t="s">
        <v>1567</v>
      </c>
      <c r="B741" s="212" t="s">
        <v>1568</v>
      </c>
      <c r="C741" s="213" t="s">
        <v>215</v>
      </c>
      <c r="D741" s="214"/>
      <c r="E741" s="213"/>
      <c r="F741" s="213"/>
      <c r="G741" s="213" t="s">
        <v>215</v>
      </c>
      <c r="H741" s="213" t="s">
        <v>215</v>
      </c>
      <c r="I741" s="214" t="s">
        <v>215</v>
      </c>
      <c r="J741" s="214"/>
      <c r="K741" s="213"/>
      <c r="L741" s="213"/>
      <c r="M741" s="214" t="s">
        <v>215</v>
      </c>
      <c r="N741" s="213"/>
      <c r="O741" s="214"/>
      <c r="P741" s="213"/>
      <c r="Q741" s="214"/>
      <c r="R741" s="214" t="s">
        <v>215</v>
      </c>
      <c r="S741" s="214"/>
      <c r="T741" s="214"/>
      <c r="U741" s="215">
        <f t="shared" si="1905"/>
        <v>6</v>
      </c>
      <c r="V741" s="845" t="s">
        <v>216</v>
      </c>
      <c r="W741" s="216">
        <v>117793</v>
      </c>
      <c r="X741" s="217">
        <v>3.24</v>
      </c>
      <c r="Y741" s="218">
        <f t="shared" si="1785"/>
        <v>1.0324</v>
      </c>
      <c r="Z741" s="196">
        <v>19</v>
      </c>
      <c r="AA741" s="218">
        <f t="shared" si="1786"/>
        <v>1.8327866870051304</v>
      </c>
      <c r="AB741" s="196">
        <f t="shared" si="1902"/>
        <v>215889.44222239533</v>
      </c>
      <c r="AC741">
        <v>12.6</v>
      </c>
      <c r="AD741" s="196">
        <f t="shared" si="1903"/>
        <v>27202.069720021813</v>
      </c>
      <c r="AE741" s="196">
        <f t="shared" si="1787"/>
        <v>25841.966234020721</v>
      </c>
      <c r="AF741" s="196">
        <f t="shared" si="1947"/>
        <v>0</v>
      </c>
      <c r="AG741" s="606">
        <f t="shared" si="1811"/>
        <v>1.1948190703036364E-3</v>
      </c>
      <c r="AH741" s="196">
        <f t="shared" si="1963"/>
        <v>10794.472111119767</v>
      </c>
      <c r="AI741" s="248">
        <f t="shared" ref="AI741:AI801" si="1964">AH741/12908475</f>
        <v>8.3623139922568441E-4</v>
      </c>
      <c r="AJ741" s="196">
        <f t="shared" si="1791"/>
        <v>37996.541831141578</v>
      </c>
      <c r="AK741" s="196">
        <f t="shared" si="1858"/>
        <v>8635.5776888958135</v>
      </c>
      <c r="AL741" s="196">
        <f t="shared" si="1859"/>
        <v>8635.5776888958135</v>
      </c>
      <c r="AM741" s="196">
        <f t="shared" si="1792"/>
        <v>17271.155377791627</v>
      </c>
      <c r="AN741" s="627">
        <f t="shared" si="1793"/>
        <v>8.3623139922568441E-4</v>
      </c>
      <c r="AO741" s="196">
        <f t="shared" si="1794"/>
        <v>8203.7988044510221</v>
      </c>
      <c r="AP741" s="589">
        <f t="shared" si="1812"/>
        <v>8.3623139922568441E-4</v>
      </c>
      <c r="AQ741" s="196"/>
      <c r="AR741" s="589"/>
      <c r="AS741">
        <v>1</v>
      </c>
      <c r="AT741" s="589">
        <f t="shared" si="1813"/>
        <v>1.2919896640826874E-3</v>
      </c>
      <c r="AU741" s="196">
        <v>11</v>
      </c>
      <c r="AV741" s="245">
        <f t="shared" si="1795"/>
        <v>1.2498579706851495E-3</v>
      </c>
      <c r="AX741" s="245"/>
      <c r="AY741" s="245"/>
      <c r="AZ741" s="196">
        <v>24</v>
      </c>
      <c r="BA741" s="589">
        <f t="shared" si="1871"/>
        <v>8.7941079476750578E-4</v>
      </c>
      <c r="BI741" s="196">
        <v>0</v>
      </c>
      <c r="BK741" s="246">
        <f t="shared" si="1872"/>
        <v>0</v>
      </c>
      <c r="BL741" s="246"/>
      <c r="BM741" s="246">
        <f t="shared" si="1873"/>
        <v>0</v>
      </c>
      <c r="BN741" s="196">
        <v>1</v>
      </c>
      <c r="BO741" s="196">
        <f t="shared" si="1948"/>
        <v>12471.954036187028</v>
      </c>
      <c r="BP741" s="196">
        <f t="shared" si="1796"/>
        <v>12471.954036187028</v>
      </c>
      <c r="BQ741" s="248">
        <f t="shared" si="1874"/>
        <v>1.1666932213383876E-3</v>
      </c>
      <c r="BR741" s="248"/>
      <c r="BS741" s="248"/>
      <c r="BT741" s="276">
        <v>0</v>
      </c>
      <c r="BU741" s="196">
        <f t="shared" si="1949"/>
        <v>0</v>
      </c>
      <c r="BV741" s="264">
        <f t="shared" si="1875"/>
        <v>0</v>
      </c>
      <c r="BW741" s="196">
        <f t="shared" si="1950"/>
        <v>0</v>
      </c>
      <c r="BX741" s="247">
        <f t="shared" si="1876"/>
        <v>0</v>
      </c>
      <c r="BY741" s="196">
        <f t="shared" si="1951"/>
        <v>0</v>
      </c>
      <c r="BZ741" s="620">
        <v>1</v>
      </c>
      <c r="CA741" s="196">
        <f t="shared" si="1952"/>
        <v>66062.16932005297</v>
      </c>
      <c r="CB741" s="196">
        <f t="shared" si="1953"/>
        <v>132124.33864010594</v>
      </c>
      <c r="CC741" s="196">
        <f t="shared" si="1809"/>
        <v>198186.50796015892</v>
      </c>
      <c r="CD741" s="247">
        <f t="shared" si="1797"/>
        <v>8.3623139922568441E-4</v>
      </c>
      <c r="CE741" s="196">
        <f t="shared" si="1954"/>
        <v>18523.506207549628</v>
      </c>
      <c r="CF741" s="247">
        <f t="shared" si="1798"/>
        <v>7.9990260513984493E-4</v>
      </c>
      <c r="CG741" s="196">
        <f t="shared" si="1924"/>
        <v>32815.195217804088</v>
      </c>
      <c r="CH741" s="589">
        <f t="shared" si="1814"/>
        <v>8.3623139922568441E-4</v>
      </c>
      <c r="CI741" s="196">
        <f t="shared" si="1955"/>
        <v>8795.9151298714896</v>
      </c>
      <c r="CJ741" s="248">
        <f t="shared" si="1815"/>
        <v>1.4460482240810272E-4</v>
      </c>
      <c r="CK741" s="196">
        <f t="shared" si="1956"/>
        <v>59453.534496869186</v>
      </c>
      <c r="CL741" s="589">
        <f t="shared" si="1816"/>
        <v>8.5465678746280218E-4</v>
      </c>
      <c r="CM741" s="196">
        <f t="shared" si="1957"/>
        <v>5759.5571153334558</v>
      </c>
      <c r="CN741" s="589">
        <f t="shared" si="1817"/>
        <v>8.3001763567630397E-4</v>
      </c>
      <c r="CO741" s="196">
        <f t="shared" si="1958"/>
        <v>460.76198423419851</v>
      </c>
      <c r="CP741" s="589">
        <f t="shared" si="1818"/>
        <v>8.6892613185495296E-4</v>
      </c>
      <c r="CQ741" s="196">
        <f>'Detailed Budget'!$AC$12</f>
        <v>292876014141.44696</v>
      </c>
      <c r="CR741" s="269">
        <f t="shared" si="1861"/>
        <v>0</v>
      </c>
      <c r="CS741" s="269">
        <f>'Detailed Budget'!$AC$16</f>
        <v>10488008800.000002</v>
      </c>
      <c r="CT741" s="607">
        <f t="shared" si="1926"/>
        <v>0</v>
      </c>
      <c r="CU741" s="269">
        <f>'Detailed Budget'!$AC$24</f>
        <v>30624985696</v>
      </c>
      <c r="CV741" s="269">
        <f t="shared" si="1868"/>
        <v>0</v>
      </c>
      <c r="CW741" s="269"/>
      <c r="CX741" s="269">
        <f t="shared" si="1810"/>
        <v>0</v>
      </c>
      <c r="CY741" s="196">
        <f>'Detailed Budget'!$AC$97</f>
        <v>74629165494.837845</v>
      </c>
      <c r="CZ741" s="269">
        <f t="shared" si="1927"/>
        <v>87069341.496968016</v>
      </c>
      <c r="DA741" s="269">
        <f>'Detailed Budget'!$AC$100</f>
        <v>14925833098.967569</v>
      </c>
      <c r="DB741" s="269">
        <f t="shared" si="1928"/>
        <v>17413868.299393602</v>
      </c>
      <c r="DC741" s="269">
        <f t="shared" si="1799"/>
        <v>104483209.79636163</v>
      </c>
      <c r="DD741" s="207">
        <v>0</v>
      </c>
      <c r="DE741" s="606">
        <v>0</v>
      </c>
      <c r="DF741" s="269">
        <f>'Detailed Budget'!$AC$147</f>
        <v>5913600671000</v>
      </c>
      <c r="DG741" s="269">
        <f t="shared" si="1863"/>
        <v>0</v>
      </c>
      <c r="DH741" s="269">
        <f>'Detailed Budget'!$AC$153</f>
        <v>226428026880.00003</v>
      </c>
      <c r="DI741" s="269"/>
      <c r="DJ741" s="269">
        <f>'Detailed Budget'!$AC$156</f>
        <v>27713070000</v>
      </c>
      <c r="DK741" s="269"/>
      <c r="DL741" s="269"/>
      <c r="DM741" s="196">
        <f>'Detailed Budget'!$AC$178</f>
        <v>5622683761.6229038</v>
      </c>
      <c r="DN741" s="269">
        <f t="shared" si="1959"/>
        <v>0</v>
      </c>
      <c r="DO741" s="196">
        <f>'Detailed Budget'!$AC$179</f>
        <v>26827890683.128094</v>
      </c>
      <c r="DP741" s="269">
        <f t="shared" si="1960"/>
        <v>0</v>
      </c>
      <c r="DQ741" s="269">
        <f t="shared" si="1862"/>
        <v>0</v>
      </c>
      <c r="DR741" s="269">
        <f>'Detailed Budget'!$AC$181</f>
        <v>50888946855.375237</v>
      </c>
      <c r="DS741" s="269">
        <f t="shared" si="1961"/>
        <v>0</v>
      </c>
      <c r="DT741" s="269">
        <f t="shared" si="1962"/>
        <v>0</v>
      </c>
      <c r="DU741" s="272">
        <f>'Detailed Budget'!$AC$192</f>
        <v>77498869683.252869</v>
      </c>
      <c r="DV741" s="269">
        <f t="shared" si="1929"/>
        <v>64806988.233635522</v>
      </c>
      <c r="DW741" s="140">
        <f>'Detailed Budget'!$AC$194</f>
        <v>2684962805.4134097</v>
      </c>
      <c r="DX741" s="269">
        <f t="shared" si="1930"/>
        <v>2245250.2036397746</v>
      </c>
      <c r="DY741" s="607">
        <f t="shared" si="1800"/>
        <v>67052238.437275298</v>
      </c>
      <c r="DZ741" s="196">
        <f>'Detailed Budget'!$AC$198</f>
        <v>18732540018.380611</v>
      </c>
      <c r="EA741" s="269">
        <f t="shared" si="1931"/>
        <v>14984207.561589049</v>
      </c>
      <c r="EB741" s="196">
        <f>'Detailed Budget'!$AC$200</f>
        <v>4683135004.5951529</v>
      </c>
      <c r="EC741" s="269">
        <f t="shared" si="1932"/>
        <v>3746051.8903972623</v>
      </c>
      <c r="ED741" s="269">
        <f t="shared" si="1801"/>
        <v>18730259.451986313</v>
      </c>
      <c r="EE741" s="196">
        <f>'Detailed Budget'!$AC$161</f>
        <v>251147290106.36197</v>
      </c>
      <c r="EF741" s="269">
        <f t="shared" si="1933"/>
        <v>210017249.81738195</v>
      </c>
      <c r="EG741" s="196">
        <f>'Detailed Budget'!$AC$163</f>
        <v>15696705631.647623</v>
      </c>
      <c r="EH741" s="269">
        <f t="shared" si="1934"/>
        <v>13126078.113586372</v>
      </c>
      <c r="EI741" s="269">
        <f t="shared" si="1802"/>
        <v>223143327.93096831</v>
      </c>
      <c r="EJ741" s="196">
        <f>'Detailed Budget'!$AC$204</f>
        <v>45012172507.531975</v>
      </c>
      <c r="EK741" s="269">
        <f t="shared" si="1935"/>
        <v>6508977.2116545448</v>
      </c>
      <c r="EL741" s="201">
        <f>'Detailed Budget'!$AC$206</f>
        <v>11253043126.882994</v>
      </c>
      <c r="EM741" s="269">
        <f t="shared" si="1936"/>
        <v>1627244.3029136362</v>
      </c>
      <c r="EN741" s="269">
        <f t="shared" si="1803"/>
        <v>8136221.5145681808</v>
      </c>
      <c r="EO741" s="140">
        <f>'Detailed Budget'!$AC$209</f>
        <v>135789361677.54817</v>
      </c>
      <c r="EP741" s="269">
        <f t="shared" si="1937"/>
        <v>116053299.62295787</v>
      </c>
      <c r="EQ741" s="196">
        <f>'Detailed Budget'!$AC$211</f>
        <v>33947340419.387043</v>
      </c>
      <c r="ER741" s="269">
        <f t="shared" si="1938"/>
        <v>29013324.905739468</v>
      </c>
      <c r="ES741" s="269">
        <f t="shared" si="1804"/>
        <v>145066624.52869734</v>
      </c>
      <c r="ET741" s="196">
        <f>'Detailed Budget'!$AC$214</f>
        <v>22239745544.201103</v>
      </c>
      <c r="EU741" s="269">
        <f t="shared" si="1939"/>
        <v>18459381.014640417</v>
      </c>
      <c r="EV741" s="140">
        <f>'Detailed Budget'!$AC$217</f>
        <v>5559936386.0502758</v>
      </c>
      <c r="EW741" s="269">
        <f t="shared" si="1940"/>
        <v>4614845.2536601042</v>
      </c>
      <c r="EX741" s="269">
        <f t="shared" si="1805"/>
        <v>23074226.268300522</v>
      </c>
      <c r="EY741" s="196">
        <f>'Detailed Budget'!$AC$219</f>
        <v>372777004.58170313</v>
      </c>
      <c r="EZ741" s="269">
        <f t="shared" si="1941"/>
        <v>323915.68063565536</v>
      </c>
      <c r="FA741" s="196">
        <f>'Detailed Budget'!$AC$222</f>
        <v>93194251.145425782</v>
      </c>
      <c r="FB741" s="269">
        <f t="shared" si="1942"/>
        <v>80978.920158913839</v>
      </c>
      <c r="FC741" s="269">
        <f t="shared" si="1806"/>
        <v>404894.60079456918</v>
      </c>
      <c r="FD741" s="269"/>
      <c r="FE741" s="269">
        <f t="shared" si="1807"/>
        <v>176681966.91236064</v>
      </c>
      <c r="FF741" s="140">
        <f>'Detailed Budget'!$AC$165</f>
        <v>14927760000</v>
      </c>
      <c r="FG741" s="1087">
        <f t="shared" si="1864"/>
        <v>241005898.12868106</v>
      </c>
      <c r="FH741" s="269">
        <f t="shared" si="1943"/>
        <v>18657579.820474949</v>
      </c>
      <c r="FJ741" s="140">
        <f>'Detailed Budget'!$AC$235</f>
        <v>3623696172</v>
      </c>
      <c r="FK741" s="269">
        <f t="shared" si="1944"/>
        <v>4681778</v>
      </c>
      <c r="FL741" s="269">
        <f t="shared" si="1865"/>
        <v>4681778</v>
      </c>
      <c r="FO741" s="607"/>
      <c r="FP741" s="607"/>
      <c r="FQ741" s="607"/>
      <c r="FR741" s="269">
        <f>'Detailed Budget'!$AC$257</f>
        <v>13636439388</v>
      </c>
      <c r="FS741" s="269">
        <f t="shared" si="1945"/>
        <v>11992032</v>
      </c>
      <c r="FT741" s="269">
        <f t="shared" si="1866"/>
        <v>11992032</v>
      </c>
      <c r="FU741" s="269"/>
      <c r="FV741" s="269"/>
      <c r="FW741" s="269"/>
      <c r="FX741" s="140">
        <f>'Detailed Budget'!$AC$278</f>
        <v>1114560000</v>
      </c>
      <c r="FY741" s="269">
        <f t="shared" si="1946"/>
        <v>1440000</v>
      </c>
      <c r="FZ741" s="269">
        <f t="shared" si="1867"/>
        <v>1440000</v>
      </c>
      <c r="GB741" s="269">
        <f t="shared" si="1899"/>
        <v>867868290.47810829</v>
      </c>
      <c r="GC741" s="887">
        <f t="shared" si="1808"/>
        <v>542417.68154881767</v>
      </c>
      <c r="GD741" s="1078">
        <f t="shared" si="1900"/>
        <v>4.869882261812192E-4</v>
      </c>
    </row>
    <row r="742" spans="1:186" hidden="1" outlineLevel="1">
      <c r="A742" s="211" t="s">
        <v>1569</v>
      </c>
      <c r="B742" s="212" t="s">
        <v>1570</v>
      </c>
      <c r="C742" s="213" t="s">
        <v>215</v>
      </c>
      <c r="D742" s="214"/>
      <c r="E742" s="213"/>
      <c r="F742" s="213"/>
      <c r="G742" s="213" t="s">
        <v>215</v>
      </c>
      <c r="H742" s="213" t="s">
        <v>215</v>
      </c>
      <c r="I742" s="214" t="s">
        <v>215</v>
      </c>
      <c r="J742" s="214"/>
      <c r="K742" s="213"/>
      <c r="L742" s="213"/>
      <c r="M742" s="214"/>
      <c r="N742" s="213"/>
      <c r="O742" s="214" t="s">
        <v>215</v>
      </c>
      <c r="P742" s="213"/>
      <c r="Q742" s="214" t="s">
        <v>215</v>
      </c>
      <c r="R742" s="214"/>
      <c r="S742" s="214"/>
      <c r="T742" s="214"/>
      <c r="U742" s="215">
        <f t="shared" si="1905"/>
        <v>6</v>
      </c>
      <c r="V742" s="845" t="s">
        <v>1073</v>
      </c>
      <c r="W742" s="216">
        <v>427737</v>
      </c>
      <c r="X742" s="217">
        <v>3.24</v>
      </c>
      <c r="Y742" s="218">
        <f t="shared" ref="Y742:Y808" si="1965">1+X742/100</f>
        <v>1.0324</v>
      </c>
      <c r="Z742" s="196">
        <v>19</v>
      </c>
      <c r="AA742" s="218">
        <f t="shared" ref="AA742:AA808" si="1966">POWER(Y742,Z742)</f>
        <v>1.8327866870051304</v>
      </c>
      <c r="AB742" s="196">
        <f t="shared" si="1902"/>
        <v>783950.67913951341</v>
      </c>
      <c r="AC742">
        <v>12.6</v>
      </c>
      <c r="AD742" s="196">
        <f t="shared" si="1903"/>
        <v>98777.785571578686</v>
      </c>
      <c r="AE742" s="196">
        <f t="shared" ref="AE742:AE808" si="1967">AD742*0.95</f>
        <v>93838.896292999751</v>
      </c>
      <c r="AF742" s="196">
        <f t="shared" si="1947"/>
        <v>0</v>
      </c>
      <c r="AG742" s="606">
        <f t="shared" si="1811"/>
        <v>4.3386986041145598E-3</v>
      </c>
      <c r="AH742" s="196">
        <f t="shared" si="1963"/>
        <v>39197.533956975669</v>
      </c>
      <c r="AI742" s="248">
        <f t="shared" si="1964"/>
        <v>3.0365735655819661E-3</v>
      </c>
      <c r="AJ742" s="196">
        <f t="shared" ref="AJ742:AJ802" si="1968">AD742+AH742</f>
        <v>137975.31952855436</v>
      </c>
      <c r="AK742" s="196">
        <f t="shared" si="1858"/>
        <v>31358.027165580537</v>
      </c>
      <c r="AL742" s="196">
        <f t="shared" si="1859"/>
        <v>31358.027165580537</v>
      </c>
      <c r="AM742" s="196">
        <f t="shared" ref="AM742:AM802" si="1969">AK742+AL742</f>
        <v>62716.054331161075</v>
      </c>
      <c r="AN742" s="627">
        <f t="shared" ref="AN742:AN802" si="1970">AM742/20653560</f>
        <v>3.0365735655819661E-3</v>
      </c>
      <c r="AO742" s="196">
        <f t="shared" ref="AO742:AO802" si="1971">AB742*0.038</f>
        <v>29790.125807301509</v>
      </c>
      <c r="AP742" s="589">
        <f t="shared" si="1812"/>
        <v>3.0365735655819661E-3</v>
      </c>
      <c r="AQ742" s="196"/>
      <c r="AR742" s="589"/>
      <c r="AS742">
        <v>1</v>
      </c>
      <c r="AT742" s="589">
        <f t="shared" si="1813"/>
        <v>1.2919896640826874E-3</v>
      </c>
      <c r="AU742" s="196">
        <v>11</v>
      </c>
      <c r="AV742" s="245">
        <f t="shared" ref="AV742:AV802" si="1972">AU742/8801</f>
        <v>1.2498579706851495E-3</v>
      </c>
      <c r="AX742" s="245"/>
      <c r="AY742" s="245"/>
      <c r="AZ742" s="196">
        <v>12</v>
      </c>
      <c r="BA742" s="589">
        <f t="shared" si="1871"/>
        <v>4.3970539738375289E-4</v>
      </c>
      <c r="BI742" s="196">
        <v>0</v>
      </c>
      <c r="BK742" s="246">
        <f t="shared" si="1872"/>
        <v>0</v>
      </c>
      <c r="BL742" s="246"/>
      <c r="BM742" s="246">
        <f t="shared" si="1873"/>
        <v>0</v>
      </c>
      <c r="BN742" s="196">
        <v>1</v>
      </c>
      <c r="BO742" s="196">
        <f t="shared" si="1948"/>
        <v>45288.906841463664</v>
      </c>
      <c r="BP742" s="196">
        <f t="shared" ref="BP742:BP802" si="1973">BN742*BO742</f>
        <v>45288.906841463664</v>
      </c>
      <c r="BQ742" s="248">
        <f t="shared" si="1874"/>
        <v>4.236566335992952E-3</v>
      </c>
      <c r="BR742" s="248"/>
      <c r="BS742" s="248"/>
      <c r="BT742" s="276">
        <v>0</v>
      </c>
      <c r="BU742" s="196">
        <f t="shared" si="1949"/>
        <v>0</v>
      </c>
      <c r="BV742" s="264">
        <f t="shared" si="1875"/>
        <v>0</v>
      </c>
      <c r="BW742" s="196">
        <f t="shared" si="1950"/>
        <v>0</v>
      </c>
      <c r="BX742" s="247">
        <f t="shared" si="1876"/>
        <v>0</v>
      </c>
      <c r="BY742" s="196">
        <f t="shared" si="1951"/>
        <v>0</v>
      </c>
      <c r="BZ742" s="620">
        <v>1</v>
      </c>
      <c r="CA742" s="196">
        <f t="shared" si="1952"/>
        <v>239888.90781669112</v>
      </c>
      <c r="CB742" s="196">
        <f t="shared" si="1953"/>
        <v>479777.81563338224</v>
      </c>
      <c r="CC742" s="196">
        <f t="shared" si="1809"/>
        <v>719666.72345007339</v>
      </c>
      <c r="CD742" s="247">
        <f t="shared" ref="CD742:CD802" si="1974">CC742/236999601</f>
        <v>3.0365735655819666E-3</v>
      </c>
      <c r="CE742" s="196">
        <f t="shared" si="1954"/>
        <v>67263.665707628228</v>
      </c>
      <c r="CF742" s="247">
        <f t="shared" ref="CF742:CF802" si="1975">CE742/23157202</f>
        <v>2.9046542716010433E-3</v>
      </c>
      <c r="CG742" s="196">
        <f t="shared" si="1924"/>
        <v>119160.50322920604</v>
      </c>
      <c r="CH742" s="589">
        <f t="shared" si="1814"/>
        <v>3.0365735655819661E-3</v>
      </c>
      <c r="CI742" s="196">
        <f t="shared" si="1955"/>
        <v>31940.254089002239</v>
      </c>
      <c r="CJ742" s="248">
        <f t="shared" si="1815"/>
        <v>5.2509769614811255E-4</v>
      </c>
      <c r="CK742" s="196">
        <f t="shared" si="1956"/>
        <v>215891.23704368962</v>
      </c>
      <c r="CL742" s="589">
        <f t="shared" si="1816"/>
        <v>3.1034809394359306E-3</v>
      </c>
      <c r="CM742" s="196">
        <f t="shared" si="1957"/>
        <v>20914.448921764331</v>
      </c>
      <c r="CN742" s="589">
        <f t="shared" si="1817"/>
        <v>3.0140097750399018E-3</v>
      </c>
      <c r="CO742" s="196">
        <f t="shared" si="1958"/>
        <v>1673.1465269615626</v>
      </c>
      <c r="CP742" s="589">
        <f t="shared" si="1818"/>
        <v>3.1552966378413146E-3</v>
      </c>
      <c r="CQ742" s="196">
        <f>'Detailed Budget'!$AC$12</f>
        <v>292876014141.44696</v>
      </c>
      <c r="CR742" s="269">
        <f t="shared" si="1861"/>
        <v>0</v>
      </c>
      <c r="CS742" s="269">
        <f>'Detailed Budget'!$AC$16</f>
        <v>10488008800.000002</v>
      </c>
      <c r="CT742" s="607">
        <f t="shared" si="1926"/>
        <v>0</v>
      </c>
      <c r="CU742" s="269">
        <f>'Detailed Budget'!$AC$24</f>
        <v>30624985696</v>
      </c>
      <c r="CV742" s="269">
        <f t="shared" si="1868"/>
        <v>0</v>
      </c>
      <c r="CW742" s="269"/>
      <c r="CX742" s="269">
        <f t="shared" si="1810"/>
        <v>0</v>
      </c>
      <c r="CY742" s="196">
        <f>'Detailed Budget'!$AC$97</f>
        <v>74629165494.837845</v>
      </c>
      <c r="CZ742" s="269">
        <f t="shared" si="1927"/>
        <v>316171410.21867681</v>
      </c>
      <c r="DA742" s="269">
        <f>'Detailed Budget'!$AC$100</f>
        <v>14925833098.967569</v>
      </c>
      <c r="DB742" s="269">
        <f t="shared" si="1928"/>
        <v>63234282.043735363</v>
      </c>
      <c r="DC742" s="269">
        <f t="shared" ref="DC742:DC802" si="1976">CZ742+DB742</f>
        <v>379405692.26241219</v>
      </c>
      <c r="DD742" s="207">
        <v>0</v>
      </c>
      <c r="DE742" s="606">
        <v>0</v>
      </c>
      <c r="DF742" s="269">
        <f>'Detailed Budget'!$AC$147</f>
        <v>5913600671000</v>
      </c>
      <c r="DG742" s="269">
        <f t="shared" si="1863"/>
        <v>0</v>
      </c>
      <c r="DH742" s="269">
        <f>'Detailed Budget'!$AC$153</f>
        <v>226428026880.00003</v>
      </c>
      <c r="DI742" s="269"/>
      <c r="DJ742" s="269">
        <f>'Detailed Budget'!$AC$156</f>
        <v>27713070000</v>
      </c>
      <c r="DK742" s="269"/>
      <c r="DL742" s="269"/>
      <c r="DM742" s="196">
        <f>'Detailed Budget'!$AC$178</f>
        <v>5622683761.6229038</v>
      </c>
      <c r="DN742" s="269">
        <f t="shared" si="1959"/>
        <v>0</v>
      </c>
      <c r="DO742" s="196">
        <f>'Detailed Budget'!$AC$179</f>
        <v>26827890683.128094</v>
      </c>
      <c r="DP742" s="269">
        <f t="shared" si="1960"/>
        <v>0</v>
      </c>
      <c r="DQ742" s="269">
        <f t="shared" si="1862"/>
        <v>0</v>
      </c>
      <c r="DR742" s="269">
        <f>'Detailed Budget'!$AC$181</f>
        <v>50888946855.375237</v>
      </c>
      <c r="DS742" s="269">
        <f t="shared" si="1961"/>
        <v>0</v>
      </c>
      <c r="DT742" s="269">
        <f t="shared" si="1962"/>
        <v>0</v>
      </c>
      <c r="DU742" s="272">
        <f>'Detailed Budget'!$AC$192</f>
        <v>77498869683.252869</v>
      </c>
      <c r="DV742" s="269">
        <f t="shared" si="1929"/>
        <v>235331019.04264733</v>
      </c>
      <c r="DW742" s="140">
        <f>'Detailed Budget'!$AC$194</f>
        <v>2684962805.4134097</v>
      </c>
      <c r="DX742" s="269">
        <f t="shared" si="1930"/>
        <v>8153087.0794891566</v>
      </c>
      <c r="DY742" s="607">
        <f t="shared" ref="DY742:DY802" si="1977">DV742+DX742</f>
        <v>243484106.12213647</v>
      </c>
      <c r="DZ742" s="196">
        <f>'Detailed Budget'!$AC$198</f>
        <v>18732540018.380611</v>
      </c>
      <c r="EA742" s="269">
        <f t="shared" si="1931"/>
        <v>54411552.38232673</v>
      </c>
      <c r="EB742" s="196">
        <f>'Detailed Budget'!$AC$200</f>
        <v>4683135004.5951529</v>
      </c>
      <c r="EC742" s="269">
        <f t="shared" si="1932"/>
        <v>13602888.095581682</v>
      </c>
      <c r="ED742" s="269">
        <f t="shared" ref="ED742:ED802" si="1978">EA742+EC742</f>
        <v>68014440.477908418</v>
      </c>
      <c r="EE742" s="196">
        <f>'Detailed Budget'!$AC$161</f>
        <v>251147290106.36197</v>
      </c>
      <c r="EF742" s="269">
        <f t="shared" si="1933"/>
        <v>762627222.20452404</v>
      </c>
      <c r="EG742" s="196">
        <f>'Detailed Budget'!$AC$163</f>
        <v>15696705631.647623</v>
      </c>
      <c r="EH742" s="269">
        <f t="shared" si="1934"/>
        <v>47664201.387782753</v>
      </c>
      <c r="EI742" s="269">
        <f t="shared" ref="EI742:EI802" si="1979">EF742+EH742</f>
        <v>810291423.59230685</v>
      </c>
      <c r="EJ742" s="196">
        <f>'Detailed Budget'!$AC$204</f>
        <v>45012172507.531975</v>
      </c>
      <c r="EK742" s="269">
        <f t="shared" si="1935"/>
        <v>23635788.082326449</v>
      </c>
      <c r="EL742" s="201">
        <f>'Detailed Budget'!$AC$206</f>
        <v>11253043126.882994</v>
      </c>
      <c r="EM742" s="269">
        <f t="shared" si="1936"/>
        <v>5908947.0205816124</v>
      </c>
      <c r="EN742" s="269">
        <f t="shared" ref="EN742:EN802" si="1980">EK742+EM742</f>
        <v>29544735.10290806</v>
      </c>
      <c r="EO742" s="140">
        <f>'Detailed Budget'!$AC$209</f>
        <v>135789361677.54817</v>
      </c>
      <c r="EP742" s="269">
        <f t="shared" si="1937"/>
        <v>421419695.74444252</v>
      </c>
      <c r="EQ742" s="196">
        <f>'Detailed Budget'!$AC$211</f>
        <v>33947340419.387043</v>
      </c>
      <c r="ER742" s="269">
        <f t="shared" si="1938"/>
        <v>105354923.93611063</v>
      </c>
      <c r="ES742" s="269">
        <f t="shared" ref="ES742:ES802" si="1981">EP742+ER742</f>
        <v>526774619.68055314</v>
      </c>
      <c r="ET742" s="196">
        <f>'Detailed Budget'!$AC$214</f>
        <v>22239745544.201103</v>
      </c>
      <c r="EU742" s="269">
        <f t="shared" si="1939"/>
        <v>67030810.464622229</v>
      </c>
      <c r="EV742" s="140">
        <f>'Detailed Budget'!$AC$217</f>
        <v>5559936386.0502758</v>
      </c>
      <c r="EW742" s="269">
        <f t="shared" si="1940"/>
        <v>16757702.616155557</v>
      </c>
      <c r="EX742" s="269">
        <f t="shared" ref="EX742:EX802" si="1982">EU742+EW742</f>
        <v>83788513.080777794</v>
      </c>
      <c r="EY742" s="196">
        <f>'Detailed Budget'!$AC$219</f>
        <v>372777004.58170313</v>
      </c>
      <c r="EZ742" s="269">
        <f t="shared" si="1941"/>
        <v>1176222.0292212041</v>
      </c>
      <c r="FA742" s="196">
        <f>'Detailed Budget'!$AC$222</f>
        <v>93194251.145425782</v>
      </c>
      <c r="FB742" s="269">
        <f t="shared" si="1942"/>
        <v>294055.50730530103</v>
      </c>
      <c r="FC742" s="269">
        <f t="shared" ref="FC742:FC802" si="1983">EZ742+FB742</f>
        <v>1470277.5365265051</v>
      </c>
      <c r="FD742" s="269"/>
      <c r="FE742" s="269">
        <f t="shared" ref="FE742:FE802" si="1984">EN742+ES742+EX742+FC742</f>
        <v>641578145.40076554</v>
      </c>
      <c r="FF742" s="140">
        <f>'Detailed Budget'!$AC$165</f>
        <v>14927760000</v>
      </c>
      <c r="FG742" s="1087">
        <f t="shared" si="1864"/>
        <v>875155058.8563633</v>
      </c>
      <c r="FH742" s="269">
        <f t="shared" si="1943"/>
        <v>18657579.820474949</v>
      </c>
      <c r="FJ742" s="140">
        <f>'Detailed Budget'!$AC$235</f>
        <v>3623696172</v>
      </c>
      <c r="FK742" s="269">
        <f t="shared" si="1944"/>
        <v>4681778</v>
      </c>
      <c r="FL742" s="269">
        <f t="shared" si="1865"/>
        <v>4681778</v>
      </c>
      <c r="FO742" s="607"/>
      <c r="FP742" s="607"/>
      <c r="FQ742" s="607"/>
      <c r="FR742" s="269">
        <f>'Detailed Budget'!$AC$257</f>
        <v>13636439388</v>
      </c>
      <c r="FS742" s="269">
        <f t="shared" si="1945"/>
        <v>5996016</v>
      </c>
      <c r="FT742" s="269">
        <f t="shared" si="1866"/>
        <v>5996016</v>
      </c>
      <c r="FU742" s="269"/>
      <c r="FV742" s="269"/>
      <c r="FW742" s="269"/>
      <c r="FX742" s="140">
        <f>'Detailed Budget'!$AC$278</f>
        <v>1114560000</v>
      </c>
      <c r="FY742" s="269">
        <f t="shared" si="1946"/>
        <v>1440000</v>
      </c>
      <c r="FZ742" s="269">
        <f t="shared" si="1867"/>
        <v>1440000</v>
      </c>
      <c r="GB742" s="269">
        <f t="shared" si="1899"/>
        <v>3048704240.5323677</v>
      </c>
      <c r="GC742" s="887">
        <f t="shared" ref="GC742:GC802" si="1985">GB742/1600</f>
        <v>1905440.1503327298</v>
      </c>
      <c r="GD742" s="1078">
        <f t="shared" si="1900"/>
        <v>1.7107239503244295E-3</v>
      </c>
    </row>
    <row r="743" spans="1:186" hidden="1" outlineLevel="1">
      <c r="A743" s="211" t="s">
        <v>1571</v>
      </c>
      <c r="B743" s="212" t="s">
        <v>1572</v>
      </c>
      <c r="C743" s="213" t="s">
        <v>215</v>
      </c>
      <c r="D743" s="214"/>
      <c r="E743" s="213"/>
      <c r="F743" s="213"/>
      <c r="G743" s="213" t="s">
        <v>215</v>
      </c>
      <c r="H743" s="213" t="s">
        <v>215</v>
      </c>
      <c r="I743" s="214" t="s">
        <v>215</v>
      </c>
      <c r="J743" s="214"/>
      <c r="K743" s="213"/>
      <c r="L743" s="213"/>
      <c r="M743" s="214"/>
      <c r="N743" s="213" t="s">
        <v>215</v>
      </c>
      <c r="O743" s="214"/>
      <c r="P743" s="213"/>
      <c r="Q743" s="214" t="s">
        <v>215</v>
      </c>
      <c r="R743" s="214"/>
      <c r="S743" s="214"/>
      <c r="T743" s="214"/>
      <c r="U743" s="215">
        <f t="shared" si="1905"/>
        <v>6</v>
      </c>
      <c r="V743" s="845" t="s">
        <v>1073</v>
      </c>
      <c r="W743" s="216">
        <v>317614</v>
      </c>
      <c r="X743" s="217">
        <v>3.24</v>
      </c>
      <c r="Y743" s="218">
        <f t="shared" si="1965"/>
        <v>1.0324</v>
      </c>
      <c r="Z743" s="196">
        <v>19</v>
      </c>
      <c r="AA743" s="218">
        <f t="shared" si="1966"/>
        <v>1.8327866870051304</v>
      </c>
      <c r="AB743" s="196">
        <f t="shared" si="1902"/>
        <v>582118.71080644743</v>
      </c>
      <c r="AC743">
        <v>12.6</v>
      </c>
      <c r="AD743" s="196">
        <f t="shared" si="1903"/>
        <v>73346.957561612377</v>
      </c>
      <c r="AE743" s="196">
        <f t="shared" si="1967"/>
        <v>69679.609683531758</v>
      </c>
      <c r="AF743" s="196">
        <f t="shared" si="1947"/>
        <v>0</v>
      </c>
      <c r="AG743" s="606">
        <f t="shared" si="1811"/>
        <v>3.221679252548276E-3</v>
      </c>
      <c r="AH743" s="196">
        <f t="shared" si="1963"/>
        <v>29105.935540322374</v>
      </c>
      <c r="AI743" s="248">
        <f t="shared" si="1964"/>
        <v>2.254792726508931E-3</v>
      </c>
      <c r="AJ743" s="196">
        <f t="shared" si="1968"/>
        <v>102452.89310193475</v>
      </c>
      <c r="AK743" s="196">
        <f t="shared" si="1858"/>
        <v>23284.748432257897</v>
      </c>
      <c r="AL743" s="196">
        <f t="shared" si="1859"/>
        <v>23284.748432257897</v>
      </c>
      <c r="AM743" s="196">
        <f t="shared" si="1969"/>
        <v>46569.496864515793</v>
      </c>
      <c r="AN743" s="627">
        <f t="shared" si="1970"/>
        <v>2.254792726508931E-3</v>
      </c>
      <c r="AO743" s="196">
        <f t="shared" si="1971"/>
        <v>22120.511010645001</v>
      </c>
      <c r="AP743" s="589">
        <f t="shared" si="1812"/>
        <v>2.254792726508931E-3</v>
      </c>
      <c r="AQ743" s="196"/>
      <c r="AR743" s="589"/>
      <c r="AS743">
        <v>1</v>
      </c>
      <c r="AT743" s="589">
        <f t="shared" si="1813"/>
        <v>1.2919896640826874E-3</v>
      </c>
      <c r="AU743" s="196">
        <v>10</v>
      </c>
      <c r="AV743" s="245">
        <f t="shared" si="1972"/>
        <v>1.1362345188046814E-3</v>
      </c>
      <c r="AX743" s="245"/>
      <c r="AY743" s="245"/>
      <c r="AZ743" s="196">
        <v>27</v>
      </c>
      <c r="BA743" s="589">
        <f t="shared" si="1871"/>
        <v>9.8933714411344391E-4</v>
      </c>
      <c r="BI743" s="196">
        <v>0</v>
      </c>
      <c r="BK743" s="246">
        <f t="shared" si="1872"/>
        <v>0</v>
      </c>
      <c r="BL743" s="246"/>
      <c r="BM743" s="246">
        <f t="shared" si="1873"/>
        <v>0</v>
      </c>
      <c r="BN743" s="196">
        <v>1</v>
      </c>
      <c r="BO743" s="196">
        <f t="shared" si="1948"/>
        <v>33629.054436592211</v>
      </c>
      <c r="BP743" s="196">
        <f t="shared" si="1973"/>
        <v>33629.054436592211</v>
      </c>
      <c r="BQ743" s="248">
        <f t="shared" si="1874"/>
        <v>3.1458414405114957E-3</v>
      </c>
      <c r="BR743" s="248"/>
      <c r="BS743" s="248"/>
      <c r="BT743" s="276">
        <v>0</v>
      </c>
      <c r="BU743" s="196">
        <f t="shared" si="1949"/>
        <v>0</v>
      </c>
      <c r="BV743" s="264">
        <f t="shared" si="1875"/>
        <v>0</v>
      </c>
      <c r="BW743" s="196">
        <f t="shared" si="1950"/>
        <v>0</v>
      </c>
      <c r="BX743" s="247">
        <f t="shared" si="1876"/>
        <v>0</v>
      </c>
      <c r="BY743" s="196">
        <f t="shared" si="1951"/>
        <v>0</v>
      </c>
      <c r="BZ743" s="620">
        <v>1</v>
      </c>
      <c r="CA743" s="196">
        <f t="shared" si="1952"/>
        <v>178128.3255067729</v>
      </c>
      <c r="CB743" s="196">
        <f t="shared" si="1953"/>
        <v>356256.65101354581</v>
      </c>
      <c r="CC743" s="196">
        <f t="shared" ref="CC743:CC803" si="1986">CA743+CB743</f>
        <v>534384.97652031877</v>
      </c>
      <c r="CD743" s="247">
        <f t="shared" si="1974"/>
        <v>2.254792726508931E-3</v>
      </c>
      <c r="CE743" s="196">
        <f t="shared" si="1954"/>
        <v>49946.303265938266</v>
      </c>
      <c r="CF743" s="247">
        <f t="shared" si="1975"/>
        <v>2.1568367053125962E-3</v>
      </c>
      <c r="CG743" s="196">
        <f t="shared" si="1924"/>
        <v>88482.044042580004</v>
      </c>
      <c r="CH743" s="589">
        <f t="shared" si="1814"/>
        <v>2.254792726508931E-3</v>
      </c>
      <c r="CI743" s="196">
        <f t="shared" si="1955"/>
        <v>23717.078163040274</v>
      </c>
      <c r="CJ743" s="248">
        <f t="shared" si="1815"/>
        <v>3.8990870479847811E-4</v>
      </c>
      <c r="CK743" s="196">
        <f t="shared" si="1956"/>
        <v>160308.97341682957</v>
      </c>
      <c r="CL743" s="589">
        <f t="shared" si="1816"/>
        <v>2.3044744670159549E-3</v>
      </c>
      <c r="CM743" s="196">
        <f t="shared" si="1957"/>
        <v>15529.92090896335</v>
      </c>
      <c r="CN743" s="589">
        <f t="shared" si="1817"/>
        <v>2.2380380951134071E-3</v>
      </c>
      <c r="CO743" s="196">
        <f t="shared" si="1958"/>
        <v>1242.386702610178</v>
      </c>
      <c r="CP743" s="589">
        <f t="shared" si="1818"/>
        <v>2.3429499583419982E-3</v>
      </c>
      <c r="CQ743" s="196">
        <f>'Detailed Budget'!$AC$12</f>
        <v>292876014141.44696</v>
      </c>
      <c r="CR743" s="269">
        <f t="shared" si="1861"/>
        <v>0</v>
      </c>
      <c r="CS743" s="269">
        <f>'Detailed Budget'!$AC$16</f>
        <v>10488008800.000002</v>
      </c>
      <c r="CT743" s="607">
        <f t="shared" si="1926"/>
        <v>0</v>
      </c>
      <c r="CU743" s="269">
        <f>'Detailed Budget'!$AC$24</f>
        <v>30624985696</v>
      </c>
      <c r="CV743" s="269">
        <f t="shared" si="1868"/>
        <v>0</v>
      </c>
      <c r="CW743" s="269"/>
      <c r="CX743" s="269">
        <f t="shared" ref="CX743:CX803" si="1987">CR743+CT743+CV743+CW743</f>
        <v>0</v>
      </c>
      <c r="CY743" s="196">
        <f>'Detailed Budget'!$AC$97</f>
        <v>74629165494.837845</v>
      </c>
      <c r="CZ743" s="269">
        <f t="shared" si="1927"/>
        <v>234771521.4844515</v>
      </c>
      <c r="DA743" s="269">
        <f>'Detailed Budget'!$AC$100</f>
        <v>14925833098.967569</v>
      </c>
      <c r="DB743" s="269">
        <f t="shared" si="1928"/>
        <v>46954304.296890303</v>
      </c>
      <c r="DC743" s="269">
        <f t="shared" si="1976"/>
        <v>281725825.78134179</v>
      </c>
      <c r="DD743" s="207">
        <v>0</v>
      </c>
      <c r="DE743" s="606">
        <v>0</v>
      </c>
      <c r="DF743" s="269">
        <f>'Detailed Budget'!$AC$147</f>
        <v>5913600671000</v>
      </c>
      <c r="DG743" s="269">
        <f t="shared" si="1863"/>
        <v>0</v>
      </c>
      <c r="DH743" s="269">
        <f>'Detailed Budget'!$AC$153</f>
        <v>226428026880.00003</v>
      </c>
      <c r="DI743" s="269"/>
      <c r="DJ743" s="269">
        <f>'Detailed Budget'!$AC$156</f>
        <v>27713070000</v>
      </c>
      <c r="DK743" s="269"/>
      <c r="DL743" s="269"/>
      <c r="DM743" s="196">
        <f>'Detailed Budget'!$AC$178</f>
        <v>5622683761.6229038</v>
      </c>
      <c r="DN743" s="269">
        <f t="shared" si="1959"/>
        <v>0</v>
      </c>
      <c r="DO743" s="196">
        <f>'Detailed Budget'!$AC$179</f>
        <v>26827890683.128094</v>
      </c>
      <c r="DP743" s="269">
        <f t="shared" si="1960"/>
        <v>0</v>
      </c>
      <c r="DQ743" s="269">
        <f t="shared" si="1862"/>
        <v>0</v>
      </c>
      <c r="DR743" s="269">
        <f>'Detailed Budget'!$AC$181</f>
        <v>50888946855.375237</v>
      </c>
      <c r="DS743" s="269">
        <f t="shared" si="1961"/>
        <v>0</v>
      </c>
      <c r="DT743" s="269">
        <f t="shared" si="1962"/>
        <v>0</v>
      </c>
      <c r="DU743" s="272">
        <f>'Detailed Budget'!$AC$192</f>
        <v>77498869683.252869</v>
      </c>
      <c r="DV743" s="269">
        <f t="shared" si="1929"/>
        <v>174743887.67446208</v>
      </c>
      <c r="DW743" s="140">
        <f>'Detailed Budget'!$AC$194</f>
        <v>2684962805.4134097</v>
      </c>
      <c r="DX743" s="269">
        <f t="shared" si="1930"/>
        <v>6054034.6045931699</v>
      </c>
      <c r="DY743" s="607">
        <f t="shared" si="1977"/>
        <v>180797922.27905524</v>
      </c>
      <c r="DZ743" s="196">
        <f>'Detailed Budget'!$AC$198</f>
        <v>18732540018.380611</v>
      </c>
      <c r="EA743" s="269">
        <f t="shared" si="1931"/>
        <v>40403029.8953804</v>
      </c>
      <c r="EB743" s="196">
        <f>'Detailed Budget'!$AC$200</f>
        <v>4683135004.5951529</v>
      </c>
      <c r="EC743" s="269">
        <f t="shared" si="1932"/>
        <v>10100757.4738451</v>
      </c>
      <c r="ED743" s="269">
        <f t="shared" si="1978"/>
        <v>50503787.369225502</v>
      </c>
      <c r="EE743" s="196">
        <f>'Detailed Budget'!$AC$161</f>
        <v>251147290106.36197</v>
      </c>
      <c r="EF743" s="269">
        <f t="shared" si="1933"/>
        <v>566285083.01425338</v>
      </c>
      <c r="EG743" s="196">
        <f>'Detailed Budget'!$AC$163</f>
        <v>15696705631.647623</v>
      </c>
      <c r="EH743" s="269">
        <f t="shared" si="1934"/>
        <v>35392817.688390836</v>
      </c>
      <c r="EI743" s="269">
        <f t="shared" si="1979"/>
        <v>601677900.70264423</v>
      </c>
      <c r="EJ743" s="196">
        <f>'Detailed Budget'!$AC$204</f>
        <v>45012172507.531975</v>
      </c>
      <c r="EK743" s="269">
        <f t="shared" si="1935"/>
        <v>17550637.882577457</v>
      </c>
      <c r="EL743" s="201">
        <f>'Detailed Budget'!$AC$206</f>
        <v>11253043126.882994</v>
      </c>
      <c r="EM743" s="269">
        <f t="shared" si="1936"/>
        <v>4387659.4706443641</v>
      </c>
      <c r="EN743" s="269">
        <f t="shared" si="1980"/>
        <v>21938297.353221819</v>
      </c>
      <c r="EO743" s="140">
        <f>'Detailed Budget'!$AC$209</f>
        <v>135789361677.54817</v>
      </c>
      <c r="EP743" s="269">
        <f t="shared" si="1937"/>
        <v>312923116.87830454</v>
      </c>
      <c r="EQ743" s="196">
        <f>'Detailed Budget'!$AC$211</f>
        <v>33947340419.387043</v>
      </c>
      <c r="ER743" s="269">
        <f t="shared" si="1938"/>
        <v>78230779.219576135</v>
      </c>
      <c r="ES743" s="269">
        <f t="shared" si="1981"/>
        <v>391153896.09788066</v>
      </c>
      <c r="ET743" s="196">
        <f>'Detailed Budget'!$AC$214</f>
        <v>22239745544.201103</v>
      </c>
      <c r="EU743" s="269">
        <f t="shared" si="1939"/>
        <v>49773397.753550723</v>
      </c>
      <c r="EV743" s="140">
        <f>'Detailed Budget'!$AC$217</f>
        <v>5559936386.0502758</v>
      </c>
      <c r="EW743" s="269">
        <f t="shared" si="1940"/>
        <v>12443349.438387681</v>
      </c>
      <c r="EX743" s="269">
        <f t="shared" si="1982"/>
        <v>62216747.1919384</v>
      </c>
      <c r="EY743" s="196">
        <f>'Detailed Budget'!$AC$219</f>
        <v>372777004.58170313</v>
      </c>
      <c r="EZ743" s="269">
        <f t="shared" si="1941"/>
        <v>873397.86735555623</v>
      </c>
      <c r="FA743" s="196">
        <f>'Detailed Budget'!$AC$222</f>
        <v>93194251.145425782</v>
      </c>
      <c r="FB743" s="269">
        <f t="shared" si="1942"/>
        <v>218349.46683888906</v>
      </c>
      <c r="FC743" s="269">
        <f t="shared" si="1983"/>
        <v>1091747.3341944453</v>
      </c>
      <c r="FD743" s="269"/>
      <c r="FE743" s="269">
        <f t="shared" si="1984"/>
        <v>476400687.97723532</v>
      </c>
      <c r="FF743" s="140">
        <f>'Detailed Budget'!$AC$165</f>
        <v>14927760000</v>
      </c>
      <c r="FG743" s="1087">
        <f t="shared" si="1864"/>
        <v>649842073.19826186</v>
      </c>
      <c r="FH743" s="269">
        <f t="shared" si="1943"/>
        <v>16961436.200431772</v>
      </c>
      <c r="FJ743" s="140">
        <f>'Detailed Budget'!$AC$235</f>
        <v>3623696172</v>
      </c>
      <c r="FK743" s="269">
        <f t="shared" si="1944"/>
        <v>4681778</v>
      </c>
      <c r="FL743" s="269">
        <f t="shared" si="1865"/>
        <v>4681778</v>
      </c>
      <c r="FO743" s="607"/>
      <c r="FP743" s="607"/>
      <c r="FQ743" s="607"/>
      <c r="FR743" s="269">
        <f>'Detailed Budget'!$AC$257</f>
        <v>13636439388</v>
      </c>
      <c r="FS743" s="269">
        <f t="shared" si="1945"/>
        <v>13491035.999999998</v>
      </c>
      <c r="FT743" s="269">
        <f t="shared" si="1866"/>
        <v>13491035.999999998</v>
      </c>
      <c r="FU743" s="269"/>
      <c r="FV743" s="269"/>
      <c r="FW743" s="269"/>
      <c r="FX743" s="140">
        <f>'Detailed Budget'!$AC$278</f>
        <v>1114560000</v>
      </c>
      <c r="FY743" s="269">
        <f t="shared" si="1946"/>
        <v>1440000</v>
      </c>
      <c r="FZ743" s="269">
        <f t="shared" si="1867"/>
        <v>1440000</v>
      </c>
      <c r="GB743" s="269">
        <f t="shared" si="1899"/>
        <v>2277522447.5081959</v>
      </c>
      <c r="GC743" s="887">
        <f t="shared" si="1985"/>
        <v>1423451.5296926224</v>
      </c>
      <c r="GD743" s="1078">
        <f t="shared" si="1900"/>
        <v>1.277989562435687E-3</v>
      </c>
    </row>
    <row r="744" spans="1:186" hidden="1" outlineLevel="1">
      <c r="A744" s="211" t="s">
        <v>1573</v>
      </c>
      <c r="B744" s="212" t="s">
        <v>1574</v>
      </c>
      <c r="C744" s="213" t="s">
        <v>215</v>
      </c>
      <c r="D744" s="214"/>
      <c r="E744" s="213"/>
      <c r="F744" s="213"/>
      <c r="G744" s="213" t="s">
        <v>215</v>
      </c>
      <c r="H744" s="213" t="s">
        <v>215</v>
      </c>
      <c r="I744" s="214" t="s">
        <v>215</v>
      </c>
      <c r="J744" s="214"/>
      <c r="K744" s="213"/>
      <c r="L744" s="213"/>
      <c r="M744" s="214"/>
      <c r="N744" s="213"/>
      <c r="O744" s="214" t="s">
        <v>215</v>
      </c>
      <c r="P744" s="213"/>
      <c r="Q744" s="214"/>
      <c r="R744" s="214" t="s">
        <v>215</v>
      </c>
      <c r="S744" s="214"/>
      <c r="T744" s="214"/>
      <c r="U744" s="215">
        <f t="shared" si="1905"/>
        <v>6</v>
      </c>
      <c r="V744" s="845" t="s">
        <v>216</v>
      </c>
      <c r="W744" s="216">
        <v>527917</v>
      </c>
      <c r="X744" s="217">
        <v>3.24</v>
      </c>
      <c r="Y744" s="218">
        <f t="shared" si="1965"/>
        <v>1.0324</v>
      </c>
      <c r="Z744" s="196">
        <v>19</v>
      </c>
      <c r="AA744" s="218">
        <f t="shared" si="1966"/>
        <v>1.8327866870051304</v>
      </c>
      <c r="AB744" s="196">
        <f t="shared" si="1902"/>
        <v>967559.24944368738</v>
      </c>
      <c r="AC744">
        <v>12.6</v>
      </c>
      <c r="AD744" s="196">
        <f t="shared" si="1903"/>
        <v>121912.46542990461</v>
      </c>
      <c r="AE744" s="196">
        <f t="shared" si="1967"/>
        <v>115816.84215840937</v>
      </c>
      <c r="AF744" s="196">
        <f t="shared" si="1947"/>
        <v>0</v>
      </c>
      <c r="AG744" s="606">
        <f t="shared" ref="AG744:AG804" si="1988">AE744/21628351</f>
        <v>5.3548623359408846E-3</v>
      </c>
      <c r="AH744" s="196">
        <f t="shared" si="1963"/>
        <v>48377.962472184372</v>
      </c>
      <c r="AI744" s="248">
        <f t="shared" si="1964"/>
        <v>3.7477674529473367E-3</v>
      </c>
      <c r="AJ744" s="196">
        <f t="shared" si="1968"/>
        <v>170290.42790208897</v>
      </c>
      <c r="AK744" s="196">
        <f t="shared" si="1858"/>
        <v>38702.369977747498</v>
      </c>
      <c r="AL744" s="196">
        <f t="shared" si="1859"/>
        <v>38702.369977747498</v>
      </c>
      <c r="AM744" s="196">
        <f t="shared" si="1969"/>
        <v>77404.739955494995</v>
      </c>
      <c r="AN744" s="627">
        <f t="shared" si="1970"/>
        <v>3.7477674529473367E-3</v>
      </c>
      <c r="AO744" s="196">
        <f t="shared" si="1971"/>
        <v>36767.251478860118</v>
      </c>
      <c r="AP744" s="589">
        <f t="shared" ref="AP744:AP804" si="1989">AO744/9810441</f>
        <v>3.7477674529473363E-3</v>
      </c>
      <c r="AQ744" s="196"/>
      <c r="AR744" s="589"/>
      <c r="AS744">
        <v>1</v>
      </c>
      <c r="AT744" s="589">
        <f t="shared" ref="AT744:AT804" si="1990">AS744/774</f>
        <v>1.2919896640826874E-3</v>
      </c>
      <c r="AU744" s="196">
        <v>19</v>
      </c>
      <c r="AV744" s="245">
        <f t="shared" si="1972"/>
        <v>2.1588455857288946E-3</v>
      </c>
      <c r="AX744" s="245"/>
      <c r="AY744" s="245"/>
      <c r="AZ744" s="196">
        <v>33</v>
      </c>
      <c r="BA744" s="589">
        <f t="shared" si="1871"/>
        <v>1.2091898428053204E-3</v>
      </c>
      <c r="BI744" s="196">
        <v>0</v>
      </c>
      <c r="BK744" s="246">
        <f t="shared" si="1872"/>
        <v>0</v>
      </c>
      <c r="BL744" s="246"/>
      <c r="BM744" s="246">
        <f t="shared" si="1873"/>
        <v>0</v>
      </c>
      <c r="BN744" s="196">
        <v>1</v>
      </c>
      <c r="BO744" s="196">
        <f t="shared" si="1948"/>
        <v>55895.991773040383</v>
      </c>
      <c r="BP744" s="196">
        <f t="shared" si="1973"/>
        <v>55895.991773040383</v>
      </c>
      <c r="BQ744" s="248">
        <f t="shared" si="1874"/>
        <v>5.2288097368205022E-3</v>
      </c>
      <c r="BR744" s="248"/>
      <c r="BS744" s="248"/>
      <c r="BT744" s="276">
        <v>0</v>
      </c>
      <c r="BU744" s="196">
        <f t="shared" si="1949"/>
        <v>0</v>
      </c>
      <c r="BV744" s="264">
        <f t="shared" si="1875"/>
        <v>0</v>
      </c>
      <c r="BW744" s="196">
        <f t="shared" si="1950"/>
        <v>0</v>
      </c>
      <c r="BX744" s="247">
        <f t="shared" si="1876"/>
        <v>0</v>
      </c>
      <c r="BY744" s="196">
        <f t="shared" si="1951"/>
        <v>0</v>
      </c>
      <c r="BZ744" s="620">
        <v>1</v>
      </c>
      <c r="CA744" s="196">
        <f t="shared" si="1952"/>
        <v>296073.13032976835</v>
      </c>
      <c r="CB744" s="196">
        <f t="shared" si="1953"/>
        <v>592146.2606595367</v>
      </c>
      <c r="CC744" s="196">
        <f t="shared" si="1986"/>
        <v>888219.39098930499</v>
      </c>
      <c r="CD744" s="247">
        <f t="shared" si="1974"/>
        <v>3.7477674529473363E-3</v>
      </c>
      <c r="CE744" s="196">
        <f t="shared" si="1954"/>
        <v>83017.444386092335</v>
      </c>
      <c r="CF744" s="247">
        <f t="shared" si="1975"/>
        <v>3.5849514283328504E-3</v>
      </c>
      <c r="CG744" s="196">
        <f t="shared" si="1924"/>
        <v>147069.00591544047</v>
      </c>
      <c r="CH744" s="589">
        <f t="shared" ref="CH744:CH804" si="1991">CG744/39241764</f>
        <v>3.7477674529473363E-3</v>
      </c>
      <c r="CI744" s="196">
        <f t="shared" si="1955"/>
        <v>39420.959884003008</v>
      </c>
      <c r="CJ744" s="248">
        <f t="shared" ref="CJ744:CJ804" si="1992">CI744/60827260</f>
        <v>6.4808048042938333E-4</v>
      </c>
      <c r="CK744" s="196">
        <f t="shared" si="1956"/>
        <v>266454.98094949347</v>
      </c>
      <c r="CL744" s="589">
        <f t="shared" ref="CL744:CL804" si="1993">CK744/69564222</f>
        <v>3.8303451586002568E-3</v>
      </c>
      <c r="CM744" s="196">
        <f t="shared" si="1957"/>
        <v>25812.808177527451</v>
      </c>
      <c r="CN744" s="589">
        <f t="shared" ref="CN744:CN804" si="1994">CM744/6939078</f>
        <v>3.719919011938971E-3</v>
      </c>
      <c r="CO744" s="196">
        <f t="shared" si="1958"/>
        <v>2065.0130689511711</v>
      </c>
      <c r="CP744" s="589">
        <f t="shared" ref="CP744:CP804" si="1995">CO744/530266</f>
        <v>3.8942965774746469E-3</v>
      </c>
      <c r="CQ744" s="196">
        <f>'Detailed Budget'!$AC$12</f>
        <v>292876014141.44696</v>
      </c>
      <c r="CR744" s="269">
        <f t="shared" si="1861"/>
        <v>0</v>
      </c>
      <c r="CS744" s="269">
        <f>'Detailed Budget'!$AC$16</f>
        <v>10488008800.000002</v>
      </c>
      <c r="CT744" s="607">
        <f t="shared" si="1926"/>
        <v>0</v>
      </c>
      <c r="CU744" s="269">
        <f>'Detailed Budget'!$AC$24</f>
        <v>30624985696</v>
      </c>
      <c r="CV744" s="269">
        <f t="shared" si="1868"/>
        <v>0</v>
      </c>
      <c r="CW744" s="269"/>
      <c r="CX744" s="269">
        <f t="shared" si="1987"/>
        <v>0</v>
      </c>
      <c r="CY744" s="196">
        <f>'Detailed Budget'!$AC$97</f>
        <v>74629165494.837845</v>
      </c>
      <c r="CZ744" s="269">
        <f t="shared" si="1927"/>
        <v>390221707.19019675</v>
      </c>
      <c r="DA744" s="269">
        <f>'Detailed Budget'!$AC$100</f>
        <v>14925833098.967569</v>
      </c>
      <c r="DB744" s="269">
        <f t="shared" si="1928"/>
        <v>78044341.438039362</v>
      </c>
      <c r="DC744" s="269">
        <f t="shared" si="1976"/>
        <v>468266048.62823611</v>
      </c>
      <c r="DD744" s="207">
        <v>0</v>
      </c>
      <c r="DE744" s="606">
        <v>0</v>
      </c>
      <c r="DF744" s="269">
        <f>'Detailed Budget'!$AC$147</f>
        <v>5913600671000</v>
      </c>
      <c r="DG744" s="269">
        <f t="shared" si="1863"/>
        <v>0</v>
      </c>
      <c r="DH744" s="269">
        <f>'Detailed Budget'!$AC$153</f>
        <v>226428026880.00003</v>
      </c>
      <c r="DI744" s="269"/>
      <c r="DJ744" s="269">
        <f>'Detailed Budget'!$AC$156</f>
        <v>27713070000</v>
      </c>
      <c r="DK744" s="269"/>
      <c r="DL744" s="269"/>
      <c r="DM744" s="196">
        <f>'Detailed Budget'!$AC$178</f>
        <v>5622683761.6229038</v>
      </c>
      <c r="DN744" s="269">
        <f t="shared" si="1959"/>
        <v>0</v>
      </c>
      <c r="DO744" s="196">
        <f>'Detailed Budget'!$AC$179</f>
        <v>26827890683.128094</v>
      </c>
      <c r="DP744" s="269">
        <f t="shared" si="1960"/>
        <v>0</v>
      </c>
      <c r="DQ744" s="269">
        <f t="shared" si="1862"/>
        <v>0</v>
      </c>
      <c r="DR744" s="269">
        <f>'Detailed Budget'!$AC$181</f>
        <v>50888946855.375237</v>
      </c>
      <c r="DS744" s="269">
        <f t="shared" si="1961"/>
        <v>0</v>
      </c>
      <c r="DT744" s="269">
        <f t="shared" si="1962"/>
        <v>0</v>
      </c>
      <c r="DU744" s="272">
        <f>'Detailed Budget'!$AC$192</f>
        <v>77498869683.252869</v>
      </c>
      <c r="DV744" s="269">
        <f t="shared" si="1929"/>
        <v>290447741.43910211</v>
      </c>
      <c r="DW744" s="140">
        <f>'Detailed Budget'!$AC$194</f>
        <v>2684962805.4134097</v>
      </c>
      <c r="DX744" s="269">
        <f t="shared" si="1930"/>
        <v>10062616.214502551</v>
      </c>
      <c r="DY744" s="607">
        <f t="shared" si="1977"/>
        <v>300510357.65360469</v>
      </c>
      <c r="DZ744" s="196">
        <f>'Detailed Budget'!$AC$198</f>
        <v>18732540018.380611</v>
      </c>
      <c r="EA744" s="269">
        <f t="shared" si="1931"/>
        <v>67155246.095195845</v>
      </c>
      <c r="EB744" s="196">
        <f>'Detailed Budget'!$AC$200</f>
        <v>4683135004.5951529</v>
      </c>
      <c r="EC744" s="269">
        <f t="shared" si="1932"/>
        <v>16788811.523798961</v>
      </c>
      <c r="ED744" s="269">
        <f t="shared" si="1978"/>
        <v>83944057.618994802</v>
      </c>
      <c r="EE744" s="196">
        <f>'Detailed Budget'!$AC$161</f>
        <v>251147290106.36197</v>
      </c>
      <c r="EF744" s="269">
        <f t="shared" si="1933"/>
        <v>941241639.7565459</v>
      </c>
      <c r="EG744" s="196">
        <f>'Detailed Budget'!$AC$163</f>
        <v>15696705631.647623</v>
      </c>
      <c r="EH744" s="269">
        <f t="shared" si="1934"/>
        <v>58827602.484784119</v>
      </c>
      <c r="EI744" s="269">
        <f t="shared" si="1979"/>
        <v>1000069242.24133</v>
      </c>
      <c r="EJ744" s="196">
        <f>'Detailed Budget'!$AC$204</f>
        <v>45012172507.531975</v>
      </c>
      <c r="EK744" s="269">
        <f t="shared" si="1935"/>
        <v>29171510.383851603</v>
      </c>
      <c r="EL744" s="201">
        <f>'Detailed Budget'!$AC$206</f>
        <v>11253043126.882994</v>
      </c>
      <c r="EM744" s="269">
        <f t="shared" si="1936"/>
        <v>7292877.5959629007</v>
      </c>
      <c r="EN744" s="269">
        <f t="shared" si="1980"/>
        <v>36464387.9798145</v>
      </c>
      <c r="EO744" s="140">
        <f>'Detailed Budget'!$AC$209</f>
        <v>135789361677.54817</v>
      </c>
      <c r="EP744" s="269">
        <f t="shared" si="1937"/>
        <v>520120124.09101588</v>
      </c>
      <c r="EQ744" s="196">
        <f>'Detailed Budget'!$AC$211</f>
        <v>33947340419.387043</v>
      </c>
      <c r="ER744" s="269">
        <f t="shared" si="1938"/>
        <v>130030031.02275397</v>
      </c>
      <c r="ES744" s="269">
        <f t="shared" si="1981"/>
        <v>650150155.11376989</v>
      </c>
      <c r="ET744" s="196">
        <f>'Detailed Budget'!$AC$214</f>
        <v>22239745544.201103</v>
      </c>
      <c r="EU744" s="269">
        <f t="shared" si="1939"/>
        <v>82730052.2705587</v>
      </c>
      <c r="EV744" s="140">
        <f>'Detailed Budget'!$AC$217</f>
        <v>5559936386.0502758</v>
      </c>
      <c r="EW744" s="269">
        <f t="shared" si="1940"/>
        <v>20682513.067639675</v>
      </c>
      <c r="EX744" s="269">
        <f t="shared" si="1982"/>
        <v>103412565.33819838</v>
      </c>
      <c r="EY744" s="196">
        <f>'Detailed Budget'!$AC$219</f>
        <v>372777004.58170313</v>
      </c>
      <c r="EZ744" s="269">
        <f t="shared" si="1941"/>
        <v>1451704.2131037773</v>
      </c>
      <c r="FA744" s="196">
        <f>'Detailed Budget'!$AC$222</f>
        <v>93194251.145425782</v>
      </c>
      <c r="FB744" s="269">
        <f t="shared" si="1942"/>
        <v>362926.05327594432</v>
      </c>
      <c r="FC744" s="269">
        <f t="shared" si="1983"/>
        <v>1814630.2663797215</v>
      </c>
      <c r="FD744" s="269"/>
      <c r="FE744" s="269">
        <f t="shared" si="1984"/>
        <v>791841738.69816256</v>
      </c>
      <c r="FF744" s="140">
        <f>'Detailed Budget'!$AC$165</f>
        <v>14927760000</v>
      </c>
      <c r="FG744" s="1087">
        <f t="shared" si="1864"/>
        <v>1080124546.6402831</v>
      </c>
      <c r="FH744" s="269">
        <f t="shared" si="1943"/>
        <v>32226728.780820362</v>
      </c>
      <c r="FJ744" s="140">
        <f>'Detailed Budget'!$AC$235</f>
        <v>3623696172</v>
      </c>
      <c r="FK744" s="269">
        <f t="shared" si="1944"/>
        <v>4681778</v>
      </c>
      <c r="FL744" s="269">
        <f t="shared" si="1865"/>
        <v>4681778</v>
      </c>
      <c r="FO744" s="607"/>
      <c r="FP744" s="607"/>
      <c r="FQ744" s="607"/>
      <c r="FR744" s="269">
        <f>'Detailed Budget'!$AC$257</f>
        <v>13636439388</v>
      </c>
      <c r="FS744" s="269">
        <f t="shared" si="1945"/>
        <v>16489044</v>
      </c>
      <c r="FT744" s="269">
        <f t="shared" si="1866"/>
        <v>16489044</v>
      </c>
      <c r="FU744" s="269"/>
      <c r="FV744" s="269"/>
      <c r="FW744" s="269"/>
      <c r="FX744" s="140">
        <f>'Detailed Budget'!$AC$278</f>
        <v>1114560000</v>
      </c>
      <c r="FY744" s="269">
        <f t="shared" si="1946"/>
        <v>1440000</v>
      </c>
      <c r="FZ744" s="269">
        <f t="shared" si="1867"/>
        <v>1440000</v>
      </c>
      <c r="GB744" s="269">
        <f t="shared" si="1899"/>
        <v>3779593542.2614317</v>
      </c>
      <c r="GC744" s="887">
        <f t="shared" si="1985"/>
        <v>2362245.9639133946</v>
      </c>
      <c r="GD744" s="1078">
        <f t="shared" si="1900"/>
        <v>2.1208489525730801E-3</v>
      </c>
    </row>
    <row r="745" spans="1:186" hidden="1" outlineLevel="1">
      <c r="A745" s="211" t="s">
        <v>1575</v>
      </c>
      <c r="B745" s="212" t="s">
        <v>1576</v>
      </c>
      <c r="C745" s="213" t="s">
        <v>215</v>
      </c>
      <c r="D745" s="214"/>
      <c r="E745" s="213"/>
      <c r="F745" s="213"/>
      <c r="G745" s="213" t="s">
        <v>215</v>
      </c>
      <c r="H745" s="213" t="s">
        <v>215</v>
      </c>
      <c r="I745" s="214" t="s">
        <v>215</v>
      </c>
      <c r="J745" s="214"/>
      <c r="K745" s="213"/>
      <c r="L745" s="213"/>
      <c r="M745" s="214"/>
      <c r="N745" s="213" t="s">
        <v>215</v>
      </c>
      <c r="O745" s="214"/>
      <c r="P745" s="213"/>
      <c r="Q745" s="214" t="s">
        <v>215</v>
      </c>
      <c r="R745" s="214"/>
      <c r="S745" s="214"/>
      <c r="T745" s="214"/>
      <c r="U745" s="215">
        <f t="shared" si="1905"/>
        <v>6</v>
      </c>
      <c r="V745" s="845" t="s">
        <v>1073</v>
      </c>
      <c r="W745" s="216">
        <v>682772</v>
      </c>
      <c r="X745" s="217">
        <v>3.24</v>
      </c>
      <c r="Y745" s="218">
        <f t="shared" si="1965"/>
        <v>1.0324</v>
      </c>
      <c r="Z745" s="196">
        <v>19</v>
      </c>
      <c r="AA745" s="218">
        <f t="shared" si="1966"/>
        <v>1.8327866870051304</v>
      </c>
      <c r="AB745" s="196">
        <f t="shared" si="1902"/>
        <v>1251375.4318598669</v>
      </c>
      <c r="AC745">
        <v>12.6</v>
      </c>
      <c r="AD745" s="196">
        <f t="shared" si="1903"/>
        <v>157673.30441434323</v>
      </c>
      <c r="AE745" s="196">
        <f t="shared" si="1967"/>
        <v>149789.63919362606</v>
      </c>
      <c r="AF745" s="196">
        <f t="shared" si="1947"/>
        <v>0</v>
      </c>
      <c r="AG745" s="606">
        <f t="shared" si="1988"/>
        <v>6.9256153274757778E-3</v>
      </c>
      <c r="AH745" s="196">
        <f t="shared" si="1963"/>
        <v>62568.771592993347</v>
      </c>
      <c r="AI745" s="248">
        <f t="shared" si="1964"/>
        <v>4.8471079343604378E-3</v>
      </c>
      <c r="AJ745" s="196">
        <f t="shared" si="1968"/>
        <v>220242.07600733658</v>
      </c>
      <c r="AK745" s="196">
        <f t="shared" si="1858"/>
        <v>50055.017274394682</v>
      </c>
      <c r="AL745" s="196">
        <f t="shared" si="1859"/>
        <v>50055.017274394682</v>
      </c>
      <c r="AM745" s="196">
        <f t="shared" si="1969"/>
        <v>100110.03454878936</v>
      </c>
      <c r="AN745" s="627">
        <f t="shared" si="1970"/>
        <v>4.8471079343604378E-3</v>
      </c>
      <c r="AO745" s="196">
        <f t="shared" si="1971"/>
        <v>47552.266410674943</v>
      </c>
      <c r="AP745" s="589">
        <f t="shared" si="1989"/>
        <v>4.8471079343604378E-3</v>
      </c>
      <c r="AQ745" s="196"/>
      <c r="AR745" s="589"/>
      <c r="AS745">
        <v>1</v>
      </c>
      <c r="AT745" s="589">
        <f t="shared" si="1990"/>
        <v>1.2919896640826874E-3</v>
      </c>
      <c r="AU745" s="196">
        <v>10</v>
      </c>
      <c r="AV745" s="245">
        <f t="shared" si="1972"/>
        <v>1.1362345188046814E-3</v>
      </c>
      <c r="AX745" s="245"/>
      <c r="AY745" s="245"/>
      <c r="AZ745" s="196">
        <v>14</v>
      </c>
      <c r="BA745" s="589">
        <f t="shared" si="1871"/>
        <v>5.1298963028104507E-4</v>
      </c>
      <c r="BI745" s="196">
        <v>0</v>
      </c>
      <c r="BK745" s="246">
        <f t="shared" si="1872"/>
        <v>0</v>
      </c>
      <c r="BL745" s="246"/>
      <c r="BM745" s="246">
        <f t="shared" si="1873"/>
        <v>0</v>
      </c>
      <c r="BN745" s="196">
        <v>1</v>
      </c>
      <c r="BO745" s="196">
        <f t="shared" si="1948"/>
        <v>72292.080184692546</v>
      </c>
      <c r="BP745" s="196">
        <f t="shared" si="1973"/>
        <v>72292.080184692546</v>
      </c>
      <c r="BQ745" s="248">
        <f t="shared" si="1874"/>
        <v>6.7625874552787821E-3</v>
      </c>
      <c r="BR745" s="248"/>
      <c r="BS745" s="248"/>
      <c r="BT745" s="276">
        <v>0</v>
      </c>
      <c r="BU745" s="196">
        <f t="shared" si="1949"/>
        <v>0</v>
      </c>
      <c r="BV745" s="264">
        <f t="shared" si="1875"/>
        <v>0</v>
      </c>
      <c r="BW745" s="196">
        <f t="shared" si="1950"/>
        <v>0</v>
      </c>
      <c r="BX745" s="247">
        <f t="shared" si="1876"/>
        <v>0</v>
      </c>
      <c r="BY745" s="196">
        <f t="shared" si="1951"/>
        <v>0</v>
      </c>
      <c r="BZ745" s="620">
        <v>1</v>
      </c>
      <c r="CA745" s="196">
        <f t="shared" si="1952"/>
        <v>382920.88214911934</v>
      </c>
      <c r="CB745" s="196">
        <f t="shared" si="1953"/>
        <v>765841.76429823868</v>
      </c>
      <c r="CC745" s="196">
        <f t="shared" si="1986"/>
        <v>1148762.646447358</v>
      </c>
      <c r="CD745" s="247">
        <f t="shared" si="1974"/>
        <v>4.8471079343604378E-3</v>
      </c>
      <c r="CE745" s="196">
        <f t="shared" si="1954"/>
        <v>107369.12533292364</v>
      </c>
      <c r="CF745" s="247">
        <f t="shared" si="1975"/>
        <v>4.6365327440216495E-3</v>
      </c>
      <c r="CG745" s="196">
        <f t="shared" si="1924"/>
        <v>190209.06564269977</v>
      </c>
      <c r="CH745" s="589">
        <f t="shared" si="1991"/>
        <v>4.8471079343604378E-3</v>
      </c>
      <c r="CI745" s="196">
        <f t="shared" si="1955"/>
        <v>50984.392663847735</v>
      </c>
      <c r="CJ745" s="248">
        <f t="shared" si="1992"/>
        <v>8.3818328597815744E-4</v>
      </c>
      <c r="CK745" s="196">
        <f t="shared" si="1956"/>
        <v>344614.77893844596</v>
      </c>
      <c r="CL745" s="589">
        <f t="shared" si="1993"/>
        <v>4.9539083314759985E-3</v>
      </c>
      <c r="CM745" s="196">
        <f t="shared" si="1957"/>
        <v>33384.533297822913</v>
      </c>
      <c r="CN745" s="589">
        <f t="shared" si="1994"/>
        <v>4.8110906517873E-3</v>
      </c>
      <c r="CO745" s="196">
        <f t="shared" si="1958"/>
        <v>2670.7476802488445</v>
      </c>
      <c r="CP745" s="589">
        <f t="shared" si="1995"/>
        <v>5.0366187540759628E-3</v>
      </c>
      <c r="CQ745" s="196">
        <f>'Detailed Budget'!$AC$12</f>
        <v>292876014141.44696</v>
      </c>
      <c r="CR745" s="269">
        <f t="shared" si="1861"/>
        <v>0</v>
      </c>
      <c r="CS745" s="269">
        <f>'Detailed Budget'!$AC$16</f>
        <v>10488008800.000002</v>
      </c>
      <c r="CT745" s="607">
        <f t="shared" si="1926"/>
        <v>0</v>
      </c>
      <c r="CU745" s="269">
        <f>'Detailed Budget'!$AC$24</f>
        <v>30624985696</v>
      </c>
      <c r="CV745" s="269">
        <f t="shared" si="1868"/>
        <v>0</v>
      </c>
      <c r="CW745" s="269"/>
      <c r="CX745" s="269">
        <f t="shared" si="1987"/>
        <v>0</v>
      </c>
      <c r="CY745" s="196">
        <f>'Detailed Budget'!$AC$97</f>
        <v>74629165494.837845</v>
      </c>
      <c r="CZ745" s="269">
        <f t="shared" si="1927"/>
        <v>504686258.37331456</v>
      </c>
      <c r="DA745" s="269">
        <f>'Detailed Budget'!$AC$100</f>
        <v>14925833098.967569</v>
      </c>
      <c r="DB745" s="269">
        <f t="shared" si="1928"/>
        <v>100937251.67466292</v>
      </c>
      <c r="DC745" s="269">
        <f t="shared" si="1976"/>
        <v>605623510.04797745</v>
      </c>
      <c r="DD745" s="207">
        <v>0</v>
      </c>
      <c r="DE745" s="606">
        <v>0</v>
      </c>
      <c r="DF745" s="269">
        <f>'Detailed Budget'!$AC$147</f>
        <v>5913600671000</v>
      </c>
      <c r="DG745" s="269">
        <f t="shared" si="1863"/>
        <v>0</v>
      </c>
      <c r="DH745" s="269">
        <f>'Detailed Budget'!$AC$153</f>
        <v>226428026880.00003</v>
      </c>
      <c r="DI745" s="269"/>
      <c r="DJ745" s="269">
        <f>'Detailed Budget'!$AC$156</f>
        <v>27713070000</v>
      </c>
      <c r="DK745" s="269"/>
      <c r="DL745" s="269"/>
      <c r="DM745" s="196">
        <f>'Detailed Budget'!$AC$178</f>
        <v>5622683761.6229038</v>
      </c>
      <c r="DN745" s="269">
        <f t="shared" si="1959"/>
        <v>0</v>
      </c>
      <c r="DO745" s="196">
        <f>'Detailed Budget'!$AC$179</f>
        <v>26827890683.128094</v>
      </c>
      <c r="DP745" s="269">
        <f t="shared" si="1960"/>
        <v>0</v>
      </c>
      <c r="DQ745" s="269">
        <f t="shared" si="1862"/>
        <v>0</v>
      </c>
      <c r="DR745" s="269">
        <f>'Detailed Budget'!$AC$181</f>
        <v>50888946855.375237</v>
      </c>
      <c r="DS745" s="269">
        <f t="shared" si="1961"/>
        <v>0</v>
      </c>
      <c r="DT745" s="269">
        <f t="shared" si="1962"/>
        <v>0</v>
      </c>
      <c r="DU745" s="272">
        <f>'Detailed Budget'!$AC$192</f>
        <v>77498869683.252869</v>
      </c>
      <c r="DV745" s="269">
        <f t="shared" si="1929"/>
        <v>375645386.14566058</v>
      </c>
      <c r="DW745" s="140">
        <f>'Detailed Budget'!$AC$194</f>
        <v>2684962805.4134097</v>
      </c>
      <c r="DX745" s="269">
        <f t="shared" si="1930"/>
        <v>13014304.517581999</v>
      </c>
      <c r="DY745" s="607">
        <f t="shared" si="1977"/>
        <v>388659690.66324258</v>
      </c>
      <c r="DZ745" s="196">
        <f>'Detailed Budget'!$AC$198</f>
        <v>18732540018.380611</v>
      </c>
      <c r="EA745" s="269">
        <f t="shared" si="1931"/>
        <v>86854035.173917621</v>
      </c>
      <c r="EB745" s="196">
        <f>'Detailed Budget'!$AC$200</f>
        <v>4683135004.5951529</v>
      </c>
      <c r="EC745" s="269">
        <f t="shared" si="1932"/>
        <v>21713508.793479405</v>
      </c>
      <c r="ED745" s="269">
        <f t="shared" si="1978"/>
        <v>108567543.96739703</v>
      </c>
      <c r="EE745" s="196">
        <f>'Detailed Budget'!$AC$161</f>
        <v>251147290106.36197</v>
      </c>
      <c r="EF745" s="269">
        <f t="shared" si="1933"/>
        <v>1217338022.5676699</v>
      </c>
      <c r="EG745" s="196">
        <f>'Detailed Budget'!$AC$163</f>
        <v>15696705631.647623</v>
      </c>
      <c r="EH745" s="269">
        <f t="shared" si="1934"/>
        <v>76083626.410479367</v>
      </c>
      <c r="EI745" s="269">
        <f t="shared" si="1979"/>
        <v>1293421648.9781492</v>
      </c>
      <c r="EJ745" s="196">
        <f>'Detailed Budget'!$AC$204</f>
        <v>45012172507.531975</v>
      </c>
      <c r="EK745" s="269">
        <f t="shared" si="1935"/>
        <v>37728450.661378831</v>
      </c>
      <c r="EL745" s="201">
        <f>'Detailed Budget'!$AC$206</f>
        <v>11253043126.882994</v>
      </c>
      <c r="EM745" s="269">
        <f t="shared" si="1936"/>
        <v>9432112.6653447077</v>
      </c>
      <c r="EN745" s="269">
        <f t="shared" si="1980"/>
        <v>47160563.326723538</v>
      </c>
      <c r="EO745" s="140">
        <f>'Detailed Budget'!$AC$209</f>
        <v>135789361677.54817</v>
      </c>
      <c r="EP745" s="269">
        <f t="shared" si="1937"/>
        <v>672688050.14021361</v>
      </c>
      <c r="EQ745" s="196">
        <f>'Detailed Budget'!$AC$211</f>
        <v>33947340419.387043</v>
      </c>
      <c r="ER745" s="269">
        <f t="shared" si="1938"/>
        <v>168172012.5350534</v>
      </c>
      <c r="ES745" s="269">
        <f t="shared" si="1981"/>
        <v>840860062.67526698</v>
      </c>
      <c r="ET745" s="196">
        <f>'Detailed Budget'!$AC$214</f>
        <v>22239745544.201103</v>
      </c>
      <c r="EU745" s="269">
        <f t="shared" si="1939"/>
        <v>106997431.88583419</v>
      </c>
      <c r="EV745" s="140">
        <f>'Detailed Budget'!$AC$217</f>
        <v>5559936386.0502758</v>
      </c>
      <c r="EW745" s="269">
        <f t="shared" si="1940"/>
        <v>26749357.971458547</v>
      </c>
      <c r="EX745" s="269">
        <f t="shared" si="1982"/>
        <v>133746789.85729274</v>
      </c>
      <c r="EY745" s="196">
        <f>'Detailed Budget'!$AC$219</f>
        <v>372777004.58170313</v>
      </c>
      <c r="EZ745" s="269">
        <f t="shared" si="1941"/>
        <v>1877535.652364467</v>
      </c>
      <c r="FA745" s="196">
        <f>'Detailed Budget'!$AC$222</f>
        <v>93194251.145425782</v>
      </c>
      <c r="FB745" s="269">
        <f t="shared" si="1942"/>
        <v>469383.91309111676</v>
      </c>
      <c r="FC745" s="269">
        <f t="shared" si="1983"/>
        <v>2346919.5654555839</v>
      </c>
      <c r="FD745" s="269"/>
      <c r="FE745" s="269">
        <f t="shared" si="1984"/>
        <v>1024114335.4247389</v>
      </c>
      <c r="FF745" s="140">
        <f>'Detailed Budget'!$AC$165</f>
        <v>14927760000</v>
      </c>
      <c r="FG745" s="1087">
        <f t="shared" si="1864"/>
        <v>1396959743.5935562</v>
      </c>
      <c r="FH745" s="269">
        <f t="shared" si="1943"/>
        <v>16961436.200431772</v>
      </c>
      <c r="FJ745" s="140">
        <f>'Detailed Budget'!$AC$235</f>
        <v>3623696172</v>
      </c>
      <c r="FK745" s="269">
        <f t="shared" si="1944"/>
        <v>4681778</v>
      </c>
      <c r="FL745" s="269">
        <f t="shared" si="1865"/>
        <v>4681778</v>
      </c>
      <c r="FO745" s="607"/>
      <c r="FP745" s="607"/>
      <c r="FQ745" s="607"/>
      <c r="FR745" s="269">
        <f>'Detailed Budget'!$AC$257</f>
        <v>13636439388</v>
      </c>
      <c r="FS745" s="269">
        <f t="shared" si="1945"/>
        <v>6995352</v>
      </c>
      <c r="FT745" s="269">
        <f t="shared" si="1866"/>
        <v>6995352</v>
      </c>
      <c r="FU745" s="269"/>
      <c r="FV745" s="269"/>
      <c r="FW745" s="269"/>
      <c r="FX745" s="140">
        <f>'Detailed Budget'!$AC$278</f>
        <v>1114560000</v>
      </c>
      <c r="FY745" s="269">
        <f t="shared" si="1946"/>
        <v>1440000</v>
      </c>
      <c r="FZ745" s="269">
        <f t="shared" si="1867"/>
        <v>1440000</v>
      </c>
      <c r="GB745" s="269">
        <f t="shared" si="1899"/>
        <v>4847425038.875493</v>
      </c>
      <c r="GC745" s="887">
        <f t="shared" si="1985"/>
        <v>3029640.6492971834</v>
      </c>
      <c r="GD745" s="1078">
        <f t="shared" si="1900"/>
        <v>2.7200428303791684E-3</v>
      </c>
    </row>
    <row r="746" spans="1:186" hidden="1" outlineLevel="1">
      <c r="A746" s="211" t="s">
        <v>1577</v>
      </c>
      <c r="B746" s="212" t="s">
        <v>1578</v>
      </c>
      <c r="C746" s="213" t="s">
        <v>215</v>
      </c>
      <c r="D746" s="214"/>
      <c r="E746" s="213"/>
      <c r="F746" s="213"/>
      <c r="G746" s="213" t="s">
        <v>215</v>
      </c>
      <c r="H746" s="213" t="s">
        <v>215</v>
      </c>
      <c r="I746" s="214" t="s">
        <v>215</v>
      </c>
      <c r="J746" s="214"/>
      <c r="K746" s="213"/>
      <c r="L746" s="213"/>
      <c r="M746" s="214"/>
      <c r="N746" s="213" t="s">
        <v>215</v>
      </c>
      <c r="O746" s="214"/>
      <c r="P746" s="213"/>
      <c r="Q746" s="214" t="s">
        <v>215</v>
      </c>
      <c r="R746" s="214"/>
      <c r="S746" s="214"/>
      <c r="T746" s="214"/>
      <c r="U746" s="215">
        <f t="shared" si="1905"/>
        <v>6</v>
      </c>
      <c r="V746" s="845" t="s">
        <v>1073</v>
      </c>
      <c r="W746" s="216">
        <v>212700</v>
      </c>
      <c r="X746" s="217">
        <v>3.24</v>
      </c>
      <c r="Y746" s="218">
        <f t="shared" si="1965"/>
        <v>1.0324</v>
      </c>
      <c r="Z746" s="196">
        <v>19</v>
      </c>
      <c r="AA746" s="218">
        <f t="shared" si="1966"/>
        <v>1.8327866870051304</v>
      </c>
      <c r="AB746" s="196">
        <f t="shared" si="1902"/>
        <v>389833.72832599125</v>
      </c>
      <c r="AC746">
        <v>12.6</v>
      </c>
      <c r="AD746" s="196">
        <f t="shared" si="1903"/>
        <v>49119.049769074896</v>
      </c>
      <c r="AE746" s="196">
        <f t="shared" si="1967"/>
        <v>46663.09728062115</v>
      </c>
      <c r="AF746" s="196">
        <f t="shared" si="1947"/>
        <v>0</v>
      </c>
      <c r="AG746" s="606">
        <f t="shared" si="1988"/>
        <v>2.1574967634204359E-3</v>
      </c>
      <c r="AH746" s="196">
        <f t="shared" si="1963"/>
        <v>19491.686416299563</v>
      </c>
      <c r="AI746" s="248">
        <f t="shared" si="1964"/>
        <v>1.5099914138811566E-3</v>
      </c>
      <c r="AJ746" s="196">
        <f t="shared" si="1968"/>
        <v>68610.736185374466</v>
      </c>
      <c r="AK746" s="196">
        <f t="shared" si="1858"/>
        <v>15593.34913303965</v>
      </c>
      <c r="AL746" s="196">
        <f t="shared" si="1859"/>
        <v>15593.34913303965</v>
      </c>
      <c r="AM746" s="196">
        <f t="shared" si="1969"/>
        <v>31186.6982660793</v>
      </c>
      <c r="AN746" s="627">
        <f t="shared" si="1970"/>
        <v>1.5099914138811566E-3</v>
      </c>
      <c r="AO746" s="196">
        <f t="shared" si="1971"/>
        <v>14813.681676387667</v>
      </c>
      <c r="AP746" s="589">
        <f t="shared" si="1989"/>
        <v>1.5099914138811566E-3</v>
      </c>
      <c r="AQ746" s="196"/>
      <c r="AR746" s="589"/>
      <c r="AS746">
        <v>1</v>
      </c>
      <c r="AT746" s="589">
        <f t="shared" si="1990"/>
        <v>1.2919896640826874E-3</v>
      </c>
      <c r="AU746" s="196">
        <v>19</v>
      </c>
      <c r="AV746" s="245">
        <f t="shared" si="1972"/>
        <v>2.1588455857288946E-3</v>
      </c>
      <c r="AX746" s="245"/>
      <c r="AY746" s="245"/>
      <c r="AZ746" s="196">
        <v>16</v>
      </c>
      <c r="BA746" s="589">
        <f t="shared" si="1871"/>
        <v>5.8627386317833719E-4</v>
      </c>
      <c r="BI746" s="196">
        <v>0</v>
      </c>
      <c r="BK746" s="246">
        <f t="shared" si="1872"/>
        <v>0</v>
      </c>
      <c r="BL746" s="246"/>
      <c r="BM746" s="246">
        <f t="shared" si="1873"/>
        <v>0</v>
      </c>
      <c r="BN746" s="196">
        <v>1</v>
      </c>
      <c r="BO746" s="196">
        <f t="shared" si="1948"/>
        <v>22520.732331267398</v>
      </c>
      <c r="BP746" s="196">
        <f t="shared" si="1973"/>
        <v>22520.732331267398</v>
      </c>
      <c r="BQ746" s="248">
        <f t="shared" si="1874"/>
        <v>2.106709636215013E-3</v>
      </c>
      <c r="BR746" s="248"/>
      <c r="BS746" s="248"/>
      <c r="BT746" s="276">
        <v>0</v>
      </c>
      <c r="BU746" s="196">
        <f t="shared" si="1949"/>
        <v>0</v>
      </c>
      <c r="BV746" s="264">
        <f t="shared" si="1875"/>
        <v>0</v>
      </c>
      <c r="BW746" s="196">
        <f t="shared" si="1950"/>
        <v>0</v>
      </c>
      <c r="BX746" s="247">
        <f t="shared" si="1876"/>
        <v>0</v>
      </c>
      <c r="BY746" s="196">
        <f t="shared" si="1951"/>
        <v>0</v>
      </c>
      <c r="BZ746" s="620">
        <v>1</v>
      </c>
      <c r="CA746" s="196">
        <f t="shared" si="1952"/>
        <v>119289.12086775331</v>
      </c>
      <c r="CB746" s="196">
        <f t="shared" si="1953"/>
        <v>238578.24173550663</v>
      </c>
      <c r="CC746" s="196">
        <f t="shared" si="1986"/>
        <v>357867.36260325997</v>
      </c>
      <c r="CD746" s="247">
        <f t="shared" si="1974"/>
        <v>1.5099914138811566E-3</v>
      </c>
      <c r="CE746" s="196">
        <f t="shared" si="1954"/>
        <v>33448.080703826243</v>
      </c>
      <c r="CF746" s="247">
        <f t="shared" si="1975"/>
        <v>1.4443921465048431E-3</v>
      </c>
      <c r="CG746" s="196">
        <f t="shared" si="1924"/>
        <v>59254.726705550667</v>
      </c>
      <c r="CH746" s="589">
        <f t="shared" si="1991"/>
        <v>1.5099914138811566E-3</v>
      </c>
      <c r="CI746" s="196">
        <f t="shared" si="1955"/>
        <v>15882.87205626536</v>
      </c>
      <c r="CJ746" s="248">
        <f t="shared" si="1992"/>
        <v>2.6111437628894283E-4</v>
      </c>
      <c r="CK746" s="196">
        <f t="shared" si="1956"/>
        <v>107355.84277065763</v>
      </c>
      <c r="CL746" s="589">
        <f t="shared" si="1993"/>
        <v>1.5432623219829532E-3</v>
      </c>
      <c r="CM746" s="196">
        <f t="shared" si="1957"/>
        <v>10400.089975053066</v>
      </c>
      <c r="CN746" s="589">
        <f t="shared" si="1994"/>
        <v>1.498771158798484E-3</v>
      </c>
      <c r="CO746" s="196">
        <f t="shared" si="1958"/>
        <v>832.00253025743461</v>
      </c>
      <c r="CP746" s="589">
        <f t="shared" si="1995"/>
        <v>1.5690286200839476E-3</v>
      </c>
      <c r="CQ746" s="196">
        <f>'Detailed Budget'!$AC$12</f>
        <v>292876014141.44696</v>
      </c>
      <c r="CR746" s="269">
        <f t="shared" si="1861"/>
        <v>0</v>
      </c>
      <c r="CS746" s="269">
        <f>'Detailed Budget'!$AC$16</f>
        <v>10488008800.000002</v>
      </c>
      <c r="CT746" s="607">
        <f t="shared" si="1926"/>
        <v>0</v>
      </c>
      <c r="CU746" s="269">
        <f>'Detailed Budget'!$AC$24</f>
        <v>30624985696</v>
      </c>
      <c r="CV746" s="269">
        <f t="shared" si="1868"/>
        <v>0</v>
      </c>
      <c r="CW746" s="269"/>
      <c r="CX746" s="269">
        <f t="shared" si="1987"/>
        <v>0</v>
      </c>
      <c r="CY746" s="196">
        <f>'Detailed Budget'!$AC$97</f>
        <v>74629165494.837845</v>
      </c>
      <c r="CZ746" s="269">
        <f t="shared" si="1927"/>
        <v>157221982.09065983</v>
      </c>
      <c r="DA746" s="269">
        <f>'Detailed Budget'!$AC$100</f>
        <v>14925833098.967569</v>
      </c>
      <c r="DB746" s="269">
        <f t="shared" si="1928"/>
        <v>31444396.418131966</v>
      </c>
      <c r="DC746" s="269">
        <f t="shared" si="1976"/>
        <v>188666378.5087918</v>
      </c>
      <c r="DD746" s="207">
        <v>0</v>
      </c>
      <c r="DE746" s="606">
        <v>0</v>
      </c>
      <c r="DF746" s="269">
        <f>'Detailed Budget'!$AC$147</f>
        <v>5913600671000</v>
      </c>
      <c r="DG746" s="269">
        <f t="shared" si="1863"/>
        <v>0</v>
      </c>
      <c r="DH746" s="269">
        <f>'Detailed Budget'!$AC$153</f>
        <v>226428026880.00003</v>
      </c>
      <c r="DI746" s="269"/>
      <c r="DJ746" s="269">
        <f>'Detailed Budget'!$AC$156</f>
        <v>27713070000</v>
      </c>
      <c r="DK746" s="269"/>
      <c r="DL746" s="269"/>
      <c r="DM746" s="196">
        <f>'Detailed Budget'!$AC$178</f>
        <v>5622683761.6229038</v>
      </c>
      <c r="DN746" s="269">
        <f t="shared" si="1959"/>
        <v>0</v>
      </c>
      <c r="DO746" s="196">
        <f>'Detailed Budget'!$AC$179</f>
        <v>26827890683.128094</v>
      </c>
      <c r="DP746" s="269">
        <f t="shared" si="1960"/>
        <v>0</v>
      </c>
      <c r="DQ746" s="269">
        <f t="shared" si="1862"/>
        <v>0</v>
      </c>
      <c r="DR746" s="269">
        <f>'Detailed Budget'!$AC$181</f>
        <v>50888946855.375237</v>
      </c>
      <c r="DS746" s="269">
        <f t="shared" si="1961"/>
        <v>0</v>
      </c>
      <c r="DT746" s="269">
        <f t="shared" si="1962"/>
        <v>0</v>
      </c>
      <c r="DU746" s="272">
        <f>'Detailed Budget'!$AC$192</f>
        <v>77498869683.252869</v>
      </c>
      <c r="DV746" s="269">
        <f t="shared" si="1929"/>
        <v>117022627.8072065</v>
      </c>
      <c r="DW746" s="140">
        <f>'Detailed Budget'!$AC$194</f>
        <v>2684962805.4134097</v>
      </c>
      <c r="DX746" s="269">
        <f t="shared" si="1930"/>
        <v>4054270.7827645112</v>
      </c>
      <c r="DY746" s="607">
        <f t="shared" si="1977"/>
        <v>121076898.58997101</v>
      </c>
      <c r="DZ746" s="196">
        <f>'Detailed Budget'!$AC$198</f>
        <v>18732540018.380611</v>
      </c>
      <c r="EA746" s="269">
        <f t="shared" si="1931"/>
        <v>27057133.686636642</v>
      </c>
      <c r="EB746" s="196">
        <f>'Detailed Budget'!$AC$200</f>
        <v>4683135004.5951529</v>
      </c>
      <c r="EC746" s="269">
        <f t="shared" si="1932"/>
        <v>6764283.4216591604</v>
      </c>
      <c r="ED746" s="269">
        <f t="shared" si="1978"/>
        <v>33821417.108295798</v>
      </c>
      <c r="EE746" s="196">
        <f>'Detailed Budget'!$AC$161</f>
        <v>251147290106.36197</v>
      </c>
      <c r="EF746" s="269">
        <f t="shared" si="1933"/>
        <v>379230251.68012655</v>
      </c>
      <c r="EG746" s="196">
        <f>'Detailed Budget'!$AC$163</f>
        <v>15696705631.647623</v>
      </c>
      <c r="EH746" s="269">
        <f t="shared" si="1934"/>
        <v>23701890.730007909</v>
      </c>
      <c r="EI746" s="269">
        <f t="shared" si="1979"/>
        <v>402932142.41013443</v>
      </c>
      <c r="EJ746" s="196">
        <f>'Detailed Budget'!$AC$204</f>
        <v>45012172507.531975</v>
      </c>
      <c r="EK746" s="269">
        <f t="shared" si="1935"/>
        <v>11753325.349714512</v>
      </c>
      <c r="EL746" s="201">
        <f>'Detailed Budget'!$AC$206</f>
        <v>11253043126.882994</v>
      </c>
      <c r="EM746" s="269">
        <f t="shared" si="1936"/>
        <v>2938331.337428628</v>
      </c>
      <c r="EN746" s="269">
        <f t="shared" si="1980"/>
        <v>14691656.68714314</v>
      </c>
      <c r="EO746" s="140">
        <f>'Detailed Budget'!$AC$209</f>
        <v>135789361677.54817</v>
      </c>
      <c r="EP746" s="269">
        <f t="shared" si="1937"/>
        <v>209558605.60307604</v>
      </c>
      <c r="EQ746" s="196">
        <f>'Detailed Budget'!$AC$211</f>
        <v>33947340419.387043</v>
      </c>
      <c r="ER746" s="269">
        <f t="shared" si="1938"/>
        <v>52389651.40076901</v>
      </c>
      <c r="ES746" s="269">
        <f t="shared" si="1981"/>
        <v>261948257.00384504</v>
      </c>
      <c r="ET746" s="196">
        <f>'Detailed Budget'!$AC$214</f>
        <v>22239745544.201103</v>
      </c>
      <c r="EU746" s="269">
        <f t="shared" si="1939"/>
        <v>33332289.200665709</v>
      </c>
      <c r="EV746" s="140">
        <f>'Detailed Budget'!$AC$217</f>
        <v>5559936386.0502758</v>
      </c>
      <c r="EW746" s="269">
        <f t="shared" si="1940"/>
        <v>8333072.3001664272</v>
      </c>
      <c r="EX746" s="269">
        <f t="shared" si="1982"/>
        <v>41665361.500832133</v>
      </c>
      <c r="EY746" s="196">
        <f>'Detailed Budget'!$AC$219</f>
        <v>372777004.58170313</v>
      </c>
      <c r="EZ746" s="269">
        <f t="shared" si="1941"/>
        <v>584897.78909785708</v>
      </c>
      <c r="FA746" s="196">
        <f>'Detailed Budget'!$AC$222</f>
        <v>93194251.145425782</v>
      </c>
      <c r="FB746" s="269">
        <f t="shared" si="1942"/>
        <v>146224.44727446427</v>
      </c>
      <c r="FC746" s="269">
        <f t="shared" si="1983"/>
        <v>731122.23637232138</v>
      </c>
      <c r="FD746" s="269"/>
      <c r="FE746" s="269">
        <f t="shared" si="1984"/>
        <v>319036397.42819262</v>
      </c>
      <c r="FF746" s="140">
        <f>'Detailed Budget'!$AC$165</f>
        <v>14927760000</v>
      </c>
      <c r="FG746" s="1087">
        <f t="shared" si="1864"/>
        <v>435186764.34058422</v>
      </c>
      <c r="FH746" s="269">
        <f t="shared" si="1943"/>
        <v>32226728.780820362</v>
      </c>
      <c r="FJ746" s="140">
        <f>'Detailed Budget'!$AC$235</f>
        <v>3623696172</v>
      </c>
      <c r="FK746" s="269">
        <f t="shared" si="1944"/>
        <v>4681778</v>
      </c>
      <c r="FL746" s="269">
        <f t="shared" si="1865"/>
        <v>4681778</v>
      </c>
      <c r="FO746" s="607"/>
      <c r="FP746" s="607"/>
      <c r="FQ746" s="607"/>
      <c r="FR746" s="269">
        <f>'Detailed Budget'!$AC$257</f>
        <v>13636439388</v>
      </c>
      <c r="FS746" s="269">
        <f t="shared" si="1945"/>
        <v>7994688</v>
      </c>
      <c r="FT746" s="269">
        <f t="shared" si="1866"/>
        <v>7994688</v>
      </c>
      <c r="FU746" s="269"/>
      <c r="FV746" s="269"/>
      <c r="FW746" s="269"/>
      <c r="FX746" s="140">
        <f>'Detailed Budget'!$AC$278</f>
        <v>1114560000</v>
      </c>
      <c r="FY746" s="269">
        <f t="shared" si="1946"/>
        <v>1440000</v>
      </c>
      <c r="FZ746" s="269">
        <f t="shared" si="1867"/>
        <v>1440000</v>
      </c>
      <c r="GB746" s="269">
        <f t="shared" si="1899"/>
        <v>1547063193.1667902</v>
      </c>
      <c r="GC746" s="887">
        <f t="shared" si="1985"/>
        <v>966914.49572924385</v>
      </c>
      <c r="GD746" s="1078">
        <f t="shared" si="1900"/>
        <v>8.6810587331805783E-4</v>
      </c>
    </row>
    <row r="747" spans="1:186" hidden="1" outlineLevel="1">
      <c r="A747" s="211" t="s">
        <v>1579</v>
      </c>
      <c r="B747" s="212" t="s">
        <v>1580</v>
      </c>
      <c r="C747" s="213" t="s">
        <v>215</v>
      </c>
      <c r="D747" s="214"/>
      <c r="E747" s="213"/>
      <c r="F747" s="213"/>
      <c r="G747" s="213" t="s">
        <v>215</v>
      </c>
      <c r="H747" s="213" t="s">
        <v>215</v>
      </c>
      <c r="I747" s="214"/>
      <c r="J747" s="214"/>
      <c r="K747" s="213"/>
      <c r="L747" s="213"/>
      <c r="M747" s="214"/>
      <c r="N747" s="213"/>
      <c r="O747" s="214"/>
      <c r="P747" s="213"/>
      <c r="Q747" s="214" t="s">
        <v>215</v>
      </c>
      <c r="R747" s="214"/>
      <c r="S747" s="214"/>
      <c r="T747" s="214"/>
      <c r="U747" s="215">
        <f t="shared" si="1905"/>
        <v>4</v>
      </c>
      <c r="V747" s="845" t="s">
        <v>1073</v>
      </c>
      <c r="W747" s="216">
        <v>326700</v>
      </c>
      <c r="X747" s="217">
        <v>3.24</v>
      </c>
      <c r="Y747" s="218">
        <f t="shared" si="1965"/>
        <v>1.0324</v>
      </c>
      <c r="Z747" s="196">
        <v>19</v>
      </c>
      <c r="AA747" s="218">
        <f t="shared" si="1966"/>
        <v>1.8327866870051304</v>
      </c>
      <c r="AB747" s="196">
        <f t="shared" ref="AB747:AB780" si="1996">W747*AA747</f>
        <v>598771.41064457607</v>
      </c>
      <c r="AC747">
        <v>12.6</v>
      </c>
      <c r="AD747" s="196">
        <f t="shared" ref="AD747:AD780" si="1997">AB747*AC747/100</f>
        <v>75445.197741216572</v>
      </c>
      <c r="AE747" s="196">
        <f t="shared" si="1967"/>
        <v>71672.937854155738</v>
      </c>
      <c r="AF747" s="196">
        <f t="shared" si="1947"/>
        <v>0</v>
      </c>
      <c r="AG747" s="606">
        <f t="shared" si="1988"/>
        <v>3.3138419962832921E-3</v>
      </c>
      <c r="AH747" s="196">
        <f t="shared" si="1963"/>
        <v>29938.570532228805</v>
      </c>
      <c r="AI747" s="248">
        <f t="shared" si="1964"/>
        <v>2.3192956977666846E-3</v>
      </c>
      <c r="AJ747" s="196">
        <f t="shared" si="1968"/>
        <v>105383.76827344537</v>
      </c>
      <c r="AK747" s="196">
        <f t="shared" si="1858"/>
        <v>23950.856425783044</v>
      </c>
      <c r="AL747" s="196">
        <f t="shared" si="1859"/>
        <v>23950.856425783044</v>
      </c>
      <c r="AM747" s="196">
        <f t="shared" si="1969"/>
        <v>47901.712851566088</v>
      </c>
      <c r="AN747" s="627">
        <f t="shared" si="1970"/>
        <v>2.3192956977666846E-3</v>
      </c>
      <c r="AO747" s="196">
        <f t="shared" si="1971"/>
        <v>22753.313604493891</v>
      </c>
      <c r="AP747" s="589">
        <f t="shared" si="1989"/>
        <v>2.3192956977666846E-3</v>
      </c>
      <c r="AQ747" s="196"/>
      <c r="AR747" s="589"/>
      <c r="AS747">
        <v>1</v>
      </c>
      <c r="AT747" s="589">
        <f t="shared" si="1990"/>
        <v>1.2919896640826874E-3</v>
      </c>
      <c r="AU747" s="196">
        <v>11</v>
      </c>
      <c r="AV747" s="245">
        <f t="shared" si="1972"/>
        <v>1.2498579706851495E-3</v>
      </c>
      <c r="AX747" s="245"/>
      <c r="AY747" s="245"/>
      <c r="AZ747" s="196">
        <v>11</v>
      </c>
      <c r="BA747" s="589">
        <f t="shared" si="1871"/>
        <v>4.0306328093510683E-4</v>
      </c>
      <c r="BI747" s="196">
        <v>0</v>
      </c>
      <c r="BK747" s="246">
        <f t="shared" si="1872"/>
        <v>0</v>
      </c>
      <c r="BL747" s="246"/>
      <c r="BM747" s="246">
        <f t="shared" si="1873"/>
        <v>0</v>
      </c>
      <c r="BN747" s="196">
        <v>1</v>
      </c>
      <c r="BO747" s="196">
        <f t="shared" si="1948"/>
        <v>34591.082522919874</v>
      </c>
      <c r="BP747" s="196">
        <f t="shared" si="1973"/>
        <v>34591.082522919874</v>
      </c>
      <c r="BQ747" s="248">
        <f t="shared" si="1874"/>
        <v>3.2358346880650896E-3</v>
      </c>
      <c r="BR747" s="248"/>
      <c r="BS747" s="248"/>
      <c r="BT747" s="276">
        <v>0</v>
      </c>
      <c r="BU747" s="196">
        <f t="shared" si="1949"/>
        <v>0</v>
      </c>
      <c r="BV747" s="264">
        <f t="shared" si="1875"/>
        <v>0</v>
      </c>
      <c r="BW747" s="196">
        <f t="shared" si="1950"/>
        <v>0</v>
      </c>
      <c r="BX747" s="247">
        <f t="shared" si="1876"/>
        <v>0</v>
      </c>
      <c r="BY747" s="196">
        <f t="shared" si="1951"/>
        <v>0</v>
      </c>
      <c r="BZ747" s="620">
        <v>1</v>
      </c>
      <c r="CA747" s="196">
        <f t="shared" si="1952"/>
        <v>183224.05165724026</v>
      </c>
      <c r="CB747" s="196">
        <f t="shared" si="1953"/>
        <v>366448.10331448051</v>
      </c>
      <c r="CC747" s="196">
        <f t="shared" si="1986"/>
        <v>549672.15497172077</v>
      </c>
      <c r="CD747" s="247">
        <f t="shared" si="1974"/>
        <v>2.3192956977666841E-3</v>
      </c>
      <c r="CE747" s="196">
        <f t="shared" si="1954"/>
        <v>51375.119727033547</v>
      </c>
      <c r="CF747" s="247">
        <f t="shared" si="1975"/>
        <v>2.2185374436442516E-3</v>
      </c>
      <c r="CG747" s="196">
        <f t="shared" si="1924"/>
        <v>91013.254417975564</v>
      </c>
      <c r="CH747" s="589">
        <f t="shared" si="1991"/>
        <v>2.3192956977666846E-3</v>
      </c>
      <c r="CI747" s="196">
        <f t="shared" si="1955"/>
        <v>24395.553835363855</v>
      </c>
      <c r="CJ747" s="248">
        <f t="shared" si="1992"/>
        <v>4.0106284312927879E-4</v>
      </c>
      <c r="CK747" s="196">
        <f t="shared" si="1956"/>
        <v>164894.94044745577</v>
      </c>
      <c r="CL747" s="589">
        <f t="shared" si="1993"/>
        <v>2.3703986863743802E-3</v>
      </c>
      <c r="CM747" s="196">
        <f t="shared" si="1957"/>
        <v>15974.186153501814</v>
      </c>
      <c r="CN747" s="589">
        <f t="shared" si="1994"/>
        <v>2.3020617657708723E-3</v>
      </c>
      <c r="CO747" s="196">
        <f t="shared" si="1958"/>
        <v>1277.9277227790496</v>
      </c>
      <c r="CP747" s="589">
        <f t="shared" si="1995"/>
        <v>2.409974848055598E-3</v>
      </c>
      <c r="CQ747" s="196">
        <f>'Detailed Budget'!$AC$12</f>
        <v>292876014141.44696</v>
      </c>
      <c r="CR747" s="269">
        <f t="shared" si="1861"/>
        <v>0</v>
      </c>
      <c r="CS747" s="269">
        <f>'Detailed Budget'!$AC$16</f>
        <v>10488008800.000002</v>
      </c>
      <c r="CT747" s="607">
        <f t="shared" si="1926"/>
        <v>0</v>
      </c>
      <c r="CU747" s="269">
        <f>'Detailed Budget'!$AC$24</f>
        <v>30624985696</v>
      </c>
      <c r="CV747" s="269">
        <f t="shared" si="1868"/>
        <v>0</v>
      </c>
      <c r="CW747" s="269"/>
      <c r="CX747" s="269">
        <f t="shared" si="1987"/>
        <v>0</v>
      </c>
      <c r="CY747" s="196">
        <f>'Detailed Budget'!$AC$97</f>
        <v>74629165494.837845</v>
      </c>
      <c r="CZ747" s="269">
        <f t="shared" si="1927"/>
        <v>241487642.44954658</v>
      </c>
      <c r="DA747" s="269">
        <f>'Detailed Budget'!$AC$100</f>
        <v>14925833098.967569</v>
      </c>
      <c r="DB747" s="269">
        <f t="shared" si="1928"/>
        <v>48297528.489909314</v>
      </c>
      <c r="DC747" s="269">
        <f t="shared" si="1976"/>
        <v>289785170.93945587</v>
      </c>
      <c r="DD747" s="207">
        <v>0</v>
      </c>
      <c r="DE747" s="606">
        <v>0</v>
      </c>
      <c r="DF747" s="269">
        <f>'Detailed Budget'!$AC$147</f>
        <v>5913600671000</v>
      </c>
      <c r="DG747" s="269">
        <f t="shared" si="1863"/>
        <v>0</v>
      </c>
      <c r="DH747" s="269">
        <f>'Detailed Budget'!$AC$153</f>
        <v>226428026880.00003</v>
      </c>
      <c r="DI747" s="269"/>
      <c r="DJ747" s="269">
        <f>'Detailed Budget'!$AC$156</f>
        <v>27713070000</v>
      </c>
      <c r="DK747" s="269"/>
      <c r="DL747" s="269"/>
      <c r="DM747" s="196">
        <f>'Detailed Budget'!$AC$178</f>
        <v>5622683761.6229038</v>
      </c>
      <c r="DN747" s="269">
        <f t="shared" si="1959"/>
        <v>0</v>
      </c>
      <c r="DO747" s="196">
        <f>'Detailed Budget'!$AC$179</f>
        <v>26827890683.128094</v>
      </c>
      <c r="DP747" s="269">
        <f t="shared" si="1960"/>
        <v>0</v>
      </c>
      <c r="DQ747" s="269">
        <f t="shared" si="1862"/>
        <v>0</v>
      </c>
      <c r="DR747" s="269">
        <f>'Detailed Budget'!$AC$181</f>
        <v>50888946855.375237</v>
      </c>
      <c r="DS747" s="269">
        <f t="shared" si="1961"/>
        <v>0</v>
      </c>
      <c r="DT747" s="269">
        <f t="shared" si="1962"/>
        <v>0</v>
      </c>
      <c r="DU747" s="272">
        <f>'Detailed Budget'!$AC$192</f>
        <v>77498869683.252869</v>
      </c>
      <c r="DV747" s="269">
        <f t="shared" si="1929"/>
        <v>179742795.0381493</v>
      </c>
      <c r="DW747" s="140">
        <f>'Detailed Budget'!$AC$194</f>
        <v>2684962805.4134097</v>
      </c>
      <c r="DX747" s="269">
        <f t="shared" si="1930"/>
        <v>6227222.6832588892</v>
      </c>
      <c r="DY747" s="607">
        <f t="shared" si="1977"/>
        <v>185970017.72140819</v>
      </c>
      <c r="DZ747" s="196">
        <f>'Detailed Budget'!$AC$198</f>
        <v>18732540018.380611</v>
      </c>
      <c r="EA747" s="269">
        <f t="shared" si="1931"/>
        <v>41558841.445341766</v>
      </c>
      <c r="EB747" s="196">
        <f>'Detailed Budget'!$AC$200</f>
        <v>4683135004.5951529</v>
      </c>
      <c r="EC747" s="269">
        <f t="shared" si="1932"/>
        <v>10389710.361335441</v>
      </c>
      <c r="ED747" s="269">
        <f t="shared" si="1978"/>
        <v>51948551.806677207</v>
      </c>
      <c r="EE747" s="196">
        <f>'Detailed Budget'!$AC$161</f>
        <v>251147290106.36197</v>
      </c>
      <c r="EF747" s="269">
        <f t="shared" si="1933"/>
        <v>582484829.4494468</v>
      </c>
      <c r="EG747" s="196">
        <f>'Detailed Budget'!$AC$163</f>
        <v>15696705631.647623</v>
      </c>
      <c r="EH747" s="269">
        <f t="shared" si="1934"/>
        <v>36405301.840590425</v>
      </c>
      <c r="EI747" s="269">
        <f t="shared" si="1979"/>
        <v>618890131.29003727</v>
      </c>
      <c r="EJ747" s="196">
        <f>'Detailed Budget'!$AC$204</f>
        <v>45012172507.531975</v>
      </c>
      <c r="EK747" s="269">
        <f t="shared" si="1935"/>
        <v>18052709.881296333</v>
      </c>
      <c r="EL747" s="201">
        <f>'Detailed Budget'!$AC$206</f>
        <v>11253043126.882994</v>
      </c>
      <c r="EM747" s="269">
        <f t="shared" si="1936"/>
        <v>4513177.4703240832</v>
      </c>
      <c r="EN747" s="269">
        <f t="shared" si="1980"/>
        <v>22565887.351620417</v>
      </c>
      <c r="EO747" s="140">
        <f>'Detailed Budget'!$AC$209</f>
        <v>135789361677.54817</v>
      </c>
      <c r="EP747" s="269">
        <f t="shared" si="1937"/>
        <v>321874924.54407579</v>
      </c>
      <c r="EQ747" s="196">
        <f>'Detailed Budget'!$AC$211</f>
        <v>33947340419.387043</v>
      </c>
      <c r="ER747" s="269">
        <f t="shared" si="1938"/>
        <v>80468731.136018947</v>
      </c>
      <c r="ES747" s="269">
        <f t="shared" si="1981"/>
        <v>402343655.68009472</v>
      </c>
      <c r="ET747" s="196">
        <f>'Detailed Budget'!$AC$214</f>
        <v>22239745544.201103</v>
      </c>
      <c r="EU747" s="269">
        <f t="shared" si="1939"/>
        <v>51197267.897778481</v>
      </c>
      <c r="EV747" s="140">
        <f>'Detailed Budget'!$AC$217</f>
        <v>5559936386.0502758</v>
      </c>
      <c r="EW747" s="269">
        <f t="shared" si="1940"/>
        <v>12799316.97444462</v>
      </c>
      <c r="EX747" s="269">
        <f t="shared" si="1982"/>
        <v>63996584.872223102</v>
      </c>
      <c r="EY747" s="196">
        <f>'Detailed Budget'!$AC$219</f>
        <v>372777004.58170313</v>
      </c>
      <c r="EZ747" s="269">
        <f t="shared" si="1941"/>
        <v>898383.20497541095</v>
      </c>
      <c r="FA747" s="196">
        <f>'Detailed Budget'!$AC$222</f>
        <v>93194251.145425782</v>
      </c>
      <c r="FB747" s="269">
        <f t="shared" si="1942"/>
        <v>224595.80124385274</v>
      </c>
      <c r="FC747" s="269">
        <f t="shared" si="1983"/>
        <v>1122979.0062192637</v>
      </c>
      <c r="FD747" s="269"/>
      <c r="FE747" s="269">
        <f t="shared" si="1984"/>
        <v>490029106.9101575</v>
      </c>
      <c r="FF747" s="140">
        <f>'Detailed Budget'!$AC$165</f>
        <v>14927760000</v>
      </c>
      <c r="FG747" s="1087">
        <f t="shared" si="1864"/>
        <v>668432138.74033296</v>
      </c>
      <c r="FH747" s="269">
        <f t="shared" si="1943"/>
        <v>18657579.820474949</v>
      </c>
      <c r="FJ747" s="140">
        <f>'Detailed Budget'!$AC$235</f>
        <v>3623696172</v>
      </c>
      <c r="FK747" s="269">
        <f t="shared" si="1944"/>
        <v>4681778</v>
      </c>
      <c r="FL747" s="269">
        <f t="shared" si="1865"/>
        <v>4681778</v>
      </c>
      <c r="FO747" s="607"/>
      <c r="FP747" s="607"/>
      <c r="FQ747" s="607"/>
      <c r="FR747" s="269">
        <f>'Detailed Budget'!$AC$257</f>
        <v>13636439388</v>
      </c>
      <c r="FS747" s="269">
        <f t="shared" si="1945"/>
        <v>5496348</v>
      </c>
      <c r="FT747" s="269">
        <f t="shared" si="1866"/>
        <v>5496348</v>
      </c>
      <c r="FU747" s="269"/>
      <c r="FV747" s="269"/>
      <c r="FW747" s="269"/>
      <c r="FX747" s="140">
        <f>'Detailed Budget'!$AC$278</f>
        <v>1114560000</v>
      </c>
      <c r="FY747" s="269">
        <f t="shared" si="1946"/>
        <v>1440000</v>
      </c>
      <c r="FZ747" s="269">
        <f t="shared" si="1867"/>
        <v>1440000</v>
      </c>
      <c r="GB747" s="269">
        <f t="shared" si="1899"/>
        <v>2335330823.2285442</v>
      </c>
      <c r="GC747" s="887">
        <f t="shared" si="1985"/>
        <v>1459581.7645178402</v>
      </c>
      <c r="GD747" s="1078">
        <f t="shared" si="1900"/>
        <v>1.3104276623862692E-3</v>
      </c>
    </row>
    <row r="748" spans="1:186" hidden="1" outlineLevel="1">
      <c r="A748" s="211" t="s">
        <v>1581</v>
      </c>
      <c r="B748" s="212" t="s">
        <v>1582</v>
      </c>
      <c r="C748" s="213" t="s">
        <v>215</v>
      </c>
      <c r="D748" s="214"/>
      <c r="E748" s="213"/>
      <c r="F748" s="213"/>
      <c r="G748" s="213"/>
      <c r="H748" s="213" t="s">
        <v>215</v>
      </c>
      <c r="I748" s="214" t="s">
        <v>215</v>
      </c>
      <c r="J748" s="214"/>
      <c r="K748" s="213"/>
      <c r="L748" s="213"/>
      <c r="M748" s="214"/>
      <c r="N748" s="213" t="s">
        <v>215</v>
      </c>
      <c r="O748" s="214"/>
      <c r="P748" s="213"/>
      <c r="Q748" s="214" t="s">
        <v>215</v>
      </c>
      <c r="R748" s="214"/>
      <c r="S748" s="214"/>
      <c r="T748" s="214"/>
      <c r="U748" s="215">
        <f t="shared" si="1905"/>
        <v>5</v>
      </c>
      <c r="V748" s="845" t="s">
        <v>1127</v>
      </c>
      <c r="W748" s="216">
        <v>631857</v>
      </c>
      <c r="X748" s="217">
        <v>3.24</v>
      </c>
      <c r="Y748" s="218">
        <f t="shared" si="1965"/>
        <v>1.0324</v>
      </c>
      <c r="Z748" s="196">
        <v>19</v>
      </c>
      <c r="AA748" s="218">
        <f t="shared" si="1966"/>
        <v>1.8327866870051304</v>
      </c>
      <c r="AB748" s="196">
        <f t="shared" si="1996"/>
        <v>1158059.0976910007</v>
      </c>
      <c r="AC748">
        <v>12.6</v>
      </c>
      <c r="AD748" s="196">
        <f t="shared" si="1997"/>
        <v>145915.44630906609</v>
      </c>
      <c r="AE748" s="196">
        <f t="shared" si="1967"/>
        <v>138619.67399361279</v>
      </c>
      <c r="AF748" s="196">
        <f t="shared" si="1947"/>
        <v>0</v>
      </c>
      <c r="AG748" s="606">
        <f t="shared" si="1988"/>
        <v>6.4091651736932131E-3</v>
      </c>
      <c r="AH748" s="196">
        <f t="shared" si="1963"/>
        <v>57902.954884550039</v>
      </c>
      <c r="AI748" s="248">
        <f t="shared" si="1964"/>
        <v>4.4856541833601599E-3</v>
      </c>
      <c r="AJ748" s="196">
        <f t="shared" si="1968"/>
        <v>203818.40119361613</v>
      </c>
      <c r="AK748" s="196">
        <f t="shared" si="1858"/>
        <v>46322.363907640029</v>
      </c>
      <c r="AL748" s="196">
        <f t="shared" si="1859"/>
        <v>46322.363907640029</v>
      </c>
      <c r="AM748" s="196">
        <f t="shared" si="1969"/>
        <v>92644.727815280057</v>
      </c>
      <c r="AN748" s="627">
        <f t="shared" si="1970"/>
        <v>4.4856541833601599E-3</v>
      </c>
      <c r="AO748" s="196">
        <f t="shared" si="1971"/>
        <v>44006.245712258024</v>
      </c>
      <c r="AP748" s="589">
        <f t="shared" si="1989"/>
        <v>4.485654183360159E-3</v>
      </c>
      <c r="AQ748" s="196"/>
      <c r="AR748" s="589"/>
      <c r="AS748">
        <v>1</v>
      </c>
      <c r="AT748" s="589">
        <f t="shared" si="1990"/>
        <v>1.2919896640826874E-3</v>
      </c>
      <c r="AU748" s="196">
        <v>14</v>
      </c>
      <c r="AV748" s="245">
        <f t="shared" si="1972"/>
        <v>1.5907283263265539E-3</v>
      </c>
      <c r="AX748" s="245"/>
      <c r="AY748" s="245"/>
      <c r="AZ748" s="196">
        <v>14</v>
      </c>
      <c r="BA748" s="589">
        <f t="shared" si="1871"/>
        <v>5.1298963028104507E-4</v>
      </c>
      <c r="BI748" s="196">
        <v>0</v>
      </c>
      <c r="BK748" s="246">
        <f t="shared" si="1872"/>
        <v>0</v>
      </c>
      <c r="BL748" s="246"/>
      <c r="BM748" s="246">
        <f t="shared" si="1873"/>
        <v>0</v>
      </c>
      <c r="BN748" s="196">
        <v>1</v>
      </c>
      <c r="BO748" s="196">
        <f t="shared" si="1948"/>
        <v>66901.186500411961</v>
      </c>
      <c r="BP748" s="196">
        <f t="shared" si="1973"/>
        <v>66901.186500411961</v>
      </c>
      <c r="BQ748" s="248">
        <f t="shared" si="1874"/>
        <v>6.2582944551476706E-3</v>
      </c>
      <c r="BR748" s="248"/>
      <c r="BS748" s="248"/>
      <c r="BT748" s="276">
        <v>0</v>
      </c>
      <c r="BU748" s="196">
        <f t="shared" si="1949"/>
        <v>0</v>
      </c>
      <c r="BV748" s="264">
        <f t="shared" si="1875"/>
        <v>0</v>
      </c>
      <c r="BW748" s="196">
        <f t="shared" si="1950"/>
        <v>0</v>
      </c>
      <c r="BX748" s="247">
        <f t="shared" si="1876"/>
        <v>0</v>
      </c>
      <c r="BY748" s="196">
        <f t="shared" si="1951"/>
        <v>0</v>
      </c>
      <c r="BZ748" s="620">
        <v>0</v>
      </c>
      <c r="CA748" s="196">
        <f t="shared" si="1952"/>
        <v>354366.08389344614</v>
      </c>
      <c r="CB748" s="196">
        <f t="shared" si="1953"/>
        <v>708732.16778689227</v>
      </c>
      <c r="CC748" s="196">
        <f t="shared" si="1986"/>
        <v>1063098.2516803383</v>
      </c>
      <c r="CD748" s="247">
        <f t="shared" si="1974"/>
        <v>4.4856541833601582E-3</v>
      </c>
      <c r="CE748" s="196">
        <f t="shared" si="1954"/>
        <v>99362.500842865731</v>
      </c>
      <c r="CF748" s="247">
        <f t="shared" si="1975"/>
        <v>4.2907817983738163E-3</v>
      </c>
      <c r="CG748" s="196">
        <f t="shared" si="1924"/>
        <v>176024.98284903209</v>
      </c>
      <c r="CH748" s="589">
        <f t="shared" si="1991"/>
        <v>4.485654183360159E-3</v>
      </c>
      <c r="CI748" s="196">
        <f t="shared" si="1955"/>
        <v>47182.434832419662</v>
      </c>
      <c r="CJ748" s="248">
        <f t="shared" si="1992"/>
        <v>7.7567910888012479E-4</v>
      </c>
      <c r="CK748" s="196">
        <f t="shared" si="1956"/>
        <v>318916.50562077772</v>
      </c>
      <c r="CL748" s="589">
        <f t="shared" si="1993"/>
        <v>4.5844903666252129E-3</v>
      </c>
      <c r="CM748" s="196">
        <f t="shared" si="1957"/>
        <v>30895.01481601836</v>
      </c>
      <c r="CN748" s="589">
        <f t="shared" si="1994"/>
        <v>4.4523227460504635E-3</v>
      </c>
      <c r="CO748" s="196">
        <f t="shared" si="1958"/>
        <v>2471.587319045002</v>
      </c>
      <c r="CP748" s="589">
        <f t="shared" si="1995"/>
        <v>4.6610329891884489E-3</v>
      </c>
      <c r="CQ748" s="196">
        <f>'Detailed Budget'!$AC$12</f>
        <v>292876014141.44696</v>
      </c>
      <c r="CR748" s="269">
        <f t="shared" si="1861"/>
        <v>0</v>
      </c>
      <c r="CS748" s="269">
        <f>'Detailed Budget'!$AC$16</f>
        <v>10488008800.000002</v>
      </c>
      <c r="CT748" s="607">
        <f t="shared" si="1926"/>
        <v>0</v>
      </c>
      <c r="CU748" s="269">
        <f>'Detailed Budget'!$AC$24</f>
        <v>30624985696</v>
      </c>
      <c r="CV748" s="269">
        <f t="shared" si="1868"/>
        <v>0</v>
      </c>
      <c r="CW748" s="269"/>
      <c r="CX748" s="269">
        <f t="shared" si="1987"/>
        <v>0</v>
      </c>
      <c r="CY748" s="196">
        <f>'Detailed Budget'!$AC$97</f>
        <v>74629165494.837845</v>
      </c>
      <c r="CZ748" s="269">
        <f t="shared" si="1927"/>
        <v>467051292.60864156</v>
      </c>
      <c r="DA748" s="269">
        <f>'Detailed Budget'!$AC$100</f>
        <v>14925833098.967569</v>
      </c>
      <c r="DB748" s="269">
        <f t="shared" si="1928"/>
        <v>93410258.521728307</v>
      </c>
      <c r="DC748" s="269">
        <f t="shared" si="1976"/>
        <v>560461551.1303699</v>
      </c>
      <c r="DD748" s="207">
        <v>0</v>
      </c>
      <c r="DE748" s="606">
        <v>0</v>
      </c>
      <c r="DF748" s="269">
        <f>'Detailed Budget'!$AC$147</f>
        <v>5913600671000</v>
      </c>
      <c r="DG748" s="269">
        <f t="shared" si="1863"/>
        <v>0</v>
      </c>
      <c r="DH748" s="269">
        <f>'Detailed Budget'!$AC$153</f>
        <v>226428026880.00003</v>
      </c>
      <c r="DI748" s="269"/>
      <c r="DJ748" s="269">
        <f>'Detailed Budget'!$AC$156</f>
        <v>27713070000</v>
      </c>
      <c r="DK748" s="269"/>
      <c r="DL748" s="269"/>
      <c r="DM748" s="196">
        <f>'Detailed Budget'!$AC$178</f>
        <v>5622683761.6229038</v>
      </c>
      <c r="DN748" s="269">
        <f t="shared" si="1959"/>
        <v>0</v>
      </c>
      <c r="DO748" s="196">
        <f>'Detailed Budget'!$AC$179</f>
        <v>26827890683.128094</v>
      </c>
      <c r="DP748" s="269">
        <f t="shared" si="1960"/>
        <v>0</v>
      </c>
      <c r="DQ748" s="269">
        <f t="shared" si="1862"/>
        <v>0</v>
      </c>
      <c r="DR748" s="269">
        <f>'Detailed Budget'!$AC$181</f>
        <v>50888946855.375237</v>
      </c>
      <c r="DS748" s="269">
        <f t="shared" si="1961"/>
        <v>0</v>
      </c>
      <c r="DT748" s="269">
        <f t="shared" si="1962"/>
        <v>0</v>
      </c>
      <c r="DU748" s="272">
        <f>'Detailed Budget'!$AC$192</f>
        <v>77498869683.252869</v>
      </c>
      <c r="DV748" s="269">
        <f t="shared" si="1929"/>
        <v>0</v>
      </c>
      <c r="DW748" s="140">
        <f>'Detailed Budget'!$AC$194</f>
        <v>2684962805.4134097</v>
      </c>
      <c r="DX748" s="269">
        <f t="shared" si="1930"/>
        <v>0</v>
      </c>
      <c r="DY748" s="607">
        <f t="shared" si="1977"/>
        <v>0</v>
      </c>
      <c r="DZ748" s="196">
        <f>'Detailed Budget'!$AC$198</f>
        <v>18732540018.380611</v>
      </c>
      <c r="EA748" s="269">
        <f t="shared" si="1931"/>
        <v>80377241.748176634</v>
      </c>
      <c r="EB748" s="196">
        <f>'Detailed Budget'!$AC$200</f>
        <v>4683135004.5951529</v>
      </c>
      <c r="EC748" s="269">
        <f t="shared" si="1932"/>
        <v>20094310.437044159</v>
      </c>
      <c r="ED748" s="269">
        <f t="shared" si="1978"/>
        <v>100471552.18522079</v>
      </c>
      <c r="EE748" s="196">
        <f>'Detailed Budget'!$AC$161</f>
        <v>251147290106.36197</v>
      </c>
      <c r="EF748" s="269">
        <f t="shared" si="1933"/>
        <v>1126559892.5051701</v>
      </c>
      <c r="EG748" s="196">
        <f>'Detailed Budget'!$AC$163</f>
        <v>15696705631.647623</v>
      </c>
      <c r="EH748" s="269">
        <f t="shared" si="1934"/>
        <v>70409993.281573132</v>
      </c>
      <c r="EI748" s="269">
        <f t="shared" si="1979"/>
        <v>1196969885.7867432</v>
      </c>
      <c r="EJ748" s="196">
        <f>'Detailed Budget'!$AC$204</f>
        <v>45012172507.531975</v>
      </c>
      <c r="EK748" s="269">
        <f t="shared" si="1935"/>
        <v>34915001.859400854</v>
      </c>
      <c r="EL748" s="201">
        <f>'Detailed Budget'!$AC$206</f>
        <v>11253043126.882994</v>
      </c>
      <c r="EM748" s="269">
        <f t="shared" si="1936"/>
        <v>8728750.4648502134</v>
      </c>
      <c r="EN748" s="269">
        <f t="shared" si="1980"/>
        <v>43643752.324251071</v>
      </c>
      <c r="EO748" s="140">
        <f>'Detailed Budget'!$AC$209</f>
        <v>135789361677.54817</v>
      </c>
      <c r="EP748" s="269">
        <f t="shared" si="1937"/>
        <v>622525020.50090647</v>
      </c>
      <c r="EQ748" s="196">
        <f>'Detailed Budget'!$AC$211</f>
        <v>33947340419.387043</v>
      </c>
      <c r="ER748" s="269">
        <f t="shared" si="1938"/>
        <v>155631255.12522662</v>
      </c>
      <c r="ES748" s="269">
        <f t="shared" si="1981"/>
        <v>778156275.62613308</v>
      </c>
      <c r="ET748" s="196">
        <f>'Detailed Budget'!$AC$214</f>
        <v>22239745544.201103</v>
      </c>
      <c r="EU748" s="269">
        <f t="shared" si="1939"/>
        <v>99018524.952821016</v>
      </c>
      <c r="EV748" s="140">
        <f>'Detailed Budget'!$AC$217</f>
        <v>5559936386.0502758</v>
      </c>
      <c r="EW748" s="269">
        <f t="shared" si="1940"/>
        <v>24754631.238205254</v>
      </c>
      <c r="EX748" s="269">
        <f t="shared" si="1982"/>
        <v>123773156.19102627</v>
      </c>
      <c r="EY748" s="196">
        <f>'Detailed Budget'!$AC$219</f>
        <v>372777004.58170313</v>
      </c>
      <c r="EZ748" s="269">
        <f t="shared" si="1941"/>
        <v>1737525.9159661718</v>
      </c>
      <c r="FA748" s="196">
        <f>'Detailed Budget'!$AC$222</f>
        <v>93194251.145425782</v>
      </c>
      <c r="FB748" s="269">
        <f t="shared" si="1942"/>
        <v>434381.47899154294</v>
      </c>
      <c r="FC748" s="269">
        <f t="shared" si="1983"/>
        <v>2171907.3949577147</v>
      </c>
      <c r="FD748" s="269"/>
      <c r="FE748" s="269">
        <f t="shared" si="1984"/>
        <v>947745091.53636801</v>
      </c>
      <c r="FF748" s="140">
        <f>'Detailed Budget'!$AC$165</f>
        <v>14927760000</v>
      </c>
      <c r="FG748" s="1087">
        <f t="shared" si="1864"/>
        <v>1292787039.7552822</v>
      </c>
      <c r="FH748" s="269">
        <f t="shared" si="1943"/>
        <v>23746010.68060448</v>
      </c>
      <c r="FJ748" s="140">
        <f>'Detailed Budget'!$AC$235</f>
        <v>3623696172</v>
      </c>
      <c r="FK748" s="269">
        <f t="shared" si="1944"/>
        <v>4681778</v>
      </c>
      <c r="FL748" s="269">
        <f t="shared" si="1865"/>
        <v>4681778</v>
      </c>
      <c r="FO748" s="607"/>
      <c r="FP748" s="607"/>
      <c r="FQ748" s="607"/>
      <c r="FR748" s="269">
        <f>'Detailed Budget'!$AC$257</f>
        <v>13636439388</v>
      </c>
      <c r="FS748" s="269">
        <f t="shared" si="1945"/>
        <v>6995352</v>
      </c>
      <c r="FT748" s="269">
        <f t="shared" si="1866"/>
        <v>6995352</v>
      </c>
      <c r="FU748" s="269"/>
      <c r="FV748" s="269"/>
      <c r="FW748" s="269"/>
      <c r="FX748" s="140">
        <f>'Detailed Budget'!$AC$278</f>
        <v>1114560000</v>
      </c>
      <c r="FY748" s="269">
        <f t="shared" si="1946"/>
        <v>1440000</v>
      </c>
      <c r="FZ748" s="269">
        <f t="shared" si="1867"/>
        <v>1440000</v>
      </c>
      <c r="GB748" s="269">
        <f t="shared" si="1899"/>
        <v>4135298261.0745883</v>
      </c>
      <c r="GC748" s="887">
        <f t="shared" si="1985"/>
        <v>2584561.4131716178</v>
      </c>
      <c r="GD748" s="1078">
        <f t="shared" si="1900"/>
        <v>2.3204460711216558E-3</v>
      </c>
    </row>
    <row r="749" spans="1:186" hidden="1" outlineLevel="1">
      <c r="A749" s="211" t="s">
        <v>1583</v>
      </c>
      <c r="B749" s="212" t="s">
        <v>1584</v>
      </c>
      <c r="C749" s="213" t="s">
        <v>215</v>
      </c>
      <c r="D749" s="214"/>
      <c r="E749" s="213"/>
      <c r="F749" s="213"/>
      <c r="G749" s="213" t="s">
        <v>215</v>
      </c>
      <c r="H749" s="213" t="s">
        <v>215</v>
      </c>
      <c r="I749" s="214" t="s">
        <v>215</v>
      </c>
      <c r="J749" s="214"/>
      <c r="K749" s="213"/>
      <c r="L749" s="213"/>
      <c r="M749" s="214"/>
      <c r="N749" s="213"/>
      <c r="O749" s="214" t="s">
        <v>215</v>
      </c>
      <c r="P749" s="213"/>
      <c r="Q749" s="214" t="s">
        <v>215</v>
      </c>
      <c r="R749" s="214"/>
      <c r="S749" s="214"/>
      <c r="T749" s="214"/>
      <c r="U749" s="215">
        <f t="shared" si="1905"/>
        <v>6</v>
      </c>
      <c r="V749" s="845" t="s">
        <v>1073</v>
      </c>
      <c r="W749" s="216">
        <v>609173</v>
      </c>
      <c r="X749" s="217">
        <v>3.24</v>
      </c>
      <c r="Y749" s="218">
        <f t="shared" si="1965"/>
        <v>1.0324</v>
      </c>
      <c r="Z749" s="196">
        <v>19</v>
      </c>
      <c r="AA749" s="218">
        <f t="shared" si="1966"/>
        <v>1.8327866870051304</v>
      </c>
      <c r="AB749" s="196">
        <f t="shared" si="1996"/>
        <v>1116484.1644829763</v>
      </c>
      <c r="AC749">
        <v>12.6</v>
      </c>
      <c r="AD749" s="196">
        <f t="shared" si="1997"/>
        <v>140677.00472485501</v>
      </c>
      <c r="AE749" s="196">
        <f t="shared" si="1967"/>
        <v>133643.15448861226</v>
      </c>
      <c r="AF749" s="196">
        <f t="shared" si="1947"/>
        <v>0</v>
      </c>
      <c r="AG749" s="606">
        <f t="shared" si="1988"/>
        <v>6.1790727591119754E-3</v>
      </c>
      <c r="AH749" s="196">
        <f t="shared" si="1963"/>
        <v>55824.208224148817</v>
      </c>
      <c r="AI749" s="248">
        <f t="shared" si="1964"/>
        <v>4.3246168291877097E-3</v>
      </c>
      <c r="AJ749" s="196">
        <f t="shared" si="1968"/>
        <v>196501.21294900382</v>
      </c>
      <c r="AK749" s="196">
        <f t="shared" si="1858"/>
        <v>44659.366579319052</v>
      </c>
      <c r="AL749" s="196">
        <f t="shared" si="1859"/>
        <v>44659.366579319052</v>
      </c>
      <c r="AM749" s="196">
        <f t="shared" si="1969"/>
        <v>89318.733158638104</v>
      </c>
      <c r="AN749" s="627">
        <f t="shared" si="1970"/>
        <v>4.3246168291877088E-3</v>
      </c>
      <c r="AO749" s="196">
        <f t="shared" si="1971"/>
        <v>42426.398250353101</v>
      </c>
      <c r="AP749" s="589">
        <f t="shared" si="1989"/>
        <v>4.3246168291877097E-3</v>
      </c>
      <c r="AQ749" s="196"/>
      <c r="AR749" s="589"/>
      <c r="AS749">
        <v>1</v>
      </c>
      <c r="AT749" s="589">
        <f t="shared" si="1990"/>
        <v>1.2919896640826874E-3</v>
      </c>
      <c r="AU749" s="196">
        <v>11</v>
      </c>
      <c r="AV749" s="245">
        <f t="shared" si="1972"/>
        <v>1.2498579706851495E-3</v>
      </c>
      <c r="AX749" s="245"/>
      <c r="AY749" s="245"/>
      <c r="AZ749" s="196">
        <v>24</v>
      </c>
      <c r="BA749" s="589">
        <f t="shared" si="1871"/>
        <v>8.7941079476750578E-4</v>
      </c>
      <c r="BI749" s="196">
        <v>0</v>
      </c>
      <c r="BK749" s="246">
        <f t="shared" si="1872"/>
        <v>0</v>
      </c>
      <c r="BL749" s="246"/>
      <c r="BM749" s="246">
        <f t="shared" si="1873"/>
        <v>0</v>
      </c>
      <c r="BN749" s="196">
        <v>1</v>
      </c>
      <c r="BO749" s="196">
        <f t="shared" si="1948"/>
        <v>64499.398572802798</v>
      </c>
      <c r="BP749" s="196">
        <f t="shared" si="1973"/>
        <v>64499.398572802798</v>
      </c>
      <c r="BQ749" s="248">
        <f t="shared" si="1874"/>
        <v>6.0336183790409411E-3</v>
      </c>
      <c r="BR749" s="248"/>
      <c r="BS749" s="248"/>
      <c r="BT749" s="276">
        <v>0</v>
      </c>
      <c r="BU749" s="196">
        <f t="shared" si="1949"/>
        <v>0</v>
      </c>
      <c r="BV749" s="264">
        <f t="shared" si="1875"/>
        <v>0</v>
      </c>
      <c r="BW749" s="196">
        <f t="shared" si="1950"/>
        <v>0</v>
      </c>
      <c r="BX749" s="247">
        <f t="shared" si="1876"/>
        <v>0</v>
      </c>
      <c r="BY749" s="196">
        <f t="shared" si="1951"/>
        <v>0</v>
      </c>
      <c r="BZ749" s="620">
        <v>1</v>
      </c>
      <c r="CA749" s="196">
        <f t="shared" si="1952"/>
        <v>341644.15433179069</v>
      </c>
      <c r="CB749" s="196">
        <f t="shared" si="1953"/>
        <v>683288.30866358138</v>
      </c>
      <c r="CC749" s="196">
        <f t="shared" si="1986"/>
        <v>1024932.462995372</v>
      </c>
      <c r="CD749" s="247">
        <f t="shared" si="1974"/>
        <v>4.324616829187708E-3</v>
      </c>
      <c r="CE749" s="196">
        <f t="shared" si="1954"/>
        <v>95795.334586704019</v>
      </c>
      <c r="CF749" s="247">
        <f t="shared" si="1975"/>
        <v>4.1367404657395145E-3</v>
      </c>
      <c r="CG749" s="196">
        <f t="shared" si="1924"/>
        <v>169705.5930014124</v>
      </c>
      <c r="CH749" s="589">
        <f t="shared" si="1991"/>
        <v>4.3246168291877097E-3</v>
      </c>
      <c r="CI749" s="196">
        <f t="shared" si="1955"/>
        <v>45488.560503673434</v>
      </c>
      <c r="CJ749" s="248">
        <f t="shared" si="1992"/>
        <v>7.478318192151584E-4</v>
      </c>
      <c r="CK749" s="196">
        <f t="shared" si="1956"/>
        <v>307467.23464094888</v>
      </c>
      <c r="CL749" s="589">
        <f t="shared" si="1993"/>
        <v>4.4199047412756065E-3</v>
      </c>
      <c r="CM749" s="196">
        <f t="shared" si="1957"/>
        <v>29785.867467668086</v>
      </c>
      <c r="CN749" s="589">
        <f t="shared" si="1994"/>
        <v>4.292482008080625E-3</v>
      </c>
      <c r="CO749" s="196">
        <f t="shared" si="1958"/>
        <v>2382.8560289821921</v>
      </c>
      <c r="CP749" s="589">
        <f t="shared" si="1995"/>
        <v>4.4936994432646865E-3</v>
      </c>
      <c r="CQ749" s="196">
        <f>'Detailed Budget'!$AC$12</f>
        <v>292876014141.44696</v>
      </c>
      <c r="CR749" s="269">
        <f t="shared" si="1861"/>
        <v>0</v>
      </c>
      <c r="CS749" s="269">
        <f>'Detailed Budget'!$AC$16</f>
        <v>10488008800.000002</v>
      </c>
      <c r="CT749" s="607">
        <f t="shared" si="1926"/>
        <v>0</v>
      </c>
      <c r="CU749" s="269">
        <f>'Detailed Budget'!$AC$24</f>
        <v>30624985696</v>
      </c>
      <c r="CV749" s="269">
        <f t="shared" si="1868"/>
        <v>0</v>
      </c>
      <c r="CW749" s="269"/>
      <c r="CX749" s="269">
        <f t="shared" si="1987"/>
        <v>0</v>
      </c>
      <c r="CY749" s="196">
        <f>'Detailed Budget'!$AC$97</f>
        <v>74629165494.837845</v>
      </c>
      <c r="CZ749" s="269">
        <f t="shared" si="1927"/>
        <v>450283904.54214168</v>
      </c>
      <c r="DA749" s="269">
        <f>'Detailed Budget'!$AC$100</f>
        <v>14925833098.967569</v>
      </c>
      <c r="DB749" s="269">
        <f t="shared" si="1928"/>
        <v>90056780.908428326</v>
      </c>
      <c r="DC749" s="269">
        <f t="shared" si="1976"/>
        <v>540340685.45056999</v>
      </c>
      <c r="DD749" s="207">
        <v>0</v>
      </c>
      <c r="DE749" s="606">
        <v>0</v>
      </c>
      <c r="DF749" s="269">
        <f>'Detailed Budget'!$AC$147</f>
        <v>5913600671000</v>
      </c>
      <c r="DG749" s="269">
        <f t="shared" si="1863"/>
        <v>0</v>
      </c>
      <c r="DH749" s="269">
        <f>'Detailed Budget'!$AC$153</f>
        <v>226428026880.00003</v>
      </c>
      <c r="DI749" s="269"/>
      <c r="DJ749" s="269">
        <f>'Detailed Budget'!$AC$156</f>
        <v>27713070000</v>
      </c>
      <c r="DK749" s="269"/>
      <c r="DL749" s="269"/>
      <c r="DM749" s="196">
        <f>'Detailed Budget'!$AC$178</f>
        <v>5622683761.6229038</v>
      </c>
      <c r="DN749" s="269">
        <f t="shared" si="1959"/>
        <v>0</v>
      </c>
      <c r="DO749" s="196">
        <f>'Detailed Budget'!$AC$179</f>
        <v>26827890683.128094</v>
      </c>
      <c r="DP749" s="269">
        <f t="shared" si="1960"/>
        <v>0</v>
      </c>
      <c r="DQ749" s="269">
        <f t="shared" si="1862"/>
        <v>0</v>
      </c>
      <c r="DR749" s="269">
        <f>'Detailed Budget'!$AC$181</f>
        <v>50888946855.375237</v>
      </c>
      <c r="DS749" s="269">
        <f t="shared" si="1961"/>
        <v>0</v>
      </c>
      <c r="DT749" s="269">
        <f t="shared" si="1962"/>
        <v>0</v>
      </c>
      <c r="DU749" s="272">
        <f>'Detailed Budget'!$AC$192</f>
        <v>77498869683.252869</v>
      </c>
      <c r="DV749" s="269">
        <f t="shared" si="1929"/>
        <v>335152916.07522041</v>
      </c>
      <c r="DW749" s="140">
        <f>'Detailed Budget'!$AC$194</f>
        <v>2684962805.4134097</v>
      </c>
      <c r="DX749" s="269">
        <f t="shared" si="1930"/>
        <v>11611435.334033875</v>
      </c>
      <c r="DY749" s="607">
        <f t="shared" si="1977"/>
        <v>346764351.40925425</v>
      </c>
      <c r="DZ749" s="196">
        <f>'Detailed Budget'!$AC$198</f>
        <v>18732540018.380611</v>
      </c>
      <c r="EA749" s="269">
        <f t="shared" si="1931"/>
        <v>77491656.320119902</v>
      </c>
      <c r="EB749" s="196">
        <f>'Detailed Budget'!$AC$200</f>
        <v>4683135004.5951529</v>
      </c>
      <c r="EC749" s="269">
        <f t="shared" si="1932"/>
        <v>19372914.080029976</v>
      </c>
      <c r="ED749" s="269">
        <f t="shared" si="1978"/>
        <v>96864570.400149882</v>
      </c>
      <c r="EE749" s="196">
        <f>'Detailed Budget'!$AC$161</f>
        <v>251147290106.36197</v>
      </c>
      <c r="EF749" s="269">
        <f t="shared" si="1933"/>
        <v>1086115797.3988609</v>
      </c>
      <c r="EG749" s="196">
        <f>'Detailed Budget'!$AC$163</f>
        <v>15696705631.647623</v>
      </c>
      <c r="EH749" s="269">
        <f t="shared" si="1934"/>
        <v>67882237.337428808</v>
      </c>
      <c r="EI749" s="269">
        <f t="shared" si="1979"/>
        <v>1153998034.7362897</v>
      </c>
      <c r="EJ749" s="196">
        <f>'Detailed Budget'!$AC$204</f>
        <v>45012172507.531975</v>
      </c>
      <c r="EK749" s="269">
        <f t="shared" si="1935"/>
        <v>33661534.853134178</v>
      </c>
      <c r="EL749" s="201">
        <f>'Detailed Budget'!$AC$206</f>
        <v>11253043126.882994</v>
      </c>
      <c r="EM749" s="269">
        <f t="shared" si="1936"/>
        <v>8415383.7132835444</v>
      </c>
      <c r="EN749" s="269">
        <f t="shared" si="1980"/>
        <v>42076918.566417724</v>
      </c>
      <c r="EO749" s="140">
        <f>'Detailed Budget'!$AC$209</f>
        <v>135789361677.54817</v>
      </c>
      <c r="EP749" s="269">
        <f t="shared" si="1937"/>
        <v>600176043.49338329</v>
      </c>
      <c r="EQ749" s="196">
        <f>'Detailed Budget'!$AC$211</f>
        <v>33947340419.387043</v>
      </c>
      <c r="ER749" s="269">
        <f t="shared" si="1938"/>
        <v>150044010.87334582</v>
      </c>
      <c r="ES749" s="269">
        <f t="shared" si="1981"/>
        <v>750220054.36672914</v>
      </c>
      <c r="ET749" s="196">
        <f>'Detailed Budget'!$AC$214</f>
        <v>22239745544.201103</v>
      </c>
      <c r="EU749" s="269">
        <f t="shared" si="1939"/>
        <v>95463707.612774476</v>
      </c>
      <c r="EV749" s="140">
        <f>'Detailed Budget'!$AC$217</f>
        <v>5559936386.0502758</v>
      </c>
      <c r="EW749" s="269">
        <f t="shared" si="1940"/>
        <v>23865926.903193619</v>
      </c>
      <c r="EX749" s="269">
        <f t="shared" si="1982"/>
        <v>119329634.5159681</v>
      </c>
      <c r="EY749" s="196">
        <f>'Detailed Budget'!$AC$219</f>
        <v>372777004.58170313</v>
      </c>
      <c r="EZ749" s="269">
        <f t="shared" si="1941"/>
        <v>1675147.8179506769</v>
      </c>
      <c r="FA749" s="196">
        <f>'Detailed Budget'!$AC$222</f>
        <v>93194251.145425782</v>
      </c>
      <c r="FB749" s="269">
        <f t="shared" si="1942"/>
        <v>418786.95448766922</v>
      </c>
      <c r="FC749" s="269">
        <f t="shared" si="1983"/>
        <v>2093934.7724383462</v>
      </c>
      <c r="FD749" s="269"/>
      <c r="FE749" s="269">
        <f t="shared" si="1984"/>
        <v>913720542.22155321</v>
      </c>
      <c r="FF749" s="140">
        <f>'Detailed Budget'!$AC$165</f>
        <v>14927760000</v>
      </c>
      <c r="FG749" s="1087">
        <f t="shared" si="1864"/>
        <v>1246375302.2738442</v>
      </c>
      <c r="FH749" s="269">
        <f t="shared" si="1943"/>
        <v>18657579.820474949</v>
      </c>
      <c r="FJ749" s="140">
        <f>'Detailed Budget'!$AC$235</f>
        <v>3623696172</v>
      </c>
      <c r="FK749" s="269">
        <f t="shared" si="1944"/>
        <v>4681778</v>
      </c>
      <c r="FL749" s="269">
        <f t="shared" si="1865"/>
        <v>4681778</v>
      </c>
      <c r="FO749" s="607"/>
      <c r="FP749" s="607"/>
      <c r="FQ749" s="607"/>
      <c r="FR749" s="269">
        <f>'Detailed Budget'!$AC$257</f>
        <v>13636439388</v>
      </c>
      <c r="FS749" s="269">
        <f t="shared" si="1945"/>
        <v>11992032</v>
      </c>
      <c r="FT749" s="269">
        <f t="shared" si="1866"/>
        <v>11992032</v>
      </c>
      <c r="FU749" s="269"/>
      <c r="FV749" s="269"/>
      <c r="FW749" s="269"/>
      <c r="FX749" s="140">
        <f>'Detailed Budget'!$AC$278</f>
        <v>1114560000</v>
      </c>
      <c r="FY749" s="269">
        <f t="shared" si="1946"/>
        <v>1440000</v>
      </c>
      <c r="FZ749" s="269">
        <f t="shared" si="1867"/>
        <v>1440000</v>
      </c>
      <c r="GB749" s="269">
        <f t="shared" si="1899"/>
        <v>4334834876.3121357</v>
      </c>
      <c r="GC749" s="887">
        <f t="shared" si="1985"/>
        <v>2709271.7976950849</v>
      </c>
      <c r="GD749" s="1078">
        <f t="shared" si="1900"/>
        <v>2.4324123491604645E-3</v>
      </c>
    </row>
    <row r="750" spans="1:186" hidden="1" outlineLevel="1">
      <c r="A750" s="211" t="s">
        <v>1585</v>
      </c>
      <c r="B750" s="212" t="s">
        <v>1586</v>
      </c>
      <c r="C750" s="213" t="s">
        <v>215</v>
      </c>
      <c r="D750" s="214"/>
      <c r="E750" s="213"/>
      <c r="F750" s="213"/>
      <c r="G750" s="213"/>
      <c r="H750" s="213" t="s">
        <v>215</v>
      </c>
      <c r="I750" s="214" t="s">
        <v>215</v>
      </c>
      <c r="J750" s="214"/>
      <c r="K750" s="213"/>
      <c r="L750" s="213"/>
      <c r="M750" s="214"/>
      <c r="N750" s="213" t="s">
        <v>215</v>
      </c>
      <c r="O750" s="214"/>
      <c r="P750" s="213"/>
      <c r="Q750" s="214" t="s">
        <v>215</v>
      </c>
      <c r="R750" s="214"/>
      <c r="S750" s="214"/>
      <c r="T750" s="214"/>
      <c r="U750" s="215">
        <f t="shared" si="1905"/>
        <v>5</v>
      </c>
      <c r="V750" s="845" t="s">
        <v>1127</v>
      </c>
      <c r="W750" s="216">
        <v>629061</v>
      </c>
      <c r="X750" s="217">
        <v>3.24</v>
      </c>
      <c r="Y750" s="218">
        <f t="shared" si="1965"/>
        <v>1.0324</v>
      </c>
      <c r="Z750" s="196">
        <v>19</v>
      </c>
      <c r="AA750" s="218">
        <f t="shared" si="1966"/>
        <v>1.8327866870051304</v>
      </c>
      <c r="AB750" s="196">
        <f t="shared" si="1996"/>
        <v>1152934.6261141342</v>
      </c>
      <c r="AC750">
        <v>12.6</v>
      </c>
      <c r="AD750" s="196">
        <f t="shared" si="1997"/>
        <v>145269.76289038089</v>
      </c>
      <c r="AE750" s="196">
        <f t="shared" si="1967"/>
        <v>138006.27474586185</v>
      </c>
      <c r="AF750" s="196">
        <f t="shared" si="1947"/>
        <v>0</v>
      </c>
      <c r="AG750" s="606">
        <f t="shared" si="1988"/>
        <v>6.3808042853503652E-3</v>
      </c>
      <c r="AH750" s="196">
        <f t="shared" si="1963"/>
        <v>57646.731305706715</v>
      </c>
      <c r="AI750" s="248">
        <f t="shared" si="1964"/>
        <v>4.4658049309238088E-3</v>
      </c>
      <c r="AJ750" s="196">
        <f t="shared" si="1968"/>
        <v>202916.49419608762</v>
      </c>
      <c r="AK750" s="196">
        <f t="shared" si="1858"/>
        <v>46117.385044565366</v>
      </c>
      <c r="AL750" s="196">
        <f t="shared" si="1859"/>
        <v>46117.385044565366</v>
      </c>
      <c r="AM750" s="196">
        <f t="shared" si="1969"/>
        <v>92234.770089130732</v>
      </c>
      <c r="AN750" s="627">
        <f t="shared" si="1970"/>
        <v>4.4658049309238088E-3</v>
      </c>
      <c r="AO750" s="196">
        <f t="shared" si="1971"/>
        <v>43811.515792337101</v>
      </c>
      <c r="AP750" s="589">
        <f t="shared" si="1989"/>
        <v>4.4658049309238088E-3</v>
      </c>
      <c r="AQ750" s="196"/>
      <c r="AR750" s="589"/>
      <c r="AS750">
        <v>1</v>
      </c>
      <c r="AT750" s="589">
        <f t="shared" si="1990"/>
        <v>1.2919896640826874E-3</v>
      </c>
      <c r="AU750" s="196">
        <v>11</v>
      </c>
      <c r="AV750" s="245">
        <f t="shared" si="1972"/>
        <v>1.2498579706851495E-3</v>
      </c>
      <c r="AX750" s="245"/>
      <c r="AY750" s="245"/>
      <c r="AZ750" s="196">
        <v>12</v>
      </c>
      <c r="BA750" s="589">
        <f t="shared" si="1871"/>
        <v>4.3970539738375289E-4</v>
      </c>
      <c r="BI750" s="196">
        <v>0</v>
      </c>
      <c r="BK750" s="246">
        <f t="shared" si="1872"/>
        <v>0</v>
      </c>
      <c r="BL750" s="246"/>
      <c r="BM750" s="246">
        <f t="shared" si="1873"/>
        <v>0</v>
      </c>
      <c r="BN750" s="196">
        <v>1</v>
      </c>
      <c r="BO750" s="196">
        <f t="shared" si="1948"/>
        <v>66605.145279921941</v>
      </c>
      <c r="BP750" s="196">
        <f t="shared" si="1973"/>
        <v>66605.145279921941</v>
      </c>
      <c r="BQ750" s="248">
        <f t="shared" si="1874"/>
        <v>6.2306011775601876E-3</v>
      </c>
      <c r="BR750" s="248"/>
      <c r="BS750" s="248"/>
      <c r="BT750" s="276">
        <v>0</v>
      </c>
      <c r="BU750" s="196">
        <f t="shared" si="1949"/>
        <v>0</v>
      </c>
      <c r="BV750" s="264">
        <f t="shared" si="1875"/>
        <v>0</v>
      </c>
      <c r="BW750" s="196">
        <f t="shared" si="1950"/>
        <v>0</v>
      </c>
      <c r="BX750" s="247">
        <f t="shared" si="1876"/>
        <v>0</v>
      </c>
      <c r="BY750" s="196">
        <f t="shared" si="1951"/>
        <v>0</v>
      </c>
      <c r="BZ750" s="620">
        <v>0</v>
      </c>
      <c r="CA750" s="196">
        <f t="shared" si="1952"/>
        <v>352797.99559092504</v>
      </c>
      <c r="CB750" s="196">
        <f t="shared" si="1953"/>
        <v>705595.99118185008</v>
      </c>
      <c r="CC750" s="196">
        <f t="shared" si="1986"/>
        <v>1058393.9867727752</v>
      </c>
      <c r="CD750" s="247">
        <f t="shared" si="1974"/>
        <v>4.4658049309238088E-3</v>
      </c>
      <c r="CE750" s="196">
        <f t="shared" si="1954"/>
        <v>98922.816622612329</v>
      </c>
      <c r="CF750" s="247">
        <f t="shared" si="1975"/>
        <v>4.2717948663492386E-3</v>
      </c>
      <c r="CG750" s="196">
        <f t="shared" si="1924"/>
        <v>175246.0631693484</v>
      </c>
      <c r="CH750" s="589">
        <f t="shared" si="1991"/>
        <v>4.4658049309238088E-3</v>
      </c>
      <c r="CI750" s="196">
        <f t="shared" si="1955"/>
        <v>46973.650110890179</v>
      </c>
      <c r="CJ750" s="248">
        <f t="shared" si="1992"/>
        <v>7.7224668858814579E-4</v>
      </c>
      <c r="CK750" s="196">
        <f t="shared" si="1956"/>
        <v>317505.28354091512</v>
      </c>
      <c r="CL750" s="589">
        <f t="shared" si="1993"/>
        <v>4.5642037589511903E-3</v>
      </c>
      <c r="CM750" s="196">
        <f t="shared" si="1957"/>
        <v>30758.302772904823</v>
      </c>
      <c r="CN750" s="589">
        <f t="shared" si="1994"/>
        <v>4.4326209869531398E-3</v>
      </c>
      <c r="CO750" s="196">
        <f t="shared" si="1958"/>
        <v>2460.6504169547343</v>
      </c>
      <c r="CP750" s="589">
        <f t="shared" si="1995"/>
        <v>4.6404076764392484E-3</v>
      </c>
      <c r="CQ750" s="196">
        <f>'Detailed Budget'!$AC$12</f>
        <v>292876014141.44696</v>
      </c>
      <c r="CR750" s="269">
        <f t="shared" si="1861"/>
        <v>0</v>
      </c>
      <c r="CS750" s="269">
        <f>'Detailed Budget'!$AC$16</f>
        <v>10488008800.000002</v>
      </c>
      <c r="CT750" s="607">
        <f t="shared" si="1926"/>
        <v>0</v>
      </c>
      <c r="CU750" s="269">
        <f>'Detailed Budget'!$AC$24</f>
        <v>30624985696</v>
      </c>
      <c r="CV750" s="269">
        <f t="shared" si="1868"/>
        <v>0</v>
      </c>
      <c r="CW750" s="269"/>
      <c r="CX750" s="269">
        <f t="shared" si="1987"/>
        <v>0</v>
      </c>
      <c r="CY750" s="196">
        <f>'Detailed Budget'!$AC$97</f>
        <v>74629165494.837845</v>
      </c>
      <c r="CZ750" s="269">
        <f t="shared" si="1927"/>
        <v>464984566.41247082</v>
      </c>
      <c r="DA750" s="269">
        <f>'Detailed Budget'!$AC$100</f>
        <v>14925833098.967569</v>
      </c>
      <c r="DB750" s="269">
        <f t="shared" si="1928"/>
        <v>92996913.282494158</v>
      </c>
      <c r="DC750" s="269">
        <f t="shared" si="1976"/>
        <v>557981479.694965</v>
      </c>
      <c r="DD750" s="207">
        <v>0</v>
      </c>
      <c r="DE750" s="606">
        <v>0</v>
      </c>
      <c r="DF750" s="269">
        <f>'Detailed Budget'!$AC$147</f>
        <v>5913600671000</v>
      </c>
      <c r="DG750" s="269">
        <f t="shared" si="1863"/>
        <v>0</v>
      </c>
      <c r="DH750" s="269">
        <f>'Detailed Budget'!$AC$153</f>
        <v>226428026880.00003</v>
      </c>
      <c r="DI750" s="269"/>
      <c r="DJ750" s="269">
        <f>'Detailed Budget'!$AC$156</f>
        <v>27713070000</v>
      </c>
      <c r="DK750" s="269"/>
      <c r="DL750" s="269"/>
      <c r="DM750" s="196">
        <f>'Detailed Budget'!$AC$178</f>
        <v>5622683761.6229038</v>
      </c>
      <c r="DN750" s="269">
        <f t="shared" si="1959"/>
        <v>0</v>
      </c>
      <c r="DO750" s="196">
        <f>'Detailed Budget'!$AC$179</f>
        <v>26827890683.128094</v>
      </c>
      <c r="DP750" s="269">
        <f t="shared" si="1960"/>
        <v>0</v>
      </c>
      <c r="DQ750" s="269">
        <f t="shared" si="1862"/>
        <v>0</v>
      </c>
      <c r="DR750" s="269">
        <f>'Detailed Budget'!$AC$181</f>
        <v>50888946855.375237</v>
      </c>
      <c r="DS750" s="269">
        <f t="shared" si="1961"/>
        <v>0</v>
      </c>
      <c r="DT750" s="269">
        <f t="shared" si="1962"/>
        <v>0</v>
      </c>
      <c r="DU750" s="272">
        <f>'Detailed Budget'!$AC$192</f>
        <v>77498869683.252869</v>
      </c>
      <c r="DV750" s="269">
        <f t="shared" si="1929"/>
        <v>0</v>
      </c>
      <c r="DW750" s="140">
        <f>'Detailed Budget'!$AC$194</f>
        <v>2684962805.4134097</v>
      </c>
      <c r="DX750" s="269">
        <f t="shared" si="1930"/>
        <v>0</v>
      </c>
      <c r="DY750" s="607">
        <f t="shared" si="1977"/>
        <v>0</v>
      </c>
      <c r="DZ750" s="196">
        <f>'Detailed Budget'!$AC$198</f>
        <v>18732540018.380611</v>
      </c>
      <c r="EA750" s="269">
        <f t="shared" si="1931"/>
        <v>80021568.284199968</v>
      </c>
      <c r="EB750" s="196">
        <f>'Detailed Budget'!$AC$200</f>
        <v>4683135004.5951529</v>
      </c>
      <c r="EC750" s="269">
        <f t="shared" si="1932"/>
        <v>20005392.071049992</v>
      </c>
      <c r="ED750" s="269">
        <f t="shared" si="1978"/>
        <v>100026960.35524996</v>
      </c>
      <c r="EE750" s="196">
        <f>'Detailed Budget'!$AC$161</f>
        <v>251147290106.36197</v>
      </c>
      <c r="EF750" s="269">
        <f t="shared" si="1933"/>
        <v>1121574806.5451436</v>
      </c>
      <c r="EG750" s="196">
        <f>'Detailed Budget'!$AC$163</f>
        <v>15696705631.647623</v>
      </c>
      <c r="EH750" s="269">
        <f t="shared" si="1934"/>
        <v>70098425.409071475</v>
      </c>
      <c r="EI750" s="269">
        <f t="shared" si="1979"/>
        <v>1191673231.954215</v>
      </c>
      <c r="EJ750" s="196">
        <f>'Detailed Budget'!$AC$204</f>
        <v>45012172507.531975</v>
      </c>
      <c r="EK750" s="269">
        <f t="shared" si="1935"/>
        <v>34760501.165099941</v>
      </c>
      <c r="EL750" s="201">
        <f>'Detailed Budget'!$AC$206</f>
        <v>11253043126.882994</v>
      </c>
      <c r="EM750" s="269">
        <f t="shared" si="1936"/>
        <v>8690125.2912749853</v>
      </c>
      <c r="EN750" s="269">
        <f t="shared" si="1980"/>
        <v>43450626.456374928</v>
      </c>
      <c r="EO750" s="140">
        <f>'Detailed Budget'!$AC$209</f>
        <v>135789361677.54817</v>
      </c>
      <c r="EP750" s="269">
        <f t="shared" si="1937"/>
        <v>619770314.99424803</v>
      </c>
      <c r="EQ750" s="196">
        <f>'Detailed Budget'!$AC$211</f>
        <v>33947340419.387043</v>
      </c>
      <c r="ER750" s="269">
        <f t="shared" si="1938"/>
        <v>154942578.74856201</v>
      </c>
      <c r="ES750" s="269">
        <f t="shared" si="1981"/>
        <v>774712893.74281001</v>
      </c>
      <c r="ET750" s="196">
        <f>'Detailed Budget'!$AC$214</f>
        <v>22239745544.201103</v>
      </c>
      <c r="EU750" s="269">
        <f t="shared" si="1939"/>
        <v>98580362.843723387</v>
      </c>
      <c r="EV750" s="140">
        <f>'Detailed Budget'!$AC$217</f>
        <v>5559936386.0502758</v>
      </c>
      <c r="EW750" s="269">
        <f t="shared" si="1940"/>
        <v>24645090.710930847</v>
      </c>
      <c r="EX750" s="269">
        <f t="shared" si="1982"/>
        <v>123225453.55465424</v>
      </c>
      <c r="EY750" s="196">
        <f>'Detailed Budget'!$AC$219</f>
        <v>372777004.58170313</v>
      </c>
      <c r="EZ750" s="269">
        <f t="shared" si="1941"/>
        <v>1729837.2736609641</v>
      </c>
      <c r="FA750" s="196">
        <f>'Detailed Budget'!$AC$222</f>
        <v>93194251.145425782</v>
      </c>
      <c r="FB750" s="269">
        <f t="shared" si="1942"/>
        <v>432459.31841524102</v>
      </c>
      <c r="FC750" s="269">
        <f t="shared" si="1983"/>
        <v>2162296.5920762052</v>
      </c>
      <c r="FD750" s="269"/>
      <c r="FE750" s="269">
        <f t="shared" si="1984"/>
        <v>943551270.34591532</v>
      </c>
      <c r="FF750" s="140">
        <f>'Detailed Budget'!$AC$165</f>
        <v>14927760000</v>
      </c>
      <c r="FG750" s="1087">
        <f t="shared" si="1864"/>
        <v>1287066390.0463195</v>
      </c>
      <c r="FH750" s="269">
        <f t="shared" si="1943"/>
        <v>18657579.820474949</v>
      </c>
      <c r="FJ750" s="140">
        <f>'Detailed Budget'!$AC$235</f>
        <v>3623696172</v>
      </c>
      <c r="FK750" s="269">
        <f t="shared" si="1944"/>
        <v>4681778</v>
      </c>
      <c r="FL750" s="269">
        <f t="shared" si="1865"/>
        <v>4681778</v>
      </c>
      <c r="FO750" s="607"/>
      <c r="FP750" s="607"/>
      <c r="FQ750" s="607"/>
      <c r="FR750" s="269">
        <f>'Detailed Budget'!$AC$257</f>
        <v>13636439388</v>
      </c>
      <c r="FS750" s="269">
        <f t="shared" si="1945"/>
        <v>5996016</v>
      </c>
      <c r="FT750" s="269">
        <f t="shared" si="1866"/>
        <v>5996016</v>
      </c>
      <c r="FU750" s="269"/>
      <c r="FV750" s="269"/>
      <c r="FW750" s="269"/>
      <c r="FX750" s="140">
        <f>'Detailed Budget'!$AC$278</f>
        <v>1114560000</v>
      </c>
      <c r="FY750" s="269">
        <f t="shared" si="1946"/>
        <v>1440000</v>
      </c>
      <c r="FZ750" s="269">
        <f t="shared" si="1867"/>
        <v>1440000</v>
      </c>
      <c r="GB750" s="269">
        <f t="shared" si="1899"/>
        <v>4111074706.2171402</v>
      </c>
      <c r="GC750" s="887">
        <f t="shared" si="1985"/>
        <v>2569421.6913857125</v>
      </c>
      <c r="GD750" s="1078">
        <f t="shared" si="1900"/>
        <v>2.3068534717131284E-3</v>
      </c>
    </row>
    <row r="751" spans="1:186" hidden="1" outlineLevel="1">
      <c r="A751" s="211" t="s">
        <v>1587</v>
      </c>
      <c r="B751" s="212" t="s">
        <v>1588</v>
      </c>
      <c r="C751" s="213" t="s">
        <v>215</v>
      </c>
      <c r="D751" s="214"/>
      <c r="E751" s="213"/>
      <c r="F751" s="213"/>
      <c r="G751" s="213" t="s">
        <v>215</v>
      </c>
      <c r="H751" s="213" t="s">
        <v>215</v>
      </c>
      <c r="I751" s="214"/>
      <c r="J751" s="214"/>
      <c r="K751" s="213"/>
      <c r="L751" s="213"/>
      <c r="M751" s="214"/>
      <c r="N751" s="213"/>
      <c r="O751" s="214"/>
      <c r="P751" s="213"/>
      <c r="Q751" s="214" t="s">
        <v>215</v>
      </c>
      <c r="R751" s="214"/>
      <c r="S751" s="214"/>
      <c r="T751" s="214"/>
      <c r="U751" s="215">
        <f t="shared" si="1905"/>
        <v>4</v>
      </c>
      <c r="V751" s="845" t="s">
        <v>1073</v>
      </c>
      <c r="W751" s="216">
        <v>403569</v>
      </c>
      <c r="X751" s="217">
        <v>3.24</v>
      </c>
      <c r="Y751" s="218">
        <f t="shared" si="1965"/>
        <v>1.0324</v>
      </c>
      <c r="Z751" s="196">
        <v>19</v>
      </c>
      <c r="AA751" s="218">
        <f t="shared" si="1966"/>
        <v>1.8327866870051304</v>
      </c>
      <c r="AB751" s="196">
        <f t="shared" si="1996"/>
        <v>739655.89048797346</v>
      </c>
      <c r="AC751">
        <v>12.6</v>
      </c>
      <c r="AD751" s="196">
        <f t="shared" si="1997"/>
        <v>93196.642201484647</v>
      </c>
      <c r="AE751" s="196">
        <f t="shared" si="1967"/>
        <v>88536.810091410414</v>
      </c>
      <c r="AF751" s="196">
        <f t="shared" si="1947"/>
        <v>0</v>
      </c>
      <c r="AG751" s="606">
        <f t="shared" si="1988"/>
        <v>4.0935534147476344E-3</v>
      </c>
      <c r="AH751" s="196">
        <f t="shared" si="1963"/>
        <v>36982.794524398676</v>
      </c>
      <c r="AI751" s="248">
        <f t="shared" si="1964"/>
        <v>2.8650010573982344E-3</v>
      </c>
      <c r="AJ751" s="196">
        <f t="shared" si="1968"/>
        <v>130179.43672588332</v>
      </c>
      <c r="AK751" s="196">
        <f t="shared" si="1858"/>
        <v>29586.235619518939</v>
      </c>
      <c r="AL751" s="196">
        <f t="shared" si="1859"/>
        <v>29586.235619518939</v>
      </c>
      <c r="AM751" s="196">
        <f t="shared" si="1969"/>
        <v>59172.471239037877</v>
      </c>
      <c r="AN751" s="627">
        <f t="shared" si="1970"/>
        <v>2.8650010573982344E-3</v>
      </c>
      <c r="AO751" s="196">
        <f t="shared" si="1971"/>
        <v>28106.923838542993</v>
      </c>
      <c r="AP751" s="589">
        <f t="shared" si="1989"/>
        <v>2.8650010573982344E-3</v>
      </c>
      <c r="AQ751" s="196"/>
      <c r="AR751" s="589"/>
      <c r="AS751">
        <v>1</v>
      </c>
      <c r="AT751" s="589">
        <f t="shared" si="1990"/>
        <v>1.2919896640826874E-3</v>
      </c>
      <c r="AU751" s="196">
        <v>12</v>
      </c>
      <c r="AV751" s="245">
        <f t="shared" si="1972"/>
        <v>1.3634814225656176E-3</v>
      </c>
      <c r="AX751" s="245"/>
      <c r="AY751" s="245"/>
      <c r="AZ751" s="196">
        <v>11</v>
      </c>
      <c r="BA751" s="589">
        <f t="shared" si="1871"/>
        <v>4.0306328093510683E-4</v>
      </c>
      <c r="BI751" s="196">
        <v>0</v>
      </c>
      <c r="BK751" s="246">
        <f t="shared" si="1872"/>
        <v>0</v>
      </c>
      <c r="BL751" s="246"/>
      <c r="BM751" s="246">
        <f t="shared" si="1873"/>
        <v>0</v>
      </c>
      <c r="BN751" s="196">
        <v>1</v>
      </c>
      <c r="BO751" s="196">
        <f t="shared" si="1948"/>
        <v>42729.992600833342</v>
      </c>
      <c r="BP751" s="196">
        <f t="shared" si="1973"/>
        <v>42729.992600833342</v>
      </c>
      <c r="BQ751" s="248">
        <f t="shared" si="1874"/>
        <v>3.9971918250007359E-3</v>
      </c>
      <c r="BR751" s="248"/>
      <c r="BS751" s="248"/>
      <c r="BT751" s="276">
        <v>0</v>
      </c>
      <c r="BU751" s="196">
        <f t="shared" si="1949"/>
        <v>0</v>
      </c>
      <c r="BV751" s="264">
        <f t="shared" si="1875"/>
        <v>0</v>
      </c>
      <c r="BW751" s="196">
        <f t="shared" si="1950"/>
        <v>0</v>
      </c>
      <c r="BX751" s="247">
        <f t="shared" si="1876"/>
        <v>0</v>
      </c>
      <c r="BY751" s="196">
        <f t="shared" si="1951"/>
        <v>0</v>
      </c>
      <c r="BZ751" s="620">
        <v>1</v>
      </c>
      <c r="CA751" s="196">
        <f t="shared" si="1952"/>
        <v>226334.7024893199</v>
      </c>
      <c r="CB751" s="196">
        <f t="shared" si="1953"/>
        <v>452669.4049786398</v>
      </c>
      <c r="CC751" s="196">
        <f t="shared" si="1986"/>
        <v>679004.10746795963</v>
      </c>
      <c r="CD751" s="247">
        <f t="shared" si="1974"/>
        <v>2.8650010573982344E-3</v>
      </c>
      <c r="CE751" s="196">
        <f t="shared" si="1954"/>
        <v>63463.133434708303</v>
      </c>
      <c r="CF751" s="247">
        <f t="shared" si="1975"/>
        <v>2.7405354686074897E-3</v>
      </c>
      <c r="CG751" s="196">
        <f t="shared" si="1924"/>
        <v>112427.69535417197</v>
      </c>
      <c r="CH751" s="589">
        <f t="shared" si="1991"/>
        <v>2.8650010573982344E-3</v>
      </c>
      <c r="CI751" s="196">
        <f t="shared" si="1955"/>
        <v>30135.565551833355</v>
      </c>
      <c r="CJ751" s="248">
        <f t="shared" si="1992"/>
        <v>4.954286211779613E-4</v>
      </c>
      <c r="CK751" s="196">
        <f t="shared" si="1956"/>
        <v>203692.94833620838</v>
      </c>
      <c r="CL751" s="589">
        <f t="shared" si="1993"/>
        <v>2.9281280301849473E-3</v>
      </c>
      <c r="CM751" s="196">
        <f t="shared" si="1957"/>
        <v>19732.740531933196</v>
      </c>
      <c r="CN751" s="589">
        <f t="shared" si="1994"/>
        <v>2.8437121663617551E-3</v>
      </c>
      <c r="CO751" s="196">
        <f t="shared" si="1958"/>
        <v>1578.6103861469799</v>
      </c>
      <c r="CP751" s="589">
        <f t="shared" si="1995"/>
        <v>2.9770160375113242E-3</v>
      </c>
      <c r="CQ751" s="196">
        <f>'Detailed Budget'!$AC$12</f>
        <v>292876014141.44696</v>
      </c>
      <c r="CR751" s="269">
        <f t="shared" si="1861"/>
        <v>0</v>
      </c>
      <c r="CS751" s="269">
        <f>'Detailed Budget'!$AC$16</f>
        <v>10488008800.000002</v>
      </c>
      <c r="CT751" s="607">
        <f t="shared" si="1926"/>
        <v>0</v>
      </c>
      <c r="CU751" s="269">
        <f>'Detailed Budget'!$AC$24</f>
        <v>30624985696</v>
      </c>
      <c r="CV751" s="269">
        <f t="shared" si="1868"/>
        <v>0</v>
      </c>
      <c r="CW751" s="269"/>
      <c r="CX751" s="269">
        <f t="shared" si="1987"/>
        <v>0</v>
      </c>
      <c r="CY751" s="196">
        <f>'Detailed Budget'!$AC$97</f>
        <v>74629165494.837845</v>
      </c>
      <c r="CZ751" s="269">
        <f t="shared" si="1927"/>
        <v>298307090.22259283</v>
      </c>
      <c r="DA751" s="269">
        <f>'Detailed Budget'!$AC$100</f>
        <v>14925833098.967569</v>
      </c>
      <c r="DB751" s="269">
        <f t="shared" si="1928"/>
        <v>59661418.044518568</v>
      </c>
      <c r="DC751" s="269">
        <f t="shared" si="1976"/>
        <v>357968508.26711142</v>
      </c>
      <c r="DD751" s="207">
        <v>0</v>
      </c>
      <c r="DE751" s="606">
        <v>0</v>
      </c>
      <c r="DF751" s="269">
        <f>'Detailed Budget'!$AC$147</f>
        <v>5913600671000</v>
      </c>
      <c r="DG751" s="269">
        <f t="shared" si="1863"/>
        <v>0</v>
      </c>
      <c r="DH751" s="269">
        <f>'Detailed Budget'!$AC$153</f>
        <v>226428026880.00003</v>
      </c>
      <c r="DI751" s="269"/>
      <c r="DJ751" s="269">
        <f>'Detailed Budget'!$AC$156</f>
        <v>27713070000</v>
      </c>
      <c r="DK751" s="269"/>
      <c r="DL751" s="269"/>
      <c r="DM751" s="196">
        <f>'Detailed Budget'!$AC$178</f>
        <v>5622683761.6229038</v>
      </c>
      <c r="DN751" s="269">
        <f t="shared" si="1959"/>
        <v>0</v>
      </c>
      <c r="DO751" s="196">
        <f>'Detailed Budget'!$AC$179</f>
        <v>26827890683.128094</v>
      </c>
      <c r="DP751" s="269">
        <f t="shared" si="1960"/>
        <v>0</v>
      </c>
      <c r="DQ751" s="269">
        <f t="shared" si="1862"/>
        <v>0</v>
      </c>
      <c r="DR751" s="269">
        <f>'Detailed Budget'!$AC$181</f>
        <v>50888946855.375237</v>
      </c>
      <c r="DS751" s="269">
        <f t="shared" si="1961"/>
        <v>0</v>
      </c>
      <c r="DT751" s="269">
        <f t="shared" si="1962"/>
        <v>0</v>
      </c>
      <c r="DU751" s="272">
        <f>'Detailed Budget'!$AC$192</f>
        <v>77498869683.252869</v>
      </c>
      <c r="DV751" s="269">
        <f t="shared" si="1929"/>
        <v>222034343.58968744</v>
      </c>
      <c r="DW751" s="140">
        <f>'Detailed Budget'!$AC$194</f>
        <v>2684962805.4134097</v>
      </c>
      <c r="DX751" s="269">
        <f t="shared" si="1930"/>
        <v>7692421.2765843486</v>
      </c>
      <c r="DY751" s="607">
        <f t="shared" si="1977"/>
        <v>229726764.86627179</v>
      </c>
      <c r="DZ751" s="196">
        <f>'Detailed Budget'!$AC$198</f>
        <v>18732540018.380611</v>
      </c>
      <c r="EA751" s="269">
        <f t="shared" si="1931"/>
        <v>51337190.33748126</v>
      </c>
      <c r="EB751" s="196">
        <f>'Detailed Budget'!$AC$200</f>
        <v>4683135004.5951529</v>
      </c>
      <c r="EC751" s="269">
        <f t="shared" si="1932"/>
        <v>12834297.584370315</v>
      </c>
      <c r="ED751" s="269">
        <f t="shared" si="1978"/>
        <v>64171487.921851575</v>
      </c>
      <c r="EE751" s="196">
        <f>'Detailed Budget'!$AC$161</f>
        <v>251147290106.36197</v>
      </c>
      <c r="EF751" s="269">
        <f t="shared" si="1933"/>
        <v>719537251.71742821</v>
      </c>
      <c r="EG751" s="196">
        <f>'Detailed Budget'!$AC$163</f>
        <v>15696705631.647623</v>
      </c>
      <c r="EH751" s="269">
        <f t="shared" si="1934"/>
        <v>44971078.232339263</v>
      </c>
      <c r="EI751" s="269">
        <f t="shared" si="1979"/>
        <v>764508329.94976747</v>
      </c>
      <c r="EJ751" s="196">
        <f>'Detailed Budget'!$AC$204</f>
        <v>45012172507.531975</v>
      </c>
      <c r="EK751" s="269">
        <f t="shared" si="1935"/>
        <v>22300318.561631102</v>
      </c>
      <c r="EL751" s="201">
        <f>'Detailed Budget'!$AC$206</f>
        <v>11253043126.882994</v>
      </c>
      <c r="EM751" s="269">
        <f t="shared" si="1936"/>
        <v>5575079.6404077755</v>
      </c>
      <c r="EN751" s="269">
        <f t="shared" si="1980"/>
        <v>27875398.202038877</v>
      </c>
      <c r="EO751" s="140">
        <f>'Detailed Budget'!$AC$209</f>
        <v>135789361677.54817</v>
      </c>
      <c r="EP751" s="269">
        <f t="shared" si="1937"/>
        <v>397608636.12895048</v>
      </c>
      <c r="EQ751" s="196">
        <f>'Detailed Budget'!$AC$211</f>
        <v>33947340419.387043</v>
      </c>
      <c r="ER751" s="269">
        <f t="shared" si="1938"/>
        <v>99402159.032237619</v>
      </c>
      <c r="ES751" s="269">
        <f t="shared" si="1981"/>
        <v>497010795.16118813</v>
      </c>
      <c r="ET751" s="196">
        <f>'Detailed Budget'!$AC$214</f>
        <v>22239745544.201103</v>
      </c>
      <c r="EU751" s="269">
        <f t="shared" si="1939"/>
        <v>63243434.980834305</v>
      </c>
      <c r="EV751" s="140">
        <f>'Detailed Budget'!$AC$217</f>
        <v>5559936386.0502758</v>
      </c>
      <c r="EW751" s="269">
        <f t="shared" si="1940"/>
        <v>15810858.745208576</v>
      </c>
      <c r="EX751" s="269">
        <f t="shared" si="1982"/>
        <v>79054293.726042882</v>
      </c>
      <c r="EY751" s="196">
        <f>'Detailed Budget'!$AC$219</f>
        <v>372777004.58170313</v>
      </c>
      <c r="EZ751" s="269">
        <f t="shared" si="1941"/>
        <v>1109763.1210551625</v>
      </c>
      <c r="FA751" s="196">
        <f>'Detailed Budget'!$AC$222</f>
        <v>93194251.145425782</v>
      </c>
      <c r="FB751" s="269">
        <f t="shared" si="1942"/>
        <v>277440.78026379063</v>
      </c>
      <c r="FC751" s="269">
        <f t="shared" si="1983"/>
        <v>1387203.9013189531</v>
      </c>
      <c r="FD751" s="269"/>
      <c r="FE751" s="269">
        <f t="shared" si="1984"/>
        <v>605327690.99058878</v>
      </c>
      <c r="FF751" s="140">
        <f>'Detailed Budget'!$AC$165</f>
        <v>14927760000</v>
      </c>
      <c r="FG751" s="1087">
        <f t="shared" si="1864"/>
        <v>825707039.48361635</v>
      </c>
      <c r="FH751" s="269">
        <f t="shared" si="1943"/>
        <v>20353723.440518126</v>
      </c>
      <c r="FJ751" s="140">
        <f>'Detailed Budget'!$AC$235</f>
        <v>3623696172</v>
      </c>
      <c r="FK751" s="269">
        <f t="shared" si="1944"/>
        <v>4681778</v>
      </c>
      <c r="FL751" s="269">
        <f t="shared" si="1865"/>
        <v>4681778</v>
      </c>
      <c r="FO751" s="607"/>
      <c r="FP751" s="607"/>
      <c r="FQ751" s="607"/>
      <c r="FR751" s="269">
        <f>'Detailed Budget'!$AC$257</f>
        <v>13636439388</v>
      </c>
      <c r="FS751" s="269">
        <f t="shared" si="1945"/>
        <v>5496348</v>
      </c>
      <c r="FT751" s="269">
        <f t="shared" si="1866"/>
        <v>5496348</v>
      </c>
      <c r="FU751" s="269"/>
      <c r="FV751" s="269"/>
      <c r="FW751" s="269"/>
      <c r="FX751" s="140">
        <f>'Detailed Budget'!$AC$278</f>
        <v>1114560000</v>
      </c>
      <c r="FY751" s="269">
        <f t="shared" si="1946"/>
        <v>1440000</v>
      </c>
      <c r="FZ751" s="269">
        <f t="shared" si="1867"/>
        <v>1440000</v>
      </c>
      <c r="GB751" s="269">
        <f t="shared" si="1899"/>
        <v>2879381670.9197254</v>
      </c>
      <c r="GC751" s="887">
        <f t="shared" si="1985"/>
        <v>1799613.5443248283</v>
      </c>
      <c r="GD751" s="1078">
        <f t="shared" si="1900"/>
        <v>1.6157117246989483E-3</v>
      </c>
    </row>
    <row r="752" spans="1:186" hidden="1" outlineLevel="1">
      <c r="A752" s="211" t="s">
        <v>1589</v>
      </c>
      <c r="B752" s="212" t="s">
        <v>1590</v>
      </c>
      <c r="C752" s="213" t="s">
        <v>215</v>
      </c>
      <c r="D752" s="214"/>
      <c r="E752" s="213"/>
      <c r="F752" s="213"/>
      <c r="G752" s="213"/>
      <c r="H752" s="213" t="s">
        <v>215</v>
      </c>
      <c r="I752" s="214" t="s">
        <v>215</v>
      </c>
      <c r="J752" s="214"/>
      <c r="K752" s="213"/>
      <c r="L752" s="213"/>
      <c r="M752" s="214"/>
      <c r="N752" s="213" t="s">
        <v>215</v>
      </c>
      <c r="O752" s="214"/>
      <c r="P752" s="213"/>
      <c r="Q752" s="214" t="s">
        <v>215</v>
      </c>
      <c r="R752" s="214"/>
      <c r="S752" s="214"/>
      <c r="T752" s="214"/>
      <c r="U752" s="215">
        <f t="shared" si="1905"/>
        <v>5</v>
      </c>
      <c r="V752" s="845" t="s">
        <v>1127</v>
      </c>
      <c r="W752" s="216">
        <v>502865</v>
      </c>
      <c r="X752" s="217">
        <v>3.24</v>
      </c>
      <c r="Y752" s="218">
        <f t="shared" si="1965"/>
        <v>1.0324</v>
      </c>
      <c r="Z752" s="196">
        <v>19</v>
      </c>
      <c r="AA752" s="218">
        <f t="shared" si="1966"/>
        <v>1.8327866870051304</v>
      </c>
      <c r="AB752" s="196">
        <f t="shared" si="1996"/>
        <v>921644.27736083488</v>
      </c>
      <c r="AC752">
        <v>12.6</v>
      </c>
      <c r="AD752" s="196">
        <f t="shared" si="1997"/>
        <v>116127.1789474652</v>
      </c>
      <c r="AE752" s="196">
        <f t="shared" si="1967"/>
        <v>110320.82000009193</v>
      </c>
      <c r="AF752" s="196">
        <f t="shared" si="1947"/>
        <v>0</v>
      </c>
      <c r="AG752" s="606">
        <f t="shared" si="1988"/>
        <v>5.1007503993296547E-3</v>
      </c>
      <c r="AH752" s="196">
        <f t="shared" si="1963"/>
        <v>46082.213868041748</v>
      </c>
      <c r="AI752" s="248">
        <f t="shared" si="1964"/>
        <v>3.5699192869832995E-3</v>
      </c>
      <c r="AJ752" s="196">
        <f t="shared" si="1968"/>
        <v>162209.39281550696</v>
      </c>
      <c r="AK752" s="196">
        <f t="shared" ref="AK752:AK812" si="1998">AB752*0.04</f>
        <v>36865.771094433396</v>
      </c>
      <c r="AL752" s="196">
        <f t="shared" ref="AL752:AL812" si="1999">AB752*0.04</f>
        <v>36865.771094433396</v>
      </c>
      <c r="AM752" s="196">
        <f t="shared" si="1969"/>
        <v>73731.542188866792</v>
      </c>
      <c r="AN752" s="627">
        <f t="shared" si="1970"/>
        <v>3.5699192869832995E-3</v>
      </c>
      <c r="AO752" s="196">
        <f t="shared" si="1971"/>
        <v>35022.482539711724</v>
      </c>
      <c r="AP752" s="589">
        <f t="shared" si="1989"/>
        <v>3.5699192869832991E-3</v>
      </c>
      <c r="AQ752" s="196"/>
      <c r="AR752" s="589"/>
      <c r="AS752">
        <v>1</v>
      </c>
      <c r="AT752" s="589">
        <f t="shared" si="1990"/>
        <v>1.2919896640826874E-3</v>
      </c>
      <c r="AU752" s="196">
        <v>12</v>
      </c>
      <c r="AV752" s="245">
        <f t="shared" si="1972"/>
        <v>1.3634814225656176E-3</v>
      </c>
      <c r="AX752" s="245"/>
      <c r="AY752" s="245"/>
      <c r="AZ752" s="196">
        <v>16</v>
      </c>
      <c r="BA752" s="589">
        <f t="shared" si="1871"/>
        <v>5.8627386317833719E-4</v>
      </c>
      <c r="BI752" s="196">
        <v>0</v>
      </c>
      <c r="BK752" s="246">
        <f t="shared" si="1872"/>
        <v>0</v>
      </c>
      <c r="BL752" s="246"/>
      <c r="BM752" s="246">
        <f t="shared" si="1873"/>
        <v>0</v>
      </c>
      <c r="BN752" s="196">
        <v>1</v>
      </c>
      <c r="BO752" s="196">
        <f t="shared" si="1948"/>
        <v>53243.479378292344</v>
      </c>
      <c r="BP752" s="196">
        <f t="shared" si="1973"/>
        <v>53243.479378292344</v>
      </c>
      <c r="BQ752" s="248">
        <f t="shared" si="1874"/>
        <v>4.9806795543735904E-3</v>
      </c>
      <c r="BR752" s="248"/>
      <c r="BS752" s="248"/>
      <c r="BT752" s="276">
        <v>0</v>
      </c>
      <c r="BU752" s="196">
        <f t="shared" si="1949"/>
        <v>0</v>
      </c>
      <c r="BV752" s="264">
        <f t="shared" si="1875"/>
        <v>0</v>
      </c>
      <c r="BW752" s="196">
        <f t="shared" si="1950"/>
        <v>0</v>
      </c>
      <c r="BX752" s="247">
        <f t="shared" si="1876"/>
        <v>0</v>
      </c>
      <c r="BY752" s="196">
        <f t="shared" si="1951"/>
        <v>0</v>
      </c>
      <c r="BZ752" s="620">
        <v>0</v>
      </c>
      <c r="CA752" s="196">
        <f t="shared" si="1952"/>
        <v>282023.14887241554</v>
      </c>
      <c r="CB752" s="196">
        <f t="shared" si="1953"/>
        <v>564046.29774483107</v>
      </c>
      <c r="CC752" s="196">
        <f t="shared" si="1986"/>
        <v>846069.44661724661</v>
      </c>
      <c r="CD752" s="247">
        <f t="shared" si="1974"/>
        <v>3.5699192869832999E-3</v>
      </c>
      <c r="CE752" s="196">
        <f t="shared" si="1954"/>
        <v>79077.898933378412</v>
      </c>
      <c r="CF752" s="247">
        <f t="shared" si="1975"/>
        <v>3.4148296039123558E-3</v>
      </c>
      <c r="CG752" s="196">
        <f t="shared" si="1924"/>
        <v>140089.9301588469</v>
      </c>
      <c r="CH752" s="589">
        <f t="shared" si="1991"/>
        <v>3.5699192869832991E-3</v>
      </c>
      <c r="CI752" s="196">
        <f t="shared" si="1955"/>
        <v>37550.260726722525</v>
      </c>
      <c r="CJ752" s="248">
        <f t="shared" si="1992"/>
        <v>6.1732619103215436E-4</v>
      </c>
      <c r="CK752" s="196">
        <f t="shared" si="1956"/>
        <v>253810.5118705536</v>
      </c>
      <c r="CL752" s="589">
        <f t="shared" si="1993"/>
        <v>3.6485783147341688E-3</v>
      </c>
      <c r="CM752" s="196">
        <f t="shared" si="1957"/>
        <v>24587.876094523086</v>
      </c>
      <c r="CN752" s="589">
        <f t="shared" si="1994"/>
        <v>3.5433923778523725E-3</v>
      </c>
      <c r="CO752" s="196">
        <f t="shared" si="1958"/>
        <v>1967.0190520822987</v>
      </c>
      <c r="CP752" s="589">
        <f t="shared" si="1995"/>
        <v>3.7094949555172285E-3</v>
      </c>
      <c r="CQ752" s="196">
        <f>'Detailed Budget'!$AC$12</f>
        <v>292876014141.44696</v>
      </c>
      <c r="CR752" s="269">
        <f t="shared" si="1861"/>
        <v>0</v>
      </c>
      <c r="CS752" s="269">
        <f>'Detailed Budget'!$AC$16</f>
        <v>10488008800.000002</v>
      </c>
      <c r="CT752" s="607">
        <f t="shared" si="1926"/>
        <v>0</v>
      </c>
      <c r="CU752" s="269">
        <f>'Detailed Budget'!$AC$24</f>
        <v>30624985696</v>
      </c>
      <c r="CV752" s="269">
        <f t="shared" si="1868"/>
        <v>0</v>
      </c>
      <c r="CW752" s="269"/>
      <c r="CX752" s="269">
        <f t="shared" si="1987"/>
        <v>0</v>
      </c>
      <c r="CY752" s="196">
        <f>'Detailed Budget'!$AC$97</f>
        <v>74629165494.837845</v>
      </c>
      <c r="CZ752" s="269">
        <f t="shared" si="1927"/>
        <v>371703958.74010187</v>
      </c>
      <c r="DA752" s="269">
        <f>'Detailed Budget'!$AC$100</f>
        <v>14925833098.967569</v>
      </c>
      <c r="DB752" s="269">
        <f t="shared" si="1928"/>
        <v>74340791.748020381</v>
      </c>
      <c r="DC752" s="269">
        <f t="shared" si="1976"/>
        <v>446044750.48812222</v>
      </c>
      <c r="DD752" s="207">
        <v>0</v>
      </c>
      <c r="DE752" s="606">
        <v>0</v>
      </c>
      <c r="DF752" s="269">
        <f>'Detailed Budget'!$AC$147</f>
        <v>5913600671000</v>
      </c>
      <c r="DG752" s="269">
        <f t="shared" si="1863"/>
        <v>0</v>
      </c>
      <c r="DH752" s="269">
        <f>'Detailed Budget'!$AC$153</f>
        <v>226428026880.00003</v>
      </c>
      <c r="DI752" s="269"/>
      <c r="DJ752" s="269">
        <f>'Detailed Budget'!$AC$156</f>
        <v>27713070000</v>
      </c>
      <c r="DK752" s="269"/>
      <c r="DL752" s="269"/>
      <c r="DM752" s="196">
        <f>'Detailed Budget'!$AC$178</f>
        <v>5622683761.6229038</v>
      </c>
      <c r="DN752" s="269">
        <f t="shared" si="1959"/>
        <v>0</v>
      </c>
      <c r="DO752" s="196">
        <f>'Detailed Budget'!$AC$179</f>
        <v>26827890683.128094</v>
      </c>
      <c r="DP752" s="269">
        <f t="shared" si="1960"/>
        <v>0</v>
      </c>
      <c r="DQ752" s="269">
        <f t="shared" si="1862"/>
        <v>0</v>
      </c>
      <c r="DR752" s="269">
        <f>'Detailed Budget'!$AC$181</f>
        <v>50888946855.375237</v>
      </c>
      <c r="DS752" s="269">
        <f t="shared" si="1961"/>
        <v>0</v>
      </c>
      <c r="DT752" s="269">
        <f t="shared" si="1962"/>
        <v>0</v>
      </c>
      <c r="DU752" s="272">
        <f>'Detailed Budget'!$AC$192</f>
        <v>77498869683.252869</v>
      </c>
      <c r="DV752" s="269">
        <f t="shared" si="1929"/>
        <v>0</v>
      </c>
      <c r="DW752" s="140">
        <f>'Detailed Budget'!$AC$194</f>
        <v>2684962805.4134097</v>
      </c>
      <c r="DX752" s="269">
        <f t="shared" si="1930"/>
        <v>0</v>
      </c>
      <c r="DY752" s="607">
        <f t="shared" si="1977"/>
        <v>0</v>
      </c>
      <c r="DZ752" s="196">
        <f>'Detailed Budget'!$AC$198</f>
        <v>18732540018.380611</v>
      </c>
      <c r="EA752" s="269">
        <f t="shared" si="1931"/>
        <v>63968432.211239018</v>
      </c>
      <c r="EB752" s="196">
        <f>'Detailed Budget'!$AC$200</f>
        <v>4683135004.5951529</v>
      </c>
      <c r="EC752" s="269">
        <f t="shared" si="1932"/>
        <v>15992108.052809754</v>
      </c>
      <c r="ED752" s="269">
        <f t="shared" si="1978"/>
        <v>79960540.26404877</v>
      </c>
      <c r="EE752" s="196">
        <f>'Detailed Budget'!$AC$161</f>
        <v>251147290106.36197</v>
      </c>
      <c r="EF752" s="269">
        <f t="shared" si="1933"/>
        <v>896575554.82429147</v>
      </c>
      <c r="EG752" s="196">
        <f>'Detailed Budget'!$AC$163</f>
        <v>15696705631.647623</v>
      </c>
      <c r="EH752" s="269">
        <f t="shared" si="1934"/>
        <v>56035972.176518217</v>
      </c>
      <c r="EI752" s="269">
        <f t="shared" si="1979"/>
        <v>952611527.00080967</v>
      </c>
      <c r="EJ752" s="196">
        <f>'Detailed Budget'!$AC$204</f>
        <v>45012172507.531975</v>
      </c>
      <c r="EK752" s="269">
        <f t="shared" si="1935"/>
        <v>27787193.004156969</v>
      </c>
      <c r="EL752" s="201">
        <f>'Detailed Budget'!$AC$206</f>
        <v>11253043126.882994</v>
      </c>
      <c r="EM752" s="269">
        <f t="shared" si="1936"/>
        <v>6946798.2510392424</v>
      </c>
      <c r="EN752" s="269">
        <f t="shared" si="1980"/>
        <v>34733991.255196214</v>
      </c>
      <c r="EO752" s="140">
        <f>'Detailed Budget'!$AC$209</f>
        <v>135789361677.54817</v>
      </c>
      <c r="EP752" s="269">
        <f t="shared" si="1937"/>
        <v>495438120.38829726</v>
      </c>
      <c r="EQ752" s="196">
        <f>'Detailed Budget'!$AC$211</f>
        <v>33947340419.387043</v>
      </c>
      <c r="ER752" s="269">
        <f t="shared" si="1938"/>
        <v>123859530.09707431</v>
      </c>
      <c r="ES752" s="269">
        <f t="shared" si="1981"/>
        <v>619297650.48537159</v>
      </c>
      <c r="ET752" s="196">
        <f>'Detailed Budget'!$AC$214</f>
        <v>22239745544.201103</v>
      </c>
      <c r="EU752" s="269">
        <f t="shared" si="1939"/>
        <v>78804144.846698448</v>
      </c>
      <c r="EV752" s="140">
        <f>'Detailed Budget'!$AC$217</f>
        <v>5559936386.0502758</v>
      </c>
      <c r="EW752" s="269">
        <f t="shared" si="1940"/>
        <v>19701036.211674612</v>
      </c>
      <c r="EX752" s="269">
        <f t="shared" si="1982"/>
        <v>98505181.058373064</v>
      </c>
      <c r="EY752" s="196">
        <f>'Detailed Budget'!$AC$219</f>
        <v>372777004.58170313</v>
      </c>
      <c r="EZ752" s="269">
        <f t="shared" si="1941"/>
        <v>1382814.4180286506</v>
      </c>
      <c r="FA752" s="196">
        <f>'Detailed Budget'!$AC$222</f>
        <v>93194251.145425782</v>
      </c>
      <c r="FB752" s="269">
        <f t="shared" si="1942"/>
        <v>345703.60450716264</v>
      </c>
      <c r="FC752" s="269">
        <f t="shared" si="1983"/>
        <v>1728518.0225358133</v>
      </c>
      <c r="FD752" s="269"/>
      <c r="FE752" s="269">
        <f t="shared" si="1984"/>
        <v>754265340.8214767</v>
      </c>
      <c r="FF752" s="140">
        <f>'Detailed Budget'!$AC$165</f>
        <v>14927760000</v>
      </c>
      <c r="FG752" s="1087">
        <f t="shared" si="1864"/>
        <v>1028867852.6099102</v>
      </c>
      <c r="FH752" s="269">
        <f t="shared" si="1943"/>
        <v>20353723.440518126</v>
      </c>
      <c r="FJ752" s="140">
        <f>'Detailed Budget'!$AC$235</f>
        <v>3623696172</v>
      </c>
      <c r="FK752" s="269">
        <f t="shared" si="1944"/>
        <v>4681778</v>
      </c>
      <c r="FL752" s="269">
        <f t="shared" si="1865"/>
        <v>4681778</v>
      </c>
      <c r="FO752" s="607"/>
      <c r="FP752" s="607"/>
      <c r="FQ752" s="607"/>
      <c r="FR752" s="269">
        <f>'Detailed Budget'!$AC$257</f>
        <v>13636439388</v>
      </c>
      <c r="FS752" s="269">
        <f t="shared" si="1945"/>
        <v>7994688</v>
      </c>
      <c r="FT752" s="269">
        <f t="shared" si="1866"/>
        <v>7994688</v>
      </c>
      <c r="FU752" s="269"/>
      <c r="FV752" s="269"/>
      <c r="FW752" s="269"/>
      <c r="FX752" s="140">
        <f>'Detailed Budget'!$AC$278</f>
        <v>1114560000</v>
      </c>
      <c r="FY752" s="269">
        <f t="shared" si="1946"/>
        <v>1440000</v>
      </c>
      <c r="FZ752" s="269">
        <f t="shared" si="1867"/>
        <v>1440000</v>
      </c>
      <c r="GB752" s="269">
        <f t="shared" si="1899"/>
        <v>3296220200.6248851</v>
      </c>
      <c r="GC752" s="887">
        <f t="shared" si="1985"/>
        <v>2060137.6253905531</v>
      </c>
      <c r="GD752" s="1078">
        <f t="shared" si="1900"/>
        <v>1.8496129495878921E-3</v>
      </c>
    </row>
    <row r="753" spans="1:186" hidden="1" outlineLevel="1">
      <c r="A753" s="211"/>
      <c r="B753" s="212"/>
      <c r="C753" s="213"/>
      <c r="D753" s="214"/>
      <c r="E753" s="213"/>
      <c r="F753" s="213"/>
      <c r="G753" s="213"/>
      <c r="H753" s="213"/>
      <c r="I753" s="214"/>
      <c r="J753" s="214"/>
      <c r="K753" s="213"/>
      <c r="L753" s="213"/>
      <c r="M753" s="214"/>
      <c r="N753" s="213"/>
      <c r="O753" s="214"/>
      <c r="P753" s="213"/>
      <c r="Q753" s="214"/>
      <c r="R753" s="214"/>
      <c r="S753" s="214"/>
      <c r="T753" s="214"/>
      <c r="U753" s="215"/>
      <c r="V753" s="845"/>
      <c r="W753" s="216"/>
      <c r="X753" s="217"/>
      <c r="Y753" s="218"/>
      <c r="Z753" s="196"/>
      <c r="AA753" s="218"/>
      <c r="AG753" s="606"/>
      <c r="AJ753" s="196"/>
      <c r="AK753" s="196"/>
      <c r="AL753" s="196"/>
      <c r="AM753" s="196"/>
      <c r="AO753" s="196"/>
      <c r="AP753" s="589"/>
      <c r="AQ753" s="196"/>
      <c r="AR753" s="589"/>
      <c r="AS753"/>
      <c r="AT753" s="589"/>
      <c r="AV753" s="245"/>
      <c r="AX753" s="245"/>
      <c r="AY753" s="245"/>
      <c r="BA753" s="589">
        <f t="shared" si="1871"/>
        <v>0</v>
      </c>
      <c r="BK753" s="246">
        <f t="shared" si="1872"/>
        <v>0</v>
      </c>
      <c r="BL753" s="246"/>
      <c r="BM753" s="246">
        <f t="shared" si="1873"/>
        <v>0</v>
      </c>
      <c r="BN753" s="196"/>
      <c r="BQ753" s="248">
        <f t="shared" si="1874"/>
        <v>0</v>
      </c>
      <c r="BR753" s="248"/>
      <c r="BS753" s="248"/>
      <c r="BT753" s="276"/>
      <c r="BV753" s="264">
        <f t="shared" si="1875"/>
        <v>0</v>
      </c>
      <c r="BX753" s="247">
        <f t="shared" si="1876"/>
        <v>0</v>
      </c>
      <c r="BY753" s="196"/>
      <c r="BZ753" s="620"/>
      <c r="CA753" s="196"/>
      <c r="CB753" s="196"/>
      <c r="CC753" s="196"/>
      <c r="CD753" s="247"/>
      <c r="CF753" s="247"/>
      <c r="CG753" s="196"/>
      <c r="CH753" s="589"/>
      <c r="CI753" s="196"/>
      <c r="CJ753" s="248"/>
      <c r="CK753" s="196"/>
      <c r="CL753" s="589"/>
      <c r="CM753" s="196"/>
      <c r="CN753" s="589"/>
      <c r="CO753" s="196"/>
      <c r="CP753" s="589"/>
      <c r="CQ753" s="196"/>
      <c r="CR753" s="269">
        <f t="shared" si="1861"/>
        <v>0</v>
      </c>
      <c r="CS753" s="269"/>
      <c r="CT753" s="607"/>
      <c r="CU753" s="269">
        <f>'Detailed Budget'!$AC$24</f>
        <v>30624985696</v>
      </c>
      <c r="CV753" s="269">
        <f t="shared" si="1868"/>
        <v>0</v>
      </c>
      <c r="CW753" s="269"/>
      <c r="CX753" s="269"/>
      <c r="CY753" s="196"/>
      <c r="DC753" s="269"/>
      <c r="DD753" s="207"/>
      <c r="DE753" s="606">
        <v>0</v>
      </c>
      <c r="DF753" s="269">
        <f>'Detailed Budget'!$AC$147</f>
        <v>5913600671000</v>
      </c>
      <c r="DG753" s="269">
        <f t="shared" si="1863"/>
        <v>0</v>
      </c>
      <c r="DH753" s="269">
        <f>'Detailed Budget'!$AC$153</f>
        <v>226428026880.00003</v>
      </c>
      <c r="DI753" s="269"/>
      <c r="DJ753" s="269">
        <f>'Detailed Budget'!$AC$156</f>
        <v>27713070000</v>
      </c>
      <c r="DK753" s="269"/>
      <c r="DL753" s="269"/>
      <c r="DM753" s="196"/>
      <c r="DN753" s="269"/>
      <c r="DO753" s="196"/>
      <c r="DP753" s="269"/>
      <c r="DQ753" s="269"/>
      <c r="DR753" s="269"/>
      <c r="DS753" s="269"/>
      <c r="DT753" s="269"/>
      <c r="DU753" s="272"/>
      <c r="DV753" s="269"/>
      <c r="DW753" s="140"/>
      <c r="DX753" s="269"/>
      <c r="DY753" s="607"/>
      <c r="DZ753" s="196"/>
      <c r="EA753" s="269"/>
      <c r="EB753" s="196"/>
      <c r="ED753" s="269"/>
      <c r="EE753" s="196"/>
      <c r="EG753" s="196"/>
      <c r="EI753" s="269"/>
      <c r="EJ753" s="196"/>
      <c r="EL753" s="201"/>
      <c r="EN753" s="269"/>
      <c r="EO753" s="140"/>
      <c r="EQ753" s="196"/>
      <c r="ES753" s="269"/>
      <c r="ET753" s="196"/>
      <c r="EV753" s="140"/>
      <c r="EX753" s="269"/>
      <c r="EY753" s="196"/>
      <c r="FA753" s="196"/>
      <c r="FC753" s="269"/>
      <c r="FD753" s="269"/>
      <c r="FE753" s="269"/>
      <c r="FF753" s="140"/>
      <c r="FG753" s="1087">
        <f t="shared" si="1864"/>
        <v>0</v>
      </c>
      <c r="FJ753" s="140"/>
      <c r="FL753" s="269">
        <f t="shared" si="1865"/>
        <v>0</v>
      </c>
      <c r="FO753" s="607"/>
      <c r="FP753" s="607"/>
      <c r="FQ753" s="607"/>
      <c r="FT753" s="269">
        <f t="shared" si="1866"/>
        <v>0</v>
      </c>
      <c r="FU753" s="269"/>
      <c r="FV753" s="269"/>
      <c r="FW753" s="269"/>
      <c r="FX753" s="140">
        <f>'Detailed Budget'!$AC$278</f>
        <v>1114560000</v>
      </c>
      <c r="FY753" s="269"/>
      <c r="FZ753" s="269"/>
      <c r="GB753" s="269">
        <f t="shared" si="1899"/>
        <v>0</v>
      </c>
      <c r="GD753" s="1078">
        <f t="shared" si="1900"/>
        <v>0</v>
      </c>
    </row>
    <row r="754" spans="1:186" s="210" customFormat="1" collapsed="1">
      <c r="A754" s="203">
        <v>6.3</v>
      </c>
      <c r="B754" s="204" t="s">
        <v>1591</v>
      </c>
      <c r="C754" s="205">
        <f t="shared" ref="C754:T754" si="2000">COUNTA(C755:C774)</f>
        <v>20</v>
      </c>
      <c r="D754" s="205">
        <f t="shared" si="2000"/>
        <v>0</v>
      </c>
      <c r="E754" s="205">
        <f t="shared" si="2000"/>
        <v>0</v>
      </c>
      <c r="F754" s="205">
        <f t="shared" si="2000"/>
        <v>0</v>
      </c>
      <c r="G754" s="205">
        <f t="shared" si="2000"/>
        <v>20</v>
      </c>
      <c r="H754" s="205">
        <f t="shared" si="2000"/>
        <v>20</v>
      </c>
      <c r="I754" s="205">
        <f t="shared" si="2000"/>
        <v>20</v>
      </c>
      <c r="J754" s="205">
        <f t="shared" si="2000"/>
        <v>0</v>
      </c>
      <c r="K754" s="205">
        <f t="shared" si="2000"/>
        <v>0</v>
      </c>
      <c r="L754" s="205">
        <f t="shared" si="2000"/>
        <v>0</v>
      </c>
      <c r="M754" s="205">
        <f t="shared" si="2000"/>
        <v>6</v>
      </c>
      <c r="N754" s="205">
        <f t="shared" si="2000"/>
        <v>10</v>
      </c>
      <c r="O754" s="205">
        <f t="shared" si="2000"/>
        <v>4</v>
      </c>
      <c r="P754" s="205">
        <f t="shared" si="2000"/>
        <v>0</v>
      </c>
      <c r="Q754" s="205">
        <f t="shared" si="2000"/>
        <v>2</v>
      </c>
      <c r="R754" s="205">
        <f t="shared" si="2000"/>
        <v>18</v>
      </c>
      <c r="S754" s="205">
        <f t="shared" si="2000"/>
        <v>0</v>
      </c>
      <c r="T754" s="205">
        <f t="shared" si="2000"/>
        <v>0</v>
      </c>
      <c r="U754" s="206">
        <f>SUM(C754:T754)</f>
        <v>120</v>
      </c>
      <c r="V754" s="844"/>
      <c r="W754" s="207">
        <f>SUM(W755:W774)</f>
        <v>3751140</v>
      </c>
      <c r="X754" s="208">
        <v>3.31</v>
      </c>
      <c r="Y754" s="209">
        <f t="shared" si="1965"/>
        <v>1.0330999999999999</v>
      </c>
      <c r="Z754" s="207">
        <v>19</v>
      </c>
      <c r="AA754" s="209">
        <f t="shared" si="1966"/>
        <v>1.8565423880120511</v>
      </c>
      <c r="AB754" s="207">
        <f t="shared" si="1996"/>
        <v>6964150.4133675257</v>
      </c>
      <c r="AC754" s="210">
        <v>14.1</v>
      </c>
      <c r="AD754" s="207">
        <f t="shared" si="1997"/>
        <v>981945.20828482101</v>
      </c>
      <c r="AE754" s="207">
        <f t="shared" si="1967"/>
        <v>932847.9478705799</v>
      </c>
      <c r="AF754" s="207">
        <f>SUM(AF755:AF774)</f>
        <v>0</v>
      </c>
      <c r="AG754" s="588">
        <f t="shared" si="1988"/>
        <v>4.3130793830310037E-2</v>
      </c>
      <c r="AH754" s="207">
        <f>SUM(AH755:AH774)</f>
        <v>348207.52066837624</v>
      </c>
      <c r="AI754" s="633">
        <f t="shared" si="1964"/>
        <v>2.6975109040252722E-2</v>
      </c>
      <c r="AJ754" s="207">
        <f>SUM(AJ755:AJ774)</f>
        <v>1330152.7289531974</v>
      </c>
      <c r="AK754" s="207">
        <f t="shared" si="1998"/>
        <v>278566.01653470105</v>
      </c>
      <c r="AL754" s="207">
        <f t="shared" si="1999"/>
        <v>278566.01653470105</v>
      </c>
      <c r="AM754" s="207">
        <f t="shared" si="1969"/>
        <v>557132.0330694021</v>
      </c>
      <c r="AN754" s="632">
        <f t="shared" si="1970"/>
        <v>2.6975109040252725E-2</v>
      </c>
      <c r="AO754" s="207">
        <f t="shared" si="1971"/>
        <v>264637.71570796595</v>
      </c>
      <c r="AP754" s="588">
        <f t="shared" si="1989"/>
        <v>2.6975109040252722E-2</v>
      </c>
      <c r="AQ754" s="207">
        <v>1</v>
      </c>
      <c r="AR754" s="588">
        <f>AQ754/37</f>
        <v>2.7027027027027029E-2</v>
      </c>
      <c r="AS754" s="207">
        <f>SUM(AS755:AS774)</f>
        <v>20</v>
      </c>
      <c r="AT754" s="588">
        <f t="shared" si="1990"/>
        <v>2.5839793281653745E-2</v>
      </c>
      <c r="AU754" s="207">
        <f>SUM(AU755:AU774)</f>
        <v>236</v>
      </c>
      <c r="AV754" s="892">
        <f t="shared" si="1972"/>
        <v>2.6815134643790477E-2</v>
      </c>
      <c r="AW754" s="207">
        <v>16762</v>
      </c>
      <c r="AX754" s="208">
        <f>AW754*0.002</f>
        <v>33.524000000000001</v>
      </c>
      <c r="AY754" s="207">
        <f>AX754*100</f>
        <v>3352.4</v>
      </c>
      <c r="AZ754" s="207">
        <f>SUM(AZ755:AZ774)</f>
        <v>607</v>
      </c>
      <c r="BA754" s="588">
        <f t="shared" si="1871"/>
        <v>2.2241764684328168E-2</v>
      </c>
      <c r="BB754" s="207">
        <v>33</v>
      </c>
      <c r="BC754" s="207">
        <v>2</v>
      </c>
      <c r="BD754" s="207">
        <f>BB754+BC754</f>
        <v>35</v>
      </c>
      <c r="BE754" s="633">
        <f>BD754/1306</f>
        <v>2.679938744257274E-2</v>
      </c>
      <c r="BF754" s="207">
        <f>AZ754+BD754</f>
        <v>642</v>
      </c>
      <c r="BG754" s="588">
        <f>BF754/28597</f>
        <v>2.244990733293702E-2</v>
      </c>
      <c r="BH754" s="1084">
        <v>32.200000000000003</v>
      </c>
      <c r="BI754" s="207"/>
      <c r="BJ754" s="207"/>
      <c r="BK754" s="892">
        <f t="shared" si="1872"/>
        <v>0</v>
      </c>
      <c r="BL754" s="892"/>
      <c r="BM754" s="892">
        <f t="shared" si="1873"/>
        <v>0</v>
      </c>
      <c r="BN754" s="207"/>
      <c r="BO754" s="207">
        <v>382245</v>
      </c>
      <c r="BP754" s="207">
        <f>SUM(BP755:BP774)</f>
        <v>382244.92210949789</v>
      </c>
      <c r="BQ754" s="633">
        <f t="shared" si="1874"/>
        <v>3.575723244507021E-2</v>
      </c>
      <c r="BR754" s="207">
        <f>AY754*0.5*24</f>
        <v>40228.800000000003</v>
      </c>
      <c r="BS754" s="633">
        <f>BR754/2211211</f>
        <v>1.8193107758599249E-2</v>
      </c>
      <c r="BT754" s="634"/>
      <c r="BU754" s="207"/>
      <c r="BV754" s="264">
        <f t="shared" si="1875"/>
        <v>0</v>
      </c>
      <c r="BW754" s="207"/>
      <c r="BX754" s="247">
        <f t="shared" si="1876"/>
        <v>0</v>
      </c>
      <c r="BY754" s="207">
        <f>SUM(BY755:BY774)</f>
        <v>0</v>
      </c>
      <c r="CA754" s="207">
        <f>SUM(CA755:CA774)</f>
        <v>2131030.0264904625</v>
      </c>
      <c r="CB754" s="207">
        <f>SUM(CB755:CB774)</f>
        <v>4262060.052980925</v>
      </c>
      <c r="CC754" s="207">
        <f>SUM(CC755:CC774)</f>
        <v>6393090.0794713898</v>
      </c>
      <c r="CD754" s="633">
        <f t="shared" si="1974"/>
        <v>2.6975109040252729E-2</v>
      </c>
      <c r="CE754" s="207">
        <f>SUM(CE755:CE774)</f>
        <v>600569.17327518831</v>
      </c>
      <c r="CF754" s="633">
        <f t="shared" si="1975"/>
        <v>2.5934444639520281E-2</v>
      </c>
      <c r="CG754" s="207">
        <f t="shared" ref="CG754:CG774" si="2001">AO754*4</f>
        <v>1058550.8628318638</v>
      </c>
      <c r="CH754" s="588">
        <f t="shared" si="1991"/>
        <v>2.6975109040252722E-2</v>
      </c>
      <c r="CI754" s="207">
        <f>SUM(CI755:CI774)</f>
        <v>1877654.3982777321</v>
      </c>
      <c r="CJ754" s="633">
        <f t="shared" si="1992"/>
        <v>3.0868633541568897E-2</v>
      </c>
      <c r="CK754" s="207">
        <f>SUM(CK755:CK774)</f>
        <v>1718521.3645233072</v>
      </c>
      <c r="CL754" s="588">
        <f t="shared" si="1993"/>
        <v>2.4704098099786225E-2</v>
      </c>
      <c r="CM754" s="207">
        <f>SUM(CM755:CM774)</f>
        <v>166482.03531325434</v>
      </c>
      <c r="CN754" s="588">
        <f t="shared" si="1994"/>
        <v>2.399195329887549E-2</v>
      </c>
      <c r="CO754" s="207">
        <f>SUM(CO755:CO774)</f>
        <v>13319.002825153681</v>
      </c>
      <c r="CP754" s="588">
        <f t="shared" si="1995"/>
        <v>2.5117587824136717E-2</v>
      </c>
      <c r="CQ754" s="207">
        <f>'Detailed Budget'!$AC$12</f>
        <v>292876014141.44696</v>
      </c>
      <c r="CR754" s="605">
        <f t="shared" si="1861"/>
        <v>0</v>
      </c>
      <c r="CS754" s="605">
        <f>'Detailed Budget'!$AC$16</f>
        <v>10488008800.000002</v>
      </c>
      <c r="CT754" s="605">
        <f t="shared" ref="CT754:CT774" si="2002">BM754*CS754</f>
        <v>0</v>
      </c>
      <c r="CU754" s="605">
        <f>'Detailed Budget'!$AC$24</f>
        <v>30624985696</v>
      </c>
      <c r="CV754" s="605">
        <f t="shared" si="1868"/>
        <v>0</v>
      </c>
      <c r="CW754" s="605"/>
      <c r="CX754" s="605">
        <f t="shared" si="1987"/>
        <v>0</v>
      </c>
      <c r="CY754" s="207">
        <f>'Detailed Budget'!$AC$97</f>
        <v>74629165494.837845</v>
      </c>
      <c r="CZ754" s="605">
        <f t="shared" ref="CZ754:CZ774" si="2003">BQ754*CY754</f>
        <v>2668532417.78053</v>
      </c>
      <c r="DA754" s="605">
        <f>'Detailed Budget'!$AC$100</f>
        <v>14925833098.967569</v>
      </c>
      <c r="DB754" s="605">
        <f t="shared" ref="DB754:DB774" si="2004">BQ754*DA754</f>
        <v>533706483.55610603</v>
      </c>
      <c r="DC754" s="605">
        <f t="shared" si="1976"/>
        <v>3202238901.3366361</v>
      </c>
      <c r="DD754" s="207">
        <f>SUM(DD755:DD774)</f>
        <v>0</v>
      </c>
      <c r="DE754" s="606">
        <v>0</v>
      </c>
      <c r="DF754" s="605">
        <f>'Detailed Budget'!$AC$147</f>
        <v>5913600671000</v>
      </c>
      <c r="DG754" s="605">
        <f t="shared" si="1863"/>
        <v>0</v>
      </c>
      <c r="DH754" s="605">
        <f>'Detailed Budget'!$AC$153</f>
        <v>226428026880.00003</v>
      </c>
      <c r="DI754" s="605">
        <f>BS754*DH754</f>
        <v>4119429492.5948482</v>
      </c>
      <c r="DJ754" s="605">
        <f>'Detailed Budget'!$AC$156</f>
        <v>27713070000</v>
      </c>
      <c r="DK754" s="605">
        <f>AT754*DJ754</f>
        <v>716100000</v>
      </c>
      <c r="DL754" s="605">
        <f>DI754+DK754</f>
        <v>4835529492.5948486</v>
      </c>
      <c r="DM754" s="207">
        <f>'Detailed Budget'!$AC$178</f>
        <v>5622683761.6229038</v>
      </c>
      <c r="DN754" s="605">
        <f>SUM(DN755:DN774)</f>
        <v>0</v>
      </c>
      <c r="DO754" s="605">
        <f>'Detailed Budget'!$AC$179</f>
        <v>26827890683.128094</v>
      </c>
      <c r="DP754" s="605">
        <f>SUM(DP755:DP774)</f>
        <v>0</v>
      </c>
      <c r="DQ754" s="605">
        <f>SUM(DQ755:DQ774)</f>
        <v>0</v>
      </c>
      <c r="DR754" s="605">
        <f>'Detailed Budget'!$AC$181</f>
        <v>50888946855.375237</v>
      </c>
      <c r="DS754" s="605">
        <f>SUM(DS755:DS774)</f>
        <v>0</v>
      </c>
      <c r="DT754" s="605">
        <f>SUM(DT755:DT774)</f>
        <v>0</v>
      </c>
      <c r="DU754" s="634">
        <f>'Detailed Budget'!$AC$192</f>
        <v>77498869683.252869</v>
      </c>
      <c r="DV754" s="605">
        <f t="shared" ref="DV754:DV774" si="2005">BZ754*CD754*DU754</f>
        <v>0</v>
      </c>
      <c r="DW754" s="930">
        <f>'Detailed Budget'!$AC$194</f>
        <v>2684962805.4134097</v>
      </c>
      <c r="DX754" s="605">
        <f t="shared" ref="DX754:DX774" si="2006">BZ754*AN754*DW754</f>
        <v>0</v>
      </c>
      <c r="DY754" s="605">
        <f t="shared" si="1977"/>
        <v>0</v>
      </c>
      <c r="DZ754" s="207">
        <f>'Detailed Budget'!$AC$198</f>
        <v>18732540018.380611</v>
      </c>
      <c r="EA754" s="605">
        <f t="shared" ref="EA754:EA774" si="2007">CF754*DZ754</f>
        <v>485818022.06429023</v>
      </c>
      <c r="EB754" s="207">
        <f>'Detailed Budget'!$AC$200</f>
        <v>4683135004.5951529</v>
      </c>
      <c r="EC754" s="605">
        <f t="shared" ref="EC754:EC774" si="2008">CF754*EB754</f>
        <v>121454505.51607256</v>
      </c>
      <c r="ED754" s="605">
        <f t="shared" si="1978"/>
        <v>607272527.5803628</v>
      </c>
      <c r="EE754" s="207">
        <f>'Detailed Budget'!$AC$161</f>
        <v>251147290106.36197</v>
      </c>
      <c r="EF754" s="605">
        <f t="shared" ref="EF754:EF774" si="2009">CH754*EE754</f>
        <v>6774725535.7830973</v>
      </c>
      <c r="EG754" s="207">
        <f>'Detailed Budget'!$AC$163</f>
        <v>15696705631.647623</v>
      </c>
      <c r="EH754" s="605">
        <f t="shared" ref="EH754:EH774" si="2010">AP754*EG754</f>
        <v>423420345.98644358</v>
      </c>
      <c r="EI754" s="605">
        <f t="shared" si="1979"/>
        <v>7198145881.7695408</v>
      </c>
      <c r="EJ754" s="207">
        <f>'Detailed Budget'!$AC$204</f>
        <v>45012172507.531975</v>
      </c>
      <c r="EK754" s="605">
        <f t="shared" ref="EK754:EK774" si="2011">CJ754*EJ754</f>
        <v>1389464258.0448868</v>
      </c>
      <c r="EL754" s="207">
        <f>'Detailed Budget'!$AC$206</f>
        <v>11253043126.882994</v>
      </c>
      <c r="EM754" s="605">
        <f t="shared" ref="EM754:EM774" si="2012">CJ754*EL754</f>
        <v>347366064.51122171</v>
      </c>
      <c r="EN754" s="605">
        <f t="shared" si="1980"/>
        <v>1736830322.5561085</v>
      </c>
      <c r="EO754" s="930">
        <f>'Detailed Budget'!$AC$209</f>
        <v>135789361677.54817</v>
      </c>
      <c r="EP754" s="605">
        <f t="shared" ref="EP754:EP774" si="2013">CL754*EO754</f>
        <v>3354553711.7895021</v>
      </c>
      <c r="EQ754" s="207">
        <f>'Detailed Budget'!$AC$211</f>
        <v>33947340419.387043</v>
      </c>
      <c r="ER754" s="605">
        <f t="shared" ref="ER754:ER774" si="2014">CL754*EQ754</f>
        <v>838638427.94737554</v>
      </c>
      <c r="ES754" s="605">
        <f t="shared" si="1981"/>
        <v>4193192139.7368774</v>
      </c>
      <c r="ET754" s="207">
        <f>'Detailed Budget'!$AC$214</f>
        <v>22239745544.201103</v>
      </c>
      <c r="EU754" s="605">
        <f t="shared" ref="EU754:EU774" si="2015">CN754*ET754</f>
        <v>533574936.47534716</v>
      </c>
      <c r="EV754" s="930">
        <f>'Detailed Budget'!$AC$217</f>
        <v>5559936386.0502758</v>
      </c>
      <c r="EW754" s="605">
        <f t="shared" ref="EW754:EW774" si="2016">CN754*EV754</f>
        <v>133393734.11883679</v>
      </c>
      <c r="EX754" s="605">
        <f t="shared" si="1982"/>
        <v>666968670.59418392</v>
      </c>
      <c r="EY754" s="207">
        <f>'Detailed Budget'!$AC$219</f>
        <v>372777004.58170313</v>
      </c>
      <c r="EZ754" s="605">
        <f t="shared" ref="EZ754:EZ774" si="2017">CP754*EY754</f>
        <v>9363259.1513995435</v>
      </c>
      <c r="FA754" s="207">
        <f>'Detailed Budget'!$AC$222</f>
        <v>93194251.145425782</v>
      </c>
      <c r="FB754" s="605">
        <f t="shared" ref="FB754:FB774" si="2018">CP754*FA754</f>
        <v>2340814.7878498859</v>
      </c>
      <c r="FC754" s="605">
        <f t="shared" si="1983"/>
        <v>11704073.93924943</v>
      </c>
      <c r="FD754" s="605"/>
      <c r="FE754" s="605">
        <f t="shared" si="1984"/>
        <v>6608695206.8264189</v>
      </c>
      <c r="FF754" s="930">
        <f>'Detailed Budget'!$AC$165</f>
        <v>14927760000</v>
      </c>
      <c r="FG754" s="1087">
        <f t="shared" si="1864"/>
        <v>9014697717.1131058</v>
      </c>
      <c r="FH754" s="605">
        <f t="shared" ref="FH754:FH774" si="2019">AV754*FF754</f>
        <v>400289894.3301897</v>
      </c>
      <c r="FI754" s="605"/>
      <c r="FJ754" s="930">
        <f>'Detailed Budget'!$AC$235</f>
        <v>3623696172</v>
      </c>
      <c r="FK754" s="605">
        <f t="shared" ref="FK754:FK774" si="2020">AT754*FJ754</f>
        <v>93635560</v>
      </c>
      <c r="FL754" s="605">
        <f t="shared" si="1865"/>
        <v>93635560</v>
      </c>
      <c r="FM754" s="605"/>
      <c r="FN754" s="605">
        <f>'Detailed Budget'!$AC$251</f>
        <v>1047595800</v>
      </c>
      <c r="FO754" s="605">
        <f>AR754*FN754</f>
        <v>28313400</v>
      </c>
      <c r="FP754" s="605">
        <f>'Detailed Budget'!$AB$254</f>
        <v>2773297530</v>
      </c>
      <c r="FQ754" s="605">
        <f>BE754*FP754</f>
        <v>74322675</v>
      </c>
      <c r="FR754" s="605">
        <f>'Detailed Budget'!$AC$257</f>
        <v>13636439388</v>
      </c>
      <c r="FS754" s="605">
        <f t="shared" ref="FS754:FS774" si="2021">BA754*FR754</f>
        <v>303298476</v>
      </c>
      <c r="FT754" s="605">
        <f t="shared" si="1866"/>
        <v>405934551</v>
      </c>
      <c r="FU754" s="605"/>
      <c r="FV754" s="605">
        <f>'Detailed Budget'!$AC$265</f>
        <v>6277805540</v>
      </c>
      <c r="FW754" s="605">
        <f>AR754*FV754</f>
        <v>169670420</v>
      </c>
      <c r="FX754" s="930">
        <f>'Detailed Budget'!$AC$278</f>
        <v>1114560000</v>
      </c>
      <c r="FY754" s="605">
        <f t="shared" ref="FY754:FY774" si="2022">AT754*FX754</f>
        <v>28800000</v>
      </c>
      <c r="FZ754" s="605">
        <f t="shared" si="1867"/>
        <v>198470420</v>
      </c>
      <c r="GB754" s="269">
        <f t="shared" si="1899"/>
        <v>32564910152.551102</v>
      </c>
      <c r="GC754" s="889">
        <f t="shared" si="1985"/>
        <v>20353068.845344439</v>
      </c>
      <c r="GD754" s="1078">
        <f t="shared" si="1900"/>
        <v>1.8273196526405029E-2</v>
      </c>
    </row>
    <row r="755" spans="1:186" hidden="1" outlineLevel="1">
      <c r="A755" s="211" t="s">
        <v>1592</v>
      </c>
      <c r="B755" s="212" t="s">
        <v>1593</v>
      </c>
      <c r="C755" s="213" t="s">
        <v>215</v>
      </c>
      <c r="D755" s="214"/>
      <c r="E755" s="213"/>
      <c r="F755" s="213"/>
      <c r="G755" s="213" t="s">
        <v>215</v>
      </c>
      <c r="H755" s="213" t="s">
        <v>215</v>
      </c>
      <c r="I755" s="214" t="s">
        <v>215</v>
      </c>
      <c r="J755" s="214"/>
      <c r="K755" s="213"/>
      <c r="L755" s="213"/>
      <c r="M755" s="214"/>
      <c r="N755" s="213" t="s">
        <v>215</v>
      </c>
      <c r="O755" s="214"/>
      <c r="P755" s="213"/>
      <c r="Q755" s="214" t="s">
        <v>215</v>
      </c>
      <c r="R755" s="214"/>
      <c r="S755" s="214"/>
      <c r="T755" s="214"/>
      <c r="U755" s="215">
        <f t="shared" si="1905"/>
        <v>6</v>
      </c>
      <c r="V755" s="845" t="s">
        <v>1073</v>
      </c>
      <c r="W755" s="216">
        <v>198793</v>
      </c>
      <c r="X755" s="217">
        <v>3.31</v>
      </c>
      <c r="Y755" s="218">
        <f t="shared" si="1965"/>
        <v>1.0330999999999999</v>
      </c>
      <c r="Z755" s="196">
        <v>19</v>
      </c>
      <c r="AA755" s="218">
        <f t="shared" si="1966"/>
        <v>1.8565423880120511</v>
      </c>
      <c r="AB755" s="196">
        <f t="shared" si="1996"/>
        <v>369067.63094007969</v>
      </c>
      <c r="AC755">
        <v>14.1</v>
      </c>
      <c r="AD755" s="196">
        <f t="shared" si="1997"/>
        <v>52038.535962551236</v>
      </c>
      <c r="AE755" s="196">
        <f t="shared" si="1967"/>
        <v>49436.609164423673</v>
      </c>
      <c r="AF755" s="196">
        <f t="shared" ref="AF755:AF774" si="2023">AE755*BT755</f>
        <v>0</v>
      </c>
      <c r="AG755" s="606">
        <f t="shared" si="1988"/>
        <v>2.2857317769821505E-3</v>
      </c>
      <c r="AH755" s="196">
        <f>AB755*0.05</f>
        <v>18453.381547003984</v>
      </c>
      <c r="AI755" s="248">
        <f t="shared" si="1964"/>
        <v>1.4295555088423679E-3</v>
      </c>
      <c r="AJ755" s="196">
        <f t="shared" si="1968"/>
        <v>70491.91750955522</v>
      </c>
      <c r="AK755" s="196">
        <f t="shared" si="1998"/>
        <v>14762.705237603188</v>
      </c>
      <c r="AL755" s="196">
        <f t="shared" si="1999"/>
        <v>14762.705237603188</v>
      </c>
      <c r="AM755" s="196">
        <f t="shared" si="1969"/>
        <v>29525.410475206376</v>
      </c>
      <c r="AN755" s="627">
        <f t="shared" si="1970"/>
        <v>1.4295555088423679E-3</v>
      </c>
      <c r="AO755" s="196">
        <f t="shared" si="1971"/>
        <v>14024.569975723029</v>
      </c>
      <c r="AP755" s="589">
        <f t="shared" si="1989"/>
        <v>1.4295555088423679E-3</v>
      </c>
      <c r="AQ755" s="196"/>
      <c r="AR755" s="589"/>
      <c r="AS755">
        <v>1</v>
      </c>
      <c r="AT755" s="589">
        <f t="shared" si="1990"/>
        <v>1.2919896640826874E-3</v>
      </c>
      <c r="AU755" s="196">
        <v>16</v>
      </c>
      <c r="AV755" s="245">
        <f t="shared" si="1972"/>
        <v>1.81797523008749E-3</v>
      </c>
      <c r="AX755" s="245"/>
      <c r="AY755" s="245"/>
      <c r="AZ755" s="196">
        <v>46</v>
      </c>
      <c r="BA755" s="589">
        <f t="shared" si="1871"/>
        <v>1.6855373566377193E-3</v>
      </c>
      <c r="BI755" s="196">
        <v>0</v>
      </c>
      <c r="BK755" s="246">
        <f t="shared" si="1872"/>
        <v>0</v>
      </c>
      <c r="BL755" s="246"/>
      <c r="BM755" s="246">
        <f t="shared" si="1873"/>
        <v>0</v>
      </c>
      <c r="BN755" s="196">
        <v>1</v>
      </c>
      <c r="BO755" s="196">
        <f t="shared" ref="BO755:BO774" si="2024">AJ755/1330153*382245</f>
        <v>20257.205756360308</v>
      </c>
      <c r="BP755" s="196">
        <f t="shared" si="1973"/>
        <v>20257.205756360308</v>
      </c>
      <c r="BQ755" s="248">
        <f t="shared" si="1874"/>
        <v>1.8949672658052864E-3</v>
      </c>
      <c r="BR755" s="248"/>
      <c r="BS755" s="248"/>
      <c r="BT755" s="276">
        <v>0</v>
      </c>
      <c r="BU755" s="196">
        <f t="shared" ref="BU755:BU774" si="2025">AD755*BT755*0.18*4</f>
        <v>0</v>
      </c>
      <c r="BV755" s="264">
        <f t="shared" si="1875"/>
        <v>0</v>
      </c>
      <c r="BW755" s="196">
        <f t="shared" ref="BW755:BW774" si="2026">AD755*BT755*0.77*4</f>
        <v>0</v>
      </c>
      <c r="BX755" s="247">
        <f t="shared" si="1876"/>
        <v>0</v>
      </c>
      <c r="BY755" s="196">
        <f t="shared" ref="BY755:BY771" si="2027">BU755+BW755</f>
        <v>0</v>
      </c>
      <c r="BZ755" s="620">
        <v>1</v>
      </c>
      <c r="CA755" s="196">
        <f t="shared" ref="CA755:CA774" si="2028">AK755*0.85*0.75*12</f>
        <v>112934.69506766439</v>
      </c>
      <c r="CB755" s="196">
        <f t="shared" ref="CB755:CB774" si="2029">AL755*0.85*0.75*2*12</f>
        <v>225869.39013532878</v>
      </c>
      <c r="CC755" s="196">
        <f t="shared" si="1986"/>
        <v>338804.08520299318</v>
      </c>
      <c r="CD755" s="247">
        <f t="shared" si="1974"/>
        <v>1.4295555088423681E-3</v>
      </c>
      <c r="CE755" s="196">
        <f t="shared" ref="CE755:CE774" si="2030">AH755/348208*600570</f>
        <v>31827.377187440219</v>
      </c>
      <c r="CF755" s="247">
        <f t="shared" si="1975"/>
        <v>1.3744051283674176E-3</v>
      </c>
      <c r="CG755" s="196">
        <f t="shared" si="2001"/>
        <v>56098.279902892114</v>
      </c>
      <c r="CH755" s="589">
        <f t="shared" si="1991"/>
        <v>1.4295555088423679E-3</v>
      </c>
      <c r="CI755" s="196">
        <f t="shared" ref="CI755:CI774" si="2031">AD755/981945*1877654</f>
        <v>99506.963428937641</v>
      </c>
      <c r="CJ755" s="248">
        <f t="shared" si="1992"/>
        <v>1.6358942261896663E-3</v>
      </c>
      <c r="CK755" s="196">
        <f t="shared" ref="CK755:CK774" si="2032">AD755/981945*1718521</f>
        <v>91073.651641282879</v>
      </c>
      <c r="CL755" s="589">
        <f t="shared" si="1993"/>
        <v>1.3092024753943612E-3</v>
      </c>
      <c r="CM755" s="196">
        <f t="shared" ref="CM755:CM774" si="2033">AD755/981945*166482</f>
        <v>8822.7747420858141</v>
      </c>
      <c r="CN755" s="589">
        <f t="shared" si="1994"/>
        <v>1.2714621080907023E-3</v>
      </c>
      <c r="CO755" s="196">
        <f t="shared" ref="CO755:CO774" si="2034">AD755/981945*13319</f>
        <v>705.84529732848569</v>
      </c>
      <c r="CP755" s="589">
        <f t="shared" si="1995"/>
        <v>1.3311155105710825E-3</v>
      </c>
      <c r="CQ755" s="196">
        <f>'Detailed Budget'!$AC$12</f>
        <v>292876014141.44696</v>
      </c>
      <c r="CR755" s="269">
        <f t="shared" si="1861"/>
        <v>0</v>
      </c>
      <c r="CS755" s="269">
        <f>'Detailed Budget'!$AC$16</f>
        <v>10488008800.000002</v>
      </c>
      <c r="CT755" s="607">
        <f t="shared" si="2002"/>
        <v>0</v>
      </c>
      <c r="CU755" s="269">
        <f>'Detailed Budget'!$AC$24</f>
        <v>30624985696</v>
      </c>
      <c r="CV755" s="269">
        <f t="shared" si="1868"/>
        <v>0</v>
      </c>
      <c r="CW755" s="269"/>
      <c r="CX755" s="269">
        <f t="shared" si="1987"/>
        <v>0</v>
      </c>
      <c r="CY755" s="196">
        <f>'Detailed Budget'!$AC$97</f>
        <v>74629165494.837845</v>
      </c>
      <c r="CZ755" s="269">
        <f t="shared" si="2003"/>
        <v>141419825.6870831</v>
      </c>
      <c r="DA755" s="269">
        <f>'Detailed Budget'!$AC$100</f>
        <v>14925833098.967569</v>
      </c>
      <c r="DB755" s="269">
        <f t="shared" si="2004"/>
        <v>28283965.13741662</v>
      </c>
      <c r="DC755" s="269">
        <f t="shared" si="1976"/>
        <v>169703790.82449973</v>
      </c>
      <c r="DD755" s="207">
        <v>0</v>
      </c>
      <c r="DE755" s="606">
        <v>0</v>
      </c>
      <c r="DF755" s="269">
        <f>'Detailed Budget'!$AC$147</f>
        <v>5913600671000</v>
      </c>
      <c r="DG755" s="269">
        <f t="shared" si="1863"/>
        <v>0</v>
      </c>
      <c r="DH755" s="269">
        <f>'Detailed Budget'!$AC$153</f>
        <v>226428026880.00003</v>
      </c>
      <c r="DI755" s="269"/>
      <c r="DJ755" s="269">
        <f>'Detailed Budget'!$AC$156</f>
        <v>27713070000</v>
      </c>
      <c r="DK755" s="269"/>
      <c r="DL755" s="269"/>
      <c r="DM755" s="196">
        <f>'Detailed Budget'!$AC$178</f>
        <v>5622683761.6229038</v>
      </c>
      <c r="DN755" s="269">
        <f t="shared" ref="DN755:DN774" si="2035">BT755*BV755*DM755</f>
        <v>0</v>
      </c>
      <c r="DO755" s="196">
        <f>'Detailed Budget'!$AC$179</f>
        <v>26827890683.128094</v>
      </c>
      <c r="DP755" s="269">
        <f t="shared" ref="DP755:DP774" si="2036">BT755*BX755*DO755</f>
        <v>0</v>
      </c>
      <c r="DQ755" s="269">
        <f t="shared" si="1862"/>
        <v>0</v>
      </c>
      <c r="DR755" s="269">
        <f>'Detailed Budget'!$AC$181</f>
        <v>50888946855.375237</v>
      </c>
      <c r="DS755" s="269">
        <f t="shared" ref="DS755:DS774" si="2037">BT755*AG755*DR755</f>
        <v>0</v>
      </c>
      <c r="DT755" s="269">
        <f t="shared" ref="DT755:DT771" si="2038">DQ755+DS755</f>
        <v>0</v>
      </c>
      <c r="DU755" s="272">
        <f>'Detailed Budget'!$AC$192</f>
        <v>77498869683.252869</v>
      </c>
      <c r="DV755" s="269">
        <f t="shared" si="2005"/>
        <v>110788936.08475094</v>
      </c>
      <c r="DW755" s="140">
        <f>'Detailed Budget'!$AC$194</f>
        <v>2684962805.4134097</v>
      </c>
      <c r="DX755" s="269">
        <f t="shared" si="2006"/>
        <v>3838303.3695155983</v>
      </c>
      <c r="DY755" s="607">
        <f t="shared" si="1977"/>
        <v>114627239.45426653</v>
      </c>
      <c r="DZ755" s="196">
        <f>'Detailed Budget'!$AC$198</f>
        <v>18732540018.380611</v>
      </c>
      <c r="EA755" s="269">
        <f t="shared" si="2007"/>
        <v>25746099.068610191</v>
      </c>
      <c r="EB755" s="196">
        <f>'Detailed Budget'!$AC$200</f>
        <v>4683135004.5951529</v>
      </c>
      <c r="EC755" s="269">
        <f t="shared" si="2008"/>
        <v>6436524.7671525478</v>
      </c>
      <c r="ED755" s="269">
        <f t="shared" si="1978"/>
        <v>32182623.835762739</v>
      </c>
      <c r="EE755" s="196">
        <f>'Detailed Budget'!$AC$161</f>
        <v>251147290106.36197</v>
      </c>
      <c r="EF755" s="269">
        <f t="shared" si="2009"/>
        <v>359028992.10238206</v>
      </c>
      <c r="EG755" s="196">
        <f>'Detailed Budget'!$AC$163</f>
        <v>15696705631.647623</v>
      </c>
      <c r="EH755" s="269">
        <f t="shared" si="2010"/>
        <v>22439312.006398879</v>
      </c>
      <c r="EI755" s="269">
        <f t="shared" si="1979"/>
        <v>381468304.10878092</v>
      </c>
      <c r="EJ755" s="196">
        <f>'Detailed Budget'!$AC$204</f>
        <v>45012172507.531975</v>
      </c>
      <c r="EK755" s="269">
        <f t="shared" si="2011"/>
        <v>73635153.113324791</v>
      </c>
      <c r="EL755" s="201">
        <f>'Detailed Budget'!$AC$206</f>
        <v>11253043126.882994</v>
      </c>
      <c r="EM755" s="269">
        <f t="shared" si="2012"/>
        <v>18408788.278331198</v>
      </c>
      <c r="EN755" s="269">
        <f t="shared" si="1980"/>
        <v>92043941.391655982</v>
      </c>
      <c r="EO755" s="140">
        <f>'Detailed Budget'!$AC$209</f>
        <v>135789361677.54817</v>
      </c>
      <c r="EP755" s="269">
        <f t="shared" si="2013"/>
        <v>177775768.44046628</v>
      </c>
      <c r="EQ755" s="196">
        <f>'Detailed Budget'!$AC$211</f>
        <v>33947340419.387043</v>
      </c>
      <c r="ER755" s="269">
        <f t="shared" si="2014"/>
        <v>44443942.110116571</v>
      </c>
      <c r="ES755" s="269">
        <f t="shared" si="1981"/>
        <v>222219710.55058286</v>
      </c>
      <c r="ET755" s="196">
        <f>'Detailed Budget'!$AC$214</f>
        <v>22239745544.201103</v>
      </c>
      <c r="EU755" s="269">
        <f t="shared" si="2015"/>
        <v>28276993.75303074</v>
      </c>
      <c r="EV755" s="140">
        <f>'Detailed Budget'!$AC$217</f>
        <v>5559936386.0502758</v>
      </c>
      <c r="EW755" s="269">
        <f t="shared" si="2016"/>
        <v>7069248.4382576849</v>
      </c>
      <c r="EX755" s="269">
        <f t="shared" si="1982"/>
        <v>35346242.191288427</v>
      </c>
      <c r="EY755" s="196">
        <f>'Detailed Budget'!$AC$219</f>
        <v>372777004.58170313</v>
      </c>
      <c r="EZ755" s="269">
        <f t="shared" si="2017"/>
        <v>496209.25278293254</v>
      </c>
      <c r="FA755" s="196">
        <f>'Detailed Budget'!$AC$222</f>
        <v>93194251.145425782</v>
      </c>
      <c r="FB755" s="269">
        <f t="shared" si="2018"/>
        <v>124052.31319573314</v>
      </c>
      <c r="FC755" s="269">
        <f t="shared" si="1983"/>
        <v>620261.56597866572</v>
      </c>
      <c r="FD755" s="269"/>
      <c r="FE755" s="269">
        <f t="shared" si="1984"/>
        <v>350230155.69950587</v>
      </c>
      <c r="FF755" s="140">
        <f>'Detailed Budget'!$AC$165</f>
        <v>14927760000</v>
      </c>
      <c r="FG755" s="1087">
        <f t="shared" si="1864"/>
        <v>477737115.45771837</v>
      </c>
      <c r="FH755" s="269">
        <f t="shared" si="2019"/>
        <v>27138297.920690831</v>
      </c>
      <c r="FJ755" s="140">
        <f>'Detailed Budget'!$AC$235</f>
        <v>3623696172</v>
      </c>
      <c r="FK755" s="269">
        <f t="shared" si="2020"/>
        <v>4681778</v>
      </c>
      <c r="FL755" s="269">
        <f t="shared" si="1865"/>
        <v>4681778</v>
      </c>
      <c r="FO755" s="607"/>
      <c r="FP755" s="607"/>
      <c r="FQ755" s="607"/>
      <c r="FR755" s="269">
        <f>'Detailed Budget'!$AC$257</f>
        <v>13636439388</v>
      </c>
      <c r="FS755" s="269">
        <f t="shared" si="2021"/>
        <v>22984728</v>
      </c>
      <c r="FT755" s="269">
        <f t="shared" si="1866"/>
        <v>22984728</v>
      </c>
      <c r="FU755" s="269"/>
      <c r="FV755" s="269"/>
      <c r="FW755" s="269"/>
      <c r="FX755" s="140">
        <f>'Detailed Budget'!$AC$278</f>
        <v>1114560000</v>
      </c>
      <c r="FY755" s="269">
        <f t="shared" si="2022"/>
        <v>1440000</v>
      </c>
      <c r="FZ755" s="269">
        <f t="shared" si="1867"/>
        <v>1440000</v>
      </c>
      <c r="GB755" s="269">
        <f t="shared" si="1899"/>
        <v>1582194033.3012249</v>
      </c>
      <c r="GC755" s="887">
        <f t="shared" si="1985"/>
        <v>988871.27081326558</v>
      </c>
      <c r="GD755" s="1078">
        <f t="shared" si="1900"/>
        <v>8.8781889395613109E-4</v>
      </c>
    </row>
    <row r="756" spans="1:186" hidden="1" outlineLevel="1">
      <c r="A756" s="211" t="s">
        <v>1594</v>
      </c>
      <c r="B756" s="212" t="s">
        <v>1595</v>
      </c>
      <c r="C756" s="213" t="s">
        <v>215</v>
      </c>
      <c r="D756" s="214"/>
      <c r="E756" s="213"/>
      <c r="F756" s="213"/>
      <c r="G756" s="213" t="s">
        <v>215</v>
      </c>
      <c r="H756" s="213" t="s">
        <v>215</v>
      </c>
      <c r="I756" s="214" t="s">
        <v>215</v>
      </c>
      <c r="J756" s="214"/>
      <c r="K756" s="213"/>
      <c r="L756" s="213"/>
      <c r="M756" s="214"/>
      <c r="N756" s="213"/>
      <c r="O756" s="214" t="s">
        <v>215</v>
      </c>
      <c r="P756" s="213"/>
      <c r="Q756" s="214" t="s">
        <v>215</v>
      </c>
      <c r="R756" s="214"/>
      <c r="S756" s="214"/>
      <c r="T756" s="214"/>
      <c r="U756" s="215">
        <f t="shared" si="1905"/>
        <v>6</v>
      </c>
      <c r="V756" s="845" t="s">
        <v>1073</v>
      </c>
      <c r="W756" s="216">
        <v>250295</v>
      </c>
      <c r="X756" s="217">
        <v>3.31</v>
      </c>
      <c r="Y756" s="218">
        <f t="shared" si="1965"/>
        <v>1.0330999999999999</v>
      </c>
      <c r="Z756" s="196">
        <v>19</v>
      </c>
      <c r="AA756" s="218">
        <f t="shared" si="1966"/>
        <v>1.8565423880120511</v>
      </c>
      <c r="AB756" s="196">
        <f t="shared" si="1996"/>
        <v>464683.27700747631</v>
      </c>
      <c r="AC756">
        <v>14.1</v>
      </c>
      <c r="AD756" s="196">
        <f t="shared" si="1997"/>
        <v>65520.342058054164</v>
      </c>
      <c r="AE756" s="196">
        <f t="shared" si="1967"/>
        <v>62244.324955151453</v>
      </c>
      <c r="AF756" s="196">
        <f t="shared" si="2023"/>
        <v>0</v>
      </c>
      <c r="AG756" s="606">
        <f t="shared" si="1988"/>
        <v>2.8779043282195415E-3</v>
      </c>
      <c r="AH756" s="196">
        <f t="shared" ref="AH756:AH771" si="2039">AB756*0.05</f>
        <v>23234.163850373818</v>
      </c>
      <c r="AI756" s="248">
        <f t="shared" si="1964"/>
        <v>1.7999154702917129E-3</v>
      </c>
      <c r="AJ756" s="196">
        <f t="shared" si="1968"/>
        <v>88754.505908427978</v>
      </c>
      <c r="AK756" s="196">
        <f t="shared" si="1998"/>
        <v>18587.331080299053</v>
      </c>
      <c r="AL756" s="196">
        <f t="shared" si="1999"/>
        <v>18587.331080299053</v>
      </c>
      <c r="AM756" s="196">
        <f t="shared" si="1969"/>
        <v>37174.662160598105</v>
      </c>
      <c r="AN756" s="627">
        <f t="shared" si="1970"/>
        <v>1.7999154702917127E-3</v>
      </c>
      <c r="AO756" s="196">
        <f t="shared" si="1971"/>
        <v>17657.9645262841</v>
      </c>
      <c r="AP756" s="589">
        <f t="shared" si="1989"/>
        <v>1.7999154702917127E-3</v>
      </c>
      <c r="AQ756" s="196"/>
      <c r="AR756" s="589"/>
      <c r="AS756">
        <v>1</v>
      </c>
      <c r="AT756" s="589">
        <f t="shared" si="1990"/>
        <v>1.2919896640826874E-3</v>
      </c>
      <c r="AU756" s="196">
        <v>15</v>
      </c>
      <c r="AV756" s="245">
        <f t="shared" si="1972"/>
        <v>1.7043517782070218E-3</v>
      </c>
      <c r="AX756" s="245"/>
      <c r="AY756" s="245"/>
      <c r="AZ756" s="196">
        <v>29</v>
      </c>
      <c r="BA756" s="589">
        <f t="shared" si="1871"/>
        <v>1.0626213770107361E-3</v>
      </c>
      <c r="BI756" s="196">
        <v>0</v>
      </c>
      <c r="BK756" s="246">
        <f t="shared" si="1872"/>
        <v>0</v>
      </c>
      <c r="BL756" s="246"/>
      <c r="BM756" s="246">
        <f t="shared" si="1873"/>
        <v>0</v>
      </c>
      <c r="BN756" s="196">
        <v>1</v>
      </c>
      <c r="BO756" s="196">
        <f t="shared" si="2024"/>
        <v>25505.31112658999</v>
      </c>
      <c r="BP756" s="196">
        <f t="shared" si="1973"/>
        <v>25505.31112658999</v>
      </c>
      <c r="BQ756" s="248">
        <f t="shared" si="1874"/>
        <v>2.3859030840861308E-3</v>
      </c>
      <c r="BR756" s="248"/>
      <c r="BS756" s="248"/>
      <c r="BT756" s="276">
        <v>0</v>
      </c>
      <c r="BU756" s="196">
        <f t="shared" si="2025"/>
        <v>0</v>
      </c>
      <c r="BV756" s="264">
        <f t="shared" si="1875"/>
        <v>0</v>
      </c>
      <c r="BW756" s="196">
        <f t="shared" si="2026"/>
        <v>0</v>
      </c>
      <c r="BX756" s="247">
        <f t="shared" si="1876"/>
        <v>0</v>
      </c>
      <c r="BY756" s="196">
        <f t="shared" si="2027"/>
        <v>0</v>
      </c>
      <c r="BZ756" s="620">
        <v>1</v>
      </c>
      <c r="CA756" s="196">
        <f t="shared" si="2028"/>
        <v>142193.08276428774</v>
      </c>
      <c r="CB756" s="196">
        <f t="shared" si="2029"/>
        <v>284386.16552857548</v>
      </c>
      <c r="CC756" s="196">
        <f t="shared" si="1986"/>
        <v>426579.24829286325</v>
      </c>
      <c r="CD756" s="247">
        <f t="shared" si="1974"/>
        <v>1.7999154702917127E-3</v>
      </c>
      <c r="CE756" s="196">
        <f t="shared" si="2030"/>
        <v>40073.007465707291</v>
      </c>
      <c r="CF756" s="247">
        <f t="shared" si="1975"/>
        <v>1.7304770872451382E-3</v>
      </c>
      <c r="CG756" s="196">
        <f t="shared" si="2001"/>
        <v>70631.858105136402</v>
      </c>
      <c r="CH756" s="589">
        <f t="shared" si="1991"/>
        <v>1.7999154702917127E-3</v>
      </c>
      <c r="CI756" s="196">
        <f t="shared" si="2031"/>
        <v>125286.58157704723</v>
      </c>
      <c r="CJ756" s="248">
        <f t="shared" si="1992"/>
        <v>2.0597110831072651E-3</v>
      </c>
      <c r="CK756" s="196">
        <f t="shared" si="2032"/>
        <v>114668.42211523997</v>
      </c>
      <c r="CL756" s="589">
        <f t="shared" si="1993"/>
        <v>1.6483821541947235E-3</v>
      </c>
      <c r="CM756" s="196">
        <f t="shared" si="2033"/>
        <v>11108.52195032204</v>
      </c>
      <c r="CN756" s="589">
        <f t="shared" si="1994"/>
        <v>1.6008642575169266E-3</v>
      </c>
      <c r="CO756" s="196">
        <f t="shared" si="2034"/>
        <v>888.71111505351473</v>
      </c>
      <c r="CP756" s="589">
        <f t="shared" si="1995"/>
        <v>1.6759722762792913E-3</v>
      </c>
      <c r="CQ756" s="196">
        <f>'Detailed Budget'!$AC$12</f>
        <v>292876014141.44696</v>
      </c>
      <c r="CR756" s="269">
        <f t="shared" si="1861"/>
        <v>0</v>
      </c>
      <c r="CS756" s="269">
        <f>'Detailed Budget'!$AC$16</f>
        <v>10488008800.000002</v>
      </c>
      <c r="CT756" s="607">
        <f t="shared" si="2002"/>
        <v>0</v>
      </c>
      <c r="CU756" s="269">
        <f>'Detailed Budget'!$AC$24</f>
        <v>30624985696</v>
      </c>
      <c r="CV756" s="269">
        <f t="shared" si="1868"/>
        <v>0</v>
      </c>
      <c r="CW756" s="269"/>
      <c r="CX756" s="269">
        <f t="shared" si="1987"/>
        <v>0</v>
      </c>
      <c r="CY756" s="196">
        <f>'Detailed Budget'!$AC$97</f>
        <v>74629165494.837845</v>
      </c>
      <c r="CZ756" s="269">
        <f t="shared" si="2003"/>
        <v>178057956.11690786</v>
      </c>
      <c r="DA756" s="269">
        <f>'Detailed Budget'!$AC$100</f>
        <v>14925833098.967569</v>
      </c>
      <c r="DB756" s="269">
        <f t="shared" si="2004"/>
        <v>35611591.223381579</v>
      </c>
      <c r="DC756" s="269">
        <f t="shared" si="1976"/>
        <v>213669547.34028944</v>
      </c>
      <c r="DD756" s="207">
        <v>0</v>
      </c>
      <c r="DE756" s="606">
        <v>0</v>
      </c>
      <c r="DF756" s="269">
        <f>'Detailed Budget'!$AC$147</f>
        <v>5913600671000</v>
      </c>
      <c r="DG756" s="269">
        <f t="shared" si="1863"/>
        <v>0</v>
      </c>
      <c r="DH756" s="269">
        <f>'Detailed Budget'!$AC$153</f>
        <v>226428026880.00003</v>
      </c>
      <c r="DI756" s="269"/>
      <c r="DJ756" s="269">
        <f>'Detailed Budget'!$AC$156</f>
        <v>27713070000</v>
      </c>
      <c r="DK756" s="269"/>
      <c r="DL756" s="269"/>
      <c r="DM756" s="196">
        <f>'Detailed Budget'!$AC$178</f>
        <v>5622683761.6229038</v>
      </c>
      <c r="DN756" s="269">
        <f t="shared" si="2035"/>
        <v>0</v>
      </c>
      <c r="DO756" s="196">
        <f>'Detailed Budget'!$AC$179</f>
        <v>26827890683.128094</v>
      </c>
      <c r="DP756" s="269">
        <f t="shared" si="2036"/>
        <v>0</v>
      </c>
      <c r="DQ756" s="269">
        <f t="shared" si="1862"/>
        <v>0</v>
      </c>
      <c r="DR756" s="269">
        <f>'Detailed Budget'!$AC$181</f>
        <v>50888946855.375237</v>
      </c>
      <c r="DS756" s="269">
        <f t="shared" si="2037"/>
        <v>0</v>
      </c>
      <c r="DT756" s="269">
        <f t="shared" si="2038"/>
        <v>0</v>
      </c>
      <c r="DU756" s="272">
        <f>'Detailed Budget'!$AC$192</f>
        <v>77498869683.252869</v>
      </c>
      <c r="DV756" s="269">
        <f t="shared" si="2005"/>
        <v>139491414.47300825</v>
      </c>
      <c r="DW756" s="140">
        <f>'Detailed Budget'!$AC$194</f>
        <v>2684962805.4134097</v>
      </c>
      <c r="DX756" s="269">
        <f t="shared" si="2006"/>
        <v>4832706.0906214332</v>
      </c>
      <c r="DY756" s="607">
        <f t="shared" si="1977"/>
        <v>144324120.56362969</v>
      </c>
      <c r="DZ756" s="196">
        <f>'Detailed Budget'!$AC$198</f>
        <v>18732540018.380611</v>
      </c>
      <c r="EA756" s="269">
        <f t="shared" si="2007"/>
        <v>32416231.287710268</v>
      </c>
      <c r="EB756" s="196">
        <f>'Detailed Budget'!$AC$200</f>
        <v>4683135004.5951529</v>
      </c>
      <c r="EC756" s="269">
        <f t="shared" si="2008"/>
        <v>8104057.821927567</v>
      </c>
      <c r="ED756" s="269">
        <f t="shared" si="1978"/>
        <v>40520289.109637834</v>
      </c>
      <c r="EE756" s="196">
        <f>'Detailed Budget'!$AC$161</f>
        <v>251147290106.36197</v>
      </c>
      <c r="EF756" s="269">
        <f t="shared" si="2009"/>
        <v>452043892.78428173</v>
      </c>
      <c r="EG756" s="196">
        <f>'Detailed Budget'!$AC$163</f>
        <v>15696705631.647623</v>
      </c>
      <c r="EH756" s="269">
        <f t="shared" si="2010"/>
        <v>28252743.299017608</v>
      </c>
      <c r="EI756" s="269">
        <f t="shared" si="1979"/>
        <v>480296636.08329934</v>
      </c>
      <c r="EJ756" s="196">
        <f>'Detailed Budget'!$AC$204</f>
        <v>45012172507.531975</v>
      </c>
      <c r="EK756" s="269">
        <f t="shared" si="2011"/>
        <v>92712070.58849974</v>
      </c>
      <c r="EL756" s="201">
        <f>'Detailed Budget'!$AC$206</f>
        <v>11253043126.882994</v>
      </c>
      <c r="EM756" s="269">
        <f t="shared" si="2012"/>
        <v>23178017.647124935</v>
      </c>
      <c r="EN756" s="269">
        <f t="shared" si="1980"/>
        <v>115890088.23562467</v>
      </c>
      <c r="EO756" s="140">
        <f>'Detailed Budget'!$AC$209</f>
        <v>135789361677.54817</v>
      </c>
      <c r="EP756" s="269">
        <f t="shared" si="2013"/>
        <v>223832760.51876327</v>
      </c>
      <c r="EQ756" s="196">
        <f>'Detailed Budget'!$AC$211</f>
        <v>33947340419.387043</v>
      </c>
      <c r="ER756" s="269">
        <f t="shared" si="2014"/>
        <v>55958190.129690818</v>
      </c>
      <c r="ES756" s="269">
        <f t="shared" si="1981"/>
        <v>279790950.64845407</v>
      </c>
      <c r="ET756" s="196">
        <f>'Detailed Budget'!$AC$214</f>
        <v>22239745544.201103</v>
      </c>
      <c r="EU756" s="269">
        <f t="shared" si="2015"/>
        <v>35602813.737982877</v>
      </c>
      <c r="EV756" s="140">
        <f>'Detailed Budget'!$AC$217</f>
        <v>5559936386.0502758</v>
      </c>
      <c r="EW756" s="269">
        <f t="shared" si="2016"/>
        <v>8900703.4344957191</v>
      </c>
      <c r="EX756" s="269">
        <f t="shared" si="1982"/>
        <v>44503517.172478594</v>
      </c>
      <c r="EY756" s="196">
        <f>'Detailed Budget'!$AC$219</f>
        <v>372777004.58170313</v>
      </c>
      <c r="EZ756" s="269">
        <f t="shared" si="2017"/>
        <v>624763.92491337284</v>
      </c>
      <c r="FA756" s="196">
        <f>'Detailed Budget'!$AC$222</f>
        <v>93194251.145425782</v>
      </c>
      <c r="FB756" s="269">
        <f t="shared" si="2018"/>
        <v>156190.98122834321</v>
      </c>
      <c r="FC756" s="269">
        <f t="shared" si="1983"/>
        <v>780954.90614171606</v>
      </c>
      <c r="FD756" s="269"/>
      <c r="FE756" s="269">
        <f t="shared" si="1984"/>
        <v>440965510.96269906</v>
      </c>
      <c r="FF756" s="140">
        <f>'Detailed Budget'!$AC$165</f>
        <v>14927760000</v>
      </c>
      <c r="FG756" s="1087">
        <f t="shared" si="1864"/>
        <v>601506146.15952086</v>
      </c>
      <c r="FH756" s="269">
        <f t="shared" si="2019"/>
        <v>25442154.300647654</v>
      </c>
      <c r="FJ756" s="140">
        <f>'Detailed Budget'!$AC$235</f>
        <v>3623696172</v>
      </c>
      <c r="FK756" s="269">
        <f t="shared" si="2020"/>
        <v>4681778</v>
      </c>
      <c r="FL756" s="269">
        <f t="shared" si="1865"/>
        <v>4681778</v>
      </c>
      <c r="FO756" s="607"/>
      <c r="FP756" s="607"/>
      <c r="FQ756" s="607"/>
      <c r="FR756" s="269">
        <f>'Detailed Budget'!$AC$257</f>
        <v>13636439388</v>
      </c>
      <c r="FS756" s="269">
        <f t="shared" si="2021"/>
        <v>14490372</v>
      </c>
      <c r="FT756" s="269">
        <f t="shared" si="1866"/>
        <v>14490372</v>
      </c>
      <c r="FU756" s="269"/>
      <c r="FV756" s="269"/>
      <c r="FW756" s="269"/>
      <c r="FX756" s="140">
        <f>'Detailed Budget'!$AC$278</f>
        <v>1114560000</v>
      </c>
      <c r="FY756" s="269">
        <f t="shared" si="2022"/>
        <v>1440000</v>
      </c>
      <c r="FZ756" s="269">
        <f t="shared" si="1867"/>
        <v>1440000</v>
      </c>
      <c r="GB756" s="269">
        <f t="shared" si="1899"/>
        <v>1967336554.5197241</v>
      </c>
      <c r="GC756" s="887">
        <f t="shared" si="1985"/>
        <v>1229585.3465748276</v>
      </c>
      <c r="GD756" s="1078">
        <f t="shared" si="1900"/>
        <v>1.103934490404335E-3</v>
      </c>
    </row>
    <row r="757" spans="1:186" hidden="1" outlineLevel="1">
      <c r="A757" s="211" t="s">
        <v>1596</v>
      </c>
      <c r="B757" s="212" t="s">
        <v>1597</v>
      </c>
      <c r="C757" s="213" t="s">
        <v>215</v>
      </c>
      <c r="D757" s="214"/>
      <c r="E757" s="213"/>
      <c r="F757" s="213"/>
      <c r="G757" s="213" t="s">
        <v>215</v>
      </c>
      <c r="H757" s="213" t="s">
        <v>215</v>
      </c>
      <c r="I757" s="214" t="s">
        <v>215</v>
      </c>
      <c r="J757" s="214"/>
      <c r="K757" s="213"/>
      <c r="L757" s="213"/>
      <c r="M757" s="214"/>
      <c r="N757" s="213" t="s">
        <v>215</v>
      </c>
      <c r="O757" s="214"/>
      <c r="P757" s="213"/>
      <c r="Q757" s="214"/>
      <c r="R757" s="214" t="s">
        <v>215</v>
      </c>
      <c r="S757" s="214"/>
      <c r="T757" s="214"/>
      <c r="U757" s="215">
        <f t="shared" si="1905"/>
        <v>6</v>
      </c>
      <c r="V757" s="845" t="s">
        <v>216</v>
      </c>
      <c r="W757" s="216">
        <v>527242</v>
      </c>
      <c r="X757" s="217">
        <v>3.31</v>
      </c>
      <c r="Y757" s="218">
        <f t="shared" si="1965"/>
        <v>1.0330999999999999</v>
      </c>
      <c r="Z757" s="196">
        <v>19</v>
      </c>
      <c r="AA757" s="218">
        <f t="shared" si="1966"/>
        <v>1.8565423880120511</v>
      </c>
      <c r="AB757" s="196">
        <f t="shared" si="1996"/>
        <v>978847.1217402498</v>
      </c>
      <c r="AC757">
        <v>14.1</v>
      </c>
      <c r="AD757" s="196">
        <f t="shared" si="1997"/>
        <v>138017.4441653752</v>
      </c>
      <c r="AE757" s="196">
        <f t="shared" si="1967"/>
        <v>131116.57195710644</v>
      </c>
      <c r="AF757" s="196">
        <f t="shared" si="2023"/>
        <v>0</v>
      </c>
      <c r="AG757" s="606">
        <f t="shared" si="1988"/>
        <v>6.0622546747602923E-3</v>
      </c>
      <c r="AH757" s="196">
        <f t="shared" si="2039"/>
        <v>48942.356087012493</v>
      </c>
      <c r="AI757" s="248">
        <f t="shared" si="1964"/>
        <v>3.7914901711482178E-3</v>
      </c>
      <c r="AJ757" s="196">
        <f t="shared" si="1968"/>
        <v>186959.80025238771</v>
      </c>
      <c r="AK757" s="196">
        <f t="shared" si="1998"/>
        <v>39153.884869609996</v>
      </c>
      <c r="AL757" s="196">
        <f t="shared" si="1999"/>
        <v>39153.884869609996</v>
      </c>
      <c r="AM757" s="196">
        <f t="shared" si="1969"/>
        <v>78307.769739219992</v>
      </c>
      <c r="AN757" s="627">
        <f t="shared" si="1970"/>
        <v>3.7914901711482182E-3</v>
      </c>
      <c r="AO757" s="196">
        <f t="shared" si="1971"/>
        <v>37196.190626129493</v>
      </c>
      <c r="AP757" s="589">
        <f t="shared" si="1989"/>
        <v>3.7914901711482178E-3</v>
      </c>
      <c r="AQ757" s="196"/>
      <c r="AR757" s="589"/>
      <c r="AS757">
        <v>1</v>
      </c>
      <c r="AT757" s="589">
        <f t="shared" si="1990"/>
        <v>1.2919896640826874E-3</v>
      </c>
      <c r="AU757" s="196">
        <v>16</v>
      </c>
      <c r="AV757" s="245">
        <f t="shared" si="1972"/>
        <v>1.81797523008749E-3</v>
      </c>
      <c r="AX757" s="245"/>
      <c r="AY757" s="245"/>
      <c r="AZ757" s="196">
        <v>48</v>
      </c>
      <c r="BA757" s="589">
        <f t="shared" si="1871"/>
        <v>1.7588215895350116E-3</v>
      </c>
      <c r="BI757" s="196">
        <v>0</v>
      </c>
      <c r="BK757" s="246">
        <f t="shared" si="1872"/>
        <v>0</v>
      </c>
      <c r="BL757" s="246"/>
      <c r="BM757" s="246">
        <f t="shared" si="1873"/>
        <v>0</v>
      </c>
      <c r="BN757" s="196">
        <v>1</v>
      </c>
      <c r="BO757" s="196">
        <f t="shared" si="2024"/>
        <v>53726.487740488454</v>
      </c>
      <c r="BP757" s="196">
        <f t="shared" si="1973"/>
        <v>53726.487740488454</v>
      </c>
      <c r="BQ757" s="248">
        <f t="shared" si="1874"/>
        <v>5.0258627374088162E-3</v>
      </c>
      <c r="BR757" s="248"/>
      <c r="BS757" s="248"/>
      <c r="BT757" s="276">
        <v>0</v>
      </c>
      <c r="BU757" s="196">
        <f t="shared" si="2025"/>
        <v>0</v>
      </c>
      <c r="BV757" s="264">
        <f t="shared" si="1875"/>
        <v>0</v>
      </c>
      <c r="BW757" s="196">
        <f t="shared" si="2026"/>
        <v>0</v>
      </c>
      <c r="BX757" s="247">
        <f t="shared" si="1876"/>
        <v>0</v>
      </c>
      <c r="BY757" s="196">
        <f t="shared" si="2027"/>
        <v>0</v>
      </c>
      <c r="BZ757" s="620">
        <v>1</v>
      </c>
      <c r="CA757" s="196">
        <f t="shared" si="2028"/>
        <v>299527.21925251652</v>
      </c>
      <c r="CB757" s="196">
        <f t="shared" si="2029"/>
        <v>599054.43850503303</v>
      </c>
      <c r="CC757" s="196">
        <f t="shared" si="1986"/>
        <v>898581.65775754955</v>
      </c>
      <c r="CD757" s="247">
        <f t="shared" si="1974"/>
        <v>3.7914901711482187E-3</v>
      </c>
      <c r="CE757" s="196">
        <f t="shared" si="2030"/>
        <v>84413.082971031952</v>
      </c>
      <c r="CF757" s="247">
        <f t="shared" si="1975"/>
        <v>3.6452194427907115E-3</v>
      </c>
      <c r="CG757" s="196">
        <f t="shared" si="2001"/>
        <v>148784.76250451797</v>
      </c>
      <c r="CH757" s="589">
        <f t="shared" si="1991"/>
        <v>3.7914901711482178E-3</v>
      </c>
      <c r="CI757" s="196">
        <f t="shared" si="2031"/>
        <v>263913.97288737498</v>
      </c>
      <c r="CJ757" s="248">
        <f t="shared" si="1992"/>
        <v>4.3387450443662101E-3</v>
      </c>
      <c r="CK757" s="196">
        <f t="shared" si="2032"/>
        <v>241547.00738282161</v>
      </c>
      <c r="CL757" s="589">
        <f t="shared" si="1993"/>
        <v>3.4722879152277678E-3</v>
      </c>
      <c r="CM757" s="196">
        <f t="shared" si="2033"/>
        <v>23399.905432116866</v>
      </c>
      <c r="CN757" s="589">
        <f t="shared" si="1994"/>
        <v>3.372192304527614E-3</v>
      </c>
      <c r="CO757" s="196">
        <f t="shared" si="2034"/>
        <v>1872.0542788431453</v>
      </c>
      <c r="CP757" s="589">
        <f t="shared" si="1995"/>
        <v>3.5304060204560451E-3</v>
      </c>
      <c r="CQ757" s="196">
        <f>'Detailed Budget'!$AC$12</f>
        <v>292876014141.44696</v>
      </c>
      <c r="CR757" s="269">
        <f t="shared" si="1861"/>
        <v>0</v>
      </c>
      <c r="CS757" s="269">
        <f>'Detailed Budget'!$AC$16</f>
        <v>10488008800.000002</v>
      </c>
      <c r="CT757" s="607">
        <f t="shared" si="2002"/>
        <v>0</v>
      </c>
      <c r="CU757" s="269">
        <f>'Detailed Budget'!$AC$24</f>
        <v>30624985696</v>
      </c>
      <c r="CV757" s="269">
        <f t="shared" si="1868"/>
        <v>0</v>
      </c>
      <c r="CW757" s="269"/>
      <c r="CX757" s="269">
        <f t="shared" si="1987"/>
        <v>0</v>
      </c>
      <c r="CY757" s="196">
        <f>'Detailed Budget'!$AC$97</f>
        <v>74629165494.837845</v>
      </c>
      <c r="CZ757" s="269">
        <f t="shared" si="2003"/>
        <v>375075941.98442131</v>
      </c>
      <c r="DA757" s="269">
        <f>'Detailed Budget'!$AC$100</f>
        <v>14925833098.967569</v>
      </c>
      <c r="DB757" s="269">
        <f t="shared" si="2004"/>
        <v>75015188.396884263</v>
      </c>
      <c r="DC757" s="269">
        <f t="shared" si="1976"/>
        <v>450091130.38130558</v>
      </c>
      <c r="DD757" s="207">
        <v>0</v>
      </c>
      <c r="DE757" s="606">
        <v>0</v>
      </c>
      <c r="DF757" s="269">
        <f>'Detailed Budget'!$AC$147</f>
        <v>5913600671000</v>
      </c>
      <c r="DG757" s="269">
        <f t="shared" si="1863"/>
        <v>0</v>
      </c>
      <c r="DH757" s="269">
        <f>'Detailed Budget'!$AC$153</f>
        <v>226428026880.00003</v>
      </c>
      <c r="DI757" s="269"/>
      <c r="DJ757" s="269">
        <f>'Detailed Budget'!$AC$156</f>
        <v>27713070000</v>
      </c>
      <c r="DK757" s="269"/>
      <c r="DL757" s="269"/>
      <c r="DM757" s="196">
        <f>'Detailed Budget'!$AC$178</f>
        <v>5622683761.6229038</v>
      </c>
      <c r="DN757" s="269">
        <f t="shared" si="2035"/>
        <v>0</v>
      </c>
      <c r="DO757" s="196">
        <f>'Detailed Budget'!$AC$179</f>
        <v>26827890683.128094</v>
      </c>
      <c r="DP757" s="269">
        <f t="shared" si="2036"/>
        <v>0</v>
      </c>
      <c r="DQ757" s="269">
        <f t="shared" si="1862"/>
        <v>0</v>
      </c>
      <c r="DR757" s="269">
        <f>'Detailed Budget'!$AC$181</f>
        <v>50888946855.375237</v>
      </c>
      <c r="DS757" s="269">
        <f t="shared" si="2037"/>
        <v>0</v>
      </c>
      <c r="DT757" s="269">
        <f t="shared" si="2038"/>
        <v>0</v>
      </c>
      <c r="DU757" s="272">
        <f>'Detailed Budget'!$AC$192</f>
        <v>77498869683.252869</v>
      </c>
      <c r="DV757" s="269">
        <f t="shared" si="2005"/>
        <v>293836202.67914993</v>
      </c>
      <c r="DW757" s="140">
        <f>'Detailed Budget'!$AC$194</f>
        <v>2684962805.4134097</v>
      </c>
      <c r="DX757" s="269">
        <f t="shared" si="2006"/>
        <v>10180010.086623488</v>
      </c>
      <c r="DY757" s="607">
        <f t="shared" si="1977"/>
        <v>304016212.76577342</v>
      </c>
      <c r="DZ757" s="196">
        <f>'Detailed Budget'!$AC$198</f>
        <v>18732540018.380611</v>
      </c>
      <c r="EA757" s="269">
        <f t="shared" si="2007"/>
        <v>68284219.087856084</v>
      </c>
      <c r="EB757" s="196">
        <f>'Detailed Budget'!$AC$200</f>
        <v>4683135004.5951529</v>
      </c>
      <c r="EC757" s="269">
        <f t="shared" si="2008"/>
        <v>17071054.771964021</v>
      </c>
      <c r="ED757" s="269">
        <f t="shared" si="1978"/>
        <v>85355273.859820098</v>
      </c>
      <c r="EE757" s="196">
        <f>'Detailed Budget'!$AC$161</f>
        <v>251147290106.36197</v>
      </c>
      <c r="EF757" s="269">
        <f t="shared" si="2009"/>
        <v>952222481.94878149</v>
      </c>
      <c r="EG757" s="196">
        <f>'Detailed Budget'!$AC$163</f>
        <v>15696705631.647623</v>
      </c>
      <c r="EH757" s="269">
        <f t="shared" si="2010"/>
        <v>59513905.121798843</v>
      </c>
      <c r="EI757" s="269">
        <f t="shared" si="1979"/>
        <v>1011736387.0705804</v>
      </c>
      <c r="EJ757" s="196">
        <f>'Detailed Budget'!$AC$204</f>
        <v>45012172507.531975</v>
      </c>
      <c r="EK757" s="269">
        <f t="shared" si="2011"/>
        <v>195296340.40321133</v>
      </c>
      <c r="EL757" s="201">
        <f>'Detailed Budget'!$AC$206</f>
        <v>11253043126.882994</v>
      </c>
      <c r="EM757" s="269">
        <f t="shared" si="2012"/>
        <v>48824085.100802831</v>
      </c>
      <c r="EN757" s="269">
        <f t="shared" si="1980"/>
        <v>244120425.50401416</v>
      </c>
      <c r="EO757" s="140">
        <f>'Detailed Budget'!$AC$209</f>
        <v>135789361677.54817</v>
      </c>
      <c r="EP757" s="269">
        <f t="shared" si="2013"/>
        <v>471499759.56944311</v>
      </c>
      <c r="EQ757" s="196">
        <f>'Detailed Budget'!$AC$211</f>
        <v>33947340419.387043</v>
      </c>
      <c r="ER757" s="269">
        <f t="shared" si="2014"/>
        <v>117874939.89236078</v>
      </c>
      <c r="ES757" s="269">
        <f t="shared" si="1981"/>
        <v>589374699.46180391</v>
      </c>
      <c r="ET757" s="196">
        <f>'Detailed Budget'!$AC$214</f>
        <v>22239745544.201103</v>
      </c>
      <c r="EU757" s="269">
        <f t="shared" si="2015"/>
        <v>74996698.778807253</v>
      </c>
      <c r="EV757" s="140">
        <f>'Detailed Budget'!$AC$217</f>
        <v>5559936386.0502758</v>
      </c>
      <c r="EW757" s="269">
        <f t="shared" si="2016"/>
        <v>18749174.694701813</v>
      </c>
      <c r="EX757" s="269">
        <f t="shared" si="1982"/>
        <v>93745873.473509073</v>
      </c>
      <c r="EY757" s="196">
        <f>'Detailed Budget'!$AC$219</f>
        <v>372777004.58170313</v>
      </c>
      <c r="EZ757" s="269">
        <f t="shared" si="2017"/>
        <v>1316054.1812628154</v>
      </c>
      <c r="FA757" s="196">
        <f>'Detailed Budget'!$AC$222</f>
        <v>93194251.145425782</v>
      </c>
      <c r="FB757" s="269">
        <f t="shared" si="2018"/>
        <v>329013.54531570384</v>
      </c>
      <c r="FC757" s="269">
        <f t="shared" si="1983"/>
        <v>1645067.7265785192</v>
      </c>
      <c r="FD757" s="269"/>
      <c r="FE757" s="269">
        <f t="shared" si="1984"/>
        <v>928886066.16590559</v>
      </c>
      <c r="FF757" s="140">
        <f>'Detailed Budget'!$AC$165</f>
        <v>14927760000</v>
      </c>
      <c r="FG757" s="1087">
        <f t="shared" si="1864"/>
        <v>1267062080.7984102</v>
      </c>
      <c r="FH757" s="269">
        <f t="shared" si="2019"/>
        <v>27138297.920690831</v>
      </c>
      <c r="FJ757" s="140">
        <f>'Detailed Budget'!$AC$235</f>
        <v>3623696172</v>
      </c>
      <c r="FK757" s="269">
        <f t="shared" si="2020"/>
        <v>4681778</v>
      </c>
      <c r="FL757" s="269">
        <f t="shared" si="1865"/>
        <v>4681778</v>
      </c>
      <c r="FO757" s="607"/>
      <c r="FP757" s="607"/>
      <c r="FQ757" s="607"/>
      <c r="FR757" s="269">
        <f>'Detailed Budget'!$AC$257</f>
        <v>13636439388</v>
      </c>
      <c r="FS757" s="269">
        <f t="shared" si="2021"/>
        <v>23984064</v>
      </c>
      <c r="FT757" s="269">
        <f t="shared" si="1866"/>
        <v>23984064</v>
      </c>
      <c r="FU757" s="269"/>
      <c r="FV757" s="269"/>
      <c r="FW757" s="269"/>
      <c r="FX757" s="140">
        <f>'Detailed Budget'!$AC$278</f>
        <v>1114560000</v>
      </c>
      <c r="FY757" s="269">
        <f t="shared" si="2022"/>
        <v>1440000</v>
      </c>
      <c r="FZ757" s="269">
        <f t="shared" si="1867"/>
        <v>1440000</v>
      </c>
      <c r="GB757" s="269">
        <f t="shared" si="1899"/>
        <v>4104391290.9624858</v>
      </c>
      <c r="GC757" s="887">
        <f t="shared" si="1985"/>
        <v>2565244.5568515537</v>
      </c>
      <c r="GD757" s="1078">
        <f t="shared" si="1900"/>
        <v>2.3031031969589907E-3</v>
      </c>
    </row>
    <row r="758" spans="1:186" hidden="1" outlineLevel="1">
      <c r="A758" s="211" t="s">
        <v>1598</v>
      </c>
      <c r="B758" s="212" t="s">
        <v>1601</v>
      </c>
      <c r="C758" s="213" t="s">
        <v>215</v>
      </c>
      <c r="D758" s="214"/>
      <c r="E758" s="213"/>
      <c r="F758" s="213"/>
      <c r="G758" s="213" t="s">
        <v>215</v>
      </c>
      <c r="H758" s="213" t="s">
        <v>215</v>
      </c>
      <c r="I758" s="214" t="s">
        <v>215</v>
      </c>
      <c r="J758" s="214"/>
      <c r="K758" s="213"/>
      <c r="L758" s="213"/>
      <c r="M758" s="214"/>
      <c r="N758" s="213" t="s">
        <v>215</v>
      </c>
      <c r="O758" s="214"/>
      <c r="P758" s="213"/>
      <c r="Q758" s="214"/>
      <c r="R758" s="214" t="s">
        <v>215</v>
      </c>
      <c r="S758" s="214"/>
      <c r="T758" s="214"/>
      <c r="U758" s="215">
        <f t="shared" si="1905"/>
        <v>6</v>
      </c>
      <c r="V758" s="845" t="s">
        <v>216</v>
      </c>
      <c r="W758" s="216">
        <v>55093</v>
      </c>
      <c r="X758" s="217">
        <v>3.31</v>
      </c>
      <c r="Y758" s="218">
        <f t="shared" si="1965"/>
        <v>1.0330999999999999</v>
      </c>
      <c r="Z758" s="196">
        <v>19</v>
      </c>
      <c r="AA758" s="218">
        <f t="shared" si="1966"/>
        <v>1.8565423880120511</v>
      </c>
      <c r="AB758" s="196">
        <f t="shared" si="1996"/>
        <v>102282.48978274793</v>
      </c>
      <c r="AC758">
        <v>14.1</v>
      </c>
      <c r="AD758" s="196">
        <f t="shared" si="1997"/>
        <v>14421.831059367456</v>
      </c>
      <c r="AE758" s="196">
        <f t="shared" si="1967"/>
        <v>13700.739506399083</v>
      </c>
      <c r="AF758" s="196">
        <f t="shared" si="2023"/>
        <v>0</v>
      </c>
      <c r="AG758" s="606">
        <f t="shared" si="1988"/>
        <v>6.3346204740246184E-4</v>
      </c>
      <c r="AH758" s="196">
        <f t="shared" si="2039"/>
        <v>5114.1244891373972</v>
      </c>
      <c r="AI758" s="248">
        <f t="shared" si="1964"/>
        <v>3.9618347551801411E-4</v>
      </c>
      <c r="AJ758" s="196">
        <f t="shared" si="1968"/>
        <v>19535.955548504855</v>
      </c>
      <c r="AK758" s="196">
        <f t="shared" si="1998"/>
        <v>4091.2995913099171</v>
      </c>
      <c r="AL758" s="196">
        <f t="shared" si="1999"/>
        <v>4091.2995913099171</v>
      </c>
      <c r="AM758" s="196">
        <f t="shared" si="1969"/>
        <v>8182.5991826198342</v>
      </c>
      <c r="AN758" s="627">
        <f t="shared" si="1970"/>
        <v>3.9618347551801406E-4</v>
      </c>
      <c r="AO758" s="196">
        <f t="shared" si="1971"/>
        <v>3886.7346117444213</v>
      </c>
      <c r="AP758" s="589">
        <f t="shared" si="1989"/>
        <v>3.9618347551801406E-4</v>
      </c>
      <c r="AQ758" s="196"/>
      <c r="AR758" s="589"/>
      <c r="AS758">
        <v>1</v>
      </c>
      <c r="AT758" s="589">
        <f t="shared" si="1990"/>
        <v>1.2919896640826874E-3</v>
      </c>
      <c r="AU758" s="196">
        <v>10</v>
      </c>
      <c r="AV758" s="245">
        <f t="shared" si="1972"/>
        <v>1.1362345188046814E-3</v>
      </c>
      <c r="AX758" s="245"/>
      <c r="AY758" s="245"/>
      <c r="AZ758" s="196">
        <v>25</v>
      </c>
      <c r="BA758" s="589">
        <f t="shared" si="1871"/>
        <v>9.1605291121615189E-4</v>
      </c>
      <c r="BI758" s="196">
        <v>0</v>
      </c>
      <c r="BK758" s="246">
        <f t="shared" si="1872"/>
        <v>0</v>
      </c>
      <c r="BL758" s="246"/>
      <c r="BM758" s="246">
        <f t="shared" si="1873"/>
        <v>0</v>
      </c>
      <c r="BN758" s="196">
        <v>1</v>
      </c>
      <c r="BO758" s="196">
        <f t="shared" si="2024"/>
        <v>5614.0318659870236</v>
      </c>
      <c r="BP758" s="196">
        <f t="shared" si="1973"/>
        <v>5614.0318659870236</v>
      </c>
      <c r="BQ758" s="248">
        <f t="shared" si="1874"/>
        <v>5.2516653793146953E-4</v>
      </c>
      <c r="BR758" s="248"/>
      <c r="BS758" s="248"/>
      <c r="BT758" s="276">
        <v>0</v>
      </c>
      <c r="BU758" s="196">
        <f t="shared" si="2025"/>
        <v>0</v>
      </c>
      <c r="BV758" s="264">
        <f t="shared" si="1875"/>
        <v>0</v>
      </c>
      <c r="BW758" s="196">
        <f t="shared" si="2026"/>
        <v>0</v>
      </c>
      <c r="BX758" s="247">
        <f t="shared" si="1876"/>
        <v>0</v>
      </c>
      <c r="BY758" s="196">
        <f t="shared" si="2027"/>
        <v>0</v>
      </c>
      <c r="BZ758" s="620">
        <v>1</v>
      </c>
      <c r="CA758" s="196">
        <f t="shared" si="2028"/>
        <v>31298.441873520864</v>
      </c>
      <c r="CB758" s="196">
        <f t="shared" si="2029"/>
        <v>62596.883747041727</v>
      </c>
      <c r="CC758" s="196">
        <f t="shared" si="1986"/>
        <v>93895.325620562595</v>
      </c>
      <c r="CD758" s="247">
        <f t="shared" si="1974"/>
        <v>3.9618347551801406E-4</v>
      </c>
      <c r="CE758" s="196">
        <f t="shared" si="2030"/>
        <v>8820.560539795888</v>
      </c>
      <c r="CF758" s="247">
        <f t="shared" si="1975"/>
        <v>3.8089923557241018E-4</v>
      </c>
      <c r="CG758" s="196">
        <f t="shared" si="2001"/>
        <v>15546.938446977685</v>
      </c>
      <c r="CH758" s="589">
        <f t="shared" si="1991"/>
        <v>3.9618347551801406E-4</v>
      </c>
      <c r="CI758" s="196">
        <f t="shared" si="2031"/>
        <v>27577.113561294715</v>
      </c>
      <c r="CJ758" s="248">
        <f t="shared" si="1992"/>
        <v>4.533676769477158E-4</v>
      </c>
      <c r="CK758" s="196">
        <f t="shared" si="2032"/>
        <v>25239.926405221493</v>
      </c>
      <c r="CL758" s="589">
        <f t="shared" si="1993"/>
        <v>3.6282913370642587E-4</v>
      </c>
      <c r="CM758" s="196">
        <f t="shared" si="2033"/>
        <v>2445.1219553290794</v>
      </c>
      <c r="CN758" s="589">
        <f t="shared" si="1994"/>
        <v>3.523698617206896E-4</v>
      </c>
      <c r="CO758" s="196">
        <f t="shared" si="2034"/>
        <v>195.61621870849706</v>
      </c>
      <c r="CP758" s="589">
        <f t="shared" si="1995"/>
        <v>3.6890205803973301E-4</v>
      </c>
      <c r="CQ758" s="196">
        <f>'Detailed Budget'!$AC$12</f>
        <v>292876014141.44696</v>
      </c>
      <c r="CR758" s="269">
        <f t="shared" si="1861"/>
        <v>0</v>
      </c>
      <c r="CS758" s="269">
        <f>'Detailed Budget'!$AC$16</f>
        <v>10488008800.000002</v>
      </c>
      <c r="CT758" s="607">
        <f t="shared" si="2002"/>
        <v>0</v>
      </c>
      <c r="CU758" s="269">
        <f>'Detailed Budget'!$AC$24</f>
        <v>30624985696</v>
      </c>
      <c r="CV758" s="269">
        <f t="shared" si="1868"/>
        <v>0</v>
      </c>
      <c r="CW758" s="269"/>
      <c r="CX758" s="269">
        <f t="shared" si="1987"/>
        <v>0</v>
      </c>
      <c r="CY758" s="196">
        <f>'Detailed Budget'!$AC$97</f>
        <v>74629165494.837845</v>
      </c>
      <c r="CZ758" s="269">
        <f t="shared" si="2003"/>
        <v>39192740.47163868</v>
      </c>
      <c r="DA758" s="269">
        <f>'Detailed Budget'!$AC$100</f>
        <v>14925833098.967569</v>
      </c>
      <c r="DB758" s="269">
        <f t="shared" si="2004"/>
        <v>7838548.0943277357</v>
      </c>
      <c r="DC758" s="269">
        <f t="shared" si="1976"/>
        <v>47031288.565966412</v>
      </c>
      <c r="DD758" s="207">
        <v>0</v>
      </c>
      <c r="DE758" s="606">
        <v>0</v>
      </c>
      <c r="DF758" s="269">
        <f>'Detailed Budget'!$AC$147</f>
        <v>5913600671000</v>
      </c>
      <c r="DG758" s="269">
        <f t="shared" si="1863"/>
        <v>0</v>
      </c>
      <c r="DH758" s="269">
        <f>'Detailed Budget'!$AC$153</f>
        <v>226428026880.00003</v>
      </c>
      <c r="DI758" s="269"/>
      <c r="DJ758" s="269">
        <f>'Detailed Budget'!$AC$156</f>
        <v>27713070000</v>
      </c>
      <c r="DK758" s="269"/>
      <c r="DL758" s="269"/>
      <c r="DM758" s="196">
        <f>'Detailed Budget'!$AC$178</f>
        <v>5622683761.6229038</v>
      </c>
      <c r="DN758" s="269">
        <f t="shared" si="2035"/>
        <v>0</v>
      </c>
      <c r="DO758" s="196">
        <f>'Detailed Budget'!$AC$179</f>
        <v>26827890683.128094</v>
      </c>
      <c r="DP758" s="269">
        <f t="shared" si="2036"/>
        <v>0</v>
      </c>
      <c r="DQ758" s="269">
        <f t="shared" si="1862"/>
        <v>0</v>
      </c>
      <c r="DR758" s="269">
        <f>'Detailed Budget'!$AC$181</f>
        <v>50888946855.375237</v>
      </c>
      <c r="DS758" s="269">
        <f t="shared" si="2037"/>
        <v>0</v>
      </c>
      <c r="DT758" s="269">
        <f t="shared" si="2038"/>
        <v>0</v>
      </c>
      <c r="DU758" s="272">
        <f>'Detailed Budget'!$AC$192</f>
        <v>77498869683.252869</v>
      </c>
      <c r="DV758" s="269">
        <f t="shared" si="2005"/>
        <v>30703771.539828774</v>
      </c>
      <c r="DW758" s="140">
        <f>'Detailed Budget'!$AC$194</f>
        <v>2684962805.4134097</v>
      </c>
      <c r="DX758" s="269">
        <f t="shared" si="2006"/>
        <v>1063737.895885282</v>
      </c>
      <c r="DY758" s="607">
        <f t="shared" si="1977"/>
        <v>31767509.435714055</v>
      </c>
      <c r="DZ758" s="196">
        <f>'Detailed Budget'!$AC$198</f>
        <v>18732540018.380611</v>
      </c>
      <c r="EA758" s="269">
        <f t="shared" si="2007"/>
        <v>7135210.1733307578</v>
      </c>
      <c r="EB758" s="196">
        <f>'Detailed Budget'!$AC$200</f>
        <v>4683135004.5951529</v>
      </c>
      <c r="EC758" s="269">
        <f t="shared" si="2008"/>
        <v>1783802.5433326894</v>
      </c>
      <c r="ED758" s="269">
        <f t="shared" si="1978"/>
        <v>8919012.7166634463</v>
      </c>
      <c r="EE758" s="196">
        <f>'Detailed Budget'!$AC$161</f>
        <v>251147290106.36197</v>
      </c>
      <c r="EF758" s="269">
        <f t="shared" si="2009"/>
        <v>99500406.261269435</v>
      </c>
      <c r="EG758" s="196">
        <f>'Detailed Budget'!$AC$163</f>
        <v>15696705631.647623</v>
      </c>
      <c r="EH758" s="269">
        <f t="shared" si="2010"/>
        <v>6218775.3913293397</v>
      </c>
      <c r="EI758" s="269">
        <f t="shared" si="1979"/>
        <v>105719181.65259877</v>
      </c>
      <c r="EJ758" s="196">
        <f>'Detailed Budget'!$AC$204</f>
        <v>45012172507.531975</v>
      </c>
      <c r="EK758" s="269">
        <f t="shared" si="2011"/>
        <v>20407064.084109612</v>
      </c>
      <c r="EL758" s="201">
        <f>'Detailed Budget'!$AC$206</f>
        <v>11253043126.882994</v>
      </c>
      <c r="EM758" s="269">
        <f t="shared" si="2012"/>
        <v>5101766.021027403</v>
      </c>
      <c r="EN758" s="269">
        <f t="shared" si="1980"/>
        <v>25508830.105137013</v>
      </c>
      <c r="EO758" s="140">
        <f>'Detailed Budget'!$AC$209</f>
        <v>135789361677.54817</v>
      </c>
      <c r="EP758" s="269">
        <f t="shared" si="2013"/>
        <v>49268336.464013346</v>
      </c>
      <c r="EQ758" s="196">
        <f>'Detailed Budget'!$AC$211</f>
        <v>33947340419.387043</v>
      </c>
      <c r="ER758" s="269">
        <f t="shared" si="2014"/>
        <v>12317084.116003336</v>
      </c>
      <c r="ES758" s="269">
        <f t="shared" si="1981"/>
        <v>61585420.58001668</v>
      </c>
      <c r="ET758" s="196">
        <f>'Detailed Budget'!$AC$214</f>
        <v>22239745544.201103</v>
      </c>
      <c r="EU758" s="269">
        <f t="shared" si="2015"/>
        <v>7836616.0621134657</v>
      </c>
      <c r="EV758" s="140">
        <f>'Detailed Budget'!$AC$217</f>
        <v>5559936386.0502758</v>
      </c>
      <c r="EW758" s="269">
        <f t="shared" si="2016"/>
        <v>1959154.0155283664</v>
      </c>
      <c r="EX758" s="269">
        <f t="shared" si="1982"/>
        <v>9795770.0776418317</v>
      </c>
      <c r="EY758" s="196">
        <f>'Detailed Budget'!$AC$219</f>
        <v>372777004.58170313</v>
      </c>
      <c r="EZ758" s="269">
        <f t="shared" si="2017"/>
        <v>137518.20418007727</v>
      </c>
      <c r="FA758" s="196">
        <f>'Detailed Budget'!$AC$222</f>
        <v>93194251.145425782</v>
      </c>
      <c r="FB758" s="269">
        <f t="shared" si="2018"/>
        <v>34379.551045019318</v>
      </c>
      <c r="FC758" s="269">
        <f t="shared" si="1983"/>
        <v>171897.7552250966</v>
      </c>
      <c r="FD758" s="269"/>
      <c r="FE758" s="269">
        <f t="shared" si="1984"/>
        <v>97061918.518020615</v>
      </c>
      <c r="FF758" s="140">
        <f>'Detailed Budget'!$AC$165</f>
        <v>14927760000</v>
      </c>
      <c r="FG758" s="1087">
        <f t="shared" si="1864"/>
        <v>132398881.76098794</v>
      </c>
      <c r="FH758" s="269">
        <f t="shared" si="2019"/>
        <v>16961436.200431772</v>
      </c>
      <c r="FJ758" s="140">
        <f>'Detailed Budget'!$AC$235</f>
        <v>3623696172</v>
      </c>
      <c r="FK758" s="269">
        <f t="shared" si="2020"/>
        <v>4681778</v>
      </c>
      <c r="FL758" s="269">
        <f t="shared" si="1865"/>
        <v>4681778</v>
      </c>
      <c r="FO758" s="607"/>
      <c r="FP758" s="607"/>
      <c r="FQ758" s="607"/>
      <c r="FR758" s="269">
        <f>'Detailed Budget'!$AC$257</f>
        <v>13636439388</v>
      </c>
      <c r="FS758" s="269">
        <f t="shared" si="2021"/>
        <v>12491700</v>
      </c>
      <c r="FT758" s="269">
        <f t="shared" si="1866"/>
        <v>12491700</v>
      </c>
      <c r="FU758" s="269"/>
      <c r="FV758" s="269"/>
      <c r="FW758" s="269"/>
      <c r="FX758" s="140">
        <f>'Detailed Budget'!$AC$278</f>
        <v>1114560000</v>
      </c>
      <c r="FY758" s="269">
        <f t="shared" si="2022"/>
        <v>1440000</v>
      </c>
      <c r="FZ758" s="269">
        <f t="shared" si="1867"/>
        <v>1440000</v>
      </c>
      <c r="GB758" s="269">
        <f t="shared" si="1899"/>
        <v>458472706.85038298</v>
      </c>
      <c r="GC758" s="887">
        <f t="shared" si="1985"/>
        <v>286545.44178148935</v>
      </c>
      <c r="GD758" s="1078">
        <f t="shared" si="1900"/>
        <v>2.5726347270801925E-4</v>
      </c>
    </row>
    <row r="759" spans="1:186" hidden="1" outlineLevel="1">
      <c r="A759" s="211" t="s">
        <v>1599</v>
      </c>
      <c r="B759" s="212" t="s">
        <v>1603</v>
      </c>
      <c r="C759" s="213" t="s">
        <v>215</v>
      </c>
      <c r="D759" s="214"/>
      <c r="E759" s="213"/>
      <c r="F759" s="213"/>
      <c r="G759" s="213" t="s">
        <v>215</v>
      </c>
      <c r="H759" s="213" t="s">
        <v>215</v>
      </c>
      <c r="I759" s="214" t="s">
        <v>215</v>
      </c>
      <c r="J759" s="214"/>
      <c r="K759" s="213"/>
      <c r="L759" s="213"/>
      <c r="M759" s="214"/>
      <c r="N759" s="213"/>
      <c r="O759" s="214" t="s">
        <v>215</v>
      </c>
      <c r="P759" s="213"/>
      <c r="Q759" s="214"/>
      <c r="R759" s="214" t="s">
        <v>215</v>
      </c>
      <c r="S759" s="214"/>
      <c r="T759" s="214"/>
      <c r="U759" s="215">
        <f t="shared" si="1905"/>
        <v>6</v>
      </c>
      <c r="V759" s="845" t="s">
        <v>216</v>
      </c>
      <c r="W759" s="216">
        <v>539170</v>
      </c>
      <c r="X759" s="217">
        <v>3.31</v>
      </c>
      <c r="Y759" s="218">
        <f t="shared" si="1965"/>
        <v>1.0330999999999999</v>
      </c>
      <c r="Z759" s="196">
        <v>19</v>
      </c>
      <c r="AA759" s="218">
        <f t="shared" si="1966"/>
        <v>1.8565423880120511</v>
      </c>
      <c r="AB759" s="196">
        <f t="shared" si="1996"/>
        <v>1000991.9593444576</v>
      </c>
      <c r="AC759">
        <v>14.1</v>
      </c>
      <c r="AD759" s="196">
        <f t="shared" si="1997"/>
        <v>141139.86626756852</v>
      </c>
      <c r="AE759" s="196">
        <f t="shared" si="1967"/>
        <v>134082.8729541901</v>
      </c>
      <c r="AF759" s="196">
        <f t="shared" si="2023"/>
        <v>0</v>
      </c>
      <c r="AG759" s="606">
        <f t="shared" si="1988"/>
        <v>6.1994034105600608E-3</v>
      </c>
      <c r="AH759" s="196">
        <f t="shared" si="2039"/>
        <v>50049.597967222886</v>
      </c>
      <c r="AI759" s="248">
        <f t="shared" si="1964"/>
        <v>3.8772665219728034E-3</v>
      </c>
      <c r="AJ759" s="196">
        <f t="shared" si="1968"/>
        <v>191189.46423479141</v>
      </c>
      <c r="AK759" s="196">
        <f t="shared" si="1998"/>
        <v>40039.678373778304</v>
      </c>
      <c r="AL759" s="196">
        <f t="shared" si="1999"/>
        <v>40039.678373778304</v>
      </c>
      <c r="AM759" s="196">
        <f t="shared" si="1969"/>
        <v>80079.356747556609</v>
      </c>
      <c r="AN759" s="627">
        <f t="shared" si="1970"/>
        <v>3.877266521972803E-3</v>
      </c>
      <c r="AO759" s="196">
        <f t="shared" si="1971"/>
        <v>38037.69445508939</v>
      </c>
      <c r="AP759" s="589">
        <f t="shared" si="1989"/>
        <v>3.8772665219728034E-3</v>
      </c>
      <c r="AQ759" s="196"/>
      <c r="AR759" s="589"/>
      <c r="AS759">
        <v>1</v>
      </c>
      <c r="AT759" s="589">
        <f t="shared" si="1990"/>
        <v>1.2919896640826874E-3</v>
      </c>
      <c r="AU759" s="196">
        <v>11</v>
      </c>
      <c r="AV759" s="245">
        <f t="shared" si="1972"/>
        <v>1.2498579706851495E-3</v>
      </c>
      <c r="AX759" s="245"/>
      <c r="AY759" s="245"/>
      <c r="AZ759" s="196">
        <v>46</v>
      </c>
      <c r="BA759" s="589">
        <f t="shared" si="1871"/>
        <v>1.6855373566377193E-3</v>
      </c>
      <c r="BI759" s="196">
        <v>0</v>
      </c>
      <c r="BK759" s="246">
        <f t="shared" si="1872"/>
        <v>0</v>
      </c>
      <c r="BL759" s="246"/>
      <c r="BM759" s="246">
        <f t="shared" si="1873"/>
        <v>0</v>
      </c>
      <c r="BN759" s="196">
        <v>1</v>
      </c>
      <c r="BO759" s="196">
        <f t="shared" si="2024"/>
        <v>54941.962884290631</v>
      </c>
      <c r="BP759" s="196">
        <f t="shared" si="1973"/>
        <v>54941.962884290631</v>
      </c>
      <c r="BQ759" s="248">
        <f t="shared" si="1874"/>
        <v>5.1395647769500747E-3</v>
      </c>
      <c r="BR759" s="248"/>
      <c r="BS759" s="248"/>
      <c r="BT759" s="276">
        <v>0</v>
      </c>
      <c r="BU759" s="196">
        <f t="shared" si="2025"/>
        <v>0</v>
      </c>
      <c r="BV759" s="264">
        <f t="shared" si="1875"/>
        <v>0</v>
      </c>
      <c r="BW759" s="196">
        <f t="shared" si="2026"/>
        <v>0</v>
      </c>
      <c r="BX759" s="247">
        <f t="shared" si="1876"/>
        <v>0</v>
      </c>
      <c r="BY759" s="196">
        <f t="shared" si="2027"/>
        <v>0</v>
      </c>
      <c r="BZ759" s="620">
        <v>1</v>
      </c>
      <c r="CA759" s="196">
        <f t="shared" si="2028"/>
        <v>306303.53955940402</v>
      </c>
      <c r="CB759" s="196">
        <f t="shared" si="2029"/>
        <v>612607.07911880803</v>
      </c>
      <c r="CC759" s="196">
        <f t="shared" si="1986"/>
        <v>918910.61867821205</v>
      </c>
      <c r="CD759" s="247">
        <f t="shared" si="1974"/>
        <v>3.877266521972803E-3</v>
      </c>
      <c r="CE759" s="196">
        <f t="shared" si="2030"/>
        <v>86322.792845583812</v>
      </c>
      <c r="CF759" s="247">
        <f t="shared" si="1975"/>
        <v>3.7276866542678088E-3</v>
      </c>
      <c r="CG759" s="196">
        <f t="shared" si="2001"/>
        <v>152150.77782035756</v>
      </c>
      <c r="CH759" s="589">
        <f t="shared" si="1991"/>
        <v>3.8772665219728034E-3</v>
      </c>
      <c r="CI759" s="196">
        <f t="shared" si="2031"/>
        <v>269884.60092649295</v>
      </c>
      <c r="CJ759" s="248">
        <f t="shared" si="1992"/>
        <v>4.4369021541738511E-3</v>
      </c>
      <c r="CK759" s="196">
        <f t="shared" si="2032"/>
        <v>247011.61889719704</v>
      </c>
      <c r="CL759" s="589">
        <f t="shared" si="1993"/>
        <v>3.550842829769548E-3</v>
      </c>
      <c r="CM759" s="196">
        <f t="shared" si="2033"/>
        <v>23929.290556963315</v>
      </c>
      <c r="CN759" s="589">
        <f t="shared" si="1994"/>
        <v>3.448482717295196E-3</v>
      </c>
      <c r="CO759" s="196">
        <f t="shared" si="2034"/>
        <v>1914.4064879578239</v>
      </c>
      <c r="CP759" s="589">
        <f t="shared" si="1995"/>
        <v>3.6102757634052041E-3</v>
      </c>
      <c r="CQ759" s="196">
        <f>'Detailed Budget'!$AC$12</f>
        <v>292876014141.44696</v>
      </c>
      <c r="CR759" s="269">
        <f t="shared" si="1861"/>
        <v>0</v>
      </c>
      <c r="CS759" s="269">
        <f>'Detailed Budget'!$AC$16</f>
        <v>10488008800.000002</v>
      </c>
      <c r="CT759" s="607">
        <f t="shared" si="2002"/>
        <v>0</v>
      </c>
      <c r="CU759" s="269">
        <f>'Detailed Budget'!$AC$24</f>
        <v>30624985696</v>
      </c>
      <c r="CV759" s="269">
        <f t="shared" si="1868"/>
        <v>0</v>
      </c>
      <c r="CW759" s="269"/>
      <c r="CX759" s="269">
        <f t="shared" si="1987"/>
        <v>0</v>
      </c>
      <c r="CY759" s="196">
        <f>'Detailed Budget'!$AC$97</f>
        <v>74629165494.837845</v>
      </c>
      <c r="CZ759" s="269">
        <f t="shared" si="2003"/>
        <v>383561430.3104465</v>
      </c>
      <c r="DA759" s="269">
        <f>'Detailed Budget'!$AC$100</f>
        <v>14925833098.967569</v>
      </c>
      <c r="DB759" s="269">
        <f t="shared" si="2004"/>
        <v>76712286.062089294</v>
      </c>
      <c r="DC759" s="269">
        <f t="shared" si="1976"/>
        <v>460273716.37253582</v>
      </c>
      <c r="DD759" s="207">
        <v>0</v>
      </c>
      <c r="DE759" s="606">
        <v>0</v>
      </c>
      <c r="DF759" s="269">
        <f>'Detailed Budget'!$AC$147</f>
        <v>5913600671000</v>
      </c>
      <c r="DG759" s="269">
        <f t="shared" si="1863"/>
        <v>0</v>
      </c>
      <c r="DH759" s="269">
        <f>'Detailed Budget'!$AC$153</f>
        <v>226428026880.00003</v>
      </c>
      <c r="DI759" s="269"/>
      <c r="DJ759" s="269">
        <f>'Detailed Budget'!$AC$156</f>
        <v>27713070000</v>
      </c>
      <c r="DK759" s="269"/>
      <c r="DL759" s="269"/>
      <c r="DM759" s="196">
        <f>'Detailed Budget'!$AC$178</f>
        <v>5622683761.6229038</v>
      </c>
      <c r="DN759" s="269">
        <f t="shared" si="2035"/>
        <v>0</v>
      </c>
      <c r="DO759" s="196">
        <f>'Detailed Budget'!$AC$179</f>
        <v>26827890683.128094</v>
      </c>
      <c r="DP759" s="269">
        <f t="shared" si="2036"/>
        <v>0</v>
      </c>
      <c r="DQ759" s="269">
        <f t="shared" si="1862"/>
        <v>0</v>
      </c>
      <c r="DR759" s="269">
        <f>'Detailed Budget'!$AC$181</f>
        <v>50888946855.375237</v>
      </c>
      <c r="DS759" s="269">
        <f t="shared" si="2037"/>
        <v>0</v>
      </c>
      <c r="DT759" s="269">
        <f t="shared" si="2038"/>
        <v>0</v>
      </c>
      <c r="DU759" s="272">
        <f>'Detailed Budget'!$AC$192</f>
        <v>77498869683.252869</v>
      </c>
      <c r="DV759" s="269">
        <f t="shared" si="2005"/>
        <v>300483772.91360933</v>
      </c>
      <c r="DW759" s="140">
        <f>'Detailed Budget'!$AC$194</f>
        <v>2684962805.4134097</v>
      </c>
      <c r="DX759" s="269">
        <f t="shared" si="2006"/>
        <v>10410316.398171591</v>
      </c>
      <c r="DY759" s="607">
        <f t="shared" si="1977"/>
        <v>310894089.31178093</v>
      </c>
      <c r="DZ759" s="196">
        <f>'Detailed Budget'!$AC$198</f>
        <v>18732540018.380611</v>
      </c>
      <c r="EA759" s="269">
        <f t="shared" si="2007"/>
        <v>69829039.427055061</v>
      </c>
      <c r="EB759" s="196">
        <f>'Detailed Budget'!$AC$200</f>
        <v>4683135004.5951529</v>
      </c>
      <c r="EC759" s="269">
        <f t="shared" si="2008"/>
        <v>17457259.856763765</v>
      </c>
      <c r="ED759" s="269">
        <f t="shared" si="1978"/>
        <v>87286299.283818826</v>
      </c>
      <c r="EE759" s="196">
        <f>'Detailed Budget'!$AC$161</f>
        <v>251147290106.36197</v>
      </c>
      <c r="EF759" s="269">
        <f t="shared" si="2009"/>
        <v>973764980.01358879</v>
      </c>
      <c r="EG759" s="196">
        <f>'Detailed Budget'!$AC$163</f>
        <v>15696705631.647623</v>
      </c>
      <c r="EH759" s="269">
        <f t="shared" si="2010"/>
        <v>60860311.250849299</v>
      </c>
      <c r="EI759" s="269">
        <f t="shared" si="1979"/>
        <v>1034625291.264438</v>
      </c>
      <c r="EJ759" s="196">
        <f>'Detailed Budget'!$AC$204</f>
        <v>45012172507.531975</v>
      </c>
      <c r="EK759" s="269">
        <f t="shared" si="2011"/>
        <v>199714605.16271362</v>
      </c>
      <c r="EL759" s="201">
        <f>'Detailed Budget'!$AC$206</f>
        <v>11253043126.882994</v>
      </c>
      <c r="EM759" s="269">
        <f t="shared" si="2012"/>
        <v>49928651.290678404</v>
      </c>
      <c r="EN759" s="269">
        <f t="shared" si="1980"/>
        <v>249643256.45339203</v>
      </c>
      <c r="EO759" s="140">
        <f>'Detailed Budget'!$AC$209</f>
        <v>135789361677.54817</v>
      </c>
      <c r="EP759" s="269">
        <f t="shared" si="2013"/>
        <v>482166681.27170575</v>
      </c>
      <c r="EQ759" s="196">
        <f>'Detailed Budget'!$AC$211</f>
        <v>33947340419.387043</v>
      </c>
      <c r="ER759" s="269">
        <f t="shared" si="2014"/>
        <v>120541670.31792644</v>
      </c>
      <c r="ES759" s="269">
        <f t="shared" si="1981"/>
        <v>602708351.58963215</v>
      </c>
      <c r="ET759" s="196">
        <f>'Detailed Budget'!$AC$214</f>
        <v>22239745544.201103</v>
      </c>
      <c r="EU759" s="269">
        <f t="shared" si="2015"/>
        <v>76693378.146220341</v>
      </c>
      <c r="EV759" s="140">
        <f>'Detailed Budget'!$AC$217</f>
        <v>5559936386.0502758</v>
      </c>
      <c r="EW759" s="269">
        <f t="shared" si="2016"/>
        <v>19173344.536555085</v>
      </c>
      <c r="EX759" s="269">
        <f t="shared" si="1982"/>
        <v>95866722.682775423</v>
      </c>
      <c r="EY759" s="196">
        <f>'Detailed Budget'!$AC$219</f>
        <v>372777004.58170313</v>
      </c>
      <c r="EZ759" s="269">
        <f t="shared" si="2017"/>
        <v>1345827.7847961136</v>
      </c>
      <c r="FA759" s="196">
        <f>'Detailed Budget'!$AC$222</f>
        <v>93194251.145425782</v>
      </c>
      <c r="FB759" s="269">
        <f t="shared" si="2018"/>
        <v>336456.9461990284</v>
      </c>
      <c r="FC759" s="269">
        <f t="shared" si="1983"/>
        <v>1682284.7309951419</v>
      </c>
      <c r="FD759" s="269"/>
      <c r="FE759" s="269">
        <f t="shared" si="1984"/>
        <v>949900615.45679474</v>
      </c>
      <c r="FF759" s="140">
        <f>'Detailed Budget'!$AC$165</f>
        <v>14927760000</v>
      </c>
      <c r="FG759" s="1087">
        <f t="shared" si="1864"/>
        <v>1295727317.0651786</v>
      </c>
      <c r="FH759" s="269">
        <f t="shared" si="2019"/>
        <v>18657579.820474949</v>
      </c>
      <c r="FJ759" s="140">
        <f>'Detailed Budget'!$AC$235</f>
        <v>3623696172</v>
      </c>
      <c r="FK759" s="269">
        <f t="shared" si="2020"/>
        <v>4681778</v>
      </c>
      <c r="FL759" s="269">
        <f t="shared" si="1865"/>
        <v>4681778</v>
      </c>
      <c r="FO759" s="607"/>
      <c r="FP759" s="607"/>
      <c r="FQ759" s="607"/>
      <c r="FR759" s="269">
        <f>'Detailed Budget'!$AC$257</f>
        <v>13636439388</v>
      </c>
      <c r="FS759" s="269">
        <f t="shared" si="2021"/>
        <v>22984728</v>
      </c>
      <c r="FT759" s="269">
        <f t="shared" si="1866"/>
        <v>22984728</v>
      </c>
      <c r="FU759" s="269"/>
      <c r="FV759" s="269"/>
      <c r="FW759" s="269"/>
      <c r="FX759" s="140">
        <f>'Detailed Budget'!$AC$278</f>
        <v>1114560000</v>
      </c>
      <c r="FY759" s="269">
        <f t="shared" si="2022"/>
        <v>1440000</v>
      </c>
      <c r="FZ759" s="269">
        <f t="shared" si="1867"/>
        <v>1440000</v>
      </c>
      <c r="GB759" s="269">
        <f t="shared" si="1899"/>
        <v>4186471414.5750222</v>
      </c>
      <c r="GC759" s="887">
        <f t="shared" si="1985"/>
        <v>2616544.634109389</v>
      </c>
      <c r="GD759" s="1078">
        <f t="shared" si="1900"/>
        <v>2.3491609389474483E-3</v>
      </c>
    </row>
    <row r="760" spans="1:186" hidden="1" outlineLevel="1">
      <c r="A760" s="211" t="s">
        <v>1600</v>
      </c>
      <c r="B760" s="212" t="s">
        <v>1605</v>
      </c>
      <c r="C760" s="213" t="s">
        <v>215</v>
      </c>
      <c r="D760" s="214"/>
      <c r="E760" s="213"/>
      <c r="F760" s="213"/>
      <c r="G760" s="213" t="s">
        <v>215</v>
      </c>
      <c r="H760" s="213" t="s">
        <v>215</v>
      </c>
      <c r="I760" s="214" t="s">
        <v>215</v>
      </c>
      <c r="J760" s="214"/>
      <c r="K760" s="213"/>
      <c r="L760" s="213"/>
      <c r="M760" s="214" t="s">
        <v>215</v>
      </c>
      <c r="N760" s="213"/>
      <c r="O760" s="214"/>
      <c r="P760" s="213"/>
      <c r="Q760" s="214"/>
      <c r="R760" s="214" t="s">
        <v>215</v>
      </c>
      <c r="S760" s="214"/>
      <c r="T760" s="214"/>
      <c r="U760" s="215">
        <f t="shared" si="1905"/>
        <v>6</v>
      </c>
      <c r="V760" s="845" t="s">
        <v>216</v>
      </c>
      <c r="W760" s="216">
        <v>109321</v>
      </c>
      <c r="X760" s="217">
        <v>3.31</v>
      </c>
      <c r="Y760" s="218">
        <f t="shared" si="1965"/>
        <v>1.0330999999999999</v>
      </c>
      <c r="Z760" s="196">
        <v>19</v>
      </c>
      <c r="AA760" s="218">
        <f t="shared" si="1966"/>
        <v>1.8565423880120511</v>
      </c>
      <c r="AB760" s="196">
        <f t="shared" si="1996"/>
        <v>202959.07039986542</v>
      </c>
      <c r="AC760">
        <v>14.1</v>
      </c>
      <c r="AD760" s="196">
        <f t="shared" si="1997"/>
        <v>28617.228926381023</v>
      </c>
      <c r="AE760" s="196">
        <f t="shared" si="1967"/>
        <v>27186.36748006197</v>
      </c>
      <c r="AF760" s="196">
        <f t="shared" si="2023"/>
        <v>0</v>
      </c>
      <c r="AG760" s="606">
        <f t="shared" si="1988"/>
        <v>1.2569782818885255E-3</v>
      </c>
      <c r="AH760" s="196">
        <f t="shared" si="2039"/>
        <v>10147.953519993272</v>
      </c>
      <c r="AI760" s="248">
        <f t="shared" si="1964"/>
        <v>7.8614658354246125E-4</v>
      </c>
      <c r="AJ760" s="196">
        <f t="shared" si="1968"/>
        <v>38765.182446374296</v>
      </c>
      <c r="AK760" s="196">
        <f t="shared" si="1998"/>
        <v>8118.3628159946174</v>
      </c>
      <c r="AL760" s="196">
        <f t="shared" si="1999"/>
        <v>8118.3628159946174</v>
      </c>
      <c r="AM760" s="196">
        <f t="shared" si="1969"/>
        <v>16236.725631989235</v>
      </c>
      <c r="AN760" s="627">
        <f t="shared" si="1970"/>
        <v>7.8614658354246125E-4</v>
      </c>
      <c r="AO760" s="196">
        <f t="shared" si="1971"/>
        <v>7712.4446751948853</v>
      </c>
      <c r="AP760" s="589">
        <f t="shared" si="1989"/>
        <v>7.8614658354246103E-4</v>
      </c>
      <c r="AQ760" s="196"/>
      <c r="AR760" s="589"/>
      <c r="AS760">
        <v>1</v>
      </c>
      <c r="AT760" s="589">
        <f t="shared" si="1990"/>
        <v>1.2919896640826874E-3</v>
      </c>
      <c r="AU760" s="196">
        <v>11</v>
      </c>
      <c r="AV760" s="245">
        <f t="shared" si="1972"/>
        <v>1.2498579706851495E-3</v>
      </c>
      <c r="AX760" s="245"/>
      <c r="AY760" s="245"/>
      <c r="AZ760" s="196">
        <v>24</v>
      </c>
      <c r="BA760" s="589">
        <f t="shared" si="1871"/>
        <v>8.7941079476750578E-4</v>
      </c>
      <c r="BI760" s="196">
        <v>0</v>
      </c>
      <c r="BK760" s="246">
        <f t="shared" si="1872"/>
        <v>0</v>
      </c>
      <c r="BL760" s="246"/>
      <c r="BM760" s="246">
        <f t="shared" si="1873"/>
        <v>0</v>
      </c>
      <c r="BN760" s="196">
        <v>1</v>
      </c>
      <c r="BO760" s="196">
        <f t="shared" si="2024"/>
        <v>11139.919365828098</v>
      </c>
      <c r="BP760" s="196">
        <f t="shared" si="1973"/>
        <v>11139.919365828098</v>
      </c>
      <c r="BQ760" s="248">
        <f t="shared" si="1874"/>
        <v>1.0420875808760856E-3</v>
      </c>
      <c r="BR760" s="248"/>
      <c r="BS760" s="248"/>
      <c r="BT760" s="276">
        <v>0</v>
      </c>
      <c r="BU760" s="196">
        <f t="shared" si="2025"/>
        <v>0</v>
      </c>
      <c r="BV760" s="264">
        <f t="shared" si="1875"/>
        <v>0</v>
      </c>
      <c r="BW760" s="196">
        <f t="shared" si="2026"/>
        <v>0</v>
      </c>
      <c r="BX760" s="247">
        <f t="shared" si="1876"/>
        <v>0</v>
      </c>
      <c r="BY760" s="196">
        <f t="shared" si="2027"/>
        <v>0</v>
      </c>
      <c r="BZ760" s="620">
        <v>1</v>
      </c>
      <c r="CA760" s="196">
        <f t="shared" si="2028"/>
        <v>62105.475542358829</v>
      </c>
      <c r="CB760" s="196">
        <f t="shared" si="2029"/>
        <v>124210.95108471766</v>
      </c>
      <c r="CC760" s="196">
        <f t="shared" si="1986"/>
        <v>186316.42662707649</v>
      </c>
      <c r="CD760" s="247">
        <f t="shared" si="1974"/>
        <v>7.8614658354246125E-4</v>
      </c>
      <c r="CE760" s="196">
        <f t="shared" si="2030"/>
        <v>17502.631891002962</v>
      </c>
      <c r="CF760" s="247">
        <f t="shared" si="1975"/>
        <v>7.5581807728770348E-4</v>
      </c>
      <c r="CG760" s="196">
        <f t="shared" si="2001"/>
        <v>30849.778700779541</v>
      </c>
      <c r="CH760" s="589">
        <f t="shared" si="1991"/>
        <v>7.8614658354246103E-4</v>
      </c>
      <c r="CI760" s="196">
        <f t="shared" si="2031"/>
        <v>54721.246467505851</v>
      </c>
      <c r="CJ760" s="248">
        <f t="shared" si="1992"/>
        <v>8.9961715302490776E-4</v>
      </c>
      <c r="CK760" s="196">
        <f t="shared" si="2032"/>
        <v>50083.567686370669</v>
      </c>
      <c r="CL760" s="589">
        <f t="shared" si="1993"/>
        <v>7.1996158724193984E-4</v>
      </c>
      <c r="CM760" s="196">
        <f t="shared" si="2033"/>
        <v>4851.853725128969</v>
      </c>
      <c r="CN760" s="589">
        <f t="shared" si="1994"/>
        <v>6.9920726141556116E-4</v>
      </c>
      <c r="CO760" s="196">
        <f t="shared" si="2034"/>
        <v>388.16112111214869</v>
      </c>
      <c r="CP760" s="589">
        <f t="shared" si="1995"/>
        <v>7.3201208659832745E-4</v>
      </c>
      <c r="CQ760" s="196">
        <f>'Detailed Budget'!$AC$12</f>
        <v>292876014141.44696</v>
      </c>
      <c r="CR760" s="269">
        <f t="shared" si="1861"/>
        <v>0</v>
      </c>
      <c r="CS760" s="269">
        <f>'Detailed Budget'!$AC$16</f>
        <v>10488008800.000002</v>
      </c>
      <c r="CT760" s="607">
        <f t="shared" si="2002"/>
        <v>0</v>
      </c>
      <c r="CU760" s="269">
        <f>'Detailed Budget'!$AC$24</f>
        <v>30624985696</v>
      </c>
      <c r="CV760" s="269">
        <f t="shared" si="1868"/>
        <v>0</v>
      </c>
      <c r="CW760" s="269"/>
      <c r="CX760" s="269">
        <f t="shared" si="1987"/>
        <v>0</v>
      </c>
      <c r="CY760" s="196">
        <f>'Detailed Budget'!$AC$97</f>
        <v>74629165494.837845</v>
      </c>
      <c r="CZ760" s="269">
        <f t="shared" si="2003"/>
        <v>77770126.533316612</v>
      </c>
      <c r="DA760" s="269">
        <f>'Detailed Budget'!$AC$100</f>
        <v>14925833098.967569</v>
      </c>
      <c r="DB760" s="269">
        <f t="shared" si="2004"/>
        <v>15554025.306663323</v>
      </c>
      <c r="DC760" s="269">
        <f t="shared" si="1976"/>
        <v>93324151.839979932</v>
      </c>
      <c r="DD760" s="207">
        <v>0</v>
      </c>
      <c r="DE760" s="606">
        <v>0</v>
      </c>
      <c r="DF760" s="269">
        <f>'Detailed Budget'!$AC$147</f>
        <v>5913600671000</v>
      </c>
      <c r="DG760" s="269">
        <f t="shared" si="1863"/>
        <v>0</v>
      </c>
      <c r="DH760" s="269">
        <f>'Detailed Budget'!$AC$153</f>
        <v>226428026880.00003</v>
      </c>
      <c r="DI760" s="269"/>
      <c r="DJ760" s="269">
        <f>'Detailed Budget'!$AC$156</f>
        <v>27713070000</v>
      </c>
      <c r="DK760" s="269"/>
      <c r="DL760" s="269"/>
      <c r="DM760" s="196">
        <f>'Detailed Budget'!$AC$178</f>
        <v>5622683761.6229038</v>
      </c>
      <c r="DN760" s="269">
        <f t="shared" si="2035"/>
        <v>0</v>
      </c>
      <c r="DO760" s="196">
        <f>'Detailed Budget'!$AC$179</f>
        <v>26827890683.128094</v>
      </c>
      <c r="DP760" s="269">
        <f t="shared" si="2036"/>
        <v>0</v>
      </c>
      <c r="DQ760" s="269">
        <f t="shared" si="1862"/>
        <v>0</v>
      </c>
      <c r="DR760" s="269">
        <f>'Detailed Budget'!$AC$181</f>
        <v>50888946855.375237</v>
      </c>
      <c r="DS760" s="269">
        <f t="shared" si="2037"/>
        <v>0</v>
      </c>
      <c r="DT760" s="269">
        <f t="shared" si="2038"/>
        <v>0</v>
      </c>
      <c r="DU760" s="272">
        <f>'Detailed Budget'!$AC$192</f>
        <v>77498869683.252869</v>
      </c>
      <c r="DV760" s="269">
        <f t="shared" si="2005"/>
        <v>60925471.629891671</v>
      </c>
      <c r="DW760" s="140">
        <f>'Detailed Budget'!$AC$194</f>
        <v>2684962805.4134097</v>
      </c>
      <c r="DX760" s="269">
        <f t="shared" si="2006"/>
        <v>2110774.3364143344</v>
      </c>
      <c r="DY760" s="607">
        <f t="shared" si="1977"/>
        <v>63036245.966306008</v>
      </c>
      <c r="DZ760" s="196">
        <f>'Detailed Budget'!$AC$198</f>
        <v>18732540018.380611</v>
      </c>
      <c r="EA760" s="269">
        <f t="shared" si="2007"/>
        <v>14158392.379407395</v>
      </c>
      <c r="EB760" s="196">
        <f>'Detailed Budget'!$AC$200</f>
        <v>4683135004.5951529</v>
      </c>
      <c r="EC760" s="269">
        <f t="shared" si="2008"/>
        <v>3539598.0948518487</v>
      </c>
      <c r="ED760" s="269">
        <f t="shared" si="1978"/>
        <v>17697990.474259242</v>
      </c>
      <c r="EE760" s="196">
        <f>'Detailed Budget'!$AC$161</f>
        <v>251147290106.36197</v>
      </c>
      <c r="EF760" s="269">
        <f t="shared" si="2009"/>
        <v>197438584.08306378</v>
      </c>
      <c r="EG760" s="196">
        <f>'Detailed Budget'!$AC$163</f>
        <v>15696705631.647623</v>
      </c>
      <c r="EH760" s="269">
        <f t="shared" si="2010"/>
        <v>12339911.505191486</v>
      </c>
      <c r="EI760" s="269">
        <f t="shared" si="1979"/>
        <v>209778495.58825526</v>
      </c>
      <c r="EJ760" s="196">
        <f>'Detailed Budget'!$AC$204</f>
        <v>45012172507.531975</v>
      </c>
      <c r="EK760" s="269">
        <f t="shared" si="2011"/>
        <v>40493722.482691936</v>
      </c>
      <c r="EL760" s="201">
        <f>'Detailed Budget'!$AC$206</f>
        <v>11253043126.882994</v>
      </c>
      <c r="EM760" s="269">
        <f t="shared" si="2012"/>
        <v>10123430.620672984</v>
      </c>
      <c r="EN760" s="269">
        <f t="shared" si="1980"/>
        <v>50617153.103364922</v>
      </c>
      <c r="EO760" s="140">
        <f>'Detailed Budget'!$AC$209</f>
        <v>135789361677.54817</v>
      </c>
      <c r="EP760" s="269">
        <f t="shared" si="2013"/>
        <v>97763124.363937423</v>
      </c>
      <c r="EQ760" s="196">
        <f>'Detailed Budget'!$AC$211</f>
        <v>33947340419.387043</v>
      </c>
      <c r="ER760" s="269">
        <f t="shared" si="2014"/>
        <v>24440781.090984356</v>
      </c>
      <c r="ES760" s="269">
        <f t="shared" si="1981"/>
        <v>122203905.45492178</v>
      </c>
      <c r="ET760" s="196">
        <f>'Detailed Budget'!$AC$214</f>
        <v>22239745544.201103</v>
      </c>
      <c r="EU760" s="269">
        <f t="shared" si="2015"/>
        <v>15550191.576539783</v>
      </c>
      <c r="EV760" s="140">
        <f>'Detailed Budget'!$AC$217</f>
        <v>5559936386.0502758</v>
      </c>
      <c r="EW760" s="269">
        <f t="shared" si="2016"/>
        <v>3887547.8941349457</v>
      </c>
      <c r="EX760" s="269">
        <f t="shared" si="1982"/>
        <v>19437739.470674727</v>
      </c>
      <c r="EY760" s="196">
        <f>'Detailed Budget'!$AC$219</f>
        <v>372777004.58170313</v>
      </c>
      <c r="EZ760" s="269">
        <f t="shared" si="2017"/>
        <v>272877.2729597268</v>
      </c>
      <c r="FA760" s="196">
        <f>'Detailed Budget'!$AC$222</f>
        <v>93194251.145425782</v>
      </c>
      <c r="FB760" s="269">
        <f t="shared" si="2018"/>
        <v>68219.318239931701</v>
      </c>
      <c r="FC760" s="269">
        <f t="shared" si="1983"/>
        <v>341096.59119965852</v>
      </c>
      <c r="FD760" s="269"/>
      <c r="FE760" s="269">
        <f t="shared" si="1984"/>
        <v>192599894.62016109</v>
      </c>
      <c r="FF760" s="140">
        <f>'Detailed Budget'!$AC$165</f>
        <v>14927760000</v>
      </c>
      <c r="FG760" s="1087">
        <f t="shared" si="1864"/>
        <v>262719005.1910944</v>
      </c>
      <c r="FH760" s="269">
        <f t="shared" si="2019"/>
        <v>18657579.820474949</v>
      </c>
      <c r="FJ760" s="140">
        <f>'Detailed Budget'!$AC$235</f>
        <v>3623696172</v>
      </c>
      <c r="FK760" s="269">
        <f t="shared" si="2020"/>
        <v>4681778</v>
      </c>
      <c r="FL760" s="269">
        <f t="shared" si="1865"/>
        <v>4681778</v>
      </c>
      <c r="FO760" s="607"/>
      <c r="FP760" s="607"/>
      <c r="FQ760" s="607"/>
      <c r="FR760" s="269">
        <f>'Detailed Budget'!$AC$257</f>
        <v>13636439388</v>
      </c>
      <c r="FS760" s="269">
        <f t="shared" si="2021"/>
        <v>11992032</v>
      </c>
      <c r="FT760" s="269">
        <f t="shared" si="1866"/>
        <v>11992032</v>
      </c>
      <c r="FU760" s="269"/>
      <c r="FV760" s="269"/>
      <c r="FW760" s="269"/>
      <c r="FX760" s="140">
        <f>'Detailed Budget'!$AC$278</f>
        <v>1114560000</v>
      </c>
      <c r="FY760" s="269">
        <f t="shared" si="2022"/>
        <v>1440000</v>
      </c>
      <c r="FZ760" s="269">
        <f t="shared" si="1867"/>
        <v>1440000</v>
      </c>
      <c r="GB760" s="269">
        <f t="shared" si="1899"/>
        <v>875927173.50053084</v>
      </c>
      <c r="GC760" s="887">
        <f t="shared" si="1985"/>
        <v>547454.48343783175</v>
      </c>
      <c r="GD760" s="1078">
        <f t="shared" si="1900"/>
        <v>4.9151031921209774E-4</v>
      </c>
    </row>
    <row r="761" spans="1:186" hidden="1" outlineLevel="1">
      <c r="A761" s="211" t="s">
        <v>1602</v>
      </c>
      <c r="B761" s="212" t="s">
        <v>1607</v>
      </c>
      <c r="C761" s="213" t="s">
        <v>215</v>
      </c>
      <c r="D761" s="214"/>
      <c r="E761" s="213"/>
      <c r="F761" s="213"/>
      <c r="G761" s="213" t="s">
        <v>215</v>
      </c>
      <c r="H761" s="213" t="s">
        <v>215</v>
      </c>
      <c r="I761" s="214" t="s">
        <v>215</v>
      </c>
      <c r="J761" s="214"/>
      <c r="K761" s="213"/>
      <c r="L761" s="213"/>
      <c r="M761" s="214" t="s">
        <v>215</v>
      </c>
      <c r="N761" s="213"/>
      <c r="O761" s="214"/>
      <c r="P761" s="213"/>
      <c r="Q761" s="214"/>
      <c r="R761" s="214" t="s">
        <v>215</v>
      </c>
      <c r="S761" s="214"/>
      <c r="T761" s="214"/>
      <c r="U761" s="215">
        <f t="shared" si="1905"/>
        <v>6</v>
      </c>
      <c r="V761" s="845" t="s">
        <v>216</v>
      </c>
      <c r="W761" s="216">
        <v>280520</v>
      </c>
      <c r="X761" s="217">
        <v>3.31</v>
      </c>
      <c r="Y761" s="218">
        <f t="shared" si="1965"/>
        <v>1.0330999999999999</v>
      </c>
      <c r="Z761" s="196">
        <v>19</v>
      </c>
      <c r="AA761" s="218">
        <f t="shared" si="1966"/>
        <v>1.8565423880120511</v>
      </c>
      <c r="AB761" s="196">
        <f t="shared" si="1996"/>
        <v>520797.27068514057</v>
      </c>
      <c r="AC761">
        <v>14.1</v>
      </c>
      <c r="AD761" s="196">
        <f t="shared" si="1997"/>
        <v>73432.415166604813</v>
      </c>
      <c r="AE761" s="196">
        <f t="shared" si="1967"/>
        <v>69760.794408274567</v>
      </c>
      <c r="AF761" s="196">
        <f t="shared" si="2023"/>
        <v>0</v>
      </c>
      <c r="AG761" s="606">
        <f t="shared" si="1988"/>
        <v>3.2254328778127637E-3</v>
      </c>
      <c r="AH761" s="196">
        <f t="shared" si="2039"/>
        <v>26039.863534257031</v>
      </c>
      <c r="AI761" s="248">
        <f t="shared" si="1964"/>
        <v>2.0172687737518981E-3</v>
      </c>
      <c r="AJ761" s="196">
        <f t="shared" si="1968"/>
        <v>99472.278700861847</v>
      </c>
      <c r="AK761" s="196">
        <f t="shared" si="1998"/>
        <v>20831.890827405623</v>
      </c>
      <c r="AL761" s="196">
        <f t="shared" si="1999"/>
        <v>20831.890827405623</v>
      </c>
      <c r="AM761" s="196">
        <f t="shared" si="1969"/>
        <v>41663.781654811246</v>
      </c>
      <c r="AN761" s="627">
        <f t="shared" si="1970"/>
        <v>2.0172687737518976E-3</v>
      </c>
      <c r="AO761" s="196">
        <f t="shared" si="1971"/>
        <v>19790.29628603534</v>
      </c>
      <c r="AP761" s="589">
        <f t="shared" si="1989"/>
        <v>2.0172687737518976E-3</v>
      </c>
      <c r="AQ761" s="196"/>
      <c r="AR761" s="589"/>
      <c r="AS761">
        <v>1</v>
      </c>
      <c r="AT761" s="589">
        <f t="shared" si="1990"/>
        <v>1.2919896640826874E-3</v>
      </c>
      <c r="AU761" s="196">
        <v>11</v>
      </c>
      <c r="AV761" s="245">
        <f t="shared" si="1972"/>
        <v>1.2498579706851495E-3</v>
      </c>
      <c r="AX761" s="245"/>
      <c r="AY761" s="245"/>
      <c r="AZ761" s="196">
        <v>25</v>
      </c>
      <c r="BA761" s="589">
        <f t="shared" si="1871"/>
        <v>9.1605291121615189E-4</v>
      </c>
      <c r="BI761" s="196">
        <v>0</v>
      </c>
      <c r="BK761" s="246">
        <f t="shared" si="1872"/>
        <v>0</v>
      </c>
      <c r="BL761" s="246"/>
      <c r="BM761" s="246">
        <f t="shared" si="1873"/>
        <v>0</v>
      </c>
      <c r="BN761" s="196">
        <v>1</v>
      </c>
      <c r="BO761" s="196">
        <f t="shared" si="2024"/>
        <v>28585.268891631968</v>
      </c>
      <c r="BP761" s="196">
        <f t="shared" si="1973"/>
        <v>28585.268891631968</v>
      </c>
      <c r="BQ761" s="248">
        <f t="shared" si="1874"/>
        <v>2.6740187904186713E-3</v>
      </c>
      <c r="BR761" s="248"/>
      <c r="BS761" s="248"/>
      <c r="BT761" s="276">
        <v>0</v>
      </c>
      <c r="BU761" s="196">
        <f t="shared" si="2025"/>
        <v>0</v>
      </c>
      <c r="BV761" s="264">
        <f t="shared" si="1875"/>
        <v>0</v>
      </c>
      <c r="BW761" s="196">
        <f t="shared" si="2026"/>
        <v>0</v>
      </c>
      <c r="BX761" s="247">
        <f t="shared" si="1876"/>
        <v>0</v>
      </c>
      <c r="BY761" s="196">
        <f t="shared" si="2027"/>
        <v>0</v>
      </c>
      <c r="BZ761" s="620">
        <v>1</v>
      </c>
      <c r="CA761" s="196">
        <f t="shared" si="2028"/>
        <v>159363.96482965301</v>
      </c>
      <c r="CB761" s="196">
        <f t="shared" si="2029"/>
        <v>318727.92965930601</v>
      </c>
      <c r="CC761" s="196">
        <f t="shared" si="1986"/>
        <v>478091.89448895899</v>
      </c>
      <c r="CD761" s="247">
        <f t="shared" si="1974"/>
        <v>2.0172687737518976E-3</v>
      </c>
      <c r="CE761" s="196">
        <f t="shared" si="2030"/>
        <v>44912.123910905961</v>
      </c>
      <c r="CF761" s="247">
        <f t="shared" si="1975"/>
        <v>1.9394451847380336E-3</v>
      </c>
      <c r="CG761" s="196">
        <f t="shared" si="2001"/>
        <v>79161.18514414136</v>
      </c>
      <c r="CH761" s="589">
        <f t="shared" si="1991"/>
        <v>2.0172687737518976E-3</v>
      </c>
      <c r="CI761" s="196">
        <f t="shared" si="2031"/>
        <v>140415.8767214418</v>
      </c>
      <c r="CJ761" s="248">
        <f t="shared" si="1992"/>
        <v>2.3084366568778833E-3</v>
      </c>
      <c r="CK761" s="196">
        <f t="shared" si="2032"/>
        <v>128515.49480320065</v>
      </c>
      <c r="CL761" s="589">
        <f t="shared" si="1993"/>
        <v>1.8474366723054943E-3</v>
      </c>
      <c r="CM761" s="196">
        <f t="shared" si="2033"/>
        <v>12449.95935797494</v>
      </c>
      <c r="CN761" s="589">
        <f t="shared" si="1994"/>
        <v>1.7941806329277376E-3</v>
      </c>
      <c r="CO761" s="196">
        <f t="shared" si="2034"/>
        <v>996.02965298872084</v>
      </c>
      <c r="CP761" s="589">
        <f t="shared" si="1995"/>
        <v>1.8783585087271688E-3</v>
      </c>
      <c r="CQ761" s="196">
        <f>'Detailed Budget'!$AC$12</f>
        <v>292876014141.44696</v>
      </c>
      <c r="CR761" s="269">
        <f t="shared" si="1861"/>
        <v>0</v>
      </c>
      <c r="CS761" s="269">
        <f>'Detailed Budget'!$AC$16</f>
        <v>10488008800.000002</v>
      </c>
      <c r="CT761" s="607">
        <f t="shared" si="2002"/>
        <v>0</v>
      </c>
      <c r="CU761" s="269">
        <f>'Detailed Budget'!$AC$24</f>
        <v>30624985696</v>
      </c>
      <c r="CV761" s="269">
        <f t="shared" si="1868"/>
        <v>0</v>
      </c>
      <c r="CW761" s="269"/>
      <c r="CX761" s="269">
        <f t="shared" si="1987"/>
        <v>0</v>
      </c>
      <c r="CY761" s="196">
        <f>'Detailed Budget'!$AC$97</f>
        <v>74629165494.837845</v>
      </c>
      <c r="CZ761" s="269">
        <f t="shared" si="2003"/>
        <v>199559790.84646115</v>
      </c>
      <c r="DA761" s="269">
        <f>'Detailed Budget'!$AC$100</f>
        <v>14925833098.967569</v>
      </c>
      <c r="DB761" s="269">
        <f t="shared" si="2004"/>
        <v>39911958.169292226</v>
      </c>
      <c r="DC761" s="269">
        <f t="shared" si="1976"/>
        <v>239471749.01575339</v>
      </c>
      <c r="DD761" s="207">
        <v>0</v>
      </c>
      <c r="DE761" s="606">
        <v>0</v>
      </c>
      <c r="DF761" s="269">
        <f>'Detailed Budget'!$AC$147</f>
        <v>5913600671000</v>
      </c>
      <c r="DG761" s="269">
        <f t="shared" si="1863"/>
        <v>0</v>
      </c>
      <c r="DH761" s="269">
        <f>'Detailed Budget'!$AC$153</f>
        <v>226428026880.00003</v>
      </c>
      <c r="DI761" s="269"/>
      <c r="DJ761" s="269">
        <f>'Detailed Budget'!$AC$156</f>
        <v>27713070000</v>
      </c>
      <c r="DK761" s="269"/>
      <c r="DL761" s="269"/>
      <c r="DM761" s="196">
        <f>'Detailed Budget'!$AC$178</f>
        <v>5622683761.6229038</v>
      </c>
      <c r="DN761" s="269">
        <f t="shared" si="2035"/>
        <v>0</v>
      </c>
      <c r="DO761" s="196">
        <f>'Detailed Budget'!$AC$179</f>
        <v>26827890683.128094</v>
      </c>
      <c r="DP761" s="269">
        <f t="shared" si="2036"/>
        <v>0</v>
      </c>
      <c r="DQ761" s="269">
        <f t="shared" si="1862"/>
        <v>0</v>
      </c>
      <c r="DR761" s="269">
        <f>'Detailed Budget'!$AC$181</f>
        <v>50888946855.375237</v>
      </c>
      <c r="DS761" s="269">
        <f t="shared" si="2037"/>
        <v>0</v>
      </c>
      <c r="DT761" s="269">
        <f t="shared" si="2038"/>
        <v>0</v>
      </c>
      <c r="DU761" s="272">
        <f>'Detailed Budget'!$AC$192</f>
        <v>77498869683.252869</v>
      </c>
      <c r="DV761" s="269">
        <f t="shared" si="2005"/>
        <v>156336049.81309363</v>
      </c>
      <c r="DW761" s="140">
        <f>'Detailed Budget'!$AC$194</f>
        <v>2684962805.4134097</v>
      </c>
      <c r="DX761" s="269">
        <f t="shared" si="2006"/>
        <v>5416291.6260457635</v>
      </c>
      <c r="DY761" s="607">
        <f t="shared" si="1977"/>
        <v>161752341.4391394</v>
      </c>
      <c r="DZ761" s="196">
        <f>'Detailed Budget'!$AC$198</f>
        <v>18732540018.380611</v>
      </c>
      <c r="EA761" s="269">
        <f t="shared" si="2007"/>
        <v>36330734.536560789</v>
      </c>
      <c r="EB761" s="196">
        <f>'Detailed Budget'!$AC$200</f>
        <v>4683135004.5951529</v>
      </c>
      <c r="EC761" s="269">
        <f t="shared" si="2008"/>
        <v>9082683.6341401972</v>
      </c>
      <c r="ED761" s="269">
        <f t="shared" si="1978"/>
        <v>45413418.170700982</v>
      </c>
      <c r="EE761" s="196">
        <f>'Detailed Budget'!$AC$161</f>
        <v>251147290106.36197</v>
      </c>
      <c r="EF761" s="269">
        <f t="shared" si="2009"/>
        <v>506631585.94397289</v>
      </c>
      <c r="EG761" s="196">
        <f>'Detailed Budget'!$AC$163</f>
        <v>15696705631.647623</v>
      </c>
      <c r="EH761" s="269">
        <f t="shared" si="2010"/>
        <v>31664474.121498305</v>
      </c>
      <c r="EI761" s="269">
        <f t="shared" si="1979"/>
        <v>538296060.06547117</v>
      </c>
      <c r="EJ761" s="196">
        <f>'Detailed Budget'!$AC$204</f>
        <v>45012172507.531975</v>
      </c>
      <c r="EK761" s="269">
        <f t="shared" si="2011"/>
        <v>103907749.02209768</v>
      </c>
      <c r="EL761" s="201">
        <f>'Detailed Budget'!$AC$206</f>
        <v>11253043126.882994</v>
      </c>
      <c r="EM761" s="269">
        <f t="shared" si="2012"/>
        <v>25976937.255524419</v>
      </c>
      <c r="EN761" s="269">
        <f t="shared" si="1980"/>
        <v>129884686.2776221</v>
      </c>
      <c r="EO761" s="140">
        <f>'Detailed Budget'!$AC$209</f>
        <v>135789361677.54817</v>
      </c>
      <c r="EP761" s="269">
        <f t="shared" si="2013"/>
        <v>250862246.47205681</v>
      </c>
      <c r="EQ761" s="196">
        <f>'Detailed Budget'!$AC$211</f>
        <v>33947340419.387043</v>
      </c>
      <c r="ER761" s="269">
        <f t="shared" si="2014"/>
        <v>62715561.618014202</v>
      </c>
      <c r="ES761" s="269">
        <f t="shared" si="1981"/>
        <v>313577808.09007102</v>
      </c>
      <c r="ET761" s="196">
        <f>'Detailed Budget'!$AC$214</f>
        <v>22239745544.201103</v>
      </c>
      <c r="EU761" s="269">
        <f t="shared" si="2015"/>
        <v>39902120.73664657</v>
      </c>
      <c r="EV761" s="140">
        <f>'Detailed Budget'!$AC$217</f>
        <v>5559936386.0502758</v>
      </c>
      <c r="EW761" s="269">
        <f t="shared" si="2016"/>
        <v>9975530.1841616426</v>
      </c>
      <c r="EX761" s="269">
        <f t="shared" si="1982"/>
        <v>49877650.920808211</v>
      </c>
      <c r="EY761" s="196">
        <f>'Detailed Budget'!$AC$219</f>
        <v>372777004.58170313</v>
      </c>
      <c r="EZ761" s="269">
        <f t="shared" si="2017"/>
        <v>700208.85841386882</v>
      </c>
      <c r="FA761" s="196">
        <f>'Detailed Budget'!$AC$222</f>
        <v>93194251.145425782</v>
      </c>
      <c r="FB761" s="269">
        <f t="shared" si="2018"/>
        <v>175052.2146034672</v>
      </c>
      <c r="FC761" s="269">
        <f t="shared" si="1983"/>
        <v>875261.07301733596</v>
      </c>
      <c r="FD761" s="269"/>
      <c r="FE761" s="269">
        <f t="shared" si="1984"/>
        <v>494215406.36151868</v>
      </c>
      <c r="FF761" s="140">
        <f>'Detailed Budget'!$AC$165</f>
        <v>14927760000</v>
      </c>
      <c r="FG761" s="1087">
        <f t="shared" si="1864"/>
        <v>674142528.29928195</v>
      </c>
      <c r="FH761" s="269">
        <f t="shared" si="2019"/>
        <v>18657579.820474949</v>
      </c>
      <c r="FJ761" s="140">
        <f>'Detailed Budget'!$AC$235</f>
        <v>3623696172</v>
      </c>
      <c r="FK761" s="269">
        <f t="shared" si="2020"/>
        <v>4681778</v>
      </c>
      <c r="FL761" s="269">
        <f t="shared" si="1865"/>
        <v>4681778</v>
      </c>
      <c r="FO761" s="607"/>
      <c r="FP761" s="607"/>
      <c r="FQ761" s="607"/>
      <c r="FR761" s="269">
        <f>'Detailed Budget'!$AC$257</f>
        <v>13636439388</v>
      </c>
      <c r="FS761" s="269">
        <f t="shared" si="2021"/>
        <v>12491700</v>
      </c>
      <c r="FT761" s="269">
        <f t="shared" si="1866"/>
        <v>12491700</v>
      </c>
      <c r="FU761" s="269"/>
      <c r="FV761" s="269"/>
      <c r="FW761" s="269"/>
      <c r="FX761" s="140">
        <f>'Detailed Budget'!$AC$278</f>
        <v>1114560000</v>
      </c>
      <c r="FY761" s="269">
        <f t="shared" si="2022"/>
        <v>1440000</v>
      </c>
      <c r="FZ761" s="269">
        <f t="shared" si="1867"/>
        <v>1440000</v>
      </c>
      <c r="GB761" s="269">
        <f t="shared" si="1899"/>
        <v>2190562561.1723404</v>
      </c>
      <c r="GC761" s="887">
        <f t="shared" si="1985"/>
        <v>1369101.6007327128</v>
      </c>
      <c r="GD761" s="1078">
        <f t="shared" si="1900"/>
        <v>1.2291936319238244E-3</v>
      </c>
    </row>
    <row r="762" spans="1:186" hidden="1" outlineLevel="1">
      <c r="A762" s="211" t="s">
        <v>1604</v>
      </c>
      <c r="B762" s="212" t="s">
        <v>1609</v>
      </c>
      <c r="C762" s="213" t="s">
        <v>215</v>
      </c>
      <c r="D762" s="214"/>
      <c r="E762" s="213"/>
      <c r="F762" s="213"/>
      <c r="G762" s="213" t="s">
        <v>215</v>
      </c>
      <c r="H762" s="213" t="s">
        <v>215</v>
      </c>
      <c r="I762" s="214" t="s">
        <v>215</v>
      </c>
      <c r="J762" s="214"/>
      <c r="K762" s="213"/>
      <c r="L762" s="213"/>
      <c r="M762" s="214" t="s">
        <v>215</v>
      </c>
      <c r="N762" s="213"/>
      <c r="O762" s="214"/>
      <c r="P762" s="213"/>
      <c r="Q762" s="214"/>
      <c r="R762" s="214" t="s">
        <v>215</v>
      </c>
      <c r="S762" s="214"/>
      <c r="T762" s="214"/>
      <c r="U762" s="215">
        <f t="shared" si="1905"/>
        <v>6</v>
      </c>
      <c r="V762" s="845" t="s">
        <v>216</v>
      </c>
      <c r="W762" s="216">
        <v>68800</v>
      </c>
      <c r="X762" s="217">
        <v>3.31</v>
      </c>
      <c r="Y762" s="218">
        <f t="shared" si="1965"/>
        <v>1.0330999999999999</v>
      </c>
      <c r="Z762" s="196">
        <v>19</v>
      </c>
      <c r="AA762" s="218">
        <f t="shared" si="1966"/>
        <v>1.8565423880120511</v>
      </c>
      <c r="AB762" s="196">
        <f t="shared" si="1996"/>
        <v>127730.11629522912</v>
      </c>
      <c r="AC762">
        <v>14.1</v>
      </c>
      <c r="AD762" s="196">
        <f t="shared" si="1997"/>
        <v>18009.946397627307</v>
      </c>
      <c r="AE762" s="196">
        <f t="shared" si="1967"/>
        <v>17109.44907774594</v>
      </c>
      <c r="AF762" s="196">
        <f t="shared" si="2023"/>
        <v>0</v>
      </c>
      <c r="AG762" s="606">
        <f t="shared" si="1988"/>
        <v>7.9106581346612788E-4</v>
      </c>
      <c r="AH762" s="196">
        <f t="shared" si="2039"/>
        <v>6386.5058147614563</v>
      </c>
      <c r="AI762" s="248">
        <f t="shared" si="1964"/>
        <v>4.94752928968097E-4</v>
      </c>
      <c r="AJ762" s="196">
        <f t="shared" si="1968"/>
        <v>24396.452212388765</v>
      </c>
      <c r="AK762" s="196">
        <f t="shared" si="1998"/>
        <v>5109.2046518091647</v>
      </c>
      <c r="AL762" s="196">
        <f t="shared" si="1999"/>
        <v>5109.2046518091647</v>
      </c>
      <c r="AM762" s="196">
        <f t="shared" si="1969"/>
        <v>10218.409303618329</v>
      </c>
      <c r="AN762" s="627">
        <f t="shared" si="1970"/>
        <v>4.94752928968097E-4</v>
      </c>
      <c r="AO762" s="196">
        <f t="shared" si="1971"/>
        <v>4853.7444192187068</v>
      </c>
      <c r="AP762" s="589">
        <f t="shared" si="1989"/>
        <v>4.94752928968097E-4</v>
      </c>
      <c r="AQ762" s="196"/>
      <c r="AR762" s="589"/>
      <c r="AS762">
        <v>1</v>
      </c>
      <c r="AT762" s="589">
        <f t="shared" si="1990"/>
        <v>1.2919896640826874E-3</v>
      </c>
      <c r="AU762" s="196">
        <v>10</v>
      </c>
      <c r="AV762" s="245">
        <f t="shared" si="1972"/>
        <v>1.1362345188046814E-3</v>
      </c>
      <c r="AX762" s="245"/>
      <c r="AY762" s="245"/>
      <c r="AZ762" s="196">
        <v>34</v>
      </c>
      <c r="BA762" s="589">
        <f t="shared" si="1871"/>
        <v>1.2458319592539666E-3</v>
      </c>
      <c r="BI762" s="196">
        <v>0</v>
      </c>
      <c r="BK762" s="246">
        <f t="shared" si="1872"/>
        <v>0</v>
      </c>
      <c r="BL762" s="246"/>
      <c r="BM762" s="246">
        <f t="shared" si="1873"/>
        <v>0</v>
      </c>
      <c r="BN762" s="196">
        <v>1</v>
      </c>
      <c r="BO762" s="196">
        <f t="shared" si="2024"/>
        <v>7010.7888911460141</v>
      </c>
      <c r="BP762" s="196">
        <f t="shared" si="1973"/>
        <v>7010.7888911460141</v>
      </c>
      <c r="BQ762" s="248">
        <f t="shared" si="1874"/>
        <v>6.5582665328962149E-4</v>
      </c>
      <c r="BR762" s="248"/>
      <c r="BS762" s="248"/>
      <c r="BT762" s="276">
        <v>0</v>
      </c>
      <c r="BU762" s="196">
        <f t="shared" si="2025"/>
        <v>0</v>
      </c>
      <c r="BV762" s="264">
        <f t="shared" si="1875"/>
        <v>0</v>
      </c>
      <c r="BW762" s="196">
        <f t="shared" si="2026"/>
        <v>0</v>
      </c>
      <c r="BX762" s="247">
        <f t="shared" si="1876"/>
        <v>0</v>
      </c>
      <c r="BY762" s="196">
        <f t="shared" si="2027"/>
        <v>0</v>
      </c>
      <c r="BZ762" s="620">
        <v>1</v>
      </c>
      <c r="CA762" s="196">
        <f t="shared" si="2028"/>
        <v>39085.41558634011</v>
      </c>
      <c r="CB762" s="196">
        <f t="shared" si="2029"/>
        <v>78170.83117268022</v>
      </c>
      <c r="CC762" s="196">
        <f t="shared" si="1986"/>
        <v>117256.24675902033</v>
      </c>
      <c r="CD762" s="247">
        <f t="shared" si="1974"/>
        <v>4.94752928968097E-4</v>
      </c>
      <c r="CE762" s="196">
        <f t="shared" si="2030"/>
        <v>11015.09384382693</v>
      </c>
      <c r="CF762" s="247">
        <f t="shared" si="1975"/>
        <v>4.7566600851980863E-4</v>
      </c>
      <c r="CG762" s="196">
        <f t="shared" si="2001"/>
        <v>19414.977676874827</v>
      </c>
      <c r="CH762" s="589">
        <f t="shared" si="1991"/>
        <v>4.94752928968097E-4</v>
      </c>
      <c r="CI762" s="196">
        <f t="shared" si="2031"/>
        <v>34438.230138440034</v>
      </c>
      <c r="CJ762" s="248">
        <f t="shared" si="1992"/>
        <v>5.6616441606016827E-4</v>
      </c>
      <c r="CK762" s="196">
        <f t="shared" si="2032"/>
        <v>31519.556689220757</v>
      </c>
      <c r="CL762" s="589">
        <f t="shared" si="1993"/>
        <v>4.5310011070375742E-4</v>
      </c>
      <c r="CM762" s="196">
        <f t="shared" si="2033"/>
        <v>3053.4621553852703</v>
      </c>
      <c r="CN762" s="589">
        <f t="shared" si="1994"/>
        <v>4.4003859812287313E-4</v>
      </c>
      <c r="CO762" s="196">
        <f t="shared" si="2034"/>
        <v>244.28504251256243</v>
      </c>
      <c r="CP762" s="589">
        <f t="shared" si="1995"/>
        <v>4.6068396335530171E-4</v>
      </c>
      <c r="CQ762" s="196">
        <f>'Detailed Budget'!$AC$12</f>
        <v>292876014141.44696</v>
      </c>
      <c r="CR762" s="269">
        <f t="shared" si="1861"/>
        <v>0</v>
      </c>
      <c r="CS762" s="269">
        <f>'Detailed Budget'!$AC$16</f>
        <v>10488008800.000002</v>
      </c>
      <c r="CT762" s="607">
        <f t="shared" si="2002"/>
        <v>0</v>
      </c>
      <c r="CU762" s="269">
        <f>'Detailed Budget'!$AC$24</f>
        <v>30624985696</v>
      </c>
      <c r="CV762" s="269">
        <f t="shared" si="1868"/>
        <v>0</v>
      </c>
      <c r="CW762" s="269"/>
      <c r="CX762" s="269">
        <f t="shared" si="1987"/>
        <v>0</v>
      </c>
      <c r="CY762" s="196">
        <f>'Detailed Budget'!$AC$97</f>
        <v>74629165494.837845</v>
      </c>
      <c r="CZ762" s="269">
        <f t="shared" si="2003"/>
        <v>48943795.844276801</v>
      </c>
      <c r="DA762" s="269">
        <f>'Detailed Budget'!$AC$100</f>
        <v>14925833098.967569</v>
      </c>
      <c r="DB762" s="269">
        <f t="shared" si="2004"/>
        <v>9788759.1688553616</v>
      </c>
      <c r="DC762" s="269">
        <f t="shared" si="1976"/>
        <v>58732555.013132162</v>
      </c>
      <c r="DD762" s="207">
        <v>0</v>
      </c>
      <c r="DE762" s="606">
        <v>0</v>
      </c>
      <c r="DF762" s="269">
        <f>'Detailed Budget'!$AC$147</f>
        <v>5913600671000</v>
      </c>
      <c r="DG762" s="269">
        <f t="shared" si="1863"/>
        <v>0</v>
      </c>
      <c r="DH762" s="269">
        <f>'Detailed Budget'!$AC$153</f>
        <v>226428026880.00003</v>
      </c>
      <c r="DI762" s="269"/>
      <c r="DJ762" s="269">
        <f>'Detailed Budget'!$AC$156</f>
        <v>27713070000</v>
      </c>
      <c r="DK762" s="269"/>
      <c r="DL762" s="269"/>
      <c r="DM762" s="196">
        <f>'Detailed Budget'!$AC$178</f>
        <v>5622683761.6229038</v>
      </c>
      <c r="DN762" s="269">
        <f t="shared" si="2035"/>
        <v>0</v>
      </c>
      <c r="DO762" s="196">
        <f>'Detailed Budget'!$AC$179</f>
        <v>26827890683.128094</v>
      </c>
      <c r="DP762" s="269">
        <f t="shared" si="2036"/>
        <v>0</v>
      </c>
      <c r="DQ762" s="269">
        <f t="shared" si="1862"/>
        <v>0</v>
      </c>
      <c r="DR762" s="269">
        <f>'Detailed Budget'!$AC$181</f>
        <v>50888946855.375237</v>
      </c>
      <c r="DS762" s="269">
        <f t="shared" si="2037"/>
        <v>0</v>
      </c>
      <c r="DT762" s="269">
        <f t="shared" si="2038"/>
        <v>0</v>
      </c>
      <c r="DU762" s="272">
        <f>'Detailed Budget'!$AC$192</f>
        <v>77498869683.252869</v>
      </c>
      <c r="DV762" s="269">
        <f t="shared" si="2005"/>
        <v>38342792.767506212</v>
      </c>
      <c r="DW762" s="140">
        <f>'Detailed Budget'!$AC$194</f>
        <v>2684962805.4134097</v>
      </c>
      <c r="DX762" s="269">
        <f t="shared" si="2006"/>
        <v>1328393.2121486831</v>
      </c>
      <c r="DY762" s="607">
        <f t="shared" si="1977"/>
        <v>39671185.979654893</v>
      </c>
      <c r="DZ762" s="196">
        <f>'Detailed Budget'!$AC$198</f>
        <v>18732540018.380611</v>
      </c>
      <c r="EA762" s="269">
        <f t="shared" si="2007"/>
        <v>8910432.5399806872</v>
      </c>
      <c r="EB762" s="196">
        <f>'Detailed Budget'!$AC$200</f>
        <v>4683135004.5951529</v>
      </c>
      <c r="EC762" s="269">
        <f t="shared" si="2008"/>
        <v>2227608.1349951718</v>
      </c>
      <c r="ED762" s="269">
        <f t="shared" si="1978"/>
        <v>11138040.674975859</v>
      </c>
      <c r="EE762" s="196">
        <f>'Detailed Budget'!$AC$161</f>
        <v>251147290106.36197</v>
      </c>
      <c r="EF762" s="269">
        <f t="shared" si="2009"/>
        <v>124255857.38252296</v>
      </c>
      <c r="EG762" s="196">
        <f>'Detailed Budget'!$AC$163</f>
        <v>15696705631.647623</v>
      </c>
      <c r="EH762" s="269">
        <f t="shared" si="2010"/>
        <v>7765991.0864076847</v>
      </c>
      <c r="EI762" s="269">
        <f t="shared" si="1979"/>
        <v>132021848.46893065</v>
      </c>
      <c r="EJ762" s="196">
        <f>'Detailed Budget'!$AC$204</f>
        <v>45012172507.531975</v>
      </c>
      <c r="EK762" s="269">
        <f t="shared" si="2011"/>
        <v>25484290.363326401</v>
      </c>
      <c r="EL762" s="201">
        <f>'Detailed Budget'!$AC$206</f>
        <v>11253043126.882994</v>
      </c>
      <c r="EM762" s="269">
        <f t="shared" si="2012"/>
        <v>6371072.5908316001</v>
      </c>
      <c r="EN762" s="269">
        <f t="shared" si="1980"/>
        <v>31855362.954158001</v>
      </c>
      <c r="EO762" s="140">
        <f>'Detailed Budget'!$AC$209</f>
        <v>135789361677.54817</v>
      </c>
      <c r="EP762" s="269">
        <f t="shared" si="2013"/>
        <v>61526174.808489636</v>
      </c>
      <c r="EQ762" s="196">
        <f>'Detailed Budget'!$AC$211</f>
        <v>33947340419.387043</v>
      </c>
      <c r="ER762" s="269">
        <f t="shared" si="2014"/>
        <v>15381543.702122409</v>
      </c>
      <c r="ES762" s="269">
        <f t="shared" si="1981"/>
        <v>76907718.510612041</v>
      </c>
      <c r="ET762" s="196">
        <f>'Detailed Budget'!$AC$214</f>
        <v>22239745544.201103</v>
      </c>
      <c r="EU762" s="269">
        <f t="shared" si="2015"/>
        <v>9786346.4518796671</v>
      </c>
      <c r="EV762" s="140">
        <f>'Detailed Budget'!$AC$217</f>
        <v>5559936386.0502758</v>
      </c>
      <c r="EW762" s="269">
        <f t="shared" si="2016"/>
        <v>2446586.6129699168</v>
      </c>
      <c r="EX762" s="269">
        <f t="shared" si="1982"/>
        <v>12232933.064849583</v>
      </c>
      <c r="EY762" s="196">
        <f>'Detailed Budget'!$AC$219</f>
        <v>372777004.58170313</v>
      </c>
      <c r="EZ762" s="269">
        <f t="shared" si="2017"/>
        <v>171732.38791841647</v>
      </c>
      <c r="FA762" s="196">
        <f>'Detailed Budget'!$AC$222</f>
        <v>93194251.145425782</v>
      </c>
      <c r="FB762" s="269">
        <f t="shared" si="2018"/>
        <v>42933.096979604117</v>
      </c>
      <c r="FC762" s="269">
        <f t="shared" si="1983"/>
        <v>214665.48489802057</v>
      </c>
      <c r="FD762" s="269"/>
      <c r="FE762" s="269">
        <f t="shared" si="1984"/>
        <v>121210680.01451765</v>
      </c>
      <c r="FF762" s="140">
        <f>'Detailed Budget'!$AC$165</f>
        <v>14927760000</v>
      </c>
      <c r="FG762" s="1087">
        <f t="shared" si="1864"/>
        <v>165339390.94178885</v>
      </c>
      <c r="FH762" s="269">
        <f t="shared" si="2019"/>
        <v>16961436.200431772</v>
      </c>
      <c r="FJ762" s="140">
        <f>'Detailed Budget'!$AC$235</f>
        <v>3623696172</v>
      </c>
      <c r="FK762" s="269">
        <f t="shared" si="2020"/>
        <v>4681778</v>
      </c>
      <c r="FL762" s="269">
        <f t="shared" si="1865"/>
        <v>4681778</v>
      </c>
      <c r="FO762" s="607"/>
      <c r="FP762" s="607"/>
      <c r="FQ762" s="607"/>
      <c r="FR762" s="269">
        <f>'Detailed Budget'!$AC$257</f>
        <v>13636439388</v>
      </c>
      <c r="FS762" s="269">
        <f t="shared" si="2021"/>
        <v>16988712</v>
      </c>
      <c r="FT762" s="269">
        <f t="shared" si="1866"/>
        <v>16988712</v>
      </c>
      <c r="FU762" s="269"/>
      <c r="FV762" s="269"/>
      <c r="FW762" s="269"/>
      <c r="FX762" s="140">
        <f>'Detailed Budget'!$AC$278</f>
        <v>1114560000</v>
      </c>
      <c r="FY762" s="269">
        <f t="shared" si="2022"/>
        <v>1440000</v>
      </c>
      <c r="FZ762" s="269">
        <f t="shared" si="1867"/>
        <v>1440000</v>
      </c>
      <c r="GB762" s="269">
        <f t="shared" si="1899"/>
        <v>568185627.29343188</v>
      </c>
      <c r="GC762" s="887">
        <f t="shared" si="1985"/>
        <v>355116.01705839491</v>
      </c>
      <c r="GD762" s="1078">
        <f t="shared" si="1900"/>
        <v>3.188268471300616E-4</v>
      </c>
    </row>
    <row r="763" spans="1:186" hidden="1" outlineLevel="1">
      <c r="A763" s="211" t="s">
        <v>1606</v>
      </c>
      <c r="B763" s="212" t="s">
        <v>1611</v>
      </c>
      <c r="C763" s="213" t="s">
        <v>215</v>
      </c>
      <c r="D763" s="214"/>
      <c r="E763" s="213"/>
      <c r="F763" s="213"/>
      <c r="G763" s="213" t="s">
        <v>215</v>
      </c>
      <c r="H763" s="213" t="s">
        <v>215</v>
      </c>
      <c r="I763" s="214" t="s">
        <v>215</v>
      </c>
      <c r="J763" s="214"/>
      <c r="K763" s="213"/>
      <c r="L763" s="213"/>
      <c r="M763" s="214"/>
      <c r="N763" s="213" t="s">
        <v>215</v>
      </c>
      <c r="O763" s="214"/>
      <c r="P763" s="213"/>
      <c r="Q763" s="214"/>
      <c r="R763" s="214" t="s">
        <v>215</v>
      </c>
      <c r="S763" s="214"/>
      <c r="T763" s="214"/>
      <c r="U763" s="215">
        <f t="shared" si="1905"/>
        <v>6</v>
      </c>
      <c r="V763" s="845" t="s">
        <v>216</v>
      </c>
      <c r="W763" s="216">
        <v>157161</v>
      </c>
      <c r="X763" s="217">
        <v>3.31</v>
      </c>
      <c r="Y763" s="218">
        <f t="shared" si="1965"/>
        <v>1.0330999999999999</v>
      </c>
      <c r="Z763" s="196">
        <v>19</v>
      </c>
      <c r="AA763" s="218">
        <f t="shared" si="1966"/>
        <v>1.8565423880120511</v>
      </c>
      <c r="AB763" s="196">
        <f t="shared" si="1996"/>
        <v>291776.05824236193</v>
      </c>
      <c r="AC763">
        <v>14.1</v>
      </c>
      <c r="AD763" s="196">
        <f t="shared" si="1997"/>
        <v>41140.424212173035</v>
      </c>
      <c r="AE763" s="196">
        <f t="shared" si="1967"/>
        <v>39083.40300156438</v>
      </c>
      <c r="AF763" s="196">
        <f t="shared" si="2023"/>
        <v>0</v>
      </c>
      <c r="AG763" s="606">
        <f t="shared" si="1988"/>
        <v>1.8070449754382283E-3</v>
      </c>
      <c r="AH763" s="196">
        <f t="shared" si="2039"/>
        <v>14588.802912118097</v>
      </c>
      <c r="AI763" s="248">
        <f t="shared" si="1964"/>
        <v>1.130172457406324E-3</v>
      </c>
      <c r="AJ763" s="196">
        <f t="shared" si="1968"/>
        <v>55729.22712429113</v>
      </c>
      <c r="AK763" s="196">
        <f t="shared" si="1998"/>
        <v>11671.042329694477</v>
      </c>
      <c r="AL763" s="196">
        <f t="shared" si="1999"/>
        <v>11671.042329694477</v>
      </c>
      <c r="AM763" s="196">
        <f t="shared" si="1969"/>
        <v>23342.084659388955</v>
      </c>
      <c r="AN763" s="627">
        <f t="shared" si="1970"/>
        <v>1.1301724574063238E-3</v>
      </c>
      <c r="AO763" s="196">
        <f t="shared" si="1971"/>
        <v>11087.490213209754</v>
      </c>
      <c r="AP763" s="589">
        <f t="shared" si="1989"/>
        <v>1.130172457406324E-3</v>
      </c>
      <c r="AQ763" s="196"/>
      <c r="AR763" s="589"/>
      <c r="AS763">
        <v>1</v>
      </c>
      <c r="AT763" s="589">
        <f t="shared" si="1990"/>
        <v>1.2919896640826874E-3</v>
      </c>
      <c r="AU763" s="196">
        <v>11</v>
      </c>
      <c r="AV763" s="245">
        <f t="shared" si="1972"/>
        <v>1.2498579706851495E-3</v>
      </c>
      <c r="AX763" s="245"/>
      <c r="AY763" s="245"/>
      <c r="AZ763" s="196">
        <v>19</v>
      </c>
      <c r="BA763" s="589">
        <f t="shared" si="1871"/>
        <v>6.9620021252427542E-4</v>
      </c>
      <c r="BI763" s="196">
        <v>0</v>
      </c>
      <c r="BK763" s="246">
        <f t="shared" si="1872"/>
        <v>0</v>
      </c>
      <c r="BL763" s="246"/>
      <c r="BM763" s="246">
        <f t="shared" si="1873"/>
        <v>0</v>
      </c>
      <c r="BN763" s="196">
        <v>1</v>
      </c>
      <c r="BO763" s="196">
        <f t="shared" si="2024"/>
        <v>16014.863269206373</v>
      </c>
      <c r="BP763" s="196">
        <f t="shared" si="1973"/>
        <v>16014.863269206373</v>
      </c>
      <c r="BQ763" s="248">
        <f t="shared" si="1874"/>
        <v>1.4981158816518923E-3</v>
      </c>
      <c r="BR763" s="248"/>
      <c r="BS763" s="248"/>
      <c r="BT763" s="276">
        <v>0</v>
      </c>
      <c r="BU763" s="196">
        <f t="shared" si="2025"/>
        <v>0</v>
      </c>
      <c r="BV763" s="264">
        <f t="shared" si="1875"/>
        <v>0</v>
      </c>
      <c r="BW763" s="196">
        <f t="shared" si="2026"/>
        <v>0</v>
      </c>
      <c r="BX763" s="247">
        <f t="shared" si="1876"/>
        <v>0</v>
      </c>
      <c r="BY763" s="196">
        <f t="shared" si="2027"/>
        <v>0</v>
      </c>
      <c r="BZ763" s="620">
        <v>1</v>
      </c>
      <c r="CA763" s="196">
        <f t="shared" si="2028"/>
        <v>89283.473822162749</v>
      </c>
      <c r="CB763" s="196">
        <f t="shared" si="2029"/>
        <v>178566.9476443255</v>
      </c>
      <c r="CC763" s="196">
        <f t="shared" si="1986"/>
        <v>267850.42146648827</v>
      </c>
      <c r="CD763" s="247">
        <f t="shared" si="1974"/>
        <v>1.130172457406324E-3</v>
      </c>
      <c r="CE763" s="196">
        <f t="shared" si="2030"/>
        <v>25161.964587059359</v>
      </c>
      <c r="CF763" s="247">
        <f t="shared" si="1975"/>
        <v>1.0865718832119423E-3</v>
      </c>
      <c r="CG763" s="196">
        <f t="shared" si="2001"/>
        <v>44349.960852839016</v>
      </c>
      <c r="CH763" s="589">
        <f t="shared" si="1991"/>
        <v>1.130172457406324E-3</v>
      </c>
      <c r="CI763" s="196">
        <f t="shared" si="2031"/>
        <v>78667.82974981649</v>
      </c>
      <c r="CJ763" s="248">
        <f t="shared" si="1992"/>
        <v>1.2932989214016297E-3</v>
      </c>
      <c r="CK763" s="196">
        <f t="shared" si="2032"/>
        <v>72000.654779573015</v>
      </c>
      <c r="CL763" s="589">
        <f t="shared" si="1993"/>
        <v>1.0350242223592038E-3</v>
      </c>
      <c r="CM763" s="196">
        <f t="shared" si="2033"/>
        <v>6975.0750843387268</v>
      </c>
      <c r="CN763" s="589">
        <f t="shared" si="1994"/>
        <v>1.0051875889475126E-3</v>
      </c>
      <c r="CO763" s="196">
        <f t="shared" si="2034"/>
        <v>558.02444137088401</v>
      </c>
      <c r="CP763" s="589">
        <f t="shared" si="1995"/>
        <v>1.0523481448384093E-3</v>
      </c>
      <c r="CQ763" s="196">
        <f>'Detailed Budget'!$AC$12</f>
        <v>292876014141.44696</v>
      </c>
      <c r="CR763" s="269">
        <f t="shared" ref="CR763:CR826" si="2040">BK763*CQ763</f>
        <v>0</v>
      </c>
      <c r="CS763" s="269">
        <f>'Detailed Budget'!$AC$16</f>
        <v>10488008800.000002</v>
      </c>
      <c r="CT763" s="607">
        <f t="shared" si="2002"/>
        <v>0</v>
      </c>
      <c r="CU763" s="269">
        <f>'Detailed Budget'!$AC$24</f>
        <v>30624985696</v>
      </c>
      <c r="CV763" s="269">
        <f t="shared" si="1868"/>
        <v>0</v>
      </c>
      <c r="CW763" s="269"/>
      <c r="CX763" s="269">
        <f t="shared" si="1987"/>
        <v>0</v>
      </c>
      <c r="CY763" s="196">
        <f>'Detailed Budget'!$AC$97</f>
        <v>74629165494.837845</v>
      </c>
      <c r="CZ763" s="269">
        <f t="shared" si="2003"/>
        <v>111803138.06224398</v>
      </c>
      <c r="DA763" s="269">
        <f>'Detailed Budget'!$AC$100</f>
        <v>14925833098.967569</v>
      </c>
      <c r="DB763" s="269">
        <f t="shared" si="2004"/>
        <v>22360627.612448797</v>
      </c>
      <c r="DC763" s="269">
        <f t="shared" si="1976"/>
        <v>134163765.67469278</v>
      </c>
      <c r="DD763" s="207">
        <v>0</v>
      </c>
      <c r="DE763" s="606">
        <v>0</v>
      </c>
      <c r="DF763" s="269">
        <f>'Detailed Budget'!$AC$147</f>
        <v>5913600671000</v>
      </c>
      <c r="DG763" s="269">
        <f t="shared" si="1863"/>
        <v>0</v>
      </c>
      <c r="DH763" s="269">
        <f>'Detailed Budget'!$AC$153</f>
        <v>226428026880.00003</v>
      </c>
      <c r="DI763" s="269"/>
      <c r="DJ763" s="269">
        <f>'Detailed Budget'!$AC$156</f>
        <v>27713070000</v>
      </c>
      <c r="DK763" s="269"/>
      <c r="DL763" s="269"/>
      <c r="DM763" s="196">
        <f>'Detailed Budget'!$AC$178</f>
        <v>5622683761.6229038</v>
      </c>
      <c r="DN763" s="269">
        <f t="shared" si="2035"/>
        <v>0</v>
      </c>
      <c r="DO763" s="196">
        <f>'Detailed Budget'!$AC$179</f>
        <v>26827890683.128094</v>
      </c>
      <c r="DP763" s="269">
        <f t="shared" si="2036"/>
        <v>0</v>
      </c>
      <c r="DQ763" s="269">
        <f t="shared" ref="DQ763:DQ831" si="2041">DN763+DP763</f>
        <v>0</v>
      </c>
      <c r="DR763" s="269">
        <f>'Detailed Budget'!$AC$181</f>
        <v>50888946855.375237</v>
      </c>
      <c r="DS763" s="269">
        <f t="shared" si="2037"/>
        <v>0</v>
      </c>
      <c r="DT763" s="269">
        <f t="shared" si="2038"/>
        <v>0</v>
      </c>
      <c r="DU763" s="272">
        <f>'Detailed Budget'!$AC$192</f>
        <v>77498869683.252869</v>
      </c>
      <c r="DV763" s="269">
        <f t="shared" si="2005"/>
        <v>87587087.996134356</v>
      </c>
      <c r="DW763" s="140">
        <f>'Detailed Budget'!$AC$194</f>
        <v>2684962805.4134097</v>
      </c>
      <c r="DX763" s="269">
        <f t="shared" si="2006"/>
        <v>3034471.0118386503</v>
      </c>
      <c r="DY763" s="607">
        <f t="shared" si="1977"/>
        <v>90621559.007973</v>
      </c>
      <c r="DZ763" s="196">
        <f>'Detailed Budget'!$AC$198</f>
        <v>18732540018.380611</v>
      </c>
      <c r="EA763" s="269">
        <f t="shared" si="2007"/>
        <v>20354251.285114892</v>
      </c>
      <c r="EB763" s="196">
        <f>'Detailed Budget'!$AC$200</f>
        <v>4683135004.5951529</v>
      </c>
      <c r="EC763" s="269">
        <f t="shared" si="2008"/>
        <v>5088562.821278723</v>
      </c>
      <c r="ED763" s="269">
        <f t="shared" si="1978"/>
        <v>25442814.106393613</v>
      </c>
      <c r="EE763" s="196">
        <f>'Detailed Budget'!$AC$161</f>
        <v>251147290106.36197</v>
      </c>
      <c r="EF763" s="269">
        <f t="shared" si="2009"/>
        <v>283839750.03044605</v>
      </c>
      <c r="EG763" s="196">
        <f>'Detailed Budget'!$AC$163</f>
        <v>15696705631.647623</v>
      </c>
      <c r="EH763" s="269">
        <f t="shared" si="2010"/>
        <v>17739984.376902878</v>
      </c>
      <c r="EI763" s="269">
        <f t="shared" si="1979"/>
        <v>301579734.40734893</v>
      </c>
      <c r="EJ763" s="196">
        <f>'Detailed Budget'!$AC$204</f>
        <v>45012172507.531975</v>
      </c>
      <c r="EK763" s="269">
        <f t="shared" si="2011"/>
        <v>58214194.153935194</v>
      </c>
      <c r="EL763" s="201">
        <f>'Detailed Budget'!$AC$206</f>
        <v>11253043126.882994</v>
      </c>
      <c r="EM763" s="269">
        <f t="shared" si="2012"/>
        <v>14553548.538483799</v>
      </c>
      <c r="EN763" s="269">
        <f t="shared" si="1980"/>
        <v>72767742.692418993</v>
      </c>
      <c r="EO763" s="140">
        <f>'Detailed Budget'!$AC$209</f>
        <v>135789361677.54817</v>
      </c>
      <c r="EP763" s="269">
        <f t="shared" si="2013"/>
        <v>140545278.47495696</v>
      </c>
      <c r="EQ763" s="196">
        <f>'Detailed Budget'!$AC$211</f>
        <v>33947340419.387043</v>
      </c>
      <c r="ER763" s="269">
        <f t="shared" si="2014"/>
        <v>35136319.61873924</v>
      </c>
      <c r="ES763" s="269">
        <f t="shared" si="1981"/>
        <v>175681598.09369621</v>
      </c>
      <c r="ET763" s="196">
        <f>'Detailed Budget'!$AC$214</f>
        <v>22239745544.201103</v>
      </c>
      <c r="EU763" s="269">
        <f t="shared" si="2015"/>
        <v>22355116.202381693</v>
      </c>
      <c r="EV763" s="140">
        <f>'Detailed Budget'!$AC$217</f>
        <v>5559936386.0502758</v>
      </c>
      <c r="EW763" s="269">
        <f t="shared" si="2016"/>
        <v>5588779.0505954232</v>
      </c>
      <c r="EX763" s="269">
        <f t="shared" si="1982"/>
        <v>27943895.252977118</v>
      </c>
      <c r="EY763" s="196">
        <f>'Detailed Budget'!$AC$219</f>
        <v>372777004.58170313</v>
      </c>
      <c r="EZ763" s="269">
        <f t="shared" si="2017"/>
        <v>392291.18920997449</v>
      </c>
      <c r="FA763" s="196">
        <f>'Detailed Budget'!$AC$222</f>
        <v>93194251.145425782</v>
      </c>
      <c r="FB763" s="269">
        <f t="shared" si="2018"/>
        <v>98072.797302493622</v>
      </c>
      <c r="FC763" s="269">
        <f t="shared" si="1983"/>
        <v>490363.98651246808</v>
      </c>
      <c r="FD763" s="269"/>
      <c r="FE763" s="269">
        <f t="shared" si="1984"/>
        <v>276883600.02560478</v>
      </c>
      <c r="FF763" s="140">
        <f>'Detailed Budget'!$AC$165</f>
        <v>14927760000</v>
      </c>
      <c r="FG763" s="1087">
        <f t="shared" si="1864"/>
        <v>377687558.42736161</v>
      </c>
      <c r="FH763" s="269">
        <f t="shared" si="2019"/>
        <v>18657579.820474949</v>
      </c>
      <c r="FJ763" s="140">
        <f>'Detailed Budget'!$AC$235</f>
        <v>3623696172</v>
      </c>
      <c r="FK763" s="269">
        <f t="shared" si="2020"/>
        <v>4681778</v>
      </c>
      <c r="FL763" s="269">
        <f t="shared" si="1865"/>
        <v>4681778</v>
      </c>
      <c r="FO763" s="607"/>
      <c r="FP763" s="607"/>
      <c r="FQ763" s="607"/>
      <c r="FR763" s="269">
        <f>'Detailed Budget'!$AC$257</f>
        <v>13636439388</v>
      </c>
      <c r="FS763" s="269">
        <f t="shared" si="2021"/>
        <v>9493692</v>
      </c>
      <c r="FT763" s="269">
        <f t="shared" si="1866"/>
        <v>9493692</v>
      </c>
      <c r="FU763" s="269"/>
      <c r="FV763" s="269"/>
      <c r="FW763" s="269"/>
      <c r="FX763" s="140">
        <f>'Detailed Budget'!$AC$278</f>
        <v>1114560000</v>
      </c>
      <c r="FY763" s="269">
        <f t="shared" si="2022"/>
        <v>1440000</v>
      </c>
      <c r="FZ763" s="269">
        <f t="shared" si="1867"/>
        <v>1440000</v>
      </c>
      <c r="GB763" s="269">
        <f t="shared" si="1899"/>
        <v>1240652081.4698493</v>
      </c>
      <c r="GC763" s="887">
        <f t="shared" si="1985"/>
        <v>775407.55091865582</v>
      </c>
      <c r="GD763" s="1078">
        <f t="shared" si="1900"/>
        <v>6.9616894993386068E-4</v>
      </c>
    </row>
    <row r="764" spans="1:186" hidden="1" outlineLevel="1">
      <c r="A764" s="211" t="s">
        <v>1608</v>
      </c>
      <c r="B764" s="212" t="s">
        <v>1613</v>
      </c>
      <c r="C764" s="213" t="s">
        <v>215</v>
      </c>
      <c r="D764" s="214"/>
      <c r="E764" s="213"/>
      <c r="F764" s="213"/>
      <c r="G764" s="213" t="s">
        <v>215</v>
      </c>
      <c r="H764" s="213" t="s">
        <v>215</v>
      </c>
      <c r="I764" s="214" t="s">
        <v>215</v>
      </c>
      <c r="J764" s="214"/>
      <c r="K764" s="213"/>
      <c r="L764" s="213"/>
      <c r="M764" s="214"/>
      <c r="N764" s="213"/>
      <c r="O764" s="214" t="s">
        <v>215</v>
      </c>
      <c r="P764" s="213"/>
      <c r="Q764" s="214"/>
      <c r="R764" s="214" t="s">
        <v>215</v>
      </c>
      <c r="S764" s="214"/>
      <c r="T764" s="214"/>
      <c r="U764" s="215">
        <f t="shared" si="1905"/>
        <v>6</v>
      </c>
      <c r="V764" s="845" t="s">
        <v>216</v>
      </c>
      <c r="W764" s="216">
        <v>119117</v>
      </c>
      <c r="X764" s="217">
        <v>3.31</v>
      </c>
      <c r="Y764" s="218">
        <f t="shared" si="1965"/>
        <v>1.0330999999999999</v>
      </c>
      <c r="Z764" s="196">
        <v>19</v>
      </c>
      <c r="AA764" s="218">
        <f t="shared" si="1966"/>
        <v>1.8565423880120511</v>
      </c>
      <c r="AB764" s="196">
        <f t="shared" si="1996"/>
        <v>221145.7596328315</v>
      </c>
      <c r="AC764">
        <v>14.1</v>
      </c>
      <c r="AD764" s="196">
        <f t="shared" si="1997"/>
        <v>31181.55210822924</v>
      </c>
      <c r="AE764" s="196">
        <f t="shared" si="1967"/>
        <v>29622.474502817775</v>
      </c>
      <c r="AF764" s="196">
        <f t="shared" si="2023"/>
        <v>0</v>
      </c>
      <c r="AG764" s="606">
        <f t="shared" si="1988"/>
        <v>1.369613175910534E-3</v>
      </c>
      <c r="AH764" s="196">
        <f t="shared" si="2039"/>
        <v>11057.287981641575</v>
      </c>
      <c r="AI764" s="248">
        <f t="shared" si="1964"/>
        <v>8.5659134651006996E-4</v>
      </c>
      <c r="AJ764" s="196">
        <f t="shared" si="1968"/>
        <v>42238.840089870813</v>
      </c>
      <c r="AK764" s="196">
        <f t="shared" si="1998"/>
        <v>8845.8303853132602</v>
      </c>
      <c r="AL764" s="196">
        <f t="shared" si="1999"/>
        <v>8845.8303853132602</v>
      </c>
      <c r="AM764" s="196">
        <f t="shared" si="1969"/>
        <v>17691.66077062652</v>
      </c>
      <c r="AN764" s="627">
        <f t="shared" si="1970"/>
        <v>8.5659134651006996E-4</v>
      </c>
      <c r="AO764" s="196">
        <f t="shared" si="1971"/>
        <v>8403.5388660475965</v>
      </c>
      <c r="AP764" s="589">
        <f t="shared" si="1989"/>
        <v>8.5659134651006985E-4</v>
      </c>
      <c r="AQ764" s="196"/>
      <c r="AR764" s="589"/>
      <c r="AS764">
        <v>1</v>
      </c>
      <c r="AT764" s="589">
        <f t="shared" si="1990"/>
        <v>1.2919896640826874E-3</v>
      </c>
      <c r="AU764" s="196">
        <v>10</v>
      </c>
      <c r="AV764" s="245">
        <f t="shared" si="1972"/>
        <v>1.1362345188046814E-3</v>
      </c>
      <c r="AX764" s="245"/>
      <c r="AY764" s="245"/>
      <c r="AZ764" s="196">
        <v>12</v>
      </c>
      <c r="BA764" s="589">
        <f t="shared" si="1871"/>
        <v>4.3970539738375289E-4</v>
      </c>
      <c r="BI764" s="196">
        <v>0</v>
      </c>
      <c r="BK764" s="246">
        <f t="shared" si="1872"/>
        <v>0</v>
      </c>
      <c r="BL764" s="246"/>
      <c r="BM764" s="246">
        <f t="shared" si="1873"/>
        <v>0</v>
      </c>
      <c r="BN764" s="196">
        <v>1</v>
      </c>
      <c r="BO764" s="196">
        <f t="shared" si="2024"/>
        <v>12138.141574805808</v>
      </c>
      <c r="BP764" s="196">
        <f t="shared" si="1973"/>
        <v>12138.141574805808</v>
      </c>
      <c r="BQ764" s="248">
        <f t="shared" si="1874"/>
        <v>1.1354666200566836E-3</v>
      </c>
      <c r="BR764" s="248"/>
      <c r="BS764" s="248"/>
      <c r="BT764" s="276">
        <v>0</v>
      </c>
      <c r="BU764" s="196">
        <f t="shared" si="2025"/>
        <v>0</v>
      </c>
      <c r="BV764" s="264">
        <f t="shared" si="1875"/>
        <v>0</v>
      </c>
      <c r="BW764" s="196">
        <f t="shared" si="2026"/>
        <v>0</v>
      </c>
      <c r="BX764" s="247">
        <f t="shared" si="1876"/>
        <v>0</v>
      </c>
      <c r="BY764" s="196">
        <f t="shared" si="2027"/>
        <v>0</v>
      </c>
      <c r="BZ764" s="620">
        <v>1</v>
      </c>
      <c r="CA764" s="196">
        <f t="shared" si="2028"/>
        <v>67670.602447646437</v>
      </c>
      <c r="CB764" s="196">
        <f t="shared" si="2029"/>
        <v>135341.20489529287</v>
      </c>
      <c r="CC764" s="196">
        <f t="shared" si="1986"/>
        <v>203011.80734293931</v>
      </c>
      <c r="CD764" s="247">
        <f t="shared" si="1974"/>
        <v>8.5659134651006996E-4</v>
      </c>
      <c r="CE764" s="196">
        <f t="shared" si="2030"/>
        <v>19071.001938882739</v>
      </c>
      <c r="CF764" s="247">
        <f t="shared" si="1975"/>
        <v>8.2354517350078553E-4</v>
      </c>
      <c r="CG764" s="196">
        <f t="shared" si="2001"/>
        <v>33614.155464190386</v>
      </c>
      <c r="CH764" s="589">
        <f t="shared" si="1991"/>
        <v>8.5659134651006985E-4</v>
      </c>
      <c r="CI764" s="196">
        <f t="shared" si="2031"/>
        <v>59624.689816868624</v>
      </c>
      <c r="CJ764" s="248">
        <f t="shared" si="1992"/>
        <v>9.8022974924184695E-4</v>
      </c>
      <c r="CK764" s="196">
        <f t="shared" si="2032"/>
        <v>54571.439449853322</v>
      </c>
      <c r="CL764" s="589">
        <f t="shared" si="1993"/>
        <v>7.8447566695784103E-4</v>
      </c>
      <c r="CM764" s="196">
        <f t="shared" si="2033"/>
        <v>5286.6170285323724</v>
      </c>
      <c r="CN764" s="589">
        <f t="shared" si="1994"/>
        <v>7.6186159436921917E-4</v>
      </c>
      <c r="CO764" s="196">
        <f t="shared" si="2034"/>
        <v>422.94333443268744</v>
      </c>
      <c r="CP764" s="589">
        <f t="shared" si="1995"/>
        <v>7.9760598347374228E-4</v>
      </c>
      <c r="CQ764" s="196">
        <f>'Detailed Budget'!$AC$12</f>
        <v>292876014141.44696</v>
      </c>
      <c r="CR764" s="269">
        <f t="shared" si="2040"/>
        <v>0</v>
      </c>
      <c r="CS764" s="269">
        <f>'Detailed Budget'!$AC$16</f>
        <v>10488008800.000002</v>
      </c>
      <c r="CT764" s="607">
        <f t="shared" si="2002"/>
        <v>0</v>
      </c>
      <c r="CU764" s="269">
        <f>'Detailed Budget'!$AC$24</f>
        <v>30624985696</v>
      </c>
      <c r="CV764" s="269">
        <f t="shared" si="1868"/>
        <v>0</v>
      </c>
      <c r="CW764" s="269"/>
      <c r="CX764" s="269">
        <f t="shared" si="1987"/>
        <v>0</v>
      </c>
      <c r="CY764" s="196">
        <f>'Detailed Budget'!$AC$97</f>
        <v>74629165494.837845</v>
      </c>
      <c r="CZ764" s="269">
        <f t="shared" si="2003"/>
        <v>84738926.302074403</v>
      </c>
      <c r="DA764" s="269">
        <f>'Detailed Budget'!$AC$100</f>
        <v>14925833098.967569</v>
      </c>
      <c r="DB764" s="269">
        <f t="shared" si="2004"/>
        <v>16947785.260414883</v>
      </c>
      <c r="DC764" s="269">
        <f t="shared" si="1976"/>
        <v>101686711.56248929</v>
      </c>
      <c r="DD764" s="207">
        <v>0</v>
      </c>
      <c r="DE764" s="606">
        <v>0</v>
      </c>
      <c r="DF764" s="269">
        <f>'Detailed Budget'!$AC$147</f>
        <v>5913600671000</v>
      </c>
      <c r="DG764" s="269">
        <f t="shared" si="1863"/>
        <v>0</v>
      </c>
      <c r="DH764" s="269">
        <f>'Detailed Budget'!$AC$153</f>
        <v>226428026880.00003</v>
      </c>
      <c r="DI764" s="269"/>
      <c r="DJ764" s="269">
        <f>'Detailed Budget'!$AC$156</f>
        <v>27713070000</v>
      </c>
      <c r="DK764" s="269"/>
      <c r="DL764" s="269"/>
      <c r="DM764" s="196">
        <f>'Detailed Budget'!$AC$178</f>
        <v>5622683761.6229038</v>
      </c>
      <c r="DN764" s="269">
        <f t="shared" si="2035"/>
        <v>0</v>
      </c>
      <c r="DO764" s="196">
        <f>'Detailed Budget'!$AC$179</f>
        <v>26827890683.128094</v>
      </c>
      <c r="DP764" s="269">
        <f t="shared" si="2036"/>
        <v>0</v>
      </c>
      <c r="DQ764" s="269">
        <f t="shared" si="2041"/>
        <v>0</v>
      </c>
      <c r="DR764" s="269">
        <f>'Detailed Budget'!$AC$181</f>
        <v>50888946855.375237</v>
      </c>
      <c r="DS764" s="269">
        <f t="shared" si="2037"/>
        <v>0</v>
      </c>
      <c r="DT764" s="269">
        <f t="shared" si="2038"/>
        <v>0</v>
      </c>
      <c r="DU764" s="272">
        <f>'Detailed Budget'!$AC$192</f>
        <v>77498869683.252869</v>
      </c>
      <c r="DV764" s="269">
        <f t="shared" si="2005"/>
        <v>66384861.134986013</v>
      </c>
      <c r="DW764" s="140">
        <f>'Detailed Budget'!$AC$194</f>
        <v>2684962805.4134097</v>
      </c>
      <c r="DX764" s="269">
        <f t="shared" si="2006"/>
        <v>2299915.9048185274</v>
      </c>
      <c r="DY764" s="607">
        <f t="shared" si="1977"/>
        <v>68684777.039804548</v>
      </c>
      <c r="DZ764" s="196">
        <f>'Detailed Budget'!$AC$198</f>
        <v>18732540018.380611</v>
      </c>
      <c r="EA764" s="269">
        <f t="shared" si="2007"/>
        <v>15427092.91954767</v>
      </c>
      <c r="EB764" s="196">
        <f>'Detailed Budget'!$AC$200</f>
        <v>4683135004.5951529</v>
      </c>
      <c r="EC764" s="269">
        <f t="shared" si="2008"/>
        <v>3856773.2298869174</v>
      </c>
      <c r="ED764" s="269">
        <f t="shared" si="1978"/>
        <v>19283866.149434589</v>
      </c>
      <c r="EE764" s="196">
        <f>'Detailed Budget'!$AC$161</f>
        <v>251147290106.36197</v>
      </c>
      <c r="EF764" s="269">
        <f t="shared" si="2009"/>
        <v>215130595.40456375</v>
      </c>
      <c r="EG764" s="196">
        <f>'Detailed Budget'!$AC$163</f>
        <v>15696705631.647623</v>
      </c>
      <c r="EH764" s="269">
        <f t="shared" si="2010"/>
        <v>13445662.212785235</v>
      </c>
      <c r="EI764" s="269">
        <f t="shared" si="1979"/>
        <v>228576257.617349</v>
      </c>
      <c r="EJ764" s="196">
        <f>'Detailed Budget'!$AC$204</f>
        <v>45012172507.531975</v>
      </c>
      <c r="EK764" s="269">
        <f t="shared" si="2011"/>
        <v>44122270.569888823</v>
      </c>
      <c r="EL764" s="201">
        <f>'Detailed Budget'!$AC$206</f>
        <v>11253043126.882994</v>
      </c>
      <c r="EM764" s="269">
        <f t="shared" si="2012"/>
        <v>11030567.642472206</v>
      </c>
      <c r="EN764" s="269">
        <f t="shared" si="1980"/>
        <v>55152838.21236103</v>
      </c>
      <c r="EO764" s="140">
        <f>'Detailed Budget'!$AC$209</f>
        <v>135789361677.54817</v>
      </c>
      <c r="EP764" s="269">
        <f t="shared" si="2013"/>
        <v>106523450.0677741</v>
      </c>
      <c r="EQ764" s="196">
        <f>'Detailed Budget'!$AC$211</f>
        <v>33947340419.387043</v>
      </c>
      <c r="ER764" s="269">
        <f t="shared" si="2014"/>
        <v>26630862.516943526</v>
      </c>
      <c r="ES764" s="269">
        <f t="shared" si="1981"/>
        <v>133154312.58471763</v>
      </c>
      <c r="ET764" s="196">
        <f>'Detailed Budget'!$AC$214</f>
        <v>22239745544.201103</v>
      </c>
      <c r="EU764" s="269">
        <f t="shared" si="2015"/>
        <v>16943607.99867079</v>
      </c>
      <c r="EV764" s="140">
        <f>'Detailed Budget'!$AC$217</f>
        <v>5559936386.0502758</v>
      </c>
      <c r="EW764" s="269">
        <f t="shared" si="2016"/>
        <v>4235901.9996676976</v>
      </c>
      <c r="EX764" s="269">
        <f t="shared" si="1982"/>
        <v>21179509.998338487</v>
      </c>
      <c r="EY764" s="196">
        <f>'Detailed Budget'!$AC$219</f>
        <v>372777004.58170313</v>
      </c>
      <c r="EZ764" s="269">
        <f t="shared" si="2017"/>
        <v>297329.16935578507</v>
      </c>
      <c r="FA764" s="196">
        <f>'Detailed Budget'!$AC$222</f>
        <v>93194251.145425782</v>
      </c>
      <c r="FB764" s="269">
        <f t="shared" si="2018"/>
        <v>74332.292338946267</v>
      </c>
      <c r="FC764" s="269">
        <f t="shared" si="1983"/>
        <v>371661.46169473132</v>
      </c>
      <c r="FD764" s="269"/>
      <c r="FE764" s="269">
        <f t="shared" si="1984"/>
        <v>209858322.25711188</v>
      </c>
      <c r="FF764" s="140">
        <f>'Detailed Budget'!$AC$165</f>
        <v>14927760000</v>
      </c>
      <c r="FG764" s="1087">
        <f t="shared" si="1864"/>
        <v>286260642.88972467</v>
      </c>
      <c r="FH764" s="269">
        <f t="shared" si="2019"/>
        <v>16961436.200431772</v>
      </c>
      <c r="FJ764" s="140">
        <f>'Detailed Budget'!$AC$235</f>
        <v>3623696172</v>
      </c>
      <c r="FK764" s="269">
        <f t="shared" si="2020"/>
        <v>4681778</v>
      </c>
      <c r="FL764" s="269">
        <f t="shared" si="1865"/>
        <v>4681778</v>
      </c>
      <c r="FO764" s="607"/>
      <c r="FP764" s="607"/>
      <c r="FQ764" s="607"/>
      <c r="FR764" s="269">
        <f>'Detailed Budget'!$AC$257</f>
        <v>13636439388</v>
      </c>
      <c r="FS764" s="269">
        <f t="shared" si="2021"/>
        <v>5996016</v>
      </c>
      <c r="FT764" s="269">
        <f t="shared" si="1866"/>
        <v>5996016</v>
      </c>
      <c r="FU764" s="269"/>
      <c r="FV764" s="269"/>
      <c r="FW764" s="269"/>
      <c r="FX764" s="140">
        <f>'Detailed Budget'!$AC$278</f>
        <v>1114560000</v>
      </c>
      <c r="FY764" s="269">
        <f t="shared" si="2022"/>
        <v>1440000</v>
      </c>
      <c r="FZ764" s="269">
        <f t="shared" si="1867"/>
        <v>1440000</v>
      </c>
      <c r="GB764" s="269">
        <f t="shared" si="1899"/>
        <v>943429807.71634579</v>
      </c>
      <c r="GC764" s="887">
        <f t="shared" si="1985"/>
        <v>589643.62982271612</v>
      </c>
      <c r="GD764" s="1078">
        <f t="shared" si="1900"/>
        <v>5.2938817286799021E-4</v>
      </c>
    </row>
    <row r="765" spans="1:186" hidden="1" outlineLevel="1">
      <c r="A765" s="211" t="s">
        <v>1610</v>
      </c>
      <c r="B765" s="212" t="s">
        <v>1615</v>
      </c>
      <c r="C765" s="213" t="s">
        <v>215</v>
      </c>
      <c r="D765" s="214"/>
      <c r="E765" s="213"/>
      <c r="F765" s="213"/>
      <c r="G765" s="213" t="s">
        <v>215</v>
      </c>
      <c r="H765" s="213" t="s">
        <v>215</v>
      </c>
      <c r="I765" s="214" t="s">
        <v>215</v>
      </c>
      <c r="J765" s="214"/>
      <c r="K765" s="213"/>
      <c r="L765" s="213"/>
      <c r="M765" s="214" t="s">
        <v>215</v>
      </c>
      <c r="N765" s="213"/>
      <c r="O765" s="214"/>
      <c r="P765" s="213"/>
      <c r="Q765" s="214"/>
      <c r="R765" s="214" t="s">
        <v>215</v>
      </c>
      <c r="S765" s="214"/>
      <c r="T765" s="214"/>
      <c r="U765" s="215">
        <f t="shared" si="1905"/>
        <v>6</v>
      </c>
      <c r="V765" s="845" t="s">
        <v>216</v>
      </c>
      <c r="W765" s="216">
        <v>82952</v>
      </c>
      <c r="X765" s="217">
        <v>3.31</v>
      </c>
      <c r="Y765" s="218">
        <f t="shared" si="1965"/>
        <v>1.0330999999999999</v>
      </c>
      <c r="Z765" s="196">
        <v>19</v>
      </c>
      <c r="AA765" s="218">
        <f t="shared" si="1966"/>
        <v>1.8565423880120511</v>
      </c>
      <c r="AB765" s="196">
        <f t="shared" si="1996"/>
        <v>154003.90417037567</v>
      </c>
      <c r="AC765">
        <v>14.1</v>
      </c>
      <c r="AD765" s="196">
        <f t="shared" si="1997"/>
        <v>21714.550488022967</v>
      </c>
      <c r="AE765" s="196">
        <f t="shared" si="1967"/>
        <v>20628.822963621817</v>
      </c>
      <c r="AF765" s="196">
        <f t="shared" si="2023"/>
        <v>0</v>
      </c>
      <c r="AG765" s="606">
        <f t="shared" si="1988"/>
        <v>9.5378621160817194E-4</v>
      </c>
      <c r="AH765" s="196">
        <f t="shared" si="2039"/>
        <v>7700.1952085187841</v>
      </c>
      <c r="AI765" s="248">
        <f t="shared" si="1964"/>
        <v>5.9652245586862772E-4</v>
      </c>
      <c r="AJ765" s="196">
        <f t="shared" si="1968"/>
        <v>29414.745696541751</v>
      </c>
      <c r="AK765" s="196">
        <f t="shared" si="1998"/>
        <v>6160.1561668150271</v>
      </c>
      <c r="AL765" s="196">
        <f t="shared" si="1999"/>
        <v>6160.1561668150271</v>
      </c>
      <c r="AM765" s="196">
        <f t="shared" si="1969"/>
        <v>12320.312333630054</v>
      </c>
      <c r="AN765" s="627">
        <f t="shared" si="1970"/>
        <v>5.9652245586862772E-4</v>
      </c>
      <c r="AO765" s="196">
        <f t="shared" si="1971"/>
        <v>5852.1483584742755</v>
      </c>
      <c r="AP765" s="589">
        <f t="shared" si="1989"/>
        <v>5.9652245586862762E-4</v>
      </c>
      <c r="AQ765" s="196"/>
      <c r="AR765" s="589"/>
      <c r="AS765">
        <v>1</v>
      </c>
      <c r="AT765" s="589">
        <f t="shared" si="1990"/>
        <v>1.2919896640826874E-3</v>
      </c>
      <c r="AU765" s="196">
        <v>10</v>
      </c>
      <c r="AV765" s="245">
        <f t="shared" si="1972"/>
        <v>1.1362345188046814E-3</v>
      </c>
      <c r="AX765" s="245"/>
      <c r="AY765" s="245"/>
      <c r="AZ765" s="196">
        <v>14</v>
      </c>
      <c r="BA765" s="589">
        <f t="shared" si="1871"/>
        <v>5.1298963028104507E-4</v>
      </c>
      <c r="BI765" s="196">
        <v>0</v>
      </c>
      <c r="BK765" s="246">
        <f t="shared" si="1872"/>
        <v>0</v>
      </c>
      <c r="BL765" s="246"/>
      <c r="BM765" s="246">
        <f t="shared" si="1873"/>
        <v>0</v>
      </c>
      <c r="BN765" s="196">
        <v>1</v>
      </c>
      <c r="BO765" s="196">
        <f t="shared" si="2024"/>
        <v>8452.8918618945354</v>
      </c>
      <c r="BP765" s="196">
        <f t="shared" si="1973"/>
        <v>8452.8918618945354</v>
      </c>
      <c r="BQ765" s="248">
        <f t="shared" si="1874"/>
        <v>7.907286706930331E-4</v>
      </c>
      <c r="BR765" s="248"/>
      <c r="BS765" s="248"/>
      <c r="BT765" s="276">
        <v>0</v>
      </c>
      <c r="BU765" s="196">
        <f t="shared" si="2025"/>
        <v>0</v>
      </c>
      <c r="BV765" s="264">
        <f t="shared" si="1875"/>
        <v>0</v>
      </c>
      <c r="BW765" s="196">
        <f t="shared" si="2026"/>
        <v>0</v>
      </c>
      <c r="BX765" s="247">
        <f t="shared" si="1876"/>
        <v>0</v>
      </c>
      <c r="BY765" s="196">
        <f t="shared" si="2027"/>
        <v>0</v>
      </c>
      <c r="BZ765" s="620">
        <v>1</v>
      </c>
      <c r="CA765" s="196">
        <f t="shared" si="2028"/>
        <v>47125.194676134961</v>
      </c>
      <c r="CB765" s="196">
        <f t="shared" si="2029"/>
        <v>94250.389352269922</v>
      </c>
      <c r="CC765" s="196">
        <f t="shared" si="1986"/>
        <v>141375.58402840488</v>
      </c>
      <c r="CD765" s="247">
        <f t="shared" si="1974"/>
        <v>5.9652245586862772E-4</v>
      </c>
      <c r="CE765" s="196">
        <f t="shared" si="2030"/>
        <v>13280.873031004819</v>
      </c>
      <c r="CF765" s="247">
        <f t="shared" si="1975"/>
        <v>5.7350940027231349E-4</v>
      </c>
      <c r="CG765" s="196">
        <f t="shared" si="2001"/>
        <v>23408.593433897102</v>
      </c>
      <c r="CH765" s="589">
        <f t="shared" si="1991"/>
        <v>5.9652245586862762E-4</v>
      </c>
      <c r="CI765" s="196">
        <f t="shared" si="2031"/>
        <v>41522.093989009853</v>
      </c>
      <c r="CJ765" s="248">
        <f t="shared" si="1992"/>
        <v>6.8262311978231226E-4</v>
      </c>
      <c r="CK765" s="196">
        <f t="shared" si="2032"/>
        <v>38003.056198898834</v>
      </c>
      <c r="CL765" s="589">
        <f t="shared" si="1993"/>
        <v>5.4630174975433252E-4</v>
      </c>
      <c r="CM765" s="196">
        <f t="shared" si="2033"/>
        <v>3681.55221967324</v>
      </c>
      <c r="CN765" s="589">
        <f t="shared" si="1994"/>
        <v>5.3055351441117101E-4</v>
      </c>
      <c r="CO765" s="196">
        <f t="shared" si="2034"/>
        <v>294.53390765264646</v>
      </c>
      <c r="CP765" s="589">
        <f t="shared" si="1995"/>
        <v>5.5544558325943294E-4</v>
      </c>
      <c r="CQ765" s="196">
        <f>'Detailed Budget'!$AC$12</f>
        <v>292876014141.44696</v>
      </c>
      <c r="CR765" s="269">
        <f t="shared" si="2040"/>
        <v>0</v>
      </c>
      <c r="CS765" s="269">
        <f>'Detailed Budget'!$AC$16</f>
        <v>10488008800.000002</v>
      </c>
      <c r="CT765" s="607">
        <f t="shared" si="2002"/>
        <v>0</v>
      </c>
      <c r="CU765" s="269">
        <f>'Detailed Budget'!$AC$24</f>
        <v>30624985696</v>
      </c>
      <c r="CV765" s="269">
        <f t="shared" si="1868"/>
        <v>0</v>
      </c>
      <c r="CW765" s="269"/>
      <c r="CX765" s="269">
        <f t="shared" si="1987"/>
        <v>0</v>
      </c>
      <c r="CY765" s="196">
        <f>'Detailed Budget'!$AC$97</f>
        <v>74629165494.837845</v>
      </c>
      <c r="CZ765" s="269">
        <f t="shared" si="2003"/>
        <v>59011420.826663502</v>
      </c>
      <c r="DA765" s="269">
        <f>'Detailed Budget'!$AC$100</f>
        <v>14925833098.967569</v>
      </c>
      <c r="DB765" s="269">
        <f t="shared" si="2004"/>
        <v>11802284.165332701</v>
      </c>
      <c r="DC765" s="269">
        <f t="shared" si="1976"/>
        <v>70813704.991996199</v>
      </c>
      <c r="DD765" s="207">
        <v>0</v>
      </c>
      <c r="DE765" s="606">
        <v>0</v>
      </c>
      <c r="DF765" s="269">
        <f>'Detailed Budget'!$AC$147</f>
        <v>5913600671000</v>
      </c>
      <c r="DG765" s="269">
        <f t="shared" si="1863"/>
        <v>0</v>
      </c>
      <c r="DH765" s="269">
        <f>'Detailed Budget'!$AC$153</f>
        <v>226428026880.00003</v>
      </c>
      <c r="DI765" s="269"/>
      <c r="DJ765" s="269">
        <f>'Detailed Budget'!$AC$156</f>
        <v>27713070000</v>
      </c>
      <c r="DK765" s="269"/>
      <c r="DL765" s="269"/>
      <c r="DM765" s="196">
        <f>'Detailed Budget'!$AC$178</f>
        <v>5622683761.6229038</v>
      </c>
      <c r="DN765" s="269">
        <f t="shared" si="2035"/>
        <v>0</v>
      </c>
      <c r="DO765" s="196">
        <f>'Detailed Budget'!$AC$179</f>
        <v>26827890683.128094</v>
      </c>
      <c r="DP765" s="269">
        <f t="shared" si="2036"/>
        <v>0</v>
      </c>
      <c r="DQ765" s="269">
        <f t="shared" si="2041"/>
        <v>0</v>
      </c>
      <c r="DR765" s="269">
        <f>'Detailed Budget'!$AC$181</f>
        <v>50888946855.375237</v>
      </c>
      <c r="DS765" s="269">
        <f t="shared" si="2037"/>
        <v>0</v>
      </c>
      <c r="DT765" s="269">
        <f t="shared" si="2038"/>
        <v>0</v>
      </c>
      <c r="DU765" s="272">
        <f>'Detailed Budget'!$AC$192</f>
        <v>77498869683.252869</v>
      </c>
      <c r="DV765" s="269">
        <f t="shared" si="2005"/>
        <v>46229816.070496738</v>
      </c>
      <c r="DW765" s="140">
        <f>'Detailed Budget'!$AC$194</f>
        <v>2684962805.4134097</v>
      </c>
      <c r="DX765" s="269">
        <f t="shared" si="2006"/>
        <v>1601640.6066011277</v>
      </c>
      <c r="DY765" s="607">
        <f t="shared" si="1977"/>
        <v>47831456.677097864</v>
      </c>
      <c r="DZ765" s="196">
        <f>'Detailed Budget'!$AC$198</f>
        <v>18732540018.380611</v>
      </c>
      <c r="EA765" s="269">
        <f t="shared" si="2007"/>
        <v>10743287.791518576</v>
      </c>
      <c r="EB765" s="196">
        <f>'Detailed Budget'!$AC$200</f>
        <v>4683135004.5951529</v>
      </c>
      <c r="EC765" s="269">
        <f t="shared" si="2008"/>
        <v>2685821.9478796441</v>
      </c>
      <c r="ED765" s="269">
        <f t="shared" si="1978"/>
        <v>13429109.739398221</v>
      </c>
      <c r="EE765" s="196">
        <f>'Detailed Budget'!$AC$161</f>
        <v>251147290106.36197</v>
      </c>
      <c r="EF765" s="269">
        <f t="shared" si="2009"/>
        <v>149814998.27899772</v>
      </c>
      <c r="EG765" s="196">
        <f>'Detailed Budget'!$AC$163</f>
        <v>15696705631.647623</v>
      </c>
      <c r="EH765" s="269">
        <f t="shared" si="2010"/>
        <v>9363437.3924373575</v>
      </c>
      <c r="EI765" s="269">
        <f t="shared" si="1979"/>
        <v>159178435.67143509</v>
      </c>
      <c r="EJ765" s="196">
        <f>'Detailed Budget'!$AC$204</f>
        <v>45012172507.531975</v>
      </c>
      <c r="EK765" s="269">
        <f t="shared" si="2011"/>
        <v>30726349.625271101</v>
      </c>
      <c r="EL765" s="201">
        <f>'Detailed Budget'!$AC$206</f>
        <v>11253043126.882994</v>
      </c>
      <c r="EM765" s="269">
        <f t="shared" si="2012"/>
        <v>7681587.4063177751</v>
      </c>
      <c r="EN765" s="269">
        <f t="shared" si="1980"/>
        <v>38407937.031588875</v>
      </c>
      <c r="EO765" s="140">
        <f>'Detailed Budget'!$AC$209</f>
        <v>135789361677.54817</v>
      </c>
      <c r="EP765" s="269">
        <f t="shared" si="2013"/>
        <v>74181965.882468477</v>
      </c>
      <c r="EQ765" s="196">
        <f>'Detailed Budget'!$AC$211</f>
        <v>33947340419.387043</v>
      </c>
      <c r="ER765" s="269">
        <f t="shared" si="2014"/>
        <v>18545491.470617119</v>
      </c>
      <c r="ES765" s="269">
        <f t="shared" si="1981"/>
        <v>92727457.353085592</v>
      </c>
      <c r="ET765" s="196">
        <f>'Detailed Budget'!$AC$214</f>
        <v>22239745544.201103</v>
      </c>
      <c r="EU765" s="269">
        <f t="shared" si="2015"/>
        <v>11799375.158086076</v>
      </c>
      <c r="EV765" s="140">
        <f>'Detailed Budget'!$AC$217</f>
        <v>5559936386.0502758</v>
      </c>
      <c r="EW765" s="269">
        <f t="shared" si="2016"/>
        <v>2949843.7895215191</v>
      </c>
      <c r="EX765" s="269">
        <f t="shared" si="1982"/>
        <v>14749218.947607595</v>
      </c>
      <c r="EY765" s="196">
        <f>'Detailed Budget'!$AC$219</f>
        <v>372777004.58170313</v>
      </c>
      <c r="EZ765" s="269">
        <f t="shared" si="2017"/>
        <v>207057.3407355884</v>
      </c>
      <c r="FA765" s="196">
        <f>'Detailed Budget'!$AC$222</f>
        <v>93194251.145425782</v>
      </c>
      <c r="FB765" s="269">
        <f t="shared" si="2018"/>
        <v>51764.335183897099</v>
      </c>
      <c r="FC765" s="269">
        <f t="shared" si="1983"/>
        <v>258821.67591948551</v>
      </c>
      <c r="FD765" s="269"/>
      <c r="FE765" s="269">
        <f t="shared" si="1984"/>
        <v>146143435.00820154</v>
      </c>
      <c r="FF765" s="140">
        <f>'Detailed Budget'!$AC$165</f>
        <v>14927760000</v>
      </c>
      <c r="FG765" s="1087">
        <f t="shared" si="1864"/>
        <v>199349319.14830327</v>
      </c>
      <c r="FH765" s="269">
        <f t="shared" si="2019"/>
        <v>16961436.200431772</v>
      </c>
      <c r="FJ765" s="140">
        <f>'Detailed Budget'!$AC$235</f>
        <v>3623696172</v>
      </c>
      <c r="FK765" s="269">
        <f t="shared" si="2020"/>
        <v>4681778</v>
      </c>
      <c r="FL765" s="269">
        <f t="shared" si="1865"/>
        <v>4681778</v>
      </c>
      <c r="FO765" s="607"/>
      <c r="FP765" s="607"/>
      <c r="FQ765" s="607"/>
      <c r="FR765" s="269">
        <f>'Detailed Budget'!$AC$257</f>
        <v>13636439388</v>
      </c>
      <c r="FS765" s="269">
        <f t="shared" si="2021"/>
        <v>6995352</v>
      </c>
      <c r="FT765" s="269">
        <f t="shared" si="1866"/>
        <v>6995352</v>
      </c>
      <c r="FU765" s="269"/>
      <c r="FV765" s="269"/>
      <c r="FW765" s="269"/>
      <c r="FX765" s="140">
        <f>'Detailed Budget'!$AC$278</f>
        <v>1114560000</v>
      </c>
      <c r="FY765" s="269">
        <f t="shared" si="2022"/>
        <v>1440000</v>
      </c>
      <c r="FZ765" s="269">
        <f t="shared" si="1867"/>
        <v>1440000</v>
      </c>
      <c r="GB765" s="269">
        <f t="shared" si="1899"/>
        <v>666824027.43686402</v>
      </c>
      <c r="GC765" s="887">
        <f t="shared" si="1985"/>
        <v>416765.01714804</v>
      </c>
      <c r="GD765" s="1078">
        <f t="shared" si="1900"/>
        <v>3.7417595948527907E-4</v>
      </c>
    </row>
    <row r="766" spans="1:186" hidden="1" outlineLevel="1">
      <c r="A766" s="211" t="s">
        <v>1612</v>
      </c>
      <c r="B766" s="212" t="s">
        <v>1617</v>
      </c>
      <c r="C766" s="213" t="s">
        <v>215</v>
      </c>
      <c r="D766" s="214"/>
      <c r="E766" s="213"/>
      <c r="F766" s="213"/>
      <c r="G766" s="213" t="s">
        <v>215</v>
      </c>
      <c r="H766" s="213" t="s">
        <v>215</v>
      </c>
      <c r="I766" s="214" t="s">
        <v>215</v>
      </c>
      <c r="J766" s="214"/>
      <c r="K766" s="213"/>
      <c r="L766" s="213"/>
      <c r="M766" s="214"/>
      <c r="N766" s="213" t="s">
        <v>215</v>
      </c>
      <c r="O766" s="214"/>
      <c r="P766" s="213"/>
      <c r="Q766" s="214"/>
      <c r="R766" s="214" t="s">
        <v>215</v>
      </c>
      <c r="S766" s="214"/>
      <c r="T766" s="214"/>
      <c r="U766" s="215">
        <f t="shared" si="1905"/>
        <v>6</v>
      </c>
      <c r="V766" s="845" t="s">
        <v>216</v>
      </c>
      <c r="W766" s="216">
        <v>150387</v>
      </c>
      <c r="X766" s="217">
        <v>3.31</v>
      </c>
      <c r="Y766" s="218">
        <f t="shared" si="1965"/>
        <v>1.0330999999999999</v>
      </c>
      <c r="Z766" s="196">
        <v>19</v>
      </c>
      <c r="AA766" s="218">
        <f t="shared" si="1966"/>
        <v>1.8565423880120511</v>
      </c>
      <c r="AB766" s="196">
        <f t="shared" si="1996"/>
        <v>279199.84010596835</v>
      </c>
      <c r="AC766">
        <v>14.1</v>
      </c>
      <c r="AD766" s="196">
        <f t="shared" si="1997"/>
        <v>39367.177454941535</v>
      </c>
      <c r="AE766" s="196">
        <f t="shared" si="1967"/>
        <v>37398.818582194457</v>
      </c>
      <c r="AF766" s="196">
        <f t="shared" si="2023"/>
        <v>0</v>
      </c>
      <c r="AG766" s="606">
        <f t="shared" si="1988"/>
        <v>1.729157187350735E-3</v>
      </c>
      <c r="AH766" s="196">
        <f t="shared" si="2039"/>
        <v>13959.992005298418</v>
      </c>
      <c r="AI766" s="248">
        <f t="shared" si="1964"/>
        <v>1.0814594291965875E-3</v>
      </c>
      <c r="AJ766" s="196">
        <f t="shared" si="1968"/>
        <v>53327.169460239951</v>
      </c>
      <c r="AK766" s="196">
        <f t="shared" si="1998"/>
        <v>11167.993604238734</v>
      </c>
      <c r="AL766" s="196">
        <f t="shared" si="1999"/>
        <v>11167.993604238734</v>
      </c>
      <c r="AM766" s="196">
        <f t="shared" si="1969"/>
        <v>22335.987208477469</v>
      </c>
      <c r="AN766" s="627">
        <f t="shared" si="1970"/>
        <v>1.0814594291965875E-3</v>
      </c>
      <c r="AO766" s="196">
        <f t="shared" si="1971"/>
        <v>10609.593924026798</v>
      </c>
      <c r="AP766" s="589">
        <f t="shared" si="1989"/>
        <v>1.0814594291965875E-3</v>
      </c>
      <c r="AQ766" s="196"/>
      <c r="AR766" s="589"/>
      <c r="AS766">
        <v>1</v>
      </c>
      <c r="AT766" s="589">
        <f t="shared" si="1990"/>
        <v>1.2919896640826874E-3</v>
      </c>
      <c r="AU766" s="196">
        <v>12</v>
      </c>
      <c r="AV766" s="245">
        <f t="shared" si="1972"/>
        <v>1.3634814225656176E-3</v>
      </c>
      <c r="AX766" s="245"/>
      <c r="AY766" s="245"/>
      <c r="AZ766" s="196">
        <v>33</v>
      </c>
      <c r="BA766" s="589">
        <f t="shared" si="1871"/>
        <v>1.2091898428053204E-3</v>
      </c>
      <c r="BI766" s="196">
        <v>0</v>
      </c>
      <c r="BK766" s="246">
        <f t="shared" si="1872"/>
        <v>0</v>
      </c>
      <c r="BL766" s="246"/>
      <c r="BM766" s="246">
        <f t="shared" si="1873"/>
        <v>0</v>
      </c>
      <c r="BN766" s="196">
        <v>1</v>
      </c>
      <c r="BO766" s="196">
        <f t="shared" si="2024"/>
        <v>15324.585886232202</v>
      </c>
      <c r="BP766" s="196">
        <f t="shared" si="1973"/>
        <v>15324.585886232202</v>
      </c>
      <c r="BQ766" s="248">
        <f t="shared" si="1874"/>
        <v>1.4335436469224752E-3</v>
      </c>
      <c r="BR766" s="248"/>
      <c r="BS766" s="248"/>
      <c r="BT766" s="276">
        <v>0</v>
      </c>
      <c r="BU766" s="196">
        <f t="shared" si="2025"/>
        <v>0</v>
      </c>
      <c r="BV766" s="264">
        <f t="shared" si="1875"/>
        <v>0</v>
      </c>
      <c r="BW766" s="196">
        <f t="shared" si="2026"/>
        <v>0</v>
      </c>
      <c r="BX766" s="247">
        <f t="shared" si="1876"/>
        <v>0</v>
      </c>
      <c r="BY766" s="196">
        <f t="shared" si="2027"/>
        <v>0</v>
      </c>
      <c r="BZ766" s="620">
        <v>1</v>
      </c>
      <c r="CA766" s="196">
        <f t="shared" si="2028"/>
        <v>85435.151072426306</v>
      </c>
      <c r="CB766" s="196">
        <f t="shared" si="2029"/>
        <v>170870.30214485261</v>
      </c>
      <c r="CC766" s="196">
        <f t="shared" si="1986"/>
        <v>256305.45321727893</v>
      </c>
      <c r="CD766" s="247">
        <f t="shared" si="1974"/>
        <v>1.0814594291965872E-3</v>
      </c>
      <c r="CE766" s="196">
        <f t="shared" si="2030"/>
        <v>24077.426132145356</v>
      </c>
      <c r="CF766" s="247">
        <f t="shared" si="1975"/>
        <v>1.0397381398730881E-3</v>
      </c>
      <c r="CG766" s="196">
        <f t="shared" si="2001"/>
        <v>42438.375696107192</v>
      </c>
      <c r="CH766" s="589">
        <f t="shared" si="1991"/>
        <v>1.0814594291965875E-3</v>
      </c>
      <c r="CI766" s="196">
        <f t="shared" si="2031"/>
        <v>75277.065637057865</v>
      </c>
      <c r="CJ766" s="248">
        <f t="shared" si="1992"/>
        <v>1.2375547679947751E-3</v>
      </c>
      <c r="CK766" s="196">
        <f t="shared" si="2032"/>
        <v>68897.261218340718</v>
      </c>
      <c r="CL766" s="589">
        <f t="shared" si="1993"/>
        <v>9.9041230157566806E-4</v>
      </c>
      <c r="CM766" s="196">
        <f t="shared" si="2033"/>
        <v>6674.4333308419273</v>
      </c>
      <c r="CN766" s="589">
        <f t="shared" si="1994"/>
        <v>9.6186169558000749E-4</v>
      </c>
      <c r="CO766" s="196">
        <f t="shared" si="2034"/>
        <v>533.97230651652205</v>
      </c>
      <c r="CP766" s="589">
        <f t="shared" si="1995"/>
        <v>1.0069895232138627E-3</v>
      </c>
      <c r="CQ766" s="196">
        <f>'Detailed Budget'!$AC$12</f>
        <v>292876014141.44696</v>
      </c>
      <c r="CR766" s="269">
        <f t="shared" si="2040"/>
        <v>0</v>
      </c>
      <c r="CS766" s="269">
        <f>'Detailed Budget'!$AC$16</f>
        <v>10488008800.000002</v>
      </c>
      <c r="CT766" s="607">
        <f t="shared" si="2002"/>
        <v>0</v>
      </c>
      <c r="CU766" s="269">
        <f>'Detailed Budget'!$AC$24</f>
        <v>30624985696</v>
      </c>
      <c r="CV766" s="269">
        <f t="shared" si="1868"/>
        <v>0</v>
      </c>
      <c r="CW766" s="269"/>
      <c r="CX766" s="269">
        <f t="shared" si="1987"/>
        <v>0</v>
      </c>
      <c r="CY766" s="196">
        <f>'Detailed Budget'!$AC$97</f>
        <v>74629165494.837845</v>
      </c>
      <c r="CZ766" s="269">
        <f t="shared" si="2003"/>
        <v>106984166.07025079</v>
      </c>
      <c r="DA766" s="269">
        <f>'Detailed Budget'!$AC$100</f>
        <v>14925833098.967569</v>
      </c>
      <c r="DB766" s="269">
        <f t="shared" si="2004"/>
        <v>21396833.214050159</v>
      </c>
      <c r="DC766" s="269">
        <f t="shared" si="1976"/>
        <v>128380999.28430095</v>
      </c>
      <c r="DD766" s="207">
        <v>0</v>
      </c>
      <c r="DE766" s="606">
        <v>0</v>
      </c>
      <c r="DF766" s="269">
        <f>'Detailed Budget'!$AC$147</f>
        <v>5913600671000</v>
      </c>
      <c r="DG766" s="269">
        <f t="shared" si="1863"/>
        <v>0</v>
      </c>
      <c r="DH766" s="269">
        <f>'Detailed Budget'!$AC$153</f>
        <v>226428026880.00003</v>
      </c>
      <c r="DI766" s="269"/>
      <c r="DJ766" s="269">
        <f>'Detailed Budget'!$AC$156</f>
        <v>27713070000</v>
      </c>
      <c r="DK766" s="269"/>
      <c r="DL766" s="269"/>
      <c r="DM766" s="196">
        <f>'Detailed Budget'!$AC$178</f>
        <v>5622683761.6229038</v>
      </c>
      <c r="DN766" s="269">
        <f t="shared" si="2035"/>
        <v>0</v>
      </c>
      <c r="DO766" s="196">
        <f>'Detailed Budget'!$AC$179</f>
        <v>26827890683.128094</v>
      </c>
      <c r="DP766" s="269">
        <f t="shared" si="2036"/>
        <v>0</v>
      </c>
      <c r="DQ766" s="269">
        <f t="shared" si="2041"/>
        <v>0</v>
      </c>
      <c r="DR766" s="269">
        <f>'Detailed Budget'!$AC$181</f>
        <v>50888946855.375237</v>
      </c>
      <c r="DS766" s="269">
        <f t="shared" si="2037"/>
        <v>0</v>
      </c>
      <c r="DT766" s="269">
        <f t="shared" si="2038"/>
        <v>0</v>
      </c>
      <c r="DU766" s="272">
        <f>'Detailed Budget'!$AC$192</f>
        <v>77498869683.252869</v>
      </c>
      <c r="DV766" s="269">
        <f t="shared" si="2005"/>
        <v>83811883.371031344</v>
      </c>
      <c r="DW766" s="140">
        <f>'Detailed Budget'!$AC$194</f>
        <v>2684962805.4134097</v>
      </c>
      <c r="DX766" s="269">
        <f t="shared" si="2006"/>
        <v>2903678.342956454</v>
      </c>
      <c r="DY766" s="607">
        <f t="shared" si="1977"/>
        <v>86715561.713987797</v>
      </c>
      <c r="DZ766" s="196">
        <f>'Detailed Budget'!$AC$198</f>
        <v>18732540018.380611</v>
      </c>
      <c r="EA766" s="269">
        <f t="shared" si="2007"/>
        <v>19476936.313809238</v>
      </c>
      <c r="EB766" s="196">
        <f>'Detailed Budget'!$AC$200</f>
        <v>4683135004.5951529</v>
      </c>
      <c r="EC766" s="269">
        <f t="shared" si="2008"/>
        <v>4869234.0784523096</v>
      </c>
      <c r="ED766" s="269">
        <f t="shared" si="1978"/>
        <v>24346170.39226155</v>
      </c>
      <c r="EE766" s="196">
        <f>'Detailed Budget'!$AC$161</f>
        <v>251147290106.36197</v>
      </c>
      <c r="EF766" s="269">
        <f t="shared" si="2009"/>
        <v>271605605.00269598</v>
      </c>
      <c r="EG766" s="196">
        <f>'Detailed Budget'!$AC$163</f>
        <v>15696705631.647623</v>
      </c>
      <c r="EH766" s="269">
        <f t="shared" si="2010"/>
        <v>16975350.312668499</v>
      </c>
      <c r="EI766" s="269">
        <f t="shared" si="1979"/>
        <v>288580955.31536448</v>
      </c>
      <c r="EJ766" s="196">
        <f>'Detailed Budget'!$AC$204</f>
        <v>45012172507.531975</v>
      </c>
      <c r="EK766" s="269">
        <f t="shared" si="2011"/>
        <v>55705028.704499528</v>
      </c>
      <c r="EL766" s="201">
        <f>'Detailed Budget'!$AC$206</f>
        <v>11253043126.882994</v>
      </c>
      <c r="EM766" s="269">
        <f t="shared" si="2012"/>
        <v>13926257.176124882</v>
      </c>
      <c r="EN766" s="269">
        <f t="shared" si="1980"/>
        <v>69631285.880624413</v>
      </c>
      <c r="EO766" s="140">
        <f>'Detailed Budget'!$AC$209</f>
        <v>135789361677.54817</v>
      </c>
      <c r="EP766" s="269">
        <f t="shared" si="2013"/>
        <v>134487454.2285513</v>
      </c>
      <c r="EQ766" s="196">
        <f>'Detailed Budget'!$AC$211</f>
        <v>33947340419.387043</v>
      </c>
      <c r="ER766" s="269">
        <f t="shared" si="2014"/>
        <v>33621863.557137825</v>
      </c>
      <c r="ES766" s="269">
        <f t="shared" si="1981"/>
        <v>168109317.78568912</v>
      </c>
      <c r="ET766" s="196">
        <f>'Detailed Budget'!$AC$214</f>
        <v>22239745544.201103</v>
      </c>
      <c r="EU766" s="269">
        <f t="shared" si="2015"/>
        <v>21391559.35841319</v>
      </c>
      <c r="EV766" s="140">
        <f>'Detailed Budget'!$AC$217</f>
        <v>5559936386.0502758</v>
      </c>
      <c r="EW766" s="269">
        <f t="shared" si="2016"/>
        <v>5347889.8396032974</v>
      </c>
      <c r="EX766" s="269">
        <f t="shared" si="1982"/>
        <v>26739449.198016487</v>
      </c>
      <c r="EY766" s="196">
        <f>'Detailed Budget'!$AC$219</f>
        <v>372777004.58170313</v>
      </c>
      <c r="EZ766" s="269">
        <f t="shared" si="2017"/>
        <v>375382.53810882114</v>
      </c>
      <c r="FA766" s="196">
        <f>'Detailed Budget'!$AC$222</f>
        <v>93194251.145425782</v>
      </c>
      <c r="FB766" s="269">
        <f t="shared" si="2018"/>
        <v>93845.634527205286</v>
      </c>
      <c r="FC766" s="269">
        <f t="shared" si="1983"/>
        <v>469228.1726360264</v>
      </c>
      <c r="FD766" s="269"/>
      <c r="FE766" s="269">
        <f t="shared" si="1984"/>
        <v>264949281.03696606</v>
      </c>
      <c r="FF766" s="140">
        <f>'Detailed Budget'!$AC$165</f>
        <v>14927760000</v>
      </c>
      <c r="FG766" s="1087">
        <f t="shared" si="1864"/>
        <v>361408357.34829652</v>
      </c>
      <c r="FH766" s="269">
        <f t="shared" si="2019"/>
        <v>20353723.440518126</v>
      </c>
      <c r="FJ766" s="140">
        <f>'Detailed Budget'!$AC$235</f>
        <v>3623696172</v>
      </c>
      <c r="FK766" s="269">
        <f t="shared" si="2020"/>
        <v>4681778</v>
      </c>
      <c r="FL766" s="269">
        <f t="shared" si="1865"/>
        <v>4681778</v>
      </c>
      <c r="FO766" s="607"/>
      <c r="FP766" s="607"/>
      <c r="FQ766" s="607"/>
      <c r="FR766" s="269">
        <f>'Detailed Budget'!$AC$257</f>
        <v>13636439388</v>
      </c>
      <c r="FS766" s="269">
        <f t="shared" si="2021"/>
        <v>16489044</v>
      </c>
      <c r="FT766" s="269">
        <f t="shared" si="1866"/>
        <v>16489044</v>
      </c>
      <c r="FU766" s="269"/>
      <c r="FV766" s="269"/>
      <c r="FW766" s="269"/>
      <c r="FX766" s="140">
        <f>'Detailed Budget'!$AC$278</f>
        <v>1114560000</v>
      </c>
      <c r="FY766" s="269">
        <f t="shared" si="2022"/>
        <v>1440000</v>
      </c>
      <c r="FZ766" s="269">
        <f t="shared" si="1867"/>
        <v>1440000</v>
      </c>
      <c r="GB766" s="269">
        <f t="shared" si="1899"/>
        <v>1197345870.5316956</v>
      </c>
      <c r="GC766" s="887">
        <f t="shared" si="1985"/>
        <v>748341.1690823097</v>
      </c>
      <c r="GD766" s="1078">
        <f t="shared" si="1900"/>
        <v>6.7186847130272769E-4</v>
      </c>
    </row>
    <row r="767" spans="1:186" hidden="1" outlineLevel="1">
      <c r="A767" s="211" t="s">
        <v>1614</v>
      </c>
      <c r="B767" s="212" t="s">
        <v>1619</v>
      </c>
      <c r="C767" s="213" t="s">
        <v>215</v>
      </c>
      <c r="D767" s="214"/>
      <c r="E767" s="213"/>
      <c r="F767" s="213"/>
      <c r="G767" s="213" t="s">
        <v>215</v>
      </c>
      <c r="H767" s="213" t="s">
        <v>215</v>
      </c>
      <c r="I767" s="214" t="s">
        <v>215</v>
      </c>
      <c r="J767" s="214"/>
      <c r="K767" s="213"/>
      <c r="L767" s="213"/>
      <c r="M767" s="214"/>
      <c r="N767" s="213" t="s">
        <v>215</v>
      </c>
      <c r="O767" s="214"/>
      <c r="P767" s="213"/>
      <c r="Q767" s="214"/>
      <c r="R767" s="214" t="s">
        <v>215</v>
      </c>
      <c r="S767" s="214"/>
      <c r="T767" s="214"/>
      <c r="U767" s="215">
        <f t="shared" si="1905"/>
        <v>6</v>
      </c>
      <c r="V767" s="845" t="s">
        <v>216</v>
      </c>
      <c r="W767" s="216">
        <v>235071</v>
      </c>
      <c r="X767" s="217">
        <v>3.31</v>
      </c>
      <c r="Y767" s="218">
        <f t="shared" si="1965"/>
        <v>1.0330999999999999</v>
      </c>
      <c r="Z767" s="196">
        <v>19</v>
      </c>
      <c r="AA767" s="218">
        <f t="shared" si="1966"/>
        <v>1.8565423880120511</v>
      </c>
      <c r="AB767" s="196">
        <f t="shared" si="1996"/>
        <v>436419.27569238085</v>
      </c>
      <c r="AC767">
        <v>14.1</v>
      </c>
      <c r="AD767" s="196">
        <f t="shared" si="1997"/>
        <v>61535.117872625699</v>
      </c>
      <c r="AE767" s="196">
        <f t="shared" si="1967"/>
        <v>58458.361978994413</v>
      </c>
      <c r="AF767" s="196">
        <f t="shared" si="2023"/>
        <v>0</v>
      </c>
      <c r="AG767" s="606">
        <f t="shared" si="1988"/>
        <v>2.702858020890932E-3</v>
      </c>
      <c r="AH767" s="196">
        <f t="shared" si="2039"/>
        <v>21820.963784619045</v>
      </c>
      <c r="AI767" s="248">
        <f t="shared" si="1964"/>
        <v>1.6904370024049351E-3</v>
      </c>
      <c r="AJ767" s="196">
        <f t="shared" si="1968"/>
        <v>83356.081657244737</v>
      </c>
      <c r="AK767" s="196">
        <f t="shared" si="1998"/>
        <v>17456.771027695235</v>
      </c>
      <c r="AL767" s="196">
        <f t="shared" si="1999"/>
        <v>17456.771027695235</v>
      </c>
      <c r="AM767" s="196">
        <f t="shared" si="1969"/>
        <v>34913.54205539047</v>
      </c>
      <c r="AN767" s="627">
        <f t="shared" si="1970"/>
        <v>1.6904370024049351E-3</v>
      </c>
      <c r="AO767" s="196">
        <f t="shared" si="1971"/>
        <v>16583.932476310471</v>
      </c>
      <c r="AP767" s="589">
        <f t="shared" si="1989"/>
        <v>1.6904370024049347E-3</v>
      </c>
      <c r="AQ767" s="196"/>
      <c r="AR767" s="589"/>
      <c r="AS767">
        <v>1</v>
      </c>
      <c r="AT767" s="589">
        <f t="shared" si="1990"/>
        <v>1.2919896640826874E-3</v>
      </c>
      <c r="AU767" s="196">
        <v>12</v>
      </c>
      <c r="AV767" s="245">
        <f t="shared" si="1972"/>
        <v>1.3634814225656176E-3</v>
      </c>
      <c r="AX767" s="245"/>
      <c r="AY767" s="245"/>
      <c r="AZ767" s="196">
        <v>48</v>
      </c>
      <c r="BA767" s="589">
        <f t="shared" si="1871"/>
        <v>1.7588215895350116E-3</v>
      </c>
      <c r="BI767" s="196">
        <v>0</v>
      </c>
      <c r="BK767" s="246">
        <f t="shared" si="1872"/>
        <v>0</v>
      </c>
      <c r="BL767" s="246"/>
      <c r="BM767" s="246">
        <f t="shared" si="1873"/>
        <v>0</v>
      </c>
      <c r="BN767" s="196">
        <v>1</v>
      </c>
      <c r="BO767" s="196">
        <f t="shared" si="2024"/>
        <v>23953.97028242128</v>
      </c>
      <c r="BP767" s="196">
        <f t="shared" si="1973"/>
        <v>23953.97028242128</v>
      </c>
      <c r="BQ767" s="248">
        <f t="shared" si="1874"/>
        <v>2.2407823723175082E-3</v>
      </c>
      <c r="BR767" s="248"/>
      <c r="BS767" s="248"/>
      <c r="BT767" s="276">
        <v>0</v>
      </c>
      <c r="BU767" s="196">
        <f t="shared" si="2025"/>
        <v>0</v>
      </c>
      <c r="BV767" s="264">
        <f t="shared" si="1875"/>
        <v>0</v>
      </c>
      <c r="BW767" s="196">
        <f t="shared" si="2026"/>
        <v>0</v>
      </c>
      <c r="BX767" s="247">
        <f t="shared" si="1876"/>
        <v>0</v>
      </c>
      <c r="BY767" s="196">
        <f t="shared" si="2027"/>
        <v>0</v>
      </c>
      <c r="BZ767" s="620">
        <v>1</v>
      </c>
      <c r="CA767" s="196">
        <f t="shared" si="2028"/>
        <v>133544.29836186854</v>
      </c>
      <c r="CB767" s="196">
        <f t="shared" si="2029"/>
        <v>267088.59672373708</v>
      </c>
      <c r="CC767" s="196">
        <f t="shared" si="1986"/>
        <v>400632.89508560562</v>
      </c>
      <c r="CD767" s="247">
        <f t="shared" si="1974"/>
        <v>1.6904370024049349E-3</v>
      </c>
      <c r="CE767" s="196">
        <f t="shared" si="2030"/>
        <v>37635.597746544197</v>
      </c>
      <c r="CF767" s="247">
        <f t="shared" si="1975"/>
        <v>1.6252221553598831E-3</v>
      </c>
      <c r="CG767" s="196">
        <f t="shared" si="2001"/>
        <v>66335.729905241882</v>
      </c>
      <c r="CH767" s="589">
        <f t="shared" si="1991"/>
        <v>1.6904370024049347E-3</v>
      </c>
      <c r="CI767" s="196">
        <f t="shared" si="2031"/>
        <v>117666.12204757612</v>
      </c>
      <c r="CJ767" s="248">
        <f t="shared" si="1992"/>
        <v>1.934430747786044E-3</v>
      </c>
      <c r="CK767" s="196">
        <f t="shared" si="2032"/>
        <v>107693.80393156703</v>
      </c>
      <c r="CL767" s="589">
        <f t="shared" si="1993"/>
        <v>1.5481205831866707E-3</v>
      </c>
      <c r="CM767" s="196">
        <f t="shared" si="2033"/>
        <v>10432.854685008297</v>
      </c>
      <c r="CN767" s="589">
        <f t="shared" si="1994"/>
        <v>1.5034929258625276E-3</v>
      </c>
      <c r="CO767" s="196">
        <f t="shared" si="2034"/>
        <v>834.65594808823482</v>
      </c>
      <c r="CP767" s="589">
        <f t="shared" si="1995"/>
        <v>1.5740325574112517E-3</v>
      </c>
      <c r="CQ767" s="196">
        <f>'Detailed Budget'!$AC$12</f>
        <v>292876014141.44696</v>
      </c>
      <c r="CR767" s="269">
        <f t="shared" si="2040"/>
        <v>0</v>
      </c>
      <c r="CS767" s="269">
        <f>'Detailed Budget'!$AC$16</f>
        <v>10488008800.000002</v>
      </c>
      <c r="CT767" s="607">
        <f t="shared" si="2002"/>
        <v>0</v>
      </c>
      <c r="CU767" s="269">
        <f>'Detailed Budget'!$AC$24</f>
        <v>30624985696</v>
      </c>
      <c r="CV767" s="269">
        <f t="shared" si="1868"/>
        <v>0</v>
      </c>
      <c r="CW767" s="269"/>
      <c r="CX767" s="269">
        <f t="shared" si="1987"/>
        <v>0</v>
      </c>
      <c r="CY767" s="196">
        <f>'Detailed Budget'!$AC$97</f>
        <v>74629165494.837845</v>
      </c>
      <c r="CZ767" s="269">
        <f t="shared" si="2003"/>
        <v>167227718.50159866</v>
      </c>
      <c r="DA767" s="269">
        <f>'Detailed Budget'!$AC$100</f>
        <v>14925833098.967569</v>
      </c>
      <c r="DB767" s="269">
        <f t="shared" si="2004"/>
        <v>33445543.700319733</v>
      </c>
      <c r="DC767" s="269">
        <f t="shared" si="1976"/>
        <v>200673262.20191839</v>
      </c>
      <c r="DD767" s="207">
        <v>0</v>
      </c>
      <c r="DE767" s="606">
        <v>0</v>
      </c>
      <c r="DF767" s="269">
        <f>'Detailed Budget'!$AC$147</f>
        <v>5913600671000</v>
      </c>
      <c r="DG767" s="269">
        <f t="shared" si="1863"/>
        <v>0</v>
      </c>
      <c r="DH767" s="269">
        <f>'Detailed Budget'!$AC$153</f>
        <v>226428026880.00003</v>
      </c>
      <c r="DI767" s="269"/>
      <c r="DJ767" s="269">
        <f>'Detailed Budget'!$AC$156</f>
        <v>27713070000</v>
      </c>
      <c r="DK767" s="269"/>
      <c r="DL767" s="269"/>
      <c r="DM767" s="196">
        <f>'Detailed Budget'!$AC$178</f>
        <v>5622683761.6229038</v>
      </c>
      <c r="DN767" s="269">
        <f t="shared" si="2035"/>
        <v>0</v>
      </c>
      <c r="DO767" s="196">
        <f>'Detailed Budget'!$AC$179</f>
        <v>26827890683.128094</v>
      </c>
      <c r="DP767" s="269">
        <f t="shared" si="2036"/>
        <v>0</v>
      </c>
      <c r="DQ767" s="269">
        <f t="shared" si="2041"/>
        <v>0</v>
      </c>
      <c r="DR767" s="269">
        <f>'Detailed Budget'!$AC$181</f>
        <v>50888946855.375237</v>
      </c>
      <c r="DS767" s="269">
        <f t="shared" si="2037"/>
        <v>0</v>
      </c>
      <c r="DT767" s="269">
        <f t="shared" si="2038"/>
        <v>0</v>
      </c>
      <c r="DU767" s="272">
        <f>'Detailed Budget'!$AC$192</f>
        <v>77498869683.252869</v>
      </c>
      <c r="DV767" s="269">
        <f t="shared" si="2005"/>
        <v>131006956.95712866</v>
      </c>
      <c r="DW767" s="140">
        <f>'Detailed Budget'!$AC$194</f>
        <v>2684962805.4134097</v>
      </c>
      <c r="DX767" s="269">
        <f t="shared" si="2006"/>
        <v>4538760.4763517892</v>
      </c>
      <c r="DY767" s="607">
        <f t="shared" si="1977"/>
        <v>135545717.43348044</v>
      </c>
      <c r="DZ767" s="196">
        <f>'Detailed Budget'!$AC$198</f>
        <v>18732540018.380611</v>
      </c>
      <c r="EA767" s="269">
        <f t="shared" si="2007"/>
        <v>30444539.064037804</v>
      </c>
      <c r="EB767" s="196">
        <f>'Detailed Budget'!$AC$200</f>
        <v>4683135004.5951529</v>
      </c>
      <c r="EC767" s="269">
        <f t="shared" si="2008"/>
        <v>7611134.7660094509</v>
      </c>
      <c r="ED767" s="269">
        <f t="shared" si="1978"/>
        <v>38055673.830047257</v>
      </c>
      <c r="EE767" s="196">
        <f>'Detailed Budget'!$AC$161</f>
        <v>251147290106.36197</v>
      </c>
      <c r="EF767" s="269">
        <f t="shared" si="2009"/>
        <v>424548672.24952102</v>
      </c>
      <c r="EG767" s="196">
        <f>'Detailed Budget'!$AC$163</f>
        <v>15696705631.647623</v>
      </c>
      <c r="EH767" s="269">
        <f t="shared" si="2010"/>
        <v>26534292.015595064</v>
      </c>
      <c r="EI767" s="269">
        <f t="shared" si="1979"/>
        <v>451082964.2651161</v>
      </c>
      <c r="EJ767" s="196">
        <f>'Detailed Budget'!$AC$204</f>
        <v>45012172507.531975</v>
      </c>
      <c r="EK767" s="269">
        <f t="shared" si="2011"/>
        <v>87072930.523219496</v>
      </c>
      <c r="EL767" s="201">
        <f>'Detailed Budget'!$AC$206</f>
        <v>11253043126.882994</v>
      </c>
      <c r="EM767" s="269">
        <f t="shared" si="2012"/>
        <v>21768232.630804874</v>
      </c>
      <c r="EN767" s="269">
        <f t="shared" si="1980"/>
        <v>108841163.15402436</v>
      </c>
      <c r="EO767" s="140">
        <f>'Detailed Budget'!$AC$209</f>
        <v>135789361677.54817</v>
      </c>
      <c r="EP767" s="269">
        <f t="shared" si="2013"/>
        <v>210218305.79079163</v>
      </c>
      <c r="EQ767" s="196">
        <f>'Detailed Budget'!$AC$211</f>
        <v>33947340419.387043</v>
      </c>
      <c r="ER767" s="269">
        <f t="shared" si="2014"/>
        <v>52554576.447697908</v>
      </c>
      <c r="ES767" s="269">
        <f t="shared" si="1981"/>
        <v>262772882.23848954</v>
      </c>
      <c r="ET767" s="196">
        <f>'Detailed Budget'!$AC$214</f>
        <v>22239745544.201103</v>
      </c>
      <c r="EU767" s="269">
        <f t="shared" si="2015"/>
        <v>33437300.098689027</v>
      </c>
      <c r="EV767" s="140">
        <f>'Detailed Budget'!$AC$217</f>
        <v>5559936386.0502758</v>
      </c>
      <c r="EW767" s="269">
        <f t="shared" si="2016"/>
        <v>8359325.0246722568</v>
      </c>
      <c r="EX767" s="269">
        <f t="shared" si="1982"/>
        <v>41796625.123361282</v>
      </c>
      <c r="EY767" s="196">
        <f>'Detailed Budget'!$AC$219</f>
        <v>372777004.58170313</v>
      </c>
      <c r="EZ767" s="269">
        <f t="shared" si="2017"/>
        <v>586763.14186584402</v>
      </c>
      <c r="FA767" s="196">
        <f>'Detailed Budget'!$AC$222</f>
        <v>93194251.145425782</v>
      </c>
      <c r="FB767" s="269">
        <f t="shared" si="2018"/>
        <v>146690.78546646101</v>
      </c>
      <c r="FC767" s="269">
        <f t="shared" si="1983"/>
        <v>733453.927332305</v>
      </c>
      <c r="FD767" s="269"/>
      <c r="FE767" s="269">
        <f t="shared" si="1984"/>
        <v>414144124.44320744</v>
      </c>
      <c r="FF767" s="140">
        <f>'Detailed Budget'!$AC$165</f>
        <v>14927760000</v>
      </c>
      <c r="FG767" s="1087">
        <f t="shared" si="1864"/>
        <v>564919999.53600633</v>
      </c>
      <c r="FH767" s="269">
        <f t="shared" si="2019"/>
        <v>20353723.440518126</v>
      </c>
      <c r="FJ767" s="140">
        <f>'Detailed Budget'!$AC$235</f>
        <v>3623696172</v>
      </c>
      <c r="FK767" s="269">
        <f t="shared" si="2020"/>
        <v>4681778</v>
      </c>
      <c r="FL767" s="269">
        <f t="shared" si="1865"/>
        <v>4681778</v>
      </c>
      <c r="FO767" s="607"/>
      <c r="FP767" s="607"/>
      <c r="FQ767" s="607"/>
      <c r="FR767" s="269">
        <f>'Detailed Budget'!$AC$257</f>
        <v>13636439388</v>
      </c>
      <c r="FS767" s="269">
        <f t="shared" si="2021"/>
        <v>23984064</v>
      </c>
      <c r="FT767" s="269">
        <f t="shared" si="1866"/>
        <v>23984064</v>
      </c>
      <c r="FU767" s="269"/>
      <c r="FV767" s="269"/>
      <c r="FW767" s="269"/>
      <c r="FX767" s="140">
        <f>'Detailed Budget'!$AC$278</f>
        <v>1114560000</v>
      </c>
      <c r="FY767" s="269">
        <f t="shared" si="2022"/>
        <v>1440000</v>
      </c>
      <c r="FZ767" s="269">
        <f t="shared" si="1867"/>
        <v>1440000</v>
      </c>
      <c r="GB767" s="269">
        <f t="shared" si="1899"/>
        <v>1854881307.1502941</v>
      </c>
      <c r="GC767" s="887">
        <f t="shared" si="1985"/>
        <v>1159300.8169689337</v>
      </c>
      <c r="GD767" s="1078">
        <f t="shared" si="1900"/>
        <v>1.0408323099904853E-3</v>
      </c>
    </row>
    <row r="768" spans="1:186" hidden="1" outlineLevel="1">
      <c r="A768" s="211" t="s">
        <v>1616</v>
      </c>
      <c r="B768" s="212" t="s">
        <v>1621</v>
      </c>
      <c r="C768" s="213" t="s">
        <v>215</v>
      </c>
      <c r="D768" s="214"/>
      <c r="E768" s="213"/>
      <c r="F768" s="213"/>
      <c r="G768" s="213" t="s">
        <v>215</v>
      </c>
      <c r="H768" s="213" t="s">
        <v>215</v>
      </c>
      <c r="I768" s="214" t="s">
        <v>215</v>
      </c>
      <c r="J768" s="214"/>
      <c r="K768" s="213"/>
      <c r="L768" s="213"/>
      <c r="M768" s="214"/>
      <c r="N768" s="213" t="s">
        <v>215</v>
      </c>
      <c r="O768" s="214"/>
      <c r="P768" s="213"/>
      <c r="Q768" s="214"/>
      <c r="R768" s="214" t="s">
        <v>215</v>
      </c>
      <c r="S768" s="214"/>
      <c r="T768" s="214"/>
      <c r="U768" s="215">
        <f t="shared" si="1905"/>
        <v>6</v>
      </c>
      <c r="V768" s="845" t="s">
        <v>216</v>
      </c>
      <c r="W768" s="216">
        <v>109522</v>
      </c>
      <c r="X768" s="217">
        <v>3.31</v>
      </c>
      <c r="Y768" s="218">
        <f t="shared" si="1965"/>
        <v>1.0330999999999999</v>
      </c>
      <c r="Z768" s="196">
        <v>19</v>
      </c>
      <c r="AA768" s="218">
        <f t="shared" si="1966"/>
        <v>1.8565423880120511</v>
      </c>
      <c r="AB768" s="196">
        <f t="shared" si="1996"/>
        <v>203332.23541985586</v>
      </c>
      <c r="AC768">
        <v>14.1</v>
      </c>
      <c r="AD768" s="196">
        <f t="shared" si="1997"/>
        <v>28669.845194199675</v>
      </c>
      <c r="AE768" s="196">
        <f t="shared" si="1967"/>
        <v>27236.352934489689</v>
      </c>
      <c r="AF768" s="196">
        <f t="shared" si="2023"/>
        <v>0</v>
      </c>
      <c r="AG768" s="606">
        <f t="shared" si="1988"/>
        <v>1.2592893898610063E-3</v>
      </c>
      <c r="AH768" s="196">
        <f t="shared" si="2039"/>
        <v>10166.611770992793</v>
      </c>
      <c r="AI768" s="248">
        <f t="shared" si="1964"/>
        <v>7.8759200997738257E-4</v>
      </c>
      <c r="AJ768" s="196">
        <f t="shared" si="1968"/>
        <v>38836.456965192468</v>
      </c>
      <c r="AK768" s="196">
        <f t="shared" si="1998"/>
        <v>8133.289416794235</v>
      </c>
      <c r="AL768" s="196">
        <f t="shared" si="1999"/>
        <v>8133.289416794235</v>
      </c>
      <c r="AM768" s="196">
        <f t="shared" si="1969"/>
        <v>16266.57883358847</v>
      </c>
      <c r="AN768" s="627">
        <f t="shared" si="1970"/>
        <v>7.8759200997738257E-4</v>
      </c>
      <c r="AO768" s="196">
        <f t="shared" si="1971"/>
        <v>7726.6249459545224</v>
      </c>
      <c r="AP768" s="589">
        <f t="shared" si="1989"/>
        <v>7.8759200997738246E-4</v>
      </c>
      <c r="AQ768" s="196"/>
      <c r="AR768" s="589"/>
      <c r="AS768">
        <v>1</v>
      </c>
      <c r="AT768" s="589">
        <f t="shared" si="1990"/>
        <v>1.2919896640826874E-3</v>
      </c>
      <c r="AU768" s="196">
        <v>10</v>
      </c>
      <c r="AV768" s="245">
        <f t="shared" si="1972"/>
        <v>1.1362345188046814E-3</v>
      </c>
      <c r="AX768" s="245"/>
      <c r="AY768" s="245"/>
      <c r="AZ768" s="196">
        <v>20</v>
      </c>
      <c r="BA768" s="589">
        <f t="shared" si="1871"/>
        <v>7.3284232897292143E-4</v>
      </c>
      <c r="BI768" s="196">
        <v>0</v>
      </c>
      <c r="BK768" s="246">
        <f t="shared" si="1872"/>
        <v>0</v>
      </c>
      <c r="BL768" s="246"/>
      <c r="BM768" s="246">
        <f t="shared" si="1873"/>
        <v>0</v>
      </c>
      <c r="BN768" s="196">
        <v>1</v>
      </c>
      <c r="BO768" s="196">
        <f t="shared" si="2024"/>
        <v>11160.401467094383</v>
      </c>
      <c r="BP768" s="196">
        <f t="shared" si="1973"/>
        <v>11160.401467094383</v>
      </c>
      <c r="BQ768" s="248">
        <f t="shared" si="1874"/>
        <v>1.0440035860695626E-3</v>
      </c>
      <c r="BR768" s="248"/>
      <c r="BS768" s="248"/>
      <c r="BT768" s="276">
        <v>0</v>
      </c>
      <c r="BU768" s="196">
        <f t="shared" si="2025"/>
        <v>0</v>
      </c>
      <c r="BV768" s="264">
        <f t="shared" si="1875"/>
        <v>0</v>
      </c>
      <c r="BW768" s="196">
        <f t="shared" si="2026"/>
        <v>0</v>
      </c>
      <c r="BX768" s="247">
        <f t="shared" si="1876"/>
        <v>0</v>
      </c>
      <c r="BY768" s="196">
        <f t="shared" si="2027"/>
        <v>0</v>
      </c>
      <c r="BZ768" s="620">
        <v>1</v>
      </c>
      <c r="CA768" s="196">
        <f t="shared" si="2028"/>
        <v>62219.664038475894</v>
      </c>
      <c r="CB768" s="196">
        <f t="shared" si="2029"/>
        <v>124439.32807695179</v>
      </c>
      <c r="CC768" s="196">
        <f t="shared" si="1986"/>
        <v>186658.99211542768</v>
      </c>
      <c r="CD768" s="247">
        <f t="shared" si="1974"/>
        <v>7.8759200997738257E-4</v>
      </c>
      <c r="CE768" s="196">
        <f t="shared" si="2030"/>
        <v>17534.81261575019</v>
      </c>
      <c r="CF768" s="247">
        <f t="shared" si="1975"/>
        <v>7.5720774106259429E-4</v>
      </c>
      <c r="CG768" s="196">
        <f t="shared" si="2001"/>
        <v>30906.49978381809</v>
      </c>
      <c r="CH768" s="589">
        <f t="shared" si="1991"/>
        <v>7.8759200997738246E-4</v>
      </c>
      <c r="CI768" s="196">
        <f t="shared" si="2031"/>
        <v>54821.858157299845</v>
      </c>
      <c r="CJ768" s="248">
        <f t="shared" si="1992"/>
        <v>9.0127120894973483E-4</v>
      </c>
      <c r="CK768" s="196">
        <f t="shared" si="2032"/>
        <v>50175.652437744699</v>
      </c>
      <c r="CL768" s="589">
        <f t="shared" si="1993"/>
        <v>7.2128532448396672E-4</v>
      </c>
      <c r="CM768" s="196">
        <f t="shared" si="2033"/>
        <v>4860.7744503213016</v>
      </c>
      <c r="CN768" s="589">
        <f t="shared" si="1994"/>
        <v>7.0049283929670509E-4</v>
      </c>
      <c r="CO768" s="196">
        <f t="shared" si="2034"/>
        <v>388.87480270437294</v>
      </c>
      <c r="CP768" s="589">
        <f t="shared" si="1995"/>
        <v>7.3335798015406026E-4</v>
      </c>
      <c r="CQ768" s="196">
        <f>'Detailed Budget'!$AC$12</f>
        <v>292876014141.44696</v>
      </c>
      <c r="CR768" s="269">
        <f t="shared" si="2040"/>
        <v>0</v>
      </c>
      <c r="CS768" s="269">
        <f>'Detailed Budget'!$AC$16</f>
        <v>10488008800.000002</v>
      </c>
      <c r="CT768" s="607">
        <f t="shared" si="2002"/>
        <v>0</v>
      </c>
      <c r="CU768" s="269">
        <f>'Detailed Budget'!$AC$24</f>
        <v>30624985696</v>
      </c>
      <c r="CV768" s="269">
        <f t="shared" si="1868"/>
        <v>0</v>
      </c>
      <c r="CW768" s="269"/>
      <c r="CX768" s="269">
        <f t="shared" si="1987"/>
        <v>0</v>
      </c>
      <c r="CY768" s="196">
        <f>'Detailed Budget'!$AC$97</f>
        <v>74629165494.837845</v>
      </c>
      <c r="CZ768" s="269">
        <f t="shared" si="2003"/>
        <v>77913116.401989579</v>
      </c>
      <c r="DA768" s="269">
        <f>'Detailed Budget'!$AC$100</f>
        <v>14925833098.967569</v>
      </c>
      <c r="DB768" s="269">
        <f t="shared" si="2004"/>
        <v>15582623.280397916</v>
      </c>
      <c r="DC768" s="269">
        <f t="shared" si="1976"/>
        <v>93495739.682387501</v>
      </c>
      <c r="DD768" s="207">
        <v>0</v>
      </c>
      <c r="DE768" s="606">
        <v>0</v>
      </c>
      <c r="DF768" s="269">
        <f>'Detailed Budget'!$AC$147</f>
        <v>5913600671000</v>
      </c>
      <c r="DG768" s="269">
        <f t="shared" si="1863"/>
        <v>0</v>
      </c>
      <c r="DH768" s="269">
        <f>'Detailed Budget'!$AC$153</f>
        <v>226428026880.00003</v>
      </c>
      <c r="DI768" s="269"/>
      <c r="DJ768" s="269">
        <f>'Detailed Budget'!$AC$156</f>
        <v>27713070000</v>
      </c>
      <c r="DK768" s="269"/>
      <c r="DL768" s="269"/>
      <c r="DM768" s="196">
        <f>'Detailed Budget'!$AC$178</f>
        <v>5622683761.6229038</v>
      </c>
      <c r="DN768" s="269">
        <f t="shared" si="2035"/>
        <v>0</v>
      </c>
      <c r="DO768" s="196">
        <f>'Detailed Budget'!$AC$179</f>
        <v>26827890683.128094</v>
      </c>
      <c r="DP768" s="269">
        <f t="shared" si="2036"/>
        <v>0</v>
      </c>
      <c r="DQ768" s="269">
        <f t="shared" si="2041"/>
        <v>0</v>
      </c>
      <c r="DR768" s="269">
        <f>'Detailed Budget'!$AC$181</f>
        <v>50888946855.375237</v>
      </c>
      <c r="DS768" s="269">
        <f t="shared" si="2037"/>
        <v>0</v>
      </c>
      <c r="DT768" s="269">
        <f t="shared" si="2038"/>
        <v>0</v>
      </c>
      <c r="DU768" s="272">
        <f>'Detailed Budget'!$AC$192</f>
        <v>77498869683.252869</v>
      </c>
      <c r="DV768" s="269">
        <f t="shared" si="2005"/>
        <v>61037490.544808365</v>
      </c>
      <c r="DW768" s="140">
        <f>'Detailed Budget'!$AC$194</f>
        <v>2684962805.4134097</v>
      </c>
      <c r="DX768" s="269">
        <f t="shared" si="2006"/>
        <v>2114655.2526300591</v>
      </c>
      <c r="DY768" s="607">
        <f t="shared" si="1977"/>
        <v>63152145.797438428</v>
      </c>
      <c r="DZ768" s="196">
        <f>'Detailed Budget'!$AC$198</f>
        <v>18732540018.380611</v>
      </c>
      <c r="EA768" s="269">
        <f t="shared" si="2007"/>
        <v>14184424.311682632</v>
      </c>
      <c r="EB768" s="196">
        <f>'Detailed Budget'!$AC$200</f>
        <v>4683135004.5951529</v>
      </c>
      <c r="EC768" s="269">
        <f t="shared" si="2008"/>
        <v>3546106.077920658</v>
      </c>
      <c r="ED768" s="269">
        <f t="shared" si="1978"/>
        <v>17730530.389603291</v>
      </c>
      <c r="EE768" s="196">
        <f>'Detailed Budget'!$AC$161</f>
        <v>251147290106.36197</v>
      </c>
      <c r="EF768" s="269">
        <f t="shared" si="2009"/>
        <v>197801599.0152424</v>
      </c>
      <c r="EG768" s="196">
        <f>'Detailed Budget'!$AC$163</f>
        <v>15696705631.647623</v>
      </c>
      <c r="EH768" s="269">
        <f t="shared" si="2010"/>
        <v>12362599.93845265</v>
      </c>
      <c r="EI768" s="269">
        <f t="shared" si="1979"/>
        <v>210164198.95369506</v>
      </c>
      <c r="EJ768" s="196">
        <f>'Detailed Budget'!$AC$204</f>
        <v>45012172507.531975</v>
      </c>
      <c r="EK768" s="269">
        <f t="shared" si="2011"/>
        <v>40568175.133317359</v>
      </c>
      <c r="EL768" s="201">
        <f>'Detailed Budget'!$AC$206</f>
        <v>11253043126.882994</v>
      </c>
      <c r="EM768" s="269">
        <f t="shared" si="2012"/>
        <v>10142043.78332934</v>
      </c>
      <c r="EN768" s="269">
        <f t="shared" si="1980"/>
        <v>50710218.916646697</v>
      </c>
      <c r="EO768" s="140">
        <f>'Detailed Budget'!$AC$209</f>
        <v>135789361677.54817</v>
      </c>
      <c r="EP768" s="269">
        <f t="shared" si="2013"/>
        <v>97942873.799061045</v>
      </c>
      <c r="EQ768" s="196">
        <f>'Detailed Budget'!$AC$211</f>
        <v>33947340419.387043</v>
      </c>
      <c r="ER768" s="269">
        <f t="shared" si="2014"/>
        <v>24485718.449765261</v>
      </c>
      <c r="ES768" s="269">
        <f t="shared" si="1981"/>
        <v>122428592.24882631</v>
      </c>
      <c r="ET768" s="196">
        <f>'Detailed Budget'!$AC$214</f>
        <v>22239745544.201103</v>
      </c>
      <c r="EU768" s="269">
        <f t="shared" si="2015"/>
        <v>15578782.501493676</v>
      </c>
      <c r="EV768" s="140">
        <f>'Detailed Budget'!$AC$217</f>
        <v>5559936386.0502758</v>
      </c>
      <c r="EW768" s="269">
        <f t="shared" si="2016"/>
        <v>3894695.6253734189</v>
      </c>
      <c r="EX768" s="269">
        <f t="shared" si="1982"/>
        <v>19473478.126867093</v>
      </c>
      <c r="EY768" s="196">
        <f>'Detailed Budget'!$AC$219</f>
        <v>372777004.58170313</v>
      </c>
      <c r="EZ768" s="269">
        <f t="shared" si="2017"/>
        <v>273378.99112791865</v>
      </c>
      <c r="FA768" s="196">
        <f>'Detailed Budget'!$AC$222</f>
        <v>93194251.145425782</v>
      </c>
      <c r="FB768" s="269">
        <f t="shared" si="2018"/>
        <v>68344.747781979662</v>
      </c>
      <c r="FC768" s="269">
        <f t="shared" si="1983"/>
        <v>341723.73890989833</v>
      </c>
      <c r="FD768" s="269"/>
      <c r="FE768" s="269">
        <f t="shared" si="1984"/>
        <v>192954013.03125</v>
      </c>
      <c r="FF768" s="140">
        <f>'Detailed Budget'!$AC$165</f>
        <v>14927760000</v>
      </c>
      <c r="FG768" s="1087">
        <f t="shared" si="1864"/>
        <v>263202046.14428189</v>
      </c>
      <c r="FH768" s="269">
        <f t="shared" si="2019"/>
        <v>16961436.200431772</v>
      </c>
      <c r="FJ768" s="140">
        <f>'Detailed Budget'!$AC$235</f>
        <v>3623696172</v>
      </c>
      <c r="FK768" s="269">
        <f t="shared" si="2020"/>
        <v>4681778</v>
      </c>
      <c r="FL768" s="269">
        <f t="shared" si="1865"/>
        <v>4681778</v>
      </c>
      <c r="FO768" s="607"/>
      <c r="FP768" s="607"/>
      <c r="FQ768" s="607"/>
      <c r="FR768" s="269">
        <f>'Detailed Budget'!$AC$257</f>
        <v>13636439388</v>
      </c>
      <c r="FS768" s="269">
        <f t="shared" si="2021"/>
        <v>9993360</v>
      </c>
      <c r="FT768" s="269">
        <f t="shared" si="1866"/>
        <v>9993360</v>
      </c>
      <c r="FU768" s="269"/>
      <c r="FV768" s="269"/>
      <c r="FW768" s="269"/>
      <c r="FX768" s="140">
        <f>'Detailed Budget'!$AC$278</f>
        <v>1114560000</v>
      </c>
      <c r="FY768" s="269">
        <f t="shared" si="2022"/>
        <v>1440000</v>
      </c>
      <c r="FZ768" s="269">
        <f t="shared" si="1867"/>
        <v>1440000</v>
      </c>
      <c r="GB768" s="269">
        <f t="shared" si="1899"/>
        <v>873775248.19908798</v>
      </c>
      <c r="GC768" s="887">
        <f t="shared" si="1985"/>
        <v>546109.53012442996</v>
      </c>
      <c r="GD768" s="1078">
        <f t="shared" si="1900"/>
        <v>4.9030280616326079E-4</v>
      </c>
    </row>
    <row r="769" spans="1:186" hidden="1" outlineLevel="1">
      <c r="A769" s="211" t="s">
        <v>1618</v>
      </c>
      <c r="B769" s="212" t="s">
        <v>1623</v>
      </c>
      <c r="C769" s="213" t="s">
        <v>215</v>
      </c>
      <c r="D769" s="214"/>
      <c r="E769" s="213"/>
      <c r="F769" s="213"/>
      <c r="G769" s="213" t="s">
        <v>215</v>
      </c>
      <c r="H769" s="213" t="s">
        <v>215</v>
      </c>
      <c r="I769" s="214" t="s">
        <v>215</v>
      </c>
      <c r="J769" s="214"/>
      <c r="K769" s="213"/>
      <c r="L769" s="213"/>
      <c r="M769" s="214" t="s">
        <v>215</v>
      </c>
      <c r="N769" s="213"/>
      <c r="O769" s="214"/>
      <c r="P769" s="213"/>
      <c r="Q769" s="214"/>
      <c r="R769" s="214" t="s">
        <v>215</v>
      </c>
      <c r="S769" s="214"/>
      <c r="T769" s="214"/>
      <c r="U769" s="215">
        <f t="shared" si="1905"/>
        <v>6</v>
      </c>
      <c r="V769" s="845" t="s">
        <v>216</v>
      </c>
      <c r="W769" s="216">
        <v>125657</v>
      </c>
      <c r="X769" s="217">
        <v>3.31</v>
      </c>
      <c r="Y769" s="218">
        <f t="shared" si="1965"/>
        <v>1.0330999999999999</v>
      </c>
      <c r="Z769" s="196">
        <v>19</v>
      </c>
      <c r="AA769" s="218">
        <f t="shared" si="1966"/>
        <v>1.8565423880120511</v>
      </c>
      <c r="AB769" s="196">
        <f t="shared" si="1996"/>
        <v>233287.54685043031</v>
      </c>
      <c r="AC769">
        <v>14.1</v>
      </c>
      <c r="AD769" s="196">
        <f t="shared" si="1997"/>
        <v>32893.544105910674</v>
      </c>
      <c r="AE769" s="196">
        <f t="shared" si="1967"/>
        <v>31248.866900615139</v>
      </c>
      <c r="AF769" s="196">
        <f t="shared" si="2023"/>
        <v>0</v>
      </c>
      <c r="AG769" s="606">
        <f t="shared" si="1988"/>
        <v>1.4448104203882736E-3</v>
      </c>
      <c r="AH769" s="196">
        <f t="shared" si="2039"/>
        <v>11664.377342521517</v>
      </c>
      <c r="AI769" s="248">
        <f t="shared" si="1964"/>
        <v>9.0362163946721178E-4</v>
      </c>
      <c r="AJ769" s="196">
        <f t="shared" si="1968"/>
        <v>44557.921448432193</v>
      </c>
      <c r="AK769" s="196">
        <f t="shared" si="1998"/>
        <v>9331.5018740172127</v>
      </c>
      <c r="AL769" s="196">
        <f t="shared" si="1999"/>
        <v>9331.5018740172127</v>
      </c>
      <c r="AM769" s="196">
        <f t="shared" si="1969"/>
        <v>18663.003748034425</v>
      </c>
      <c r="AN769" s="627">
        <f t="shared" si="1970"/>
        <v>9.0362163946721167E-4</v>
      </c>
      <c r="AO769" s="196">
        <f t="shared" si="1971"/>
        <v>8864.9267803163511</v>
      </c>
      <c r="AP769" s="589">
        <f t="shared" si="1989"/>
        <v>9.0362163946721167E-4</v>
      </c>
      <c r="AQ769" s="196"/>
      <c r="AR769" s="589"/>
      <c r="AS769">
        <v>1</v>
      </c>
      <c r="AT769" s="589">
        <f t="shared" si="1990"/>
        <v>1.2919896640826874E-3</v>
      </c>
      <c r="AU769" s="196">
        <v>15</v>
      </c>
      <c r="AV769" s="245">
        <f t="shared" si="1972"/>
        <v>1.7043517782070218E-3</v>
      </c>
      <c r="AX769" s="245"/>
      <c r="AY769" s="245"/>
      <c r="AZ769" s="196">
        <v>24</v>
      </c>
      <c r="BA769" s="589">
        <f t="shared" si="1871"/>
        <v>8.7941079476750578E-4</v>
      </c>
      <c r="BI769" s="196">
        <v>0</v>
      </c>
      <c r="BK769" s="246">
        <f t="shared" si="1872"/>
        <v>0</v>
      </c>
      <c r="BL769" s="246"/>
      <c r="BM769" s="246">
        <f t="shared" si="1873"/>
        <v>0</v>
      </c>
      <c r="BN769" s="196">
        <v>1</v>
      </c>
      <c r="BO769" s="196">
        <f t="shared" si="2024"/>
        <v>12804.57412346998</v>
      </c>
      <c r="BP769" s="196">
        <f t="shared" si="1973"/>
        <v>12804.57412346998</v>
      </c>
      <c r="BQ769" s="248">
        <f t="shared" si="1874"/>
        <v>1.1978082815757845E-3</v>
      </c>
      <c r="BR769" s="248"/>
      <c r="BS769" s="248"/>
      <c r="BT769" s="276">
        <v>0</v>
      </c>
      <c r="BU769" s="196">
        <f t="shared" si="2025"/>
        <v>0</v>
      </c>
      <c r="BV769" s="264">
        <f t="shared" si="1875"/>
        <v>0</v>
      </c>
      <c r="BW769" s="196">
        <f t="shared" si="2026"/>
        <v>0</v>
      </c>
      <c r="BX769" s="247">
        <f t="shared" si="1876"/>
        <v>0</v>
      </c>
      <c r="BY769" s="196">
        <f t="shared" si="2027"/>
        <v>0</v>
      </c>
      <c r="BZ769" s="620">
        <v>1</v>
      </c>
      <c r="CA769" s="196">
        <f t="shared" si="2028"/>
        <v>71385.98933623168</v>
      </c>
      <c r="CB769" s="196">
        <f t="shared" si="2029"/>
        <v>142771.97867246336</v>
      </c>
      <c r="CC769" s="196">
        <f t="shared" si="1986"/>
        <v>214157.96800869505</v>
      </c>
      <c r="CD769" s="247">
        <f t="shared" si="1974"/>
        <v>9.0362163946721178E-4</v>
      </c>
      <c r="CE769" s="196">
        <f t="shared" si="2030"/>
        <v>20118.076266479082</v>
      </c>
      <c r="CF769" s="247">
        <f t="shared" si="1975"/>
        <v>8.687610993106629E-4</v>
      </c>
      <c r="CG769" s="196">
        <f t="shared" si="2001"/>
        <v>35459.707121265405</v>
      </c>
      <c r="CH769" s="589">
        <f t="shared" si="1991"/>
        <v>9.0362163946721167E-4</v>
      </c>
      <c r="CI769" s="196">
        <f t="shared" si="2031"/>
        <v>62898.323902702898</v>
      </c>
      <c r="CJ769" s="248">
        <f t="shared" si="1992"/>
        <v>1.0340482853033804E-3</v>
      </c>
      <c r="CK769" s="196">
        <f t="shared" si="2032"/>
        <v>57567.629867694945</v>
      </c>
      <c r="CL769" s="589">
        <f t="shared" si="1993"/>
        <v>8.275465205043901E-4</v>
      </c>
      <c r="CM769" s="196">
        <f t="shared" si="2033"/>
        <v>5576.8734601634724</v>
      </c>
      <c r="CN769" s="589">
        <f t="shared" si="1994"/>
        <v>8.0369084483031782E-4</v>
      </c>
      <c r="CO769" s="196">
        <f t="shared" si="2034"/>
        <v>446.16461609013157</v>
      </c>
      <c r="CP769" s="589">
        <f t="shared" si="1995"/>
        <v>8.4139774394385381E-4</v>
      </c>
      <c r="CQ769" s="196">
        <f>'Detailed Budget'!$AC$12</f>
        <v>292876014141.44696</v>
      </c>
      <c r="CR769" s="269">
        <f t="shared" si="2040"/>
        <v>0</v>
      </c>
      <c r="CS769" s="269">
        <f>'Detailed Budget'!$AC$16</f>
        <v>10488008800.000002</v>
      </c>
      <c r="CT769" s="607">
        <f t="shared" si="2002"/>
        <v>0</v>
      </c>
      <c r="CU769" s="269">
        <f>'Detailed Budget'!$AC$24</f>
        <v>30624985696</v>
      </c>
      <c r="CV769" s="269">
        <f t="shared" si="1868"/>
        <v>0</v>
      </c>
      <c r="CW769" s="269"/>
      <c r="CX769" s="269">
        <f t="shared" si="1987"/>
        <v>0</v>
      </c>
      <c r="CY769" s="196">
        <f>'Detailed Budget'!$AC$97</f>
        <v>74629165494.837845</v>
      </c>
      <c r="CZ769" s="269">
        <f t="shared" si="2003"/>
        <v>89391432.476806551</v>
      </c>
      <c r="DA769" s="269">
        <f>'Detailed Budget'!$AC$100</f>
        <v>14925833098.967569</v>
      </c>
      <c r="DB769" s="269">
        <f t="shared" si="2004"/>
        <v>17878286.495361309</v>
      </c>
      <c r="DC769" s="269">
        <f t="shared" si="1976"/>
        <v>107269718.97216786</v>
      </c>
      <c r="DD769" s="207">
        <v>0</v>
      </c>
      <c r="DE769" s="606">
        <v>0</v>
      </c>
      <c r="DF769" s="269">
        <f>'Detailed Budget'!$AC$147</f>
        <v>5913600671000</v>
      </c>
      <c r="DG769" s="269">
        <f t="shared" si="1863"/>
        <v>0</v>
      </c>
      <c r="DH769" s="269">
        <f>'Detailed Budget'!$AC$153</f>
        <v>226428026880.00003</v>
      </c>
      <c r="DI769" s="269"/>
      <c r="DJ769" s="269">
        <f>'Detailed Budget'!$AC$156</f>
        <v>27713070000</v>
      </c>
      <c r="DK769" s="269"/>
      <c r="DL769" s="269"/>
      <c r="DM769" s="196">
        <f>'Detailed Budget'!$AC$178</f>
        <v>5622683761.6229038</v>
      </c>
      <c r="DN769" s="269">
        <f t="shared" si="2035"/>
        <v>0</v>
      </c>
      <c r="DO769" s="196">
        <f>'Detailed Budget'!$AC$179</f>
        <v>26827890683.128094</v>
      </c>
      <c r="DP769" s="269">
        <f t="shared" si="2036"/>
        <v>0</v>
      </c>
      <c r="DQ769" s="269">
        <f t="shared" si="2041"/>
        <v>0</v>
      </c>
      <c r="DR769" s="269">
        <f>'Detailed Budget'!$AC$181</f>
        <v>50888946855.375237</v>
      </c>
      <c r="DS769" s="269">
        <f t="shared" si="2037"/>
        <v>0</v>
      </c>
      <c r="DT769" s="269">
        <f t="shared" si="2038"/>
        <v>0</v>
      </c>
      <c r="DU769" s="272">
        <f>'Detailed Budget'!$AC$192</f>
        <v>77498869683.252869</v>
      </c>
      <c r="DV769" s="269">
        <f t="shared" si="2005"/>
        <v>70029655.680036753</v>
      </c>
      <c r="DW769" s="140">
        <f>'Detailed Budget'!$AC$194</f>
        <v>2684962805.4134097</v>
      </c>
      <c r="DX769" s="269">
        <f t="shared" si="2006"/>
        <v>2426190.4921361492</v>
      </c>
      <c r="DY769" s="607">
        <f t="shared" si="1977"/>
        <v>72455846.172172904</v>
      </c>
      <c r="DZ769" s="196">
        <f>'Detailed Budget'!$AC$198</f>
        <v>18732540018.380611</v>
      </c>
      <c r="EA769" s="269">
        <f t="shared" si="2007"/>
        <v>16274102.059249325</v>
      </c>
      <c r="EB769" s="196">
        <f>'Detailed Budget'!$AC$200</f>
        <v>4683135004.5951529</v>
      </c>
      <c r="EC769" s="269">
        <f t="shared" si="2008"/>
        <v>4068525.5148123312</v>
      </c>
      <c r="ED769" s="269">
        <f t="shared" si="1978"/>
        <v>20342627.574061655</v>
      </c>
      <c r="EE769" s="196">
        <f>'Detailed Budget'!$AC$161</f>
        <v>251147290106.36197</v>
      </c>
      <c r="EF769" s="269">
        <f t="shared" si="2009"/>
        <v>226942126.03365824</v>
      </c>
      <c r="EG769" s="196">
        <f>'Detailed Budget'!$AC$163</f>
        <v>15696705631.647623</v>
      </c>
      <c r="EH769" s="269">
        <f t="shared" si="2010"/>
        <v>14183882.87710364</v>
      </c>
      <c r="EI769" s="269">
        <f t="shared" si="1979"/>
        <v>241126008.91076186</v>
      </c>
      <c r="EJ769" s="196">
        <f>'Detailed Budget'!$AC$204</f>
        <v>45012172507.531975</v>
      </c>
      <c r="EK769" s="269">
        <f t="shared" si="2011"/>
        <v>46544759.799193397</v>
      </c>
      <c r="EL769" s="201">
        <f>'Detailed Budget'!$AC$206</f>
        <v>11253043126.882994</v>
      </c>
      <c r="EM769" s="269">
        <f t="shared" si="2012"/>
        <v>11636189.949798349</v>
      </c>
      <c r="EN769" s="269">
        <f t="shared" si="1980"/>
        <v>58180949.748991743</v>
      </c>
      <c r="EO769" s="140">
        <f>'Detailed Budget'!$AC$209</f>
        <v>135789361677.54817</v>
      </c>
      <c r="EP769" s="269">
        <f t="shared" si="2013"/>
        <v>112372013.77776717</v>
      </c>
      <c r="EQ769" s="196">
        <f>'Detailed Budget'!$AC$211</f>
        <v>33947340419.387043</v>
      </c>
      <c r="ER769" s="269">
        <f t="shared" si="2014"/>
        <v>28093003.444441792</v>
      </c>
      <c r="ES769" s="269">
        <f t="shared" si="1981"/>
        <v>140465017.22220895</v>
      </c>
      <c r="ET769" s="196">
        <f>'Detailed Budget'!$AC$214</f>
        <v>22239745544.201103</v>
      </c>
      <c r="EU769" s="269">
        <f t="shared" si="2015"/>
        <v>17873879.88523028</v>
      </c>
      <c r="EV769" s="140">
        <f>'Detailed Budget'!$AC$217</f>
        <v>5559936386.0502758</v>
      </c>
      <c r="EW769" s="269">
        <f t="shared" si="2016"/>
        <v>4468469.9713075701</v>
      </c>
      <c r="EX769" s="269">
        <f t="shared" si="1982"/>
        <v>22342349.856537849</v>
      </c>
      <c r="EY769" s="196">
        <f>'Detailed Budget'!$AC$219</f>
        <v>372777004.58170313</v>
      </c>
      <c r="EZ769" s="269">
        <f t="shared" si="2017"/>
        <v>313653.73064919264</v>
      </c>
      <c r="FA769" s="196">
        <f>'Detailed Budget'!$AC$222</f>
        <v>93194251.145425782</v>
      </c>
      <c r="FB769" s="269">
        <f t="shared" si="2018"/>
        <v>78413.432662298161</v>
      </c>
      <c r="FC769" s="269">
        <f t="shared" si="1983"/>
        <v>392067.16331149079</v>
      </c>
      <c r="FD769" s="269"/>
      <c r="FE769" s="269">
        <f t="shared" si="1984"/>
        <v>221380383.99105003</v>
      </c>
      <c r="FF769" s="140">
        <f>'Detailed Budget'!$AC$165</f>
        <v>14927760000</v>
      </c>
      <c r="FG769" s="1087">
        <f t="shared" si="1864"/>
        <v>301977497.78448194</v>
      </c>
      <c r="FH769" s="269">
        <f t="shared" si="2019"/>
        <v>25442154.300647654</v>
      </c>
      <c r="FJ769" s="140">
        <f>'Detailed Budget'!$AC$235</f>
        <v>3623696172</v>
      </c>
      <c r="FK769" s="269">
        <f t="shared" si="2020"/>
        <v>4681778</v>
      </c>
      <c r="FL769" s="269">
        <f t="shared" si="1865"/>
        <v>4681778</v>
      </c>
      <c r="FO769" s="607"/>
      <c r="FP769" s="607"/>
      <c r="FQ769" s="607"/>
      <c r="FR769" s="269">
        <f>'Detailed Budget'!$AC$257</f>
        <v>13636439388</v>
      </c>
      <c r="FS769" s="269">
        <f t="shared" si="2021"/>
        <v>11992032</v>
      </c>
      <c r="FT769" s="269">
        <f t="shared" si="1866"/>
        <v>11992032</v>
      </c>
      <c r="FU769" s="269"/>
      <c r="FV769" s="269"/>
      <c r="FW769" s="269"/>
      <c r="FX769" s="140">
        <f>'Detailed Budget'!$AC$278</f>
        <v>1114560000</v>
      </c>
      <c r="FY769" s="269">
        <f t="shared" si="2022"/>
        <v>1440000</v>
      </c>
      <c r="FZ769" s="269">
        <f t="shared" si="1867"/>
        <v>1440000</v>
      </c>
      <c r="GB769" s="269">
        <f t="shared" si="1899"/>
        <v>1008108047.7053438</v>
      </c>
      <c r="GC769" s="887">
        <f t="shared" si="1985"/>
        <v>630067.52981583995</v>
      </c>
      <c r="GD769" s="1078">
        <f t="shared" si="1900"/>
        <v>5.6568116998557516E-4</v>
      </c>
    </row>
    <row r="770" spans="1:186" hidden="1" outlineLevel="1">
      <c r="A770" s="211" t="s">
        <v>1620</v>
      </c>
      <c r="B770" s="212" t="s">
        <v>1625</v>
      </c>
      <c r="C770" s="213" t="s">
        <v>215</v>
      </c>
      <c r="D770" s="214"/>
      <c r="E770" s="213"/>
      <c r="F770" s="213"/>
      <c r="G770" s="213" t="s">
        <v>215</v>
      </c>
      <c r="H770" s="213" t="s">
        <v>215</v>
      </c>
      <c r="I770" s="214" t="s">
        <v>215</v>
      </c>
      <c r="J770" s="214"/>
      <c r="K770" s="213"/>
      <c r="L770" s="213"/>
      <c r="M770" s="214" t="s">
        <v>215</v>
      </c>
      <c r="N770" s="213"/>
      <c r="O770" s="214"/>
      <c r="P770" s="213"/>
      <c r="Q770" s="214"/>
      <c r="R770" s="214" t="s">
        <v>215</v>
      </c>
      <c r="S770" s="214"/>
      <c r="T770" s="214"/>
      <c r="U770" s="215">
        <f t="shared" si="1905"/>
        <v>6</v>
      </c>
      <c r="V770" s="845" t="s">
        <v>216</v>
      </c>
      <c r="W770" s="216">
        <v>74222</v>
      </c>
      <c r="X770" s="217">
        <v>3.31</v>
      </c>
      <c r="Y770" s="218">
        <f t="shared" si="1965"/>
        <v>1.0330999999999999</v>
      </c>
      <c r="Z770" s="196">
        <v>19</v>
      </c>
      <c r="AA770" s="218">
        <f t="shared" si="1966"/>
        <v>1.8565423880120511</v>
      </c>
      <c r="AB770" s="196">
        <f t="shared" si="1996"/>
        <v>137796.28912303047</v>
      </c>
      <c r="AC770">
        <v>14.1</v>
      </c>
      <c r="AD770" s="196">
        <f t="shared" si="1997"/>
        <v>19429.276766347295</v>
      </c>
      <c r="AE770" s="196">
        <f t="shared" si="1967"/>
        <v>18457.812928029929</v>
      </c>
      <c r="AF770" s="196">
        <f t="shared" si="2023"/>
        <v>0</v>
      </c>
      <c r="AG770" s="606">
        <f t="shared" si="1988"/>
        <v>8.5340823847504272E-4</v>
      </c>
      <c r="AH770" s="196">
        <f t="shared" si="2039"/>
        <v>6889.8144561515237</v>
      </c>
      <c r="AI770" s="248">
        <f t="shared" si="1964"/>
        <v>5.3374348682950731E-4</v>
      </c>
      <c r="AJ770" s="196">
        <f t="shared" si="1968"/>
        <v>26319.091222498821</v>
      </c>
      <c r="AK770" s="196">
        <f t="shared" si="1998"/>
        <v>5511.8515649212186</v>
      </c>
      <c r="AL770" s="196">
        <f t="shared" si="1999"/>
        <v>5511.8515649212186</v>
      </c>
      <c r="AM770" s="196">
        <f t="shared" si="1969"/>
        <v>11023.703129842437</v>
      </c>
      <c r="AN770" s="627">
        <f t="shared" si="1970"/>
        <v>5.337434868295072E-4</v>
      </c>
      <c r="AO770" s="196">
        <f t="shared" si="1971"/>
        <v>5236.2589866751578</v>
      </c>
      <c r="AP770" s="589">
        <f t="shared" si="1989"/>
        <v>5.337434868295072E-4</v>
      </c>
      <c r="AQ770" s="196"/>
      <c r="AR770" s="589"/>
      <c r="AS770">
        <v>1</v>
      </c>
      <c r="AT770" s="589">
        <f t="shared" si="1990"/>
        <v>1.2919896640826874E-3</v>
      </c>
      <c r="AU770" s="196">
        <v>10</v>
      </c>
      <c r="AV770" s="245">
        <f t="shared" si="1972"/>
        <v>1.1362345188046814E-3</v>
      </c>
      <c r="AX770" s="245"/>
      <c r="AY770" s="245"/>
      <c r="AZ770" s="196">
        <v>33</v>
      </c>
      <c r="BA770" s="589">
        <f t="shared" si="1871"/>
        <v>1.2091898428053204E-3</v>
      </c>
      <c r="BI770" s="196">
        <v>0</v>
      </c>
      <c r="BK770" s="246">
        <f t="shared" si="1872"/>
        <v>0</v>
      </c>
      <c r="BL770" s="246"/>
      <c r="BM770" s="246">
        <f t="shared" si="1873"/>
        <v>0</v>
      </c>
      <c r="BN770" s="196">
        <v>1</v>
      </c>
      <c r="BO770" s="196">
        <f t="shared" si="2024"/>
        <v>7563.2961203290615</v>
      </c>
      <c r="BP770" s="196">
        <f t="shared" si="1973"/>
        <v>7563.2961203290615</v>
      </c>
      <c r="BQ770" s="248">
        <f t="shared" si="1874"/>
        <v>7.0751113169276582E-4</v>
      </c>
      <c r="BR770" s="248"/>
      <c r="BS770" s="248"/>
      <c r="BT770" s="276">
        <v>0</v>
      </c>
      <c r="BU770" s="196">
        <f t="shared" si="2025"/>
        <v>0</v>
      </c>
      <c r="BV770" s="264">
        <f t="shared" si="1875"/>
        <v>0</v>
      </c>
      <c r="BW770" s="196">
        <f t="shared" si="2026"/>
        <v>0</v>
      </c>
      <c r="BX770" s="247">
        <f t="shared" si="1876"/>
        <v>0</v>
      </c>
      <c r="BY770" s="196">
        <f t="shared" si="2027"/>
        <v>0</v>
      </c>
      <c r="BZ770" s="620">
        <v>1</v>
      </c>
      <c r="CA770" s="196">
        <f t="shared" si="2028"/>
        <v>42165.664471647324</v>
      </c>
      <c r="CB770" s="196">
        <f t="shared" si="2029"/>
        <v>84331.328943294648</v>
      </c>
      <c r="CC770" s="196">
        <f t="shared" si="1986"/>
        <v>126496.99341494197</v>
      </c>
      <c r="CD770" s="247">
        <f t="shared" si="1974"/>
        <v>5.337434868295072E-4</v>
      </c>
      <c r="CE770" s="196">
        <f t="shared" si="2030"/>
        <v>11883.172896461083</v>
      </c>
      <c r="CF770" s="247">
        <f t="shared" si="1975"/>
        <v>5.1315236169123903E-4</v>
      </c>
      <c r="CG770" s="196">
        <f t="shared" si="2001"/>
        <v>20945.035946700631</v>
      </c>
      <c r="CH770" s="589">
        <f t="shared" si="1991"/>
        <v>5.337434868295072E-4</v>
      </c>
      <c r="CI770" s="196">
        <f t="shared" si="2031"/>
        <v>37152.242984524652</v>
      </c>
      <c r="CJ770" s="248">
        <f t="shared" si="1992"/>
        <v>6.1078278036072399E-4</v>
      </c>
      <c r="CK770" s="196">
        <f t="shared" si="2032"/>
        <v>34003.554310862542</v>
      </c>
      <c r="CL770" s="589">
        <f t="shared" si="1993"/>
        <v>4.8880808745137034E-4</v>
      </c>
      <c r="CM770" s="196">
        <f t="shared" si="2033"/>
        <v>3294.0998269913589</v>
      </c>
      <c r="CN770" s="589">
        <f t="shared" si="1994"/>
        <v>4.7471722136447508E-4</v>
      </c>
      <c r="CO770" s="196">
        <f t="shared" si="2034"/>
        <v>263.53669222917739</v>
      </c>
      <c r="CP770" s="589">
        <f t="shared" si="1995"/>
        <v>4.9698960942088949E-4</v>
      </c>
      <c r="CQ770" s="196">
        <f>'Detailed Budget'!$AC$12</f>
        <v>292876014141.44696</v>
      </c>
      <c r="CR770" s="269">
        <f t="shared" si="2040"/>
        <v>0</v>
      </c>
      <c r="CS770" s="269">
        <f>'Detailed Budget'!$AC$16</f>
        <v>10488008800.000002</v>
      </c>
      <c r="CT770" s="607">
        <f t="shared" si="2002"/>
        <v>0</v>
      </c>
      <c r="CU770" s="269">
        <f>'Detailed Budget'!$AC$24</f>
        <v>30624985696</v>
      </c>
      <c r="CV770" s="269">
        <f t="shared" si="1868"/>
        <v>0</v>
      </c>
      <c r="CW770" s="269"/>
      <c r="CX770" s="269">
        <f t="shared" si="1987"/>
        <v>0</v>
      </c>
      <c r="CY770" s="196">
        <f>'Detailed Budget'!$AC$97</f>
        <v>74629165494.837845</v>
      </c>
      <c r="CZ770" s="269">
        <f t="shared" si="2003"/>
        <v>52800965.336539432</v>
      </c>
      <c r="DA770" s="269">
        <f>'Detailed Budget'!$AC$100</f>
        <v>14925833098.967569</v>
      </c>
      <c r="DB770" s="269">
        <f t="shared" si="2004"/>
        <v>10560193.067307888</v>
      </c>
      <c r="DC770" s="269">
        <f t="shared" si="1976"/>
        <v>63361158.403847322</v>
      </c>
      <c r="DD770" s="207">
        <v>0</v>
      </c>
      <c r="DE770" s="606">
        <v>0</v>
      </c>
      <c r="DF770" s="269">
        <f>'Detailed Budget'!$AC$147</f>
        <v>5913600671000</v>
      </c>
      <c r="DG770" s="269">
        <f t="shared" si="1863"/>
        <v>0</v>
      </c>
      <c r="DH770" s="269">
        <f>'Detailed Budget'!$AC$153</f>
        <v>226428026880.00003</v>
      </c>
      <c r="DI770" s="269"/>
      <c r="DJ770" s="269">
        <f>'Detailed Budget'!$AC$156</f>
        <v>27713070000</v>
      </c>
      <c r="DK770" s="269"/>
      <c r="DL770" s="269"/>
      <c r="DM770" s="196">
        <f>'Detailed Budget'!$AC$178</f>
        <v>5622683761.6229038</v>
      </c>
      <c r="DN770" s="269">
        <f t="shared" si="2035"/>
        <v>0</v>
      </c>
      <c r="DO770" s="196">
        <f>'Detailed Budget'!$AC$179</f>
        <v>26827890683.128094</v>
      </c>
      <c r="DP770" s="269">
        <f t="shared" si="2036"/>
        <v>0</v>
      </c>
      <c r="DQ770" s="269">
        <f t="shared" si="2041"/>
        <v>0</v>
      </c>
      <c r="DR770" s="269">
        <f>'Detailed Budget'!$AC$181</f>
        <v>50888946855.375237</v>
      </c>
      <c r="DS770" s="269">
        <f t="shared" si="2037"/>
        <v>0</v>
      </c>
      <c r="DT770" s="269">
        <f t="shared" si="2038"/>
        <v>0</v>
      </c>
      <c r="DU770" s="272">
        <f>'Detailed Budget'!$AC$192</f>
        <v>77498869683.252869</v>
      </c>
      <c r="DV770" s="269">
        <f t="shared" si="2005"/>
        <v>41364516.930084974</v>
      </c>
      <c r="DW770" s="140">
        <f>'Detailed Budget'!$AC$194</f>
        <v>2684962805.4134097</v>
      </c>
      <c r="DX770" s="269">
        <f t="shared" si="2006"/>
        <v>1433081.409768889</v>
      </c>
      <c r="DY770" s="607">
        <f t="shared" si="1977"/>
        <v>42797598.33985386</v>
      </c>
      <c r="DZ770" s="196">
        <f>'Detailed Budget'!$AC$198</f>
        <v>18732540018.380611</v>
      </c>
      <c r="EA770" s="269">
        <f t="shared" si="2007"/>
        <v>9612647.1509076562</v>
      </c>
      <c r="EB770" s="196">
        <f>'Detailed Budget'!$AC$200</f>
        <v>4683135004.5951529</v>
      </c>
      <c r="EC770" s="269">
        <f t="shared" si="2008"/>
        <v>2403161.787726914</v>
      </c>
      <c r="ED770" s="269">
        <f t="shared" si="1978"/>
        <v>12015808.938634571</v>
      </c>
      <c r="EE770" s="196">
        <f>'Detailed Budget'!$AC$161</f>
        <v>251147290106.36197</v>
      </c>
      <c r="EF770" s="269">
        <f t="shared" si="2009"/>
        <v>134048230.32915144</v>
      </c>
      <c r="EG770" s="196">
        <f>'Detailed Budget'!$AC$163</f>
        <v>15696705631.647623</v>
      </c>
      <c r="EH770" s="269">
        <f t="shared" si="2010"/>
        <v>8378014.3955719648</v>
      </c>
      <c r="EI770" s="269">
        <f t="shared" si="1979"/>
        <v>142426244.7247234</v>
      </c>
      <c r="EJ770" s="196">
        <f>'Detailed Budget'!$AC$204</f>
        <v>45012172507.531975</v>
      </c>
      <c r="EK770" s="269">
        <f t="shared" si="2011"/>
        <v>27492659.87422692</v>
      </c>
      <c r="EL770" s="201">
        <f>'Detailed Budget'!$AC$206</f>
        <v>11253043126.882994</v>
      </c>
      <c r="EM770" s="269">
        <f t="shared" si="2012"/>
        <v>6873164.9685567301</v>
      </c>
      <c r="EN770" s="269">
        <f t="shared" si="1980"/>
        <v>34365824.842783652</v>
      </c>
      <c r="EO770" s="140">
        <f>'Detailed Budget'!$AC$209</f>
        <v>135789361677.54817</v>
      </c>
      <c r="EP770" s="269">
        <f t="shared" si="2013"/>
        <v>66374938.177844726</v>
      </c>
      <c r="EQ770" s="196">
        <f>'Detailed Budget'!$AC$211</f>
        <v>33947340419.387043</v>
      </c>
      <c r="ER770" s="269">
        <f t="shared" si="2014"/>
        <v>16593734.544461181</v>
      </c>
      <c r="ES770" s="269">
        <f t="shared" si="1981"/>
        <v>82968672.722305909</v>
      </c>
      <c r="ET770" s="196">
        <f>'Detailed Budget'!$AC$214</f>
        <v>22239745544.201103</v>
      </c>
      <c r="EU770" s="269">
        <f t="shared" si="2015"/>
        <v>10557590.208596114</v>
      </c>
      <c r="EV770" s="140">
        <f>'Detailed Budget'!$AC$217</f>
        <v>5559936386.0502758</v>
      </c>
      <c r="EW770" s="269">
        <f t="shared" si="2016"/>
        <v>2639397.5521490285</v>
      </c>
      <c r="EX770" s="269">
        <f t="shared" si="1982"/>
        <v>13196987.760745142</v>
      </c>
      <c r="EY770" s="196">
        <f>'Detailed Budget'!$AC$219</f>
        <v>372777004.58170313</v>
      </c>
      <c r="EZ770" s="269">
        <f t="shared" si="2017"/>
        <v>185266.29790814978</v>
      </c>
      <c r="FA770" s="196">
        <f>'Detailed Budget'!$AC$222</f>
        <v>93194251.145425782</v>
      </c>
      <c r="FB770" s="269">
        <f t="shared" si="2018"/>
        <v>46316.574477037444</v>
      </c>
      <c r="FC770" s="269">
        <f t="shared" si="1983"/>
        <v>231582.87238518722</v>
      </c>
      <c r="FD770" s="269"/>
      <c r="FE770" s="269">
        <f t="shared" si="1984"/>
        <v>130763068.19821988</v>
      </c>
      <c r="FF770" s="140">
        <f>'Detailed Budget'!$AC$165</f>
        <v>14927760000</v>
      </c>
      <c r="FG770" s="1087">
        <f t="shared" si="1864"/>
        <v>178369480.733742</v>
      </c>
      <c r="FH770" s="269">
        <f t="shared" si="2019"/>
        <v>16961436.200431772</v>
      </c>
      <c r="FJ770" s="140">
        <f>'Detailed Budget'!$AC$235</f>
        <v>3623696172</v>
      </c>
      <c r="FK770" s="269">
        <f t="shared" si="2020"/>
        <v>4681778</v>
      </c>
      <c r="FL770" s="269">
        <f t="shared" si="1865"/>
        <v>4681778</v>
      </c>
      <c r="FO770" s="607"/>
      <c r="FP770" s="607"/>
      <c r="FQ770" s="607"/>
      <c r="FR770" s="269">
        <f>'Detailed Budget'!$AC$257</f>
        <v>13636439388</v>
      </c>
      <c r="FS770" s="269">
        <f t="shared" si="2021"/>
        <v>16489044</v>
      </c>
      <c r="FT770" s="269">
        <f t="shared" si="1866"/>
        <v>16489044</v>
      </c>
      <c r="FU770" s="269"/>
      <c r="FV770" s="269"/>
      <c r="FW770" s="269"/>
      <c r="FX770" s="140">
        <f>'Detailed Budget'!$AC$278</f>
        <v>1114560000</v>
      </c>
      <c r="FY770" s="269">
        <f t="shared" si="2022"/>
        <v>1440000</v>
      </c>
      <c r="FZ770" s="269">
        <f t="shared" si="1867"/>
        <v>1440000</v>
      </c>
      <c r="GB770" s="269">
        <f t="shared" si="1899"/>
        <v>609305617.53945279</v>
      </c>
      <c r="GC770" s="887">
        <f t="shared" si="1985"/>
        <v>380816.01096215798</v>
      </c>
      <c r="GD770" s="1078">
        <f t="shared" si="1900"/>
        <v>3.4190056848871039E-4</v>
      </c>
    </row>
    <row r="771" spans="1:186" hidden="1" outlineLevel="1">
      <c r="A771" s="211" t="s">
        <v>1622</v>
      </c>
      <c r="B771" s="212" t="s">
        <v>1627</v>
      </c>
      <c r="C771" s="213" t="s">
        <v>215</v>
      </c>
      <c r="D771" s="214"/>
      <c r="E771" s="213"/>
      <c r="F771" s="213"/>
      <c r="G771" s="213" t="s">
        <v>215</v>
      </c>
      <c r="H771" s="213" t="s">
        <v>215</v>
      </c>
      <c r="I771" s="214" t="s">
        <v>215</v>
      </c>
      <c r="J771" s="214"/>
      <c r="K771" s="213"/>
      <c r="L771" s="213"/>
      <c r="M771" s="214"/>
      <c r="N771" s="213" t="s">
        <v>215</v>
      </c>
      <c r="O771" s="214"/>
      <c r="P771" s="213"/>
      <c r="Q771" s="214"/>
      <c r="R771" s="214" t="s">
        <v>215</v>
      </c>
      <c r="S771" s="214"/>
      <c r="T771" s="214"/>
      <c r="U771" s="215">
        <f t="shared" si="1905"/>
        <v>6</v>
      </c>
      <c r="V771" s="845" t="s">
        <v>216</v>
      </c>
      <c r="W771" s="216">
        <v>59752</v>
      </c>
      <c r="X771" s="217">
        <v>3.31</v>
      </c>
      <c r="Y771" s="218">
        <f t="shared" si="1965"/>
        <v>1.0330999999999999</v>
      </c>
      <c r="Z771" s="196">
        <v>19</v>
      </c>
      <c r="AA771" s="218">
        <f t="shared" si="1966"/>
        <v>1.8565423880120511</v>
      </c>
      <c r="AB771" s="196">
        <f t="shared" si="1996"/>
        <v>110932.12076849608</v>
      </c>
      <c r="AC771">
        <v>14.1</v>
      </c>
      <c r="AD771" s="196">
        <f t="shared" si="1997"/>
        <v>15641.429028357947</v>
      </c>
      <c r="AE771" s="196">
        <f t="shared" si="1967"/>
        <v>14859.357576940049</v>
      </c>
      <c r="AF771" s="196">
        <f t="shared" si="2023"/>
        <v>0</v>
      </c>
      <c r="AG771" s="606">
        <f t="shared" si="1988"/>
        <v>6.8703146055564056E-4</v>
      </c>
      <c r="AH771" s="196">
        <f t="shared" si="2039"/>
        <v>5546.6060384248049</v>
      </c>
      <c r="AI771" s="248">
        <f t="shared" si="1964"/>
        <v>4.2968716586775778E-4</v>
      </c>
      <c r="AJ771" s="196">
        <f t="shared" si="1968"/>
        <v>21188.035066782752</v>
      </c>
      <c r="AK771" s="196">
        <f t="shared" si="1998"/>
        <v>4437.2848307398435</v>
      </c>
      <c r="AL771" s="196">
        <f t="shared" si="1999"/>
        <v>4437.2848307398435</v>
      </c>
      <c r="AM771" s="196">
        <f t="shared" si="1969"/>
        <v>8874.5696614796871</v>
      </c>
      <c r="AN771" s="627">
        <f t="shared" si="1970"/>
        <v>4.2968716586775778E-4</v>
      </c>
      <c r="AO771" s="196">
        <f t="shared" si="1971"/>
        <v>4215.4205892028513</v>
      </c>
      <c r="AP771" s="589">
        <f t="shared" si="1989"/>
        <v>4.2968716586775773E-4</v>
      </c>
      <c r="AQ771" s="196"/>
      <c r="AR771" s="589"/>
      <c r="AS771">
        <v>1</v>
      </c>
      <c r="AT771" s="589">
        <f t="shared" si="1990"/>
        <v>1.2919896640826874E-3</v>
      </c>
      <c r="AU771" s="196">
        <v>10</v>
      </c>
      <c r="AV771" s="245">
        <f t="shared" si="1972"/>
        <v>1.1362345188046814E-3</v>
      </c>
      <c r="AX771" s="245"/>
      <c r="AY771" s="245"/>
      <c r="AZ771" s="196">
        <v>17</v>
      </c>
      <c r="BA771" s="589">
        <f t="shared" si="1871"/>
        <v>6.229159796269833E-4</v>
      </c>
      <c r="BI771" s="196">
        <v>0</v>
      </c>
      <c r="BK771" s="246">
        <f t="shared" si="1872"/>
        <v>0</v>
      </c>
      <c r="BL771" s="246"/>
      <c r="BM771" s="246">
        <f t="shared" si="1873"/>
        <v>0</v>
      </c>
      <c r="BN771" s="196">
        <v>1</v>
      </c>
      <c r="BO771" s="196">
        <f t="shared" si="2024"/>
        <v>6088.788631159252</v>
      </c>
      <c r="BP771" s="196">
        <f t="shared" si="1973"/>
        <v>6088.788631159252</v>
      </c>
      <c r="BQ771" s="248">
        <f t="shared" si="1874"/>
        <v>5.695778224907188E-4</v>
      </c>
      <c r="BR771" s="248"/>
      <c r="BS771" s="248"/>
      <c r="BT771" s="276">
        <v>0</v>
      </c>
      <c r="BU771" s="196">
        <f t="shared" si="2025"/>
        <v>0</v>
      </c>
      <c r="BV771" s="264">
        <f t="shared" si="1875"/>
        <v>0</v>
      </c>
      <c r="BW771" s="196">
        <f t="shared" si="2026"/>
        <v>0</v>
      </c>
      <c r="BX771" s="247">
        <f t="shared" si="1876"/>
        <v>0</v>
      </c>
      <c r="BY771" s="196">
        <f t="shared" si="2027"/>
        <v>0</v>
      </c>
      <c r="BZ771" s="620">
        <v>1</v>
      </c>
      <c r="CA771" s="196">
        <f t="shared" si="2028"/>
        <v>33945.228955159801</v>
      </c>
      <c r="CB771" s="196">
        <f t="shared" si="2029"/>
        <v>67890.457910319601</v>
      </c>
      <c r="CC771" s="196">
        <f t="shared" si="1986"/>
        <v>101835.68686547939</v>
      </c>
      <c r="CD771" s="247">
        <f t="shared" si="1974"/>
        <v>4.2968716586775773E-4</v>
      </c>
      <c r="CE771" s="196">
        <f t="shared" si="2030"/>
        <v>9566.480920877133</v>
      </c>
      <c r="CF771" s="247">
        <f t="shared" si="1975"/>
        <v>4.1311039739935475E-4</v>
      </c>
      <c r="CG771" s="196">
        <f t="shared" si="2001"/>
        <v>16861.682356811405</v>
      </c>
      <c r="CH771" s="589">
        <f t="shared" si="1991"/>
        <v>4.2968716586775773E-4</v>
      </c>
      <c r="CI771" s="196">
        <f t="shared" si="2031"/>
        <v>29909.202430698675</v>
      </c>
      <c r="CJ771" s="248">
        <f t="shared" si="1992"/>
        <v>4.9170721204109267E-4</v>
      </c>
      <c r="CK771" s="196">
        <f t="shared" si="2032"/>
        <v>27374.368478115095</v>
      </c>
      <c r="CL771" s="589">
        <f t="shared" si="1993"/>
        <v>3.9351217754027485E-4</v>
      </c>
      <c r="CM771" s="196">
        <f t="shared" si="2033"/>
        <v>2651.8963765782073</v>
      </c>
      <c r="CN771" s="589">
        <f t="shared" si="1994"/>
        <v>3.8216840574183017E-4</v>
      </c>
      <c r="CO771" s="196">
        <f t="shared" si="2034"/>
        <v>212.15871889841029</v>
      </c>
      <c r="CP771" s="589">
        <f t="shared" si="1995"/>
        <v>4.0009866538380788E-4</v>
      </c>
      <c r="CQ771" s="196">
        <f>'Detailed Budget'!$AC$12</f>
        <v>292876014141.44696</v>
      </c>
      <c r="CR771" s="269">
        <f t="shared" si="2040"/>
        <v>0</v>
      </c>
      <c r="CS771" s="269">
        <f>'Detailed Budget'!$AC$16</f>
        <v>10488008800.000002</v>
      </c>
      <c r="CT771" s="607">
        <f t="shared" si="2002"/>
        <v>0</v>
      </c>
      <c r="CU771" s="269">
        <f>'Detailed Budget'!$AC$24</f>
        <v>30624985696</v>
      </c>
      <c r="CV771" s="269">
        <f t="shared" si="1868"/>
        <v>0</v>
      </c>
      <c r="CW771" s="269"/>
      <c r="CX771" s="269">
        <f t="shared" si="1987"/>
        <v>0</v>
      </c>
      <c r="CY771" s="196">
        <f>'Detailed Budget'!$AC$97</f>
        <v>74629165494.837845</v>
      </c>
      <c r="CZ771" s="269">
        <f t="shared" si="2003"/>
        <v>42507117.57684923</v>
      </c>
      <c r="DA771" s="269">
        <f>'Detailed Budget'!$AC$100</f>
        <v>14925833098.967569</v>
      </c>
      <c r="DB771" s="269">
        <f t="shared" si="2004"/>
        <v>8501423.5153698456</v>
      </c>
      <c r="DC771" s="269">
        <f t="shared" si="1976"/>
        <v>51008541.092219077</v>
      </c>
      <c r="DD771" s="207">
        <v>0</v>
      </c>
      <c r="DE771" s="606">
        <v>0</v>
      </c>
      <c r="DF771" s="269">
        <f>'Detailed Budget'!$AC$147</f>
        <v>5913600671000</v>
      </c>
      <c r="DG771" s="269">
        <f t="shared" si="1863"/>
        <v>0</v>
      </c>
      <c r="DH771" s="269">
        <f>'Detailed Budget'!$AC$153</f>
        <v>226428026880.00003</v>
      </c>
      <c r="DI771" s="269"/>
      <c r="DJ771" s="269">
        <f>'Detailed Budget'!$AC$156</f>
        <v>27713070000</v>
      </c>
      <c r="DK771" s="269"/>
      <c r="DL771" s="269"/>
      <c r="DM771" s="196">
        <f>'Detailed Budget'!$AC$178</f>
        <v>5622683761.6229038</v>
      </c>
      <c r="DN771" s="269">
        <f t="shared" si="2035"/>
        <v>0</v>
      </c>
      <c r="DO771" s="196">
        <f>'Detailed Budget'!$AC$179</f>
        <v>26827890683.128094</v>
      </c>
      <c r="DP771" s="269">
        <f t="shared" si="2036"/>
        <v>0</v>
      </c>
      <c r="DQ771" s="269">
        <f t="shared" si="2041"/>
        <v>0</v>
      </c>
      <c r="DR771" s="269">
        <f>'Detailed Budget'!$AC$181</f>
        <v>50888946855.375237</v>
      </c>
      <c r="DS771" s="269">
        <f t="shared" si="2037"/>
        <v>0</v>
      </c>
      <c r="DT771" s="269">
        <f t="shared" si="2038"/>
        <v>0</v>
      </c>
      <c r="DU771" s="272">
        <f>'Detailed Budget'!$AC$192</f>
        <v>77498869683.252869</v>
      </c>
      <c r="DV771" s="269">
        <f t="shared" si="2005"/>
        <v>33300269.672151618</v>
      </c>
      <c r="DW771" s="140">
        <f>'Detailed Budget'!$AC$194</f>
        <v>2684962805.4134097</v>
      </c>
      <c r="DX771" s="269">
        <f t="shared" si="2006"/>
        <v>1153694.058318432</v>
      </c>
      <c r="DY771" s="607">
        <f t="shared" si="1977"/>
        <v>34453963.730470046</v>
      </c>
      <c r="DZ771" s="196">
        <f>'Detailed Budget'!$AC$198</f>
        <v>18732540018.380611</v>
      </c>
      <c r="EA771" s="269">
        <f t="shared" si="2007"/>
        <v>7738607.0512925303</v>
      </c>
      <c r="EB771" s="196">
        <f>'Detailed Budget'!$AC$200</f>
        <v>4683135004.5951529</v>
      </c>
      <c r="EC771" s="269">
        <f t="shared" si="2008"/>
        <v>1934651.7628231326</v>
      </c>
      <c r="ED771" s="269">
        <f t="shared" si="1978"/>
        <v>9673258.8141156621</v>
      </c>
      <c r="EE771" s="196">
        <f>'Detailed Budget'!$AC$161</f>
        <v>251147290106.36197</v>
      </c>
      <c r="EF771" s="269">
        <f t="shared" si="2009"/>
        <v>107914767.30117023</v>
      </c>
      <c r="EG771" s="196">
        <f>'Detailed Budget'!$AC$163</f>
        <v>15696705631.647623</v>
      </c>
      <c r="EH771" s="269">
        <f t="shared" si="2010"/>
        <v>6744672.9563231394</v>
      </c>
      <c r="EI771" s="269">
        <f t="shared" si="1979"/>
        <v>114659440.25749338</v>
      </c>
      <c r="EJ771" s="196">
        <f>'Detailed Budget'!$AC$204</f>
        <v>45012172507.531975</v>
      </c>
      <c r="EK771" s="269">
        <f t="shared" si="2011"/>
        <v>22132809.851591267</v>
      </c>
      <c r="EL771" s="201">
        <f>'Detailed Budget'!$AC$206</f>
        <v>11253043126.882994</v>
      </c>
      <c r="EM771" s="269">
        <f t="shared" si="2012"/>
        <v>5533202.4628978167</v>
      </c>
      <c r="EN771" s="269">
        <f t="shared" si="1980"/>
        <v>27666012.314489082</v>
      </c>
      <c r="EO771" s="140">
        <f>'Detailed Budget'!$AC$209</f>
        <v>135789361677.54817</v>
      </c>
      <c r="EP771" s="269">
        <f t="shared" si="2013"/>
        <v>53434767.400535934</v>
      </c>
      <c r="EQ771" s="196">
        <f>'Detailed Budget'!$AC$211</f>
        <v>33947340419.387043</v>
      </c>
      <c r="ER771" s="269">
        <f t="shared" si="2014"/>
        <v>13358691.850133983</v>
      </c>
      <c r="ES771" s="269">
        <f t="shared" si="1981"/>
        <v>66793459.250669919</v>
      </c>
      <c r="ET771" s="196">
        <f>'Detailed Budget'!$AC$214</f>
        <v>22239745544.201103</v>
      </c>
      <c r="EU771" s="269">
        <f t="shared" si="2015"/>
        <v>8499328.0987313073</v>
      </c>
      <c r="EV771" s="140">
        <f>'Detailed Budget'!$AC$217</f>
        <v>5559936386.0502758</v>
      </c>
      <c r="EW771" s="269">
        <f t="shared" si="2016"/>
        <v>2124832.0246828268</v>
      </c>
      <c r="EX771" s="269">
        <f t="shared" si="1982"/>
        <v>10624160.123414135</v>
      </c>
      <c r="EY771" s="196">
        <f>'Detailed Budget'!$AC$219</f>
        <v>372777004.58170313</v>
      </c>
      <c r="EZ771" s="269">
        <f t="shared" si="2017"/>
        <v>149147.58201891306</v>
      </c>
      <c r="FA771" s="196">
        <f>'Detailed Budget'!$AC$222</f>
        <v>93194251.145425782</v>
      </c>
      <c r="FB771" s="269">
        <f t="shared" si="2018"/>
        <v>37286.895504728265</v>
      </c>
      <c r="FC771" s="269">
        <f t="shared" si="1983"/>
        <v>186434.47752364131</v>
      </c>
      <c r="FD771" s="269"/>
      <c r="FE771" s="269">
        <f t="shared" si="1984"/>
        <v>105270066.16609676</v>
      </c>
      <c r="FF771" s="140">
        <f>'Detailed Budget'!$AC$165</f>
        <v>14927760000</v>
      </c>
      <c r="FG771" s="1087">
        <f t="shared" si="1864"/>
        <v>143595338.48188612</v>
      </c>
      <c r="FH771" s="269">
        <f t="shared" si="2019"/>
        <v>16961436.200431772</v>
      </c>
      <c r="FJ771" s="140">
        <f>'Detailed Budget'!$AC$235</f>
        <v>3623696172</v>
      </c>
      <c r="FK771" s="269">
        <f t="shared" si="2020"/>
        <v>4681778</v>
      </c>
      <c r="FL771" s="269">
        <f t="shared" si="1865"/>
        <v>4681778</v>
      </c>
      <c r="FO771" s="607"/>
      <c r="FP771" s="607"/>
      <c r="FQ771" s="607"/>
      <c r="FR771" s="269">
        <f>'Detailed Budget'!$AC$257</f>
        <v>13636439388</v>
      </c>
      <c r="FS771" s="269">
        <f t="shared" si="2021"/>
        <v>8494356</v>
      </c>
      <c r="FT771" s="269">
        <f t="shared" si="1866"/>
        <v>8494356</v>
      </c>
      <c r="FU771" s="269"/>
      <c r="FV771" s="269"/>
      <c r="FW771" s="269"/>
      <c r="FX771" s="140">
        <f>'Detailed Budget'!$AC$278</f>
        <v>1114560000</v>
      </c>
      <c r="FY771" s="269">
        <f t="shared" si="2022"/>
        <v>1440000</v>
      </c>
      <c r="FZ771" s="269">
        <f t="shared" si="1867"/>
        <v>1440000</v>
      </c>
      <c r="GB771" s="269">
        <f t="shared" si="1899"/>
        <v>490238178.7427128</v>
      </c>
      <c r="GC771" s="887">
        <f t="shared" si="1985"/>
        <v>306398.86171419552</v>
      </c>
      <c r="GD771" s="1078">
        <f t="shared" si="1900"/>
        <v>2.7508807925302043E-4</v>
      </c>
    </row>
    <row r="772" spans="1:186" hidden="1" outlineLevel="1">
      <c r="A772" s="211" t="s">
        <v>1624</v>
      </c>
      <c r="B772" s="212" t="s">
        <v>1629</v>
      </c>
      <c r="C772" s="213" t="s">
        <v>215</v>
      </c>
      <c r="D772" s="214"/>
      <c r="E772" s="213"/>
      <c r="F772" s="213"/>
      <c r="G772" s="213" t="s">
        <v>215</v>
      </c>
      <c r="H772" s="213" t="s">
        <v>215</v>
      </c>
      <c r="I772" s="214" t="s">
        <v>215</v>
      </c>
      <c r="J772" s="214"/>
      <c r="K772" s="213"/>
      <c r="L772" s="213"/>
      <c r="M772" s="214"/>
      <c r="N772" s="213"/>
      <c r="O772" s="214" t="s">
        <v>215</v>
      </c>
      <c r="P772" s="213"/>
      <c r="Q772" s="214"/>
      <c r="R772" s="214" t="s">
        <v>215</v>
      </c>
      <c r="S772" s="214"/>
      <c r="T772" s="214"/>
      <c r="U772" s="215">
        <f>COUNTA(C772:T772)</f>
        <v>6</v>
      </c>
      <c r="V772" s="845" t="s">
        <v>216</v>
      </c>
      <c r="W772" s="216">
        <v>255885</v>
      </c>
      <c r="X772" s="217">
        <v>3.31</v>
      </c>
      <c r="Y772" s="218">
        <f>1+X772/100</f>
        <v>1.0330999999999999</v>
      </c>
      <c r="Z772" s="196">
        <v>19</v>
      </c>
      <c r="AA772" s="218">
        <f>POWER(Y772,Z772)</f>
        <v>1.8565423880120511</v>
      </c>
      <c r="AB772" s="196">
        <f>W772*AA772</f>
        <v>475061.34895646368</v>
      </c>
      <c r="AC772">
        <v>14.1</v>
      </c>
      <c r="AD772" s="196">
        <f>AB772*AC772/100</f>
        <v>66983.650202861376</v>
      </c>
      <c r="AE772" s="196">
        <f>AD772*0.95</f>
        <v>63634.467692718303</v>
      </c>
      <c r="AF772" s="196">
        <f t="shared" si="2023"/>
        <v>0</v>
      </c>
      <c r="AG772" s="606">
        <f>AE772/21628351</f>
        <v>2.9421784255636643E-3</v>
      </c>
      <c r="AH772" s="196">
        <f>AB772*0.05</f>
        <v>23753.067447823185</v>
      </c>
      <c r="AI772" s="248">
        <f>AH772/12908475</f>
        <v>1.8401141457703707E-3</v>
      </c>
      <c r="AJ772" s="196">
        <f>AD772+AH772</f>
        <v>90736.717650684557</v>
      </c>
      <c r="AK772" s="196">
        <f>AB772*0.04</f>
        <v>19002.453958258549</v>
      </c>
      <c r="AL772" s="196">
        <f>AB772*0.04</f>
        <v>19002.453958258549</v>
      </c>
      <c r="AM772" s="196">
        <f>AK772+AL772</f>
        <v>38004.907916517099</v>
      </c>
      <c r="AN772" s="627">
        <f>AM772/20653560</f>
        <v>1.8401141457703707E-3</v>
      </c>
      <c r="AO772" s="196">
        <f>AB772*0.038</f>
        <v>18052.331260345618</v>
      </c>
      <c r="AP772" s="589">
        <f>AO772/9810441</f>
        <v>1.8401141457703703E-3</v>
      </c>
      <c r="AQ772" s="196"/>
      <c r="AR772" s="589"/>
      <c r="AS772">
        <v>1</v>
      </c>
      <c r="AT772" s="589">
        <f>AS772/774</f>
        <v>1.2919896640826874E-3</v>
      </c>
      <c r="AU772" s="196">
        <v>15</v>
      </c>
      <c r="AV772" s="245">
        <f>AU772/8801</f>
        <v>1.7043517782070218E-3</v>
      </c>
      <c r="AX772" s="245"/>
      <c r="AY772" s="245"/>
      <c r="AZ772" s="196">
        <v>37</v>
      </c>
      <c r="BA772" s="589">
        <f t="shared" si="1871"/>
        <v>1.3557583085999048E-3</v>
      </c>
      <c r="BI772" s="196">
        <v>0</v>
      </c>
      <c r="BK772" s="246">
        <f>BJ772/52440044</f>
        <v>0</v>
      </c>
      <c r="BL772" s="246"/>
      <c r="BM772" s="246">
        <f>BL772/1048801</f>
        <v>0</v>
      </c>
      <c r="BN772" s="196">
        <v>1</v>
      </c>
      <c r="BO772" s="196">
        <f t="shared" si="2024"/>
        <v>26074.937723995597</v>
      </c>
      <c r="BP772" s="196">
        <f>BN772*BO772</f>
        <v>26074.937723995597</v>
      </c>
      <c r="BQ772" s="248">
        <f>BP772/10690003</f>
        <v>2.4391889996659118E-3</v>
      </c>
      <c r="BR772" s="248"/>
      <c r="BS772" s="248"/>
      <c r="BT772" s="276">
        <v>0</v>
      </c>
      <c r="BU772" s="196">
        <f t="shared" si="2025"/>
        <v>0</v>
      </c>
      <c r="BV772" s="264">
        <f t="shared" si="1875"/>
        <v>0</v>
      </c>
      <c r="BW772" s="196">
        <f t="shared" si="2026"/>
        <v>0</v>
      </c>
      <c r="BX772" s="247">
        <f t="shared" si="1876"/>
        <v>0</v>
      </c>
      <c r="BY772" s="196">
        <f>BU772+BW772</f>
        <v>0</v>
      </c>
      <c r="BZ772" s="620">
        <v>1</v>
      </c>
      <c r="CA772" s="196">
        <f t="shared" si="2028"/>
        <v>145368.77278067789</v>
      </c>
      <c r="CB772" s="196">
        <f t="shared" si="2029"/>
        <v>290737.54556135577</v>
      </c>
      <c r="CC772" s="196">
        <f>CA772+CB772</f>
        <v>436106.31834203366</v>
      </c>
      <c r="CD772" s="247">
        <f>CC772/236999601</f>
        <v>1.8401141457703705E-3</v>
      </c>
      <c r="CE772" s="196">
        <f t="shared" si="2030"/>
        <v>40967.983840518231</v>
      </c>
      <c r="CF772" s="247">
        <f>CE772/23157202</f>
        <v>1.7691249504373729E-3</v>
      </c>
      <c r="CG772" s="196">
        <f t="shared" si="2001"/>
        <v>72209.325041382472</v>
      </c>
      <c r="CH772" s="589">
        <f>CG772/39241764</f>
        <v>1.8401141457703703E-3</v>
      </c>
      <c r="CI772" s="196">
        <f t="shared" si="2031"/>
        <v>128084.68777579546</v>
      </c>
      <c r="CJ772" s="248">
        <f>CI772/60827260</f>
        <v>2.1057119419121534E-3</v>
      </c>
      <c r="CK772" s="196">
        <f t="shared" si="2032"/>
        <v>117229.38609623913</v>
      </c>
      <c r="CL772" s="589">
        <f>CK772/69564222</f>
        <v>1.6851965381894033E-3</v>
      </c>
      <c r="CM772" s="196">
        <f t="shared" si="2033"/>
        <v>11356.61575044709</v>
      </c>
      <c r="CN772" s="589">
        <f>CM772/6939078</f>
        <v>1.6366173936144097E-3</v>
      </c>
      <c r="CO772" s="196">
        <f t="shared" si="2034"/>
        <v>908.55927475766021</v>
      </c>
      <c r="CP772" s="589">
        <f>CO772/530266</f>
        <v>1.7134028483019093E-3</v>
      </c>
      <c r="CQ772" s="196">
        <f>'Detailed Budget'!$AC$12</f>
        <v>292876014141.44696</v>
      </c>
      <c r="CR772" s="269">
        <f t="shared" si="2040"/>
        <v>0</v>
      </c>
      <c r="CS772" s="269">
        <f>'Detailed Budget'!$AC$16</f>
        <v>10488008800.000002</v>
      </c>
      <c r="CT772" s="607">
        <f t="shared" si="2002"/>
        <v>0</v>
      </c>
      <c r="CU772" s="269">
        <f>'Detailed Budget'!$AC$24</f>
        <v>30624985696</v>
      </c>
      <c r="CV772" s="269">
        <f t="shared" si="1868"/>
        <v>0</v>
      </c>
      <c r="CW772" s="269"/>
      <c r="CX772" s="269">
        <f>CR772+CT772+CV772+CW772</f>
        <v>0</v>
      </c>
      <c r="CY772" s="196">
        <f>'Detailed Budget'!$AC$97</f>
        <v>74629165494.837845</v>
      </c>
      <c r="CZ772" s="269">
        <f t="shared" si="2003"/>
        <v>182034639.5292553</v>
      </c>
      <c r="DA772" s="269">
        <f>'Detailed Budget'!$AC$100</f>
        <v>14925833098.967569</v>
      </c>
      <c r="DB772" s="269">
        <f t="shared" si="2004"/>
        <v>36406927.905851059</v>
      </c>
      <c r="DC772" s="269">
        <f>CZ772+DB772</f>
        <v>218441567.43510637</v>
      </c>
      <c r="DD772" s="207">
        <v>0</v>
      </c>
      <c r="DE772" s="606">
        <v>0</v>
      </c>
      <c r="DF772" s="269">
        <f>'Detailed Budget'!$AC$147</f>
        <v>5913600671000</v>
      </c>
      <c r="DG772" s="269">
        <f>DE772*DF772</f>
        <v>0</v>
      </c>
      <c r="DH772" s="269">
        <f>'Detailed Budget'!$AC$153</f>
        <v>226428026880.00003</v>
      </c>
      <c r="DI772" s="269"/>
      <c r="DJ772" s="269">
        <f>'Detailed Budget'!$AC$156</f>
        <v>27713070000</v>
      </c>
      <c r="DK772" s="269"/>
      <c r="DL772" s="269"/>
      <c r="DM772" s="196">
        <f>'Detailed Budget'!$AC$178</f>
        <v>5622683761.6229038</v>
      </c>
      <c r="DN772" s="269">
        <f t="shared" si="2035"/>
        <v>0</v>
      </c>
      <c r="DO772" s="196">
        <f>'Detailed Budget'!$AC$179</f>
        <v>26827890683.128094</v>
      </c>
      <c r="DP772" s="269">
        <f t="shared" si="2036"/>
        <v>0</v>
      </c>
      <c r="DQ772" s="269">
        <f>DN772+DP772</f>
        <v>0</v>
      </c>
      <c r="DR772" s="269">
        <f>'Detailed Budget'!$AC$181</f>
        <v>50888946855.375237</v>
      </c>
      <c r="DS772" s="269">
        <f t="shared" si="2037"/>
        <v>0</v>
      </c>
      <c r="DT772" s="269">
        <f>DQ772+DS772</f>
        <v>0</v>
      </c>
      <c r="DU772" s="272">
        <f>'Detailed Budget'!$AC$192</f>
        <v>77498869683.252869</v>
      </c>
      <c r="DV772" s="269">
        <f t="shared" si="2005"/>
        <v>142606766.38536811</v>
      </c>
      <c r="DW772" s="140">
        <f>'Detailed Budget'!$AC$194</f>
        <v>2684962805.4134097</v>
      </c>
      <c r="DX772" s="269">
        <f t="shared" si="2006"/>
        <v>4940638.0391085148</v>
      </c>
      <c r="DY772" s="607">
        <f>DV772+DX772</f>
        <v>147547404.42447662</v>
      </c>
      <c r="DZ772" s="196">
        <f>'Detailed Budget'!$AC$198</f>
        <v>18732540018.380611</v>
      </c>
      <c r="EA772" s="269">
        <f t="shared" si="2007"/>
        <v>33140203.931583703</v>
      </c>
      <c r="EB772" s="196">
        <f>'Detailed Budget'!$AC$200</f>
        <v>4683135004.5951529</v>
      </c>
      <c r="EC772" s="269">
        <f t="shared" si="2008"/>
        <v>8285050.9828959256</v>
      </c>
      <c r="ED772" s="269">
        <f>EA772+EC772</f>
        <v>41425254.914479628</v>
      </c>
      <c r="EE772" s="196">
        <f>'Detailed Budget'!$AC$161</f>
        <v>251147290106.36197</v>
      </c>
      <c r="EF772" s="269">
        <f t="shared" si="2009"/>
        <v>462139681.19661164</v>
      </c>
      <c r="EG772" s="196">
        <f>'Detailed Budget'!$AC$163</f>
        <v>15696705631.647623</v>
      </c>
      <c r="EH772" s="269">
        <f t="shared" si="2010"/>
        <v>28883730.074788228</v>
      </c>
      <c r="EI772" s="269">
        <f>EF772+EH772</f>
        <v>491023411.27139986</v>
      </c>
      <c r="EJ772" s="196">
        <f>'Detailed Budget'!$AC$204</f>
        <v>45012172507.531975</v>
      </c>
      <c r="EK772" s="269">
        <f t="shared" si="2011"/>
        <v>94782669.180519998</v>
      </c>
      <c r="EL772" s="201">
        <f>'Detailed Budget'!$AC$206</f>
        <v>11253043126.882994</v>
      </c>
      <c r="EM772" s="269">
        <f t="shared" si="2012"/>
        <v>23695667.29513</v>
      </c>
      <c r="EN772" s="269">
        <f>EK772+EM772</f>
        <v>118478336.47565</v>
      </c>
      <c r="EO772" s="140">
        <f>'Detailed Budget'!$AC$209</f>
        <v>135789361677.54817</v>
      </c>
      <c r="EP772" s="269">
        <f t="shared" si="2013"/>
        <v>228831762.221953</v>
      </c>
      <c r="EQ772" s="196">
        <f>'Detailed Budget'!$AC$211</f>
        <v>33947340419.387043</v>
      </c>
      <c r="ER772" s="269">
        <f t="shared" si="2014"/>
        <v>57207940.555488251</v>
      </c>
      <c r="ES772" s="269">
        <f>EP772+ER772</f>
        <v>286039702.77744126</v>
      </c>
      <c r="ET772" s="196">
        <f>'Detailed Budget'!$AC$214</f>
        <v>22239745544.201103</v>
      </c>
      <c r="EU772" s="269">
        <f t="shared" si="2015"/>
        <v>36397954.387198091</v>
      </c>
      <c r="EV772" s="140">
        <f>'Detailed Budget'!$AC$217</f>
        <v>5559936386.0502758</v>
      </c>
      <c r="EW772" s="269">
        <f t="shared" si="2016"/>
        <v>9099488.5967995226</v>
      </c>
      <c r="EX772" s="269">
        <f>EU772+EW772</f>
        <v>45497442.983997613</v>
      </c>
      <c r="EY772" s="196">
        <f>'Detailed Budget'!$AC$219</f>
        <v>372777004.58170313</v>
      </c>
      <c r="EZ772" s="269">
        <f t="shared" si="2017"/>
        <v>638717.18143174401</v>
      </c>
      <c r="FA772" s="196">
        <f>'Detailed Budget'!$AC$222</f>
        <v>93194251.145425782</v>
      </c>
      <c r="FB772" s="269">
        <f t="shared" si="2018"/>
        <v>159679.295357936</v>
      </c>
      <c r="FC772" s="269">
        <f>EZ772+FB772</f>
        <v>798396.47678968008</v>
      </c>
      <c r="FD772" s="269"/>
      <c r="FE772" s="269">
        <f>EN772+ES772+EX772+FC772</f>
        <v>450813878.71387857</v>
      </c>
      <c r="FF772" s="140">
        <f>'Detailed Budget'!$AC$165</f>
        <v>14927760000</v>
      </c>
      <c r="FG772" s="1087">
        <f t="shared" si="1864"/>
        <v>614939971.67354119</v>
      </c>
      <c r="FH772" s="269">
        <f t="shared" si="2019"/>
        <v>25442154.300647654</v>
      </c>
      <c r="FJ772" s="140">
        <f>'Detailed Budget'!$AC$235</f>
        <v>3623696172</v>
      </c>
      <c r="FK772" s="269">
        <f t="shared" si="2020"/>
        <v>4681778</v>
      </c>
      <c r="FL772" s="269">
        <f>FI772+FK772</f>
        <v>4681778</v>
      </c>
      <c r="FO772" s="607"/>
      <c r="FP772" s="607"/>
      <c r="FQ772" s="607"/>
      <c r="FR772" s="269">
        <f>'Detailed Budget'!$AC$257</f>
        <v>13636439388</v>
      </c>
      <c r="FS772" s="269">
        <f t="shared" si="2021"/>
        <v>18487716</v>
      </c>
      <c r="FT772" s="269">
        <f t="shared" si="1866"/>
        <v>18487716</v>
      </c>
      <c r="FU772" s="269"/>
      <c r="FV772" s="269"/>
      <c r="FW772" s="269"/>
      <c r="FX772" s="140">
        <f>'Detailed Budget'!$AC$278</f>
        <v>1114560000</v>
      </c>
      <c r="FY772" s="269">
        <f t="shared" si="2022"/>
        <v>1440000</v>
      </c>
      <c r="FZ772" s="269">
        <f>FU772+FW772+FY772</f>
        <v>1440000</v>
      </c>
      <c r="GB772" s="269">
        <f t="shared" si="1899"/>
        <v>2014243136.73353</v>
      </c>
      <c r="GC772" s="887">
        <f>GB772/1600</f>
        <v>1258901.9604584563</v>
      </c>
      <c r="GD772" s="1078">
        <f t="shared" si="1900"/>
        <v>1.1302552507306983E-3</v>
      </c>
    </row>
    <row r="773" spans="1:186" hidden="1" outlineLevel="1">
      <c r="A773" s="211" t="s">
        <v>1626</v>
      </c>
      <c r="B773" s="212" t="s">
        <v>2816</v>
      </c>
      <c r="C773" s="213" t="s">
        <v>215</v>
      </c>
      <c r="D773" s="214"/>
      <c r="E773" s="213"/>
      <c r="F773" s="213"/>
      <c r="G773" s="213" t="s">
        <v>215</v>
      </c>
      <c r="H773" s="213" t="s">
        <v>215</v>
      </c>
      <c r="I773" s="214" t="s">
        <v>215</v>
      </c>
      <c r="J773" s="214"/>
      <c r="K773" s="213"/>
      <c r="L773" s="213"/>
      <c r="M773" s="214"/>
      <c r="N773" s="213" t="s">
        <v>215</v>
      </c>
      <c r="O773" s="214"/>
      <c r="P773" s="213"/>
      <c r="Q773" s="214"/>
      <c r="R773" s="214" t="s">
        <v>215</v>
      </c>
      <c r="S773" s="214"/>
      <c r="T773" s="214"/>
      <c r="U773" s="215">
        <f>COUNTA(C773:T773)</f>
        <v>6</v>
      </c>
      <c r="V773" s="845" t="s">
        <v>216</v>
      </c>
      <c r="W773" s="216">
        <v>183844</v>
      </c>
      <c r="X773" s="217">
        <v>3.31</v>
      </c>
      <c r="Y773" s="218">
        <f>1+X773/100</f>
        <v>1.0330999999999999</v>
      </c>
      <c r="Z773" s="196">
        <v>19</v>
      </c>
      <c r="AA773" s="218">
        <f>POWER(Y773,Z773)</f>
        <v>1.8565423880120511</v>
      </c>
      <c r="AB773" s="196">
        <f>W773*AA773</f>
        <v>341314.17878168751</v>
      </c>
      <c r="AC773">
        <v>14.1</v>
      </c>
      <c r="AD773" s="196">
        <f>AB773*AC773/100</f>
        <v>48125.299208217933</v>
      </c>
      <c r="AE773" s="196">
        <f>AD773*0.95</f>
        <v>45719.034247807038</v>
      </c>
      <c r="AF773" s="196">
        <f t="shared" si="2023"/>
        <v>0</v>
      </c>
      <c r="AG773" s="606">
        <f>AE773/21628351</f>
        <v>2.1138474332974824E-3</v>
      </c>
      <c r="AH773" s="196">
        <f>AB773*0.05</f>
        <v>17065.708939084376</v>
      </c>
      <c r="AI773" s="248">
        <f>AH773/12908475</f>
        <v>1.3220546144362038E-3</v>
      </c>
      <c r="AJ773" s="196">
        <f>AD773+AH773</f>
        <v>65191.008147302309</v>
      </c>
      <c r="AK773" s="196">
        <f>AB773*0.04</f>
        <v>13652.567151267502</v>
      </c>
      <c r="AL773" s="196">
        <f>AB773*0.04</f>
        <v>13652.567151267502</v>
      </c>
      <c r="AM773" s="196">
        <f>AK773+AL773</f>
        <v>27305.134302535003</v>
      </c>
      <c r="AN773" s="627">
        <f>AM773/20653560</f>
        <v>1.322054614436204E-3</v>
      </c>
      <c r="AO773" s="196">
        <f>AB773*0.038</f>
        <v>12969.938793704125</v>
      </c>
      <c r="AP773" s="589">
        <f>AO773/9810441</f>
        <v>1.3220546144362038E-3</v>
      </c>
      <c r="AQ773" s="196"/>
      <c r="AR773" s="589"/>
      <c r="AS773">
        <v>1</v>
      </c>
      <c r="AT773" s="589">
        <f>AS773/774</f>
        <v>1.2919896640826874E-3</v>
      </c>
      <c r="AU773" s="196">
        <v>11</v>
      </c>
      <c r="AV773" s="245">
        <f>AU773/8801</f>
        <v>1.2498579706851495E-3</v>
      </c>
      <c r="AX773" s="245"/>
      <c r="AY773" s="245"/>
      <c r="AZ773" s="196">
        <v>43</v>
      </c>
      <c r="BA773" s="589">
        <f t="shared" si="1871"/>
        <v>1.5756110072917811E-3</v>
      </c>
      <c r="BI773" s="196">
        <v>0</v>
      </c>
      <c r="BK773" s="246">
        <f>BJ773/52440044</f>
        <v>0</v>
      </c>
      <c r="BL773" s="246"/>
      <c r="BM773" s="246">
        <f>BL773/1048801</f>
        <v>0</v>
      </c>
      <c r="BN773" s="196">
        <v>1</v>
      </c>
      <c r="BO773" s="196">
        <f t="shared" si="2024"/>
        <v>18733.887687555922</v>
      </c>
      <c r="BP773" s="196">
        <f>BN773*BO773</f>
        <v>18733.887687555922</v>
      </c>
      <c r="BQ773" s="248">
        <f>BP773/10690003</f>
        <v>1.7524679541769935E-3</v>
      </c>
      <c r="BR773" s="248"/>
      <c r="BS773" s="248"/>
      <c r="BT773" s="276">
        <v>0</v>
      </c>
      <c r="BU773" s="196">
        <f t="shared" si="2025"/>
        <v>0</v>
      </c>
      <c r="BV773" s="264">
        <f t="shared" si="1875"/>
        <v>0</v>
      </c>
      <c r="BW773" s="196">
        <f t="shared" si="2026"/>
        <v>0</v>
      </c>
      <c r="BX773" s="247">
        <f t="shared" si="1876"/>
        <v>0</v>
      </c>
      <c r="BY773" s="196">
        <f>BU773+BW773</f>
        <v>0</v>
      </c>
      <c r="BZ773" s="620">
        <v>1</v>
      </c>
      <c r="CA773" s="196">
        <f t="shared" si="2028"/>
        <v>104442.1387071964</v>
      </c>
      <c r="CB773" s="196">
        <f t="shared" si="2029"/>
        <v>208884.2774143928</v>
      </c>
      <c r="CC773" s="196">
        <f>CA773+CB773</f>
        <v>313326.41612158919</v>
      </c>
      <c r="CD773" s="247">
        <f>CC773/236999601</f>
        <v>1.322054614436204E-3</v>
      </c>
      <c r="CE773" s="196">
        <f t="shared" si="2030"/>
        <v>29433.995823030786</v>
      </c>
      <c r="CF773" s="247">
        <f>CE773/23157202</f>
        <v>1.2710514777662166E-3</v>
      </c>
      <c r="CG773" s="196">
        <f t="shared" si="2001"/>
        <v>51879.755174816499</v>
      </c>
      <c r="CH773" s="589">
        <f>CG773/39241764</f>
        <v>1.3220546144362038E-3</v>
      </c>
      <c r="CI773" s="196">
        <f t="shared" si="2031"/>
        <v>92024.156708886178</v>
      </c>
      <c r="CJ773" s="248">
        <f>CI773/60827260</f>
        <v>1.5128769027058951E-3</v>
      </c>
      <c r="CK773" s="196">
        <f t="shared" si="2032"/>
        <v>84225.020057748538</v>
      </c>
      <c r="CL773" s="589">
        <f>CK773/69564222</f>
        <v>1.2107519876776388E-3</v>
      </c>
      <c r="CM773" s="196">
        <f t="shared" si="2033"/>
        <v>8159.3124490501377</v>
      </c>
      <c r="CN773" s="589">
        <f>CM773/6939078</f>
        <v>1.1758496516468236E-3</v>
      </c>
      <c r="CO773" s="196">
        <f t="shared" si="2034"/>
        <v>652.76656040231853</v>
      </c>
      <c r="CP773" s="589">
        <f>CO773/530266</f>
        <v>1.2310171883588965E-3</v>
      </c>
      <c r="CQ773" s="196">
        <f>'Detailed Budget'!$AC$12</f>
        <v>292876014141.44696</v>
      </c>
      <c r="CR773" s="269">
        <f t="shared" si="2040"/>
        <v>0</v>
      </c>
      <c r="CS773" s="269">
        <f>'Detailed Budget'!$AC$16</f>
        <v>10488008800.000002</v>
      </c>
      <c r="CT773" s="607">
        <f t="shared" si="2002"/>
        <v>0</v>
      </c>
      <c r="CU773" s="269">
        <f>'Detailed Budget'!$AC$24</f>
        <v>30624985696</v>
      </c>
      <c r="CV773" s="269">
        <f t="shared" si="1868"/>
        <v>0</v>
      </c>
      <c r="CW773" s="269"/>
      <c r="CX773" s="269">
        <f>CR773+CT773+CV773+CW773</f>
        <v>0</v>
      </c>
      <c r="CY773" s="196">
        <f>'Detailed Budget'!$AC$97</f>
        <v>74629165494.837845</v>
      </c>
      <c r="CZ773" s="269">
        <f t="shared" si="2003"/>
        <v>130785220.97667475</v>
      </c>
      <c r="DA773" s="269">
        <f>'Detailed Budget'!$AC$100</f>
        <v>14925833098.967569</v>
      </c>
      <c r="DB773" s="269">
        <f t="shared" si="2004"/>
        <v>26157044.195334952</v>
      </c>
      <c r="DC773" s="269">
        <f>CZ773+DB773</f>
        <v>156942265.17200971</v>
      </c>
      <c r="DD773" s="207">
        <v>0</v>
      </c>
      <c r="DE773" s="606">
        <v>0</v>
      </c>
      <c r="DF773" s="269">
        <f>'Detailed Budget'!$AC$147</f>
        <v>5913600671000</v>
      </c>
      <c r="DG773" s="269">
        <f>DE773*DF773</f>
        <v>0</v>
      </c>
      <c r="DH773" s="269">
        <f>'Detailed Budget'!$AC$153</f>
        <v>226428026880.00003</v>
      </c>
      <c r="DI773" s="269"/>
      <c r="DJ773" s="269">
        <f>'Detailed Budget'!$AC$156</f>
        <v>27713070000</v>
      </c>
      <c r="DK773" s="269"/>
      <c r="DL773" s="269"/>
      <c r="DM773" s="196">
        <f>'Detailed Budget'!$AC$178</f>
        <v>5622683761.6229038</v>
      </c>
      <c r="DN773" s="269">
        <f t="shared" si="2035"/>
        <v>0</v>
      </c>
      <c r="DO773" s="196">
        <f>'Detailed Budget'!$AC$179</f>
        <v>26827890683.128094</v>
      </c>
      <c r="DP773" s="269">
        <f t="shared" si="2036"/>
        <v>0</v>
      </c>
      <c r="DQ773" s="269">
        <f>DN773+DP773</f>
        <v>0</v>
      </c>
      <c r="DR773" s="269">
        <f>'Detailed Budget'!$AC$181</f>
        <v>50888946855.375237</v>
      </c>
      <c r="DS773" s="269">
        <f t="shared" si="2037"/>
        <v>0</v>
      </c>
      <c r="DT773" s="269">
        <f>DQ773+DS773</f>
        <v>0</v>
      </c>
      <c r="DU773" s="272">
        <f>'Detailed Budget'!$AC$192</f>
        <v>77498869683.252869</v>
      </c>
      <c r="DV773" s="269">
        <f t="shared" si="2005"/>
        <v>102457738.27833448</v>
      </c>
      <c r="DW773" s="140">
        <f>'Detailed Budget'!$AC$194</f>
        <v>2684962805.4134097</v>
      </c>
      <c r="DX773" s="269">
        <f t="shared" si="2006"/>
        <v>3549667.4664863739</v>
      </c>
      <c r="DY773" s="607">
        <f>DV773+DX773</f>
        <v>106007405.74482086</v>
      </c>
      <c r="DZ773" s="196">
        <f>'Detailed Budget'!$AC$198</f>
        <v>18732540018.380611</v>
      </c>
      <c r="EA773" s="269">
        <f t="shared" si="2007"/>
        <v>23810022.672677465</v>
      </c>
      <c r="EB773" s="196">
        <f>'Detailed Budget'!$AC$200</f>
        <v>4683135004.5951529</v>
      </c>
      <c r="EC773" s="269">
        <f t="shared" si="2008"/>
        <v>5952505.6681693662</v>
      </c>
      <c r="ED773" s="269">
        <f>EA773+EC773</f>
        <v>29762528.340846829</v>
      </c>
      <c r="EE773" s="196">
        <f>'Detailed Budget'!$AC$161</f>
        <v>251147290106.36197</v>
      </c>
      <c r="EF773" s="269">
        <f t="shared" si="2009"/>
        <v>332030433.7882638</v>
      </c>
      <c r="EG773" s="196">
        <f>'Detailed Budget'!$AC$163</f>
        <v>15696705631.647623</v>
      </c>
      <c r="EH773" s="269">
        <f t="shared" si="2010"/>
        <v>20751902.111766487</v>
      </c>
      <c r="EI773" s="269">
        <f>EF773+EH773</f>
        <v>352782335.90003026</v>
      </c>
      <c r="EJ773" s="196">
        <f>'Detailed Budget'!$AC$204</f>
        <v>45012172507.531975</v>
      </c>
      <c r="EK773" s="269">
        <f t="shared" si="2011"/>
        <v>68097876.12725842</v>
      </c>
      <c r="EL773" s="201">
        <f>'Detailed Budget'!$AC$206</f>
        <v>11253043126.882994</v>
      </c>
      <c r="EM773" s="269">
        <f t="shared" si="2012"/>
        <v>17024469.031814605</v>
      </c>
      <c r="EN773" s="269">
        <f>EK773+EM773</f>
        <v>85122345.159073025</v>
      </c>
      <c r="EO773" s="140">
        <f>'Detailed Budget'!$AC$209</f>
        <v>135789361677.54817</v>
      </c>
      <c r="EP773" s="269">
        <f t="shared" si="2013"/>
        <v>164407239.55656925</v>
      </c>
      <c r="EQ773" s="196">
        <f>'Detailed Budget'!$AC$211</f>
        <v>33947340419.387043</v>
      </c>
      <c r="ER773" s="269">
        <f t="shared" si="2014"/>
        <v>41101809.889142312</v>
      </c>
      <c r="ES773" s="269">
        <f>EP773+ER773</f>
        <v>205509049.44571155</v>
      </c>
      <c r="ET773" s="196">
        <f>'Detailed Budget'!$AC$214</f>
        <v>22239745544.201103</v>
      </c>
      <c r="EU773" s="269">
        <f t="shared" si="2015"/>
        <v>26150597.050862864</v>
      </c>
      <c r="EV773" s="140">
        <f>'Detailed Budget'!$AC$217</f>
        <v>5559936386.0502758</v>
      </c>
      <c r="EW773" s="269">
        <f t="shared" si="2016"/>
        <v>6537649.2627157159</v>
      </c>
      <c r="EX773" s="269">
        <f>EU773+EW773</f>
        <v>32688246.31357858</v>
      </c>
      <c r="EY773" s="196">
        <f>'Detailed Budget'!$AC$219</f>
        <v>372777004.58170313</v>
      </c>
      <c r="EZ773" s="269">
        <f t="shared" si="2017"/>
        <v>458894.90006501967</v>
      </c>
      <c r="FA773" s="196">
        <f>'Detailed Budget'!$AC$222</f>
        <v>93194251.145425782</v>
      </c>
      <c r="FB773" s="269">
        <f t="shared" si="2018"/>
        <v>114723.72501625492</v>
      </c>
      <c r="FC773" s="269">
        <f>EZ773+FB773</f>
        <v>573618.62508127454</v>
      </c>
      <c r="FD773" s="269"/>
      <c r="FE773" s="269">
        <f>EN773+ES773+EX773+FC773</f>
        <v>323893259.54344451</v>
      </c>
      <c r="FF773" s="140">
        <f>'Detailed Budget'!$AC$165</f>
        <v>14927760000</v>
      </c>
      <c r="FG773" s="1087">
        <f t="shared" si="1864"/>
        <v>441811845.76020676</v>
      </c>
      <c r="FH773" s="269">
        <f t="shared" si="2019"/>
        <v>18657579.820474949</v>
      </c>
      <c r="FJ773" s="140">
        <f>'Detailed Budget'!$AC$235</f>
        <v>3623696172</v>
      </c>
      <c r="FK773" s="269">
        <f t="shared" si="2020"/>
        <v>4681778</v>
      </c>
      <c r="FL773" s="269">
        <f>FI773+FK773</f>
        <v>4681778</v>
      </c>
      <c r="FO773" s="607"/>
      <c r="FP773" s="607"/>
      <c r="FQ773" s="607"/>
      <c r="FR773" s="269">
        <f>'Detailed Budget'!$AC$257</f>
        <v>13636439388</v>
      </c>
      <c r="FS773" s="269">
        <f t="shared" si="2021"/>
        <v>21485724</v>
      </c>
      <c r="FT773" s="269">
        <f t="shared" si="1866"/>
        <v>21485724</v>
      </c>
      <c r="FU773" s="269"/>
      <c r="FV773" s="269"/>
      <c r="FW773" s="269"/>
      <c r="FX773" s="140">
        <f>'Detailed Budget'!$AC$278</f>
        <v>1114560000</v>
      </c>
      <c r="FY773" s="269">
        <f t="shared" si="2022"/>
        <v>1440000</v>
      </c>
      <c r="FZ773" s="269">
        <f>FU773+FW773+FY773</f>
        <v>1440000</v>
      </c>
      <c r="GB773" s="269">
        <f t="shared" si="1899"/>
        <v>1457464722.2818339</v>
      </c>
      <c r="GC773" s="887">
        <f>GB773/1600</f>
        <v>910915.4514261462</v>
      </c>
      <c r="GD773" s="1078">
        <f t="shared" si="1900"/>
        <v>8.1782934992903427E-4</v>
      </c>
    </row>
    <row r="774" spans="1:186" hidden="1" outlineLevel="1">
      <c r="A774" s="211" t="s">
        <v>1628</v>
      </c>
      <c r="B774" s="212" t="s">
        <v>2817</v>
      </c>
      <c r="C774" s="213" t="s">
        <v>215</v>
      </c>
      <c r="D774" s="214"/>
      <c r="E774" s="213"/>
      <c r="F774" s="213"/>
      <c r="G774" s="213" t="s">
        <v>215</v>
      </c>
      <c r="H774" s="213" t="s">
        <v>215</v>
      </c>
      <c r="I774" s="214" t="s">
        <v>215</v>
      </c>
      <c r="J774" s="214"/>
      <c r="K774" s="213"/>
      <c r="L774" s="213"/>
      <c r="M774" s="214"/>
      <c r="N774" s="213" t="s">
        <v>215</v>
      </c>
      <c r="O774" s="214"/>
      <c r="P774" s="213"/>
      <c r="Q774" s="214"/>
      <c r="R774" s="214" t="s">
        <v>215</v>
      </c>
      <c r="S774" s="214"/>
      <c r="T774" s="214"/>
      <c r="U774" s="215">
        <f>COUNTA(C774:T774)</f>
        <v>6</v>
      </c>
      <c r="V774" s="845" t="s">
        <v>216</v>
      </c>
      <c r="W774" s="216">
        <v>168336</v>
      </c>
      <c r="X774" s="217">
        <v>3.31</v>
      </c>
      <c r="Y774" s="218">
        <f>1+X774/100</f>
        <v>1.0330999999999999</v>
      </c>
      <c r="Z774" s="196">
        <v>19</v>
      </c>
      <c r="AA774" s="218">
        <f>POWER(Y774,Z774)</f>
        <v>1.8565423880120511</v>
      </c>
      <c r="AB774" s="196">
        <f>W774*AA774</f>
        <v>312522.91942839662</v>
      </c>
      <c r="AC774">
        <v>14.1</v>
      </c>
      <c r="AD774" s="196">
        <f>AB774*AC774/100</f>
        <v>44065.731639403923</v>
      </c>
      <c r="AE774" s="196">
        <f>AD774*0.95</f>
        <v>41862.445057433724</v>
      </c>
      <c r="AF774" s="196">
        <f t="shared" si="2023"/>
        <v>0</v>
      </c>
      <c r="AG774" s="606">
        <f>AE774/21628351</f>
        <v>1.9355356798784024E-3</v>
      </c>
      <c r="AH774" s="196">
        <f>AB774*0.05</f>
        <v>15626.145971419832</v>
      </c>
      <c r="AI774" s="248">
        <f>AH774/12908475</f>
        <v>1.210533852482174E-3</v>
      </c>
      <c r="AJ774" s="196">
        <f>AD774+AH774</f>
        <v>59691.877610823751</v>
      </c>
      <c r="AK774" s="196">
        <f>AB774*0.04</f>
        <v>12500.916777135864</v>
      </c>
      <c r="AL774" s="196">
        <f>AB774*0.04</f>
        <v>12500.916777135864</v>
      </c>
      <c r="AM774" s="196">
        <f>AK774+AL774</f>
        <v>25001.833554271729</v>
      </c>
      <c r="AN774" s="627">
        <f>AM774/20653560</f>
        <v>1.210533852482174E-3</v>
      </c>
      <c r="AO774" s="196">
        <f>AB774*0.038</f>
        <v>11875.870938279071</v>
      </c>
      <c r="AP774" s="589">
        <f>AO774/9810441</f>
        <v>1.210533852482174E-3</v>
      </c>
      <c r="AQ774" s="196"/>
      <c r="AR774" s="589"/>
      <c r="AS774">
        <v>1</v>
      </c>
      <c r="AT774" s="589">
        <f>AS774/774</f>
        <v>1.2919896640826874E-3</v>
      </c>
      <c r="AU774" s="196">
        <v>10</v>
      </c>
      <c r="AV774" s="245">
        <f>AU774/8801</f>
        <v>1.1362345188046814E-3</v>
      </c>
      <c r="AX774" s="245"/>
      <c r="AY774" s="245"/>
      <c r="AZ774" s="196">
        <v>30</v>
      </c>
      <c r="BA774" s="589">
        <f t="shared" si="1871"/>
        <v>1.0992634934593821E-3</v>
      </c>
      <c r="BI774" s="196">
        <v>0</v>
      </c>
      <c r="BK774" s="246">
        <f>BJ774/52440044</f>
        <v>0</v>
      </c>
      <c r="BL774" s="246"/>
      <c r="BM774" s="246">
        <f>BL774/1048801</f>
        <v>0</v>
      </c>
      <c r="BN774" s="196">
        <v>1</v>
      </c>
      <c r="BO774" s="196">
        <f t="shared" si="2024"/>
        <v>17153.606959010976</v>
      </c>
      <c r="BP774" s="196">
        <f>BN774*BO774</f>
        <v>17153.606959010976</v>
      </c>
      <c r="BQ774" s="248">
        <f>BP774/10690003</f>
        <v>1.6046400509907226E-3</v>
      </c>
      <c r="BR774" s="248"/>
      <c r="BS774" s="248"/>
      <c r="BT774" s="276">
        <v>0</v>
      </c>
      <c r="BU774" s="196">
        <f t="shared" si="2025"/>
        <v>0</v>
      </c>
      <c r="BV774" s="264">
        <f t="shared" si="1875"/>
        <v>0</v>
      </c>
      <c r="BW774" s="196">
        <f t="shared" si="2026"/>
        <v>0</v>
      </c>
      <c r="BX774" s="247">
        <f t="shared" si="1876"/>
        <v>0</v>
      </c>
      <c r="BY774" s="196">
        <f>BU774+BW774</f>
        <v>0</v>
      </c>
      <c r="BZ774" s="620">
        <v>1</v>
      </c>
      <c r="CA774" s="196">
        <f t="shared" si="2028"/>
        <v>95632.013345089363</v>
      </c>
      <c r="CB774" s="196">
        <f t="shared" si="2029"/>
        <v>191264.02669017873</v>
      </c>
      <c r="CC774" s="196">
        <f>CA774+CB774</f>
        <v>286896.04003526806</v>
      </c>
      <c r="CD774" s="247">
        <f>CC774/236999601</f>
        <v>1.2105338524821738E-3</v>
      </c>
      <c r="CE774" s="196">
        <f t="shared" si="2030"/>
        <v>26951.116821140262</v>
      </c>
      <c r="CF774" s="247">
        <f>CE774/23157202</f>
        <v>1.1638330408457922E-3</v>
      </c>
      <c r="CG774" s="196">
        <f t="shared" si="2001"/>
        <v>47503.483753116285</v>
      </c>
      <c r="CH774" s="589">
        <f>CG774/39241764</f>
        <v>1.210533852482174E-3</v>
      </c>
      <c r="CI774" s="196">
        <f t="shared" si="2031"/>
        <v>84261.539368959915</v>
      </c>
      <c r="CJ774" s="248">
        <f>CI774/60827260</f>
        <v>1.3852594933416351E-3</v>
      </c>
      <c r="CK774" s="196">
        <f t="shared" si="2032"/>
        <v>77120.292076114318</v>
      </c>
      <c r="CL774" s="589">
        <f>CK774/69564222</f>
        <v>1.1086200615614491E-3</v>
      </c>
      <c r="CM774" s="196">
        <f t="shared" si="2033"/>
        <v>7471.0407760019598</v>
      </c>
      <c r="CN774" s="589">
        <f>CM774/6939078</f>
        <v>1.0766618815931971E-3</v>
      </c>
      <c r="CO774" s="196">
        <f t="shared" si="2034"/>
        <v>597.70300750573699</v>
      </c>
      <c r="CP774" s="589">
        <f>CO774/530266</f>
        <v>1.1271758089444485E-3</v>
      </c>
      <c r="CQ774" s="196">
        <f>'Detailed Budget'!$AC$12</f>
        <v>292876014141.44696</v>
      </c>
      <c r="CR774" s="269">
        <f t="shared" si="2040"/>
        <v>0</v>
      </c>
      <c r="CS774" s="269">
        <f>'Detailed Budget'!$AC$16</f>
        <v>10488008800.000002</v>
      </c>
      <c r="CT774" s="607">
        <f t="shared" si="2002"/>
        <v>0</v>
      </c>
      <c r="CU774" s="269">
        <f>'Detailed Budget'!$AC$24</f>
        <v>30624985696</v>
      </c>
      <c r="CV774" s="269">
        <f t="shared" si="1868"/>
        <v>0</v>
      </c>
      <c r="CW774" s="269"/>
      <c r="CX774" s="269">
        <f>CR774+CT774+CV774+CW774</f>
        <v>0</v>
      </c>
      <c r="CY774" s="196">
        <f>'Detailed Budget'!$AC$97</f>
        <v>74629165494.837845</v>
      </c>
      <c r="CZ774" s="269">
        <f t="shared" si="2003"/>
        <v>119752947.92503168</v>
      </c>
      <c r="DA774" s="269">
        <f>'Detailed Budget'!$AC$100</f>
        <v>14925833098.967569</v>
      </c>
      <c r="DB774" s="269">
        <f t="shared" si="2004"/>
        <v>23950589.585006334</v>
      </c>
      <c r="DC774" s="269">
        <f>CZ774+DB774</f>
        <v>143703537.51003802</v>
      </c>
      <c r="DD774" s="207">
        <v>0</v>
      </c>
      <c r="DE774" s="606">
        <v>0</v>
      </c>
      <c r="DF774" s="269">
        <f>'Detailed Budget'!$AC$147</f>
        <v>5913600671000</v>
      </c>
      <c r="DG774" s="269">
        <f>DE774*DF774</f>
        <v>0</v>
      </c>
      <c r="DH774" s="269">
        <f>'Detailed Budget'!$AC$153</f>
        <v>226428026880.00003</v>
      </c>
      <c r="DI774" s="269"/>
      <c r="DJ774" s="269">
        <f>'Detailed Budget'!$AC$156</f>
        <v>27713070000</v>
      </c>
      <c r="DK774" s="269"/>
      <c r="DL774" s="269"/>
      <c r="DM774" s="196">
        <f>'Detailed Budget'!$AC$178</f>
        <v>5622683761.6229038</v>
      </c>
      <c r="DN774" s="269">
        <f t="shared" si="2035"/>
        <v>0</v>
      </c>
      <c r="DO774" s="196">
        <f>'Detailed Budget'!$AC$179</f>
        <v>26827890683.128094</v>
      </c>
      <c r="DP774" s="269">
        <f t="shared" si="2036"/>
        <v>0</v>
      </c>
      <c r="DQ774" s="269">
        <f>DN774+DP774</f>
        <v>0</v>
      </c>
      <c r="DR774" s="269">
        <f>'Detailed Budget'!$AC$181</f>
        <v>50888946855.375237</v>
      </c>
      <c r="DS774" s="269">
        <f t="shared" si="2037"/>
        <v>0</v>
      </c>
      <c r="DT774" s="269">
        <f>DQ774+DS774</f>
        <v>0</v>
      </c>
      <c r="DU774" s="272">
        <f>'Detailed Budget'!$AC$192</f>
        <v>77498869683.252869</v>
      </c>
      <c r="DV774" s="269">
        <f t="shared" si="2005"/>
        <v>93815005.280682042</v>
      </c>
      <c r="DW774" s="140">
        <f>'Detailed Budget'!$AC$194</f>
        <v>2684962805.4134097</v>
      </c>
      <c r="DX774" s="269">
        <f t="shared" si="2006"/>
        <v>3250238.3686084407</v>
      </c>
      <c r="DY774" s="607">
        <f>DV774+DX774</f>
        <v>97065243.649290487</v>
      </c>
      <c r="DZ774" s="196">
        <f>'Detailed Budget'!$AC$198</f>
        <v>18732540018.380611</v>
      </c>
      <c r="EA774" s="269">
        <f t="shared" si="2007"/>
        <v>21801549.012357399</v>
      </c>
      <c r="EB774" s="196">
        <f>'Detailed Budget'!$AC$200</f>
        <v>4683135004.5951529</v>
      </c>
      <c r="EC774" s="269">
        <f t="shared" si="2008"/>
        <v>5450387.2530893497</v>
      </c>
      <c r="ED774" s="269">
        <f>EA774+EC774</f>
        <v>27251936.265446749</v>
      </c>
      <c r="EE774" s="196">
        <f>'Detailed Budget'!$AC$161</f>
        <v>251147290106.36197</v>
      </c>
      <c r="EF774" s="269">
        <f t="shared" si="2009"/>
        <v>304022296.63291252</v>
      </c>
      <c r="EG774" s="196">
        <f>'Detailed Budget'!$AC$163</f>
        <v>15696705631.647623</v>
      </c>
      <c r="EH774" s="269">
        <f t="shared" si="2010"/>
        <v>19001393.539557032</v>
      </c>
      <c r="EI774" s="269">
        <f>EF774+EH774</f>
        <v>323023690.17246956</v>
      </c>
      <c r="EJ774" s="196">
        <f>'Detailed Budget'!$AC$204</f>
        <v>45012172507.531975</v>
      </c>
      <c r="EK774" s="269">
        <f t="shared" si="2011"/>
        <v>62353539.281990021</v>
      </c>
      <c r="EL774" s="201">
        <f>'Detailed Budget'!$AC$206</f>
        <v>11253043126.882994</v>
      </c>
      <c r="EM774" s="269">
        <f t="shared" si="2012"/>
        <v>15588384.820497505</v>
      </c>
      <c r="EN774" s="269">
        <f>EK774+EM774</f>
        <v>77941924.102487534</v>
      </c>
      <c r="EO774" s="140">
        <f>'Detailed Budget'!$AC$209</f>
        <v>135789361677.54817</v>
      </c>
      <c r="EP774" s="269">
        <f t="shared" si="2013"/>
        <v>150538810.50235334</v>
      </c>
      <c r="EQ774" s="196">
        <f>'Detailed Budget'!$AC$211</f>
        <v>33947340419.387043</v>
      </c>
      <c r="ER774" s="269">
        <f t="shared" si="2014"/>
        <v>37634702.625588335</v>
      </c>
      <c r="ES774" s="269">
        <f>EP774+ER774</f>
        <v>188173513.12794167</v>
      </c>
      <c r="ET774" s="196">
        <f>'Detailed Budget'!$AC$214</f>
        <v>22239745544.201103</v>
      </c>
      <c r="EU774" s="269">
        <f t="shared" si="2015"/>
        <v>23944686.283773482</v>
      </c>
      <c r="EV774" s="140">
        <f>'Detailed Budget'!$AC$217</f>
        <v>5559936386.0502758</v>
      </c>
      <c r="EW774" s="269">
        <f t="shared" si="2016"/>
        <v>5986171.5709433705</v>
      </c>
      <c r="EX774" s="269">
        <f>EU774+EW774</f>
        <v>29930857.854716852</v>
      </c>
      <c r="EY774" s="196">
        <f>'Detailed Budget'!$AC$219</f>
        <v>372777004.58170313</v>
      </c>
      <c r="EZ774" s="269">
        <f t="shared" si="2017"/>
        <v>420185.22169526963</v>
      </c>
      <c r="FA774" s="196">
        <f>'Detailed Budget'!$AC$222</f>
        <v>93194251.145425782</v>
      </c>
      <c r="FB774" s="269">
        <f t="shared" si="2018"/>
        <v>105046.30542381741</v>
      </c>
      <c r="FC774" s="269">
        <f>EZ774+FB774</f>
        <v>525231.52711908706</v>
      </c>
      <c r="FD774" s="269"/>
      <c r="FE774" s="269">
        <f>EN774+ES774+EX774+FC774</f>
        <v>296571526.61226517</v>
      </c>
      <c r="FF774" s="140">
        <f>'Detailed Budget'!$AC$165</f>
        <v>14927760000</v>
      </c>
      <c r="FG774" s="1087">
        <f t="shared" si="1864"/>
        <v>404543193.51129311</v>
      </c>
      <c r="FH774" s="269">
        <f t="shared" si="2019"/>
        <v>16961436.200431772</v>
      </c>
      <c r="FJ774" s="140">
        <f>'Detailed Budget'!$AC$235</f>
        <v>3623696172</v>
      </c>
      <c r="FK774" s="269">
        <f t="shared" si="2020"/>
        <v>4681778</v>
      </c>
      <c r="FL774" s="269">
        <f>FI774+FK774</f>
        <v>4681778</v>
      </c>
      <c r="FO774" s="607"/>
      <c r="FP774" s="607"/>
      <c r="FQ774" s="607"/>
      <c r="FR774" s="269">
        <f>'Detailed Budget'!$AC$257</f>
        <v>13636439388</v>
      </c>
      <c r="FS774" s="269">
        <f t="shared" si="2021"/>
        <v>14990039.999999998</v>
      </c>
      <c r="FT774" s="269">
        <f t="shared" si="1866"/>
        <v>14990039.999999998</v>
      </c>
      <c r="FU774" s="269"/>
      <c r="FV774" s="269"/>
      <c r="FW774" s="269"/>
      <c r="FX774" s="140">
        <f>'Detailed Budget'!$AC$278</f>
        <v>1114560000</v>
      </c>
      <c r="FY774" s="269">
        <f t="shared" si="2022"/>
        <v>1440000</v>
      </c>
      <c r="FZ774" s="269">
        <f>FU774+FW774+FY774</f>
        <v>1440000</v>
      </c>
      <c r="GB774" s="269">
        <f t="shared" si="1899"/>
        <v>1330232381.9212351</v>
      </c>
      <c r="GC774" s="887">
        <f>GB774/1600</f>
        <v>831395.23870077194</v>
      </c>
      <c r="GD774" s="1078">
        <f t="shared" si="1900"/>
        <v>7.4643527732043706E-4</v>
      </c>
    </row>
    <row r="775" spans="1:186" hidden="1" outlineLevel="1">
      <c r="A775" s="211"/>
      <c r="B775" s="212"/>
      <c r="C775" s="213"/>
      <c r="D775" s="214"/>
      <c r="E775" s="213"/>
      <c r="F775" s="213"/>
      <c r="G775" s="213"/>
      <c r="H775" s="213"/>
      <c r="I775" s="214"/>
      <c r="J775" s="214"/>
      <c r="K775" s="213"/>
      <c r="L775" s="213"/>
      <c r="M775" s="214"/>
      <c r="N775" s="213"/>
      <c r="O775" s="214"/>
      <c r="P775" s="213"/>
      <c r="Q775" s="214"/>
      <c r="R775" s="214"/>
      <c r="S775" s="214"/>
      <c r="T775" s="214"/>
      <c r="U775" s="215"/>
      <c r="V775" s="845"/>
      <c r="W775" s="216"/>
      <c r="X775" s="217"/>
      <c r="Y775" s="218"/>
      <c r="Z775" s="196"/>
      <c r="AA775" s="218"/>
      <c r="AG775" s="606"/>
      <c r="AJ775" s="196"/>
      <c r="AK775" s="196"/>
      <c r="AL775" s="196"/>
      <c r="AM775" s="196"/>
      <c r="AO775" s="196"/>
      <c r="AP775" s="589"/>
      <c r="AQ775" s="196"/>
      <c r="AR775" s="589"/>
      <c r="AS775"/>
      <c r="AT775" s="589"/>
      <c r="AV775" s="245"/>
      <c r="AX775" s="245"/>
      <c r="AY775" s="245"/>
      <c r="BA775" s="589">
        <f t="shared" si="1871"/>
        <v>0</v>
      </c>
      <c r="BK775" s="246">
        <f t="shared" si="1872"/>
        <v>0</v>
      </c>
      <c r="BL775" s="246"/>
      <c r="BM775" s="246">
        <f t="shared" si="1873"/>
        <v>0</v>
      </c>
      <c r="BN775" s="196"/>
      <c r="BQ775" s="248">
        <f t="shared" si="1874"/>
        <v>0</v>
      </c>
      <c r="BR775" s="248"/>
      <c r="BS775" s="248"/>
      <c r="BT775" s="276"/>
      <c r="BV775" s="264">
        <f t="shared" si="1875"/>
        <v>0</v>
      </c>
      <c r="BX775" s="247">
        <f t="shared" si="1876"/>
        <v>0</v>
      </c>
      <c r="BY775" s="196"/>
      <c r="BZ775" s="620"/>
      <c r="CA775" s="196"/>
      <c r="CB775" s="196"/>
      <c r="CC775" s="196"/>
      <c r="CD775" s="247"/>
      <c r="CF775" s="247"/>
      <c r="CG775" s="196"/>
      <c r="CH775" s="589"/>
      <c r="CI775" s="196"/>
      <c r="CJ775" s="248"/>
      <c r="CK775" s="196"/>
      <c r="CL775" s="589"/>
      <c r="CM775" s="196"/>
      <c r="CN775" s="589"/>
      <c r="CO775" s="196"/>
      <c r="CP775" s="589"/>
      <c r="CQ775" s="196"/>
      <c r="CR775" s="269">
        <f t="shared" si="2040"/>
        <v>0</v>
      </c>
      <c r="CS775" s="269"/>
      <c r="CT775" s="607"/>
      <c r="CU775" s="269">
        <f>'Detailed Budget'!$AC$24</f>
        <v>30624985696</v>
      </c>
      <c r="CV775" s="269">
        <f t="shared" si="1868"/>
        <v>0</v>
      </c>
      <c r="CW775" s="269"/>
      <c r="CX775" s="269"/>
      <c r="CY775" s="196"/>
      <c r="DC775" s="269"/>
      <c r="DD775" s="207"/>
      <c r="DE775" s="606">
        <v>0</v>
      </c>
      <c r="DF775" s="269">
        <f>'Detailed Budget'!$AC$147</f>
        <v>5913600671000</v>
      </c>
      <c r="DG775" s="269">
        <f t="shared" ref="DG775:DG838" si="2042">DE775*DF775</f>
        <v>0</v>
      </c>
      <c r="DH775" s="269">
        <f>'Detailed Budget'!$AC$153</f>
        <v>226428026880.00003</v>
      </c>
      <c r="DI775" s="269"/>
      <c r="DJ775" s="269">
        <f>'Detailed Budget'!$AC$156</f>
        <v>27713070000</v>
      </c>
      <c r="DK775" s="269"/>
      <c r="DL775" s="269"/>
      <c r="DM775" s="196"/>
      <c r="DN775" s="269"/>
      <c r="DO775" s="196"/>
      <c r="DP775" s="269"/>
      <c r="DQ775" s="269"/>
      <c r="DR775" s="269"/>
      <c r="DS775" s="269"/>
      <c r="DT775" s="269"/>
      <c r="DU775" s="272"/>
      <c r="DV775" s="269"/>
      <c r="DW775" s="140"/>
      <c r="DX775" s="269"/>
      <c r="DY775" s="607"/>
      <c r="DZ775" s="196"/>
      <c r="EA775" s="269"/>
      <c r="EB775" s="196"/>
      <c r="ED775" s="269"/>
      <c r="EE775" s="196"/>
      <c r="EG775" s="196"/>
      <c r="EI775" s="269"/>
      <c r="EJ775" s="196"/>
      <c r="EL775" s="201"/>
      <c r="EN775" s="269"/>
      <c r="EO775" s="140"/>
      <c r="EQ775" s="196"/>
      <c r="ES775" s="269"/>
      <c r="ET775" s="196"/>
      <c r="EV775" s="140"/>
      <c r="EX775" s="269"/>
      <c r="EY775" s="196"/>
      <c r="FA775" s="196"/>
      <c r="FC775" s="269"/>
      <c r="FD775" s="269"/>
      <c r="FE775" s="269"/>
      <c r="FF775" s="140"/>
      <c r="FG775" s="1087">
        <f t="shared" ref="FG775:FG838" si="2043">FE775/0.423*0.577</f>
        <v>0</v>
      </c>
      <c r="FJ775" s="140"/>
      <c r="FL775" s="269">
        <f t="shared" ref="FL775:FL838" si="2044">FI775+FK775</f>
        <v>0</v>
      </c>
      <c r="FO775" s="607"/>
      <c r="FP775" s="607"/>
      <c r="FQ775" s="607"/>
      <c r="FT775" s="269">
        <f t="shared" ref="FT775:FT838" si="2045">FM775+FO775+FQ775+FS775</f>
        <v>0</v>
      </c>
      <c r="FU775" s="269"/>
      <c r="FV775" s="269"/>
      <c r="FW775" s="269"/>
      <c r="FX775" s="140">
        <f>'Detailed Budget'!$AC$278</f>
        <v>1114560000</v>
      </c>
      <c r="FY775" s="269"/>
      <c r="FZ775" s="269"/>
      <c r="GB775" s="269">
        <f t="shared" si="1899"/>
        <v>0</v>
      </c>
      <c r="GD775" s="1078">
        <f t="shared" si="1900"/>
        <v>0</v>
      </c>
    </row>
    <row r="776" spans="1:186" s="210" customFormat="1" collapsed="1">
      <c r="A776" s="203">
        <v>6.4</v>
      </c>
      <c r="B776" s="204" t="s">
        <v>1630</v>
      </c>
      <c r="C776" s="205">
        <f>COUNTA(C777:C794)</f>
        <v>18</v>
      </c>
      <c r="D776" s="205">
        <f t="shared" ref="D776:T776" si="2046">COUNTA(D777:D794)</f>
        <v>0</v>
      </c>
      <c r="E776" s="205">
        <f t="shared" si="2046"/>
        <v>0</v>
      </c>
      <c r="F776" s="205">
        <f t="shared" si="2046"/>
        <v>0</v>
      </c>
      <c r="G776" s="205">
        <f t="shared" si="2046"/>
        <v>18</v>
      </c>
      <c r="H776" s="205">
        <f t="shared" si="2046"/>
        <v>18</v>
      </c>
      <c r="I776" s="205">
        <f t="shared" si="2046"/>
        <v>18</v>
      </c>
      <c r="J776" s="205">
        <f t="shared" si="2046"/>
        <v>0</v>
      </c>
      <c r="K776" s="205">
        <f t="shared" si="2046"/>
        <v>1</v>
      </c>
      <c r="L776" s="205">
        <f t="shared" si="2046"/>
        <v>0</v>
      </c>
      <c r="M776" s="205">
        <f t="shared" si="2046"/>
        <v>4</v>
      </c>
      <c r="N776" s="205">
        <f t="shared" si="2046"/>
        <v>12</v>
      </c>
      <c r="O776" s="205">
        <f t="shared" si="2046"/>
        <v>1</v>
      </c>
      <c r="P776" s="205">
        <f t="shared" si="2046"/>
        <v>0</v>
      </c>
      <c r="Q776" s="205">
        <f t="shared" si="2046"/>
        <v>2</v>
      </c>
      <c r="R776" s="205">
        <f t="shared" si="2046"/>
        <v>16</v>
      </c>
      <c r="S776" s="205">
        <f t="shared" si="2046"/>
        <v>0</v>
      </c>
      <c r="T776" s="205">
        <f t="shared" si="2046"/>
        <v>0</v>
      </c>
      <c r="U776" s="206">
        <f>SUM(C776:T776)</f>
        <v>108</v>
      </c>
      <c r="V776" s="844"/>
      <c r="W776" s="207">
        <f>SUM(W777:W794)</f>
        <v>3460877</v>
      </c>
      <c r="X776" s="208">
        <v>3.01</v>
      </c>
      <c r="Y776" s="209">
        <f t="shared" si="1965"/>
        <v>1.0301</v>
      </c>
      <c r="Z776" s="207">
        <v>19</v>
      </c>
      <c r="AA776" s="209">
        <f t="shared" si="1966"/>
        <v>1.7567435038184733</v>
      </c>
      <c r="AB776" s="207">
        <f t="shared" si="1996"/>
        <v>6079873.1872647665</v>
      </c>
      <c r="AC776" s="210">
        <v>12.7</v>
      </c>
      <c r="AD776" s="207">
        <f t="shared" si="1997"/>
        <v>772143.89478262526</v>
      </c>
      <c r="AE776" s="207">
        <f t="shared" si="1967"/>
        <v>733536.700043494</v>
      </c>
      <c r="AF776" s="207">
        <f>SUM(AF777:AF794)</f>
        <v>0</v>
      </c>
      <c r="AG776" s="588">
        <f t="shared" si="1988"/>
        <v>3.3915516723558539E-2</v>
      </c>
      <c r="AH776" s="207">
        <f>SUM(AH777:AH794)</f>
        <v>303993.65936323837</v>
      </c>
      <c r="AI776" s="633">
        <f t="shared" si="1964"/>
        <v>2.3549928195486947E-2</v>
      </c>
      <c r="AJ776" s="207">
        <f>SUM(AJ777:AJ794)</f>
        <v>1076137.5541458635</v>
      </c>
      <c r="AK776" s="207">
        <f t="shared" si="1998"/>
        <v>243194.92749059066</v>
      </c>
      <c r="AL776" s="207">
        <f t="shared" si="1999"/>
        <v>243194.92749059066</v>
      </c>
      <c r="AM776" s="207">
        <f t="shared" si="1969"/>
        <v>486389.85498118133</v>
      </c>
      <c r="AN776" s="632">
        <f t="shared" si="1970"/>
        <v>2.3549928195486944E-2</v>
      </c>
      <c r="AO776" s="207">
        <f t="shared" si="1971"/>
        <v>231035.18111606111</v>
      </c>
      <c r="AP776" s="588">
        <f t="shared" si="1989"/>
        <v>2.354992819548694E-2</v>
      </c>
      <c r="AQ776" s="207">
        <v>1</v>
      </c>
      <c r="AR776" s="588">
        <f>AQ776/37</f>
        <v>2.7027027027027029E-2</v>
      </c>
      <c r="AS776" s="207">
        <f>SUM(AS777:AS794)</f>
        <v>18</v>
      </c>
      <c r="AT776" s="588">
        <f t="shared" si="1990"/>
        <v>2.3255813953488372E-2</v>
      </c>
      <c r="AU776" s="207">
        <f>SUM(AU777:AU794)</f>
        <v>203</v>
      </c>
      <c r="AV776" s="892">
        <f t="shared" si="1972"/>
        <v>2.3065560731735029E-2</v>
      </c>
      <c r="AW776" s="207">
        <v>14606</v>
      </c>
      <c r="AX776" s="208">
        <f>AW776*0.002</f>
        <v>29.212</v>
      </c>
      <c r="AY776" s="207">
        <f>AX776*100</f>
        <v>2921.2</v>
      </c>
      <c r="AZ776" s="207">
        <f>SUM(AZ777:AZ794)</f>
        <v>631</v>
      </c>
      <c r="BA776" s="588">
        <f t="shared" si="1871"/>
        <v>2.3121175479095674E-2</v>
      </c>
      <c r="BB776" s="207">
        <v>27</v>
      </c>
      <c r="BC776" s="207">
        <v>3</v>
      </c>
      <c r="BD776" s="207">
        <f>BB776+BC776</f>
        <v>30</v>
      </c>
      <c r="BE776" s="633">
        <f>BD776/1306</f>
        <v>2.2970903522205207E-2</v>
      </c>
      <c r="BF776" s="207">
        <f>AZ776+BD776</f>
        <v>661</v>
      </c>
      <c r="BG776" s="588">
        <f>BF776/28597</f>
        <v>2.3114312690142323E-2</v>
      </c>
      <c r="BH776" s="1084">
        <v>41.6</v>
      </c>
      <c r="BI776" s="207"/>
      <c r="BJ776" s="207"/>
      <c r="BK776" s="892">
        <f t="shared" si="1872"/>
        <v>0</v>
      </c>
      <c r="BL776" s="892"/>
      <c r="BM776" s="892">
        <f t="shared" si="1873"/>
        <v>0</v>
      </c>
      <c r="BN776" s="207"/>
      <c r="BO776" s="207">
        <v>352097</v>
      </c>
      <c r="BP776" s="207">
        <f>SUM(BP777:BP794)</f>
        <v>352096.85412288777</v>
      </c>
      <c r="BQ776" s="633">
        <f t="shared" si="1874"/>
        <v>3.2937021076877883E-2</v>
      </c>
      <c r="BR776" s="207">
        <f>AY776*0.5*24</f>
        <v>35054.399999999994</v>
      </c>
      <c r="BS776" s="633">
        <f>BR776/2211211</f>
        <v>1.5853032569031176E-2</v>
      </c>
      <c r="BT776" s="634"/>
      <c r="BU776" s="207"/>
      <c r="BV776" s="264">
        <f t="shared" si="1875"/>
        <v>0</v>
      </c>
      <c r="BW776" s="207"/>
      <c r="BX776" s="247">
        <f t="shared" si="1876"/>
        <v>0</v>
      </c>
      <c r="BY776" s="207">
        <f>SUM(BY777:BY794)</f>
        <v>0</v>
      </c>
      <c r="CA776" s="207">
        <f>SUM(CA777:CA794)</f>
        <v>1860441.1953030187</v>
      </c>
      <c r="CB776" s="207">
        <f>SUM(CB777:CB794)</f>
        <v>3720882.3906060373</v>
      </c>
      <c r="CC776" s="207">
        <f>SUM(CC777:CC794)</f>
        <v>5581323.5859090546</v>
      </c>
      <c r="CD776" s="633">
        <f t="shared" si="1974"/>
        <v>2.354992819548694E-2</v>
      </c>
      <c r="CE776" s="207">
        <f>SUM(CE777:CE794)</f>
        <v>552408.38100484596</v>
      </c>
      <c r="CF776" s="633">
        <f t="shared" si="1975"/>
        <v>2.3854711851839697E-2</v>
      </c>
      <c r="CG776" s="207">
        <f t="shared" ref="CG776:CG794" si="2047">AO776*4</f>
        <v>924140.72446424444</v>
      </c>
      <c r="CH776" s="588">
        <f t="shared" si="1991"/>
        <v>2.354992819548694E-2</v>
      </c>
      <c r="CI776" s="207">
        <f t="shared" ref="CI776:CO776" si="2048">SUM(CI777:CI794)</f>
        <v>1395712.8098110484</v>
      </c>
      <c r="CJ776" s="633">
        <f t="shared" si="1992"/>
        <v>2.2945515050506113E-2</v>
      </c>
      <c r="CK776" s="207">
        <f t="shared" si="2048"/>
        <v>1364439.8140725116</v>
      </c>
      <c r="CL776" s="588">
        <f t="shared" si="1993"/>
        <v>1.9614102980588379E-2</v>
      </c>
      <c r="CM776" s="207">
        <f t="shared" si="2048"/>
        <v>132179.98198829161</v>
      </c>
      <c r="CN776" s="588">
        <f t="shared" si="1994"/>
        <v>1.9048637583882411E-2</v>
      </c>
      <c r="CO776" s="207">
        <f t="shared" si="2048"/>
        <v>10573.998559117832</v>
      </c>
      <c r="CP776" s="588">
        <f t="shared" si="1995"/>
        <v>1.9940932586886263E-2</v>
      </c>
      <c r="CQ776" s="207">
        <f>'Detailed Budget'!$AC$12</f>
        <v>292876014141.44696</v>
      </c>
      <c r="CR776" s="605">
        <f t="shared" si="2040"/>
        <v>0</v>
      </c>
      <c r="CS776" s="605">
        <f>'Detailed Budget'!$AC$16</f>
        <v>10488008800.000002</v>
      </c>
      <c r="CT776" s="605">
        <f t="shared" ref="CT776:CT794" si="2049">BM776*CS776</f>
        <v>0</v>
      </c>
      <c r="CU776" s="605">
        <f>'Detailed Budget'!$AC$24</f>
        <v>30624985696</v>
      </c>
      <c r="CV776" s="605">
        <f t="shared" ref="CV776:CV839" si="2050">BK776*CU776</f>
        <v>0</v>
      </c>
      <c r="CW776" s="605"/>
      <c r="CX776" s="605">
        <f t="shared" si="1987"/>
        <v>0</v>
      </c>
      <c r="CY776" s="207">
        <f>'Detailed Budget'!$AC$97</f>
        <v>74629165494.837845</v>
      </c>
      <c r="CZ776" s="605">
        <f t="shared" ref="CZ776:CZ794" si="2051">BQ776*CY776</f>
        <v>2458062396.8532815</v>
      </c>
      <c r="DA776" s="605">
        <f>'Detailed Budget'!$AC$100</f>
        <v>14925833098.967569</v>
      </c>
      <c r="DB776" s="605">
        <f t="shared" ref="DB776:DB794" si="2052">BQ776*DA776</f>
        <v>491612479.37065637</v>
      </c>
      <c r="DC776" s="605">
        <f t="shared" si="1976"/>
        <v>2949674876.223938</v>
      </c>
      <c r="DD776" s="207">
        <f>SUM(DD777:DD794)</f>
        <v>0</v>
      </c>
      <c r="DE776" s="606">
        <v>0</v>
      </c>
      <c r="DF776" s="605">
        <f>'Detailed Budget'!$AC$147</f>
        <v>5913600671000</v>
      </c>
      <c r="DG776" s="605">
        <f t="shared" si="2042"/>
        <v>0</v>
      </c>
      <c r="DH776" s="605">
        <f>'Detailed Budget'!$AC$153</f>
        <v>226428026880.00003</v>
      </c>
      <c r="DI776" s="605">
        <f>BS776*DH776</f>
        <v>3589570884.6701069</v>
      </c>
      <c r="DJ776" s="605">
        <f>'Detailed Budget'!$AC$156</f>
        <v>27713070000</v>
      </c>
      <c r="DK776" s="605">
        <f>AT776*DJ776</f>
        <v>644490000</v>
      </c>
      <c r="DL776" s="605">
        <f>DI776+DK776</f>
        <v>4234060884.6701069</v>
      </c>
      <c r="DM776" s="207">
        <f>'Detailed Budget'!$AC$178</f>
        <v>5622683761.6229038</v>
      </c>
      <c r="DN776" s="605">
        <f>SUM(DN777:DN794)</f>
        <v>0</v>
      </c>
      <c r="DO776" s="605">
        <f>'Detailed Budget'!$AC$179</f>
        <v>26827890683.128094</v>
      </c>
      <c r="DP776" s="605">
        <f>SUM(DP777:DP794)</f>
        <v>0</v>
      </c>
      <c r="DQ776" s="605">
        <f>SUM(DQ777:DQ794)</f>
        <v>0</v>
      </c>
      <c r="DR776" s="605">
        <f>'Detailed Budget'!$AC$181</f>
        <v>50888946855.375237</v>
      </c>
      <c r="DS776" s="605">
        <f>SUM(DS777:DS794)</f>
        <v>0</v>
      </c>
      <c r="DT776" s="605">
        <f>SUM(DT777:DT794)</f>
        <v>0</v>
      </c>
      <c r="DU776" s="634">
        <f>'Detailed Budget'!$AC$192</f>
        <v>77498869683.252869</v>
      </c>
      <c r="DV776" s="605">
        <f t="shared" ref="DV776:DV794" si="2053">BZ776*CD776*DU776</f>
        <v>0</v>
      </c>
      <c r="DW776" s="930">
        <f>'Detailed Budget'!$AC$194</f>
        <v>2684962805.4134097</v>
      </c>
      <c r="DX776" s="605">
        <f t="shared" ref="DX776:DX794" si="2054">BZ776*AN776*DW776</f>
        <v>0</v>
      </c>
      <c r="DY776" s="605">
        <f t="shared" si="1977"/>
        <v>0</v>
      </c>
      <c r="DZ776" s="207">
        <f>'Detailed Budget'!$AC$198</f>
        <v>18732540018.380611</v>
      </c>
      <c r="EA776" s="605">
        <f t="shared" ref="EA776:EA794" si="2055">CF776*DZ776</f>
        <v>446859344.39152539</v>
      </c>
      <c r="EB776" s="207">
        <f>'Detailed Budget'!$AC$200</f>
        <v>4683135004.5951529</v>
      </c>
      <c r="EC776" s="605">
        <f t="shared" ref="EC776:EC794" si="2056">CF776*EB776</f>
        <v>111714836.09788135</v>
      </c>
      <c r="ED776" s="605">
        <f t="shared" si="1978"/>
        <v>558574180.4894067</v>
      </c>
      <c r="EE776" s="207">
        <f>'Detailed Budget'!$AC$161</f>
        <v>251147290106.36197</v>
      </c>
      <c r="EF776" s="605">
        <f t="shared" ref="EF776:EF794" si="2057">CH776*EE776</f>
        <v>5914500648.4959517</v>
      </c>
      <c r="EG776" s="207">
        <f>'Detailed Budget'!$AC$163</f>
        <v>15696705631.647623</v>
      </c>
      <c r="EH776" s="605">
        <f t="shared" ref="EH776:EH794" si="2058">AP776*EG776</f>
        <v>369656290.53099698</v>
      </c>
      <c r="EI776" s="605">
        <f t="shared" si="1979"/>
        <v>6284156939.0269489</v>
      </c>
      <c r="EJ776" s="207">
        <f>'Detailed Budget'!$AC$204</f>
        <v>45012172507.531975</v>
      </c>
      <c r="EK776" s="605">
        <f t="shared" ref="EK776:EK794" si="2059">CJ776*EJ776</f>
        <v>1032827481.7275524</v>
      </c>
      <c r="EL776" s="207">
        <f>'Detailed Budget'!$AC$206</f>
        <v>11253043126.882994</v>
      </c>
      <c r="EM776" s="605">
        <f t="shared" ref="EM776:EM794" si="2060">CJ776*EL776</f>
        <v>258206870.4318881</v>
      </c>
      <c r="EN776" s="605">
        <f t="shared" si="1980"/>
        <v>1291034352.1594405</v>
      </c>
      <c r="EO776" s="930">
        <f>'Detailed Budget'!$AC$209</f>
        <v>135789361677.54817</v>
      </c>
      <c r="EP776" s="605">
        <f t="shared" ref="EP776:EP794" si="2061">CL776*EO776</f>
        <v>2663386523.6117911</v>
      </c>
      <c r="EQ776" s="207">
        <f>'Detailed Budget'!$AC$211</f>
        <v>33947340419.387043</v>
      </c>
      <c r="ER776" s="605">
        <f t="shared" ref="ER776:ER794" si="2062">CL776*EQ776</f>
        <v>665846630.90294778</v>
      </c>
      <c r="ES776" s="605">
        <f t="shared" si="1981"/>
        <v>3329233154.514739</v>
      </c>
      <c r="ET776" s="207">
        <f>'Detailed Budget'!$AC$214</f>
        <v>22239745544.201103</v>
      </c>
      <c r="EU776" s="605">
        <f t="shared" ref="EU776:EU794" si="2063">CN776*ET776</f>
        <v>423636852.82925051</v>
      </c>
      <c r="EV776" s="930">
        <f>'Detailed Budget'!$AC$217</f>
        <v>5559936386.0502758</v>
      </c>
      <c r="EW776" s="605">
        <f t="shared" ref="EW776:EW794" si="2064">CN776*EV776</f>
        <v>105909213.20731263</v>
      </c>
      <c r="EX776" s="605">
        <f t="shared" si="1982"/>
        <v>529546066.03656316</v>
      </c>
      <c r="EY776" s="207">
        <f>'Detailed Budget'!$AC$219</f>
        <v>372777004.58170313</v>
      </c>
      <c r="EZ776" s="605">
        <f t="shared" ref="EZ776:EZ794" si="2065">CP776*EY776</f>
        <v>7433521.1183051337</v>
      </c>
      <c r="FA776" s="207">
        <f>'Detailed Budget'!$AC$222</f>
        <v>93194251.145425782</v>
      </c>
      <c r="FB776" s="605">
        <f t="shared" ref="FB776:FB794" si="2066">CP776*FA776</f>
        <v>1858380.2795762834</v>
      </c>
      <c r="FC776" s="605">
        <f t="shared" si="1983"/>
        <v>9291901.3978814166</v>
      </c>
      <c r="FD776" s="605"/>
      <c r="FE776" s="605">
        <f t="shared" si="1984"/>
        <v>5159105474.1086235</v>
      </c>
      <c r="FF776" s="930">
        <f>'Detailed Budget'!$AC$165</f>
        <v>14927760000</v>
      </c>
      <c r="FG776" s="1087">
        <f t="shared" si="2043"/>
        <v>7037361367.7557344</v>
      </c>
      <c r="FH776" s="605">
        <f t="shared" ref="FH776:FH794" si="2067">AV776*FF776</f>
        <v>344317154.86876488</v>
      </c>
      <c r="FI776" s="605"/>
      <c r="FJ776" s="930">
        <f>'Detailed Budget'!$AC$235</f>
        <v>3623696172</v>
      </c>
      <c r="FK776" s="605">
        <f t="shared" ref="FK776:FK794" si="2068">AT776*FJ776</f>
        <v>84272004</v>
      </c>
      <c r="FL776" s="605">
        <f t="shared" si="2044"/>
        <v>84272004</v>
      </c>
      <c r="FM776" s="605"/>
      <c r="FN776" s="605">
        <f>'Detailed Budget'!$AC$251</f>
        <v>1047595800</v>
      </c>
      <c r="FO776" s="605">
        <f>AR776*FN776</f>
        <v>28313400</v>
      </c>
      <c r="FP776" s="605">
        <f>'Detailed Budget'!$AB$254</f>
        <v>2773297530</v>
      </c>
      <c r="FQ776" s="605">
        <f>BE776*FP776</f>
        <v>63705150</v>
      </c>
      <c r="FR776" s="605">
        <f>'Detailed Budget'!$AC$257</f>
        <v>13636439388</v>
      </c>
      <c r="FS776" s="605">
        <f t="shared" ref="FS776:FS794" si="2069">BA776*FR776</f>
        <v>315290508</v>
      </c>
      <c r="FT776" s="605">
        <f t="shared" si="2045"/>
        <v>407309058</v>
      </c>
      <c r="FU776" s="605"/>
      <c r="FV776" s="605">
        <f>'Detailed Budget'!$AC$265</f>
        <v>6277805540</v>
      </c>
      <c r="FW776" s="605">
        <f>AR776*FV776</f>
        <v>169670420</v>
      </c>
      <c r="FX776" s="930">
        <f>'Detailed Budget'!$AC$278</f>
        <v>1114560000</v>
      </c>
      <c r="FY776" s="605">
        <f t="shared" ref="FY776:FY794" si="2070">AT776*FX776</f>
        <v>25920000</v>
      </c>
      <c r="FZ776" s="605">
        <f t="shared" ref="FZ776:FZ825" si="2071">FU776+FW776+FY776</f>
        <v>195590420</v>
      </c>
      <c r="GB776" s="269">
        <f t="shared" si="1899"/>
        <v>27254422359.143524</v>
      </c>
      <c r="GC776" s="889">
        <f t="shared" si="1985"/>
        <v>17034013.974464703</v>
      </c>
      <c r="GD776" s="1078">
        <f t="shared" si="1900"/>
        <v>1.5293314603027153E-2</v>
      </c>
    </row>
    <row r="777" spans="1:186" hidden="1" outlineLevel="1">
      <c r="A777" s="211" t="s">
        <v>1631</v>
      </c>
      <c r="B777" s="212" t="s">
        <v>1632</v>
      </c>
      <c r="C777" s="213" t="s">
        <v>215</v>
      </c>
      <c r="D777" s="214"/>
      <c r="E777" s="213"/>
      <c r="F777" s="213"/>
      <c r="G777" s="213" t="s">
        <v>215</v>
      </c>
      <c r="H777" s="213" t="s">
        <v>215</v>
      </c>
      <c r="I777" s="214" t="s">
        <v>215</v>
      </c>
      <c r="J777" s="214"/>
      <c r="K777" s="213"/>
      <c r="L777" s="213"/>
      <c r="M777" s="214"/>
      <c r="N777" s="213" t="s">
        <v>215</v>
      </c>
      <c r="O777" s="214"/>
      <c r="P777" s="213"/>
      <c r="Q777" s="214"/>
      <c r="R777" s="214" t="s">
        <v>215</v>
      </c>
      <c r="S777" s="214"/>
      <c r="T777" s="214"/>
      <c r="U777" s="215">
        <f t="shared" si="1905"/>
        <v>6</v>
      </c>
      <c r="V777" s="845" t="s">
        <v>216</v>
      </c>
      <c r="W777" s="216">
        <v>179092</v>
      </c>
      <c r="X777" s="217">
        <v>3.01</v>
      </c>
      <c r="Y777" s="218">
        <f t="shared" si="1965"/>
        <v>1.0301</v>
      </c>
      <c r="Z777" s="196">
        <v>19</v>
      </c>
      <c r="AA777" s="218">
        <f t="shared" si="1966"/>
        <v>1.7567435038184733</v>
      </c>
      <c r="AB777" s="196">
        <f t="shared" si="1996"/>
        <v>314618.70758585801</v>
      </c>
      <c r="AC777">
        <v>12.7</v>
      </c>
      <c r="AD777" s="196">
        <f t="shared" si="1997"/>
        <v>39956.575863403967</v>
      </c>
      <c r="AE777" s="196">
        <f t="shared" si="1967"/>
        <v>37958.747070233767</v>
      </c>
      <c r="AF777" s="196">
        <f t="shared" ref="AF777:AF794" si="2072">AE777*BT777</f>
        <v>0</v>
      </c>
      <c r="AG777" s="606">
        <f t="shared" si="1988"/>
        <v>1.7550458225055515E-3</v>
      </c>
      <c r="AH777" s="196">
        <f>AB777*0.05</f>
        <v>15730.935379292901</v>
      </c>
      <c r="AI777" s="248">
        <f t="shared" si="1964"/>
        <v>1.2186517291386397E-3</v>
      </c>
      <c r="AJ777" s="196">
        <f t="shared" si="1968"/>
        <v>55687.51124269687</v>
      </c>
      <c r="AK777" s="196">
        <f t="shared" si="1998"/>
        <v>12584.74830343432</v>
      </c>
      <c r="AL777" s="196">
        <f t="shared" si="1999"/>
        <v>12584.74830343432</v>
      </c>
      <c r="AM777" s="196">
        <f t="shared" si="1969"/>
        <v>25169.496606868641</v>
      </c>
      <c r="AN777" s="627">
        <f t="shared" si="1970"/>
        <v>1.2186517291386395E-3</v>
      </c>
      <c r="AO777" s="196">
        <f t="shared" si="1971"/>
        <v>11955.510888262605</v>
      </c>
      <c r="AP777" s="589">
        <f t="shared" si="1989"/>
        <v>1.2186517291386395E-3</v>
      </c>
      <c r="AQ777" s="196"/>
      <c r="AR777" s="589"/>
      <c r="AS777">
        <v>1</v>
      </c>
      <c r="AT777" s="589">
        <f t="shared" si="1990"/>
        <v>1.2919896640826874E-3</v>
      </c>
      <c r="AU777" s="196">
        <v>13</v>
      </c>
      <c r="AV777" s="245">
        <f t="shared" si="1972"/>
        <v>1.4771048744460858E-3</v>
      </c>
      <c r="AX777" s="245"/>
      <c r="AY777" s="245"/>
      <c r="AZ777" s="196">
        <v>23</v>
      </c>
      <c r="BA777" s="589">
        <f t="shared" ref="BA777:BA840" si="2073">AZ777/27291</f>
        <v>8.4276867831885966E-4</v>
      </c>
      <c r="BI777" s="196">
        <v>0</v>
      </c>
      <c r="BK777" s="246">
        <f t="shared" ref="BK777:BK840" si="2074">BJ777/52440044</f>
        <v>0</v>
      </c>
      <c r="BL777" s="246"/>
      <c r="BM777" s="246">
        <f t="shared" ref="BM777:BM840" si="2075">BL777/1048801</f>
        <v>0</v>
      </c>
      <c r="BN777" s="196">
        <v>1</v>
      </c>
      <c r="BO777" s="196">
        <f t="shared" ref="BO777:BO794" si="2076">AJ777/1076138*352097</f>
        <v>18220.159167337126</v>
      </c>
      <c r="BP777" s="196">
        <f t="shared" si="1973"/>
        <v>18220.159167337126</v>
      </c>
      <c r="BQ777" s="248">
        <f t="shared" ref="BQ777:BQ840" si="2077">BP777/10690003</f>
        <v>1.7044110434147797E-3</v>
      </c>
      <c r="BR777" s="248"/>
      <c r="BS777" s="248"/>
      <c r="BT777" s="276">
        <v>0</v>
      </c>
      <c r="BU777" s="196">
        <f t="shared" ref="BU777:BU794" si="2078">AD777*BT777*0.18*4</f>
        <v>0</v>
      </c>
      <c r="BV777" s="264">
        <f t="shared" ref="BV777:BV840" si="2079">BU777/14417138</f>
        <v>0</v>
      </c>
      <c r="BW777" s="196">
        <f t="shared" ref="BW777:BW794" si="2080">AD777*BT777*0.77*4</f>
        <v>0</v>
      </c>
      <c r="BX777" s="247">
        <f t="shared" ref="BX777:BX840" si="2081">BW777/61673312</f>
        <v>0</v>
      </c>
      <c r="BY777" s="196">
        <f t="shared" ref="BY777:BY794" si="2082">BU777+BW777</f>
        <v>0</v>
      </c>
      <c r="BZ777" s="620">
        <v>1</v>
      </c>
      <c r="CA777" s="196">
        <f t="shared" ref="CA777:CA794" si="2083">AK777*0.85*0.75*12</f>
        <v>96273.32452127256</v>
      </c>
      <c r="CB777" s="196">
        <f t="shared" ref="CB777:CB794" si="2084">AL777*0.85*0.75*2*12</f>
        <v>192546.64904254512</v>
      </c>
      <c r="CC777" s="196">
        <f t="shared" si="1986"/>
        <v>288819.97356381768</v>
      </c>
      <c r="CD777" s="247">
        <f t="shared" si="1974"/>
        <v>1.2186517291386397E-3</v>
      </c>
      <c r="CE777" s="196">
        <f t="shared" ref="CE777:CE794" si="2085">AH777/303994*552409</f>
        <v>28585.795383921435</v>
      </c>
      <c r="CF777" s="247">
        <f t="shared" si="1975"/>
        <v>1.2344235449481952E-3</v>
      </c>
      <c r="CG777" s="196">
        <f t="shared" si="2047"/>
        <v>47822.043553050418</v>
      </c>
      <c r="CH777" s="589">
        <f t="shared" si="1991"/>
        <v>1.2186517291386395E-3</v>
      </c>
      <c r="CI777" s="196">
        <f t="shared" ref="CI777:CI794" si="2086">AD777/772144*1395713</f>
        <v>72224.756480707147</v>
      </c>
      <c r="CJ777" s="248">
        <f t="shared" si="1992"/>
        <v>1.1873748132121542E-3</v>
      </c>
      <c r="CK777" s="196">
        <f t="shared" ref="CK777:CK794" si="2087">AD777/772144*1364440</f>
        <v>70606.454717077271</v>
      </c>
      <c r="CL777" s="589">
        <f t="shared" si="1993"/>
        <v>1.0149823096861094E-3</v>
      </c>
      <c r="CM777" s="196">
        <f t="shared" ref="CM777:CM794" si="2088">AD777/772144*132180</f>
        <v>6839.9938322705821</v>
      </c>
      <c r="CN777" s="589">
        <f t="shared" si="1994"/>
        <v>9.8572084537320117E-4</v>
      </c>
      <c r="CO777" s="196">
        <f t="shared" ref="CO777:CO794" si="2089">AD777/772144*10574</f>
        <v>547.17880755355679</v>
      </c>
      <c r="CP777" s="589">
        <f t="shared" si="1995"/>
        <v>1.0318949499940723E-3</v>
      </c>
      <c r="CQ777" s="196">
        <f>'Detailed Budget'!$AC$12</f>
        <v>292876014141.44696</v>
      </c>
      <c r="CR777" s="269">
        <f t="shared" si="2040"/>
        <v>0</v>
      </c>
      <c r="CS777" s="269">
        <f>'Detailed Budget'!$AC$16</f>
        <v>10488008800.000002</v>
      </c>
      <c r="CT777" s="607">
        <f t="shared" si="2049"/>
        <v>0</v>
      </c>
      <c r="CU777" s="269">
        <f>'Detailed Budget'!$AC$24</f>
        <v>30624985696</v>
      </c>
      <c r="CV777" s="269">
        <f t="shared" si="2050"/>
        <v>0</v>
      </c>
      <c r="CW777" s="269"/>
      <c r="CX777" s="269">
        <f t="shared" si="1987"/>
        <v>0</v>
      </c>
      <c r="CY777" s="196">
        <f>'Detailed Budget'!$AC$97</f>
        <v>74629165494.837845</v>
      </c>
      <c r="CZ777" s="269">
        <f t="shared" si="2051"/>
        <v>127198773.83023085</v>
      </c>
      <c r="DA777" s="269">
        <f>'Detailed Budget'!$AC$100</f>
        <v>14925833098.967569</v>
      </c>
      <c r="DB777" s="269">
        <f t="shared" si="2052"/>
        <v>25439754.76604617</v>
      </c>
      <c r="DC777" s="269">
        <f t="shared" si="1976"/>
        <v>152638528.59627703</v>
      </c>
      <c r="DD777" s="207">
        <v>0</v>
      </c>
      <c r="DE777" s="606">
        <v>0</v>
      </c>
      <c r="DF777" s="269">
        <f>'Detailed Budget'!$AC$147</f>
        <v>5913600671000</v>
      </c>
      <c r="DG777" s="269">
        <f t="shared" si="2042"/>
        <v>0</v>
      </c>
      <c r="DH777" s="269">
        <f>'Detailed Budget'!$AC$153</f>
        <v>226428026880.00003</v>
      </c>
      <c r="DI777" s="269"/>
      <c r="DJ777" s="269">
        <f>'Detailed Budget'!$AC$156</f>
        <v>27713070000</v>
      </c>
      <c r="DK777" s="269"/>
      <c r="DL777" s="269"/>
      <c r="DM777" s="196">
        <f>'Detailed Budget'!$AC$178</f>
        <v>5622683761.6229038</v>
      </c>
      <c r="DN777" s="269">
        <f t="shared" ref="DN777:DN794" si="2090">BT777*BV777*DM777</f>
        <v>0</v>
      </c>
      <c r="DO777" s="196">
        <f>'Detailed Budget'!$AC$179</f>
        <v>26827890683.128094</v>
      </c>
      <c r="DP777" s="269">
        <f t="shared" ref="DP777:DP794" si="2091">BT777*BX777*DO777</f>
        <v>0</v>
      </c>
      <c r="DQ777" s="269">
        <f t="shared" si="2041"/>
        <v>0</v>
      </c>
      <c r="DR777" s="269">
        <f>'Detailed Budget'!$AC$181</f>
        <v>50888946855.375237</v>
      </c>
      <c r="DS777" s="269">
        <f t="shared" ref="DS777:DS794" si="2092">BT777*AG777*DR777</f>
        <v>0</v>
      </c>
      <c r="DT777" s="269">
        <f t="shared" ref="DT777:DT794" si="2093">DQ777+DS777</f>
        <v>0</v>
      </c>
      <c r="DU777" s="272">
        <f>'Detailed Budget'!$AC$192</f>
        <v>77498869683.252869</v>
      </c>
      <c r="DV777" s="269">
        <f t="shared" si="2053"/>
        <v>94444131.545786217</v>
      </c>
      <c r="DW777" s="140">
        <f>'Detailed Budget'!$AC$194</f>
        <v>2684962805.4134097</v>
      </c>
      <c r="DX777" s="269">
        <f t="shared" si="2054"/>
        <v>3272034.5654899841</v>
      </c>
      <c r="DY777" s="607">
        <f t="shared" si="1977"/>
        <v>97716166.111276194</v>
      </c>
      <c r="DZ777" s="196">
        <f>'Detailed Budget'!$AC$198</f>
        <v>18732540018.380611</v>
      </c>
      <c r="EA777" s="269">
        <f t="shared" si="2055"/>
        <v>23123888.455373324</v>
      </c>
      <c r="EB777" s="196">
        <f>'Detailed Budget'!$AC$200</f>
        <v>4683135004.5951529</v>
      </c>
      <c r="EC777" s="269">
        <f t="shared" si="2056"/>
        <v>5780972.1138433311</v>
      </c>
      <c r="ED777" s="269">
        <f t="shared" si="1978"/>
        <v>28904860.569216654</v>
      </c>
      <c r="EE777" s="196">
        <f>'Detailed Budget'!$AC$161</f>
        <v>251147290106.36197</v>
      </c>
      <c r="EF777" s="269">
        <f t="shared" si="2057"/>
        <v>306061079.35660154</v>
      </c>
      <c r="EG777" s="196">
        <f>'Detailed Budget'!$AC$163</f>
        <v>15696705631.647623</v>
      </c>
      <c r="EH777" s="269">
        <f t="shared" si="2058"/>
        <v>19128817.459787596</v>
      </c>
      <c r="EI777" s="269">
        <f t="shared" si="1979"/>
        <v>325189896.81638914</v>
      </c>
      <c r="EJ777" s="196">
        <f>'Detailed Budget'!$AC$204</f>
        <v>45012172507.531975</v>
      </c>
      <c r="EK777" s="269">
        <f t="shared" si="2059"/>
        <v>53446319.923404045</v>
      </c>
      <c r="EL777" s="201">
        <f>'Detailed Budget'!$AC$206</f>
        <v>11253043126.882994</v>
      </c>
      <c r="EM777" s="269">
        <f t="shared" si="2060"/>
        <v>13361579.980851011</v>
      </c>
      <c r="EN777" s="269">
        <f t="shared" si="1980"/>
        <v>66807899.904255055</v>
      </c>
      <c r="EO777" s="140">
        <f>'Detailed Budget'!$AC$209</f>
        <v>135789361677.54817</v>
      </c>
      <c r="EP777" s="269">
        <f t="shared" si="2061"/>
        <v>137823799.94628033</v>
      </c>
      <c r="EQ777" s="196">
        <f>'Detailed Budget'!$AC$211</f>
        <v>33947340419.387043</v>
      </c>
      <c r="ER777" s="269">
        <f t="shared" si="2062"/>
        <v>34455949.986570083</v>
      </c>
      <c r="ES777" s="269">
        <f t="shared" si="1981"/>
        <v>172279749.93285042</v>
      </c>
      <c r="ET777" s="196">
        <f>'Detailed Budget'!$AC$214</f>
        <v>22239745544.201103</v>
      </c>
      <c r="EU777" s="269">
        <f t="shared" si="2063"/>
        <v>21922180.778714795</v>
      </c>
      <c r="EV777" s="140">
        <f>'Detailed Budget'!$AC$217</f>
        <v>5559936386.0502758</v>
      </c>
      <c r="EW777" s="269">
        <f t="shared" si="2064"/>
        <v>5480545.1946786987</v>
      </c>
      <c r="EX777" s="269">
        <f t="shared" si="1982"/>
        <v>27402725.973393492</v>
      </c>
      <c r="EY777" s="196">
        <f>'Detailed Budget'!$AC$219</f>
        <v>372777004.58170313</v>
      </c>
      <c r="EZ777" s="269">
        <f t="shared" si="2065"/>
        <v>384666.70850177662</v>
      </c>
      <c r="FA777" s="196">
        <f>'Detailed Budget'!$AC$222</f>
        <v>93194251.145425782</v>
      </c>
      <c r="FB777" s="269">
        <f t="shared" si="2066"/>
        <v>96166.677125444156</v>
      </c>
      <c r="FC777" s="269">
        <f t="shared" si="1983"/>
        <v>480833.38562722079</v>
      </c>
      <c r="FD777" s="269"/>
      <c r="FE777" s="269">
        <f t="shared" si="1984"/>
        <v>266971209.19612619</v>
      </c>
      <c r="FF777" s="140">
        <f>'Detailed Budget'!$AC$165</f>
        <v>14927760000</v>
      </c>
      <c r="FG777" s="1087">
        <f t="shared" si="2043"/>
        <v>364166401.19660711</v>
      </c>
      <c r="FH777" s="269">
        <f t="shared" si="2067"/>
        <v>22049867.060561303</v>
      </c>
      <c r="FJ777" s="140">
        <f>'Detailed Budget'!$AC$235</f>
        <v>3623696172</v>
      </c>
      <c r="FK777" s="269">
        <f t="shared" si="2068"/>
        <v>4681778</v>
      </c>
      <c r="FL777" s="269">
        <f t="shared" si="2044"/>
        <v>4681778</v>
      </c>
      <c r="FO777" s="607"/>
      <c r="FP777" s="607"/>
      <c r="FQ777" s="607"/>
      <c r="FR777" s="269">
        <f>'Detailed Budget'!$AC$257</f>
        <v>13636439388</v>
      </c>
      <c r="FS777" s="269">
        <f t="shared" si="2069"/>
        <v>11492364</v>
      </c>
      <c r="FT777" s="269">
        <f t="shared" si="2045"/>
        <v>11492364</v>
      </c>
      <c r="FU777" s="269"/>
      <c r="FV777" s="269"/>
      <c r="FW777" s="269"/>
      <c r="FX777" s="140">
        <f>'Detailed Budget'!$AC$278</f>
        <v>1114560000</v>
      </c>
      <c r="FY777" s="269">
        <f t="shared" si="2070"/>
        <v>1440000</v>
      </c>
      <c r="FZ777" s="269">
        <f t="shared" si="2071"/>
        <v>1440000</v>
      </c>
      <c r="GB777" s="269">
        <f t="shared" ref="GB777:GB840" si="2094">SUM(CX777,DC777,DG777,DL777,DT777,DY777,ED777,EI777,FE777,FG777,FH777,FL777,FT777,FZ777,GA777)</f>
        <v>1275251071.5464537</v>
      </c>
      <c r="GC777" s="887">
        <f t="shared" si="1985"/>
        <v>797031.91971653362</v>
      </c>
      <c r="GD777" s="1078">
        <f t="shared" ref="GD777:GD840" si="2095">GB777/1782113496426</f>
        <v>7.1558353275700409E-4</v>
      </c>
    </row>
    <row r="778" spans="1:186" hidden="1" outlineLevel="1">
      <c r="A778" s="211" t="s">
        <v>1633</v>
      </c>
      <c r="B778" s="212" t="s">
        <v>1634</v>
      </c>
      <c r="C778" s="213" t="s">
        <v>215</v>
      </c>
      <c r="D778" s="214"/>
      <c r="E778" s="213"/>
      <c r="F778" s="213"/>
      <c r="G778" s="213" t="s">
        <v>215</v>
      </c>
      <c r="H778" s="213" t="s">
        <v>215</v>
      </c>
      <c r="I778" s="214" t="s">
        <v>215</v>
      </c>
      <c r="J778" s="214"/>
      <c r="K778" s="213"/>
      <c r="L778" s="213"/>
      <c r="M778" s="214"/>
      <c r="N778" s="213" t="s">
        <v>215</v>
      </c>
      <c r="O778" s="214"/>
      <c r="P778" s="213"/>
      <c r="Q778" s="214"/>
      <c r="R778" s="214" t="s">
        <v>215</v>
      </c>
      <c r="S778" s="214"/>
      <c r="T778" s="214"/>
      <c r="U778" s="215">
        <f t="shared" si="1905"/>
        <v>6</v>
      </c>
      <c r="V778" s="845" t="s">
        <v>216</v>
      </c>
      <c r="W778" s="216">
        <v>211867</v>
      </c>
      <c r="X778" s="217">
        <v>3.01</v>
      </c>
      <c r="Y778" s="218">
        <f t="shared" si="1965"/>
        <v>1.0301</v>
      </c>
      <c r="Z778" s="196">
        <v>19</v>
      </c>
      <c r="AA778" s="218">
        <f t="shared" si="1966"/>
        <v>1.7567435038184733</v>
      </c>
      <c r="AB778" s="196">
        <f t="shared" si="1996"/>
        <v>372195.97592350846</v>
      </c>
      <c r="AC778">
        <v>12.7</v>
      </c>
      <c r="AD778" s="196">
        <f t="shared" si="1997"/>
        <v>47268.888942285572</v>
      </c>
      <c r="AE778" s="196">
        <f t="shared" si="1967"/>
        <v>44905.444495171294</v>
      </c>
      <c r="AF778" s="196">
        <f t="shared" si="2072"/>
        <v>0</v>
      </c>
      <c r="AG778" s="606">
        <f t="shared" si="1988"/>
        <v>2.0762306148615441E-3</v>
      </c>
      <c r="AH778" s="196">
        <f t="shared" ref="AH778:AH794" si="2096">AB778*0.05</f>
        <v>18609.798796175422</v>
      </c>
      <c r="AI778" s="248">
        <f t="shared" si="1964"/>
        <v>1.4416729161403979E-3</v>
      </c>
      <c r="AJ778" s="196">
        <f t="shared" si="1968"/>
        <v>65878.687738460998</v>
      </c>
      <c r="AK778" s="196">
        <f t="shared" si="1998"/>
        <v>14887.839036940339</v>
      </c>
      <c r="AL778" s="196">
        <f t="shared" si="1999"/>
        <v>14887.839036940339</v>
      </c>
      <c r="AM778" s="196">
        <f t="shared" si="1969"/>
        <v>29775.678073880677</v>
      </c>
      <c r="AN778" s="627">
        <f t="shared" si="1970"/>
        <v>1.4416729161403979E-3</v>
      </c>
      <c r="AO778" s="196">
        <f t="shared" si="1971"/>
        <v>14143.447085093321</v>
      </c>
      <c r="AP778" s="589">
        <f t="shared" si="1989"/>
        <v>1.4416729161403979E-3</v>
      </c>
      <c r="AQ778" s="196"/>
      <c r="AR778" s="589"/>
      <c r="AS778">
        <v>1</v>
      </c>
      <c r="AT778" s="589">
        <f t="shared" si="1990"/>
        <v>1.2919896640826874E-3</v>
      </c>
      <c r="AU778" s="196">
        <v>10</v>
      </c>
      <c r="AV778" s="245">
        <f t="shared" si="1972"/>
        <v>1.1362345188046814E-3</v>
      </c>
      <c r="AX778" s="245"/>
      <c r="AY778" s="245"/>
      <c r="AZ778" s="196">
        <v>26</v>
      </c>
      <c r="BA778" s="589">
        <f t="shared" si="2073"/>
        <v>9.526950276647979E-4</v>
      </c>
      <c r="BI778" s="196">
        <v>0</v>
      </c>
      <c r="BK778" s="246">
        <f t="shared" si="2074"/>
        <v>0</v>
      </c>
      <c r="BL778" s="246"/>
      <c r="BM778" s="246">
        <f t="shared" si="2075"/>
        <v>0</v>
      </c>
      <c r="BN778" s="196">
        <v>1</v>
      </c>
      <c r="BO778" s="196">
        <f t="shared" si="2076"/>
        <v>21554.566716024248</v>
      </c>
      <c r="BP778" s="196">
        <f t="shared" si="1973"/>
        <v>21554.566716024248</v>
      </c>
      <c r="BQ778" s="248">
        <f t="shared" si="2077"/>
        <v>2.0163293420988049E-3</v>
      </c>
      <c r="BR778" s="248"/>
      <c r="BS778" s="248"/>
      <c r="BT778" s="276">
        <v>0</v>
      </c>
      <c r="BU778" s="196">
        <f t="shared" si="2078"/>
        <v>0</v>
      </c>
      <c r="BV778" s="264">
        <f t="shared" si="2079"/>
        <v>0</v>
      </c>
      <c r="BW778" s="196">
        <f t="shared" si="2080"/>
        <v>0</v>
      </c>
      <c r="BX778" s="247">
        <f t="shared" si="2081"/>
        <v>0</v>
      </c>
      <c r="BY778" s="196">
        <f t="shared" si="2082"/>
        <v>0</v>
      </c>
      <c r="BZ778" s="620">
        <v>1</v>
      </c>
      <c r="CA778" s="196">
        <f t="shared" si="2083"/>
        <v>113891.96863259361</v>
      </c>
      <c r="CB778" s="196">
        <f t="shared" si="2084"/>
        <v>227783.93726518721</v>
      </c>
      <c r="CC778" s="196">
        <f t="shared" si="1986"/>
        <v>341675.90589778079</v>
      </c>
      <c r="CD778" s="247">
        <f t="shared" si="1974"/>
        <v>1.4416729161403981E-3</v>
      </c>
      <c r="CE778" s="196">
        <f t="shared" si="2085"/>
        <v>33817.181731206765</v>
      </c>
      <c r="CF778" s="247">
        <f t="shared" si="1975"/>
        <v>1.4603310767512744E-3</v>
      </c>
      <c r="CG778" s="196">
        <f t="shared" si="2047"/>
        <v>56573.788340373285</v>
      </c>
      <c r="CH778" s="589">
        <f t="shared" si="1991"/>
        <v>1.4416729161403979E-3</v>
      </c>
      <c r="CI778" s="196">
        <f t="shared" si="2086"/>
        <v>85442.356338071942</v>
      </c>
      <c r="CJ778" s="248">
        <f t="shared" si="1992"/>
        <v>1.4046721213165272E-3</v>
      </c>
      <c r="CK778" s="196">
        <f t="shared" si="2087"/>
        <v>83527.894833621875</v>
      </c>
      <c r="CL778" s="589">
        <f t="shared" si="1993"/>
        <v>1.2007306691882772E-3</v>
      </c>
      <c r="CM778" s="196">
        <f t="shared" si="2088"/>
        <v>8091.7571597931301</v>
      </c>
      <c r="CN778" s="589">
        <f t="shared" si="1994"/>
        <v>1.1661141667226006E-3</v>
      </c>
      <c r="CO778" s="196">
        <f t="shared" si="2089"/>
        <v>647.31608569868786</v>
      </c>
      <c r="CP778" s="589">
        <f t="shared" si="1995"/>
        <v>1.2207384325955046E-3</v>
      </c>
      <c r="CQ778" s="196">
        <f>'Detailed Budget'!$AC$12</f>
        <v>292876014141.44696</v>
      </c>
      <c r="CR778" s="269">
        <f t="shared" si="2040"/>
        <v>0</v>
      </c>
      <c r="CS778" s="269">
        <f>'Detailed Budget'!$AC$16</f>
        <v>10488008800.000002</v>
      </c>
      <c r="CT778" s="607">
        <f t="shared" si="2049"/>
        <v>0</v>
      </c>
      <c r="CU778" s="269">
        <f>'Detailed Budget'!$AC$24</f>
        <v>30624985696</v>
      </c>
      <c r="CV778" s="269">
        <f t="shared" si="2050"/>
        <v>0</v>
      </c>
      <c r="CW778" s="269"/>
      <c r="CX778" s="269">
        <f t="shared" si="1987"/>
        <v>0</v>
      </c>
      <c r="CY778" s="196">
        <f>'Detailed Budget'!$AC$97</f>
        <v>74629165494.837845</v>
      </c>
      <c r="CZ778" s="269">
        <f t="shared" si="2051"/>
        <v>150476976.16358921</v>
      </c>
      <c r="DA778" s="269">
        <f>'Detailed Budget'!$AC$100</f>
        <v>14925833098.967569</v>
      </c>
      <c r="DB778" s="269">
        <f t="shared" si="2052"/>
        <v>30095395.232717846</v>
      </c>
      <c r="DC778" s="269">
        <f t="shared" si="1976"/>
        <v>180572371.39630705</v>
      </c>
      <c r="DD778" s="207">
        <v>0</v>
      </c>
      <c r="DE778" s="606">
        <v>0</v>
      </c>
      <c r="DF778" s="269">
        <f>'Detailed Budget'!$AC$147</f>
        <v>5913600671000</v>
      </c>
      <c r="DG778" s="269">
        <f t="shared" si="2042"/>
        <v>0</v>
      </c>
      <c r="DH778" s="269">
        <f>'Detailed Budget'!$AC$153</f>
        <v>226428026880.00003</v>
      </c>
      <c r="DI778" s="269"/>
      <c r="DJ778" s="269">
        <f>'Detailed Budget'!$AC$156</f>
        <v>27713070000</v>
      </c>
      <c r="DK778" s="269"/>
      <c r="DL778" s="269"/>
      <c r="DM778" s="196">
        <f>'Detailed Budget'!$AC$178</f>
        <v>5622683761.6229038</v>
      </c>
      <c r="DN778" s="269">
        <f t="shared" si="2090"/>
        <v>0</v>
      </c>
      <c r="DO778" s="196">
        <f>'Detailed Budget'!$AC$179</f>
        <v>26827890683.128094</v>
      </c>
      <c r="DP778" s="269">
        <f t="shared" si="2091"/>
        <v>0</v>
      </c>
      <c r="DQ778" s="269">
        <f t="shared" si="2041"/>
        <v>0</v>
      </c>
      <c r="DR778" s="269">
        <f>'Detailed Budget'!$AC$181</f>
        <v>50888946855.375237</v>
      </c>
      <c r="DS778" s="269">
        <f t="shared" si="2092"/>
        <v>0</v>
      </c>
      <c r="DT778" s="269">
        <f t="shared" si="2093"/>
        <v>0</v>
      </c>
      <c r="DU778" s="272">
        <f>'Detailed Budget'!$AC$192</f>
        <v>77498869683.252869</v>
      </c>
      <c r="DV778" s="269">
        <f t="shared" si="2053"/>
        <v>111728021.45383985</v>
      </c>
      <c r="DW778" s="140">
        <f>'Detailed Budget'!$AC$194</f>
        <v>2684962805.4134097</v>
      </c>
      <c r="DX778" s="269">
        <f t="shared" si="2054"/>
        <v>3870838.157408854</v>
      </c>
      <c r="DY778" s="607">
        <f t="shared" si="1977"/>
        <v>115598859.6112487</v>
      </c>
      <c r="DZ778" s="196">
        <f>'Detailed Budget'!$AC$198</f>
        <v>18732540018.380611</v>
      </c>
      <c r="EA778" s="269">
        <f t="shared" si="2055"/>
        <v>27355710.335328095</v>
      </c>
      <c r="EB778" s="196">
        <f>'Detailed Budget'!$AC$200</f>
        <v>4683135004.5951529</v>
      </c>
      <c r="EC778" s="269">
        <f t="shared" si="2056"/>
        <v>6838927.5838320237</v>
      </c>
      <c r="ED778" s="269">
        <f t="shared" si="1978"/>
        <v>34194637.91916012</v>
      </c>
      <c r="EE778" s="196">
        <f>'Detailed Budget'!$AC$161</f>
        <v>251147290106.36197</v>
      </c>
      <c r="EF778" s="269">
        <f t="shared" si="2057"/>
        <v>362072246.10839736</v>
      </c>
      <c r="EG778" s="196">
        <f>'Detailed Budget'!$AC$163</f>
        <v>15696705631.647623</v>
      </c>
      <c r="EH778" s="269">
        <f t="shared" si="2058"/>
        <v>22629515.381774835</v>
      </c>
      <c r="EI778" s="269">
        <f t="shared" si="1979"/>
        <v>384701761.49017221</v>
      </c>
      <c r="EJ778" s="196">
        <f>'Detailed Budget'!$AC$204</f>
        <v>45012172507.531975</v>
      </c>
      <c r="EK778" s="269">
        <f t="shared" si="2059"/>
        <v>63227343.841220401</v>
      </c>
      <c r="EL778" s="201">
        <f>'Detailed Budget'!$AC$206</f>
        <v>11253043126.882994</v>
      </c>
      <c r="EM778" s="269">
        <f t="shared" si="2060"/>
        <v>15806835.9603051</v>
      </c>
      <c r="EN778" s="269">
        <f t="shared" si="1980"/>
        <v>79034179.801525503</v>
      </c>
      <c r="EO778" s="140">
        <f>'Detailed Budget'!$AC$209</f>
        <v>135789361677.54817</v>
      </c>
      <c r="EP778" s="269">
        <f t="shared" si="2061"/>
        <v>163046451.11573142</v>
      </c>
      <c r="EQ778" s="196">
        <f>'Detailed Budget'!$AC$211</f>
        <v>33947340419.387043</v>
      </c>
      <c r="ER778" s="269">
        <f t="shared" si="2062"/>
        <v>40761612.778932855</v>
      </c>
      <c r="ES778" s="269">
        <f t="shared" si="1981"/>
        <v>203808063.89466429</v>
      </c>
      <c r="ET778" s="196">
        <f>'Detailed Budget'!$AC$214</f>
        <v>22239745544.201103</v>
      </c>
      <c r="EU778" s="269">
        <f t="shared" si="2063"/>
        <v>25934082.343398739</v>
      </c>
      <c r="EV778" s="140">
        <f>'Detailed Budget'!$AC$217</f>
        <v>5559936386.0502758</v>
      </c>
      <c r="EW778" s="269">
        <f t="shared" si="2064"/>
        <v>6483520.5858496847</v>
      </c>
      <c r="EX778" s="269">
        <f t="shared" si="1982"/>
        <v>32417602.929248422</v>
      </c>
      <c r="EY778" s="196">
        <f>'Detailed Budget'!$AC$219</f>
        <v>372777004.58170313</v>
      </c>
      <c r="EZ778" s="269">
        <f t="shared" si="2065"/>
        <v>455063.21628071554</v>
      </c>
      <c r="FA778" s="196">
        <f>'Detailed Budget'!$AC$222</f>
        <v>93194251.145425782</v>
      </c>
      <c r="FB778" s="269">
        <f t="shared" si="2066"/>
        <v>113765.80407017889</v>
      </c>
      <c r="FC778" s="269">
        <f t="shared" si="1983"/>
        <v>568829.02035089443</v>
      </c>
      <c r="FD778" s="269"/>
      <c r="FE778" s="269">
        <f t="shared" si="1984"/>
        <v>315828675.64578909</v>
      </c>
      <c r="FF778" s="140">
        <f>'Detailed Budget'!$AC$165</f>
        <v>14927760000</v>
      </c>
      <c r="FG778" s="1087">
        <f t="shared" si="2043"/>
        <v>430811219.49792027</v>
      </c>
      <c r="FH778" s="269">
        <f t="shared" si="2067"/>
        <v>16961436.200431772</v>
      </c>
      <c r="FJ778" s="140">
        <f>'Detailed Budget'!$AC$235</f>
        <v>3623696172</v>
      </c>
      <c r="FK778" s="269">
        <f t="shared" si="2068"/>
        <v>4681778</v>
      </c>
      <c r="FL778" s="269">
        <f t="shared" si="2044"/>
        <v>4681778</v>
      </c>
      <c r="FO778" s="607"/>
      <c r="FP778" s="607"/>
      <c r="FQ778" s="607"/>
      <c r="FR778" s="269">
        <f>'Detailed Budget'!$AC$257</f>
        <v>13636439388</v>
      </c>
      <c r="FS778" s="269">
        <f t="shared" si="2069"/>
        <v>12991368</v>
      </c>
      <c r="FT778" s="269">
        <f t="shared" si="2045"/>
        <v>12991368</v>
      </c>
      <c r="FU778" s="269"/>
      <c r="FV778" s="269"/>
      <c r="FW778" s="269"/>
      <c r="FX778" s="140">
        <f>'Detailed Budget'!$AC$278</f>
        <v>1114560000</v>
      </c>
      <c r="FY778" s="269">
        <f t="shared" si="2070"/>
        <v>1440000</v>
      </c>
      <c r="FZ778" s="269">
        <f t="shared" si="2071"/>
        <v>1440000</v>
      </c>
      <c r="GB778" s="269">
        <f t="shared" si="2094"/>
        <v>1497782107.7610292</v>
      </c>
      <c r="GC778" s="887">
        <f t="shared" si="1985"/>
        <v>936113.81735064322</v>
      </c>
      <c r="GD778" s="1078">
        <f t="shared" si="2095"/>
        <v>8.4045270447971306E-4</v>
      </c>
    </row>
    <row r="779" spans="1:186" hidden="1" outlineLevel="1">
      <c r="A779" s="211" t="s">
        <v>1635</v>
      </c>
      <c r="B779" s="212" t="s">
        <v>1636</v>
      </c>
      <c r="C779" s="213" t="s">
        <v>215</v>
      </c>
      <c r="D779" s="214"/>
      <c r="E779" s="213"/>
      <c r="F779" s="213"/>
      <c r="G779" s="213" t="s">
        <v>215</v>
      </c>
      <c r="H779" s="213" t="s">
        <v>215</v>
      </c>
      <c r="I779" s="214" t="s">
        <v>215</v>
      </c>
      <c r="J779" s="214"/>
      <c r="K779" s="213"/>
      <c r="L779" s="213"/>
      <c r="M779" s="214"/>
      <c r="N779" s="213" t="s">
        <v>215</v>
      </c>
      <c r="O779" s="214"/>
      <c r="P779" s="213"/>
      <c r="Q779" s="214"/>
      <c r="R779" s="214" t="s">
        <v>215</v>
      </c>
      <c r="S779" s="214"/>
      <c r="T779" s="214"/>
      <c r="U779" s="215">
        <f t="shared" si="1905"/>
        <v>6</v>
      </c>
      <c r="V779" s="845" t="s">
        <v>216</v>
      </c>
      <c r="W779" s="216">
        <v>82443</v>
      </c>
      <c r="X779" s="217">
        <v>3.01</v>
      </c>
      <c r="Y779" s="218">
        <f t="shared" si="1965"/>
        <v>1.0301</v>
      </c>
      <c r="Z779" s="196">
        <v>19</v>
      </c>
      <c r="AA779" s="218">
        <f t="shared" si="1966"/>
        <v>1.7567435038184733</v>
      </c>
      <c r="AB779" s="196">
        <f t="shared" si="1996"/>
        <v>144831.20468530641</v>
      </c>
      <c r="AC779">
        <v>12.7</v>
      </c>
      <c r="AD779" s="196">
        <f t="shared" si="1997"/>
        <v>18393.562995033913</v>
      </c>
      <c r="AE779" s="196">
        <f t="shared" si="1967"/>
        <v>17473.884845282217</v>
      </c>
      <c r="AF779" s="196">
        <f t="shared" si="2072"/>
        <v>0</v>
      </c>
      <c r="AG779" s="606">
        <f t="shared" si="1988"/>
        <v>8.0791572345400794E-4</v>
      </c>
      <c r="AH779" s="196">
        <f t="shared" si="2096"/>
        <v>7241.560234265321</v>
      </c>
      <c r="AI779" s="248">
        <f t="shared" si="1964"/>
        <v>5.6099269931307312E-4</v>
      </c>
      <c r="AJ779" s="196">
        <f t="shared" si="1968"/>
        <v>25635.123229299235</v>
      </c>
      <c r="AK779" s="196">
        <f t="shared" si="1998"/>
        <v>5793.2481874122568</v>
      </c>
      <c r="AL779" s="196">
        <f t="shared" si="1999"/>
        <v>5793.2481874122568</v>
      </c>
      <c r="AM779" s="196">
        <f t="shared" si="1969"/>
        <v>11586.496374824514</v>
      </c>
      <c r="AN779" s="627">
        <f t="shared" si="1970"/>
        <v>5.6099269931307312E-4</v>
      </c>
      <c r="AO779" s="196">
        <f t="shared" si="1971"/>
        <v>5503.5857780416436</v>
      </c>
      <c r="AP779" s="589">
        <f t="shared" si="1989"/>
        <v>5.6099269931307301E-4</v>
      </c>
      <c r="AQ779" s="196"/>
      <c r="AR779" s="589"/>
      <c r="AS779">
        <v>1</v>
      </c>
      <c r="AT779" s="589">
        <f t="shared" si="1990"/>
        <v>1.2919896640826874E-3</v>
      </c>
      <c r="AU779" s="196">
        <v>11</v>
      </c>
      <c r="AV779" s="245">
        <f t="shared" si="1972"/>
        <v>1.2498579706851495E-3</v>
      </c>
      <c r="AX779" s="245"/>
      <c r="AY779" s="245"/>
      <c r="AZ779" s="196">
        <v>19</v>
      </c>
      <c r="BA779" s="589">
        <f t="shared" si="2073"/>
        <v>6.9620021252427542E-4</v>
      </c>
      <c r="BI779" s="196">
        <v>0</v>
      </c>
      <c r="BK779" s="246">
        <f t="shared" si="2074"/>
        <v>0</v>
      </c>
      <c r="BL779" s="246"/>
      <c r="BM779" s="246">
        <f t="shared" si="2075"/>
        <v>0</v>
      </c>
      <c r="BN779" s="196">
        <v>1</v>
      </c>
      <c r="BO779" s="196">
        <f t="shared" si="2076"/>
        <v>8387.4465762444706</v>
      </c>
      <c r="BP779" s="196">
        <f t="shared" si="1973"/>
        <v>8387.4465762444706</v>
      </c>
      <c r="BQ779" s="248">
        <f t="shared" si="2077"/>
        <v>7.8460656898267204E-4</v>
      </c>
      <c r="BR779" s="248"/>
      <c r="BS779" s="248"/>
      <c r="BT779" s="276">
        <v>0</v>
      </c>
      <c r="BU779" s="196">
        <f t="shared" si="2078"/>
        <v>0</v>
      </c>
      <c r="BV779" s="264">
        <f t="shared" si="2079"/>
        <v>0</v>
      </c>
      <c r="BW779" s="196">
        <f t="shared" si="2080"/>
        <v>0</v>
      </c>
      <c r="BX779" s="247">
        <f t="shared" si="2081"/>
        <v>0</v>
      </c>
      <c r="BY779" s="196">
        <f t="shared" si="2082"/>
        <v>0</v>
      </c>
      <c r="BZ779" s="620">
        <v>1</v>
      </c>
      <c r="CA779" s="196">
        <f t="shared" si="2083"/>
        <v>44318.348633703761</v>
      </c>
      <c r="CB779" s="196">
        <f t="shared" si="2084"/>
        <v>88636.697267407522</v>
      </c>
      <c r="CC779" s="196">
        <f t="shared" si="1986"/>
        <v>132955.04590111127</v>
      </c>
      <c r="CD779" s="247">
        <f t="shared" si="1974"/>
        <v>5.6099269931307301E-4</v>
      </c>
      <c r="CE779" s="196">
        <f t="shared" si="2085"/>
        <v>13159.151323546754</v>
      </c>
      <c r="CF779" s="247">
        <f t="shared" si="1975"/>
        <v>5.6825307839637761E-4</v>
      </c>
      <c r="CG779" s="196">
        <f t="shared" si="2047"/>
        <v>22014.343112166574</v>
      </c>
      <c r="CH779" s="589">
        <f t="shared" si="1991"/>
        <v>5.6099269931307301E-4</v>
      </c>
      <c r="CI779" s="196">
        <f t="shared" si="2086"/>
        <v>33247.859192699507</v>
      </c>
      <c r="CJ779" s="248">
        <f t="shared" si="1992"/>
        <v>5.4659472073375498E-4</v>
      </c>
      <c r="CK779" s="196">
        <f t="shared" si="2087"/>
        <v>32502.892067987414</v>
      </c>
      <c r="CL779" s="589">
        <f t="shared" si="1993"/>
        <v>4.6723575903698619E-4</v>
      </c>
      <c r="CM779" s="196">
        <f t="shared" si="2088"/>
        <v>3148.7146914093519</v>
      </c>
      <c r="CN779" s="589">
        <f t="shared" si="1994"/>
        <v>4.5376557107577577E-4</v>
      </c>
      <c r="CO779" s="196">
        <f t="shared" si="2089"/>
        <v>251.88764674657654</v>
      </c>
      <c r="CP779" s="589">
        <f t="shared" si="1995"/>
        <v>4.7502130392402403E-4</v>
      </c>
      <c r="CQ779" s="196">
        <f>'Detailed Budget'!$AC$12</f>
        <v>292876014141.44696</v>
      </c>
      <c r="CR779" s="269">
        <f t="shared" si="2040"/>
        <v>0</v>
      </c>
      <c r="CS779" s="269">
        <f>'Detailed Budget'!$AC$16</f>
        <v>10488008800.000002</v>
      </c>
      <c r="CT779" s="607">
        <f t="shared" si="2049"/>
        <v>0</v>
      </c>
      <c r="CU779" s="269">
        <f>'Detailed Budget'!$AC$24</f>
        <v>30624985696</v>
      </c>
      <c r="CV779" s="269">
        <f t="shared" si="2050"/>
        <v>0</v>
      </c>
      <c r="CW779" s="269"/>
      <c r="CX779" s="269">
        <f t="shared" si="1987"/>
        <v>0</v>
      </c>
      <c r="CY779" s="196">
        <f>'Detailed Budget'!$AC$97</f>
        <v>74629165494.837845</v>
      </c>
      <c r="CZ779" s="269">
        <f t="shared" si="2051"/>
        <v>58554533.484944738</v>
      </c>
      <c r="DA779" s="269">
        <f>'Detailed Budget'!$AC$100</f>
        <v>14925833098.967569</v>
      </c>
      <c r="DB779" s="269">
        <f t="shared" si="2052"/>
        <v>11710906.696988948</v>
      </c>
      <c r="DC779" s="269">
        <f t="shared" si="1976"/>
        <v>70265440.181933686</v>
      </c>
      <c r="DD779" s="207">
        <v>0</v>
      </c>
      <c r="DE779" s="606">
        <v>0</v>
      </c>
      <c r="DF779" s="269">
        <f>'Detailed Budget'!$AC$147</f>
        <v>5913600671000</v>
      </c>
      <c r="DG779" s="269">
        <f t="shared" si="2042"/>
        <v>0</v>
      </c>
      <c r="DH779" s="269">
        <f>'Detailed Budget'!$AC$153</f>
        <v>226428026880.00003</v>
      </c>
      <c r="DI779" s="269"/>
      <c r="DJ779" s="269">
        <f>'Detailed Budget'!$AC$156</f>
        <v>27713070000</v>
      </c>
      <c r="DK779" s="269"/>
      <c r="DL779" s="269"/>
      <c r="DM779" s="196">
        <f>'Detailed Budget'!$AC$178</f>
        <v>5622683761.6229038</v>
      </c>
      <c r="DN779" s="269">
        <f t="shared" si="2090"/>
        <v>0</v>
      </c>
      <c r="DO779" s="196">
        <f>'Detailed Budget'!$AC$179</f>
        <v>26827890683.128094</v>
      </c>
      <c r="DP779" s="269">
        <f t="shared" si="2091"/>
        <v>0</v>
      </c>
      <c r="DQ779" s="269">
        <f t="shared" si="2041"/>
        <v>0</v>
      </c>
      <c r="DR779" s="269">
        <f>'Detailed Budget'!$AC$181</f>
        <v>50888946855.375237</v>
      </c>
      <c r="DS779" s="269">
        <f t="shared" si="2092"/>
        <v>0</v>
      </c>
      <c r="DT779" s="269">
        <f t="shared" si="2093"/>
        <v>0</v>
      </c>
      <c r="DU779" s="272">
        <f>'Detailed Budget'!$AC$192</f>
        <v>77498869683.252869</v>
      </c>
      <c r="DV779" s="269">
        <f t="shared" si="2053"/>
        <v>43476300.09732011</v>
      </c>
      <c r="DW779" s="140">
        <f>'Detailed Budget'!$AC$194</f>
        <v>2684962805.4134097</v>
      </c>
      <c r="DX779" s="269">
        <f t="shared" si="2054"/>
        <v>1506244.5317640703</v>
      </c>
      <c r="DY779" s="607">
        <f t="shared" si="1977"/>
        <v>44982544.629084177</v>
      </c>
      <c r="DZ779" s="196">
        <f>'Detailed Budget'!$AC$198</f>
        <v>18732540018.380611</v>
      </c>
      <c r="EA779" s="269">
        <f t="shared" si="2055"/>
        <v>10644823.531628119</v>
      </c>
      <c r="EB779" s="196">
        <f>'Detailed Budget'!$AC$200</f>
        <v>4683135004.5951529</v>
      </c>
      <c r="EC779" s="269">
        <f t="shared" si="2056"/>
        <v>2661205.8829070297</v>
      </c>
      <c r="ED779" s="269">
        <f t="shared" si="1978"/>
        <v>13306029.414535148</v>
      </c>
      <c r="EE779" s="196">
        <f>'Detailed Budget'!$AC$161</f>
        <v>251147290106.36197</v>
      </c>
      <c r="EF779" s="269">
        <f t="shared" si="2057"/>
        <v>140891796.20193145</v>
      </c>
      <c r="EG779" s="196">
        <f>'Detailed Budget'!$AC$163</f>
        <v>15696705631.647623</v>
      </c>
      <c r="EH779" s="269">
        <f t="shared" si="2058"/>
        <v>8805737.2626207154</v>
      </c>
      <c r="EI779" s="269">
        <f t="shared" si="1979"/>
        <v>149697533.46455216</v>
      </c>
      <c r="EJ779" s="196">
        <f>'Detailed Budget'!$AC$204</f>
        <v>45012172507.531975</v>
      </c>
      <c r="EK779" s="269">
        <f t="shared" si="2059"/>
        <v>24603415.861374043</v>
      </c>
      <c r="EL779" s="201">
        <f>'Detailed Budget'!$AC$206</f>
        <v>11253043126.882994</v>
      </c>
      <c r="EM779" s="269">
        <f t="shared" si="2060"/>
        <v>6150853.9653435107</v>
      </c>
      <c r="EN779" s="269">
        <f t="shared" si="1980"/>
        <v>30754269.826717556</v>
      </c>
      <c r="EO779" s="140">
        <f>'Detailed Budget'!$AC$209</f>
        <v>135789361677.54817</v>
      </c>
      <c r="EP779" s="269">
        <f t="shared" si="2061"/>
        <v>63445645.47255706</v>
      </c>
      <c r="EQ779" s="196">
        <f>'Detailed Budget'!$AC$211</f>
        <v>33947340419.387043</v>
      </c>
      <c r="ER779" s="269">
        <f t="shared" si="2062"/>
        <v>15861411.368139265</v>
      </c>
      <c r="ES779" s="269">
        <f t="shared" si="1981"/>
        <v>79307056.84069632</v>
      </c>
      <c r="ET779" s="196">
        <f>'Detailed Budget'!$AC$214</f>
        <v>22239745544.201103</v>
      </c>
      <c r="EU779" s="269">
        <f t="shared" si="2063"/>
        <v>10091630.837444354</v>
      </c>
      <c r="EV779" s="140">
        <f>'Detailed Budget'!$AC$217</f>
        <v>5559936386.0502758</v>
      </c>
      <c r="EW779" s="269">
        <f t="shared" si="2064"/>
        <v>2522907.7093610885</v>
      </c>
      <c r="EX779" s="269">
        <f t="shared" si="1982"/>
        <v>12614538.546805441</v>
      </c>
      <c r="EY779" s="196">
        <f>'Detailed Budget'!$AC$219</f>
        <v>372777004.58170313</v>
      </c>
      <c r="EZ779" s="269">
        <f t="shared" si="2065"/>
        <v>177077.01878929249</v>
      </c>
      <c r="FA779" s="196">
        <f>'Detailed Budget'!$AC$222</f>
        <v>93194251.145425782</v>
      </c>
      <c r="FB779" s="269">
        <f t="shared" si="2066"/>
        <v>44269.254697323122</v>
      </c>
      <c r="FC779" s="269">
        <f t="shared" si="1983"/>
        <v>221346.27348661562</v>
      </c>
      <c r="FD779" s="269"/>
      <c r="FE779" s="269">
        <f t="shared" si="1984"/>
        <v>122897211.48770593</v>
      </c>
      <c r="FF779" s="140">
        <f>'Detailed Budget'!$AC$165</f>
        <v>14927760000</v>
      </c>
      <c r="FG779" s="1087">
        <f t="shared" si="2043"/>
        <v>167639931.50923479</v>
      </c>
      <c r="FH779" s="269">
        <f t="shared" si="2067"/>
        <v>18657579.820474949</v>
      </c>
      <c r="FJ779" s="140">
        <f>'Detailed Budget'!$AC$235</f>
        <v>3623696172</v>
      </c>
      <c r="FK779" s="269">
        <f t="shared" si="2068"/>
        <v>4681778</v>
      </c>
      <c r="FL779" s="269">
        <f t="shared" si="2044"/>
        <v>4681778</v>
      </c>
      <c r="FO779" s="607"/>
      <c r="FP779" s="607"/>
      <c r="FQ779" s="607"/>
      <c r="FR779" s="269">
        <f>'Detailed Budget'!$AC$257</f>
        <v>13636439388</v>
      </c>
      <c r="FS779" s="269">
        <f t="shared" si="2069"/>
        <v>9493692</v>
      </c>
      <c r="FT779" s="269">
        <f t="shared" si="2045"/>
        <v>9493692</v>
      </c>
      <c r="FU779" s="269"/>
      <c r="FV779" s="269"/>
      <c r="FW779" s="269"/>
      <c r="FX779" s="140">
        <f>'Detailed Budget'!$AC$278</f>
        <v>1114560000</v>
      </c>
      <c r="FY779" s="269">
        <f t="shared" si="2070"/>
        <v>1440000</v>
      </c>
      <c r="FZ779" s="269">
        <f t="shared" si="2071"/>
        <v>1440000</v>
      </c>
      <c r="GB779" s="269">
        <f t="shared" si="2094"/>
        <v>603061740.50752091</v>
      </c>
      <c r="GC779" s="887">
        <f t="shared" si="1985"/>
        <v>376913.58781720058</v>
      </c>
      <c r="GD779" s="1078">
        <f t="shared" si="2095"/>
        <v>3.383969324720067E-4</v>
      </c>
    </row>
    <row r="780" spans="1:186" hidden="1" outlineLevel="1">
      <c r="A780" s="211" t="s">
        <v>1637</v>
      </c>
      <c r="B780" s="212" t="s">
        <v>1638</v>
      </c>
      <c r="C780" s="213" t="s">
        <v>215</v>
      </c>
      <c r="D780" s="214"/>
      <c r="E780" s="213"/>
      <c r="F780" s="213"/>
      <c r="G780" s="213" t="s">
        <v>215</v>
      </c>
      <c r="H780" s="213" t="s">
        <v>215</v>
      </c>
      <c r="I780" s="214" t="s">
        <v>215</v>
      </c>
      <c r="J780" s="214"/>
      <c r="K780" s="213"/>
      <c r="L780" s="213"/>
      <c r="M780" s="214"/>
      <c r="N780" s="213" t="s">
        <v>215</v>
      </c>
      <c r="O780" s="214"/>
      <c r="P780" s="213"/>
      <c r="Q780" s="214"/>
      <c r="R780" s="214" t="s">
        <v>215</v>
      </c>
      <c r="S780" s="214"/>
      <c r="T780" s="214"/>
      <c r="U780" s="215">
        <f t="shared" si="1905"/>
        <v>6</v>
      </c>
      <c r="V780" s="845" t="s">
        <v>216</v>
      </c>
      <c r="W780" s="216">
        <v>228383</v>
      </c>
      <c r="X780" s="217">
        <v>3.01</v>
      </c>
      <c r="Y780" s="218">
        <f t="shared" si="1965"/>
        <v>1.0301</v>
      </c>
      <c r="Z780" s="196">
        <v>19</v>
      </c>
      <c r="AA780" s="218">
        <f t="shared" si="1966"/>
        <v>1.7567435038184733</v>
      </c>
      <c r="AB780" s="196">
        <f t="shared" si="1996"/>
        <v>401210.3516325744</v>
      </c>
      <c r="AC780">
        <v>12.7</v>
      </c>
      <c r="AD780" s="196">
        <f t="shared" si="1997"/>
        <v>50953.714657336946</v>
      </c>
      <c r="AE780" s="196">
        <f t="shared" si="1967"/>
        <v>48406.028924470098</v>
      </c>
      <c r="AF780" s="196">
        <f t="shared" si="2072"/>
        <v>0</v>
      </c>
      <c r="AG780" s="606">
        <f t="shared" si="1988"/>
        <v>2.2380822710187246E-3</v>
      </c>
      <c r="AH780" s="196">
        <f t="shared" si="2096"/>
        <v>20060.517581628723</v>
      </c>
      <c r="AI780" s="248">
        <f t="shared" si="1964"/>
        <v>1.5540579023958076E-3</v>
      </c>
      <c r="AJ780" s="196">
        <f t="shared" si="1968"/>
        <v>71014.232238965662</v>
      </c>
      <c r="AK780" s="196">
        <f t="shared" si="1998"/>
        <v>16048.414065302977</v>
      </c>
      <c r="AL780" s="196">
        <f t="shared" si="1999"/>
        <v>16048.414065302977</v>
      </c>
      <c r="AM780" s="196">
        <f t="shared" si="1969"/>
        <v>32096.828130605954</v>
      </c>
      <c r="AN780" s="627">
        <f t="shared" si="1970"/>
        <v>1.5540579023958076E-3</v>
      </c>
      <c r="AO780" s="196">
        <f t="shared" si="1971"/>
        <v>15245.993362037827</v>
      </c>
      <c r="AP780" s="589">
        <f t="shared" si="1989"/>
        <v>1.5540579023958073E-3</v>
      </c>
      <c r="AQ780" s="196"/>
      <c r="AR780" s="589"/>
      <c r="AS780">
        <v>1</v>
      </c>
      <c r="AT780" s="589">
        <f t="shared" si="1990"/>
        <v>1.2919896640826874E-3</v>
      </c>
      <c r="AU780" s="196">
        <v>15</v>
      </c>
      <c r="AV780" s="245">
        <f t="shared" si="1972"/>
        <v>1.7043517782070218E-3</v>
      </c>
      <c r="AX780" s="245"/>
      <c r="AY780" s="245"/>
      <c r="AZ780" s="196">
        <v>35</v>
      </c>
      <c r="BA780" s="589">
        <f t="shared" si="2073"/>
        <v>1.2824740757026126E-3</v>
      </c>
      <c r="BI780" s="196">
        <v>0</v>
      </c>
      <c r="BK780" s="246">
        <f t="shared" si="2074"/>
        <v>0</v>
      </c>
      <c r="BL780" s="246"/>
      <c r="BM780" s="246">
        <f t="shared" si="2075"/>
        <v>0</v>
      </c>
      <c r="BN780" s="196">
        <v>1</v>
      </c>
      <c r="BO780" s="196">
        <f t="shared" si="2076"/>
        <v>23234.843606157476</v>
      </c>
      <c r="BP780" s="196">
        <f t="shared" si="1973"/>
        <v>23234.843606157476</v>
      </c>
      <c r="BQ780" s="248">
        <f t="shared" si="2077"/>
        <v>2.1735114205447348E-3</v>
      </c>
      <c r="BR780" s="248"/>
      <c r="BS780" s="248"/>
      <c r="BT780" s="276">
        <v>0</v>
      </c>
      <c r="BU780" s="196">
        <f t="shared" si="2078"/>
        <v>0</v>
      </c>
      <c r="BV780" s="264">
        <f t="shared" si="2079"/>
        <v>0</v>
      </c>
      <c r="BW780" s="196">
        <f t="shared" si="2080"/>
        <v>0</v>
      </c>
      <c r="BX780" s="247">
        <f t="shared" si="2081"/>
        <v>0</v>
      </c>
      <c r="BY780" s="196">
        <f t="shared" si="2082"/>
        <v>0</v>
      </c>
      <c r="BZ780" s="620">
        <v>1</v>
      </c>
      <c r="CA780" s="196">
        <f t="shared" si="2083"/>
        <v>122770.36759956778</v>
      </c>
      <c r="CB780" s="196">
        <f t="shared" si="2084"/>
        <v>245540.73519913555</v>
      </c>
      <c r="CC780" s="196">
        <f t="shared" si="1986"/>
        <v>368311.10279870336</v>
      </c>
      <c r="CD780" s="247">
        <f t="shared" si="1974"/>
        <v>1.5540579023958076E-3</v>
      </c>
      <c r="CE780" s="196">
        <f t="shared" si="2085"/>
        <v>36453.385450863963</v>
      </c>
      <c r="CF780" s="247">
        <f t="shared" si="1975"/>
        <v>1.5741705518164052E-3</v>
      </c>
      <c r="CG780" s="196">
        <f t="shared" si="2047"/>
        <v>60983.973448151308</v>
      </c>
      <c r="CH780" s="589">
        <f t="shared" si="1991"/>
        <v>1.5540579023958073E-3</v>
      </c>
      <c r="CI780" s="196">
        <f t="shared" si="2086"/>
        <v>92102.978130420917</v>
      </c>
      <c r="CJ780" s="248">
        <f t="shared" si="1992"/>
        <v>1.5141727266758508E-3</v>
      </c>
      <c r="CK780" s="196">
        <f t="shared" si="2087"/>
        <v>90039.275610581491</v>
      </c>
      <c r="CL780" s="589">
        <f t="shared" si="1993"/>
        <v>1.2943331071909564E-3</v>
      </c>
      <c r="CM780" s="196">
        <f t="shared" si="2088"/>
        <v>8722.546576036073</v>
      </c>
      <c r="CN780" s="589">
        <f t="shared" si="1994"/>
        <v>1.2570180903048031E-3</v>
      </c>
      <c r="CO780" s="196">
        <f t="shared" si="2089"/>
        <v>697.77733011806208</v>
      </c>
      <c r="CP780" s="589">
        <f t="shared" si="1995"/>
        <v>1.3159005671079459E-3</v>
      </c>
      <c r="CQ780" s="196">
        <f>'Detailed Budget'!$AC$12</f>
        <v>292876014141.44696</v>
      </c>
      <c r="CR780" s="269">
        <f t="shared" si="2040"/>
        <v>0</v>
      </c>
      <c r="CS780" s="269">
        <f>'Detailed Budget'!$AC$16</f>
        <v>10488008800.000002</v>
      </c>
      <c r="CT780" s="607">
        <f t="shared" si="2049"/>
        <v>0</v>
      </c>
      <c r="CU780" s="269">
        <f>'Detailed Budget'!$AC$24</f>
        <v>30624985696</v>
      </c>
      <c r="CV780" s="269">
        <f t="shared" si="2050"/>
        <v>0</v>
      </c>
      <c r="CW780" s="269"/>
      <c r="CX780" s="269">
        <f t="shared" si="1987"/>
        <v>0</v>
      </c>
      <c r="CY780" s="196">
        <f>'Detailed Budget'!$AC$97</f>
        <v>74629165494.837845</v>
      </c>
      <c r="CZ780" s="269">
        <f t="shared" si="2051"/>
        <v>162207343.50875312</v>
      </c>
      <c r="DA780" s="269">
        <f>'Detailed Budget'!$AC$100</f>
        <v>14925833098.967569</v>
      </c>
      <c r="DB780" s="269">
        <f t="shared" si="2052"/>
        <v>32441468.701750625</v>
      </c>
      <c r="DC780" s="269">
        <f t="shared" si="1976"/>
        <v>194648812.21050376</v>
      </c>
      <c r="DD780" s="207">
        <v>0</v>
      </c>
      <c r="DE780" s="606">
        <v>0</v>
      </c>
      <c r="DF780" s="269">
        <f>'Detailed Budget'!$AC$147</f>
        <v>5913600671000</v>
      </c>
      <c r="DG780" s="269">
        <f t="shared" si="2042"/>
        <v>0</v>
      </c>
      <c r="DH780" s="269">
        <f>'Detailed Budget'!$AC$153</f>
        <v>226428026880.00003</v>
      </c>
      <c r="DI780" s="269"/>
      <c r="DJ780" s="269">
        <f>'Detailed Budget'!$AC$156</f>
        <v>27713070000</v>
      </c>
      <c r="DK780" s="269"/>
      <c r="DL780" s="269"/>
      <c r="DM780" s="196">
        <f>'Detailed Budget'!$AC$178</f>
        <v>5622683761.6229038</v>
      </c>
      <c r="DN780" s="269">
        <f t="shared" si="2090"/>
        <v>0</v>
      </c>
      <c r="DO780" s="196">
        <f>'Detailed Budget'!$AC$179</f>
        <v>26827890683.128094</v>
      </c>
      <c r="DP780" s="269">
        <f t="shared" si="2091"/>
        <v>0</v>
      </c>
      <c r="DQ780" s="269">
        <f t="shared" si="2041"/>
        <v>0</v>
      </c>
      <c r="DR780" s="269">
        <f>'Detailed Budget'!$AC$181</f>
        <v>50888946855.375237</v>
      </c>
      <c r="DS780" s="269">
        <f t="shared" si="2092"/>
        <v>0</v>
      </c>
      <c r="DT780" s="269">
        <f t="shared" si="2093"/>
        <v>0</v>
      </c>
      <c r="DU780" s="272">
        <f>'Detailed Budget'!$AC$192</f>
        <v>77498869683.252869</v>
      </c>
      <c r="DV780" s="269">
        <f t="shared" si="2053"/>
        <v>120437730.85800199</v>
      </c>
      <c r="DW780" s="140">
        <f>'Detailed Budget'!$AC$194</f>
        <v>2684962805.4134097</v>
      </c>
      <c r="DX780" s="269">
        <f t="shared" si="2054"/>
        <v>4172587.6653915262</v>
      </c>
      <c r="DY780" s="607">
        <f t="shared" si="1977"/>
        <v>124610318.52339351</v>
      </c>
      <c r="DZ780" s="196">
        <f>'Detailed Budget'!$AC$198</f>
        <v>18732540018.380611</v>
      </c>
      <c r="EA780" s="269">
        <f t="shared" si="2055"/>
        <v>29488212.857657101</v>
      </c>
      <c r="EB780" s="196">
        <f>'Detailed Budget'!$AC$200</f>
        <v>4683135004.5951529</v>
      </c>
      <c r="EC780" s="269">
        <f t="shared" si="2056"/>
        <v>7372053.2144142753</v>
      </c>
      <c r="ED780" s="269">
        <f t="shared" si="1978"/>
        <v>36860266.072071373</v>
      </c>
      <c r="EE780" s="196">
        <f>'Detailed Budget'!$AC$161</f>
        <v>251147290106.36197</v>
      </c>
      <c r="EF780" s="269">
        <f t="shared" si="2057"/>
        <v>390297430.85508418</v>
      </c>
      <c r="EG780" s="196">
        <f>'Detailed Budget'!$AC$163</f>
        <v>15696705631.647623</v>
      </c>
      <c r="EH780" s="269">
        <f t="shared" si="2058"/>
        <v>24393589.428442761</v>
      </c>
      <c r="EI780" s="269">
        <f t="shared" si="1979"/>
        <v>414691020.28352696</v>
      </c>
      <c r="EJ780" s="196">
        <f>'Detailed Budget'!$AC$204</f>
        <v>45012172507.531975</v>
      </c>
      <c r="EK780" s="269">
        <f t="shared" si="2059"/>
        <v>68156203.97933346</v>
      </c>
      <c r="EL780" s="201">
        <f>'Detailed Budget'!$AC$206</f>
        <v>11253043126.882994</v>
      </c>
      <c r="EM780" s="269">
        <f t="shared" si="2060"/>
        <v>17039050.994833365</v>
      </c>
      <c r="EN780" s="269">
        <f t="shared" si="1980"/>
        <v>85195254.974166825</v>
      </c>
      <c r="EO780" s="140">
        <f>'Detailed Budget'!$AC$209</f>
        <v>135789361677.54817</v>
      </c>
      <c r="EP780" s="269">
        <f t="shared" si="2061"/>
        <v>175756666.42357749</v>
      </c>
      <c r="EQ780" s="196">
        <f>'Detailed Budget'!$AC$211</f>
        <v>33947340419.387043</v>
      </c>
      <c r="ER780" s="269">
        <f t="shared" si="2062"/>
        <v>43939166.605894372</v>
      </c>
      <c r="ES780" s="269">
        <f t="shared" si="1981"/>
        <v>219695833.02947187</v>
      </c>
      <c r="ET780" s="196">
        <f>'Detailed Budget'!$AC$214</f>
        <v>22239745544.201103</v>
      </c>
      <c r="EU780" s="269">
        <f t="shared" si="2063"/>
        <v>27955762.472836424</v>
      </c>
      <c r="EV780" s="140">
        <f>'Detailed Budget'!$AC$217</f>
        <v>5559936386.0502758</v>
      </c>
      <c r="EW780" s="269">
        <f t="shared" si="2064"/>
        <v>6988940.6182091059</v>
      </c>
      <c r="EX780" s="269">
        <f t="shared" si="1982"/>
        <v>34944703.091045529</v>
      </c>
      <c r="EY780" s="196">
        <f>'Detailed Budget'!$AC$219</f>
        <v>372777004.58170313</v>
      </c>
      <c r="EZ780" s="269">
        <f t="shared" si="2065"/>
        <v>490537.47173386451</v>
      </c>
      <c r="FA780" s="196">
        <f>'Detailed Budget'!$AC$222</f>
        <v>93194251.145425782</v>
      </c>
      <c r="FB780" s="269">
        <f t="shared" si="2066"/>
        <v>122634.36793346613</v>
      </c>
      <c r="FC780" s="269">
        <f t="shared" si="1983"/>
        <v>613171.83966733061</v>
      </c>
      <c r="FD780" s="269"/>
      <c r="FE780" s="269">
        <f t="shared" si="1984"/>
        <v>340448962.93435156</v>
      </c>
      <c r="FF780" s="140">
        <f>'Detailed Budget'!$AC$165</f>
        <v>14927760000</v>
      </c>
      <c r="FG780" s="1087">
        <f t="shared" si="2043"/>
        <v>464394921.0712077</v>
      </c>
      <c r="FH780" s="269">
        <f t="shared" si="2067"/>
        <v>25442154.300647654</v>
      </c>
      <c r="FJ780" s="140">
        <f>'Detailed Budget'!$AC$235</f>
        <v>3623696172</v>
      </c>
      <c r="FK780" s="269">
        <f t="shared" si="2068"/>
        <v>4681778</v>
      </c>
      <c r="FL780" s="269">
        <f t="shared" si="2044"/>
        <v>4681778</v>
      </c>
      <c r="FO780" s="607"/>
      <c r="FP780" s="607"/>
      <c r="FQ780" s="607"/>
      <c r="FR780" s="269">
        <f>'Detailed Budget'!$AC$257</f>
        <v>13636439388</v>
      </c>
      <c r="FS780" s="269">
        <f t="shared" si="2069"/>
        <v>17488380</v>
      </c>
      <c r="FT780" s="269">
        <f t="shared" si="2045"/>
        <v>17488380</v>
      </c>
      <c r="FU780" s="269"/>
      <c r="FV780" s="269"/>
      <c r="FW780" s="269"/>
      <c r="FX780" s="140">
        <f>'Detailed Budget'!$AC$278</f>
        <v>1114560000</v>
      </c>
      <c r="FY780" s="269">
        <f t="shared" si="2070"/>
        <v>1440000</v>
      </c>
      <c r="FZ780" s="269">
        <f t="shared" si="2071"/>
        <v>1440000</v>
      </c>
      <c r="GB780" s="269">
        <f t="shared" si="2094"/>
        <v>1624706613.3957026</v>
      </c>
      <c r="GC780" s="887">
        <f t="shared" si="1985"/>
        <v>1015441.6333723142</v>
      </c>
      <c r="GD780" s="1078">
        <f t="shared" si="2095"/>
        <v>9.1167404133015416E-4</v>
      </c>
    </row>
    <row r="781" spans="1:186" hidden="1" outlineLevel="1">
      <c r="A781" s="211" t="s">
        <v>1639</v>
      </c>
      <c r="B781" s="212" t="s">
        <v>1640</v>
      </c>
      <c r="C781" s="213" t="s">
        <v>215</v>
      </c>
      <c r="D781" s="214"/>
      <c r="E781" s="213"/>
      <c r="F781" s="213"/>
      <c r="G781" s="213" t="s">
        <v>215</v>
      </c>
      <c r="H781" s="213" t="s">
        <v>215</v>
      </c>
      <c r="I781" s="214" t="s">
        <v>215</v>
      </c>
      <c r="J781" s="214"/>
      <c r="K781" s="213"/>
      <c r="L781" s="213"/>
      <c r="M781" s="214"/>
      <c r="N781" s="213" t="s">
        <v>215</v>
      </c>
      <c r="O781" s="214"/>
      <c r="P781" s="213"/>
      <c r="Q781" s="214" t="s">
        <v>215</v>
      </c>
      <c r="R781" s="214"/>
      <c r="S781" s="214"/>
      <c r="T781" s="214"/>
      <c r="U781" s="215">
        <f t="shared" si="1905"/>
        <v>6</v>
      </c>
      <c r="V781" s="845" t="s">
        <v>216</v>
      </c>
      <c r="W781" s="216">
        <v>130765</v>
      </c>
      <c r="X781" s="217">
        <v>3.01</v>
      </c>
      <c r="Y781" s="218">
        <f t="shared" si="1965"/>
        <v>1.0301</v>
      </c>
      <c r="Z781" s="196">
        <v>19</v>
      </c>
      <c r="AA781" s="218">
        <f t="shared" si="1966"/>
        <v>1.7567435038184733</v>
      </c>
      <c r="AB781" s="196">
        <f t="shared" ref="AB781:AB813" si="2097">W781*AA781</f>
        <v>229720.56427682267</v>
      </c>
      <c r="AC781">
        <v>12.7</v>
      </c>
      <c r="AD781" s="196">
        <f t="shared" ref="AD781:AD813" si="2098">AB781*AC781/100</f>
        <v>29174.511663156478</v>
      </c>
      <c r="AE781" s="196">
        <f t="shared" si="1967"/>
        <v>27715.786079998652</v>
      </c>
      <c r="AF781" s="196">
        <f t="shared" si="2072"/>
        <v>0</v>
      </c>
      <c r="AG781" s="606">
        <f t="shared" si="1988"/>
        <v>1.2814562737583949E-3</v>
      </c>
      <c r="AH781" s="196">
        <f t="shared" si="2096"/>
        <v>11486.028213841135</v>
      </c>
      <c r="AI781" s="248">
        <f t="shared" si="1964"/>
        <v>8.898052026936671E-4</v>
      </c>
      <c r="AJ781" s="196">
        <f t="shared" si="1968"/>
        <v>40660.539876997616</v>
      </c>
      <c r="AK781" s="196">
        <f t="shared" si="1998"/>
        <v>9188.8225710729075</v>
      </c>
      <c r="AL781" s="196">
        <f t="shared" si="1999"/>
        <v>9188.8225710729075</v>
      </c>
      <c r="AM781" s="196">
        <f t="shared" si="1969"/>
        <v>18377.645142145815</v>
      </c>
      <c r="AN781" s="627">
        <f t="shared" si="1970"/>
        <v>8.898052026936671E-4</v>
      </c>
      <c r="AO781" s="196">
        <f t="shared" si="1971"/>
        <v>8729.3814425192613</v>
      </c>
      <c r="AP781" s="589">
        <f t="shared" si="1989"/>
        <v>8.89805202693667E-4</v>
      </c>
      <c r="AQ781" s="196"/>
      <c r="AR781" s="589"/>
      <c r="AS781">
        <v>1</v>
      </c>
      <c r="AT781" s="589">
        <f t="shared" si="1990"/>
        <v>1.2919896640826874E-3</v>
      </c>
      <c r="AU781" s="196">
        <v>12</v>
      </c>
      <c r="AV781" s="245">
        <f t="shared" si="1972"/>
        <v>1.3634814225656176E-3</v>
      </c>
      <c r="AX781" s="245"/>
      <c r="AY781" s="245"/>
      <c r="AZ781" s="196">
        <v>37</v>
      </c>
      <c r="BA781" s="589">
        <f t="shared" si="2073"/>
        <v>1.3557583085999048E-3</v>
      </c>
      <c r="BI781" s="196">
        <v>0</v>
      </c>
      <c r="BK781" s="246">
        <f t="shared" si="2074"/>
        <v>0</v>
      </c>
      <c r="BL781" s="246"/>
      <c r="BM781" s="246">
        <f t="shared" si="2075"/>
        <v>0</v>
      </c>
      <c r="BN781" s="196">
        <v>1</v>
      </c>
      <c r="BO781" s="196">
        <f t="shared" si="2076"/>
        <v>13303.54853101668</v>
      </c>
      <c r="BP781" s="196">
        <f t="shared" si="1973"/>
        <v>13303.54853101668</v>
      </c>
      <c r="BQ781" s="248">
        <f t="shared" si="2077"/>
        <v>1.244485013803708E-3</v>
      </c>
      <c r="BR781" s="248"/>
      <c r="BS781" s="248"/>
      <c r="BT781" s="276">
        <v>0</v>
      </c>
      <c r="BU781" s="196">
        <f t="shared" si="2078"/>
        <v>0</v>
      </c>
      <c r="BV781" s="264">
        <f t="shared" si="2079"/>
        <v>0</v>
      </c>
      <c r="BW781" s="196">
        <f t="shared" si="2080"/>
        <v>0</v>
      </c>
      <c r="BX781" s="247">
        <f t="shared" si="2081"/>
        <v>0</v>
      </c>
      <c r="BY781" s="196">
        <f t="shared" si="2082"/>
        <v>0</v>
      </c>
      <c r="BZ781" s="620">
        <v>1</v>
      </c>
      <c r="CA781" s="196">
        <f t="shared" si="2083"/>
        <v>70294.492668707739</v>
      </c>
      <c r="CB781" s="196">
        <f t="shared" si="2084"/>
        <v>140588.98533741548</v>
      </c>
      <c r="CC781" s="196">
        <f t="shared" si="1986"/>
        <v>210883.47800612322</v>
      </c>
      <c r="CD781" s="247">
        <f t="shared" si="1974"/>
        <v>8.89805202693667E-4</v>
      </c>
      <c r="CE781" s="196">
        <f t="shared" si="2085"/>
        <v>20872.074315873891</v>
      </c>
      <c r="CF781" s="247">
        <f t="shared" si="1975"/>
        <v>9.0132107997649685E-4</v>
      </c>
      <c r="CG781" s="196">
        <f t="shared" si="2047"/>
        <v>34917.525770077045</v>
      </c>
      <c r="CH781" s="589">
        <f t="shared" si="1991"/>
        <v>8.89805202693667E-4</v>
      </c>
      <c r="CI781" s="196">
        <f t="shared" si="2086"/>
        <v>52735.299629238994</v>
      </c>
      <c r="CJ781" s="248">
        <f t="shared" si="1992"/>
        <v>8.6696819204480017E-4</v>
      </c>
      <c r="CK781" s="196">
        <f t="shared" si="2087"/>
        <v>51553.687775437254</v>
      </c>
      <c r="CL781" s="589">
        <f t="shared" si="1993"/>
        <v>7.4109486591307321E-4</v>
      </c>
      <c r="CM781" s="196">
        <f t="shared" si="2088"/>
        <v>4994.2587802741755</v>
      </c>
      <c r="CN781" s="589">
        <f t="shared" si="1994"/>
        <v>7.1972944824574326E-4</v>
      </c>
      <c r="CO781" s="196">
        <f t="shared" si="2089"/>
        <v>399.52558891374741</v>
      </c>
      <c r="CP781" s="589">
        <f t="shared" si="1995"/>
        <v>7.534437224218551E-4</v>
      </c>
      <c r="CQ781" s="196">
        <f>'Detailed Budget'!$AC$12</f>
        <v>292876014141.44696</v>
      </c>
      <c r="CR781" s="269">
        <f t="shared" si="2040"/>
        <v>0</v>
      </c>
      <c r="CS781" s="269">
        <f>'Detailed Budget'!$AC$16</f>
        <v>10488008800.000002</v>
      </c>
      <c r="CT781" s="607">
        <f t="shared" si="2049"/>
        <v>0</v>
      </c>
      <c r="CU781" s="269">
        <f>'Detailed Budget'!$AC$24</f>
        <v>30624985696</v>
      </c>
      <c r="CV781" s="269">
        <f t="shared" si="2050"/>
        <v>0</v>
      </c>
      <c r="CW781" s="269"/>
      <c r="CX781" s="269">
        <f t="shared" si="1987"/>
        <v>0</v>
      </c>
      <c r="CY781" s="196">
        <f>'Detailed Budget'!$AC$97</f>
        <v>74629165494.837845</v>
      </c>
      <c r="CZ781" s="269">
        <f t="shared" si="2051"/>
        <v>92874878.051002488</v>
      </c>
      <c r="DA781" s="269">
        <f>'Detailed Budget'!$AC$100</f>
        <v>14925833098.967569</v>
      </c>
      <c r="DB781" s="269">
        <f t="shared" si="2052"/>
        <v>18574975.610200498</v>
      </c>
      <c r="DC781" s="269">
        <f t="shared" si="1976"/>
        <v>111449853.66120298</v>
      </c>
      <c r="DD781" s="207">
        <v>0</v>
      </c>
      <c r="DE781" s="606">
        <v>0</v>
      </c>
      <c r="DF781" s="269">
        <f>'Detailed Budget'!$AC$147</f>
        <v>5913600671000</v>
      </c>
      <c r="DG781" s="269">
        <f t="shared" si="2042"/>
        <v>0</v>
      </c>
      <c r="DH781" s="269">
        <f>'Detailed Budget'!$AC$153</f>
        <v>226428026880.00003</v>
      </c>
      <c r="DI781" s="269"/>
      <c r="DJ781" s="269">
        <f>'Detailed Budget'!$AC$156</f>
        <v>27713070000</v>
      </c>
      <c r="DK781" s="269"/>
      <c r="DL781" s="269"/>
      <c r="DM781" s="196">
        <f>'Detailed Budget'!$AC$178</f>
        <v>5622683761.6229038</v>
      </c>
      <c r="DN781" s="269">
        <f t="shared" si="2090"/>
        <v>0</v>
      </c>
      <c r="DO781" s="196">
        <f>'Detailed Budget'!$AC$179</f>
        <v>26827890683.128094</v>
      </c>
      <c r="DP781" s="269">
        <f t="shared" si="2091"/>
        <v>0</v>
      </c>
      <c r="DQ781" s="269">
        <f t="shared" si="2041"/>
        <v>0</v>
      </c>
      <c r="DR781" s="269">
        <f>'Detailed Budget'!$AC$181</f>
        <v>50888946855.375237</v>
      </c>
      <c r="DS781" s="269">
        <f t="shared" si="2092"/>
        <v>0</v>
      </c>
      <c r="DT781" s="269">
        <f t="shared" si="2093"/>
        <v>0</v>
      </c>
      <c r="DU781" s="272">
        <f>'Detailed Budget'!$AC$192</f>
        <v>77498869683.252869</v>
      </c>
      <c r="DV781" s="269">
        <f t="shared" si="2053"/>
        <v>68958897.447036907</v>
      </c>
      <c r="DW781" s="140">
        <f>'Detailed Budget'!$AC$194</f>
        <v>2684962805.4134097</v>
      </c>
      <c r="DX781" s="269">
        <f t="shared" si="2054"/>
        <v>2389093.8732958362</v>
      </c>
      <c r="DY781" s="607">
        <f t="shared" si="1977"/>
        <v>71347991.320332736</v>
      </c>
      <c r="DZ781" s="196">
        <f>'Detailed Budget'!$AC$198</f>
        <v>18732540018.380611</v>
      </c>
      <c r="EA781" s="269">
        <f t="shared" si="2055"/>
        <v>16884033.200069759</v>
      </c>
      <c r="EB781" s="196">
        <f>'Detailed Budget'!$AC$200</f>
        <v>4683135004.5951529</v>
      </c>
      <c r="EC781" s="269">
        <f t="shared" si="2056"/>
        <v>4221008.3000174398</v>
      </c>
      <c r="ED781" s="269">
        <f t="shared" si="1978"/>
        <v>21105041.500087198</v>
      </c>
      <c r="EE781" s="196">
        <f>'Detailed Budget'!$AC$161</f>
        <v>251147290106.36197</v>
      </c>
      <c r="EF781" s="269">
        <f t="shared" si="2057"/>
        <v>223472165.3790566</v>
      </c>
      <c r="EG781" s="196">
        <f>'Detailed Budget'!$AC$163</f>
        <v>15696705631.647623</v>
      </c>
      <c r="EH781" s="269">
        <f t="shared" si="2058"/>
        <v>13967010.336191038</v>
      </c>
      <c r="EI781" s="269">
        <f t="shared" si="1979"/>
        <v>237439175.71524763</v>
      </c>
      <c r="EJ781" s="196">
        <f>'Detailed Budget'!$AC$204</f>
        <v>45012172507.531975</v>
      </c>
      <c r="EK781" s="269">
        <f t="shared" si="2059"/>
        <v>39024121.818863653</v>
      </c>
      <c r="EL781" s="201">
        <f>'Detailed Budget'!$AC$206</f>
        <v>11253043126.882994</v>
      </c>
      <c r="EM781" s="269">
        <f t="shared" si="2060"/>
        <v>9756030.4547159132</v>
      </c>
      <c r="EN781" s="269">
        <f t="shared" si="1980"/>
        <v>48780152.273579568</v>
      </c>
      <c r="EO781" s="140">
        <f>'Detailed Budget'!$AC$209</f>
        <v>135789361677.54817</v>
      </c>
      <c r="EP781" s="269">
        <f t="shared" si="2061"/>
        <v>100632798.78484437</v>
      </c>
      <c r="EQ781" s="196">
        <f>'Detailed Budget'!$AC$211</f>
        <v>33947340419.387043</v>
      </c>
      <c r="ER781" s="269">
        <f t="shared" si="2062"/>
        <v>25158199.696211092</v>
      </c>
      <c r="ES781" s="269">
        <f t="shared" si="1981"/>
        <v>125790998.48105547</v>
      </c>
      <c r="ET781" s="196">
        <f>'Detailed Budget'!$AC$214</f>
        <v>22239745544.201103</v>
      </c>
      <c r="EU781" s="269">
        <f t="shared" si="2063"/>
        <v>16006599.789653588</v>
      </c>
      <c r="EV781" s="140">
        <f>'Detailed Budget'!$AC$217</f>
        <v>5559936386.0502758</v>
      </c>
      <c r="EW781" s="269">
        <f t="shared" si="2064"/>
        <v>4001649.947413397</v>
      </c>
      <c r="EX781" s="269">
        <f t="shared" si="1982"/>
        <v>20008249.737066984</v>
      </c>
      <c r="EY781" s="196">
        <f>'Detailed Budget'!$AC$219</f>
        <v>372777004.58170313</v>
      </c>
      <c r="EZ781" s="269">
        <f t="shared" si="2065"/>
        <v>280866.49396530731</v>
      </c>
      <c r="FA781" s="196">
        <f>'Detailed Budget'!$AC$222</f>
        <v>93194251.145425782</v>
      </c>
      <c r="FB781" s="269">
        <f t="shared" si="2066"/>
        <v>70216.623491326827</v>
      </c>
      <c r="FC781" s="269">
        <f t="shared" si="1983"/>
        <v>351083.11745663412</v>
      </c>
      <c r="FD781" s="269"/>
      <c r="FE781" s="269">
        <f t="shared" si="1984"/>
        <v>194930483.60915866</v>
      </c>
      <c r="FF781" s="140">
        <f>'Detailed Budget'!$AC$165</f>
        <v>14927760000</v>
      </c>
      <c r="FG781" s="1087">
        <f t="shared" si="2043"/>
        <v>265898082.84275305</v>
      </c>
      <c r="FH781" s="269">
        <f t="shared" si="2067"/>
        <v>20353723.440518126</v>
      </c>
      <c r="FJ781" s="140">
        <f>'Detailed Budget'!$AC$235</f>
        <v>3623696172</v>
      </c>
      <c r="FK781" s="269">
        <f t="shared" si="2068"/>
        <v>4681778</v>
      </c>
      <c r="FL781" s="269">
        <f t="shared" si="2044"/>
        <v>4681778</v>
      </c>
      <c r="FO781" s="607"/>
      <c r="FP781" s="607"/>
      <c r="FQ781" s="607"/>
      <c r="FR781" s="269">
        <f>'Detailed Budget'!$AC$257</f>
        <v>13636439388</v>
      </c>
      <c r="FS781" s="269">
        <f t="shared" si="2069"/>
        <v>18487716</v>
      </c>
      <c r="FT781" s="269">
        <f t="shared" si="2045"/>
        <v>18487716</v>
      </c>
      <c r="FU781" s="269"/>
      <c r="FV781" s="269"/>
      <c r="FW781" s="269"/>
      <c r="FX781" s="140">
        <f>'Detailed Budget'!$AC$278</f>
        <v>1114560000</v>
      </c>
      <c r="FY781" s="269">
        <f t="shared" si="2070"/>
        <v>1440000</v>
      </c>
      <c r="FZ781" s="269">
        <f t="shared" si="2071"/>
        <v>1440000</v>
      </c>
      <c r="GB781" s="269">
        <f t="shared" si="2094"/>
        <v>947133846.08930039</v>
      </c>
      <c r="GC781" s="887">
        <f t="shared" si="1985"/>
        <v>591958.6538058127</v>
      </c>
      <c r="GD781" s="1078">
        <f t="shared" si="2095"/>
        <v>5.3146662543590074E-4</v>
      </c>
    </row>
    <row r="782" spans="1:186" hidden="1" outlineLevel="1">
      <c r="A782" s="211" t="s">
        <v>1641</v>
      </c>
      <c r="B782" s="212" t="s">
        <v>1642</v>
      </c>
      <c r="C782" s="213" t="s">
        <v>215</v>
      </c>
      <c r="D782" s="214"/>
      <c r="E782" s="213"/>
      <c r="F782" s="213"/>
      <c r="G782" s="213" t="s">
        <v>215</v>
      </c>
      <c r="H782" s="213" t="s">
        <v>215</v>
      </c>
      <c r="I782" s="214" t="s">
        <v>215</v>
      </c>
      <c r="J782" s="214"/>
      <c r="K782" s="213"/>
      <c r="L782" s="213"/>
      <c r="M782" s="214"/>
      <c r="N782" s="213"/>
      <c r="O782" s="214" t="s">
        <v>215</v>
      </c>
      <c r="P782" s="213"/>
      <c r="Q782" s="214" t="s">
        <v>215</v>
      </c>
      <c r="R782" s="214"/>
      <c r="S782" s="214"/>
      <c r="T782" s="214"/>
      <c r="U782" s="215">
        <f t="shared" ref="U782:U847" si="2099">COUNTA(C782:T782)</f>
        <v>6</v>
      </c>
      <c r="V782" s="845" t="s">
        <v>216</v>
      </c>
      <c r="W782" s="216">
        <v>360268</v>
      </c>
      <c r="X782" s="217">
        <v>3.01</v>
      </c>
      <c r="Y782" s="218">
        <f t="shared" si="1965"/>
        <v>1.0301</v>
      </c>
      <c r="Z782" s="196">
        <v>19</v>
      </c>
      <c r="AA782" s="218">
        <f t="shared" si="1966"/>
        <v>1.7567435038184733</v>
      </c>
      <c r="AB782" s="196">
        <f t="shared" si="2097"/>
        <v>632898.46863367374</v>
      </c>
      <c r="AC782">
        <v>12.7</v>
      </c>
      <c r="AD782" s="196">
        <f t="shared" si="2098"/>
        <v>80378.105516476557</v>
      </c>
      <c r="AE782" s="196">
        <f t="shared" si="1967"/>
        <v>76359.200240652732</v>
      </c>
      <c r="AF782" s="196">
        <f t="shared" si="2072"/>
        <v>0</v>
      </c>
      <c r="AG782" s="606">
        <f t="shared" si="1988"/>
        <v>3.5305141959575529E-3</v>
      </c>
      <c r="AH782" s="196">
        <f t="shared" si="2096"/>
        <v>31644.923431683688</v>
      </c>
      <c r="AI782" s="248">
        <f t="shared" si="1964"/>
        <v>2.451484271510282E-3</v>
      </c>
      <c r="AJ782" s="196">
        <f t="shared" si="1968"/>
        <v>112023.02894816024</v>
      </c>
      <c r="AK782" s="196">
        <f t="shared" si="1998"/>
        <v>25315.93874534695</v>
      </c>
      <c r="AL782" s="196">
        <f t="shared" si="1999"/>
        <v>25315.93874534695</v>
      </c>
      <c r="AM782" s="196">
        <f t="shared" si="1969"/>
        <v>50631.8774906939</v>
      </c>
      <c r="AN782" s="627">
        <f t="shared" si="1970"/>
        <v>2.451484271510282E-3</v>
      </c>
      <c r="AO782" s="196">
        <f t="shared" si="1971"/>
        <v>24050.141808079603</v>
      </c>
      <c r="AP782" s="589">
        <f t="shared" si="1989"/>
        <v>2.451484271510282E-3</v>
      </c>
      <c r="AQ782" s="196"/>
      <c r="AR782" s="589"/>
      <c r="AS782">
        <v>1</v>
      </c>
      <c r="AT782" s="589">
        <f t="shared" si="1990"/>
        <v>1.2919896640826874E-3</v>
      </c>
      <c r="AU782" s="196">
        <v>11</v>
      </c>
      <c r="AV782" s="245">
        <f t="shared" si="1972"/>
        <v>1.2498579706851495E-3</v>
      </c>
      <c r="AX782" s="245"/>
      <c r="AY782" s="245"/>
      <c r="AZ782" s="196">
        <v>37</v>
      </c>
      <c r="BA782" s="589">
        <f t="shared" si="2073"/>
        <v>1.3557583085999048E-3</v>
      </c>
      <c r="BI782" s="196">
        <v>0</v>
      </c>
      <c r="BK782" s="246">
        <f t="shared" si="2074"/>
        <v>0</v>
      </c>
      <c r="BL782" s="246"/>
      <c r="BM782" s="246">
        <f t="shared" si="2075"/>
        <v>0</v>
      </c>
      <c r="BN782" s="196">
        <v>1</v>
      </c>
      <c r="BO782" s="196">
        <f t="shared" si="2076"/>
        <v>36652.336803979022</v>
      </c>
      <c r="BP782" s="196">
        <f t="shared" si="1973"/>
        <v>36652.336803979022</v>
      </c>
      <c r="BQ782" s="248">
        <f t="shared" si="2077"/>
        <v>3.4286554273164397E-3</v>
      </c>
      <c r="BR782" s="248"/>
      <c r="BS782" s="248"/>
      <c r="BT782" s="276">
        <v>0</v>
      </c>
      <c r="BU782" s="196">
        <f t="shared" si="2078"/>
        <v>0</v>
      </c>
      <c r="BV782" s="264">
        <f t="shared" si="2079"/>
        <v>0</v>
      </c>
      <c r="BW782" s="196">
        <f t="shared" si="2080"/>
        <v>0</v>
      </c>
      <c r="BX782" s="247">
        <f t="shared" si="2081"/>
        <v>0</v>
      </c>
      <c r="BY782" s="196">
        <f t="shared" si="2082"/>
        <v>0</v>
      </c>
      <c r="BZ782" s="620">
        <v>1</v>
      </c>
      <c r="CA782" s="196">
        <f t="shared" si="2083"/>
        <v>193666.93140190415</v>
      </c>
      <c r="CB782" s="196">
        <f t="shared" si="2084"/>
        <v>387333.8628038083</v>
      </c>
      <c r="CC782" s="196">
        <f t="shared" si="1986"/>
        <v>581000.79420571239</v>
      </c>
      <c r="CD782" s="247">
        <f t="shared" si="1974"/>
        <v>2.4514842715102816E-3</v>
      </c>
      <c r="CE782" s="196">
        <f t="shared" si="2085"/>
        <v>57504.228728109614</v>
      </c>
      <c r="CF782" s="247">
        <f t="shared" si="1975"/>
        <v>2.4832114315066914E-3</v>
      </c>
      <c r="CG782" s="196">
        <f t="shared" si="2047"/>
        <v>96200.567232318412</v>
      </c>
      <c r="CH782" s="589">
        <f t="shared" si="1991"/>
        <v>2.451484271510282E-3</v>
      </c>
      <c r="CI782" s="196">
        <f t="shared" si="2086"/>
        <v>145289.95470367969</v>
      </c>
      <c r="CJ782" s="248">
        <f t="shared" si="1992"/>
        <v>2.3885664865338284E-3</v>
      </c>
      <c r="CK782" s="196">
        <f t="shared" si="2087"/>
        <v>142034.51984461612</v>
      </c>
      <c r="CL782" s="589">
        <f t="shared" si="1993"/>
        <v>2.0417754380206554E-3</v>
      </c>
      <c r="CM782" s="196">
        <f t="shared" si="2088"/>
        <v>13759.581097784701</v>
      </c>
      <c r="CN782" s="589">
        <f t="shared" si="1994"/>
        <v>1.9829120090283899E-3</v>
      </c>
      <c r="CO782" s="196">
        <f t="shared" si="2089"/>
        <v>1100.7248489028252</v>
      </c>
      <c r="CP782" s="589">
        <f t="shared" si="1995"/>
        <v>2.0757975221923058E-3</v>
      </c>
      <c r="CQ782" s="196">
        <f>'Detailed Budget'!$AC$12</f>
        <v>292876014141.44696</v>
      </c>
      <c r="CR782" s="269">
        <f t="shared" si="2040"/>
        <v>0</v>
      </c>
      <c r="CS782" s="269">
        <f>'Detailed Budget'!$AC$16</f>
        <v>10488008800.000002</v>
      </c>
      <c r="CT782" s="607">
        <f t="shared" si="2049"/>
        <v>0</v>
      </c>
      <c r="CU782" s="269">
        <f>'Detailed Budget'!$AC$24</f>
        <v>30624985696</v>
      </c>
      <c r="CV782" s="269">
        <f t="shared" si="2050"/>
        <v>0</v>
      </c>
      <c r="CW782" s="269"/>
      <c r="CX782" s="269">
        <f t="shared" si="1987"/>
        <v>0</v>
      </c>
      <c r="CY782" s="196">
        <f>'Detailed Budget'!$AC$97</f>
        <v>74629165494.837845</v>
      </c>
      <c r="CZ782" s="269">
        <f t="shared" si="2051"/>
        <v>255877693.30997255</v>
      </c>
      <c r="DA782" s="269">
        <f>'Detailed Budget'!$AC$100</f>
        <v>14925833098.967569</v>
      </c>
      <c r="DB782" s="269">
        <f t="shared" si="2052"/>
        <v>51175538.661994509</v>
      </c>
      <c r="DC782" s="269">
        <f t="shared" si="1976"/>
        <v>307053231.97196704</v>
      </c>
      <c r="DD782" s="207">
        <v>0</v>
      </c>
      <c r="DE782" s="606">
        <v>0</v>
      </c>
      <c r="DF782" s="269">
        <f>'Detailed Budget'!$AC$147</f>
        <v>5913600671000</v>
      </c>
      <c r="DG782" s="269">
        <f t="shared" si="2042"/>
        <v>0</v>
      </c>
      <c r="DH782" s="269">
        <f>'Detailed Budget'!$AC$153</f>
        <v>226428026880.00003</v>
      </c>
      <c r="DI782" s="269"/>
      <c r="DJ782" s="269">
        <f>'Detailed Budget'!$AC$156</f>
        <v>27713070000</v>
      </c>
      <c r="DK782" s="269"/>
      <c r="DL782" s="269"/>
      <c r="DM782" s="196">
        <f>'Detailed Budget'!$AC$178</f>
        <v>5622683761.6229038</v>
      </c>
      <c r="DN782" s="269">
        <f t="shared" si="2090"/>
        <v>0</v>
      </c>
      <c r="DO782" s="196">
        <f>'Detailed Budget'!$AC$179</f>
        <v>26827890683.128094</v>
      </c>
      <c r="DP782" s="269">
        <f t="shared" si="2091"/>
        <v>0</v>
      </c>
      <c r="DQ782" s="269">
        <f t="shared" si="2041"/>
        <v>0</v>
      </c>
      <c r="DR782" s="269">
        <f>'Detailed Budget'!$AC$181</f>
        <v>50888946855.375237</v>
      </c>
      <c r="DS782" s="269">
        <f t="shared" si="2092"/>
        <v>0</v>
      </c>
      <c r="DT782" s="269">
        <f t="shared" si="2093"/>
        <v>0</v>
      </c>
      <c r="DU782" s="272">
        <f>'Detailed Budget'!$AC$192</f>
        <v>77498869683.252869</v>
      </c>
      <c r="DV782" s="269">
        <f t="shared" si="2053"/>
        <v>189987260.08831939</v>
      </c>
      <c r="DW782" s="140">
        <f>'Detailed Budget'!$AC$194</f>
        <v>2684962805.4134097</v>
      </c>
      <c r="DX782" s="269">
        <f t="shared" si="2054"/>
        <v>6582144.087061096</v>
      </c>
      <c r="DY782" s="607">
        <f t="shared" si="1977"/>
        <v>196569404.1753805</v>
      </c>
      <c r="DZ782" s="196">
        <f>'Detailed Budget'!$AC$198</f>
        <v>18732540018.380611</v>
      </c>
      <c r="EA782" s="269">
        <f t="shared" si="2055"/>
        <v>46516857.514799304</v>
      </c>
      <c r="EB782" s="196">
        <f>'Detailed Budget'!$AC$200</f>
        <v>4683135004.5951529</v>
      </c>
      <c r="EC782" s="269">
        <f t="shared" si="2056"/>
        <v>11629214.378699826</v>
      </c>
      <c r="ED782" s="269">
        <f t="shared" si="1978"/>
        <v>58146071.893499129</v>
      </c>
      <c r="EE782" s="196">
        <f>'Detailed Budget'!$AC$161</f>
        <v>251147290106.36197</v>
      </c>
      <c r="EF782" s="269">
        <f t="shared" si="2057"/>
        <v>615683631.52817619</v>
      </c>
      <c r="EG782" s="196">
        <f>'Detailed Budget'!$AC$163</f>
        <v>15696705631.647623</v>
      </c>
      <c r="EH782" s="269">
        <f t="shared" si="2058"/>
        <v>38480226.970511012</v>
      </c>
      <c r="EI782" s="269">
        <f t="shared" si="1979"/>
        <v>654163858.49868715</v>
      </c>
      <c r="EJ782" s="196">
        <f>'Detailed Budget'!$AC$204</f>
        <v>45012172507.531975</v>
      </c>
      <c r="EK782" s="269">
        <f t="shared" si="2059"/>
        <v>107514566.73757023</v>
      </c>
      <c r="EL782" s="201">
        <f>'Detailed Budget'!$AC$206</f>
        <v>11253043126.882994</v>
      </c>
      <c r="EM782" s="269">
        <f t="shared" si="2060"/>
        <v>26878641.684392557</v>
      </c>
      <c r="EN782" s="269">
        <f t="shared" si="1980"/>
        <v>134393208.4219628</v>
      </c>
      <c r="EO782" s="140">
        <f>'Detailed Budget'!$AC$209</f>
        <v>135789361677.54817</v>
      </c>
      <c r="EP782" s="269">
        <f t="shared" si="2061"/>
        <v>277251383.41772109</v>
      </c>
      <c r="EQ782" s="196">
        <f>'Detailed Budget'!$AC$211</f>
        <v>33947340419.387043</v>
      </c>
      <c r="ER782" s="269">
        <f t="shared" si="2062"/>
        <v>69312845.854430273</v>
      </c>
      <c r="ES782" s="269">
        <f t="shared" si="1981"/>
        <v>346564229.27215135</v>
      </c>
      <c r="ET782" s="196">
        <f>'Detailed Budget'!$AC$214</f>
        <v>22239745544.201103</v>
      </c>
      <c r="EU782" s="269">
        <f t="shared" si="2063"/>
        <v>44099458.517331995</v>
      </c>
      <c r="EV782" s="140">
        <f>'Detailed Budget'!$AC$217</f>
        <v>5559936386.0502758</v>
      </c>
      <c r="EW782" s="269">
        <f t="shared" si="2064"/>
        <v>11024864.629332999</v>
      </c>
      <c r="EX782" s="269">
        <f t="shared" si="1982"/>
        <v>55124323.146664992</v>
      </c>
      <c r="EY782" s="196">
        <f>'Detailed Budget'!$AC$219</f>
        <v>372777004.58170313</v>
      </c>
      <c r="EZ782" s="269">
        <f t="shared" si="2065"/>
        <v>773809.58244096918</v>
      </c>
      <c r="FA782" s="196">
        <f>'Detailed Budget'!$AC$222</f>
        <v>93194251.145425782</v>
      </c>
      <c r="FB782" s="269">
        <f t="shared" si="2066"/>
        <v>193452.3956102423</v>
      </c>
      <c r="FC782" s="269">
        <f t="shared" si="1983"/>
        <v>967261.97805121145</v>
      </c>
      <c r="FD782" s="269"/>
      <c r="FE782" s="269">
        <f t="shared" si="1984"/>
        <v>537049022.81883037</v>
      </c>
      <c r="FF782" s="140">
        <f>'Detailed Budget'!$AC$165</f>
        <v>14927760000</v>
      </c>
      <c r="FG782" s="1087">
        <f t="shared" si="2043"/>
        <v>732570416.46918464</v>
      </c>
      <c r="FH782" s="269">
        <f t="shared" si="2067"/>
        <v>18657579.820474949</v>
      </c>
      <c r="FJ782" s="140">
        <f>'Detailed Budget'!$AC$235</f>
        <v>3623696172</v>
      </c>
      <c r="FK782" s="269">
        <f t="shared" si="2068"/>
        <v>4681778</v>
      </c>
      <c r="FL782" s="269">
        <f t="shared" si="2044"/>
        <v>4681778</v>
      </c>
      <c r="FO782" s="607"/>
      <c r="FP782" s="607"/>
      <c r="FQ782" s="607"/>
      <c r="FR782" s="269">
        <f>'Detailed Budget'!$AC$257</f>
        <v>13636439388</v>
      </c>
      <c r="FS782" s="269">
        <f t="shared" si="2069"/>
        <v>18487716</v>
      </c>
      <c r="FT782" s="269">
        <f t="shared" si="2045"/>
        <v>18487716</v>
      </c>
      <c r="FU782" s="269"/>
      <c r="FV782" s="269"/>
      <c r="FW782" s="269"/>
      <c r="FX782" s="140">
        <f>'Detailed Budget'!$AC$278</f>
        <v>1114560000</v>
      </c>
      <c r="FY782" s="269">
        <f t="shared" si="2070"/>
        <v>1440000</v>
      </c>
      <c r="FZ782" s="269">
        <f t="shared" si="2071"/>
        <v>1440000</v>
      </c>
      <c r="GB782" s="269">
        <f t="shared" si="2094"/>
        <v>2528819079.6480241</v>
      </c>
      <c r="GC782" s="887">
        <f t="shared" si="1985"/>
        <v>1580511.9247800151</v>
      </c>
      <c r="GD782" s="1078">
        <f t="shared" si="2095"/>
        <v>1.419000015834867E-3</v>
      </c>
    </row>
    <row r="783" spans="1:186" hidden="1" outlineLevel="1">
      <c r="A783" s="211" t="s">
        <v>1643</v>
      </c>
      <c r="B783" s="212" t="s">
        <v>1644</v>
      </c>
      <c r="C783" s="213" t="s">
        <v>215</v>
      </c>
      <c r="D783" s="214"/>
      <c r="E783" s="213"/>
      <c r="F783" s="213"/>
      <c r="G783" s="213" t="s">
        <v>215</v>
      </c>
      <c r="H783" s="213" t="s">
        <v>215</v>
      </c>
      <c r="I783" s="214" t="s">
        <v>215</v>
      </c>
      <c r="J783" s="214"/>
      <c r="K783" s="213"/>
      <c r="L783" s="213"/>
      <c r="M783" s="214" t="s">
        <v>215</v>
      </c>
      <c r="N783" s="213"/>
      <c r="O783" s="214"/>
      <c r="P783" s="213"/>
      <c r="Q783" s="214"/>
      <c r="R783" s="214" t="s">
        <v>215</v>
      </c>
      <c r="S783" s="214"/>
      <c r="T783" s="214"/>
      <c r="U783" s="215">
        <f t="shared" si="2099"/>
        <v>6</v>
      </c>
      <c r="V783" s="845" t="s">
        <v>216</v>
      </c>
      <c r="W783" s="216">
        <v>158256</v>
      </c>
      <c r="X783" s="217">
        <v>3.01</v>
      </c>
      <c r="Y783" s="218">
        <f t="shared" si="1965"/>
        <v>1.0301</v>
      </c>
      <c r="Z783" s="196">
        <v>19</v>
      </c>
      <c r="AA783" s="218">
        <f t="shared" si="1966"/>
        <v>1.7567435038184733</v>
      </c>
      <c r="AB783" s="196">
        <f t="shared" si="2097"/>
        <v>278015.1999402963</v>
      </c>
      <c r="AC783">
        <v>12.7</v>
      </c>
      <c r="AD783" s="196">
        <f t="shared" si="2098"/>
        <v>35307.930392417627</v>
      </c>
      <c r="AE783" s="196">
        <f t="shared" si="1967"/>
        <v>33542.533872796746</v>
      </c>
      <c r="AF783" s="196">
        <f t="shared" si="2072"/>
        <v>0</v>
      </c>
      <c r="AG783" s="606">
        <f t="shared" si="1988"/>
        <v>1.5508595117952704E-3</v>
      </c>
      <c r="AH783" s="196">
        <f t="shared" si="2096"/>
        <v>13900.759997014815</v>
      </c>
      <c r="AI783" s="248">
        <f t="shared" si="1964"/>
        <v>1.0768708152601152E-3</v>
      </c>
      <c r="AJ783" s="196">
        <f t="shared" si="1968"/>
        <v>49208.690389432442</v>
      </c>
      <c r="AK783" s="196">
        <f t="shared" si="1998"/>
        <v>11120.607997611853</v>
      </c>
      <c r="AL783" s="196">
        <f t="shared" si="1999"/>
        <v>11120.607997611853</v>
      </c>
      <c r="AM783" s="196">
        <f t="shared" si="1969"/>
        <v>22241.215995223705</v>
      </c>
      <c r="AN783" s="627">
        <f t="shared" si="1970"/>
        <v>1.0768708152601152E-3</v>
      </c>
      <c r="AO783" s="196">
        <f t="shared" si="1971"/>
        <v>10564.577597731259</v>
      </c>
      <c r="AP783" s="589">
        <f t="shared" si="1989"/>
        <v>1.076870815260115E-3</v>
      </c>
      <c r="AQ783" s="196"/>
      <c r="AR783" s="589"/>
      <c r="AS783">
        <v>1</v>
      </c>
      <c r="AT783" s="589">
        <f t="shared" si="1990"/>
        <v>1.2919896640826874E-3</v>
      </c>
      <c r="AU783" s="196">
        <v>10</v>
      </c>
      <c r="AV783" s="245">
        <f t="shared" si="1972"/>
        <v>1.1362345188046814E-3</v>
      </c>
      <c r="AX783" s="245"/>
      <c r="AY783" s="245"/>
      <c r="AZ783" s="196">
        <v>37</v>
      </c>
      <c r="BA783" s="589">
        <f t="shared" si="2073"/>
        <v>1.3557583085999048E-3</v>
      </c>
      <c r="BI783" s="196">
        <v>0</v>
      </c>
      <c r="BK783" s="246">
        <f t="shared" si="2074"/>
        <v>0</v>
      </c>
      <c r="BL783" s="246"/>
      <c r="BM783" s="246">
        <f t="shared" si="2075"/>
        <v>0</v>
      </c>
      <c r="BN783" s="196">
        <v>1</v>
      </c>
      <c r="BO783" s="196">
        <f t="shared" si="2076"/>
        <v>16100.381419527976</v>
      </c>
      <c r="BP783" s="196">
        <f t="shared" si="1973"/>
        <v>16100.381419527976</v>
      </c>
      <c r="BQ783" s="248">
        <f t="shared" si="2077"/>
        <v>1.5061157063780033E-3</v>
      </c>
      <c r="BR783" s="248"/>
      <c r="BS783" s="248"/>
      <c r="BT783" s="276">
        <v>0</v>
      </c>
      <c r="BU783" s="196">
        <f t="shared" si="2078"/>
        <v>0</v>
      </c>
      <c r="BV783" s="264">
        <f t="shared" si="2079"/>
        <v>0</v>
      </c>
      <c r="BW783" s="196">
        <f t="shared" si="2080"/>
        <v>0</v>
      </c>
      <c r="BX783" s="247">
        <f t="shared" si="2081"/>
        <v>0</v>
      </c>
      <c r="BY783" s="196">
        <f t="shared" si="2082"/>
        <v>0</v>
      </c>
      <c r="BZ783" s="620">
        <v>1</v>
      </c>
      <c r="CA783" s="196">
        <f t="shared" si="2083"/>
        <v>85072.651181730675</v>
      </c>
      <c r="CB783" s="196">
        <f t="shared" si="2084"/>
        <v>170145.30236346135</v>
      </c>
      <c r="CC783" s="196">
        <f t="shared" si="1986"/>
        <v>255217.95354519202</v>
      </c>
      <c r="CD783" s="247">
        <f t="shared" si="1974"/>
        <v>1.0768708152601152E-3</v>
      </c>
      <c r="CE783" s="196">
        <f t="shared" si="2085"/>
        <v>25260.05424183029</v>
      </c>
      <c r="CF783" s="247">
        <f t="shared" si="1975"/>
        <v>1.0908076995584479E-3</v>
      </c>
      <c r="CG783" s="196">
        <f t="shared" si="2047"/>
        <v>42258.310390925035</v>
      </c>
      <c r="CH783" s="589">
        <f t="shared" si="1991"/>
        <v>1.076870815260115E-3</v>
      </c>
      <c r="CI783" s="196">
        <f t="shared" si="2086"/>
        <v>63821.95218999614</v>
      </c>
      <c r="CJ783" s="248">
        <f t="shared" si="1992"/>
        <v>1.0492327320020026E-3</v>
      </c>
      <c r="CK783" s="196">
        <f t="shared" si="2087"/>
        <v>62391.927599813382</v>
      </c>
      <c r="CL783" s="589">
        <f t="shared" si="1993"/>
        <v>8.9689679271930014E-4</v>
      </c>
      <c r="CM783" s="196">
        <f t="shared" si="2088"/>
        <v>6044.2122703404566</v>
      </c>
      <c r="CN783" s="589">
        <f t="shared" si="1994"/>
        <v>8.7103967851931581E-4</v>
      </c>
      <c r="CO783" s="196">
        <f t="shared" si="2089"/>
        <v>483.51869077454978</v>
      </c>
      <c r="CP783" s="589">
        <f t="shared" si="1995"/>
        <v>9.1184177521196866E-4</v>
      </c>
      <c r="CQ783" s="196">
        <f>'Detailed Budget'!$AC$12</f>
        <v>292876014141.44696</v>
      </c>
      <c r="CR783" s="269">
        <f t="shared" si="2040"/>
        <v>0</v>
      </c>
      <c r="CS783" s="269">
        <f>'Detailed Budget'!$AC$16</f>
        <v>10488008800.000002</v>
      </c>
      <c r="CT783" s="607">
        <f t="shared" si="2049"/>
        <v>0</v>
      </c>
      <c r="CU783" s="269">
        <f>'Detailed Budget'!$AC$24</f>
        <v>30624985696</v>
      </c>
      <c r="CV783" s="269">
        <f t="shared" si="2050"/>
        <v>0</v>
      </c>
      <c r="CW783" s="269"/>
      <c r="CX783" s="269">
        <f t="shared" si="1987"/>
        <v>0</v>
      </c>
      <c r="CY783" s="196">
        <f>'Detailed Budget'!$AC$97</f>
        <v>74629165494.837845</v>
      </c>
      <c r="CZ783" s="269">
        <f t="shared" si="2051"/>
        <v>112400158.30565861</v>
      </c>
      <c r="DA783" s="269">
        <f>'Detailed Budget'!$AC$100</f>
        <v>14925833098.967569</v>
      </c>
      <c r="DB783" s="269">
        <f t="shared" si="2052"/>
        <v>22480031.661131725</v>
      </c>
      <c r="DC783" s="269">
        <f t="shared" si="1976"/>
        <v>134880189.96679032</v>
      </c>
      <c r="DD783" s="207">
        <v>0</v>
      </c>
      <c r="DE783" s="606">
        <v>0</v>
      </c>
      <c r="DF783" s="269">
        <f>'Detailed Budget'!$AC$147</f>
        <v>5913600671000</v>
      </c>
      <c r="DG783" s="269">
        <f t="shared" si="2042"/>
        <v>0</v>
      </c>
      <c r="DH783" s="269">
        <f>'Detailed Budget'!$AC$153</f>
        <v>226428026880.00003</v>
      </c>
      <c r="DI783" s="269"/>
      <c r="DJ783" s="269">
        <f>'Detailed Budget'!$AC$156</f>
        <v>27713070000</v>
      </c>
      <c r="DK783" s="269"/>
      <c r="DL783" s="269"/>
      <c r="DM783" s="196">
        <f>'Detailed Budget'!$AC$178</f>
        <v>5622683761.6229038</v>
      </c>
      <c r="DN783" s="269">
        <f t="shared" si="2090"/>
        <v>0</v>
      </c>
      <c r="DO783" s="196">
        <f>'Detailed Budget'!$AC$179</f>
        <v>26827890683.128094</v>
      </c>
      <c r="DP783" s="269">
        <f t="shared" si="2091"/>
        <v>0</v>
      </c>
      <c r="DQ783" s="269">
        <f t="shared" si="2041"/>
        <v>0</v>
      </c>
      <c r="DR783" s="269">
        <f>'Detailed Budget'!$AC$181</f>
        <v>50888946855.375237</v>
      </c>
      <c r="DS783" s="269">
        <f t="shared" si="2092"/>
        <v>0</v>
      </c>
      <c r="DT783" s="269">
        <f t="shared" si="2093"/>
        <v>0</v>
      </c>
      <c r="DU783" s="272">
        <f>'Detailed Budget'!$AC$192</f>
        <v>77498869683.252869</v>
      </c>
      <c r="DV783" s="269">
        <f t="shared" si="2053"/>
        <v>83456270.977541938</v>
      </c>
      <c r="DW783" s="140">
        <f>'Detailed Budget'!$AC$194</f>
        <v>2684962805.4134097</v>
      </c>
      <c r="DX783" s="269">
        <f t="shared" si="2054"/>
        <v>2891358.0852086246</v>
      </c>
      <c r="DY783" s="607">
        <f t="shared" si="1977"/>
        <v>86347629.062750563</v>
      </c>
      <c r="DZ783" s="196">
        <f>'Detailed Budget'!$AC$198</f>
        <v>18732540018.380611</v>
      </c>
      <c r="EA783" s="269">
        <f t="shared" si="2055"/>
        <v>20433598.884336319</v>
      </c>
      <c r="EB783" s="196">
        <f>'Detailed Budget'!$AC$200</f>
        <v>4683135004.5951529</v>
      </c>
      <c r="EC783" s="269">
        <f t="shared" si="2056"/>
        <v>5108399.7210840797</v>
      </c>
      <c r="ED783" s="269">
        <f t="shared" si="1978"/>
        <v>25541998.605420399</v>
      </c>
      <c r="EE783" s="196">
        <f>'Detailed Budget'!$AC$161</f>
        <v>251147290106.36197</v>
      </c>
      <c r="EF783" s="269">
        <f t="shared" si="2057"/>
        <v>270453187.04720664</v>
      </c>
      <c r="EG783" s="196">
        <f>'Detailed Budget'!$AC$163</f>
        <v>15696705631.647623</v>
      </c>
      <c r="EH783" s="269">
        <f t="shared" si="2058"/>
        <v>16903324.190450415</v>
      </c>
      <c r="EI783" s="269">
        <f t="shared" si="1979"/>
        <v>287356511.23765707</v>
      </c>
      <c r="EJ783" s="196">
        <f>'Detailed Budget'!$AC$204</f>
        <v>45012172507.531975</v>
      </c>
      <c r="EK783" s="269">
        <f t="shared" si="2059"/>
        <v>47228244.733423203</v>
      </c>
      <c r="EL783" s="201">
        <f>'Detailed Budget'!$AC$206</f>
        <v>11253043126.882994</v>
      </c>
      <c r="EM783" s="269">
        <f t="shared" si="2060"/>
        <v>11807061.183355801</v>
      </c>
      <c r="EN783" s="269">
        <f t="shared" si="1980"/>
        <v>59035305.916779004</v>
      </c>
      <c r="EO783" s="140">
        <f>'Detailed Budget'!$AC$209</f>
        <v>135789361677.54817</v>
      </c>
      <c r="EP783" s="269">
        <f t="shared" si="2061"/>
        <v>121789042.973994</v>
      </c>
      <c r="EQ783" s="196">
        <f>'Detailed Budget'!$AC$211</f>
        <v>33947340419.387043</v>
      </c>
      <c r="ER783" s="269">
        <f t="shared" si="2062"/>
        <v>30447260.7434985</v>
      </c>
      <c r="ES783" s="269">
        <f t="shared" si="1981"/>
        <v>152236303.71749249</v>
      </c>
      <c r="ET783" s="196">
        <f>'Detailed Budget'!$AC$214</f>
        <v>22239745544.201103</v>
      </c>
      <c r="EU783" s="269">
        <f t="shared" si="2063"/>
        <v>19371700.809172314</v>
      </c>
      <c r="EV783" s="140">
        <f>'Detailed Budget'!$AC$217</f>
        <v>5559936386.0502758</v>
      </c>
      <c r="EW783" s="269">
        <f t="shared" si="2064"/>
        <v>4842925.2022930784</v>
      </c>
      <c r="EX783" s="269">
        <f t="shared" si="1982"/>
        <v>24214626.011465393</v>
      </c>
      <c r="EY783" s="196">
        <f>'Detailed Budget'!$AC$219</f>
        <v>372777004.58170313</v>
      </c>
      <c r="EZ783" s="269">
        <f t="shared" si="2065"/>
        <v>339913.64561598038</v>
      </c>
      <c r="FA783" s="196">
        <f>'Detailed Budget'!$AC$222</f>
        <v>93194251.145425782</v>
      </c>
      <c r="FB783" s="269">
        <f t="shared" si="2066"/>
        <v>84978.411403995095</v>
      </c>
      <c r="FC783" s="269">
        <f t="shared" si="1983"/>
        <v>424892.0570199755</v>
      </c>
      <c r="FD783" s="269"/>
      <c r="FE783" s="269">
        <f t="shared" si="1984"/>
        <v>235911127.70275688</v>
      </c>
      <c r="FF783" s="140">
        <f>'Detailed Budget'!$AC$165</f>
        <v>14927760000</v>
      </c>
      <c r="FG783" s="1087">
        <f t="shared" si="2043"/>
        <v>321798394.05316955</v>
      </c>
      <c r="FH783" s="269">
        <f t="shared" si="2067"/>
        <v>16961436.200431772</v>
      </c>
      <c r="FJ783" s="140">
        <f>'Detailed Budget'!$AC$235</f>
        <v>3623696172</v>
      </c>
      <c r="FK783" s="269">
        <f t="shared" si="2068"/>
        <v>4681778</v>
      </c>
      <c r="FL783" s="269">
        <f t="shared" si="2044"/>
        <v>4681778</v>
      </c>
      <c r="FO783" s="607"/>
      <c r="FP783" s="607"/>
      <c r="FQ783" s="607"/>
      <c r="FR783" s="269">
        <f>'Detailed Budget'!$AC$257</f>
        <v>13636439388</v>
      </c>
      <c r="FS783" s="269">
        <f t="shared" si="2069"/>
        <v>18487716</v>
      </c>
      <c r="FT783" s="269">
        <f t="shared" si="2045"/>
        <v>18487716</v>
      </c>
      <c r="FU783" s="269"/>
      <c r="FV783" s="269"/>
      <c r="FW783" s="269"/>
      <c r="FX783" s="140">
        <f>'Detailed Budget'!$AC$278</f>
        <v>1114560000</v>
      </c>
      <c r="FY783" s="269">
        <f t="shared" si="2070"/>
        <v>1440000</v>
      </c>
      <c r="FZ783" s="269">
        <f t="shared" si="2071"/>
        <v>1440000</v>
      </c>
      <c r="GB783" s="269">
        <f t="shared" si="2094"/>
        <v>1133406780.8289766</v>
      </c>
      <c r="GC783" s="887">
        <f t="shared" si="1985"/>
        <v>708379.23801811039</v>
      </c>
      <c r="GD783" s="1078">
        <f t="shared" si="2095"/>
        <v>6.359902346859533E-4</v>
      </c>
    </row>
    <row r="784" spans="1:186" hidden="1" outlineLevel="1">
      <c r="A784" s="211" t="s">
        <v>1645</v>
      </c>
      <c r="B784" s="212" t="s">
        <v>1646</v>
      </c>
      <c r="C784" s="213" t="s">
        <v>215</v>
      </c>
      <c r="D784" s="214"/>
      <c r="E784" s="213"/>
      <c r="F784" s="213"/>
      <c r="G784" s="213" t="s">
        <v>215</v>
      </c>
      <c r="H784" s="213" t="s">
        <v>215</v>
      </c>
      <c r="I784" s="214" t="s">
        <v>215</v>
      </c>
      <c r="J784" s="214"/>
      <c r="K784" s="213"/>
      <c r="L784" s="213"/>
      <c r="M784" s="214"/>
      <c r="N784" s="213" t="s">
        <v>215</v>
      </c>
      <c r="O784" s="214"/>
      <c r="P784" s="213"/>
      <c r="Q784" s="214"/>
      <c r="R784" s="214" t="s">
        <v>215</v>
      </c>
      <c r="S784" s="214"/>
      <c r="T784" s="214"/>
      <c r="U784" s="215">
        <f t="shared" si="2099"/>
        <v>6</v>
      </c>
      <c r="V784" s="845" t="s">
        <v>216</v>
      </c>
      <c r="W784" s="216">
        <v>129795</v>
      </c>
      <c r="X784" s="217">
        <v>3.01</v>
      </c>
      <c r="Y784" s="218">
        <f t="shared" si="1965"/>
        <v>1.0301</v>
      </c>
      <c r="Z784" s="196">
        <v>19</v>
      </c>
      <c r="AA784" s="218">
        <f t="shared" si="1966"/>
        <v>1.7567435038184733</v>
      </c>
      <c r="AB784" s="196">
        <f t="shared" si="2097"/>
        <v>228016.52307811874</v>
      </c>
      <c r="AC784">
        <v>12.7</v>
      </c>
      <c r="AD784" s="196">
        <f t="shared" si="2098"/>
        <v>28958.098430921076</v>
      </c>
      <c r="AE784" s="196">
        <f t="shared" si="1967"/>
        <v>27510.193509375022</v>
      </c>
      <c r="AF784" s="196">
        <f t="shared" si="2072"/>
        <v>0</v>
      </c>
      <c r="AG784" s="606">
        <f t="shared" si="1988"/>
        <v>1.2719505758610548E-3</v>
      </c>
      <c r="AH784" s="196">
        <f t="shared" si="2096"/>
        <v>11400.826153905939</v>
      </c>
      <c r="AI784" s="248">
        <f t="shared" si="1964"/>
        <v>8.8320472820421769E-4</v>
      </c>
      <c r="AJ784" s="196">
        <f t="shared" si="1968"/>
        <v>40358.924584827015</v>
      </c>
      <c r="AK784" s="196">
        <f t="shared" si="1998"/>
        <v>9120.6609231247494</v>
      </c>
      <c r="AL784" s="196">
        <f t="shared" si="1999"/>
        <v>9120.6609231247494</v>
      </c>
      <c r="AM784" s="196">
        <f t="shared" si="1969"/>
        <v>18241.321846249499</v>
      </c>
      <c r="AN784" s="627">
        <f t="shared" si="1970"/>
        <v>8.8320472820421748E-4</v>
      </c>
      <c r="AO784" s="196">
        <f t="shared" si="1971"/>
        <v>8664.6278769685123</v>
      </c>
      <c r="AP784" s="589">
        <f t="shared" si="1989"/>
        <v>8.8320472820421758E-4</v>
      </c>
      <c r="AQ784" s="196"/>
      <c r="AR784" s="589"/>
      <c r="AS784">
        <v>1</v>
      </c>
      <c r="AT784" s="589">
        <f t="shared" si="1990"/>
        <v>1.2919896640826874E-3</v>
      </c>
      <c r="AU784" s="196">
        <v>10</v>
      </c>
      <c r="AV784" s="245">
        <f t="shared" si="1972"/>
        <v>1.1362345188046814E-3</v>
      </c>
      <c r="AX784" s="245"/>
      <c r="AY784" s="245"/>
      <c r="AZ784" s="196">
        <v>48</v>
      </c>
      <c r="BA784" s="589">
        <f t="shared" si="2073"/>
        <v>1.7588215895350116E-3</v>
      </c>
      <c r="BI784" s="196">
        <v>0</v>
      </c>
      <c r="BK784" s="246">
        <f t="shared" si="2074"/>
        <v>0</v>
      </c>
      <c r="BL784" s="246"/>
      <c r="BM784" s="246">
        <f t="shared" si="2075"/>
        <v>0</v>
      </c>
      <c r="BN784" s="196">
        <v>1</v>
      </c>
      <c r="BO784" s="196">
        <f t="shared" si="2076"/>
        <v>13204.864310658892</v>
      </c>
      <c r="BP784" s="196">
        <f t="shared" si="1973"/>
        <v>13204.864310658892</v>
      </c>
      <c r="BQ784" s="248">
        <f t="shared" si="2077"/>
        <v>1.2352535645367819E-3</v>
      </c>
      <c r="BR784" s="248"/>
      <c r="BS784" s="248"/>
      <c r="BT784" s="276">
        <v>0</v>
      </c>
      <c r="BU784" s="196">
        <f t="shared" si="2078"/>
        <v>0</v>
      </c>
      <c r="BV784" s="264">
        <f t="shared" si="2079"/>
        <v>0</v>
      </c>
      <c r="BW784" s="196">
        <f t="shared" si="2080"/>
        <v>0</v>
      </c>
      <c r="BX784" s="247">
        <f t="shared" si="2081"/>
        <v>0</v>
      </c>
      <c r="BY784" s="196">
        <f t="shared" si="2082"/>
        <v>0</v>
      </c>
      <c r="BZ784" s="620">
        <v>1</v>
      </c>
      <c r="CA784" s="196">
        <f t="shared" si="2083"/>
        <v>69773.056061904324</v>
      </c>
      <c r="CB784" s="196">
        <f t="shared" si="2084"/>
        <v>139546.11212380865</v>
      </c>
      <c r="CC784" s="196">
        <f t="shared" si="1986"/>
        <v>209319.16818571297</v>
      </c>
      <c r="CD784" s="247">
        <f t="shared" si="1974"/>
        <v>8.8320472820421737E-4</v>
      </c>
      <c r="CE784" s="196">
        <f t="shared" si="2085"/>
        <v>20717.247626114415</v>
      </c>
      <c r="CF784" s="247">
        <f t="shared" si="1975"/>
        <v>8.946351820100898E-4</v>
      </c>
      <c r="CG784" s="196">
        <f t="shared" si="2047"/>
        <v>34658.511507874049</v>
      </c>
      <c r="CH784" s="589">
        <f t="shared" si="1991"/>
        <v>8.8320472820421758E-4</v>
      </c>
      <c r="CI784" s="196">
        <f t="shared" si="2086"/>
        <v>52344.115133078994</v>
      </c>
      <c r="CJ784" s="248">
        <f t="shared" si="1992"/>
        <v>8.6053711992088733E-4</v>
      </c>
      <c r="CK784" s="196">
        <f t="shared" si="2087"/>
        <v>51171.268342544856</v>
      </c>
      <c r="CL784" s="589">
        <f t="shared" si="1993"/>
        <v>7.3559750790492357E-4</v>
      </c>
      <c r="CM784" s="196">
        <f t="shared" si="2088"/>
        <v>4957.2119327471919</v>
      </c>
      <c r="CN784" s="589">
        <f t="shared" si="1994"/>
        <v>7.1439057649261067E-4</v>
      </c>
      <c r="CO784" s="196">
        <f t="shared" si="2089"/>
        <v>396.5619532218854</v>
      </c>
      <c r="CP784" s="589">
        <f t="shared" si="1995"/>
        <v>7.4785476199093546E-4</v>
      </c>
      <c r="CQ784" s="196">
        <f>'Detailed Budget'!$AC$12</f>
        <v>292876014141.44696</v>
      </c>
      <c r="CR784" s="269">
        <f t="shared" si="2040"/>
        <v>0</v>
      </c>
      <c r="CS784" s="269">
        <f>'Detailed Budget'!$AC$16</f>
        <v>10488008800.000002</v>
      </c>
      <c r="CT784" s="607">
        <f t="shared" si="2049"/>
        <v>0</v>
      </c>
      <c r="CU784" s="269">
        <f>'Detailed Budget'!$AC$24</f>
        <v>30624985696</v>
      </c>
      <c r="CV784" s="269">
        <f t="shared" si="2050"/>
        <v>0</v>
      </c>
      <c r="CW784" s="269"/>
      <c r="CX784" s="269">
        <f t="shared" si="1987"/>
        <v>0</v>
      </c>
      <c r="CY784" s="196">
        <f>'Detailed Budget'!$AC$97</f>
        <v>74629165494.837845</v>
      </c>
      <c r="CZ784" s="269">
        <f t="shared" si="2051"/>
        <v>92185942.695903853</v>
      </c>
      <c r="DA784" s="269">
        <f>'Detailed Budget'!$AC$100</f>
        <v>14925833098.967569</v>
      </c>
      <c r="DB784" s="269">
        <f t="shared" si="2052"/>
        <v>18437188.539180771</v>
      </c>
      <c r="DC784" s="269">
        <f t="shared" si="1976"/>
        <v>110623131.23508462</v>
      </c>
      <c r="DD784" s="207">
        <v>0</v>
      </c>
      <c r="DE784" s="606">
        <v>0</v>
      </c>
      <c r="DF784" s="269">
        <f>'Detailed Budget'!$AC$147</f>
        <v>5913600671000</v>
      </c>
      <c r="DG784" s="269">
        <f t="shared" si="2042"/>
        <v>0</v>
      </c>
      <c r="DH784" s="269">
        <f>'Detailed Budget'!$AC$153</f>
        <v>226428026880.00003</v>
      </c>
      <c r="DI784" s="269"/>
      <c r="DJ784" s="269">
        <f>'Detailed Budget'!$AC$156</f>
        <v>27713070000</v>
      </c>
      <c r="DK784" s="269"/>
      <c r="DL784" s="269"/>
      <c r="DM784" s="196">
        <f>'Detailed Budget'!$AC$178</f>
        <v>5622683761.6229038</v>
      </c>
      <c r="DN784" s="269">
        <f t="shared" si="2090"/>
        <v>0</v>
      </c>
      <c r="DO784" s="196">
        <f>'Detailed Budget'!$AC$179</f>
        <v>26827890683.128094</v>
      </c>
      <c r="DP784" s="269">
        <f t="shared" si="2091"/>
        <v>0</v>
      </c>
      <c r="DQ784" s="269">
        <f t="shared" si="2041"/>
        <v>0</v>
      </c>
      <c r="DR784" s="269">
        <f>'Detailed Budget'!$AC$181</f>
        <v>50888946855.375237</v>
      </c>
      <c r="DS784" s="269">
        <f t="shared" si="2092"/>
        <v>0</v>
      </c>
      <c r="DT784" s="269">
        <f t="shared" si="2093"/>
        <v>0</v>
      </c>
      <c r="DU784" s="272">
        <f>'Detailed Budget'!$AC$192</f>
        <v>77498869683.252869</v>
      </c>
      <c r="DV784" s="269">
        <f t="shared" si="2053"/>
        <v>68447368.134731412</v>
      </c>
      <c r="DW784" s="140">
        <f>'Detailed Budget'!$AC$194</f>
        <v>2684962805.4134097</v>
      </c>
      <c r="DX784" s="269">
        <f t="shared" si="2054"/>
        <v>2371371.8447935837</v>
      </c>
      <c r="DY784" s="607">
        <f t="shared" si="1977"/>
        <v>70818739.979525</v>
      </c>
      <c r="DZ784" s="196">
        <f>'Detailed Budget'!$AC$198</f>
        <v>18732540018.380611</v>
      </c>
      <c r="EA784" s="269">
        <f t="shared" si="2055"/>
        <v>16758789.348855229</v>
      </c>
      <c r="EB784" s="196">
        <f>'Detailed Budget'!$AC$200</f>
        <v>4683135004.5951529</v>
      </c>
      <c r="EC784" s="269">
        <f t="shared" si="2056"/>
        <v>4189697.3372138073</v>
      </c>
      <c r="ED784" s="269">
        <f t="shared" si="1978"/>
        <v>20948486.686069038</v>
      </c>
      <c r="EE784" s="196">
        <f>'Detailed Budget'!$AC$161</f>
        <v>251147290106.36197</v>
      </c>
      <c r="EF784" s="269">
        <f t="shared" si="2057"/>
        <v>221814474.09761521</v>
      </c>
      <c r="EG784" s="196">
        <f>'Detailed Budget'!$AC$163</f>
        <v>15696705631.647623</v>
      </c>
      <c r="EH784" s="269">
        <f t="shared" si="2058"/>
        <v>13863404.631100951</v>
      </c>
      <c r="EI784" s="269">
        <f t="shared" si="1979"/>
        <v>235677878.72871616</v>
      </c>
      <c r="EJ784" s="196">
        <f>'Detailed Budget'!$AC$204</f>
        <v>45012172507.531975</v>
      </c>
      <c r="EK784" s="269">
        <f t="shared" si="2059"/>
        <v>38734645.29101371</v>
      </c>
      <c r="EL784" s="201">
        <f>'Detailed Budget'!$AC$206</f>
        <v>11253043126.882994</v>
      </c>
      <c r="EM784" s="269">
        <f t="shared" si="2060"/>
        <v>9683661.3227534276</v>
      </c>
      <c r="EN784" s="269">
        <f t="shared" si="1980"/>
        <v>48418306.61376714</v>
      </c>
      <c r="EO784" s="140">
        <f>'Detailed Budget'!$AC$209</f>
        <v>135789361677.54817</v>
      </c>
      <c r="EP784" s="269">
        <f t="shared" si="2061"/>
        <v>99886316.050004765</v>
      </c>
      <c r="EQ784" s="196">
        <f>'Detailed Budget'!$AC$211</f>
        <v>33947340419.387043</v>
      </c>
      <c r="ER784" s="269">
        <f t="shared" si="2062"/>
        <v>24971579.012501191</v>
      </c>
      <c r="ES784" s="269">
        <f t="shared" si="1981"/>
        <v>124857895.06250596</v>
      </c>
      <c r="ET784" s="196">
        <f>'Detailed Budget'!$AC$214</f>
        <v>22239745544.201103</v>
      </c>
      <c r="EU784" s="269">
        <f t="shared" si="2063"/>
        <v>15887864.640370796</v>
      </c>
      <c r="EV784" s="140">
        <f>'Detailed Budget'!$AC$217</f>
        <v>5559936386.0502758</v>
      </c>
      <c r="EW784" s="269">
        <f t="shared" si="2064"/>
        <v>3971966.1600926989</v>
      </c>
      <c r="EX784" s="269">
        <f t="shared" si="1982"/>
        <v>19859830.800463494</v>
      </c>
      <c r="EY784" s="196">
        <f>'Detailed Budget'!$AC$219</f>
        <v>372777004.58170313</v>
      </c>
      <c r="EZ784" s="269">
        <f t="shared" si="2065"/>
        <v>278783.05803714343</v>
      </c>
      <c r="FA784" s="196">
        <f>'Detailed Budget'!$AC$222</f>
        <v>93194251.145425782</v>
      </c>
      <c r="FB784" s="269">
        <f t="shared" si="2066"/>
        <v>69695.764509285858</v>
      </c>
      <c r="FC784" s="269">
        <f t="shared" si="1983"/>
        <v>348478.82254642929</v>
      </c>
      <c r="FD784" s="269"/>
      <c r="FE784" s="269">
        <f t="shared" si="1984"/>
        <v>193484511.29928303</v>
      </c>
      <c r="FF784" s="140">
        <f>'Detailed Budget'!$AC$165</f>
        <v>14927760000</v>
      </c>
      <c r="FG784" s="1087">
        <f t="shared" si="2043"/>
        <v>263925680.89760354</v>
      </c>
      <c r="FH784" s="269">
        <f t="shared" si="2067"/>
        <v>16961436.200431772</v>
      </c>
      <c r="FJ784" s="140">
        <f>'Detailed Budget'!$AC$235</f>
        <v>3623696172</v>
      </c>
      <c r="FK784" s="269">
        <f t="shared" si="2068"/>
        <v>4681778</v>
      </c>
      <c r="FL784" s="269">
        <f t="shared" si="2044"/>
        <v>4681778</v>
      </c>
      <c r="FO784" s="607"/>
      <c r="FP784" s="607"/>
      <c r="FQ784" s="607"/>
      <c r="FR784" s="269">
        <f>'Detailed Budget'!$AC$257</f>
        <v>13636439388</v>
      </c>
      <c r="FS784" s="269">
        <f t="shared" si="2069"/>
        <v>23984064</v>
      </c>
      <c r="FT784" s="269">
        <f t="shared" si="2045"/>
        <v>23984064</v>
      </c>
      <c r="FU784" s="269"/>
      <c r="FV784" s="269"/>
      <c r="FW784" s="269"/>
      <c r="FX784" s="140">
        <f>'Detailed Budget'!$AC$278</f>
        <v>1114560000</v>
      </c>
      <c r="FY784" s="269">
        <f t="shared" si="2070"/>
        <v>1440000</v>
      </c>
      <c r="FZ784" s="269">
        <f t="shared" si="2071"/>
        <v>1440000</v>
      </c>
      <c r="GB784" s="269">
        <f t="shared" si="2094"/>
        <v>942545707.02671313</v>
      </c>
      <c r="GC784" s="887">
        <f t="shared" si="1985"/>
        <v>589091.06689169572</v>
      </c>
      <c r="GD784" s="1078">
        <f t="shared" si="2095"/>
        <v>5.2889207613149975E-4</v>
      </c>
    </row>
    <row r="785" spans="1:186" hidden="1" outlineLevel="1">
      <c r="A785" s="211" t="s">
        <v>1647</v>
      </c>
      <c r="B785" s="212" t="s">
        <v>1648</v>
      </c>
      <c r="C785" s="213" t="s">
        <v>215</v>
      </c>
      <c r="D785" s="214"/>
      <c r="E785" s="213"/>
      <c r="F785" s="213"/>
      <c r="G785" s="213" t="s">
        <v>215</v>
      </c>
      <c r="H785" s="213" t="s">
        <v>215</v>
      </c>
      <c r="I785" s="214" t="s">
        <v>215</v>
      </c>
      <c r="J785" s="214"/>
      <c r="K785" s="213"/>
      <c r="L785" s="213"/>
      <c r="M785" s="214"/>
      <c r="N785" s="213" t="s">
        <v>215</v>
      </c>
      <c r="O785" s="214"/>
      <c r="P785" s="213"/>
      <c r="Q785" s="214"/>
      <c r="R785" s="214" t="s">
        <v>215</v>
      </c>
      <c r="S785" s="214"/>
      <c r="T785" s="214"/>
      <c r="U785" s="215">
        <f t="shared" si="2099"/>
        <v>6</v>
      </c>
      <c r="V785" s="845" t="s">
        <v>216</v>
      </c>
      <c r="W785" s="216">
        <v>176372</v>
      </c>
      <c r="X785" s="217">
        <v>3.01</v>
      </c>
      <c r="Y785" s="218">
        <f t="shared" si="1965"/>
        <v>1.0301</v>
      </c>
      <c r="Z785" s="196">
        <v>19</v>
      </c>
      <c r="AA785" s="218">
        <f t="shared" si="1966"/>
        <v>1.7567435038184733</v>
      </c>
      <c r="AB785" s="196">
        <f t="shared" si="2097"/>
        <v>309840.36525547178</v>
      </c>
      <c r="AC785">
        <v>12.7</v>
      </c>
      <c r="AD785" s="196">
        <f t="shared" si="2098"/>
        <v>39349.726387444913</v>
      </c>
      <c r="AE785" s="196">
        <f t="shared" si="1967"/>
        <v>37382.240068072664</v>
      </c>
      <c r="AF785" s="196">
        <f t="shared" si="2072"/>
        <v>0</v>
      </c>
      <c r="AG785" s="606">
        <f t="shared" si="1988"/>
        <v>1.7283906696387841E-3</v>
      </c>
      <c r="AH785" s="196">
        <f t="shared" si="2096"/>
        <v>15492.01826277359</v>
      </c>
      <c r="AI785" s="248">
        <f t="shared" si="1964"/>
        <v>1.2001431821166784E-3</v>
      </c>
      <c r="AJ785" s="196">
        <f t="shared" si="1968"/>
        <v>54841.744650218505</v>
      </c>
      <c r="AK785" s="196">
        <f t="shared" si="1998"/>
        <v>12393.614610218872</v>
      </c>
      <c r="AL785" s="196">
        <f t="shared" si="1999"/>
        <v>12393.614610218872</v>
      </c>
      <c r="AM785" s="196">
        <f t="shared" si="1969"/>
        <v>24787.229220437745</v>
      </c>
      <c r="AN785" s="627">
        <f t="shared" si="1970"/>
        <v>1.2001431821166784E-3</v>
      </c>
      <c r="AO785" s="196">
        <f t="shared" si="1971"/>
        <v>11773.933879707927</v>
      </c>
      <c r="AP785" s="589">
        <f t="shared" si="1989"/>
        <v>1.2001431821166782E-3</v>
      </c>
      <c r="AQ785" s="196"/>
      <c r="AR785" s="589"/>
      <c r="AS785">
        <v>1</v>
      </c>
      <c r="AT785" s="589">
        <f t="shared" si="1990"/>
        <v>1.2919896640826874E-3</v>
      </c>
      <c r="AU785" s="196">
        <v>10</v>
      </c>
      <c r="AV785" s="245">
        <f t="shared" si="1972"/>
        <v>1.1362345188046814E-3</v>
      </c>
      <c r="AX785" s="245"/>
      <c r="AY785" s="245"/>
      <c r="AZ785" s="196">
        <v>29</v>
      </c>
      <c r="BA785" s="589">
        <f t="shared" si="2073"/>
        <v>1.0626213770107361E-3</v>
      </c>
      <c r="BI785" s="196">
        <v>0</v>
      </c>
      <c r="BK785" s="246">
        <f t="shared" si="2074"/>
        <v>0</v>
      </c>
      <c r="BL785" s="246"/>
      <c r="BM785" s="246">
        <f t="shared" si="2075"/>
        <v>0</v>
      </c>
      <c r="BN785" s="196">
        <v>1</v>
      </c>
      <c r="BO785" s="196">
        <f t="shared" si="2076"/>
        <v>17943.436405096731</v>
      </c>
      <c r="BP785" s="196">
        <f t="shared" si="1973"/>
        <v>17943.436405096731</v>
      </c>
      <c r="BQ785" s="248">
        <f t="shared" si="2077"/>
        <v>1.6785249176353581E-3</v>
      </c>
      <c r="BR785" s="248"/>
      <c r="BS785" s="248"/>
      <c r="BT785" s="276">
        <v>0</v>
      </c>
      <c r="BU785" s="196">
        <f t="shared" si="2078"/>
        <v>0</v>
      </c>
      <c r="BV785" s="264">
        <f t="shared" si="2079"/>
        <v>0</v>
      </c>
      <c r="BW785" s="196">
        <f t="shared" si="2080"/>
        <v>0</v>
      </c>
      <c r="BX785" s="247">
        <f t="shared" si="2081"/>
        <v>0</v>
      </c>
      <c r="BY785" s="196">
        <f t="shared" si="2082"/>
        <v>0</v>
      </c>
      <c r="BZ785" s="620">
        <v>1</v>
      </c>
      <c r="CA785" s="196">
        <f t="shared" si="2083"/>
        <v>94811.151768174372</v>
      </c>
      <c r="CB785" s="196">
        <f t="shared" si="2084"/>
        <v>189622.30353634874</v>
      </c>
      <c r="CC785" s="196">
        <f t="shared" si="1986"/>
        <v>284433.45530452312</v>
      </c>
      <c r="CD785" s="247">
        <f t="shared" si="1974"/>
        <v>1.2001431821166784E-3</v>
      </c>
      <c r="CE785" s="196">
        <f t="shared" si="2085"/>
        <v>28151.642192018582</v>
      </c>
      <c r="CF785" s="247">
        <f t="shared" si="1975"/>
        <v>1.2156754599289923E-3</v>
      </c>
      <c r="CG785" s="196">
        <f t="shared" si="2047"/>
        <v>47095.735518831709</v>
      </c>
      <c r="CH785" s="589">
        <f t="shared" si="1991"/>
        <v>1.2001431821166782E-3</v>
      </c>
      <c r="CI785" s="196">
        <f t="shared" si="2086"/>
        <v>71127.826759516232</v>
      </c>
      <c r="CJ785" s="248">
        <f t="shared" si="1992"/>
        <v>1.1693412913801515E-3</v>
      </c>
      <c r="CK785" s="196">
        <f t="shared" si="2087"/>
        <v>69534.103317626417</v>
      </c>
      <c r="CL785" s="589">
        <f t="shared" si="1993"/>
        <v>9.9956703774573105E-4</v>
      </c>
      <c r="CM785" s="196">
        <f t="shared" si="2088"/>
        <v>6736.1098886897635</v>
      </c>
      <c r="CN785" s="589">
        <f t="shared" si="1994"/>
        <v>9.7074998849843786E-4</v>
      </c>
      <c r="CO785" s="196">
        <f t="shared" si="2089"/>
        <v>538.86840643823234</v>
      </c>
      <c r="CP785" s="589">
        <f t="shared" si="1995"/>
        <v>1.0162228135279885E-3</v>
      </c>
      <c r="CQ785" s="196">
        <f>'Detailed Budget'!$AC$12</f>
        <v>292876014141.44696</v>
      </c>
      <c r="CR785" s="269">
        <f t="shared" si="2040"/>
        <v>0</v>
      </c>
      <c r="CS785" s="269">
        <f>'Detailed Budget'!$AC$16</f>
        <v>10488008800.000002</v>
      </c>
      <c r="CT785" s="607">
        <f t="shared" si="2049"/>
        <v>0</v>
      </c>
      <c r="CU785" s="269">
        <f>'Detailed Budget'!$AC$24</f>
        <v>30624985696</v>
      </c>
      <c r="CV785" s="269">
        <f t="shared" si="2050"/>
        <v>0</v>
      </c>
      <c r="CW785" s="269"/>
      <c r="CX785" s="269">
        <f t="shared" si="1987"/>
        <v>0</v>
      </c>
      <c r="CY785" s="196">
        <f>'Detailed Budget'!$AC$97</f>
        <v>74629165494.837845</v>
      </c>
      <c r="CZ785" s="269">
        <f t="shared" si="2051"/>
        <v>125266913.86541821</v>
      </c>
      <c r="DA785" s="269">
        <f>'Detailed Budget'!$AC$100</f>
        <v>14925833098.967569</v>
      </c>
      <c r="DB785" s="269">
        <f t="shared" si="2052"/>
        <v>25053382.773083642</v>
      </c>
      <c r="DC785" s="269">
        <f t="shared" si="1976"/>
        <v>150320296.63850185</v>
      </c>
      <c r="DD785" s="207">
        <v>0</v>
      </c>
      <c r="DE785" s="606">
        <v>0</v>
      </c>
      <c r="DF785" s="269">
        <f>'Detailed Budget'!$AC$147</f>
        <v>5913600671000</v>
      </c>
      <c r="DG785" s="269">
        <f t="shared" si="2042"/>
        <v>0</v>
      </c>
      <c r="DH785" s="269">
        <f>'Detailed Budget'!$AC$153</f>
        <v>226428026880.00003</v>
      </c>
      <c r="DI785" s="269"/>
      <c r="DJ785" s="269">
        <f>'Detailed Budget'!$AC$156</f>
        <v>27713070000</v>
      </c>
      <c r="DK785" s="269"/>
      <c r="DL785" s="269"/>
      <c r="DM785" s="196">
        <f>'Detailed Budget'!$AC$178</f>
        <v>5622683761.6229038</v>
      </c>
      <c r="DN785" s="269">
        <f t="shared" si="2090"/>
        <v>0</v>
      </c>
      <c r="DO785" s="196">
        <f>'Detailed Budget'!$AC$179</f>
        <v>26827890683.128094</v>
      </c>
      <c r="DP785" s="269">
        <f t="shared" si="2091"/>
        <v>0</v>
      </c>
      <c r="DQ785" s="269">
        <f t="shared" si="2041"/>
        <v>0</v>
      </c>
      <c r="DR785" s="269">
        <f>'Detailed Budget'!$AC$181</f>
        <v>50888946855.375237</v>
      </c>
      <c r="DS785" s="269">
        <f t="shared" si="2092"/>
        <v>0</v>
      </c>
      <c r="DT785" s="269">
        <f t="shared" si="2093"/>
        <v>0</v>
      </c>
      <c r="DU785" s="272">
        <f>'Detailed Budget'!$AC$192</f>
        <v>77498869683.252869</v>
      </c>
      <c r="DV785" s="269">
        <f t="shared" si="2053"/>
        <v>93009740.072104871</v>
      </c>
      <c r="DW785" s="140">
        <f>'Detailed Budget'!$AC$194</f>
        <v>2684962805.4134097</v>
      </c>
      <c r="DX785" s="269">
        <f t="shared" si="2054"/>
        <v>3222339.8051537736</v>
      </c>
      <c r="DY785" s="607">
        <f t="shared" si="1977"/>
        <v>96232079.877258644</v>
      </c>
      <c r="DZ785" s="196">
        <f>'Detailed Budget'!$AC$198</f>
        <v>18732540018.380611</v>
      </c>
      <c r="EA785" s="269">
        <f t="shared" si="2055"/>
        <v>22772689.202483103</v>
      </c>
      <c r="EB785" s="196">
        <f>'Detailed Budget'!$AC$200</f>
        <v>4683135004.5951529</v>
      </c>
      <c r="EC785" s="269">
        <f t="shared" si="2056"/>
        <v>5693172.3006207757</v>
      </c>
      <c r="ED785" s="269">
        <f t="shared" si="1978"/>
        <v>28465861.503103878</v>
      </c>
      <c r="EE785" s="196">
        <f>'Detailed Budget'!$AC$161</f>
        <v>251147290106.36197</v>
      </c>
      <c r="EF785" s="269">
        <f t="shared" si="2057"/>
        <v>301412707.92822975</v>
      </c>
      <c r="EG785" s="196">
        <f>'Detailed Budget'!$AC$163</f>
        <v>15696705631.647623</v>
      </c>
      <c r="EH785" s="269">
        <f t="shared" si="2058"/>
        <v>18838294.245514359</v>
      </c>
      <c r="EI785" s="269">
        <f t="shared" si="1979"/>
        <v>320251002.17374408</v>
      </c>
      <c r="EJ785" s="196">
        <f>'Detailed Budget'!$AC$204</f>
        <v>45012172507.531975</v>
      </c>
      <c r="EK785" s="269">
        <f t="shared" si="2059"/>
        <v>52634591.927783594</v>
      </c>
      <c r="EL785" s="201">
        <f>'Detailed Budget'!$AC$206</f>
        <v>11253043126.882994</v>
      </c>
      <c r="EM785" s="269">
        <f t="shared" si="2060"/>
        <v>13158647.981945898</v>
      </c>
      <c r="EN785" s="269">
        <f t="shared" si="1980"/>
        <v>65793239.909729496</v>
      </c>
      <c r="EO785" s="140">
        <f>'Detailed Budget'!$AC$209</f>
        <v>135789361677.54817</v>
      </c>
      <c r="EP785" s="269">
        <f t="shared" si="2061"/>
        <v>135730570.00941053</v>
      </c>
      <c r="EQ785" s="196">
        <f>'Detailed Budget'!$AC$211</f>
        <v>33947340419.387043</v>
      </c>
      <c r="ER785" s="269">
        <f t="shared" si="2062"/>
        <v>33932642.502352633</v>
      </c>
      <c r="ES785" s="269">
        <f t="shared" si="1981"/>
        <v>169663212.51176316</v>
      </c>
      <c r="ET785" s="196">
        <f>'Detailed Budget'!$AC$214</f>
        <v>22239745544.201103</v>
      </c>
      <c r="EU785" s="269">
        <f t="shared" si="2063"/>
        <v>21589232.731241405</v>
      </c>
      <c r="EV785" s="140">
        <f>'Detailed Budget'!$AC$217</f>
        <v>5559936386.0502758</v>
      </c>
      <c r="EW785" s="269">
        <f t="shared" si="2064"/>
        <v>5397308.1828103513</v>
      </c>
      <c r="EX785" s="269">
        <f t="shared" si="1982"/>
        <v>26986540.914051756</v>
      </c>
      <c r="EY785" s="196">
        <f>'Detailed Budget'!$AC$219</f>
        <v>372777004.58170313</v>
      </c>
      <c r="EZ785" s="269">
        <f t="shared" si="2065"/>
        <v>378824.49641455419</v>
      </c>
      <c r="FA785" s="196">
        <f>'Detailed Budget'!$AC$222</f>
        <v>93194251.145425782</v>
      </c>
      <c r="FB785" s="269">
        <f t="shared" si="2066"/>
        <v>94706.124103638547</v>
      </c>
      <c r="FC785" s="269">
        <f t="shared" si="1983"/>
        <v>473530.62051819277</v>
      </c>
      <c r="FD785" s="269"/>
      <c r="FE785" s="269">
        <f t="shared" si="1984"/>
        <v>262916523.95606261</v>
      </c>
      <c r="FF785" s="140">
        <f>'Detailed Budget'!$AC$165</f>
        <v>14927760000</v>
      </c>
      <c r="FG785" s="1087">
        <f t="shared" si="2043"/>
        <v>358635542.13391989</v>
      </c>
      <c r="FH785" s="269">
        <f t="shared" si="2067"/>
        <v>16961436.200431772</v>
      </c>
      <c r="FJ785" s="140">
        <f>'Detailed Budget'!$AC$235</f>
        <v>3623696172</v>
      </c>
      <c r="FK785" s="269">
        <f t="shared" si="2068"/>
        <v>4681778</v>
      </c>
      <c r="FL785" s="269">
        <f t="shared" si="2044"/>
        <v>4681778</v>
      </c>
      <c r="FO785" s="607"/>
      <c r="FP785" s="607"/>
      <c r="FQ785" s="607"/>
      <c r="FR785" s="269">
        <f>'Detailed Budget'!$AC$257</f>
        <v>13636439388</v>
      </c>
      <c r="FS785" s="269">
        <f t="shared" si="2069"/>
        <v>14490372</v>
      </c>
      <c r="FT785" s="269">
        <f t="shared" si="2045"/>
        <v>14490372</v>
      </c>
      <c r="FU785" s="269"/>
      <c r="FV785" s="269"/>
      <c r="FW785" s="269"/>
      <c r="FX785" s="140">
        <f>'Detailed Budget'!$AC$278</f>
        <v>1114560000</v>
      </c>
      <c r="FY785" s="269">
        <f t="shared" si="2070"/>
        <v>1440000</v>
      </c>
      <c r="FZ785" s="269">
        <f t="shared" si="2071"/>
        <v>1440000</v>
      </c>
      <c r="GB785" s="269">
        <f t="shared" si="2094"/>
        <v>1254394892.4830227</v>
      </c>
      <c r="GC785" s="887">
        <f t="shared" si="1985"/>
        <v>783996.80780188914</v>
      </c>
      <c r="GD785" s="1078">
        <f t="shared" si="2095"/>
        <v>7.0388047394214317E-4</v>
      </c>
    </row>
    <row r="786" spans="1:186" hidden="1" outlineLevel="1">
      <c r="A786" s="211" t="s">
        <v>1649</v>
      </c>
      <c r="B786" s="212" t="s">
        <v>1650</v>
      </c>
      <c r="C786" s="213" t="s">
        <v>215</v>
      </c>
      <c r="D786" s="214"/>
      <c r="E786" s="213"/>
      <c r="F786" s="213"/>
      <c r="G786" s="213" t="s">
        <v>215</v>
      </c>
      <c r="H786" s="213" t="s">
        <v>215</v>
      </c>
      <c r="I786" s="214" t="s">
        <v>215</v>
      </c>
      <c r="J786" s="214"/>
      <c r="K786" s="213" t="s">
        <v>215</v>
      </c>
      <c r="L786" s="213"/>
      <c r="M786" s="214"/>
      <c r="N786" s="213"/>
      <c r="O786" s="214"/>
      <c r="P786" s="213"/>
      <c r="Q786" s="214"/>
      <c r="R786" s="214" t="s">
        <v>215</v>
      </c>
      <c r="S786" s="214"/>
      <c r="T786" s="214"/>
      <c r="U786" s="215">
        <f t="shared" si="2099"/>
        <v>6</v>
      </c>
      <c r="V786" s="845" t="s">
        <v>216</v>
      </c>
      <c r="W786" s="216">
        <v>289838</v>
      </c>
      <c r="X786" s="217">
        <v>3.01</v>
      </c>
      <c r="Y786" s="218">
        <f t="shared" si="1965"/>
        <v>1.0301</v>
      </c>
      <c r="Z786" s="196">
        <v>19</v>
      </c>
      <c r="AA786" s="218">
        <f t="shared" si="1966"/>
        <v>1.7567435038184733</v>
      </c>
      <c r="AB786" s="196">
        <f t="shared" si="2097"/>
        <v>509171.02365973865</v>
      </c>
      <c r="AC786">
        <v>12.7</v>
      </c>
      <c r="AD786" s="196">
        <f t="shared" si="2098"/>
        <v>64664.720004786803</v>
      </c>
      <c r="AE786" s="196">
        <f t="shared" si="1967"/>
        <v>61431.484004547463</v>
      </c>
      <c r="AF786" s="196">
        <f t="shared" si="2072"/>
        <v>0</v>
      </c>
      <c r="AG786" s="606">
        <f t="shared" si="1988"/>
        <v>2.840322131102249E-3</v>
      </c>
      <c r="AH786" s="196">
        <f t="shared" si="2096"/>
        <v>25458.551182986936</v>
      </c>
      <c r="AI786" s="248">
        <f t="shared" si="1964"/>
        <v>1.9722353866732465E-3</v>
      </c>
      <c r="AJ786" s="196">
        <f t="shared" si="1968"/>
        <v>90123.271187773731</v>
      </c>
      <c r="AK786" s="196">
        <f t="shared" si="1998"/>
        <v>20366.840946389548</v>
      </c>
      <c r="AL786" s="196">
        <f t="shared" si="1999"/>
        <v>20366.840946389548</v>
      </c>
      <c r="AM786" s="196">
        <f t="shared" si="1969"/>
        <v>40733.681892779096</v>
      </c>
      <c r="AN786" s="627">
        <f t="shared" si="1970"/>
        <v>1.9722353866732465E-3</v>
      </c>
      <c r="AO786" s="196">
        <f t="shared" si="1971"/>
        <v>19348.498899070069</v>
      </c>
      <c r="AP786" s="589">
        <f t="shared" si="1989"/>
        <v>1.9722353866732465E-3</v>
      </c>
      <c r="AQ786" s="196"/>
      <c r="AR786" s="589"/>
      <c r="AS786">
        <v>1</v>
      </c>
      <c r="AT786" s="589">
        <f t="shared" si="1990"/>
        <v>1.2919896640826874E-3</v>
      </c>
      <c r="AU786" s="196">
        <v>12</v>
      </c>
      <c r="AV786" s="245">
        <f t="shared" si="1972"/>
        <v>1.3634814225656176E-3</v>
      </c>
      <c r="AX786" s="245"/>
      <c r="AY786" s="245"/>
      <c r="AZ786" s="196">
        <v>50</v>
      </c>
      <c r="BA786" s="589">
        <f t="shared" si="2073"/>
        <v>1.8321058224323038E-3</v>
      </c>
      <c r="BI786" s="196">
        <v>0</v>
      </c>
      <c r="BK786" s="246">
        <f t="shared" si="2074"/>
        <v>0</v>
      </c>
      <c r="BL786" s="246"/>
      <c r="BM786" s="246">
        <f t="shared" si="2075"/>
        <v>0</v>
      </c>
      <c r="BN786" s="196">
        <v>1</v>
      </c>
      <c r="BO786" s="196">
        <f t="shared" si="2076"/>
        <v>29487.048515526418</v>
      </c>
      <c r="BP786" s="196">
        <f t="shared" si="1973"/>
        <v>29487.048515526418</v>
      </c>
      <c r="BQ786" s="248">
        <f t="shared" si="2077"/>
        <v>2.7583760748735447E-3</v>
      </c>
      <c r="BR786" s="248"/>
      <c r="BS786" s="248"/>
      <c r="BT786" s="276">
        <v>0</v>
      </c>
      <c r="BU786" s="196">
        <f t="shared" si="2078"/>
        <v>0</v>
      </c>
      <c r="BV786" s="264">
        <f t="shared" si="2079"/>
        <v>0</v>
      </c>
      <c r="BW786" s="196">
        <f t="shared" si="2080"/>
        <v>0</v>
      </c>
      <c r="BX786" s="247">
        <f t="shared" si="2081"/>
        <v>0</v>
      </c>
      <c r="BY786" s="196">
        <f t="shared" si="2082"/>
        <v>0</v>
      </c>
      <c r="BZ786" s="620">
        <v>1</v>
      </c>
      <c r="CA786" s="196">
        <f t="shared" si="2083"/>
        <v>155806.33323988004</v>
      </c>
      <c r="CB786" s="196">
        <f t="shared" si="2084"/>
        <v>311612.66647976008</v>
      </c>
      <c r="CC786" s="196">
        <f t="shared" si="1986"/>
        <v>467418.99971964012</v>
      </c>
      <c r="CD786" s="247">
        <f t="shared" si="1974"/>
        <v>1.9722353866732465E-3</v>
      </c>
      <c r="CE786" s="196">
        <f t="shared" si="2085"/>
        <v>46262.534130419117</v>
      </c>
      <c r="CF786" s="247">
        <f t="shared" si="1975"/>
        <v>1.9977600977190216E-3</v>
      </c>
      <c r="CG786" s="196">
        <f t="shared" si="2047"/>
        <v>77393.995596280278</v>
      </c>
      <c r="CH786" s="589">
        <f t="shared" si="1991"/>
        <v>1.9722353866732465E-3</v>
      </c>
      <c r="CI786" s="196">
        <f t="shared" si="2086"/>
        <v>116886.73401857815</v>
      </c>
      <c r="CJ786" s="248">
        <f t="shared" si="1992"/>
        <v>1.9216176105676657E-3</v>
      </c>
      <c r="CK786" s="196">
        <f t="shared" si="2087"/>
        <v>114267.71504192392</v>
      </c>
      <c r="CL786" s="589">
        <f t="shared" si="1993"/>
        <v>1.6426219075938767E-3</v>
      </c>
      <c r="CM786" s="196">
        <f t="shared" si="2088"/>
        <v>11069.674426315194</v>
      </c>
      <c r="CN786" s="589">
        <f t="shared" si="1994"/>
        <v>1.5952658878189861E-3</v>
      </c>
      <c r="CO786" s="196">
        <f t="shared" si="2089"/>
        <v>885.54045531742224</v>
      </c>
      <c r="CP786" s="589">
        <f t="shared" si="1995"/>
        <v>1.6699929003885262E-3</v>
      </c>
      <c r="CQ786" s="196">
        <f>'Detailed Budget'!$AC$12</f>
        <v>292876014141.44696</v>
      </c>
      <c r="CR786" s="269">
        <f t="shared" si="2040"/>
        <v>0</v>
      </c>
      <c r="CS786" s="269">
        <f>'Detailed Budget'!$AC$16</f>
        <v>10488008800.000002</v>
      </c>
      <c r="CT786" s="607">
        <f t="shared" si="2049"/>
        <v>0</v>
      </c>
      <c r="CU786" s="269">
        <f>'Detailed Budget'!$AC$24</f>
        <v>30624985696</v>
      </c>
      <c r="CV786" s="269">
        <f t="shared" si="2050"/>
        <v>0</v>
      </c>
      <c r="CW786" s="269"/>
      <c r="CX786" s="269">
        <f t="shared" si="1987"/>
        <v>0</v>
      </c>
      <c r="CY786" s="196">
        <f>'Detailed Budget'!$AC$97</f>
        <v>74629165494.837845</v>
      </c>
      <c r="CZ786" s="269">
        <f t="shared" si="2051"/>
        <v>205855304.58873901</v>
      </c>
      <c r="DA786" s="269">
        <f>'Detailed Budget'!$AC$100</f>
        <v>14925833098.967569</v>
      </c>
      <c r="DB786" s="269">
        <f t="shared" si="2052"/>
        <v>41171060.917747803</v>
      </c>
      <c r="DC786" s="269">
        <f t="shared" si="1976"/>
        <v>247026365.5064868</v>
      </c>
      <c r="DD786" s="207">
        <v>0</v>
      </c>
      <c r="DE786" s="606">
        <v>0</v>
      </c>
      <c r="DF786" s="269">
        <f>'Detailed Budget'!$AC$147</f>
        <v>5913600671000</v>
      </c>
      <c r="DG786" s="269">
        <f t="shared" si="2042"/>
        <v>0</v>
      </c>
      <c r="DH786" s="269">
        <f>'Detailed Budget'!$AC$153</f>
        <v>226428026880.00003</v>
      </c>
      <c r="DI786" s="269"/>
      <c r="DJ786" s="269">
        <f>'Detailed Budget'!$AC$156</f>
        <v>27713070000</v>
      </c>
      <c r="DK786" s="269"/>
      <c r="DL786" s="269"/>
      <c r="DM786" s="196">
        <f>'Detailed Budget'!$AC$178</f>
        <v>5622683761.6229038</v>
      </c>
      <c r="DN786" s="269">
        <f t="shared" si="2090"/>
        <v>0</v>
      </c>
      <c r="DO786" s="196">
        <f>'Detailed Budget'!$AC$179</f>
        <v>26827890683.128094</v>
      </c>
      <c r="DP786" s="269">
        <f t="shared" si="2091"/>
        <v>0</v>
      </c>
      <c r="DQ786" s="269">
        <f t="shared" si="2041"/>
        <v>0</v>
      </c>
      <c r="DR786" s="269">
        <f>'Detailed Budget'!$AC$181</f>
        <v>50888946855.375237</v>
      </c>
      <c r="DS786" s="269">
        <f t="shared" si="2092"/>
        <v>0</v>
      </c>
      <c r="DT786" s="269">
        <f t="shared" si="2093"/>
        <v>0</v>
      </c>
      <c r="DU786" s="272">
        <f>'Detailed Budget'!$AC$192</f>
        <v>77498869683.252869</v>
      </c>
      <c r="DV786" s="269">
        <f t="shared" si="2053"/>
        <v>152846013.21648976</v>
      </c>
      <c r="DW786" s="140">
        <f>'Detailed Budget'!$AC$194</f>
        <v>2684962805.4134097</v>
      </c>
      <c r="DX786" s="269">
        <f t="shared" si="2054"/>
        <v>5295378.6567378007</v>
      </c>
      <c r="DY786" s="607">
        <f t="shared" si="1977"/>
        <v>158141391.87322757</v>
      </c>
      <c r="DZ786" s="196">
        <f>'Detailed Budget'!$AC$198</f>
        <v>18732540018.380611</v>
      </c>
      <c r="EA786" s="269">
        <f t="shared" si="2055"/>
        <v>37423120.977645531</v>
      </c>
      <c r="EB786" s="196">
        <f>'Detailed Budget'!$AC$200</f>
        <v>4683135004.5951529</v>
      </c>
      <c r="EC786" s="269">
        <f t="shared" si="2056"/>
        <v>9355780.2444113828</v>
      </c>
      <c r="ED786" s="269">
        <f t="shared" si="1978"/>
        <v>46778901.22205691</v>
      </c>
      <c r="EE786" s="196">
        <f>'Detailed Budget'!$AC$161</f>
        <v>251147290106.36197</v>
      </c>
      <c r="EF786" s="269">
        <f t="shared" si="2057"/>
        <v>495321572.81485879</v>
      </c>
      <c r="EG786" s="196">
        <f>'Detailed Budget'!$AC$163</f>
        <v>15696705631.647623</v>
      </c>
      <c r="EH786" s="269">
        <f t="shared" si="2058"/>
        <v>30957598.300928675</v>
      </c>
      <c r="EI786" s="269">
        <f t="shared" si="1979"/>
        <v>526279171.11578745</v>
      </c>
      <c r="EJ786" s="196">
        <f>'Detailed Budget'!$AC$204</f>
        <v>45012172507.531975</v>
      </c>
      <c r="EK786" s="269">
        <f t="shared" si="2059"/>
        <v>86496183.380383164</v>
      </c>
      <c r="EL786" s="201">
        <f>'Detailed Budget'!$AC$206</f>
        <v>11253043126.882994</v>
      </c>
      <c r="EM786" s="269">
        <f t="shared" si="2060"/>
        <v>21624045.845095791</v>
      </c>
      <c r="EN786" s="269">
        <f t="shared" si="1980"/>
        <v>108120229.22547895</v>
      </c>
      <c r="EO786" s="140">
        <f>'Detailed Budget'!$AC$209</f>
        <v>135789361677.54817</v>
      </c>
      <c r="EP786" s="269">
        <f t="shared" si="2061"/>
        <v>223050580.30972904</v>
      </c>
      <c r="EQ786" s="196">
        <f>'Detailed Budget'!$AC$211</f>
        <v>33947340419.387043</v>
      </c>
      <c r="ER786" s="269">
        <f t="shared" si="2062"/>
        <v>55762645.07743226</v>
      </c>
      <c r="ES786" s="269">
        <f t="shared" si="1981"/>
        <v>278813225.38716131</v>
      </c>
      <c r="ET786" s="196">
        <f>'Detailed Budget'!$AC$214</f>
        <v>22239745544.201103</v>
      </c>
      <c r="EU786" s="269">
        <f t="shared" si="2063"/>
        <v>35478307.420438312</v>
      </c>
      <c r="EV786" s="140">
        <f>'Detailed Budget'!$AC$217</f>
        <v>5559936386.0502758</v>
      </c>
      <c r="EW786" s="269">
        <f t="shared" si="2064"/>
        <v>8869576.855109578</v>
      </c>
      <c r="EX786" s="269">
        <f t="shared" si="1982"/>
        <v>44347884.275547892</v>
      </c>
      <c r="EY786" s="196">
        <f>'Detailed Budget'!$AC$219</f>
        <v>372777004.58170313</v>
      </c>
      <c r="EZ786" s="269">
        <f t="shared" si="2065"/>
        <v>622534.95107954531</v>
      </c>
      <c r="FA786" s="196">
        <f>'Detailed Budget'!$AC$222</f>
        <v>93194251.145425782</v>
      </c>
      <c r="FB786" s="269">
        <f t="shared" si="2066"/>
        <v>155633.73776988633</v>
      </c>
      <c r="FC786" s="269">
        <f t="shared" si="1983"/>
        <v>778168.6888494317</v>
      </c>
      <c r="FD786" s="269"/>
      <c r="FE786" s="269">
        <f t="shared" si="1984"/>
        <v>432059507.57703757</v>
      </c>
      <c r="FF786" s="140">
        <f>'Detailed Budget'!$AC$165</f>
        <v>14927760000</v>
      </c>
      <c r="FG786" s="1087">
        <f t="shared" si="2043"/>
        <v>589357768.01879597</v>
      </c>
      <c r="FH786" s="269">
        <f t="shared" si="2067"/>
        <v>20353723.440518126</v>
      </c>
      <c r="FJ786" s="140">
        <f>'Detailed Budget'!$AC$235</f>
        <v>3623696172</v>
      </c>
      <c r="FK786" s="269">
        <f t="shared" si="2068"/>
        <v>4681778</v>
      </c>
      <c r="FL786" s="269">
        <f t="shared" si="2044"/>
        <v>4681778</v>
      </c>
      <c r="FO786" s="607"/>
      <c r="FP786" s="607"/>
      <c r="FQ786" s="607"/>
      <c r="FR786" s="269">
        <f>'Detailed Budget'!$AC$257</f>
        <v>13636439388</v>
      </c>
      <c r="FS786" s="269">
        <f t="shared" si="2069"/>
        <v>24983400</v>
      </c>
      <c r="FT786" s="269">
        <f t="shared" si="2045"/>
        <v>24983400</v>
      </c>
      <c r="FU786" s="269"/>
      <c r="FV786" s="269"/>
      <c r="FW786" s="269"/>
      <c r="FX786" s="140">
        <f>'Detailed Budget'!$AC$278</f>
        <v>1114560000</v>
      </c>
      <c r="FY786" s="269">
        <f t="shared" si="2070"/>
        <v>1440000</v>
      </c>
      <c r="FZ786" s="269">
        <f t="shared" si="2071"/>
        <v>1440000</v>
      </c>
      <c r="GB786" s="269">
        <f t="shared" si="2094"/>
        <v>2051102006.7539103</v>
      </c>
      <c r="GC786" s="887">
        <f t="shared" si="1985"/>
        <v>1281938.754221194</v>
      </c>
      <c r="GD786" s="1078">
        <f t="shared" si="2095"/>
        <v>1.1509379233518866E-3</v>
      </c>
    </row>
    <row r="787" spans="1:186" hidden="1" outlineLevel="1">
      <c r="A787" s="211" t="s">
        <v>1651</v>
      </c>
      <c r="B787" s="212" t="s">
        <v>1652</v>
      </c>
      <c r="C787" s="213" t="s">
        <v>215</v>
      </c>
      <c r="D787" s="214"/>
      <c r="E787" s="213"/>
      <c r="F787" s="213"/>
      <c r="G787" s="213" t="s">
        <v>215</v>
      </c>
      <c r="H787" s="213" t="s">
        <v>215</v>
      </c>
      <c r="I787" s="214" t="s">
        <v>215</v>
      </c>
      <c r="J787" s="214"/>
      <c r="K787" s="213"/>
      <c r="L787" s="213"/>
      <c r="M787" s="214"/>
      <c r="N787" s="213" t="s">
        <v>215</v>
      </c>
      <c r="O787" s="214"/>
      <c r="P787" s="213"/>
      <c r="Q787" s="214"/>
      <c r="R787" s="214" t="s">
        <v>215</v>
      </c>
      <c r="S787" s="214"/>
      <c r="T787" s="214"/>
      <c r="U787" s="215">
        <f t="shared" si="2099"/>
        <v>6</v>
      </c>
      <c r="V787" s="845" t="s">
        <v>216</v>
      </c>
      <c r="W787" s="216">
        <v>171876</v>
      </c>
      <c r="X787" s="217">
        <v>3.01</v>
      </c>
      <c r="Y787" s="218">
        <f t="shared" si="1965"/>
        <v>1.0301</v>
      </c>
      <c r="Z787" s="196">
        <v>19</v>
      </c>
      <c r="AA787" s="218">
        <f t="shared" si="1966"/>
        <v>1.7567435038184733</v>
      </c>
      <c r="AB787" s="196">
        <f t="shared" si="2097"/>
        <v>301942.0464623039</v>
      </c>
      <c r="AC787">
        <v>12.7</v>
      </c>
      <c r="AD787" s="196">
        <f t="shared" si="2098"/>
        <v>38346.639900712595</v>
      </c>
      <c r="AE787" s="196">
        <f t="shared" si="1967"/>
        <v>36429.307905676964</v>
      </c>
      <c r="AF787" s="196">
        <f t="shared" si="2072"/>
        <v>0</v>
      </c>
      <c r="AG787" s="606">
        <f t="shared" si="1988"/>
        <v>1.6843312699001863E-3</v>
      </c>
      <c r="AH787" s="196">
        <f t="shared" si="2096"/>
        <v>15097.102323115196</v>
      </c>
      <c r="AI787" s="248">
        <f t="shared" si="1964"/>
        <v>1.1695496426274363E-3</v>
      </c>
      <c r="AJ787" s="196">
        <f t="shared" si="1968"/>
        <v>53443.742223827794</v>
      </c>
      <c r="AK787" s="196">
        <f t="shared" si="1998"/>
        <v>12077.681858492157</v>
      </c>
      <c r="AL787" s="196">
        <f t="shared" si="1999"/>
        <v>12077.681858492157</v>
      </c>
      <c r="AM787" s="196">
        <f t="shared" si="1969"/>
        <v>24155.363716984313</v>
      </c>
      <c r="AN787" s="627">
        <f t="shared" si="1970"/>
        <v>1.1695496426274363E-3</v>
      </c>
      <c r="AO787" s="196">
        <f t="shared" si="1971"/>
        <v>11473.797765567548</v>
      </c>
      <c r="AP787" s="589">
        <f t="shared" si="1989"/>
        <v>1.1695496426274363E-3</v>
      </c>
      <c r="AQ787" s="196"/>
      <c r="AR787" s="589"/>
      <c r="AS787">
        <v>1</v>
      </c>
      <c r="AT787" s="589">
        <f t="shared" si="1990"/>
        <v>1.2919896640826874E-3</v>
      </c>
      <c r="AU787" s="196">
        <v>10</v>
      </c>
      <c r="AV787" s="245">
        <f t="shared" si="1972"/>
        <v>1.1362345188046814E-3</v>
      </c>
      <c r="AX787" s="245"/>
      <c r="AY787" s="245"/>
      <c r="AZ787" s="196">
        <v>40</v>
      </c>
      <c r="BA787" s="589">
        <f t="shared" si="2073"/>
        <v>1.4656846579458429E-3</v>
      </c>
      <c r="BI787" s="196">
        <v>0</v>
      </c>
      <c r="BK787" s="246">
        <f t="shared" si="2074"/>
        <v>0</v>
      </c>
      <c r="BL787" s="246"/>
      <c r="BM787" s="246">
        <f t="shared" si="2075"/>
        <v>0</v>
      </c>
      <c r="BN787" s="196">
        <v>1</v>
      </c>
      <c r="BO787" s="196">
        <f t="shared" si="2076"/>
        <v>17486.029956922899</v>
      </c>
      <c r="BP787" s="196">
        <f t="shared" si="1973"/>
        <v>17486.029956922899</v>
      </c>
      <c r="BQ787" s="248">
        <f t="shared" si="2077"/>
        <v>1.6357366744352551E-3</v>
      </c>
      <c r="BR787" s="248"/>
      <c r="BS787" s="248"/>
      <c r="BT787" s="276">
        <v>0</v>
      </c>
      <c r="BU787" s="196">
        <f t="shared" si="2078"/>
        <v>0</v>
      </c>
      <c r="BV787" s="264">
        <f t="shared" si="2079"/>
        <v>0</v>
      </c>
      <c r="BW787" s="196">
        <f t="shared" si="2080"/>
        <v>0</v>
      </c>
      <c r="BX787" s="247">
        <f t="shared" si="2081"/>
        <v>0</v>
      </c>
      <c r="BY787" s="196">
        <f t="shared" si="2082"/>
        <v>0</v>
      </c>
      <c r="BZ787" s="620">
        <v>1</v>
      </c>
      <c r="CA787" s="196">
        <f t="shared" si="2083"/>
        <v>92394.266217464989</v>
      </c>
      <c r="CB787" s="196">
        <f t="shared" si="2084"/>
        <v>184788.53243492998</v>
      </c>
      <c r="CC787" s="196">
        <f t="shared" si="1986"/>
        <v>277182.79865239497</v>
      </c>
      <c r="CD787" s="247">
        <f t="shared" si="1974"/>
        <v>1.1695496426274363E-3</v>
      </c>
      <c r="CE787" s="196">
        <f t="shared" si="2085"/>
        <v>27434.012504226208</v>
      </c>
      <c r="CF787" s="247">
        <f t="shared" si="1975"/>
        <v>1.1846859782207802E-3</v>
      </c>
      <c r="CG787" s="196">
        <f t="shared" si="2047"/>
        <v>45895.191062270191</v>
      </c>
      <c r="CH787" s="589">
        <f t="shared" si="1991"/>
        <v>1.1695496426274363E-3</v>
      </c>
      <c r="CI787" s="196">
        <f t="shared" si="2086"/>
        <v>69314.66645566537</v>
      </c>
      <c r="CJ787" s="248">
        <f t="shared" si="1992"/>
        <v>1.1395329405872526E-3</v>
      </c>
      <c r="CK787" s="196">
        <f t="shared" si="2087"/>
        <v>67761.569533828268</v>
      </c>
      <c r="CL787" s="589">
        <f t="shared" si="1993"/>
        <v>9.740865000089883E-4</v>
      </c>
      <c r="CM787" s="196">
        <f t="shared" si="2088"/>
        <v>6564.3958407708806</v>
      </c>
      <c r="CN787" s="589">
        <f t="shared" si="1994"/>
        <v>9.460040427230938E-4</v>
      </c>
      <c r="CO787" s="196">
        <f t="shared" si="2089"/>
        <v>525.13180224172561</v>
      </c>
      <c r="CP787" s="589">
        <f t="shared" si="1995"/>
        <v>9.9031769383993245E-4</v>
      </c>
      <c r="CQ787" s="196">
        <f>'Detailed Budget'!$AC$12</f>
        <v>292876014141.44696</v>
      </c>
      <c r="CR787" s="269">
        <f t="shared" si="2040"/>
        <v>0</v>
      </c>
      <c r="CS787" s="269">
        <f>'Detailed Budget'!$AC$16</f>
        <v>10488008800.000002</v>
      </c>
      <c r="CT787" s="607">
        <f t="shared" si="2049"/>
        <v>0</v>
      </c>
      <c r="CU787" s="269">
        <f>'Detailed Budget'!$AC$24</f>
        <v>30624985696</v>
      </c>
      <c r="CV787" s="269">
        <f t="shared" si="2050"/>
        <v>0</v>
      </c>
      <c r="CW787" s="269"/>
      <c r="CX787" s="269">
        <f t="shared" si="1987"/>
        <v>0</v>
      </c>
      <c r="CY787" s="196">
        <f>'Detailed Budget'!$AC$97</f>
        <v>74629165494.837845</v>
      </c>
      <c r="CZ787" s="269">
        <f t="shared" si="2051"/>
        <v>122073662.98240435</v>
      </c>
      <c r="DA787" s="269">
        <f>'Detailed Budget'!$AC$100</f>
        <v>14925833098.967569</v>
      </c>
      <c r="DB787" s="269">
        <f t="shared" si="2052"/>
        <v>24414732.596480869</v>
      </c>
      <c r="DC787" s="269">
        <f t="shared" si="1976"/>
        <v>146488395.57888523</v>
      </c>
      <c r="DD787" s="207">
        <v>0</v>
      </c>
      <c r="DE787" s="606">
        <v>0</v>
      </c>
      <c r="DF787" s="269">
        <f>'Detailed Budget'!$AC$147</f>
        <v>5913600671000</v>
      </c>
      <c r="DG787" s="269">
        <f t="shared" si="2042"/>
        <v>0</v>
      </c>
      <c r="DH787" s="269">
        <f>'Detailed Budget'!$AC$153</f>
        <v>226428026880.00003</v>
      </c>
      <c r="DI787" s="269"/>
      <c r="DJ787" s="269">
        <f>'Detailed Budget'!$AC$156</f>
        <v>27713070000</v>
      </c>
      <c r="DK787" s="269"/>
      <c r="DL787" s="269"/>
      <c r="DM787" s="196">
        <f>'Detailed Budget'!$AC$178</f>
        <v>5622683761.6229038</v>
      </c>
      <c r="DN787" s="269">
        <f t="shared" si="2090"/>
        <v>0</v>
      </c>
      <c r="DO787" s="196">
        <f>'Detailed Budget'!$AC$179</f>
        <v>26827890683.128094</v>
      </c>
      <c r="DP787" s="269">
        <f t="shared" si="2091"/>
        <v>0</v>
      </c>
      <c r="DQ787" s="269">
        <f t="shared" si="2041"/>
        <v>0</v>
      </c>
      <c r="DR787" s="269">
        <f>'Detailed Budget'!$AC$181</f>
        <v>50888946855.375237</v>
      </c>
      <c r="DS787" s="269">
        <f t="shared" si="2092"/>
        <v>0</v>
      </c>
      <c r="DT787" s="269">
        <f t="shared" si="2093"/>
        <v>0</v>
      </c>
      <c r="DU787" s="272">
        <f>'Detailed Budget'!$AC$192</f>
        <v>77498869683.252869</v>
      </c>
      <c r="DV787" s="269">
        <f t="shared" si="2053"/>
        <v>90638775.342078641</v>
      </c>
      <c r="DW787" s="140">
        <f>'Detailed Budget'!$AC$194</f>
        <v>2684962805.4134097</v>
      </c>
      <c r="DX787" s="269">
        <f t="shared" si="2054"/>
        <v>3140197.2895392119</v>
      </c>
      <c r="DY787" s="607">
        <f t="shared" si="1977"/>
        <v>93778972.631617859</v>
      </c>
      <c r="DZ787" s="196">
        <f>'Detailed Budget'!$AC$198</f>
        <v>18732540018.380611</v>
      </c>
      <c r="EA787" s="269">
        <f t="shared" si="2055"/>
        <v>22192177.496235147</v>
      </c>
      <c r="EB787" s="196">
        <f>'Detailed Budget'!$AC$200</f>
        <v>4683135004.5951529</v>
      </c>
      <c r="EC787" s="269">
        <f t="shared" si="2056"/>
        <v>5548044.3740587868</v>
      </c>
      <c r="ED787" s="269">
        <f t="shared" si="1978"/>
        <v>27740221.870293934</v>
      </c>
      <c r="EE787" s="196">
        <f>'Detailed Budget'!$AC$161</f>
        <v>251147290106.36197</v>
      </c>
      <c r="EF787" s="269">
        <f t="shared" si="2057"/>
        <v>293729223.39074469</v>
      </c>
      <c r="EG787" s="196">
        <f>'Detailed Budget'!$AC$163</f>
        <v>15696705631.647623</v>
      </c>
      <c r="EH787" s="269">
        <f t="shared" si="2058"/>
        <v>18358076.461921543</v>
      </c>
      <c r="EI787" s="269">
        <f t="shared" si="1979"/>
        <v>312087299.85266626</v>
      </c>
      <c r="EJ787" s="196">
        <f>'Detailed Budget'!$AC$204</f>
        <v>45012172507.531975</v>
      </c>
      <c r="EK787" s="269">
        <f t="shared" si="2059"/>
        <v>51292853.299728595</v>
      </c>
      <c r="EL787" s="201">
        <f>'Detailed Budget'!$AC$206</f>
        <v>11253043126.882994</v>
      </c>
      <c r="EM787" s="269">
        <f t="shared" si="2060"/>
        <v>12823213.324932149</v>
      </c>
      <c r="EN787" s="269">
        <f t="shared" si="1980"/>
        <v>64116066.624660745</v>
      </c>
      <c r="EO787" s="140">
        <f>'Detailed Budget'!$AC$209</f>
        <v>135789361677.54817</v>
      </c>
      <c r="EP787" s="269">
        <f t="shared" si="2061"/>
        <v>132270584.05493754</v>
      </c>
      <c r="EQ787" s="196">
        <f>'Detailed Budget'!$AC$211</f>
        <v>33947340419.387043</v>
      </c>
      <c r="ER787" s="269">
        <f t="shared" si="2062"/>
        <v>33067646.013734385</v>
      </c>
      <c r="ES787" s="269">
        <f t="shared" si="1981"/>
        <v>165338230.06867194</v>
      </c>
      <c r="ET787" s="196">
        <f>'Detailed Budget'!$AC$214</f>
        <v>22239745544.201103</v>
      </c>
      <c r="EU787" s="269">
        <f t="shared" si="2063"/>
        <v>21038889.193947155</v>
      </c>
      <c r="EV787" s="140">
        <f>'Detailed Budget'!$AC$217</f>
        <v>5559936386.0502758</v>
      </c>
      <c r="EW787" s="269">
        <f t="shared" si="2064"/>
        <v>5259722.2984867888</v>
      </c>
      <c r="EX787" s="269">
        <f t="shared" si="1982"/>
        <v>26298611.492433943</v>
      </c>
      <c r="EY787" s="196">
        <f>'Detailed Budget'!$AC$219</f>
        <v>372777004.58170313</v>
      </c>
      <c r="EZ787" s="269">
        <f t="shared" si="2065"/>
        <v>369167.66349391016</v>
      </c>
      <c r="FA787" s="196">
        <f>'Detailed Budget'!$AC$222</f>
        <v>93194251.145425782</v>
      </c>
      <c r="FB787" s="269">
        <f t="shared" si="2066"/>
        <v>92291.915873477541</v>
      </c>
      <c r="FC787" s="269">
        <f t="shared" si="1983"/>
        <v>461459.57936738769</v>
      </c>
      <c r="FD787" s="269"/>
      <c r="FE787" s="269">
        <f t="shared" si="1984"/>
        <v>256214367.76513401</v>
      </c>
      <c r="FF787" s="140">
        <f>'Detailed Budget'!$AC$165</f>
        <v>14927760000</v>
      </c>
      <c r="FG787" s="1087">
        <f t="shared" si="2043"/>
        <v>349493357.44794875</v>
      </c>
      <c r="FH787" s="269">
        <f t="shared" si="2067"/>
        <v>16961436.200431772</v>
      </c>
      <c r="FJ787" s="140">
        <f>'Detailed Budget'!$AC$235</f>
        <v>3623696172</v>
      </c>
      <c r="FK787" s="269">
        <f t="shared" si="2068"/>
        <v>4681778</v>
      </c>
      <c r="FL787" s="269">
        <f t="shared" si="2044"/>
        <v>4681778</v>
      </c>
      <c r="FO787" s="607"/>
      <c r="FP787" s="607"/>
      <c r="FQ787" s="607"/>
      <c r="FR787" s="269">
        <f>'Detailed Budget'!$AC$257</f>
        <v>13636439388</v>
      </c>
      <c r="FS787" s="269">
        <f t="shared" si="2069"/>
        <v>19986720</v>
      </c>
      <c r="FT787" s="269">
        <f t="shared" si="2045"/>
        <v>19986720</v>
      </c>
      <c r="FU787" s="269"/>
      <c r="FV787" s="269"/>
      <c r="FW787" s="269"/>
      <c r="FX787" s="140">
        <f>'Detailed Budget'!$AC$278</f>
        <v>1114560000</v>
      </c>
      <c r="FY787" s="269">
        <f t="shared" si="2070"/>
        <v>1440000</v>
      </c>
      <c r="FZ787" s="269">
        <f t="shared" si="2071"/>
        <v>1440000</v>
      </c>
      <c r="GB787" s="269">
        <f t="shared" si="2094"/>
        <v>1228872549.3469779</v>
      </c>
      <c r="GC787" s="887">
        <f t="shared" si="1985"/>
        <v>768045.34334186127</v>
      </c>
      <c r="GD787" s="1078">
        <f t="shared" si="2095"/>
        <v>6.8955908353281767E-4</v>
      </c>
    </row>
    <row r="788" spans="1:186" hidden="1" outlineLevel="1">
      <c r="A788" s="211" t="s">
        <v>1653</v>
      </c>
      <c r="B788" s="212" t="s">
        <v>1654</v>
      </c>
      <c r="C788" s="213" t="s">
        <v>215</v>
      </c>
      <c r="D788" s="214"/>
      <c r="E788" s="213"/>
      <c r="F788" s="213"/>
      <c r="G788" s="213" t="s">
        <v>215</v>
      </c>
      <c r="H788" s="213" t="s">
        <v>215</v>
      </c>
      <c r="I788" s="214" t="s">
        <v>215</v>
      </c>
      <c r="J788" s="214"/>
      <c r="K788" s="213"/>
      <c r="L788" s="213"/>
      <c r="M788" s="214" t="s">
        <v>215</v>
      </c>
      <c r="N788" s="213"/>
      <c r="O788" s="214"/>
      <c r="P788" s="213"/>
      <c r="Q788" s="214"/>
      <c r="R788" s="214" t="s">
        <v>215</v>
      </c>
      <c r="S788" s="214"/>
      <c r="T788" s="214"/>
      <c r="U788" s="215">
        <f t="shared" si="2099"/>
        <v>6</v>
      </c>
      <c r="V788" s="845" t="s">
        <v>216</v>
      </c>
      <c r="W788" s="216">
        <v>144136</v>
      </c>
      <c r="X788" s="217">
        <v>3.01</v>
      </c>
      <c r="Y788" s="218">
        <f t="shared" si="1965"/>
        <v>1.0301</v>
      </c>
      <c r="Z788" s="196">
        <v>19</v>
      </c>
      <c r="AA788" s="218">
        <f t="shared" si="1966"/>
        <v>1.7567435038184733</v>
      </c>
      <c r="AB788" s="196">
        <f t="shared" si="2097"/>
        <v>253209.98166637946</v>
      </c>
      <c r="AC788">
        <v>12.7</v>
      </c>
      <c r="AD788" s="196">
        <f t="shared" si="2098"/>
        <v>32157.667671630192</v>
      </c>
      <c r="AE788" s="196">
        <f t="shared" si="1967"/>
        <v>30549.784288048682</v>
      </c>
      <c r="AF788" s="196">
        <f t="shared" si="2072"/>
        <v>0</v>
      </c>
      <c r="AG788" s="606">
        <f t="shared" si="1988"/>
        <v>1.4124879094133751E-3</v>
      </c>
      <c r="AH788" s="196">
        <f t="shared" si="2096"/>
        <v>12660.499083318973</v>
      </c>
      <c r="AI788" s="248">
        <f t="shared" si="1964"/>
        <v>9.8078968145493364E-4</v>
      </c>
      <c r="AJ788" s="196">
        <f t="shared" si="1968"/>
        <v>44818.166754949169</v>
      </c>
      <c r="AK788" s="196">
        <f t="shared" si="1998"/>
        <v>10128.399266655179</v>
      </c>
      <c r="AL788" s="196">
        <f t="shared" si="1999"/>
        <v>10128.399266655179</v>
      </c>
      <c r="AM788" s="196">
        <f t="shared" si="1969"/>
        <v>20256.798533310357</v>
      </c>
      <c r="AN788" s="627">
        <f t="shared" si="1970"/>
        <v>9.8078968145493364E-4</v>
      </c>
      <c r="AO788" s="196">
        <f t="shared" si="1971"/>
        <v>9621.9793033224196</v>
      </c>
      <c r="AP788" s="589">
        <f t="shared" si="1989"/>
        <v>9.8078968145493364E-4</v>
      </c>
      <c r="AQ788" s="196"/>
      <c r="AR788" s="589"/>
      <c r="AS788">
        <v>1</v>
      </c>
      <c r="AT788" s="589">
        <f t="shared" si="1990"/>
        <v>1.2919896640826874E-3</v>
      </c>
      <c r="AU788" s="196">
        <v>10</v>
      </c>
      <c r="AV788" s="245">
        <f t="shared" si="1972"/>
        <v>1.1362345188046814E-3</v>
      </c>
      <c r="AX788" s="245"/>
      <c r="AY788" s="245"/>
      <c r="AZ788" s="196">
        <v>20</v>
      </c>
      <c r="BA788" s="589">
        <f t="shared" si="2073"/>
        <v>7.3284232897292143E-4</v>
      </c>
      <c r="BI788" s="196">
        <v>0</v>
      </c>
      <c r="BK788" s="246">
        <f t="shared" si="2074"/>
        <v>0</v>
      </c>
      <c r="BL788" s="246"/>
      <c r="BM788" s="246">
        <f t="shared" si="2075"/>
        <v>0</v>
      </c>
      <c r="BN788" s="196">
        <v>1</v>
      </c>
      <c r="BO788" s="196">
        <f t="shared" si="2076"/>
        <v>14663.86472730945</v>
      </c>
      <c r="BP788" s="196">
        <f t="shared" si="1973"/>
        <v>14663.86472730945</v>
      </c>
      <c r="BQ788" s="248">
        <f t="shared" si="2077"/>
        <v>1.3717362593171818E-3</v>
      </c>
      <c r="BR788" s="248"/>
      <c r="BS788" s="248"/>
      <c r="BT788" s="276">
        <v>0</v>
      </c>
      <c r="BU788" s="196">
        <f t="shared" si="2078"/>
        <v>0</v>
      </c>
      <c r="BV788" s="264">
        <f t="shared" si="2079"/>
        <v>0</v>
      </c>
      <c r="BW788" s="196">
        <f t="shared" si="2080"/>
        <v>0</v>
      </c>
      <c r="BX788" s="247">
        <f t="shared" si="2081"/>
        <v>0</v>
      </c>
      <c r="BY788" s="196">
        <f t="shared" si="2082"/>
        <v>0</v>
      </c>
      <c r="BZ788" s="620">
        <v>1</v>
      </c>
      <c r="CA788" s="196">
        <f t="shared" si="2083"/>
        <v>77482.254389912123</v>
      </c>
      <c r="CB788" s="196">
        <f t="shared" si="2084"/>
        <v>154964.50877982425</v>
      </c>
      <c r="CC788" s="196">
        <f t="shared" si="1986"/>
        <v>232446.76316973637</v>
      </c>
      <c r="CD788" s="247">
        <f t="shared" si="1974"/>
        <v>9.8078968145493364E-4</v>
      </c>
      <c r="CE788" s="196">
        <f t="shared" si="2085"/>
        <v>23006.288407393404</v>
      </c>
      <c r="CF788" s="247">
        <f t="shared" si="1975"/>
        <v>9.9348308173817382E-4</v>
      </c>
      <c r="CG788" s="196">
        <f t="shared" si="2047"/>
        <v>38487.917213289678</v>
      </c>
      <c r="CH788" s="589">
        <f t="shared" si="1991"/>
        <v>9.8078968145493364E-4</v>
      </c>
      <c r="CI788" s="196">
        <f t="shared" si="2086"/>
        <v>58127.596431460952</v>
      </c>
      <c r="CJ788" s="248">
        <f t="shared" si="1992"/>
        <v>9.5561753778587017E-4</v>
      </c>
      <c r="CK788" s="196">
        <f t="shared" si="2087"/>
        <v>56825.162246781816</v>
      </c>
      <c r="CL788" s="589">
        <f t="shared" si="1993"/>
        <v>8.1687339573468978E-4</v>
      </c>
      <c r="CM788" s="196">
        <f t="shared" si="2088"/>
        <v>5504.932386751796</v>
      </c>
      <c r="CN788" s="589">
        <f t="shared" si="1994"/>
        <v>7.9332331856650062E-4</v>
      </c>
      <c r="CO788" s="196">
        <f t="shared" si="2089"/>
        <v>440.37793204352766</v>
      </c>
      <c r="CP788" s="589">
        <f t="shared" si="1995"/>
        <v>8.3048494914538678E-4</v>
      </c>
      <c r="CQ788" s="196">
        <f>'Detailed Budget'!$AC$12</f>
        <v>292876014141.44696</v>
      </c>
      <c r="CR788" s="269">
        <f t="shared" si="2040"/>
        <v>0</v>
      </c>
      <c r="CS788" s="269">
        <f>'Detailed Budget'!$AC$16</f>
        <v>10488008800.000002</v>
      </c>
      <c r="CT788" s="607">
        <f t="shared" si="2049"/>
        <v>0</v>
      </c>
      <c r="CU788" s="269">
        <f>'Detailed Budget'!$AC$24</f>
        <v>30624985696</v>
      </c>
      <c r="CV788" s="269">
        <f t="shared" si="2050"/>
        <v>0</v>
      </c>
      <c r="CW788" s="269"/>
      <c r="CX788" s="269">
        <f t="shared" si="1987"/>
        <v>0</v>
      </c>
      <c r="CY788" s="196">
        <f>'Detailed Budget'!$AC$97</f>
        <v>74629165494.837845</v>
      </c>
      <c r="CZ788" s="269">
        <f t="shared" si="2051"/>
        <v>102371532.31185175</v>
      </c>
      <c r="DA788" s="269">
        <f>'Detailed Budget'!$AC$100</f>
        <v>14925833098.967569</v>
      </c>
      <c r="DB788" s="269">
        <f t="shared" si="2052"/>
        <v>20474306.462370355</v>
      </c>
      <c r="DC788" s="269">
        <f t="shared" si="1976"/>
        <v>122845838.77422211</v>
      </c>
      <c r="DD788" s="207">
        <v>0</v>
      </c>
      <c r="DE788" s="606">
        <v>0</v>
      </c>
      <c r="DF788" s="269">
        <f>'Detailed Budget'!$AC$147</f>
        <v>5913600671000</v>
      </c>
      <c r="DG788" s="269">
        <f t="shared" si="2042"/>
        <v>0</v>
      </c>
      <c r="DH788" s="269">
        <f>'Detailed Budget'!$AC$153</f>
        <v>226428026880.00003</v>
      </c>
      <c r="DI788" s="269"/>
      <c r="DJ788" s="269">
        <f>'Detailed Budget'!$AC$156</f>
        <v>27713070000</v>
      </c>
      <c r="DK788" s="269"/>
      <c r="DL788" s="269"/>
      <c r="DM788" s="196">
        <f>'Detailed Budget'!$AC$178</f>
        <v>5622683761.6229038</v>
      </c>
      <c r="DN788" s="269">
        <f t="shared" si="2090"/>
        <v>0</v>
      </c>
      <c r="DO788" s="196">
        <f>'Detailed Budget'!$AC$179</f>
        <v>26827890683.128094</v>
      </c>
      <c r="DP788" s="269">
        <f t="shared" si="2091"/>
        <v>0</v>
      </c>
      <c r="DQ788" s="269">
        <f t="shared" si="2041"/>
        <v>0</v>
      </c>
      <c r="DR788" s="269">
        <f>'Detailed Budget'!$AC$181</f>
        <v>50888946855.375237</v>
      </c>
      <c r="DS788" s="269">
        <f t="shared" si="2092"/>
        <v>0</v>
      </c>
      <c r="DT788" s="269">
        <f t="shared" si="2093"/>
        <v>0</v>
      </c>
      <c r="DU788" s="272">
        <f>'Detailed Budget'!$AC$192</f>
        <v>77498869683.252869</v>
      </c>
      <c r="DV788" s="269">
        <f t="shared" si="2053"/>
        <v>76010091.709754989</v>
      </c>
      <c r="DW788" s="140">
        <f>'Detailed Budget'!$AC$194</f>
        <v>2684962805.4134097</v>
      </c>
      <c r="DX788" s="269">
        <f t="shared" si="2054"/>
        <v>2633383.814639763</v>
      </c>
      <c r="DY788" s="607">
        <f t="shared" si="1977"/>
        <v>78643475.524394751</v>
      </c>
      <c r="DZ788" s="196">
        <f>'Detailed Budget'!$AC$198</f>
        <v>18732540018.380611</v>
      </c>
      <c r="EA788" s="269">
        <f t="shared" si="2055"/>
        <v>18610461.586244438</v>
      </c>
      <c r="EB788" s="196">
        <f>'Detailed Budget'!$AC$200</f>
        <v>4683135004.5951529</v>
      </c>
      <c r="EC788" s="269">
        <f t="shared" si="2056"/>
        <v>4652615.3965611095</v>
      </c>
      <c r="ED788" s="269">
        <f t="shared" si="1978"/>
        <v>23263076.982805546</v>
      </c>
      <c r="EE788" s="196">
        <f>'Detailed Budget'!$AC$161</f>
        <v>251147290106.36197</v>
      </c>
      <c r="EF788" s="269">
        <f t="shared" si="2057"/>
        <v>246322670.66168857</v>
      </c>
      <c r="EG788" s="196">
        <f>'Detailed Budget'!$AC$163</f>
        <v>15696705631.647623</v>
      </c>
      <c r="EH788" s="269">
        <f t="shared" si="2058"/>
        <v>15395166.916355535</v>
      </c>
      <c r="EI788" s="269">
        <f t="shared" si="1979"/>
        <v>261717837.57804412</v>
      </c>
      <c r="EJ788" s="196">
        <f>'Detailed Budget'!$AC$204</f>
        <v>45012172507.531975</v>
      </c>
      <c r="EK788" s="269">
        <f t="shared" si="2059"/>
        <v>43014421.462040544</v>
      </c>
      <c r="EL788" s="201">
        <f>'Detailed Budget'!$AC$206</f>
        <v>11253043126.882994</v>
      </c>
      <c r="EM788" s="269">
        <f t="shared" si="2060"/>
        <v>10753605.365510136</v>
      </c>
      <c r="EN788" s="269">
        <f t="shared" si="1980"/>
        <v>53768026.827550679</v>
      </c>
      <c r="EO788" s="140">
        <f>'Detailed Budget'!$AC$209</f>
        <v>135789361677.54817</v>
      </c>
      <c r="EP788" s="269">
        <f t="shared" si="2061"/>
        <v>110922716.97818473</v>
      </c>
      <c r="EQ788" s="196">
        <f>'Detailed Budget'!$AC$211</f>
        <v>33947340419.387043</v>
      </c>
      <c r="ER788" s="269">
        <f t="shared" si="2062"/>
        <v>27730679.244546182</v>
      </c>
      <c r="ES788" s="269">
        <f t="shared" si="1981"/>
        <v>138653396.2227309</v>
      </c>
      <c r="ET788" s="196">
        <f>'Detailed Budget'!$AC$214</f>
        <v>22239745544.201103</v>
      </c>
      <c r="EU788" s="269">
        <f t="shared" si="2063"/>
        <v>17643308.739200164</v>
      </c>
      <c r="EV788" s="140">
        <f>'Detailed Budget'!$AC$217</f>
        <v>5559936386.0502758</v>
      </c>
      <c r="EW788" s="269">
        <f t="shared" si="2064"/>
        <v>4410827.1848000409</v>
      </c>
      <c r="EX788" s="269">
        <f t="shared" si="1982"/>
        <v>22054135.924000204</v>
      </c>
      <c r="EY788" s="196">
        <f>'Detailed Budget'!$AC$219</f>
        <v>372777004.58170313</v>
      </c>
      <c r="EZ788" s="269">
        <f t="shared" si="2065"/>
        <v>309585.69169260532</v>
      </c>
      <c r="FA788" s="196">
        <f>'Detailed Budget'!$AC$222</f>
        <v>93194251.145425782</v>
      </c>
      <c r="FB788" s="269">
        <f t="shared" si="2066"/>
        <v>77396.422923151331</v>
      </c>
      <c r="FC788" s="269">
        <f t="shared" si="1983"/>
        <v>386982.11461575667</v>
      </c>
      <c r="FD788" s="269"/>
      <c r="FE788" s="269">
        <f t="shared" si="1984"/>
        <v>214862541.08889756</v>
      </c>
      <c r="FF788" s="140">
        <f>'Detailed Budget'!$AC$165</f>
        <v>14927760000</v>
      </c>
      <c r="FG788" s="1087">
        <f t="shared" si="2043"/>
        <v>293086728.62480825</v>
      </c>
      <c r="FH788" s="269">
        <f t="shared" si="2067"/>
        <v>16961436.200431772</v>
      </c>
      <c r="FJ788" s="140">
        <f>'Detailed Budget'!$AC$235</f>
        <v>3623696172</v>
      </c>
      <c r="FK788" s="269">
        <f t="shared" si="2068"/>
        <v>4681778</v>
      </c>
      <c r="FL788" s="269">
        <f t="shared" si="2044"/>
        <v>4681778</v>
      </c>
      <c r="FO788" s="607"/>
      <c r="FP788" s="607"/>
      <c r="FQ788" s="607"/>
      <c r="FR788" s="269">
        <f>'Detailed Budget'!$AC$257</f>
        <v>13636439388</v>
      </c>
      <c r="FS788" s="269">
        <f t="shared" si="2069"/>
        <v>9993360</v>
      </c>
      <c r="FT788" s="269">
        <f t="shared" si="2045"/>
        <v>9993360</v>
      </c>
      <c r="FU788" s="269"/>
      <c r="FV788" s="269"/>
      <c r="FW788" s="269"/>
      <c r="FX788" s="140">
        <f>'Detailed Budget'!$AC$278</f>
        <v>1114560000</v>
      </c>
      <c r="FY788" s="269">
        <f t="shared" si="2070"/>
        <v>1440000</v>
      </c>
      <c r="FZ788" s="269">
        <f t="shared" si="2071"/>
        <v>1440000</v>
      </c>
      <c r="GB788" s="269">
        <f t="shared" si="2094"/>
        <v>1027496072.7736042</v>
      </c>
      <c r="GC788" s="887">
        <f t="shared" si="1985"/>
        <v>642185.04548350256</v>
      </c>
      <c r="GD788" s="1078">
        <f t="shared" si="2095"/>
        <v>5.765604013628936E-4</v>
      </c>
    </row>
    <row r="789" spans="1:186" hidden="1" outlineLevel="1">
      <c r="A789" s="211" t="s">
        <v>1655</v>
      </c>
      <c r="B789" s="212" t="s">
        <v>1656</v>
      </c>
      <c r="C789" s="213" t="s">
        <v>215</v>
      </c>
      <c r="D789" s="214"/>
      <c r="E789" s="213"/>
      <c r="F789" s="213"/>
      <c r="G789" s="213" t="s">
        <v>215</v>
      </c>
      <c r="H789" s="213" t="s">
        <v>215</v>
      </c>
      <c r="I789" s="214" t="s">
        <v>215</v>
      </c>
      <c r="J789" s="214"/>
      <c r="K789" s="213"/>
      <c r="L789" s="213"/>
      <c r="M789" s="214" t="s">
        <v>215</v>
      </c>
      <c r="N789" s="213"/>
      <c r="O789" s="214"/>
      <c r="P789" s="213"/>
      <c r="Q789" s="214"/>
      <c r="R789" s="214" t="s">
        <v>215</v>
      </c>
      <c r="S789" s="214"/>
      <c r="T789" s="214"/>
      <c r="U789" s="215">
        <f t="shared" si="2099"/>
        <v>6</v>
      </c>
      <c r="V789" s="845" t="s">
        <v>216</v>
      </c>
      <c r="W789" s="216">
        <v>232287</v>
      </c>
      <c r="X789" s="217">
        <v>3.01</v>
      </c>
      <c r="Y789" s="218">
        <f t="shared" si="1965"/>
        <v>1.0301</v>
      </c>
      <c r="Z789" s="196">
        <v>19</v>
      </c>
      <c r="AA789" s="218">
        <f t="shared" si="1966"/>
        <v>1.7567435038184733</v>
      </c>
      <c r="AB789" s="196">
        <f t="shared" si="2097"/>
        <v>408068.67827148171</v>
      </c>
      <c r="AC789">
        <v>12.7</v>
      </c>
      <c r="AD789" s="196">
        <f t="shared" si="2098"/>
        <v>51824.722140478174</v>
      </c>
      <c r="AE789" s="196">
        <f t="shared" si="1967"/>
        <v>49233.486033454261</v>
      </c>
      <c r="AF789" s="196">
        <f t="shared" si="2072"/>
        <v>0</v>
      </c>
      <c r="AG789" s="606">
        <f t="shared" si="1988"/>
        <v>2.2763402551333784E-3</v>
      </c>
      <c r="AH789" s="196">
        <f t="shared" si="2096"/>
        <v>20403.433913574088</v>
      </c>
      <c r="AI789" s="248">
        <f t="shared" si="1964"/>
        <v>1.5806231110626226E-3</v>
      </c>
      <c r="AJ789" s="196">
        <f t="shared" si="1968"/>
        <v>72228.156054052262</v>
      </c>
      <c r="AK789" s="196">
        <f t="shared" si="1998"/>
        <v>16322.747130859269</v>
      </c>
      <c r="AL789" s="196">
        <f t="shared" si="1999"/>
        <v>16322.747130859269</v>
      </c>
      <c r="AM789" s="196">
        <f t="shared" si="1969"/>
        <v>32645.494261718537</v>
      </c>
      <c r="AN789" s="627">
        <f t="shared" si="1970"/>
        <v>1.5806231110626224E-3</v>
      </c>
      <c r="AO789" s="196">
        <f t="shared" si="1971"/>
        <v>15506.609774316305</v>
      </c>
      <c r="AP789" s="589">
        <f t="shared" si="1989"/>
        <v>1.5806231110626224E-3</v>
      </c>
      <c r="AQ789" s="196"/>
      <c r="AR789" s="589"/>
      <c r="AS789">
        <v>1</v>
      </c>
      <c r="AT789" s="589">
        <f t="shared" si="1990"/>
        <v>1.2919896640826874E-3</v>
      </c>
      <c r="AU789" s="196">
        <v>11</v>
      </c>
      <c r="AV789" s="245">
        <f t="shared" si="1972"/>
        <v>1.2498579706851495E-3</v>
      </c>
      <c r="AX789" s="245"/>
      <c r="AY789" s="245"/>
      <c r="AZ789" s="196">
        <v>57</v>
      </c>
      <c r="BA789" s="589">
        <f t="shared" si="2073"/>
        <v>2.088600637572826E-3</v>
      </c>
      <c r="BI789" s="196">
        <v>0</v>
      </c>
      <c r="BK789" s="246">
        <f t="shared" si="2074"/>
        <v>0</v>
      </c>
      <c r="BL789" s="246"/>
      <c r="BM789" s="246">
        <f t="shared" si="2075"/>
        <v>0</v>
      </c>
      <c r="BN789" s="196">
        <v>1</v>
      </c>
      <c r="BO789" s="196">
        <f t="shared" si="2076"/>
        <v>23632.022159020162</v>
      </c>
      <c r="BP789" s="196">
        <f t="shared" si="1973"/>
        <v>23632.022159020162</v>
      </c>
      <c r="BQ789" s="248">
        <f t="shared" si="2077"/>
        <v>2.2106656246046108E-3</v>
      </c>
      <c r="BR789" s="248"/>
      <c r="BS789" s="248"/>
      <c r="BT789" s="276">
        <v>0</v>
      </c>
      <c r="BU789" s="196">
        <f t="shared" si="2078"/>
        <v>0</v>
      </c>
      <c r="BV789" s="264">
        <f t="shared" si="2079"/>
        <v>0</v>
      </c>
      <c r="BW789" s="196">
        <f t="shared" si="2080"/>
        <v>0</v>
      </c>
      <c r="BX789" s="247">
        <f t="shared" si="2081"/>
        <v>0</v>
      </c>
      <c r="BY789" s="196">
        <f t="shared" si="2082"/>
        <v>0</v>
      </c>
      <c r="BZ789" s="620">
        <v>1</v>
      </c>
      <c r="CA789" s="196">
        <f t="shared" si="2083"/>
        <v>124869.01555107342</v>
      </c>
      <c r="CB789" s="196">
        <f t="shared" si="2084"/>
        <v>249738.03110214684</v>
      </c>
      <c r="CC789" s="196">
        <f t="shared" si="1986"/>
        <v>374607.04665322026</v>
      </c>
      <c r="CD789" s="247">
        <f t="shared" si="1974"/>
        <v>1.5806231110626226E-3</v>
      </c>
      <c r="CE789" s="196">
        <f t="shared" si="2085"/>
        <v>37076.522973359832</v>
      </c>
      <c r="CF789" s="247">
        <f t="shared" si="1975"/>
        <v>1.6010795679616144E-3</v>
      </c>
      <c r="CG789" s="196">
        <f t="shared" si="2047"/>
        <v>62026.439097265218</v>
      </c>
      <c r="CH789" s="589">
        <f t="shared" si="1991"/>
        <v>1.5806231110626224E-3</v>
      </c>
      <c r="CI789" s="196">
        <f t="shared" si="2086"/>
        <v>93677.394906718444</v>
      </c>
      <c r="CJ789" s="248">
        <f t="shared" si="1992"/>
        <v>1.5400561344817841E-3</v>
      </c>
      <c r="CK789" s="196">
        <f t="shared" si="2087"/>
        <v>91578.415266263852</v>
      </c>
      <c r="CL789" s="589">
        <f t="shared" si="1993"/>
        <v>1.3164585563289108E-3</v>
      </c>
      <c r="CM789" s="196">
        <f t="shared" si="2088"/>
        <v>8871.6505891756005</v>
      </c>
      <c r="CN789" s="589">
        <f t="shared" si="1994"/>
        <v>1.278505673113287E-3</v>
      </c>
      <c r="CO789" s="196">
        <f t="shared" si="2089"/>
        <v>709.70519995417453</v>
      </c>
      <c r="CP789" s="589">
        <f t="shared" si="1995"/>
        <v>1.3383946923886776E-3</v>
      </c>
      <c r="CQ789" s="196">
        <f>'Detailed Budget'!$AC$12</f>
        <v>292876014141.44696</v>
      </c>
      <c r="CR789" s="269">
        <f t="shared" si="2040"/>
        <v>0</v>
      </c>
      <c r="CS789" s="269">
        <f>'Detailed Budget'!$AC$16</f>
        <v>10488008800.000002</v>
      </c>
      <c r="CT789" s="607">
        <f t="shared" si="2049"/>
        <v>0</v>
      </c>
      <c r="CU789" s="269">
        <f>'Detailed Budget'!$AC$24</f>
        <v>30624985696</v>
      </c>
      <c r="CV789" s="269">
        <f t="shared" si="2050"/>
        <v>0</v>
      </c>
      <c r="CW789" s="269"/>
      <c r="CX789" s="269">
        <f t="shared" si="1987"/>
        <v>0</v>
      </c>
      <c r="CY789" s="196">
        <f>'Detailed Budget'!$AC$97</f>
        <v>74629165494.837845</v>
      </c>
      <c r="CZ789" s="269">
        <f t="shared" si="2051"/>
        <v>164980130.75236657</v>
      </c>
      <c r="DA789" s="269">
        <f>'Detailed Budget'!$AC$100</f>
        <v>14925833098.967569</v>
      </c>
      <c r="DB789" s="269">
        <f t="shared" si="2052"/>
        <v>32996026.150473315</v>
      </c>
      <c r="DC789" s="269">
        <f t="shared" si="1976"/>
        <v>197976156.9028399</v>
      </c>
      <c r="DD789" s="207">
        <v>0</v>
      </c>
      <c r="DE789" s="606">
        <v>0</v>
      </c>
      <c r="DF789" s="269">
        <f>'Detailed Budget'!$AC$147</f>
        <v>5913600671000</v>
      </c>
      <c r="DG789" s="269">
        <f t="shared" si="2042"/>
        <v>0</v>
      </c>
      <c r="DH789" s="269">
        <f>'Detailed Budget'!$AC$153</f>
        <v>226428026880.00003</v>
      </c>
      <c r="DI789" s="269"/>
      <c r="DJ789" s="269">
        <f>'Detailed Budget'!$AC$156</f>
        <v>27713070000</v>
      </c>
      <c r="DK789" s="269"/>
      <c r="DL789" s="269"/>
      <c r="DM789" s="196">
        <f>'Detailed Budget'!$AC$178</f>
        <v>5622683761.6229038</v>
      </c>
      <c r="DN789" s="269">
        <f t="shared" si="2090"/>
        <v>0</v>
      </c>
      <c r="DO789" s="196">
        <f>'Detailed Budget'!$AC$179</f>
        <v>26827890683.128094</v>
      </c>
      <c r="DP789" s="269">
        <f t="shared" si="2091"/>
        <v>0</v>
      </c>
      <c r="DQ789" s="269">
        <f t="shared" si="2041"/>
        <v>0</v>
      </c>
      <c r="DR789" s="269">
        <f>'Detailed Budget'!$AC$181</f>
        <v>50888946855.375237</v>
      </c>
      <c r="DS789" s="269">
        <f t="shared" si="2092"/>
        <v>0</v>
      </c>
      <c r="DT789" s="269">
        <f t="shared" si="2093"/>
        <v>0</v>
      </c>
      <c r="DU789" s="272">
        <f>'Detailed Budget'!$AC$192</f>
        <v>77498869683.252869</v>
      </c>
      <c r="DV789" s="269">
        <f t="shared" si="2053"/>
        <v>122496504.50257991</v>
      </c>
      <c r="DW789" s="140">
        <f>'Detailed Budget'!$AC$194</f>
        <v>2684962805.4134097</v>
      </c>
      <c r="DX789" s="269">
        <f t="shared" si="2054"/>
        <v>4243914.2625799701</v>
      </c>
      <c r="DY789" s="607">
        <f t="shared" si="1977"/>
        <v>126740418.76515988</v>
      </c>
      <c r="DZ789" s="196">
        <f>'Detailed Budget'!$AC$198</f>
        <v>18732540018.380611</v>
      </c>
      <c r="EA789" s="269">
        <f t="shared" si="2055"/>
        <v>29992287.079452481</v>
      </c>
      <c r="EB789" s="196">
        <f>'Detailed Budget'!$AC$200</f>
        <v>4683135004.5951529</v>
      </c>
      <c r="EC789" s="269">
        <f t="shared" si="2056"/>
        <v>7498071.7698631203</v>
      </c>
      <c r="ED789" s="269">
        <f t="shared" si="1978"/>
        <v>37490358.849315599</v>
      </c>
      <c r="EE789" s="196">
        <f>'Detailed Budget'!$AC$161</f>
        <v>251147290106.36197</v>
      </c>
      <c r="EF789" s="269">
        <f t="shared" si="2057"/>
        <v>396969211.02286482</v>
      </c>
      <c r="EG789" s="196">
        <f>'Detailed Budget'!$AC$163</f>
        <v>15696705631.647623</v>
      </c>
      <c r="EH789" s="269">
        <f t="shared" si="2058"/>
        <v>24810575.688929051</v>
      </c>
      <c r="EI789" s="269">
        <f t="shared" si="1979"/>
        <v>421779786.7117939</v>
      </c>
      <c r="EJ789" s="196">
        <f>'Detailed Budget'!$AC$204</f>
        <v>45012172507.531975</v>
      </c>
      <c r="EK789" s="269">
        <f t="shared" si="2059"/>
        <v>69321272.396576926</v>
      </c>
      <c r="EL789" s="201">
        <f>'Detailed Budget'!$AC$206</f>
        <v>11253043126.882994</v>
      </c>
      <c r="EM789" s="269">
        <f t="shared" si="2060"/>
        <v>17330318.099144232</v>
      </c>
      <c r="EN789" s="269">
        <f t="shared" si="1980"/>
        <v>86651590.495721161</v>
      </c>
      <c r="EO789" s="140">
        <f>'Detailed Budget'!$AC$209</f>
        <v>135789361677.54817</v>
      </c>
      <c r="EP789" s="269">
        <f t="shared" si="2061"/>
        <v>178761067.03884938</v>
      </c>
      <c r="EQ789" s="196">
        <f>'Detailed Budget'!$AC$211</f>
        <v>33947340419.387043</v>
      </c>
      <c r="ER789" s="269">
        <f t="shared" si="2062"/>
        <v>44690266.759712346</v>
      </c>
      <c r="ES789" s="269">
        <f t="shared" si="1981"/>
        <v>223451333.79856172</v>
      </c>
      <c r="ET789" s="196">
        <f>'Detailed Budget'!$AC$214</f>
        <v>22239745544.201103</v>
      </c>
      <c r="EU789" s="269">
        <f t="shared" si="2063"/>
        <v>28433640.846857056</v>
      </c>
      <c r="EV789" s="140">
        <f>'Detailed Budget'!$AC$217</f>
        <v>5559936386.0502758</v>
      </c>
      <c r="EW789" s="269">
        <f t="shared" si="2064"/>
        <v>7108410.211714264</v>
      </c>
      <c r="EX789" s="269">
        <f t="shared" si="1982"/>
        <v>35542051.058571324</v>
      </c>
      <c r="EY789" s="196">
        <f>'Detailed Budget'!$AC$219</f>
        <v>372777004.58170313</v>
      </c>
      <c r="EZ789" s="269">
        <f t="shared" si="2065"/>
        <v>498922.76437670121</v>
      </c>
      <c r="FA789" s="196">
        <f>'Detailed Budget'!$AC$222</f>
        <v>93194251.145425782</v>
      </c>
      <c r="FB789" s="269">
        <f t="shared" si="2066"/>
        <v>124730.6910941753</v>
      </c>
      <c r="FC789" s="269">
        <f t="shared" si="1983"/>
        <v>623653.45547087654</v>
      </c>
      <c r="FD789" s="269"/>
      <c r="FE789" s="269">
        <f t="shared" si="1984"/>
        <v>346268628.80832511</v>
      </c>
      <c r="FF789" s="140">
        <f>'Detailed Budget'!$AC$165</f>
        <v>14927760000</v>
      </c>
      <c r="FG789" s="1087">
        <f t="shared" si="2043"/>
        <v>472333330.54941744</v>
      </c>
      <c r="FH789" s="269">
        <f t="shared" si="2067"/>
        <v>18657579.820474949</v>
      </c>
      <c r="FJ789" s="140">
        <f>'Detailed Budget'!$AC$235</f>
        <v>3623696172</v>
      </c>
      <c r="FK789" s="269">
        <f t="shared" si="2068"/>
        <v>4681778</v>
      </c>
      <c r="FL789" s="269">
        <f t="shared" si="2044"/>
        <v>4681778</v>
      </c>
      <c r="FO789" s="607"/>
      <c r="FP789" s="607"/>
      <c r="FQ789" s="607"/>
      <c r="FR789" s="269">
        <f>'Detailed Budget'!$AC$257</f>
        <v>13636439388</v>
      </c>
      <c r="FS789" s="269">
        <f t="shared" si="2069"/>
        <v>28481075.999999996</v>
      </c>
      <c r="FT789" s="269">
        <f t="shared" si="2045"/>
        <v>28481075.999999996</v>
      </c>
      <c r="FU789" s="269"/>
      <c r="FV789" s="269"/>
      <c r="FW789" s="269"/>
      <c r="FX789" s="140">
        <f>'Detailed Budget'!$AC$278</f>
        <v>1114560000</v>
      </c>
      <c r="FY789" s="269">
        <f t="shared" si="2070"/>
        <v>1440000</v>
      </c>
      <c r="FZ789" s="269">
        <f t="shared" si="2071"/>
        <v>1440000</v>
      </c>
      <c r="GB789" s="269">
        <f t="shared" si="2094"/>
        <v>1655849114.4073267</v>
      </c>
      <c r="GC789" s="887">
        <f t="shared" si="1985"/>
        <v>1034905.6965045792</v>
      </c>
      <c r="GD789" s="1078">
        <f t="shared" si="2095"/>
        <v>9.2914907929719716E-4</v>
      </c>
    </row>
    <row r="790" spans="1:186" hidden="1" outlineLevel="1">
      <c r="A790" s="211" t="s">
        <v>1657</v>
      </c>
      <c r="B790" s="212" t="s">
        <v>1658</v>
      </c>
      <c r="C790" s="213" t="s">
        <v>215</v>
      </c>
      <c r="D790" s="214"/>
      <c r="E790" s="213"/>
      <c r="F790" s="213"/>
      <c r="G790" s="213" t="s">
        <v>215</v>
      </c>
      <c r="H790" s="213" t="s">
        <v>215</v>
      </c>
      <c r="I790" s="214" t="s">
        <v>215</v>
      </c>
      <c r="J790" s="214"/>
      <c r="K790" s="213"/>
      <c r="L790" s="213"/>
      <c r="M790" s="214" t="s">
        <v>215</v>
      </c>
      <c r="N790" s="213"/>
      <c r="O790" s="214"/>
      <c r="P790" s="213"/>
      <c r="Q790" s="214"/>
      <c r="R790" s="214" t="s">
        <v>215</v>
      </c>
      <c r="S790" s="214"/>
      <c r="T790" s="214"/>
      <c r="U790" s="215">
        <f t="shared" si="2099"/>
        <v>6</v>
      </c>
      <c r="V790" s="845" t="s">
        <v>216</v>
      </c>
      <c r="W790" s="216">
        <v>234138</v>
      </c>
      <c r="X790" s="217">
        <v>3.01</v>
      </c>
      <c r="Y790" s="218">
        <f t="shared" si="1965"/>
        <v>1.0301</v>
      </c>
      <c r="Z790" s="196">
        <v>19</v>
      </c>
      <c r="AA790" s="218">
        <f t="shared" si="1966"/>
        <v>1.7567435038184733</v>
      </c>
      <c r="AB790" s="196">
        <f t="shared" si="2097"/>
        <v>411320.41049704968</v>
      </c>
      <c r="AC790">
        <v>12.7</v>
      </c>
      <c r="AD790" s="196">
        <f t="shared" si="2098"/>
        <v>52237.692133125311</v>
      </c>
      <c r="AE790" s="196">
        <f t="shared" si="1967"/>
        <v>49625.807526469041</v>
      </c>
      <c r="AF790" s="196">
        <f t="shared" si="2072"/>
        <v>0</v>
      </c>
      <c r="AG790" s="606">
        <f t="shared" si="1988"/>
        <v>2.2944794786467558E-3</v>
      </c>
      <c r="AH790" s="196">
        <f t="shared" si="2096"/>
        <v>20566.020524852487</v>
      </c>
      <c r="AI790" s="248">
        <f t="shared" si="1964"/>
        <v>1.5932184494955822E-3</v>
      </c>
      <c r="AJ790" s="196">
        <f t="shared" si="1968"/>
        <v>72803.712657977798</v>
      </c>
      <c r="AK790" s="196">
        <f t="shared" si="1998"/>
        <v>16452.816419881987</v>
      </c>
      <c r="AL790" s="196">
        <f t="shared" si="1999"/>
        <v>16452.816419881987</v>
      </c>
      <c r="AM790" s="196">
        <f t="shared" si="1969"/>
        <v>32905.632839763974</v>
      </c>
      <c r="AN790" s="627">
        <f t="shared" si="1970"/>
        <v>1.593218449495582E-3</v>
      </c>
      <c r="AO790" s="196">
        <f t="shared" si="1971"/>
        <v>15630.175598887887</v>
      </c>
      <c r="AP790" s="589">
        <f t="shared" si="1989"/>
        <v>1.593218449495582E-3</v>
      </c>
      <c r="AQ790" s="196"/>
      <c r="AR790" s="589"/>
      <c r="AS790">
        <v>1</v>
      </c>
      <c r="AT790" s="589">
        <f t="shared" si="1990"/>
        <v>1.2919896640826874E-3</v>
      </c>
      <c r="AU790" s="196">
        <v>13</v>
      </c>
      <c r="AV790" s="245">
        <f t="shared" si="1972"/>
        <v>1.4771048744460858E-3</v>
      </c>
      <c r="AX790" s="245"/>
      <c r="AY790" s="245"/>
      <c r="AZ790" s="196">
        <v>39</v>
      </c>
      <c r="BA790" s="589">
        <f t="shared" si="2073"/>
        <v>1.4290425414971969E-3</v>
      </c>
      <c r="BI790" s="196">
        <v>0</v>
      </c>
      <c r="BK790" s="246">
        <f t="shared" si="2074"/>
        <v>0</v>
      </c>
      <c r="BL790" s="246"/>
      <c r="BM790" s="246">
        <f t="shared" si="2075"/>
        <v>0</v>
      </c>
      <c r="BN790" s="196">
        <v>1</v>
      </c>
      <c r="BO790" s="196">
        <f t="shared" si="2076"/>
        <v>23820.336068177137</v>
      </c>
      <c r="BP790" s="196">
        <f t="shared" si="1973"/>
        <v>23820.336068177137</v>
      </c>
      <c r="BQ790" s="248">
        <f t="shared" si="2077"/>
        <v>2.2282815138758277E-3</v>
      </c>
      <c r="BR790" s="248"/>
      <c r="BS790" s="248"/>
      <c r="BT790" s="276">
        <v>0</v>
      </c>
      <c r="BU790" s="196">
        <f t="shared" si="2078"/>
        <v>0</v>
      </c>
      <c r="BV790" s="264">
        <f t="shared" si="2079"/>
        <v>0</v>
      </c>
      <c r="BW790" s="196">
        <f t="shared" si="2080"/>
        <v>0</v>
      </c>
      <c r="BX790" s="247">
        <f t="shared" si="2081"/>
        <v>0</v>
      </c>
      <c r="BY790" s="196">
        <f t="shared" si="2082"/>
        <v>0</v>
      </c>
      <c r="BZ790" s="620">
        <v>1</v>
      </c>
      <c r="CA790" s="196">
        <f t="shared" si="2083"/>
        <v>125864.04561209719</v>
      </c>
      <c r="CB790" s="196">
        <f t="shared" si="2084"/>
        <v>251728.09122419439</v>
      </c>
      <c r="CC790" s="196">
        <f t="shared" si="1986"/>
        <v>377592.13683629158</v>
      </c>
      <c r="CD790" s="247">
        <f t="shared" si="1974"/>
        <v>1.593218449495582E-3</v>
      </c>
      <c r="CE790" s="196">
        <f t="shared" si="2085"/>
        <v>37371.970605055481</v>
      </c>
      <c r="CF790" s="247">
        <f t="shared" si="1975"/>
        <v>1.6138379155243143E-3</v>
      </c>
      <c r="CG790" s="196">
        <f t="shared" si="2047"/>
        <v>62520.702395551547</v>
      </c>
      <c r="CH790" s="589">
        <f t="shared" si="1991"/>
        <v>1.593218449495582E-3</v>
      </c>
      <c r="CI790" s="196">
        <f t="shared" si="2086"/>
        <v>94423.871713308312</v>
      </c>
      <c r="CJ790" s="248">
        <f t="shared" si="1992"/>
        <v>1.5523282112873129E-3</v>
      </c>
      <c r="CK790" s="196">
        <f t="shared" si="2087"/>
        <v>92308.166163463684</v>
      </c>
      <c r="CL790" s="589">
        <f t="shared" si="1993"/>
        <v>1.3269488755795139E-3</v>
      </c>
      <c r="CM790" s="196">
        <f t="shared" si="2088"/>
        <v>8942.3451404874013</v>
      </c>
      <c r="CN790" s="589">
        <f t="shared" si="1994"/>
        <v>1.2886935613762233E-3</v>
      </c>
      <c r="CO790" s="196">
        <f t="shared" si="2089"/>
        <v>715.36055012493409</v>
      </c>
      <c r="CP790" s="589">
        <f t="shared" si="1995"/>
        <v>1.3490598117264431E-3</v>
      </c>
      <c r="CQ790" s="196">
        <f>'Detailed Budget'!$AC$12</f>
        <v>292876014141.44696</v>
      </c>
      <c r="CR790" s="269">
        <f t="shared" si="2040"/>
        <v>0</v>
      </c>
      <c r="CS790" s="269">
        <f>'Detailed Budget'!$AC$16</f>
        <v>10488008800.000002</v>
      </c>
      <c r="CT790" s="607">
        <f t="shared" si="2049"/>
        <v>0</v>
      </c>
      <c r="CU790" s="269">
        <f>'Detailed Budget'!$AC$24</f>
        <v>30624985696</v>
      </c>
      <c r="CV790" s="269">
        <f t="shared" si="2050"/>
        <v>0</v>
      </c>
      <c r="CW790" s="269"/>
      <c r="CX790" s="269">
        <f t="shared" si="1987"/>
        <v>0</v>
      </c>
      <c r="CY790" s="196">
        <f>'Detailed Budget'!$AC$97</f>
        <v>74629165494.837845</v>
      </c>
      <c r="CZ790" s="269">
        <f t="shared" si="2051"/>
        <v>166294789.86812696</v>
      </c>
      <c r="DA790" s="269">
        <f>'Detailed Budget'!$AC$100</f>
        <v>14925833098.967569</v>
      </c>
      <c r="DB790" s="269">
        <f t="shared" si="2052"/>
        <v>33258957.973625392</v>
      </c>
      <c r="DC790" s="269">
        <f t="shared" si="1976"/>
        <v>199553747.84175235</v>
      </c>
      <c r="DD790" s="207">
        <v>0</v>
      </c>
      <c r="DE790" s="606">
        <v>0</v>
      </c>
      <c r="DF790" s="269">
        <f>'Detailed Budget'!$AC$147</f>
        <v>5913600671000</v>
      </c>
      <c r="DG790" s="269">
        <f t="shared" si="2042"/>
        <v>0</v>
      </c>
      <c r="DH790" s="269">
        <f>'Detailed Budget'!$AC$153</f>
        <v>226428026880.00003</v>
      </c>
      <c r="DI790" s="269"/>
      <c r="DJ790" s="269">
        <f>'Detailed Budget'!$AC$156</f>
        <v>27713070000</v>
      </c>
      <c r="DK790" s="269"/>
      <c r="DL790" s="269"/>
      <c r="DM790" s="196">
        <f>'Detailed Budget'!$AC$178</f>
        <v>5622683761.6229038</v>
      </c>
      <c r="DN790" s="269">
        <f t="shared" si="2090"/>
        <v>0</v>
      </c>
      <c r="DO790" s="196">
        <f>'Detailed Budget'!$AC$179</f>
        <v>26827890683.128094</v>
      </c>
      <c r="DP790" s="269">
        <f t="shared" si="2091"/>
        <v>0</v>
      </c>
      <c r="DQ790" s="269">
        <f t="shared" si="2041"/>
        <v>0</v>
      </c>
      <c r="DR790" s="269">
        <f>'Detailed Budget'!$AC$181</f>
        <v>50888946855.375237</v>
      </c>
      <c r="DS790" s="269">
        <f t="shared" si="2092"/>
        <v>0</v>
      </c>
      <c r="DT790" s="269">
        <f t="shared" si="2093"/>
        <v>0</v>
      </c>
      <c r="DU790" s="272">
        <f>'Detailed Budget'!$AC$192</f>
        <v>77498869683.252869</v>
      </c>
      <c r="DV790" s="269">
        <f t="shared" si="2053"/>
        <v>123472628.9944123</v>
      </c>
      <c r="DW790" s="140">
        <f>'Detailed Budget'!$AC$194</f>
        <v>2684962805.4134097</v>
      </c>
      <c r="DX790" s="269">
        <f t="shared" si="2054"/>
        <v>4277732.2777940603</v>
      </c>
      <c r="DY790" s="607">
        <f t="shared" si="1977"/>
        <v>127750361.27220637</v>
      </c>
      <c r="DZ790" s="196">
        <f>'Detailed Budget'!$AC$198</f>
        <v>18732540018.380611</v>
      </c>
      <c r="EA790" s="269">
        <f t="shared" si="2055"/>
        <v>30231283.335739166</v>
      </c>
      <c r="EB790" s="196">
        <f>'Detailed Budget'!$AC$200</f>
        <v>4683135004.5951529</v>
      </c>
      <c r="EC790" s="269">
        <f t="shared" si="2056"/>
        <v>7557820.8339347914</v>
      </c>
      <c r="ED790" s="269">
        <f t="shared" si="1978"/>
        <v>37789104.169673957</v>
      </c>
      <c r="EE790" s="196">
        <f>'Detailed Budget'!$AC$161</f>
        <v>251147290106.36197</v>
      </c>
      <c r="EF790" s="269">
        <f t="shared" si="2057"/>
        <v>400132496.13827515</v>
      </c>
      <c r="EG790" s="196">
        <f>'Detailed Budget'!$AC$163</f>
        <v>15696705631.647623</v>
      </c>
      <c r="EH790" s="269">
        <f t="shared" si="2058"/>
        <v>25008281.008642197</v>
      </c>
      <c r="EI790" s="269">
        <f t="shared" si="1979"/>
        <v>425140777.14691734</v>
      </c>
      <c r="EJ790" s="196">
        <f>'Detailed Budget'!$AC$204</f>
        <v>45012172507.531975</v>
      </c>
      <c r="EK790" s="269">
        <f t="shared" si="2059"/>
        <v>69873665.23477307</v>
      </c>
      <c r="EL790" s="201">
        <f>'Detailed Budget'!$AC$206</f>
        <v>11253043126.882994</v>
      </c>
      <c r="EM790" s="269">
        <f t="shared" si="2060"/>
        <v>17468416.308693267</v>
      </c>
      <c r="EN790" s="269">
        <f t="shared" si="1980"/>
        <v>87342081.54346633</v>
      </c>
      <c r="EO790" s="140">
        <f>'Detailed Budget'!$AC$209</f>
        <v>135789361677.54817</v>
      </c>
      <c r="EP790" s="269">
        <f t="shared" si="2061"/>
        <v>180185540.79368249</v>
      </c>
      <c r="EQ790" s="196">
        <f>'Detailed Budget'!$AC$211</f>
        <v>33947340419.387043</v>
      </c>
      <c r="ER790" s="269">
        <f t="shared" si="2062"/>
        <v>45046385.198420621</v>
      </c>
      <c r="ES790" s="269">
        <f t="shared" si="1981"/>
        <v>225231925.9921031</v>
      </c>
      <c r="ET790" s="196">
        <f>'Detailed Budget'!$AC$214</f>
        <v>22239745544.201103</v>
      </c>
      <c r="EU790" s="269">
        <f t="shared" si="2063"/>
        <v>28660216.889457513</v>
      </c>
      <c r="EV790" s="140">
        <f>'Detailed Budget'!$AC$217</f>
        <v>5559936386.0502758</v>
      </c>
      <c r="EW790" s="269">
        <f t="shared" si="2064"/>
        <v>7165054.2223643782</v>
      </c>
      <c r="EX790" s="269">
        <f t="shared" si="1982"/>
        <v>35825271.11182189</v>
      </c>
      <c r="EY790" s="196">
        <f>'Detailed Budget'!$AC$219</f>
        <v>372777004.58170313</v>
      </c>
      <c r="EZ790" s="269">
        <f t="shared" si="2065"/>
        <v>502898.47561693983</v>
      </c>
      <c r="FA790" s="196">
        <f>'Detailed Budget'!$AC$222</f>
        <v>93194251.145425782</v>
      </c>
      <c r="FB790" s="269">
        <f t="shared" si="2066"/>
        <v>125724.61890423496</v>
      </c>
      <c r="FC790" s="269">
        <f t="shared" si="1983"/>
        <v>628623.09452117479</v>
      </c>
      <c r="FD790" s="269"/>
      <c r="FE790" s="269">
        <f t="shared" si="1984"/>
        <v>349027901.74191248</v>
      </c>
      <c r="FF790" s="140">
        <f>'Detailed Budget'!$AC$165</f>
        <v>14927760000</v>
      </c>
      <c r="FG790" s="1087">
        <f t="shared" si="2043"/>
        <v>476097161.4777388</v>
      </c>
      <c r="FH790" s="269">
        <f t="shared" si="2067"/>
        <v>22049867.060561303</v>
      </c>
      <c r="FJ790" s="140">
        <f>'Detailed Budget'!$AC$235</f>
        <v>3623696172</v>
      </c>
      <c r="FK790" s="269">
        <f t="shared" si="2068"/>
        <v>4681778</v>
      </c>
      <c r="FL790" s="269">
        <f t="shared" si="2044"/>
        <v>4681778</v>
      </c>
      <c r="FO790" s="607"/>
      <c r="FP790" s="607"/>
      <c r="FQ790" s="607"/>
      <c r="FR790" s="269">
        <f>'Detailed Budget'!$AC$257</f>
        <v>13636439388</v>
      </c>
      <c r="FS790" s="269">
        <f t="shared" si="2069"/>
        <v>19487052</v>
      </c>
      <c r="FT790" s="269">
        <f t="shared" si="2045"/>
        <v>19487052</v>
      </c>
      <c r="FU790" s="269"/>
      <c r="FV790" s="269"/>
      <c r="FW790" s="269"/>
      <c r="FX790" s="140">
        <f>'Detailed Budget'!$AC$278</f>
        <v>1114560000</v>
      </c>
      <c r="FY790" s="269">
        <f t="shared" si="2070"/>
        <v>1440000</v>
      </c>
      <c r="FZ790" s="269">
        <f t="shared" si="2071"/>
        <v>1440000</v>
      </c>
      <c r="GB790" s="269">
        <f t="shared" si="2094"/>
        <v>1663017750.7107627</v>
      </c>
      <c r="GC790" s="887">
        <f t="shared" si="1985"/>
        <v>1039386.0941942267</v>
      </c>
      <c r="GD790" s="1078">
        <f t="shared" si="2095"/>
        <v>9.3317162686098174E-4</v>
      </c>
    </row>
    <row r="791" spans="1:186" hidden="1" outlineLevel="1">
      <c r="A791" s="211" t="s">
        <v>1659</v>
      </c>
      <c r="B791" s="212" t="s">
        <v>1660</v>
      </c>
      <c r="C791" s="213" t="s">
        <v>215</v>
      </c>
      <c r="D791" s="214"/>
      <c r="E791" s="213"/>
      <c r="F791" s="213"/>
      <c r="G791" s="213" t="s">
        <v>215</v>
      </c>
      <c r="H791" s="213" t="s">
        <v>215</v>
      </c>
      <c r="I791" s="214" t="s">
        <v>215</v>
      </c>
      <c r="J791" s="214"/>
      <c r="K791" s="213"/>
      <c r="L791" s="213"/>
      <c r="M791" s="214"/>
      <c r="N791" s="213" t="s">
        <v>215</v>
      </c>
      <c r="O791" s="214"/>
      <c r="P791" s="213"/>
      <c r="Q791" s="214"/>
      <c r="R791" s="214" t="s">
        <v>215</v>
      </c>
      <c r="S791" s="214"/>
      <c r="T791" s="214"/>
      <c r="U791" s="215">
        <f t="shared" si="2099"/>
        <v>6</v>
      </c>
      <c r="V791" s="845" t="s">
        <v>216</v>
      </c>
      <c r="W791" s="216">
        <v>76092</v>
      </c>
      <c r="X791" s="217">
        <v>3.01</v>
      </c>
      <c r="Y791" s="218">
        <f t="shared" si="1965"/>
        <v>1.0301</v>
      </c>
      <c r="Z791" s="196">
        <v>19</v>
      </c>
      <c r="AA791" s="218">
        <f t="shared" si="1966"/>
        <v>1.7567435038184733</v>
      </c>
      <c r="AB791" s="196">
        <f t="shared" si="2097"/>
        <v>133674.12669255526</v>
      </c>
      <c r="AC791">
        <v>12.7</v>
      </c>
      <c r="AD791" s="196">
        <f t="shared" si="2098"/>
        <v>16976.614089954517</v>
      </c>
      <c r="AE791" s="196">
        <f t="shared" si="1967"/>
        <v>16127.783385456791</v>
      </c>
      <c r="AF791" s="196">
        <f t="shared" si="2072"/>
        <v>0</v>
      </c>
      <c r="AG791" s="606">
        <f t="shared" si="1988"/>
        <v>7.4567790144781682E-4</v>
      </c>
      <c r="AH791" s="196">
        <f t="shared" si="2096"/>
        <v>6683.7063346277637</v>
      </c>
      <c r="AI791" s="248">
        <f t="shared" si="1964"/>
        <v>5.1777660293936842E-4</v>
      </c>
      <c r="AJ791" s="196">
        <f t="shared" si="1968"/>
        <v>23660.320424582282</v>
      </c>
      <c r="AK791" s="196">
        <f t="shared" si="1998"/>
        <v>5346.9650677022109</v>
      </c>
      <c r="AL791" s="196">
        <f t="shared" si="1999"/>
        <v>5346.9650677022109</v>
      </c>
      <c r="AM791" s="196">
        <f t="shared" si="1969"/>
        <v>10693.930135404422</v>
      </c>
      <c r="AN791" s="627">
        <f t="shared" si="1970"/>
        <v>5.1777660293936842E-4</v>
      </c>
      <c r="AO791" s="196">
        <f t="shared" si="1971"/>
        <v>5079.6168143170999</v>
      </c>
      <c r="AP791" s="589">
        <f t="shared" si="1989"/>
        <v>5.1777660293936831E-4</v>
      </c>
      <c r="AQ791" s="196"/>
      <c r="AR791" s="589"/>
      <c r="AS791">
        <v>1</v>
      </c>
      <c r="AT791" s="589">
        <f t="shared" si="1990"/>
        <v>1.2919896640826874E-3</v>
      </c>
      <c r="AU791" s="196">
        <v>10</v>
      </c>
      <c r="AV791" s="245">
        <f t="shared" si="1972"/>
        <v>1.1362345188046814E-3</v>
      </c>
      <c r="AX791" s="245"/>
      <c r="AY791" s="245"/>
      <c r="AZ791" s="196">
        <v>24</v>
      </c>
      <c r="BA791" s="589">
        <f t="shared" si="2073"/>
        <v>8.7941079476750578E-4</v>
      </c>
      <c r="BI791" s="196">
        <v>0</v>
      </c>
      <c r="BK791" s="246">
        <f t="shared" si="2074"/>
        <v>0</v>
      </c>
      <c r="BL791" s="246"/>
      <c r="BM791" s="246">
        <f t="shared" si="2075"/>
        <v>0</v>
      </c>
      <c r="BN791" s="196">
        <v>1</v>
      </c>
      <c r="BO791" s="196">
        <f t="shared" si="2076"/>
        <v>7741.3192736750743</v>
      </c>
      <c r="BP791" s="196">
        <f t="shared" si="1973"/>
        <v>7741.3192736750743</v>
      </c>
      <c r="BQ791" s="248">
        <f t="shared" si="2077"/>
        <v>7.2416436867932352E-4</v>
      </c>
      <c r="BR791" s="248"/>
      <c r="BS791" s="248"/>
      <c r="BT791" s="276">
        <v>0</v>
      </c>
      <c r="BU791" s="196">
        <f t="shared" si="2078"/>
        <v>0</v>
      </c>
      <c r="BV791" s="264">
        <f t="shared" si="2079"/>
        <v>0</v>
      </c>
      <c r="BW791" s="196">
        <f t="shared" si="2080"/>
        <v>0</v>
      </c>
      <c r="BX791" s="247">
        <f t="shared" si="2081"/>
        <v>0</v>
      </c>
      <c r="BY791" s="196">
        <f t="shared" si="2082"/>
        <v>0</v>
      </c>
      <c r="BZ791" s="620">
        <v>1</v>
      </c>
      <c r="CA791" s="196">
        <f t="shared" si="2083"/>
        <v>40904.282767921919</v>
      </c>
      <c r="CB791" s="196">
        <f t="shared" si="2084"/>
        <v>81808.565535843838</v>
      </c>
      <c r="CC791" s="196">
        <f t="shared" si="1986"/>
        <v>122712.84830376576</v>
      </c>
      <c r="CD791" s="247">
        <f t="shared" si="1974"/>
        <v>5.1777660293936853E-4</v>
      </c>
      <c r="CE791" s="196">
        <f t="shared" si="2085"/>
        <v>12145.435543482399</v>
      </c>
      <c r="CF791" s="247">
        <f t="shared" si="1975"/>
        <v>5.2447767841220193E-4</v>
      </c>
      <c r="CG791" s="196">
        <f t="shared" si="2047"/>
        <v>20318.467257268399</v>
      </c>
      <c r="CH791" s="589">
        <f t="shared" si="1991"/>
        <v>5.1777660293936831E-4</v>
      </c>
      <c r="CI791" s="196">
        <f t="shared" si="2086"/>
        <v>30686.608950315858</v>
      </c>
      <c r="CJ791" s="248">
        <f t="shared" si="1992"/>
        <v>5.0448777325028051E-4</v>
      </c>
      <c r="CK791" s="196">
        <f t="shared" si="2087"/>
        <v>29999.030399637297</v>
      </c>
      <c r="CL791" s="589">
        <f t="shared" si="1993"/>
        <v>4.3124223253208086E-4</v>
      </c>
      <c r="CM791" s="196">
        <f t="shared" si="2088"/>
        <v>2906.1533216734028</v>
      </c>
      <c r="CN791" s="589">
        <f t="shared" si="1994"/>
        <v>4.1880972107150298E-4</v>
      </c>
      <c r="CO791" s="196">
        <f t="shared" si="2089"/>
        <v>232.48347120119959</v>
      </c>
      <c r="CP791" s="589">
        <f t="shared" si="1995"/>
        <v>4.3842801763869377E-4</v>
      </c>
      <c r="CQ791" s="196">
        <f>'Detailed Budget'!$AC$12</f>
        <v>292876014141.44696</v>
      </c>
      <c r="CR791" s="269">
        <f t="shared" si="2040"/>
        <v>0</v>
      </c>
      <c r="CS791" s="269">
        <f>'Detailed Budget'!$AC$16</f>
        <v>10488008800.000002</v>
      </c>
      <c r="CT791" s="607">
        <f t="shared" si="2049"/>
        <v>0</v>
      </c>
      <c r="CU791" s="269">
        <f>'Detailed Budget'!$AC$24</f>
        <v>30624985696</v>
      </c>
      <c r="CV791" s="269">
        <f t="shared" si="2050"/>
        <v>0</v>
      </c>
      <c r="CW791" s="269"/>
      <c r="CX791" s="269">
        <f t="shared" si="1987"/>
        <v>0</v>
      </c>
      <c r="CY791" s="196">
        <f>'Detailed Budget'!$AC$97</f>
        <v>74629165494.837845</v>
      </c>
      <c r="CZ791" s="269">
        <f t="shared" si="2051"/>
        <v>54043782.515634</v>
      </c>
      <c r="DA791" s="269">
        <f>'Detailed Budget'!$AC$100</f>
        <v>14925833098.967569</v>
      </c>
      <c r="DB791" s="269">
        <f t="shared" si="2052"/>
        <v>10808756.5031268</v>
      </c>
      <c r="DC791" s="269">
        <f t="shared" si="1976"/>
        <v>64852539.0187608</v>
      </c>
      <c r="DD791" s="207">
        <v>0</v>
      </c>
      <c r="DE791" s="606">
        <v>0</v>
      </c>
      <c r="DF791" s="269">
        <f>'Detailed Budget'!$AC$147</f>
        <v>5913600671000</v>
      </c>
      <c r="DG791" s="269">
        <f t="shared" si="2042"/>
        <v>0</v>
      </c>
      <c r="DH791" s="269">
        <f>'Detailed Budget'!$AC$153</f>
        <v>226428026880.00003</v>
      </c>
      <c r="DI791" s="269"/>
      <c r="DJ791" s="269">
        <f>'Detailed Budget'!$AC$156</f>
        <v>27713070000</v>
      </c>
      <c r="DK791" s="269"/>
      <c r="DL791" s="269"/>
      <c r="DM791" s="196">
        <f>'Detailed Budget'!$AC$178</f>
        <v>5622683761.6229038</v>
      </c>
      <c r="DN791" s="269">
        <f t="shared" si="2090"/>
        <v>0</v>
      </c>
      <c r="DO791" s="196">
        <f>'Detailed Budget'!$AC$179</f>
        <v>26827890683.128094</v>
      </c>
      <c r="DP791" s="269">
        <f t="shared" si="2091"/>
        <v>0</v>
      </c>
      <c r="DQ791" s="269">
        <f t="shared" si="2041"/>
        <v>0</v>
      </c>
      <c r="DR791" s="269">
        <f>'Detailed Budget'!$AC$181</f>
        <v>50888946855.375237</v>
      </c>
      <c r="DS791" s="269">
        <f t="shared" si="2092"/>
        <v>0</v>
      </c>
      <c r="DT791" s="269">
        <f t="shared" si="2093"/>
        <v>0</v>
      </c>
      <c r="DU791" s="272">
        <f>'Detailed Budget'!$AC$192</f>
        <v>77498869683.252869</v>
      </c>
      <c r="DV791" s="269">
        <f t="shared" si="2053"/>
        <v>40127101.476235487</v>
      </c>
      <c r="DW791" s="140">
        <f>'Detailed Budget'!$AC$194</f>
        <v>2684962805.4134097</v>
      </c>
      <c r="DX791" s="269">
        <f t="shared" si="2054"/>
        <v>1390210.9204055117</v>
      </c>
      <c r="DY791" s="607">
        <f t="shared" si="1977"/>
        <v>41517312.396641001</v>
      </c>
      <c r="DZ791" s="196">
        <f>'Detailed Budget'!$AC$198</f>
        <v>18732540018.380611</v>
      </c>
      <c r="EA791" s="269">
        <f t="shared" si="2055"/>
        <v>9824799.0996039305</v>
      </c>
      <c r="EB791" s="196">
        <f>'Detailed Budget'!$AC$200</f>
        <v>4683135004.5951529</v>
      </c>
      <c r="EC791" s="269">
        <f t="shared" si="2056"/>
        <v>2456199.7749009826</v>
      </c>
      <c r="ED791" s="269">
        <f t="shared" si="1978"/>
        <v>12280998.874504913</v>
      </c>
      <c r="EE791" s="196">
        <f>'Detailed Budget'!$AC$161</f>
        <v>251147290106.36197</v>
      </c>
      <c r="EF791" s="269">
        <f t="shared" si="2057"/>
        <v>130038190.70870012</v>
      </c>
      <c r="EG791" s="196">
        <f>'Detailed Budget'!$AC$163</f>
        <v>15696705631.647623</v>
      </c>
      <c r="EH791" s="269">
        <f t="shared" si="2058"/>
        <v>8127386.9192937575</v>
      </c>
      <c r="EI791" s="269">
        <f t="shared" si="1979"/>
        <v>138165577.62799388</v>
      </c>
      <c r="EJ791" s="196">
        <f>'Detailed Budget'!$AC$204</f>
        <v>45012172507.531975</v>
      </c>
      <c r="EK791" s="269">
        <f t="shared" si="2059"/>
        <v>22708090.6774823</v>
      </c>
      <c r="EL791" s="201">
        <f>'Detailed Budget'!$AC$206</f>
        <v>11253043126.882994</v>
      </c>
      <c r="EM791" s="269">
        <f t="shared" si="2060"/>
        <v>5677022.6693705749</v>
      </c>
      <c r="EN791" s="269">
        <f t="shared" si="1980"/>
        <v>28385113.346852876</v>
      </c>
      <c r="EO791" s="140">
        <f>'Detailed Budget'!$AC$209</f>
        <v>135789361677.54817</v>
      </c>
      <c r="EP791" s="269">
        <f t="shared" si="2061"/>
        <v>58558107.483932056</v>
      </c>
      <c r="EQ791" s="196">
        <f>'Detailed Budget'!$AC$211</f>
        <v>33947340419.387043</v>
      </c>
      <c r="ER791" s="269">
        <f t="shared" si="2062"/>
        <v>14639526.870983014</v>
      </c>
      <c r="ES791" s="269">
        <f t="shared" si="1981"/>
        <v>73197634.354915068</v>
      </c>
      <c r="ET791" s="196">
        <f>'Detailed Budget'!$AC$214</f>
        <v>22239745544.201103</v>
      </c>
      <c r="EU791" s="269">
        <f t="shared" si="2063"/>
        <v>9314221.6280680653</v>
      </c>
      <c r="EV791" s="140">
        <f>'Detailed Budget'!$AC$217</f>
        <v>5559936386.0502758</v>
      </c>
      <c r="EW791" s="269">
        <f t="shared" si="2064"/>
        <v>2328555.4070170163</v>
      </c>
      <c r="EX791" s="269">
        <f t="shared" si="1982"/>
        <v>11642777.035085082</v>
      </c>
      <c r="EY791" s="196">
        <f>'Detailed Budget'!$AC$219</f>
        <v>372777004.58170313</v>
      </c>
      <c r="EZ791" s="269">
        <f t="shared" si="2065"/>
        <v>163435.88314004635</v>
      </c>
      <c r="FA791" s="196">
        <f>'Detailed Budget'!$AC$222</f>
        <v>93194251.145425782</v>
      </c>
      <c r="FB791" s="269">
        <f t="shared" si="2066"/>
        <v>40858.970785011588</v>
      </c>
      <c r="FC791" s="269">
        <f t="shared" si="1983"/>
        <v>204294.85392505795</v>
      </c>
      <c r="FD791" s="269"/>
      <c r="FE791" s="269">
        <f t="shared" si="1984"/>
        <v>113429819.5907781</v>
      </c>
      <c r="FF791" s="140">
        <f>'Detailed Budget'!$AC$165</f>
        <v>14927760000</v>
      </c>
      <c r="FG791" s="1087">
        <f t="shared" si="2043"/>
        <v>154725782.27867365</v>
      </c>
      <c r="FH791" s="269">
        <f t="shared" si="2067"/>
        <v>16961436.200431772</v>
      </c>
      <c r="FJ791" s="140">
        <f>'Detailed Budget'!$AC$235</f>
        <v>3623696172</v>
      </c>
      <c r="FK791" s="269">
        <f t="shared" si="2068"/>
        <v>4681778</v>
      </c>
      <c r="FL791" s="269">
        <f t="shared" si="2044"/>
        <v>4681778</v>
      </c>
      <c r="FO791" s="607"/>
      <c r="FP791" s="607"/>
      <c r="FQ791" s="607"/>
      <c r="FR791" s="269">
        <f>'Detailed Budget'!$AC$257</f>
        <v>13636439388</v>
      </c>
      <c r="FS791" s="269">
        <f t="shared" si="2069"/>
        <v>11992032</v>
      </c>
      <c r="FT791" s="269">
        <f t="shared" si="2045"/>
        <v>11992032</v>
      </c>
      <c r="FU791" s="269"/>
      <c r="FV791" s="269"/>
      <c r="FW791" s="269"/>
      <c r="FX791" s="140">
        <f>'Detailed Budget'!$AC$278</f>
        <v>1114560000</v>
      </c>
      <c r="FY791" s="269">
        <f t="shared" si="2070"/>
        <v>1440000</v>
      </c>
      <c r="FZ791" s="269">
        <f t="shared" si="2071"/>
        <v>1440000</v>
      </c>
      <c r="GB791" s="269">
        <f t="shared" si="2094"/>
        <v>560047275.98778415</v>
      </c>
      <c r="GC791" s="887">
        <f t="shared" si="1985"/>
        <v>350029.54749236512</v>
      </c>
      <c r="GD791" s="1078">
        <f t="shared" si="2095"/>
        <v>3.1426016194308049E-4</v>
      </c>
    </row>
    <row r="792" spans="1:186" hidden="1" outlineLevel="1">
      <c r="A792" s="211" t="s">
        <v>1661</v>
      </c>
      <c r="B792" s="212" t="s">
        <v>1662</v>
      </c>
      <c r="C792" s="213" t="s">
        <v>215</v>
      </c>
      <c r="D792" s="214"/>
      <c r="E792" s="213"/>
      <c r="F792" s="213"/>
      <c r="G792" s="213" t="s">
        <v>215</v>
      </c>
      <c r="H792" s="213" t="s">
        <v>215</v>
      </c>
      <c r="I792" s="214" t="s">
        <v>215</v>
      </c>
      <c r="J792" s="214"/>
      <c r="K792" s="213"/>
      <c r="L792" s="213"/>
      <c r="M792" s="214"/>
      <c r="N792" s="213" t="s">
        <v>215</v>
      </c>
      <c r="O792" s="214"/>
      <c r="P792" s="213"/>
      <c r="Q792" s="214"/>
      <c r="R792" s="214" t="s">
        <v>215</v>
      </c>
      <c r="S792" s="214"/>
      <c r="T792" s="214"/>
      <c r="U792" s="215">
        <f t="shared" si="2099"/>
        <v>6</v>
      </c>
      <c r="V792" s="845" t="s">
        <v>216</v>
      </c>
      <c r="W792" s="216">
        <v>288868</v>
      </c>
      <c r="X792" s="217">
        <v>3.01</v>
      </c>
      <c r="Y792" s="218">
        <f t="shared" si="1965"/>
        <v>1.0301</v>
      </c>
      <c r="Z792" s="196">
        <v>19</v>
      </c>
      <c r="AA792" s="218">
        <f t="shared" si="1966"/>
        <v>1.7567435038184733</v>
      </c>
      <c r="AB792" s="196">
        <f t="shared" si="2097"/>
        <v>507466.98246103473</v>
      </c>
      <c r="AC792">
        <v>12.7</v>
      </c>
      <c r="AD792" s="196">
        <f t="shared" si="2098"/>
        <v>64448.306772551405</v>
      </c>
      <c r="AE792" s="196">
        <f t="shared" si="1967"/>
        <v>61225.891433923833</v>
      </c>
      <c r="AF792" s="196">
        <f t="shared" si="2072"/>
        <v>0</v>
      </c>
      <c r="AG792" s="606">
        <f t="shared" si="1988"/>
        <v>2.8308164332049093E-3</v>
      </c>
      <c r="AH792" s="196">
        <f t="shared" si="2096"/>
        <v>25373.349123051739</v>
      </c>
      <c r="AI792" s="248">
        <f t="shared" si="1964"/>
        <v>1.9656349121837972E-3</v>
      </c>
      <c r="AJ792" s="196">
        <f t="shared" si="1968"/>
        <v>89821.655895603151</v>
      </c>
      <c r="AK792" s="196">
        <f t="shared" si="1998"/>
        <v>20298.679298441388</v>
      </c>
      <c r="AL792" s="196">
        <f t="shared" si="1999"/>
        <v>20298.679298441388</v>
      </c>
      <c r="AM792" s="196">
        <f t="shared" si="1969"/>
        <v>40597.358596882776</v>
      </c>
      <c r="AN792" s="627">
        <f t="shared" si="1970"/>
        <v>1.9656349121837968E-3</v>
      </c>
      <c r="AO792" s="196">
        <f t="shared" si="1971"/>
        <v>19283.74533351932</v>
      </c>
      <c r="AP792" s="589">
        <f t="shared" si="1989"/>
        <v>1.9656349121837968E-3</v>
      </c>
      <c r="AQ792" s="196"/>
      <c r="AR792" s="589"/>
      <c r="AS792">
        <v>1</v>
      </c>
      <c r="AT792" s="589">
        <f t="shared" si="1990"/>
        <v>1.2919896640826874E-3</v>
      </c>
      <c r="AU792" s="196">
        <v>12</v>
      </c>
      <c r="AV792" s="245">
        <f t="shared" si="1972"/>
        <v>1.3634814225656176E-3</v>
      </c>
      <c r="AX792" s="245"/>
      <c r="AY792" s="245"/>
      <c r="AZ792" s="196">
        <v>48</v>
      </c>
      <c r="BA792" s="589">
        <f t="shared" si="2073"/>
        <v>1.7588215895350116E-3</v>
      </c>
      <c r="BI792" s="196">
        <v>0</v>
      </c>
      <c r="BK792" s="246">
        <f t="shared" si="2074"/>
        <v>0</v>
      </c>
      <c r="BL792" s="246"/>
      <c r="BM792" s="246">
        <f t="shared" si="2075"/>
        <v>0</v>
      </c>
      <c r="BN792" s="196">
        <v>1</v>
      </c>
      <c r="BO792" s="196">
        <f t="shared" si="2076"/>
        <v>29388.364295168634</v>
      </c>
      <c r="BP792" s="196">
        <f t="shared" si="1973"/>
        <v>29388.364295168634</v>
      </c>
      <c r="BQ792" s="248">
        <f t="shared" si="2077"/>
        <v>2.7491446256066188E-3</v>
      </c>
      <c r="BR792" s="248"/>
      <c r="BS792" s="248"/>
      <c r="BT792" s="276">
        <v>0</v>
      </c>
      <c r="BU792" s="196">
        <f t="shared" si="2078"/>
        <v>0</v>
      </c>
      <c r="BV792" s="264">
        <f t="shared" si="2079"/>
        <v>0</v>
      </c>
      <c r="BW792" s="196">
        <f t="shared" si="2080"/>
        <v>0</v>
      </c>
      <c r="BX792" s="247">
        <f t="shared" si="2081"/>
        <v>0</v>
      </c>
      <c r="BY792" s="196">
        <f t="shared" si="2082"/>
        <v>0</v>
      </c>
      <c r="BZ792" s="620">
        <v>1</v>
      </c>
      <c r="CA792" s="196">
        <f t="shared" si="2083"/>
        <v>155284.8966330766</v>
      </c>
      <c r="CB792" s="196">
        <f t="shared" si="2084"/>
        <v>310569.7932661532</v>
      </c>
      <c r="CC792" s="196">
        <f t="shared" si="1986"/>
        <v>465854.68989922979</v>
      </c>
      <c r="CD792" s="247">
        <f t="shared" si="1974"/>
        <v>1.9656349121837963E-3</v>
      </c>
      <c r="CE792" s="196">
        <f t="shared" si="2085"/>
        <v>46107.707440659644</v>
      </c>
      <c r="CF792" s="247">
        <f t="shared" si="1975"/>
        <v>1.9910741997526144E-3</v>
      </c>
      <c r="CG792" s="196">
        <f t="shared" si="2047"/>
        <v>77134.981334077282</v>
      </c>
      <c r="CH792" s="589">
        <f t="shared" si="1991"/>
        <v>1.9656349121837968E-3</v>
      </c>
      <c r="CI792" s="196">
        <f t="shared" si="2086"/>
        <v>116495.54952241815</v>
      </c>
      <c r="CJ792" s="248">
        <f t="shared" si="1992"/>
        <v>1.9151865384437528E-3</v>
      </c>
      <c r="CK792" s="196">
        <f t="shared" si="2087"/>
        <v>113885.29560903153</v>
      </c>
      <c r="CL792" s="589">
        <f t="shared" si="1993"/>
        <v>1.6371245495857272E-3</v>
      </c>
      <c r="CM792" s="196">
        <f t="shared" si="2088"/>
        <v>11032.627578788211</v>
      </c>
      <c r="CN792" s="589">
        <f t="shared" si="1994"/>
        <v>1.5899270160658536E-3</v>
      </c>
      <c r="CO792" s="196">
        <f t="shared" si="2089"/>
        <v>882.57681962556023</v>
      </c>
      <c r="CP792" s="589">
        <f t="shared" si="1995"/>
        <v>1.6644039399576066E-3</v>
      </c>
      <c r="CQ792" s="196">
        <f>'Detailed Budget'!$AC$12</f>
        <v>292876014141.44696</v>
      </c>
      <c r="CR792" s="269">
        <f t="shared" si="2040"/>
        <v>0</v>
      </c>
      <c r="CS792" s="269">
        <f>'Detailed Budget'!$AC$16</f>
        <v>10488008800.000002</v>
      </c>
      <c r="CT792" s="607">
        <f t="shared" si="2049"/>
        <v>0</v>
      </c>
      <c r="CU792" s="269">
        <f>'Detailed Budget'!$AC$24</f>
        <v>30624985696</v>
      </c>
      <c r="CV792" s="269">
        <f t="shared" si="2050"/>
        <v>0</v>
      </c>
      <c r="CW792" s="269"/>
      <c r="CX792" s="269">
        <f t="shared" si="1987"/>
        <v>0</v>
      </c>
      <c r="CY792" s="196">
        <f>'Detailed Budget'!$AC$97</f>
        <v>74629165494.837845</v>
      </c>
      <c r="CZ792" s="269">
        <f t="shared" si="2051"/>
        <v>205166369.23364037</v>
      </c>
      <c r="DA792" s="269">
        <f>'Detailed Budget'!$AC$100</f>
        <v>14925833098.967569</v>
      </c>
      <c r="DB792" s="269">
        <f t="shared" si="2052"/>
        <v>41033273.846728079</v>
      </c>
      <c r="DC792" s="269">
        <f t="shared" si="1976"/>
        <v>246199643.08036846</v>
      </c>
      <c r="DD792" s="207">
        <v>0</v>
      </c>
      <c r="DE792" s="606">
        <v>0</v>
      </c>
      <c r="DF792" s="269">
        <f>'Detailed Budget'!$AC$147</f>
        <v>5913600671000</v>
      </c>
      <c r="DG792" s="269">
        <f t="shared" si="2042"/>
        <v>0</v>
      </c>
      <c r="DH792" s="269">
        <f>'Detailed Budget'!$AC$153</f>
        <v>226428026880.00003</v>
      </c>
      <c r="DI792" s="269"/>
      <c r="DJ792" s="269">
        <f>'Detailed Budget'!$AC$156</f>
        <v>27713070000</v>
      </c>
      <c r="DK792" s="269"/>
      <c r="DL792" s="269"/>
      <c r="DM792" s="196">
        <f>'Detailed Budget'!$AC$178</f>
        <v>5622683761.6229038</v>
      </c>
      <c r="DN792" s="269">
        <f t="shared" si="2090"/>
        <v>0</v>
      </c>
      <c r="DO792" s="196">
        <f>'Detailed Budget'!$AC$179</f>
        <v>26827890683.128094</v>
      </c>
      <c r="DP792" s="269">
        <f t="shared" si="2091"/>
        <v>0</v>
      </c>
      <c r="DQ792" s="269">
        <f t="shared" si="2041"/>
        <v>0</v>
      </c>
      <c r="DR792" s="269">
        <f>'Detailed Budget'!$AC$181</f>
        <v>50888946855.375237</v>
      </c>
      <c r="DS792" s="269">
        <f t="shared" si="2092"/>
        <v>0</v>
      </c>
      <c r="DT792" s="269">
        <f t="shared" si="2093"/>
        <v>0</v>
      </c>
      <c r="DU792" s="272">
        <f>'Detailed Budget'!$AC$192</f>
        <v>77498869683.252869</v>
      </c>
      <c r="DV792" s="269">
        <f t="shared" si="2053"/>
        <v>152334483.90418422</v>
      </c>
      <c r="DW792" s="140">
        <f>'Detailed Budget'!$AC$194</f>
        <v>2684962805.4134097</v>
      </c>
      <c r="DX792" s="269">
        <f t="shared" si="2054"/>
        <v>5277656.6282355478</v>
      </c>
      <c r="DY792" s="607">
        <f t="shared" si="1977"/>
        <v>157612140.53241977</v>
      </c>
      <c r="DZ792" s="196">
        <f>'Detailed Budget'!$AC$198</f>
        <v>18732540018.380611</v>
      </c>
      <c r="EA792" s="269">
        <f t="shared" si="2055"/>
        <v>37297877.126431003</v>
      </c>
      <c r="EB792" s="196">
        <f>'Detailed Budget'!$AC$200</f>
        <v>4683135004.5951529</v>
      </c>
      <c r="EC792" s="269">
        <f t="shared" si="2056"/>
        <v>9324469.2816077508</v>
      </c>
      <c r="ED792" s="269">
        <f t="shared" si="1978"/>
        <v>46622346.40803875</v>
      </c>
      <c r="EE792" s="196">
        <f>'Detailed Budget'!$AC$161</f>
        <v>251147290106.36197</v>
      </c>
      <c r="EF792" s="269">
        <f t="shared" si="2057"/>
        <v>493663881.53341734</v>
      </c>
      <c r="EG792" s="196">
        <f>'Detailed Budget'!$AC$163</f>
        <v>15696705631.647623</v>
      </c>
      <c r="EH792" s="269">
        <f t="shared" si="2058"/>
        <v>30853992.595838584</v>
      </c>
      <c r="EI792" s="269">
        <f t="shared" si="1979"/>
        <v>524517874.12925595</v>
      </c>
      <c r="EJ792" s="196">
        <f>'Detailed Budget'!$AC$204</f>
        <v>45012172507.531975</v>
      </c>
      <c r="EK792" s="269">
        <f t="shared" si="2059"/>
        <v>86206706.852533221</v>
      </c>
      <c r="EL792" s="201">
        <f>'Detailed Budget'!$AC$206</f>
        <v>11253043126.882994</v>
      </c>
      <c r="EM792" s="269">
        <f t="shared" si="2060"/>
        <v>21551676.713133305</v>
      </c>
      <c r="EN792" s="269">
        <f t="shared" si="1980"/>
        <v>107758383.56566653</v>
      </c>
      <c r="EO792" s="140">
        <f>'Detailed Budget'!$AC$209</f>
        <v>135789361677.54817</v>
      </c>
      <c r="EP792" s="269">
        <f t="shared" si="2061"/>
        <v>222304097.57488945</v>
      </c>
      <c r="EQ792" s="196">
        <f>'Detailed Budget'!$AC$211</f>
        <v>33947340419.387043</v>
      </c>
      <c r="ER792" s="269">
        <f t="shared" si="2062"/>
        <v>55576024.393722363</v>
      </c>
      <c r="ES792" s="269">
        <f t="shared" si="1981"/>
        <v>277880121.96861184</v>
      </c>
      <c r="ET792" s="196">
        <f>'Detailed Budget'!$AC$214</f>
        <v>22239745544.201103</v>
      </c>
      <c r="EU792" s="269">
        <f t="shared" si="2063"/>
        <v>35359572.271155521</v>
      </c>
      <c r="EV792" s="140">
        <f>'Detailed Budget'!$AC$217</f>
        <v>5559936386.0502758</v>
      </c>
      <c r="EW792" s="269">
        <f t="shared" si="2064"/>
        <v>8839893.0677888803</v>
      </c>
      <c r="EX792" s="269">
        <f t="shared" si="1982"/>
        <v>44199465.338944405</v>
      </c>
      <c r="EY792" s="196">
        <f>'Detailed Budget'!$AC$219</f>
        <v>372777004.58170313</v>
      </c>
      <c r="EZ792" s="269">
        <f t="shared" si="2065"/>
        <v>620451.51515138149</v>
      </c>
      <c r="FA792" s="196">
        <f>'Detailed Budget'!$AC$222</f>
        <v>93194251.145425782</v>
      </c>
      <c r="FB792" s="269">
        <f t="shared" si="2066"/>
        <v>155112.87878784537</v>
      </c>
      <c r="FC792" s="269">
        <f t="shared" si="1983"/>
        <v>775564.39393922687</v>
      </c>
      <c r="FD792" s="269"/>
      <c r="FE792" s="269">
        <f t="shared" si="1984"/>
        <v>430613535.26716208</v>
      </c>
      <c r="FF792" s="140">
        <f>'Detailed Budget'!$AC$165</f>
        <v>14927760000</v>
      </c>
      <c r="FG792" s="1087">
        <f t="shared" si="2043"/>
        <v>587385366.07364655</v>
      </c>
      <c r="FH792" s="269">
        <f t="shared" si="2067"/>
        <v>20353723.440518126</v>
      </c>
      <c r="FJ792" s="140">
        <f>'Detailed Budget'!$AC$235</f>
        <v>3623696172</v>
      </c>
      <c r="FK792" s="269">
        <f t="shared" si="2068"/>
        <v>4681778</v>
      </c>
      <c r="FL792" s="269">
        <f t="shared" si="2044"/>
        <v>4681778</v>
      </c>
      <c r="FO792" s="607"/>
      <c r="FP792" s="607"/>
      <c r="FQ792" s="607"/>
      <c r="FR792" s="269">
        <f>'Detailed Budget'!$AC$257</f>
        <v>13636439388</v>
      </c>
      <c r="FS792" s="269">
        <f t="shared" si="2069"/>
        <v>23984064</v>
      </c>
      <c r="FT792" s="269">
        <f t="shared" si="2045"/>
        <v>23984064</v>
      </c>
      <c r="FU792" s="269"/>
      <c r="FV792" s="269"/>
      <c r="FW792" s="269"/>
      <c r="FX792" s="140">
        <f>'Detailed Budget'!$AC$278</f>
        <v>1114560000</v>
      </c>
      <c r="FY792" s="269">
        <f t="shared" si="2070"/>
        <v>1440000</v>
      </c>
      <c r="FZ792" s="269">
        <f t="shared" si="2071"/>
        <v>1440000</v>
      </c>
      <c r="GB792" s="269">
        <f t="shared" si="2094"/>
        <v>2043410470.9314096</v>
      </c>
      <c r="GC792" s="887">
        <f t="shared" si="1985"/>
        <v>1277131.544332131</v>
      </c>
      <c r="GD792" s="1078">
        <f t="shared" si="2095"/>
        <v>1.146621960402318E-3</v>
      </c>
    </row>
    <row r="793" spans="1:186" hidden="1" outlineLevel="1">
      <c r="A793" s="211" t="s">
        <v>1663</v>
      </c>
      <c r="B793" s="212" t="s">
        <v>1664</v>
      </c>
      <c r="C793" s="213" t="s">
        <v>215</v>
      </c>
      <c r="D793" s="214"/>
      <c r="E793" s="213"/>
      <c r="F793" s="213"/>
      <c r="G793" s="213" t="s">
        <v>215</v>
      </c>
      <c r="H793" s="213" t="s">
        <v>215</v>
      </c>
      <c r="I793" s="214" t="s">
        <v>215</v>
      </c>
      <c r="J793" s="214"/>
      <c r="K793" s="213"/>
      <c r="L793" s="213"/>
      <c r="M793" s="214"/>
      <c r="N793" s="213" t="s">
        <v>215</v>
      </c>
      <c r="O793" s="214"/>
      <c r="P793" s="213"/>
      <c r="Q793" s="214"/>
      <c r="R793" s="214" t="s">
        <v>215</v>
      </c>
      <c r="S793" s="214"/>
      <c r="T793" s="214"/>
      <c r="U793" s="215">
        <f t="shared" si="2099"/>
        <v>6</v>
      </c>
      <c r="V793" s="845" t="s">
        <v>216</v>
      </c>
      <c r="W793" s="216">
        <v>144139</v>
      </c>
      <c r="X793" s="217">
        <v>3.01</v>
      </c>
      <c r="Y793" s="218">
        <f t="shared" si="1965"/>
        <v>1.0301</v>
      </c>
      <c r="Z793" s="196">
        <v>19</v>
      </c>
      <c r="AA793" s="218">
        <f t="shared" si="1966"/>
        <v>1.7567435038184733</v>
      </c>
      <c r="AB793" s="196">
        <f t="shared" si="2097"/>
        <v>253215.25189689093</v>
      </c>
      <c r="AC793">
        <v>12.7</v>
      </c>
      <c r="AD793" s="196">
        <f t="shared" si="2098"/>
        <v>32158.336990905147</v>
      </c>
      <c r="AE793" s="196">
        <f t="shared" si="1967"/>
        <v>30550.420141359889</v>
      </c>
      <c r="AF793" s="196">
        <f t="shared" si="2072"/>
        <v>0</v>
      </c>
      <c r="AG793" s="606">
        <f t="shared" si="1988"/>
        <v>1.4125173084790371E-3</v>
      </c>
      <c r="AH793" s="196">
        <f t="shared" si="2096"/>
        <v>12660.762594844547</v>
      </c>
      <c r="AI793" s="248">
        <f t="shared" si="1964"/>
        <v>9.8081009529356073E-4</v>
      </c>
      <c r="AJ793" s="196">
        <f t="shared" si="1968"/>
        <v>44819.099585749696</v>
      </c>
      <c r="AK793" s="196">
        <f t="shared" si="1998"/>
        <v>10128.610075875637</v>
      </c>
      <c r="AL793" s="196">
        <f t="shared" si="1999"/>
        <v>10128.610075875637</v>
      </c>
      <c r="AM793" s="196">
        <f t="shared" si="1969"/>
        <v>20257.220151751273</v>
      </c>
      <c r="AN793" s="627">
        <f t="shared" si="1970"/>
        <v>9.8081009529356073E-4</v>
      </c>
      <c r="AO793" s="196">
        <f t="shared" si="1971"/>
        <v>9622.1795720818554</v>
      </c>
      <c r="AP793" s="589">
        <f t="shared" si="1989"/>
        <v>9.8081009529356073E-4</v>
      </c>
      <c r="AQ793" s="196"/>
      <c r="AR793" s="589"/>
      <c r="AS793">
        <v>1</v>
      </c>
      <c r="AT793" s="589">
        <f t="shared" si="1990"/>
        <v>1.2919896640826874E-3</v>
      </c>
      <c r="AU793" s="196">
        <v>12</v>
      </c>
      <c r="AV793" s="245">
        <f t="shared" si="1972"/>
        <v>1.3634814225656176E-3</v>
      </c>
      <c r="AX793" s="245"/>
      <c r="AY793" s="245"/>
      <c r="AZ793" s="196">
        <v>23</v>
      </c>
      <c r="BA793" s="589">
        <f t="shared" si="2073"/>
        <v>8.4276867831885966E-4</v>
      </c>
      <c r="BI793" s="196">
        <v>0</v>
      </c>
      <c r="BK793" s="246">
        <f t="shared" si="2074"/>
        <v>0</v>
      </c>
      <c r="BL793" s="246"/>
      <c r="BM793" s="246">
        <f t="shared" si="2075"/>
        <v>0</v>
      </c>
      <c r="BN793" s="196">
        <v>1</v>
      </c>
      <c r="BO793" s="196">
        <f t="shared" si="2076"/>
        <v>14664.169936238392</v>
      </c>
      <c r="BP793" s="196">
        <f t="shared" si="1973"/>
        <v>14664.169936238392</v>
      </c>
      <c r="BQ793" s="248">
        <f t="shared" si="2077"/>
        <v>1.3717648101912031E-3</v>
      </c>
      <c r="BR793" s="248"/>
      <c r="BS793" s="248"/>
      <c r="BT793" s="276">
        <v>0</v>
      </c>
      <c r="BU793" s="196">
        <f t="shared" si="2078"/>
        <v>0</v>
      </c>
      <c r="BV793" s="264">
        <f t="shared" si="2079"/>
        <v>0</v>
      </c>
      <c r="BW793" s="196">
        <f t="shared" si="2080"/>
        <v>0</v>
      </c>
      <c r="BX793" s="247">
        <f t="shared" si="2081"/>
        <v>0</v>
      </c>
      <c r="BY793" s="196">
        <f t="shared" si="2082"/>
        <v>0</v>
      </c>
      <c r="BZ793" s="620">
        <v>1</v>
      </c>
      <c r="CA793" s="196">
        <f t="shared" si="2083"/>
        <v>77483.867080448617</v>
      </c>
      <c r="CB793" s="196">
        <f t="shared" si="2084"/>
        <v>154967.73416089723</v>
      </c>
      <c r="CC793" s="196">
        <f t="shared" si="1986"/>
        <v>232451.60124134587</v>
      </c>
      <c r="CD793" s="247">
        <f t="shared" si="1974"/>
        <v>9.8081009529356073E-4</v>
      </c>
      <c r="CE793" s="196">
        <f t="shared" si="2085"/>
        <v>23006.767252825652</v>
      </c>
      <c r="CF793" s="247">
        <f t="shared" si="1975"/>
        <v>9.9350375977312155E-4</v>
      </c>
      <c r="CG793" s="196">
        <f t="shared" si="2047"/>
        <v>38488.718288327422</v>
      </c>
      <c r="CH793" s="589">
        <f t="shared" si="1991"/>
        <v>9.8081009529356073E-4</v>
      </c>
      <c r="CI793" s="196">
        <f t="shared" si="2086"/>
        <v>58128.806280418161</v>
      </c>
      <c r="CJ793" s="248">
        <f t="shared" si="1992"/>
        <v>9.5563742769965571E-4</v>
      </c>
      <c r="CK793" s="196">
        <f t="shared" si="2087"/>
        <v>56826.344987295925</v>
      </c>
      <c r="CL793" s="589">
        <f t="shared" si="1993"/>
        <v>8.1689039787285946E-4</v>
      </c>
      <c r="CM793" s="196">
        <f t="shared" si="2088"/>
        <v>5505.0469646307456</v>
      </c>
      <c r="CN793" s="589">
        <f t="shared" si="1994"/>
        <v>7.9333983054099492E-4</v>
      </c>
      <c r="CO793" s="196">
        <f t="shared" si="2089"/>
        <v>440.3870979271108</v>
      </c>
      <c r="CP793" s="589">
        <f t="shared" si="1995"/>
        <v>8.3050223459001863E-4</v>
      </c>
      <c r="CQ793" s="196">
        <f>'Detailed Budget'!$AC$12</f>
        <v>292876014141.44696</v>
      </c>
      <c r="CR793" s="269">
        <f t="shared" si="2040"/>
        <v>0</v>
      </c>
      <c r="CS793" s="269">
        <f>'Detailed Budget'!$AC$16</f>
        <v>10488008800.000002</v>
      </c>
      <c r="CT793" s="607">
        <f t="shared" si="2049"/>
        <v>0</v>
      </c>
      <c r="CU793" s="269">
        <f>'Detailed Budget'!$AC$24</f>
        <v>30624985696</v>
      </c>
      <c r="CV793" s="269">
        <f t="shared" si="2050"/>
        <v>0</v>
      </c>
      <c r="CW793" s="269"/>
      <c r="CX793" s="269">
        <f t="shared" si="1987"/>
        <v>0</v>
      </c>
      <c r="CY793" s="196">
        <f>'Detailed Budget'!$AC$97</f>
        <v>74629165494.837845</v>
      </c>
      <c r="CZ793" s="269">
        <f t="shared" si="2051"/>
        <v>102373663.03975412</v>
      </c>
      <c r="DA793" s="269">
        <f>'Detailed Budget'!$AC$100</f>
        <v>14925833098.967569</v>
      </c>
      <c r="DB793" s="269">
        <f t="shared" si="2052"/>
        <v>20474732.607950825</v>
      </c>
      <c r="DC793" s="269">
        <f t="shared" si="1976"/>
        <v>122848395.64770494</v>
      </c>
      <c r="DD793" s="207">
        <v>0</v>
      </c>
      <c r="DE793" s="606">
        <v>0</v>
      </c>
      <c r="DF793" s="269">
        <f>'Detailed Budget'!$AC$147</f>
        <v>5913600671000</v>
      </c>
      <c r="DG793" s="269">
        <f t="shared" si="2042"/>
        <v>0</v>
      </c>
      <c r="DH793" s="269">
        <f>'Detailed Budget'!$AC$153</f>
        <v>226428026880.00003</v>
      </c>
      <c r="DI793" s="269"/>
      <c r="DJ793" s="269">
        <f>'Detailed Budget'!$AC$156</f>
        <v>27713070000</v>
      </c>
      <c r="DK793" s="269"/>
      <c r="DL793" s="269"/>
      <c r="DM793" s="196">
        <f>'Detailed Budget'!$AC$178</f>
        <v>5622683761.6229038</v>
      </c>
      <c r="DN793" s="269">
        <f t="shared" si="2090"/>
        <v>0</v>
      </c>
      <c r="DO793" s="196">
        <f>'Detailed Budget'!$AC$179</f>
        <v>26827890683.128094</v>
      </c>
      <c r="DP793" s="269">
        <f t="shared" si="2091"/>
        <v>0</v>
      </c>
      <c r="DQ793" s="269">
        <f t="shared" si="2041"/>
        <v>0</v>
      </c>
      <c r="DR793" s="269">
        <f>'Detailed Budget'!$AC$181</f>
        <v>50888946855.375237</v>
      </c>
      <c r="DS793" s="269">
        <f t="shared" si="2092"/>
        <v>0</v>
      </c>
      <c r="DT793" s="269">
        <f t="shared" si="2093"/>
        <v>0</v>
      </c>
      <c r="DU793" s="272">
        <f>'Detailed Budget'!$AC$192</f>
        <v>77498869683.252869</v>
      </c>
      <c r="DV793" s="269">
        <f t="shared" si="2053"/>
        <v>76011673.759174496</v>
      </c>
      <c r="DW793" s="140">
        <f>'Detailed Budget'!$AC$194</f>
        <v>2684962805.4134097</v>
      </c>
      <c r="DX793" s="269">
        <f t="shared" si="2054"/>
        <v>2633438.6250371924</v>
      </c>
      <c r="DY793" s="607">
        <f t="shared" si="1977"/>
        <v>78645112.384211689</v>
      </c>
      <c r="DZ793" s="196">
        <f>'Detailed Budget'!$AC$198</f>
        <v>18732540018.380611</v>
      </c>
      <c r="EA793" s="269">
        <f t="shared" si="2055"/>
        <v>18610848.938361596</v>
      </c>
      <c r="EB793" s="196">
        <f>'Detailed Budget'!$AC$200</f>
        <v>4683135004.5951529</v>
      </c>
      <c r="EC793" s="269">
        <f t="shared" si="2056"/>
        <v>4652712.2345903991</v>
      </c>
      <c r="ED793" s="269">
        <f t="shared" si="1978"/>
        <v>23263561.172951996</v>
      </c>
      <c r="EE793" s="196">
        <f>'Detailed Budget'!$AC$161</f>
        <v>251147290106.36197</v>
      </c>
      <c r="EF793" s="269">
        <f t="shared" si="2057"/>
        <v>246327797.54194042</v>
      </c>
      <c r="EG793" s="196">
        <f>'Detailed Budget'!$AC$163</f>
        <v>15696705631.647623</v>
      </c>
      <c r="EH793" s="269">
        <f t="shared" si="2058"/>
        <v>15395487.346371276</v>
      </c>
      <c r="EI793" s="269">
        <f t="shared" si="1979"/>
        <v>261723284.88831168</v>
      </c>
      <c r="EJ793" s="196">
        <f>'Detailed Budget'!$AC$204</f>
        <v>45012172507.531975</v>
      </c>
      <c r="EK793" s="269">
        <f t="shared" si="2059"/>
        <v>43015316.750271015</v>
      </c>
      <c r="EL793" s="201">
        <f>'Detailed Budget'!$AC$206</f>
        <v>11253043126.882994</v>
      </c>
      <c r="EM793" s="269">
        <f t="shared" si="2060"/>
        <v>10753829.187567754</v>
      </c>
      <c r="EN793" s="269">
        <f t="shared" si="1980"/>
        <v>53769145.93783877</v>
      </c>
      <c r="EO793" s="140">
        <f>'Detailed Budget'!$AC$209</f>
        <v>135789361677.54817</v>
      </c>
      <c r="EP793" s="269">
        <f t="shared" si="2061"/>
        <v>110925025.68767394</v>
      </c>
      <c r="EQ793" s="196">
        <f>'Detailed Budget'!$AC$211</f>
        <v>33947340419.387043</v>
      </c>
      <c r="ER793" s="269">
        <f t="shared" si="2062"/>
        <v>27731256.421918485</v>
      </c>
      <c r="ES793" s="269">
        <f t="shared" si="1981"/>
        <v>138656282.10959244</v>
      </c>
      <c r="ET793" s="196">
        <f>'Detailed Budget'!$AC$214</f>
        <v>22239745544.201103</v>
      </c>
      <c r="EU793" s="269">
        <f t="shared" si="2063"/>
        <v>17643675.961311352</v>
      </c>
      <c r="EV793" s="140">
        <f>'Detailed Budget'!$AC$217</f>
        <v>5559936386.0502758</v>
      </c>
      <c r="EW793" s="269">
        <f t="shared" si="2064"/>
        <v>4410918.9903278379</v>
      </c>
      <c r="EX793" s="269">
        <f t="shared" si="1982"/>
        <v>22054594.95163919</v>
      </c>
      <c r="EY793" s="196">
        <f>'Detailed Budget'!$AC$219</f>
        <v>372777004.58170313</v>
      </c>
      <c r="EZ793" s="269">
        <f t="shared" si="2065"/>
        <v>309592.13530887809</v>
      </c>
      <c r="FA793" s="196">
        <f>'Detailed Budget'!$AC$222</f>
        <v>93194251.145425782</v>
      </c>
      <c r="FB793" s="269">
        <f t="shared" si="2066"/>
        <v>77398.033827219522</v>
      </c>
      <c r="FC793" s="269">
        <f t="shared" si="1983"/>
        <v>386990.1691360976</v>
      </c>
      <c r="FD793" s="269"/>
      <c r="FE793" s="269">
        <f t="shared" si="1984"/>
        <v>214867013.16820651</v>
      </c>
      <c r="FF793" s="140">
        <f>'Detailed Budget'!$AC$165</f>
        <v>14927760000</v>
      </c>
      <c r="FG793" s="1087">
        <f t="shared" si="2043"/>
        <v>293092828.83700985</v>
      </c>
      <c r="FH793" s="269">
        <f t="shared" si="2067"/>
        <v>20353723.440518126</v>
      </c>
      <c r="FJ793" s="140">
        <f>'Detailed Budget'!$AC$235</f>
        <v>3623696172</v>
      </c>
      <c r="FK793" s="269">
        <f t="shared" si="2068"/>
        <v>4681778</v>
      </c>
      <c r="FL793" s="269">
        <f t="shared" si="2044"/>
        <v>4681778</v>
      </c>
      <c r="FO793" s="607"/>
      <c r="FP793" s="607"/>
      <c r="FQ793" s="607"/>
      <c r="FR793" s="269">
        <f>'Detailed Budget'!$AC$257</f>
        <v>13636439388</v>
      </c>
      <c r="FS793" s="269">
        <f t="shared" si="2069"/>
        <v>11492364</v>
      </c>
      <c r="FT793" s="269">
        <f t="shared" si="2045"/>
        <v>11492364</v>
      </c>
      <c r="FU793" s="269"/>
      <c r="FV793" s="269"/>
      <c r="FW793" s="269"/>
      <c r="FX793" s="140">
        <f>'Detailed Budget'!$AC$278</f>
        <v>1114560000</v>
      </c>
      <c r="FY793" s="269">
        <f t="shared" si="2070"/>
        <v>1440000</v>
      </c>
      <c r="FZ793" s="269">
        <f t="shared" si="2071"/>
        <v>1440000</v>
      </c>
      <c r="GB793" s="269">
        <f t="shared" si="2094"/>
        <v>1032408061.5389149</v>
      </c>
      <c r="GC793" s="887">
        <f t="shared" si="1985"/>
        <v>645255.03846182185</v>
      </c>
      <c r="GD793" s="1078">
        <f t="shared" si="2095"/>
        <v>5.793166729332294E-4</v>
      </c>
    </row>
    <row r="794" spans="1:186" hidden="1" outlineLevel="1">
      <c r="A794" s="211" t="s">
        <v>1665</v>
      </c>
      <c r="B794" s="212" t="s">
        <v>1666</v>
      </c>
      <c r="C794" s="213" t="s">
        <v>215</v>
      </c>
      <c r="D794" s="214"/>
      <c r="E794" s="213"/>
      <c r="F794" s="213"/>
      <c r="G794" s="213" t="s">
        <v>215</v>
      </c>
      <c r="H794" s="213" t="s">
        <v>215</v>
      </c>
      <c r="I794" s="214" t="s">
        <v>215</v>
      </c>
      <c r="J794" s="214"/>
      <c r="K794" s="213"/>
      <c r="L794" s="213"/>
      <c r="M794" s="214"/>
      <c r="N794" s="213" t="s">
        <v>215</v>
      </c>
      <c r="O794" s="214"/>
      <c r="P794" s="213"/>
      <c r="Q794" s="214"/>
      <c r="R794" s="214" t="s">
        <v>215</v>
      </c>
      <c r="S794" s="214"/>
      <c r="T794" s="214"/>
      <c r="U794" s="215">
        <f t="shared" si="2099"/>
        <v>6</v>
      </c>
      <c r="V794" s="845" t="s">
        <v>216</v>
      </c>
      <c r="W794" s="216">
        <v>222262</v>
      </c>
      <c r="X794" s="217">
        <v>3.01</v>
      </c>
      <c r="Y794" s="218">
        <f t="shared" si="1965"/>
        <v>1.0301</v>
      </c>
      <c r="Z794" s="196">
        <v>19</v>
      </c>
      <c r="AA794" s="218">
        <f t="shared" si="1966"/>
        <v>1.7567435038184733</v>
      </c>
      <c r="AB794" s="196">
        <f t="shared" si="2097"/>
        <v>390457.3246457015</v>
      </c>
      <c r="AC794">
        <v>12.7</v>
      </c>
      <c r="AD794" s="196">
        <f t="shared" si="2098"/>
        <v>49588.080230004089</v>
      </c>
      <c r="AE794" s="196">
        <f t="shared" si="1967"/>
        <v>47108.676218503882</v>
      </c>
      <c r="AF794" s="196">
        <f t="shared" si="2072"/>
        <v>0</v>
      </c>
      <c r="AG794" s="606">
        <f t="shared" si="1988"/>
        <v>2.1780983773799435E-3</v>
      </c>
      <c r="AH794" s="196">
        <f t="shared" si="2096"/>
        <v>19522.866232285076</v>
      </c>
      <c r="AI794" s="248">
        <f t="shared" si="1964"/>
        <v>1.5124068669835186E-3</v>
      </c>
      <c r="AJ794" s="196">
        <f t="shared" si="1968"/>
        <v>69110.946462289168</v>
      </c>
      <c r="AK794" s="196">
        <f t="shared" si="1998"/>
        <v>15618.29298582806</v>
      </c>
      <c r="AL794" s="196">
        <f t="shared" si="1999"/>
        <v>15618.29298582806</v>
      </c>
      <c r="AM794" s="196">
        <f t="shared" si="1969"/>
        <v>31236.585971656121</v>
      </c>
      <c r="AN794" s="627">
        <f t="shared" si="1970"/>
        <v>1.5124068669835186E-3</v>
      </c>
      <c r="AO794" s="196">
        <f t="shared" si="1971"/>
        <v>14837.378336536656</v>
      </c>
      <c r="AP794" s="589">
        <f t="shared" si="1989"/>
        <v>1.5124068669835184E-3</v>
      </c>
      <c r="AQ794" s="196"/>
      <c r="AR794" s="589"/>
      <c r="AS794">
        <v>1</v>
      </c>
      <c r="AT794" s="589">
        <f t="shared" si="1990"/>
        <v>1.2919896640826874E-3</v>
      </c>
      <c r="AU794" s="196">
        <v>11</v>
      </c>
      <c r="AV794" s="245">
        <f t="shared" si="1972"/>
        <v>1.2498579706851495E-3</v>
      </c>
      <c r="AX794" s="245"/>
      <c r="AY794" s="245"/>
      <c r="AZ794" s="196">
        <v>39</v>
      </c>
      <c r="BA794" s="589">
        <f t="shared" si="2073"/>
        <v>1.4290425414971969E-3</v>
      </c>
      <c r="BI794" s="196">
        <v>0</v>
      </c>
      <c r="BK794" s="246">
        <f t="shared" si="2074"/>
        <v>0</v>
      </c>
      <c r="BL794" s="246"/>
      <c r="BM794" s="246">
        <f t="shared" si="2075"/>
        <v>0</v>
      </c>
      <c r="BN794" s="196">
        <v>1</v>
      </c>
      <c r="BO794" s="196">
        <f t="shared" si="2076"/>
        <v>22612.115654806941</v>
      </c>
      <c r="BP794" s="196">
        <f t="shared" si="1973"/>
        <v>22612.115654806941</v>
      </c>
      <c r="BQ794" s="248">
        <f t="shared" si="2077"/>
        <v>2.1152581205830289E-3</v>
      </c>
      <c r="BR794" s="248"/>
      <c r="BS794" s="248"/>
      <c r="BT794" s="276">
        <v>0</v>
      </c>
      <c r="BU794" s="196">
        <f t="shared" si="2078"/>
        <v>0</v>
      </c>
      <c r="BV794" s="264">
        <f t="shared" si="2079"/>
        <v>0</v>
      </c>
      <c r="BW794" s="196">
        <f t="shared" si="2080"/>
        <v>0</v>
      </c>
      <c r="BX794" s="247">
        <f t="shared" si="2081"/>
        <v>0</v>
      </c>
      <c r="BY794" s="196">
        <f t="shared" si="2082"/>
        <v>0</v>
      </c>
      <c r="BZ794" s="620">
        <v>1</v>
      </c>
      <c r="CA794" s="196">
        <f t="shared" si="2083"/>
        <v>119479.94134158466</v>
      </c>
      <c r="CB794" s="196">
        <f t="shared" si="2084"/>
        <v>238959.88268316933</v>
      </c>
      <c r="CC794" s="196">
        <f t="shared" si="1986"/>
        <v>358439.82402475399</v>
      </c>
      <c r="CD794" s="247">
        <f t="shared" si="1974"/>
        <v>1.5124068669835186E-3</v>
      </c>
      <c r="CE794" s="196">
        <f t="shared" si="2085"/>
        <v>35476.381153938455</v>
      </c>
      <c r="CF794" s="247">
        <f t="shared" si="1975"/>
        <v>1.5319804678448827E-3</v>
      </c>
      <c r="CG794" s="196">
        <f t="shared" si="2047"/>
        <v>59349.513346146625</v>
      </c>
      <c r="CH794" s="589">
        <f t="shared" si="1991"/>
        <v>1.5124068669835184E-3</v>
      </c>
      <c r="CI794" s="196">
        <f t="shared" si="2086"/>
        <v>89634.482974755607</v>
      </c>
      <c r="CJ794" s="248">
        <f t="shared" si="1992"/>
        <v>1.4735906725825824E-3</v>
      </c>
      <c r="CK794" s="196">
        <f t="shared" si="2087"/>
        <v>87626.090714979044</v>
      </c>
      <c r="CL794" s="589">
        <f t="shared" si="1993"/>
        <v>1.2596430779457154E-3</v>
      </c>
      <c r="CM794" s="196">
        <f t="shared" si="2088"/>
        <v>8488.7695103529131</v>
      </c>
      <c r="CN794" s="589">
        <f t="shared" si="1994"/>
        <v>1.2233281583450876E-3</v>
      </c>
      <c r="CO794" s="196">
        <f t="shared" si="2089"/>
        <v>679.07587231405444</v>
      </c>
      <c r="CP794" s="589">
        <f t="shared" si="1995"/>
        <v>1.2806324982443801E-3</v>
      </c>
      <c r="CQ794" s="196">
        <f>'Detailed Budget'!$AC$12</f>
        <v>292876014141.44696</v>
      </c>
      <c r="CR794" s="269">
        <f t="shared" si="2040"/>
        <v>0</v>
      </c>
      <c r="CS794" s="269">
        <f>'Detailed Budget'!$AC$16</f>
        <v>10488008800.000002</v>
      </c>
      <c r="CT794" s="607">
        <f t="shared" si="2049"/>
        <v>0</v>
      </c>
      <c r="CU794" s="269">
        <f>'Detailed Budget'!$AC$24</f>
        <v>30624985696</v>
      </c>
      <c r="CV794" s="269">
        <f t="shared" si="2050"/>
        <v>0</v>
      </c>
      <c r="CW794" s="269"/>
      <c r="CX794" s="269">
        <f t="shared" si="1987"/>
        <v>0</v>
      </c>
      <c r="CY794" s="196">
        <f>'Detailed Budget'!$AC$97</f>
        <v>74629165494.837845</v>
      </c>
      <c r="CZ794" s="269">
        <f t="shared" si="2051"/>
        <v>157859948.34529054</v>
      </c>
      <c r="DA794" s="269">
        <f>'Detailed Budget'!$AC$100</f>
        <v>14925833098.967569</v>
      </c>
      <c r="DB794" s="269">
        <f t="shared" si="2052"/>
        <v>31571989.669058107</v>
      </c>
      <c r="DC794" s="269">
        <f t="shared" si="1976"/>
        <v>189431938.01434866</v>
      </c>
      <c r="DD794" s="207">
        <v>0</v>
      </c>
      <c r="DE794" s="606">
        <v>0</v>
      </c>
      <c r="DF794" s="269">
        <f>'Detailed Budget'!$AC$147</f>
        <v>5913600671000</v>
      </c>
      <c r="DG794" s="269">
        <f t="shared" si="2042"/>
        <v>0</v>
      </c>
      <c r="DH794" s="269">
        <f>'Detailed Budget'!$AC$153</f>
        <v>226428026880.00003</v>
      </c>
      <c r="DI794" s="269"/>
      <c r="DJ794" s="269">
        <f>'Detailed Budget'!$AC$156</f>
        <v>27713070000</v>
      </c>
      <c r="DK794" s="269"/>
      <c r="DL794" s="269"/>
      <c r="DM794" s="196">
        <f>'Detailed Budget'!$AC$178</f>
        <v>5622683761.6229038</v>
      </c>
      <c r="DN794" s="269">
        <f t="shared" si="2090"/>
        <v>0</v>
      </c>
      <c r="DO794" s="196">
        <f>'Detailed Budget'!$AC$179</f>
        <v>26827890683.128094</v>
      </c>
      <c r="DP794" s="269">
        <f t="shared" si="2091"/>
        <v>0</v>
      </c>
      <c r="DQ794" s="269">
        <f t="shared" si="2041"/>
        <v>0</v>
      </c>
      <c r="DR794" s="269">
        <f>'Detailed Budget'!$AC$181</f>
        <v>50888946855.375237</v>
      </c>
      <c r="DS794" s="269">
        <f t="shared" si="2092"/>
        <v>0</v>
      </c>
      <c r="DT794" s="269">
        <f t="shared" si="2093"/>
        <v>0</v>
      </c>
      <c r="DU794" s="272">
        <f>'Detailed Budget'!$AC$192</f>
        <v>77498869683.252869</v>
      </c>
      <c r="DV794" s="269">
        <f t="shared" si="2053"/>
        <v>117209822.69241247</v>
      </c>
      <c r="DW794" s="140">
        <f>'Detailed Budget'!$AC$194</f>
        <v>2684962805.4134097</v>
      </c>
      <c r="DX794" s="269">
        <f t="shared" si="2054"/>
        <v>4060756.1845025737</v>
      </c>
      <c r="DY794" s="607">
        <f t="shared" si="1977"/>
        <v>121270578.87691504</v>
      </c>
      <c r="DZ794" s="196">
        <f>'Detailed Budget'!$AC$198</f>
        <v>18732540018.380611</v>
      </c>
      <c r="EA794" s="269">
        <f t="shared" si="2055"/>
        <v>28697885.421281718</v>
      </c>
      <c r="EB794" s="196">
        <f>'Detailed Budget'!$AC$200</f>
        <v>4683135004.5951529</v>
      </c>
      <c r="EC794" s="269">
        <f t="shared" si="2056"/>
        <v>7174471.3553204294</v>
      </c>
      <c r="ED794" s="269">
        <f t="shared" si="1978"/>
        <v>35872356.776602149</v>
      </c>
      <c r="EE794" s="196">
        <f>'Detailed Budget'!$AC$161</f>
        <v>251147290106.36197</v>
      </c>
      <c r="EF794" s="269">
        <f t="shared" si="2057"/>
        <v>379836886.18116367</v>
      </c>
      <c r="EG794" s="196">
        <f>'Detailed Budget'!$AC$163</f>
        <v>15696705631.647623</v>
      </c>
      <c r="EH794" s="269">
        <f t="shared" si="2058"/>
        <v>23739805.386322729</v>
      </c>
      <c r="EI794" s="269">
        <f t="shared" si="1979"/>
        <v>403576691.56748641</v>
      </c>
      <c r="EJ794" s="196">
        <f>'Detailed Budget'!$AC$204</f>
        <v>45012172507.531975</v>
      </c>
      <c r="EK794" s="269">
        <f t="shared" si="2059"/>
        <v>66329517.559777267</v>
      </c>
      <c r="EL794" s="201">
        <f>'Detailed Budget'!$AC$206</f>
        <v>11253043126.882994</v>
      </c>
      <c r="EM794" s="269">
        <f t="shared" si="2060"/>
        <v>16582379.389944317</v>
      </c>
      <c r="EN794" s="269">
        <f t="shared" si="1980"/>
        <v>82911896.94972159</v>
      </c>
      <c r="EO794" s="140">
        <f>'Detailed Budget'!$AC$209</f>
        <v>135789361677.54817</v>
      </c>
      <c r="EP794" s="269">
        <f t="shared" si="2061"/>
        <v>171046129.49579075</v>
      </c>
      <c r="EQ794" s="196">
        <f>'Detailed Budget'!$AC$211</f>
        <v>33947340419.387043</v>
      </c>
      <c r="ER794" s="269">
        <f t="shared" si="2062"/>
        <v>42761532.373947687</v>
      </c>
      <c r="ES794" s="269">
        <f t="shared" si="1981"/>
        <v>213807661.86973843</v>
      </c>
      <c r="ET794" s="196">
        <f>'Detailed Budget'!$AC$214</f>
        <v>22239745544.201103</v>
      </c>
      <c r="EU794" s="269">
        <f t="shared" si="2063"/>
        <v>27206506.958650902</v>
      </c>
      <c r="EV794" s="140">
        <f>'Detailed Budget'!$AC$217</f>
        <v>5559936386.0502758</v>
      </c>
      <c r="EW794" s="269">
        <f t="shared" si="2064"/>
        <v>6801626.7396627255</v>
      </c>
      <c r="EX794" s="269">
        <f t="shared" si="1982"/>
        <v>34008133.698313624</v>
      </c>
      <c r="EY794" s="196">
        <f>'Detailed Budget'!$AC$219</f>
        <v>372777004.58170313</v>
      </c>
      <c r="EZ794" s="269">
        <f t="shared" si="2065"/>
        <v>477390.34666552319</v>
      </c>
      <c r="FA794" s="196">
        <f>'Detailed Budget'!$AC$222</f>
        <v>93194251.145425782</v>
      </c>
      <c r="FB794" s="269">
        <f t="shared" si="2066"/>
        <v>119347.5866663808</v>
      </c>
      <c r="FC794" s="269">
        <f t="shared" si="1983"/>
        <v>596737.933331904</v>
      </c>
      <c r="FD794" s="269"/>
      <c r="FE794" s="269">
        <f t="shared" si="1984"/>
        <v>331324430.45110554</v>
      </c>
      <c r="FF794" s="140">
        <f>'Detailed Budget'!$AC$165</f>
        <v>14927760000</v>
      </c>
      <c r="FG794" s="1087">
        <f t="shared" si="2043"/>
        <v>451948454.77609432</v>
      </c>
      <c r="FH794" s="269">
        <f t="shared" si="2067"/>
        <v>18657579.820474949</v>
      </c>
      <c r="FJ794" s="140">
        <f>'Detailed Budget'!$AC$235</f>
        <v>3623696172</v>
      </c>
      <c r="FK794" s="269">
        <f t="shared" si="2068"/>
        <v>4681778</v>
      </c>
      <c r="FL794" s="269">
        <f t="shared" si="2044"/>
        <v>4681778</v>
      </c>
      <c r="FO794" s="607"/>
      <c r="FP794" s="607"/>
      <c r="FQ794" s="607"/>
      <c r="FR794" s="269">
        <f>'Detailed Budget'!$AC$257</f>
        <v>13636439388</v>
      </c>
      <c r="FS794" s="269">
        <f t="shared" si="2069"/>
        <v>19487052</v>
      </c>
      <c r="FT794" s="269">
        <f t="shared" si="2045"/>
        <v>19487052</v>
      </c>
      <c r="FU794" s="269"/>
      <c r="FV794" s="269"/>
      <c r="FW794" s="269"/>
      <c r="FX794" s="140">
        <f>'Detailed Budget'!$AC$278</f>
        <v>1114560000</v>
      </c>
      <c r="FY794" s="269">
        <f t="shared" si="2070"/>
        <v>1440000</v>
      </c>
      <c r="FZ794" s="269">
        <f t="shared" si="2071"/>
        <v>1440000</v>
      </c>
      <c r="GB794" s="269">
        <f t="shared" si="2094"/>
        <v>1577690860.2830269</v>
      </c>
      <c r="GC794" s="887">
        <f t="shared" si="1985"/>
        <v>986056.78767689178</v>
      </c>
      <c r="GD794" s="1078">
        <f t="shared" si="2095"/>
        <v>8.8529202177474139E-4</v>
      </c>
    </row>
    <row r="795" spans="1:186" hidden="1" outlineLevel="1">
      <c r="A795" s="211"/>
      <c r="B795" s="212"/>
      <c r="C795" s="213"/>
      <c r="D795" s="214"/>
      <c r="E795" s="213"/>
      <c r="F795" s="213"/>
      <c r="G795" s="213"/>
      <c r="H795" s="213"/>
      <c r="I795" s="214"/>
      <c r="J795" s="214"/>
      <c r="K795" s="213"/>
      <c r="L795" s="213"/>
      <c r="M795" s="214"/>
      <c r="N795" s="213"/>
      <c r="O795" s="214"/>
      <c r="P795" s="213"/>
      <c r="Q795" s="214"/>
      <c r="R795" s="214"/>
      <c r="S795" s="214"/>
      <c r="T795" s="214"/>
      <c r="U795" s="215"/>
      <c r="V795" s="845"/>
      <c r="W795" s="216"/>
      <c r="X795" s="217"/>
      <c r="Y795" s="218"/>
      <c r="Z795" s="196"/>
      <c r="AA795" s="218"/>
      <c r="AG795" s="606"/>
      <c r="AJ795" s="196"/>
      <c r="AK795" s="196"/>
      <c r="AL795" s="196"/>
      <c r="AM795" s="196"/>
      <c r="AO795" s="196"/>
      <c r="AP795" s="589"/>
      <c r="AQ795" s="196"/>
      <c r="AR795" s="589"/>
      <c r="AS795"/>
      <c r="AT795" s="589"/>
      <c r="AV795" s="245"/>
      <c r="AX795" s="245"/>
      <c r="AY795" s="245"/>
      <c r="BA795" s="589">
        <f t="shared" si="2073"/>
        <v>0</v>
      </c>
      <c r="BK795" s="246">
        <f t="shared" si="2074"/>
        <v>0</v>
      </c>
      <c r="BL795" s="246"/>
      <c r="BM795" s="246">
        <f t="shared" si="2075"/>
        <v>0</v>
      </c>
      <c r="BN795" s="196"/>
      <c r="BQ795" s="248">
        <f t="shared" si="2077"/>
        <v>0</v>
      </c>
      <c r="BR795" s="248"/>
      <c r="BS795" s="248"/>
      <c r="BT795" s="276"/>
      <c r="BV795" s="264">
        <f t="shared" si="2079"/>
        <v>0</v>
      </c>
      <c r="BX795" s="247">
        <f t="shared" si="2081"/>
        <v>0</v>
      </c>
      <c r="BY795" s="196"/>
      <c r="BZ795" s="620"/>
      <c r="CA795" s="196"/>
      <c r="CB795" s="196"/>
      <c r="CC795" s="196"/>
      <c r="CD795" s="247"/>
      <c r="CF795" s="247"/>
      <c r="CG795" s="196"/>
      <c r="CH795" s="589"/>
      <c r="CI795" s="196"/>
      <c r="CJ795" s="248"/>
      <c r="CK795" s="196"/>
      <c r="CL795" s="589"/>
      <c r="CM795" s="196"/>
      <c r="CN795" s="589"/>
      <c r="CO795" s="196"/>
      <c r="CP795" s="589"/>
      <c r="CQ795" s="196"/>
      <c r="CR795" s="269">
        <f t="shared" si="2040"/>
        <v>0</v>
      </c>
      <c r="CS795" s="269"/>
      <c r="CT795" s="607"/>
      <c r="CU795" s="269">
        <f>'Detailed Budget'!$AC$24</f>
        <v>30624985696</v>
      </c>
      <c r="CV795" s="269">
        <f t="shared" si="2050"/>
        <v>0</v>
      </c>
      <c r="CW795" s="269"/>
      <c r="CX795" s="269"/>
      <c r="CY795" s="196"/>
      <c r="DC795" s="269"/>
      <c r="DD795" s="207"/>
      <c r="DE795" s="606">
        <v>0</v>
      </c>
      <c r="DF795" s="269">
        <f>'Detailed Budget'!$AC$147</f>
        <v>5913600671000</v>
      </c>
      <c r="DG795" s="269">
        <f t="shared" si="2042"/>
        <v>0</v>
      </c>
      <c r="DH795" s="269">
        <f>'Detailed Budget'!$AC$153</f>
        <v>226428026880.00003</v>
      </c>
      <c r="DI795" s="269"/>
      <c r="DJ795" s="269">
        <f>'Detailed Budget'!$AC$156</f>
        <v>27713070000</v>
      </c>
      <c r="DK795" s="269"/>
      <c r="DL795" s="269"/>
      <c r="DM795" s="196"/>
      <c r="DN795" s="269"/>
      <c r="DO795" s="196"/>
      <c r="DP795" s="269"/>
      <c r="DQ795" s="269"/>
      <c r="DR795" s="269"/>
      <c r="DS795" s="269"/>
      <c r="DT795" s="269"/>
      <c r="DU795" s="272"/>
      <c r="DV795" s="269"/>
      <c r="DW795" s="140"/>
      <c r="DX795" s="269"/>
      <c r="DY795" s="607"/>
      <c r="DZ795" s="196"/>
      <c r="EA795" s="269"/>
      <c r="EB795" s="196"/>
      <c r="ED795" s="269"/>
      <c r="EE795" s="196"/>
      <c r="EG795" s="196"/>
      <c r="EI795" s="269"/>
      <c r="EJ795" s="196"/>
      <c r="EL795" s="201"/>
      <c r="EN795" s="269"/>
      <c r="EO795" s="140"/>
      <c r="EQ795" s="196"/>
      <c r="ES795" s="269"/>
      <c r="ET795" s="196"/>
      <c r="EV795" s="140"/>
      <c r="EX795" s="269"/>
      <c r="EY795" s="196"/>
      <c r="FA795" s="196"/>
      <c r="FC795" s="269"/>
      <c r="FD795" s="269"/>
      <c r="FE795" s="269"/>
      <c r="FF795" s="140"/>
      <c r="FG795" s="1087">
        <f t="shared" si="2043"/>
        <v>0</v>
      </c>
      <c r="FJ795" s="140"/>
      <c r="FL795" s="269">
        <f t="shared" si="2044"/>
        <v>0</v>
      </c>
      <c r="FO795" s="607"/>
      <c r="FP795" s="607"/>
      <c r="FQ795" s="607"/>
      <c r="FT795" s="269">
        <f t="shared" si="2045"/>
        <v>0</v>
      </c>
      <c r="FU795" s="269"/>
      <c r="FV795" s="269"/>
      <c r="FW795" s="269"/>
      <c r="FX795" s="140">
        <f>'Detailed Budget'!$AC$278</f>
        <v>1114560000</v>
      </c>
      <c r="FY795" s="269"/>
      <c r="FZ795" s="269"/>
      <c r="GB795" s="269">
        <f t="shared" si="2094"/>
        <v>0</v>
      </c>
      <c r="GD795" s="1078">
        <f t="shared" si="2095"/>
        <v>0</v>
      </c>
    </row>
    <row r="796" spans="1:186" s="210" customFormat="1" collapsed="1">
      <c r="A796" s="203">
        <v>6.5</v>
      </c>
      <c r="B796" s="204" t="s">
        <v>1667</v>
      </c>
      <c r="C796" s="205">
        <f>COUNTA(C797:C826)</f>
        <v>30</v>
      </c>
      <c r="D796" s="205">
        <f t="shared" ref="D796:T796" si="2100">COUNTA(D797:D826)</f>
        <v>0</v>
      </c>
      <c r="E796" s="205">
        <f t="shared" si="2100"/>
        <v>0</v>
      </c>
      <c r="F796" s="205">
        <f t="shared" si="2100"/>
        <v>0</v>
      </c>
      <c r="G796" s="205">
        <f t="shared" si="2100"/>
        <v>30</v>
      </c>
      <c r="H796" s="205">
        <f t="shared" si="2100"/>
        <v>30</v>
      </c>
      <c r="I796" s="205">
        <f t="shared" si="2100"/>
        <v>30</v>
      </c>
      <c r="J796" s="205">
        <f t="shared" si="2100"/>
        <v>0</v>
      </c>
      <c r="K796" s="205">
        <f t="shared" si="2100"/>
        <v>0</v>
      </c>
      <c r="L796" s="205">
        <f t="shared" si="2100"/>
        <v>0</v>
      </c>
      <c r="M796" s="205">
        <f t="shared" si="2100"/>
        <v>0</v>
      </c>
      <c r="N796" s="205">
        <f t="shared" si="2100"/>
        <v>9</v>
      </c>
      <c r="O796" s="205">
        <f t="shared" si="2100"/>
        <v>12</v>
      </c>
      <c r="P796" s="205">
        <f t="shared" si="2100"/>
        <v>9</v>
      </c>
      <c r="Q796" s="205">
        <f t="shared" si="2100"/>
        <v>9</v>
      </c>
      <c r="R796" s="205">
        <f t="shared" si="2100"/>
        <v>21</v>
      </c>
      <c r="S796" s="205">
        <f t="shared" si="2100"/>
        <v>0</v>
      </c>
      <c r="T796" s="205">
        <f t="shared" si="2100"/>
        <v>0</v>
      </c>
      <c r="U796" s="206">
        <f>SUM(C796:T796)</f>
        <v>180</v>
      </c>
      <c r="V796" s="844"/>
      <c r="W796" s="207">
        <f>SUM(W797:W826)</f>
        <v>3416959</v>
      </c>
      <c r="X796" s="208">
        <v>3.21</v>
      </c>
      <c r="Y796" s="209">
        <f t="shared" si="1965"/>
        <v>1.0321</v>
      </c>
      <c r="Z796" s="207">
        <v>19</v>
      </c>
      <c r="AA796" s="209">
        <f t="shared" si="1966"/>
        <v>1.8226940798007465</v>
      </c>
      <c r="AB796" s="207">
        <f t="shared" si="2097"/>
        <v>6228070.9402218787</v>
      </c>
      <c r="AC796" s="210">
        <v>11.9</v>
      </c>
      <c r="AD796" s="207">
        <f t="shared" si="2098"/>
        <v>741140.4418864036</v>
      </c>
      <c r="AE796" s="207">
        <f t="shared" si="1967"/>
        <v>704083.41979208344</v>
      </c>
      <c r="AF796" s="207">
        <f>SUM(AF797:AF826)</f>
        <v>0</v>
      </c>
      <c r="AG796" s="588">
        <f t="shared" si="1988"/>
        <v>3.2553726347056389E-2</v>
      </c>
      <c r="AH796" s="207">
        <f>SUM(AH797:AH826)</f>
        <v>311403.54701109393</v>
      </c>
      <c r="AI796" s="633">
        <f t="shared" si="1964"/>
        <v>2.4123960964489915E-2</v>
      </c>
      <c r="AJ796" s="207">
        <f>SUM(AJ797:AJ826)</f>
        <v>1052543.9888974978</v>
      </c>
      <c r="AK796" s="207">
        <f t="shared" si="1998"/>
        <v>249122.83760887515</v>
      </c>
      <c r="AL796" s="207">
        <f t="shared" si="1999"/>
        <v>249122.83760887515</v>
      </c>
      <c r="AM796" s="207">
        <f t="shared" si="1969"/>
        <v>498245.67521775031</v>
      </c>
      <c r="AN796" s="632">
        <f t="shared" si="1970"/>
        <v>2.4123960964489915E-2</v>
      </c>
      <c r="AO796" s="207">
        <f t="shared" si="1971"/>
        <v>236666.6957284314</v>
      </c>
      <c r="AP796" s="588">
        <f t="shared" si="1989"/>
        <v>2.4123960964489915E-2</v>
      </c>
      <c r="AQ796" s="207">
        <v>1</v>
      </c>
      <c r="AR796" s="588">
        <f>AQ796/37</f>
        <v>2.7027027027027029E-2</v>
      </c>
      <c r="AS796" s="207">
        <f>SUM(AS797:AS826)</f>
        <v>30</v>
      </c>
      <c r="AT796" s="588">
        <f t="shared" si="1990"/>
        <v>3.875968992248062E-2</v>
      </c>
      <c r="AU796" s="207">
        <f>SUM(AU797:AU826)</f>
        <v>332</v>
      </c>
      <c r="AV796" s="892">
        <f t="shared" si="1972"/>
        <v>3.7722986024315418E-2</v>
      </c>
      <c r="AW796" s="207">
        <v>10245</v>
      </c>
      <c r="AX796" s="208">
        <f>AW796*0.002</f>
        <v>20.490000000000002</v>
      </c>
      <c r="AY796" s="207">
        <f>AX796*100</f>
        <v>2049</v>
      </c>
      <c r="AZ796" s="207">
        <f>SUM(AZ797:AZ826)</f>
        <v>846</v>
      </c>
      <c r="BA796" s="588">
        <f t="shared" si="2073"/>
        <v>3.0999230515554577E-2</v>
      </c>
      <c r="BB796" s="207">
        <v>24</v>
      </c>
      <c r="BC796" s="207">
        <v>4</v>
      </c>
      <c r="BD796" s="207">
        <f>BB796+BC796</f>
        <v>28</v>
      </c>
      <c r="BE796" s="633">
        <f>BD796/1306</f>
        <v>2.1439509954058193E-2</v>
      </c>
      <c r="BF796" s="207">
        <f>AZ796+BD796</f>
        <v>874</v>
      </c>
      <c r="BG796" s="588">
        <f>BF796/28597</f>
        <v>3.0562646431443859E-2</v>
      </c>
      <c r="BH796" s="1084">
        <v>54.9</v>
      </c>
      <c r="BI796" s="207"/>
      <c r="BJ796" s="207"/>
      <c r="BK796" s="892">
        <f t="shared" si="2074"/>
        <v>0</v>
      </c>
      <c r="BL796" s="892"/>
      <c r="BM796" s="892">
        <f t="shared" si="2075"/>
        <v>0</v>
      </c>
      <c r="BN796" s="207"/>
      <c r="BO796" s="207">
        <v>334059</v>
      </c>
      <c r="BP796" s="207">
        <f>SUM(BP797:BP826)</f>
        <v>334058.99647626048</v>
      </c>
      <c r="BQ796" s="633">
        <f t="shared" si="2077"/>
        <v>3.1249663491793266E-2</v>
      </c>
      <c r="BR796" s="207">
        <f>AY796*0.5*24</f>
        <v>24588</v>
      </c>
      <c r="BS796" s="633">
        <f>BR796/2211211</f>
        <v>1.1119698662859402E-2</v>
      </c>
      <c r="BT796" s="634"/>
      <c r="BU796" s="207"/>
      <c r="BV796" s="264">
        <f t="shared" si="2079"/>
        <v>0</v>
      </c>
      <c r="BW796" s="207"/>
      <c r="BX796" s="247">
        <f t="shared" si="2081"/>
        <v>0</v>
      </c>
      <c r="BY796" s="207">
        <f>SUM(BY797:BY826)</f>
        <v>0</v>
      </c>
      <c r="CA796" s="207">
        <f>SUM(CA797:CA826)</f>
        <v>1905789.707707895</v>
      </c>
      <c r="CB796" s="207">
        <f>SUM(CB797:CB826)</f>
        <v>3811579.4154157899</v>
      </c>
      <c r="CC796" s="207">
        <f>SUM(CC797:CC826)</f>
        <v>5717369.1231236858</v>
      </c>
      <c r="CD796" s="633">
        <f t="shared" si="1974"/>
        <v>2.4123960964489918E-2</v>
      </c>
      <c r="CE796" s="207">
        <f>SUM(CE797:CE826)</f>
        <v>549447.20073650801</v>
      </c>
      <c r="CF796" s="633">
        <f t="shared" si="1975"/>
        <v>2.3726838878743124E-2</v>
      </c>
      <c r="CG796" s="207">
        <f t="shared" ref="CG796:CG826" si="2101">AO796*4</f>
        <v>946666.78291372559</v>
      </c>
      <c r="CH796" s="588">
        <f t="shared" si="1991"/>
        <v>2.4123960964489915E-2</v>
      </c>
      <c r="CI796" s="207">
        <f t="shared" ref="CI796:CO796" si="2102">SUM(CI797:CI826)</f>
        <v>1706038.0171823872</v>
      </c>
      <c r="CJ796" s="633">
        <f t="shared" si="1992"/>
        <v>2.8047260671981399E-2</v>
      </c>
      <c r="CK796" s="207">
        <f t="shared" si="2102"/>
        <v>1468043.8752843479</v>
      </c>
      <c r="CL796" s="588">
        <f t="shared" si="1993"/>
        <v>2.1103432670954731E-2</v>
      </c>
      <c r="CM796" s="207">
        <f t="shared" si="2102"/>
        <v>142217.08479337054</v>
      </c>
      <c r="CN796" s="588">
        <f t="shared" si="1994"/>
        <v>2.0495098166265106E-2</v>
      </c>
      <c r="CO796" s="207">
        <f t="shared" si="2102"/>
        <v>11377.006783255005</v>
      </c>
      <c r="CP796" s="588">
        <f t="shared" si="1995"/>
        <v>2.1455282411572692E-2</v>
      </c>
      <c r="CQ796" s="207">
        <f>'Detailed Budget'!$AC$12</f>
        <v>292876014141.44696</v>
      </c>
      <c r="CR796" s="605">
        <f t="shared" si="2040"/>
        <v>0</v>
      </c>
      <c r="CS796" s="605">
        <f>'Detailed Budget'!$AC$16</f>
        <v>10488008800.000002</v>
      </c>
      <c r="CT796" s="605">
        <f t="shared" ref="CT796:CT826" si="2103">BM796*CS796</f>
        <v>0</v>
      </c>
      <c r="CU796" s="605">
        <f>'Detailed Budget'!$AC$24</f>
        <v>30624985696</v>
      </c>
      <c r="CV796" s="605">
        <f t="shared" si="2050"/>
        <v>0</v>
      </c>
      <c r="CW796" s="605"/>
      <c r="CX796" s="605">
        <f t="shared" si="1987"/>
        <v>0</v>
      </c>
      <c r="CY796" s="207">
        <f>'Detailed Budget'!$AC$97</f>
        <v>74629165494.837845</v>
      </c>
      <c r="CZ796" s="605">
        <f t="shared" ref="CZ796:CZ826" si="2104">BQ796*CY796</f>
        <v>2332136308.387032</v>
      </c>
      <c r="DA796" s="605">
        <f>'Detailed Budget'!$AC$100</f>
        <v>14925833098.967569</v>
      </c>
      <c r="DB796" s="605">
        <f t="shared" ref="DB796:DB826" si="2105">BQ796*DA796</f>
        <v>466427261.67740643</v>
      </c>
      <c r="DC796" s="605">
        <f t="shared" si="1976"/>
        <v>2798563570.0644383</v>
      </c>
      <c r="DD796" s="207">
        <f>SUM(DD797:DD826)</f>
        <v>0</v>
      </c>
      <c r="DE796" s="606">
        <v>0</v>
      </c>
      <c r="DF796" s="605">
        <f>'Detailed Budget'!$AC$147</f>
        <v>5913600671000</v>
      </c>
      <c r="DG796" s="605">
        <f t="shared" si="2042"/>
        <v>0</v>
      </c>
      <c r="DH796" s="605">
        <f>'Detailed Budget'!$AC$153</f>
        <v>226428026880.00003</v>
      </c>
      <c r="DI796" s="605">
        <f>BS796*DH796</f>
        <v>2517811427.7314291</v>
      </c>
      <c r="DJ796" s="605">
        <f>'Detailed Budget'!$AC$156</f>
        <v>27713070000</v>
      </c>
      <c r="DK796" s="605">
        <f>AT796*DJ796</f>
        <v>1074150000</v>
      </c>
      <c r="DL796" s="605">
        <f>DI796+DK796</f>
        <v>3591961427.7314291</v>
      </c>
      <c r="DM796" s="207">
        <f>'Detailed Budget'!$AC$178</f>
        <v>5622683761.6229038</v>
      </c>
      <c r="DN796" s="605">
        <f>SUM(DN797:DN826)</f>
        <v>0</v>
      </c>
      <c r="DO796" s="605">
        <f>'Detailed Budget'!$AC$179</f>
        <v>26827890683.128094</v>
      </c>
      <c r="DP796" s="605">
        <f>SUM(DP797:DP826)</f>
        <v>0</v>
      </c>
      <c r="DQ796" s="605">
        <f>SUM(DQ797:DQ826)</f>
        <v>0</v>
      </c>
      <c r="DR796" s="605">
        <f>'Detailed Budget'!$AC$181</f>
        <v>50888946855.375237</v>
      </c>
      <c r="DS796" s="605">
        <f>SUM(DS797:DS826)</f>
        <v>0</v>
      </c>
      <c r="DT796" s="605">
        <f>SUM(DT797:DT826)</f>
        <v>0</v>
      </c>
      <c r="DU796" s="634">
        <f>'Detailed Budget'!$AC$192</f>
        <v>77498869683.252869</v>
      </c>
      <c r="DV796" s="605">
        <f t="shared" ref="DV796:DV826" si="2106">BZ796*CD796*DU796</f>
        <v>0</v>
      </c>
      <c r="DW796" s="930">
        <f>'Detailed Budget'!$AC$194</f>
        <v>2684962805.4134097</v>
      </c>
      <c r="DX796" s="605">
        <f t="shared" ref="DX796:DX826" si="2107">BZ796*AN796*DW796</f>
        <v>0</v>
      </c>
      <c r="DY796" s="605">
        <f t="shared" si="1977"/>
        <v>0</v>
      </c>
      <c r="DZ796" s="207">
        <f>'Detailed Budget'!$AC$198</f>
        <v>18732540018.380611</v>
      </c>
      <c r="EA796" s="605">
        <f t="shared" ref="EA796:EA826" si="2108">CF796*DZ796</f>
        <v>444463958.8057245</v>
      </c>
      <c r="EB796" s="207">
        <f>'Detailed Budget'!$AC$200</f>
        <v>4683135004.5951529</v>
      </c>
      <c r="EC796" s="605">
        <f t="shared" ref="EC796:EC826" si="2109">CF796*EB796</f>
        <v>111115989.70143113</v>
      </c>
      <c r="ED796" s="605">
        <f t="shared" si="1978"/>
        <v>555579948.50715566</v>
      </c>
      <c r="EE796" s="207">
        <f>'Detailed Budget'!$AC$161</f>
        <v>251147290106.36197</v>
      </c>
      <c r="EF796" s="605">
        <f t="shared" ref="EF796:EF826" si="2110">CH796*EE796</f>
        <v>6058667422.8633003</v>
      </c>
      <c r="EG796" s="207">
        <f>'Detailed Budget'!$AC$163</f>
        <v>15696705631.647623</v>
      </c>
      <c r="EH796" s="605">
        <f t="shared" ref="EH796:EH826" si="2111">AP796*EG796</f>
        <v>378666713.92895627</v>
      </c>
      <c r="EI796" s="605">
        <f t="shared" si="1979"/>
        <v>6437334136.7922564</v>
      </c>
      <c r="EJ796" s="207">
        <f>'Detailed Budget'!$AC$204</f>
        <v>45012172507.531975</v>
      </c>
      <c r="EK796" s="605">
        <f t="shared" ref="EK796:EK826" si="2112">CJ796*EJ796</f>
        <v>1262468135.7309439</v>
      </c>
      <c r="EL796" s="207">
        <f>'Detailed Budget'!$AC$206</f>
        <v>11253043126.882994</v>
      </c>
      <c r="EM796" s="605">
        <f t="shared" ref="EM796:EM826" si="2113">CJ796*EL796</f>
        <v>315617033.93273598</v>
      </c>
      <c r="EN796" s="605">
        <f t="shared" si="1980"/>
        <v>1578085169.6636798</v>
      </c>
      <c r="EO796" s="930">
        <f>'Detailed Budget'!$AC$209</f>
        <v>135789361677.54817</v>
      </c>
      <c r="EP796" s="605">
        <f t="shared" ref="EP796:EP826" si="2114">CL796*EO796</f>
        <v>2865621651.5940585</v>
      </c>
      <c r="EQ796" s="207">
        <f>'Detailed Budget'!$AC$211</f>
        <v>33947340419.387043</v>
      </c>
      <c r="ER796" s="605">
        <f t="shared" ref="ER796:ER826" si="2115">CL796*EQ796</f>
        <v>716405412.89851463</v>
      </c>
      <c r="ES796" s="605">
        <f t="shared" si="1981"/>
        <v>3582027064.4925733</v>
      </c>
      <c r="ET796" s="207">
        <f>'Detailed Budget'!$AC$214</f>
        <v>22239745544.201103</v>
      </c>
      <c r="EU796" s="605">
        <f t="shared" ref="EU796:EU826" si="2116">CN796*ET796</f>
        <v>455805768.1211586</v>
      </c>
      <c r="EV796" s="930">
        <f>'Detailed Budget'!$AC$217</f>
        <v>5559936386.0502758</v>
      </c>
      <c r="EW796" s="605">
        <f t="shared" ref="EW796:EW826" si="2117">CN796*EV796</f>
        <v>113951442.03028965</v>
      </c>
      <c r="EX796" s="605">
        <f t="shared" si="1982"/>
        <v>569757210.15144825</v>
      </c>
      <c r="EY796" s="207">
        <f>'Detailed Budget'!$AC$219</f>
        <v>372777004.58170313</v>
      </c>
      <c r="EZ796" s="605">
        <f t="shared" ref="EZ796:EZ826" si="2118">CP796*EY796</f>
        <v>7998035.909840568</v>
      </c>
      <c r="FA796" s="207">
        <f>'Detailed Budget'!$AC$222</f>
        <v>93194251.145425782</v>
      </c>
      <c r="FB796" s="605">
        <f t="shared" ref="FB796:FB826" si="2119">CP796*FA796</f>
        <v>1999508.977460142</v>
      </c>
      <c r="FC796" s="605">
        <f t="shared" si="1983"/>
        <v>9997544.8873007093</v>
      </c>
      <c r="FD796" s="605"/>
      <c r="FE796" s="605">
        <f t="shared" si="1984"/>
        <v>5739866989.1950016</v>
      </c>
      <c r="FF796" s="930">
        <f>'Detailed Budget'!$AC$165</f>
        <v>14927760000</v>
      </c>
      <c r="FG796" s="1087">
        <f t="shared" si="2043"/>
        <v>7829558517.1761599</v>
      </c>
      <c r="FH796" s="605">
        <f t="shared" ref="FH796:FH826" si="2120">AV796*FF796</f>
        <v>563119681.85433471</v>
      </c>
      <c r="FI796" s="605"/>
      <c r="FJ796" s="930">
        <f>'Detailed Budget'!$AC$235</f>
        <v>3623696172</v>
      </c>
      <c r="FK796" s="605">
        <f t="shared" ref="FK796:FK826" si="2121">AT796*FJ796</f>
        <v>140453340</v>
      </c>
      <c r="FL796" s="605">
        <f t="shared" si="2044"/>
        <v>140453340</v>
      </c>
      <c r="FM796" s="605"/>
      <c r="FN796" s="605">
        <f>'Detailed Budget'!$AC$251</f>
        <v>1047595800</v>
      </c>
      <c r="FO796" s="605">
        <f>AR796*FN796</f>
        <v>28313400</v>
      </c>
      <c r="FP796" s="605">
        <f>'Detailed Budget'!$AB$254</f>
        <v>2773297530</v>
      </c>
      <c r="FQ796" s="605">
        <f>BE796*FP796</f>
        <v>59458140</v>
      </c>
      <c r="FR796" s="605">
        <f>'Detailed Budget'!$AC$257</f>
        <v>13636439388</v>
      </c>
      <c r="FS796" s="605">
        <f t="shared" ref="FS796:FS826" si="2122">BA796*FR796</f>
        <v>422719128</v>
      </c>
      <c r="FT796" s="605">
        <f t="shared" si="2045"/>
        <v>510490668</v>
      </c>
      <c r="FU796" s="605"/>
      <c r="FV796" s="605">
        <f>'Detailed Budget'!$AC$265</f>
        <v>6277805540</v>
      </c>
      <c r="FW796" s="605">
        <f>AR796*FV796</f>
        <v>169670420</v>
      </c>
      <c r="FX796" s="930">
        <f>'Detailed Budget'!$AC$278</f>
        <v>1114560000</v>
      </c>
      <c r="FY796" s="605">
        <f t="shared" ref="FY796:FY826" si="2123">AT796*FX796</f>
        <v>43200000</v>
      </c>
      <c r="FZ796" s="605">
        <f t="shared" si="2071"/>
        <v>212870420</v>
      </c>
      <c r="GB796" s="269">
        <f t="shared" si="2094"/>
        <v>28379798699.320778</v>
      </c>
      <c r="GC796" s="889">
        <f t="shared" si="1985"/>
        <v>17737374.187075485</v>
      </c>
      <c r="GD796" s="1078">
        <f t="shared" si="2095"/>
        <v>1.5924798704592052E-2</v>
      </c>
    </row>
    <row r="797" spans="1:186" hidden="1" outlineLevel="1">
      <c r="A797" s="211" t="s">
        <v>1668</v>
      </c>
      <c r="B797" s="212" t="s">
        <v>1669</v>
      </c>
      <c r="C797" s="213" t="s">
        <v>215</v>
      </c>
      <c r="D797" s="214"/>
      <c r="E797" s="213"/>
      <c r="F797" s="213"/>
      <c r="G797" s="213" t="s">
        <v>215</v>
      </c>
      <c r="H797" s="213" t="s">
        <v>215</v>
      </c>
      <c r="I797" s="214" t="s">
        <v>215</v>
      </c>
      <c r="J797" s="214"/>
      <c r="K797" s="213"/>
      <c r="L797" s="213"/>
      <c r="M797" s="214"/>
      <c r="N797" s="213" t="s">
        <v>215</v>
      </c>
      <c r="O797" s="214"/>
      <c r="P797" s="213"/>
      <c r="Q797" s="214"/>
      <c r="R797" s="214" t="s">
        <v>215</v>
      </c>
      <c r="S797" s="214"/>
      <c r="T797" s="214"/>
      <c r="U797" s="215">
        <f t="shared" si="2099"/>
        <v>6</v>
      </c>
      <c r="V797" s="845" t="s">
        <v>216</v>
      </c>
      <c r="W797" s="216">
        <v>149569</v>
      </c>
      <c r="X797" s="217">
        <v>3.21</v>
      </c>
      <c r="Y797" s="218">
        <f t="shared" si="1965"/>
        <v>1.0321</v>
      </c>
      <c r="Z797" s="196">
        <v>19</v>
      </c>
      <c r="AA797" s="218">
        <f t="shared" si="1966"/>
        <v>1.8226940798007465</v>
      </c>
      <c r="AB797" s="196">
        <f t="shared" si="2097"/>
        <v>272618.53082171787</v>
      </c>
      <c r="AC797">
        <v>11.9</v>
      </c>
      <c r="AD797" s="196">
        <f t="shared" si="2098"/>
        <v>32441.605167784426</v>
      </c>
      <c r="AE797" s="196">
        <f t="shared" si="1967"/>
        <v>30819.524909395204</v>
      </c>
      <c r="AF797" s="196">
        <f t="shared" ref="AF797:AF826" si="2124">AE797*BT797</f>
        <v>0</v>
      </c>
      <c r="AG797" s="606">
        <f t="shared" si="1988"/>
        <v>1.4249595315609222E-3</v>
      </c>
      <c r="AH797" s="196">
        <f>AB797*0.05</f>
        <v>13630.926541085893</v>
      </c>
      <c r="AI797" s="248">
        <f t="shared" si="1964"/>
        <v>1.0559672262669211E-3</v>
      </c>
      <c r="AJ797" s="196">
        <f t="shared" si="1968"/>
        <v>46072.531708870316</v>
      </c>
      <c r="AK797" s="196">
        <f t="shared" si="1998"/>
        <v>10904.741232868715</v>
      </c>
      <c r="AL797" s="196">
        <f t="shared" si="1999"/>
        <v>10904.741232868715</v>
      </c>
      <c r="AM797" s="196">
        <f t="shared" si="1969"/>
        <v>21809.48246573743</v>
      </c>
      <c r="AN797" s="627">
        <f t="shared" si="1970"/>
        <v>1.0559672262669211E-3</v>
      </c>
      <c r="AO797" s="196">
        <f t="shared" si="1971"/>
        <v>10359.504171225279</v>
      </c>
      <c r="AP797" s="589">
        <f t="shared" si="1989"/>
        <v>1.0559672262669211E-3</v>
      </c>
      <c r="AQ797" s="196"/>
      <c r="AR797" s="589"/>
      <c r="AS797">
        <v>1</v>
      </c>
      <c r="AT797" s="589">
        <f t="shared" si="1990"/>
        <v>1.2919896640826874E-3</v>
      </c>
      <c r="AU797" s="196">
        <v>11</v>
      </c>
      <c r="AV797" s="245">
        <f t="shared" si="1972"/>
        <v>1.2498579706851495E-3</v>
      </c>
      <c r="AX797" s="245"/>
      <c r="AY797" s="245"/>
      <c r="AZ797" s="196">
        <v>32</v>
      </c>
      <c r="BA797" s="589">
        <f t="shared" si="2073"/>
        <v>1.1725477263566744E-3</v>
      </c>
      <c r="BI797" s="196">
        <v>0</v>
      </c>
      <c r="BK797" s="246">
        <f t="shared" si="2074"/>
        <v>0</v>
      </c>
      <c r="BL797" s="246"/>
      <c r="BM797" s="246">
        <f t="shared" si="2075"/>
        <v>0</v>
      </c>
      <c r="BN797" s="196">
        <v>1</v>
      </c>
      <c r="BO797" s="196">
        <f t="shared" ref="BO797:BO826" si="2125">AJ797/1052544*334059</f>
        <v>14622.613278051567</v>
      </c>
      <c r="BP797" s="196">
        <f t="shared" si="1973"/>
        <v>14622.613278051567</v>
      </c>
      <c r="BQ797" s="248">
        <f t="shared" si="2077"/>
        <v>1.3678773783367102E-3</v>
      </c>
      <c r="BR797" s="248"/>
      <c r="BS797" s="248"/>
      <c r="BT797" s="276">
        <v>0</v>
      </c>
      <c r="BU797" s="196">
        <f t="shared" ref="BU797:BU826" si="2126">AD797*BT797*0.18*4</f>
        <v>0</v>
      </c>
      <c r="BV797" s="264">
        <f t="shared" si="2079"/>
        <v>0</v>
      </c>
      <c r="BW797" s="196">
        <f t="shared" ref="BW797:BW826" si="2127">AD797*BT797*0.77*4</f>
        <v>0</v>
      </c>
      <c r="BX797" s="247">
        <f t="shared" si="2081"/>
        <v>0</v>
      </c>
      <c r="BY797" s="196">
        <f t="shared" ref="BY797:BY826" si="2128">BU797+BW797</f>
        <v>0</v>
      </c>
      <c r="BZ797" s="620">
        <v>1</v>
      </c>
      <c r="CA797" s="196">
        <f t="shared" ref="CA797:CA826" si="2129">AK797*0.85*0.75*12</f>
        <v>83421.270431445664</v>
      </c>
      <c r="CB797" s="196">
        <f t="shared" ref="CB797:CB826" si="2130">AL797*0.85*0.75*2*12</f>
        <v>166842.54086289133</v>
      </c>
      <c r="CC797" s="196">
        <f t="shared" si="1986"/>
        <v>250263.81129433698</v>
      </c>
      <c r="CD797" s="247">
        <f t="shared" si="1974"/>
        <v>1.0559672262669209E-3</v>
      </c>
      <c r="CE797" s="196">
        <f t="shared" ref="CE797:CE826" si="2131">AH797/311404*549448</f>
        <v>24050.703671585987</v>
      </c>
      <c r="CF797" s="247">
        <f t="shared" si="1975"/>
        <v>1.0385841809207341E-3</v>
      </c>
      <c r="CG797" s="196">
        <f t="shared" si="2101"/>
        <v>41438.016684901115</v>
      </c>
      <c r="CH797" s="589">
        <f t="shared" si="1991"/>
        <v>1.0559672262669211E-3</v>
      </c>
      <c r="CI797" s="196">
        <f t="shared" ref="CI797:CI826" si="2132">AD797/741140*1706037</f>
        <v>74677.63007749067</v>
      </c>
      <c r="CJ797" s="248">
        <f t="shared" si="1992"/>
        <v>1.227700048917059E-3</v>
      </c>
      <c r="CK797" s="196">
        <f t="shared" ref="CK797:CK826" si="2133">AD797/741140*1468043</f>
        <v>64260.020205804234</v>
      </c>
      <c r="CL797" s="589">
        <f t="shared" si="1993"/>
        <v>9.2375100818067413E-4</v>
      </c>
      <c r="CM797" s="196">
        <f t="shared" ref="CM797:CM826" si="2134">AD797/741140*142217</f>
        <v>6225.2040938915688</v>
      </c>
      <c r="CN797" s="589">
        <f t="shared" si="1994"/>
        <v>8.971226572019466E-4</v>
      </c>
      <c r="CO797" s="196">
        <f t="shared" ref="CO797:CO826" si="2135">AD797/741140*11377</f>
        <v>498.00056938484414</v>
      </c>
      <c r="CP797" s="589">
        <f t="shared" si="1995"/>
        <v>9.3915236765103576E-4</v>
      </c>
      <c r="CQ797" s="196">
        <f>'Detailed Budget'!$AC$12</f>
        <v>292876014141.44696</v>
      </c>
      <c r="CR797" s="269">
        <f t="shared" si="2040"/>
        <v>0</v>
      </c>
      <c r="CS797" s="269">
        <f>'Detailed Budget'!$AC$16</f>
        <v>10488008800.000002</v>
      </c>
      <c r="CT797" s="607">
        <f t="shared" si="2103"/>
        <v>0</v>
      </c>
      <c r="CU797" s="269">
        <f>'Detailed Budget'!$AC$24</f>
        <v>30624985696</v>
      </c>
      <c r="CV797" s="269">
        <f t="shared" si="2050"/>
        <v>0</v>
      </c>
      <c r="CW797" s="269"/>
      <c r="CX797" s="269">
        <f t="shared" si="1987"/>
        <v>0</v>
      </c>
      <c r="CY797" s="196">
        <f>'Detailed Budget'!$AC$97</f>
        <v>74629165494.837845</v>
      </c>
      <c r="CZ797" s="269">
        <f t="shared" si="2104"/>
        <v>102083547.24453527</v>
      </c>
      <c r="DA797" s="269">
        <f>'Detailed Budget'!$AC$100</f>
        <v>14925833098.967569</v>
      </c>
      <c r="DB797" s="269">
        <f t="shared" si="2105"/>
        <v>20416709.448907055</v>
      </c>
      <c r="DC797" s="269">
        <f t="shared" si="1976"/>
        <v>122500256.69344231</v>
      </c>
      <c r="DD797" s="207">
        <v>0</v>
      </c>
      <c r="DE797" s="606">
        <v>0</v>
      </c>
      <c r="DF797" s="269">
        <f>'Detailed Budget'!$AC$147</f>
        <v>5913600671000</v>
      </c>
      <c r="DG797" s="269">
        <f t="shared" si="2042"/>
        <v>0</v>
      </c>
      <c r="DH797" s="269">
        <f>'Detailed Budget'!$AC$153</f>
        <v>226428026880.00003</v>
      </c>
      <c r="DI797" s="269"/>
      <c r="DJ797" s="269">
        <f>'Detailed Budget'!$AC$156</f>
        <v>27713070000</v>
      </c>
      <c r="DK797" s="269"/>
      <c r="DL797" s="269"/>
      <c r="DM797" s="196">
        <f>'Detailed Budget'!$AC$178</f>
        <v>5622683761.6229038</v>
      </c>
      <c r="DN797" s="269">
        <f t="shared" ref="DN797:DN826" si="2136">BT797*BV797*DM797</f>
        <v>0</v>
      </c>
      <c r="DO797" s="196">
        <f>'Detailed Budget'!$AC$179</f>
        <v>26827890683.128094</v>
      </c>
      <c r="DP797" s="269">
        <f t="shared" ref="DP797:DP826" si="2137">BT797*BX797*DO797</f>
        <v>0</v>
      </c>
      <c r="DQ797" s="269">
        <f t="shared" si="2041"/>
        <v>0</v>
      </c>
      <c r="DR797" s="269">
        <f>'Detailed Budget'!$AC$181</f>
        <v>50888946855.375237</v>
      </c>
      <c r="DS797" s="269">
        <f t="shared" ref="DS797:DS826" si="2138">BT797*AG797*DR797</f>
        <v>0</v>
      </c>
      <c r="DT797" s="269">
        <f t="shared" ref="DT797:DT826" si="2139">DQ797+DS797</f>
        <v>0</v>
      </c>
      <c r="DU797" s="272">
        <f>'Detailed Budget'!$AC$192</f>
        <v>77498869683.252869</v>
      </c>
      <c r="DV797" s="269">
        <f t="shared" si="2106"/>
        <v>81836266.458246097</v>
      </c>
      <c r="DW797" s="140">
        <f>'Detailed Budget'!$AC$194</f>
        <v>2684962805.4134097</v>
      </c>
      <c r="DX797" s="269">
        <f t="shared" si="2107"/>
        <v>2835232.7262622491</v>
      </c>
      <c r="DY797" s="607">
        <f t="shared" si="1977"/>
        <v>84671499.184508353</v>
      </c>
      <c r="DZ797" s="196">
        <f>'Detailed Budget'!$AC$198</f>
        <v>18732540018.380611</v>
      </c>
      <c r="EA797" s="269">
        <f t="shared" si="2108"/>
        <v>19455319.731554702</v>
      </c>
      <c r="EB797" s="196">
        <f>'Detailed Budget'!$AC$200</f>
        <v>4683135004.5951529</v>
      </c>
      <c r="EC797" s="269">
        <f t="shared" si="2109"/>
        <v>4863829.9328886755</v>
      </c>
      <c r="ED797" s="269">
        <f t="shared" si="1978"/>
        <v>24319149.664443377</v>
      </c>
      <c r="EE797" s="196">
        <f>'Detailed Budget'!$AC$161</f>
        <v>251147290106.36197</v>
      </c>
      <c r="EF797" s="269">
        <f t="shared" si="2110"/>
        <v>265203307.3180688</v>
      </c>
      <c r="EG797" s="196">
        <f>'Detailed Budget'!$AC$163</f>
        <v>15696705631.647623</v>
      </c>
      <c r="EH797" s="269">
        <f t="shared" si="2111"/>
        <v>16575206.7073793</v>
      </c>
      <c r="EI797" s="269">
        <f t="shared" si="1979"/>
        <v>281778514.02544808</v>
      </c>
      <c r="EJ797" s="196">
        <f>'Detailed Budget'!$AC$204</f>
        <v>45012172507.531975</v>
      </c>
      <c r="EK797" s="269">
        <f t="shared" si="2112"/>
        <v>55261446.3893601</v>
      </c>
      <c r="EL797" s="201">
        <f>'Detailed Budget'!$AC$206</f>
        <v>11253043126.882994</v>
      </c>
      <c r="EM797" s="269">
        <f t="shared" si="2113"/>
        <v>13815361.597340025</v>
      </c>
      <c r="EN797" s="269">
        <f t="shared" si="1980"/>
        <v>69076807.986700118</v>
      </c>
      <c r="EO797" s="140">
        <f>'Detailed Budget'!$AC$209</f>
        <v>135789361677.54817</v>
      </c>
      <c r="EP797" s="269">
        <f t="shared" si="2114"/>
        <v>125435559.74984533</v>
      </c>
      <c r="EQ797" s="196">
        <f>'Detailed Budget'!$AC$211</f>
        <v>33947340419.387043</v>
      </c>
      <c r="ER797" s="269">
        <f t="shared" si="2115"/>
        <v>31358889.937461331</v>
      </c>
      <c r="ES797" s="269">
        <f t="shared" si="1981"/>
        <v>156794449.68730664</v>
      </c>
      <c r="ET797" s="196">
        <f>'Detailed Budget'!$AC$214</f>
        <v>22239745544.201103</v>
      </c>
      <c r="EU797" s="269">
        <f t="shared" si="2116"/>
        <v>19951779.618108846</v>
      </c>
      <c r="EV797" s="140">
        <f>'Detailed Budget'!$AC$217</f>
        <v>5559936386.0502758</v>
      </c>
      <c r="EW797" s="269">
        <f t="shared" si="2117"/>
        <v>4987944.9045272116</v>
      </c>
      <c r="EX797" s="269">
        <f t="shared" si="1982"/>
        <v>24939724.522636056</v>
      </c>
      <c r="EY797" s="196">
        <f>'Detailed Budget'!$AC$219</f>
        <v>372777004.58170313</v>
      </c>
      <c r="EZ797" s="269">
        <f t="shared" si="2118"/>
        <v>350094.40645876748</v>
      </c>
      <c r="FA797" s="196">
        <f>'Detailed Budget'!$AC$222</f>
        <v>93194251.145425782</v>
      </c>
      <c r="FB797" s="269">
        <f t="shared" si="2119"/>
        <v>87523.60161469187</v>
      </c>
      <c r="FC797" s="269">
        <f t="shared" si="1983"/>
        <v>437618.00807345938</v>
      </c>
      <c r="FD797" s="269"/>
      <c r="FE797" s="269">
        <f t="shared" si="1984"/>
        <v>251248600.20471627</v>
      </c>
      <c r="FF797" s="140">
        <f>'Detailed Budget'!$AC$165</f>
        <v>14927760000</v>
      </c>
      <c r="FG797" s="1087">
        <f t="shared" si="2043"/>
        <v>342719721.7922489</v>
      </c>
      <c r="FH797" s="269">
        <f t="shared" si="2120"/>
        <v>18657579.820474949</v>
      </c>
      <c r="FJ797" s="140">
        <f>'Detailed Budget'!$AC$235</f>
        <v>3623696172</v>
      </c>
      <c r="FK797" s="269">
        <f t="shared" si="2121"/>
        <v>4681778</v>
      </c>
      <c r="FL797" s="269">
        <f t="shared" si="2044"/>
        <v>4681778</v>
      </c>
      <c r="FO797" s="607"/>
      <c r="FP797" s="607"/>
      <c r="FQ797" s="607"/>
      <c r="FR797" s="269">
        <f>'Detailed Budget'!$AC$257</f>
        <v>13636439388</v>
      </c>
      <c r="FS797" s="269">
        <f t="shared" si="2122"/>
        <v>15989376</v>
      </c>
      <c r="FT797" s="269">
        <f t="shared" si="2045"/>
        <v>15989376</v>
      </c>
      <c r="FU797" s="269"/>
      <c r="FV797" s="269"/>
      <c r="FW797" s="269"/>
      <c r="FX797" s="140">
        <f>'Detailed Budget'!$AC$278</f>
        <v>1114560000</v>
      </c>
      <c r="FY797" s="269">
        <f t="shared" si="2123"/>
        <v>1440000</v>
      </c>
      <c r="FZ797" s="269">
        <f t="shared" si="2071"/>
        <v>1440000</v>
      </c>
      <c r="GB797" s="269">
        <f t="shared" si="2094"/>
        <v>1148006475.3852823</v>
      </c>
      <c r="GC797" s="887">
        <f t="shared" si="1985"/>
        <v>717504.04711580137</v>
      </c>
      <c r="GD797" s="1078">
        <f t="shared" si="2095"/>
        <v>6.4418258303278154E-4</v>
      </c>
    </row>
    <row r="798" spans="1:186" hidden="1" outlineLevel="1">
      <c r="A798" s="211" t="s">
        <v>1670</v>
      </c>
      <c r="B798" s="212" t="s">
        <v>1671</v>
      </c>
      <c r="C798" s="213" t="s">
        <v>215</v>
      </c>
      <c r="D798" s="214"/>
      <c r="E798" s="213"/>
      <c r="F798" s="213"/>
      <c r="G798" s="213" t="s">
        <v>215</v>
      </c>
      <c r="H798" s="213" t="s">
        <v>215</v>
      </c>
      <c r="I798" s="214" t="s">
        <v>215</v>
      </c>
      <c r="J798" s="214"/>
      <c r="K798" s="213"/>
      <c r="L798" s="213"/>
      <c r="M798" s="214"/>
      <c r="N798" s="213" t="s">
        <v>215</v>
      </c>
      <c r="O798" s="214"/>
      <c r="P798" s="213"/>
      <c r="Q798" s="214"/>
      <c r="R798" s="214" t="s">
        <v>215</v>
      </c>
      <c r="S798" s="214"/>
      <c r="T798" s="214"/>
      <c r="U798" s="215">
        <f t="shared" si="2099"/>
        <v>6</v>
      </c>
      <c r="V798" s="845" t="s">
        <v>216</v>
      </c>
      <c r="W798" s="216">
        <v>76309</v>
      </c>
      <c r="X798" s="217">
        <v>3.21</v>
      </c>
      <c r="Y798" s="218">
        <f t="shared" si="1965"/>
        <v>1.0321</v>
      </c>
      <c r="Z798" s="196">
        <v>19</v>
      </c>
      <c r="AA798" s="218">
        <f t="shared" si="1966"/>
        <v>1.8226940798007465</v>
      </c>
      <c r="AB798" s="196">
        <f t="shared" si="2097"/>
        <v>139087.96253551517</v>
      </c>
      <c r="AC798">
        <v>11.9</v>
      </c>
      <c r="AD798" s="196">
        <f t="shared" si="2098"/>
        <v>16551.467541726306</v>
      </c>
      <c r="AE798" s="196">
        <f t="shared" si="1967"/>
        <v>15723.894164639991</v>
      </c>
      <c r="AF798" s="196">
        <f t="shared" si="2124"/>
        <v>0</v>
      </c>
      <c r="AG798" s="606">
        <f t="shared" si="1988"/>
        <v>7.2700383698415065E-4</v>
      </c>
      <c r="AH798" s="196">
        <f t="shared" ref="AH798:AH826" si="2140">AB798*0.05</f>
        <v>6954.398126775759</v>
      </c>
      <c r="AI798" s="248">
        <f t="shared" si="1964"/>
        <v>5.3874668593894778E-4</v>
      </c>
      <c r="AJ798" s="196">
        <f t="shared" si="1968"/>
        <v>23505.865668502065</v>
      </c>
      <c r="AK798" s="196">
        <f t="shared" si="1998"/>
        <v>5563.5185014206063</v>
      </c>
      <c r="AL798" s="196">
        <f t="shared" si="1999"/>
        <v>5563.5185014206063</v>
      </c>
      <c r="AM798" s="196">
        <f t="shared" si="1969"/>
        <v>11127.037002841213</v>
      </c>
      <c r="AN798" s="627">
        <f t="shared" si="1970"/>
        <v>5.3874668593894767E-4</v>
      </c>
      <c r="AO798" s="196">
        <f t="shared" si="1971"/>
        <v>5285.3425763495761</v>
      </c>
      <c r="AP798" s="589">
        <f t="shared" si="1989"/>
        <v>5.3874668593894767E-4</v>
      </c>
      <c r="AQ798" s="196"/>
      <c r="AR798" s="589"/>
      <c r="AS798">
        <v>1</v>
      </c>
      <c r="AT798" s="589">
        <f t="shared" si="1990"/>
        <v>1.2919896640826874E-3</v>
      </c>
      <c r="AU798" s="196">
        <v>10</v>
      </c>
      <c r="AV798" s="245">
        <f t="shared" si="1972"/>
        <v>1.1362345188046814E-3</v>
      </c>
      <c r="AX798" s="245"/>
      <c r="AY798" s="245"/>
      <c r="AZ798" s="196">
        <v>25</v>
      </c>
      <c r="BA798" s="589">
        <f t="shared" si="2073"/>
        <v>9.1605291121615189E-4</v>
      </c>
      <c r="BI798" s="196">
        <v>0</v>
      </c>
      <c r="BK798" s="246">
        <f t="shared" si="2074"/>
        <v>0</v>
      </c>
      <c r="BL798" s="246"/>
      <c r="BM798" s="246">
        <f t="shared" si="2075"/>
        <v>0</v>
      </c>
      <c r="BN798" s="196">
        <v>1</v>
      </c>
      <c r="BO798" s="196">
        <f t="shared" si="2125"/>
        <v>7460.349381454962</v>
      </c>
      <c r="BP798" s="196">
        <f t="shared" si="1973"/>
        <v>7460.349381454962</v>
      </c>
      <c r="BQ798" s="248">
        <f t="shared" si="2077"/>
        <v>6.9788094366811328E-4</v>
      </c>
      <c r="BR798" s="248"/>
      <c r="BS798" s="248"/>
      <c r="BT798" s="276">
        <v>0</v>
      </c>
      <c r="BU798" s="196">
        <f t="shared" si="2126"/>
        <v>0</v>
      </c>
      <c r="BV798" s="264">
        <f t="shared" si="2079"/>
        <v>0</v>
      </c>
      <c r="BW798" s="196">
        <f t="shared" si="2127"/>
        <v>0</v>
      </c>
      <c r="BX798" s="247">
        <f t="shared" si="2081"/>
        <v>0</v>
      </c>
      <c r="BY798" s="196">
        <f t="shared" si="2128"/>
        <v>0</v>
      </c>
      <c r="BZ798" s="620">
        <v>1</v>
      </c>
      <c r="CA798" s="196">
        <f t="shared" si="2129"/>
        <v>42560.91653586764</v>
      </c>
      <c r="CB798" s="196">
        <f t="shared" si="2130"/>
        <v>85121.83307173528</v>
      </c>
      <c r="CC798" s="196">
        <f t="shared" si="1986"/>
        <v>127682.74960760292</v>
      </c>
      <c r="CD798" s="247">
        <f t="shared" si="1974"/>
        <v>5.3874668593894767E-4</v>
      </c>
      <c r="CE798" s="196">
        <f t="shared" si="2131"/>
        <v>12270.49152214065</v>
      </c>
      <c r="CF798" s="247">
        <f t="shared" si="1975"/>
        <v>5.2987798448796402E-4</v>
      </c>
      <c r="CG798" s="196">
        <f t="shared" si="2101"/>
        <v>21141.370305398304</v>
      </c>
      <c r="CH798" s="589">
        <f t="shared" si="1991"/>
        <v>5.3874668593894767E-4</v>
      </c>
      <c r="CI798" s="196">
        <f t="shared" si="2132"/>
        <v>38099.97575422204</v>
      </c>
      <c r="CJ798" s="248">
        <f t="shared" si="1992"/>
        <v>6.263635046888852E-4</v>
      </c>
      <c r="CK798" s="196">
        <f t="shared" si="2133"/>
        <v>32784.988078309783</v>
      </c>
      <c r="CL798" s="589">
        <f t="shared" si="1993"/>
        <v>4.7129094721004404E-4</v>
      </c>
      <c r="CM798" s="196">
        <f t="shared" si="2134"/>
        <v>3176.0531874972203</v>
      </c>
      <c r="CN798" s="589">
        <f t="shared" si="1994"/>
        <v>4.5770535905450557E-4</v>
      </c>
      <c r="CO798" s="196">
        <f t="shared" si="2135"/>
        <v>254.07621531993979</v>
      </c>
      <c r="CP798" s="589">
        <f t="shared" si="1995"/>
        <v>4.7914860715176874E-4</v>
      </c>
      <c r="CQ798" s="196">
        <f>'Detailed Budget'!$AC$12</f>
        <v>292876014141.44696</v>
      </c>
      <c r="CR798" s="269">
        <f t="shared" si="2040"/>
        <v>0</v>
      </c>
      <c r="CS798" s="269">
        <f>'Detailed Budget'!$AC$16</f>
        <v>10488008800.000002</v>
      </c>
      <c r="CT798" s="607">
        <f t="shared" si="2103"/>
        <v>0</v>
      </c>
      <c r="CU798" s="269">
        <f>'Detailed Budget'!$AC$24</f>
        <v>30624985696</v>
      </c>
      <c r="CV798" s="269">
        <f t="shared" si="2050"/>
        <v>0</v>
      </c>
      <c r="CW798" s="269"/>
      <c r="CX798" s="269">
        <f t="shared" si="1987"/>
        <v>0</v>
      </c>
      <c r="CY798" s="196">
        <f>'Detailed Budget'!$AC$97</f>
        <v>74629165494.837845</v>
      </c>
      <c r="CZ798" s="269">
        <f t="shared" si="2104"/>
        <v>52082272.440701231</v>
      </c>
      <c r="DA798" s="269">
        <f>'Detailed Budget'!$AC$100</f>
        <v>14925833098.967569</v>
      </c>
      <c r="DB798" s="269">
        <f t="shared" si="2105"/>
        <v>10416454.488140248</v>
      </c>
      <c r="DC798" s="269">
        <f t="shared" si="1976"/>
        <v>62498726.928841479</v>
      </c>
      <c r="DD798" s="207">
        <v>0</v>
      </c>
      <c r="DE798" s="606">
        <v>0</v>
      </c>
      <c r="DF798" s="269">
        <f>'Detailed Budget'!$AC$147</f>
        <v>5913600671000</v>
      </c>
      <c r="DG798" s="269">
        <f t="shared" si="2042"/>
        <v>0</v>
      </c>
      <c r="DH798" s="269">
        <f>'Detailed Budget'!$AC$153</f>
        <v>226428026880.00003</v>
      </c>
      <c r="DI798" s="269"/>
      <c r="DJ798" s="269">
        <f>'Detailed Budget'!$AC$156</f>
        <v>27713070000</v>
      </c>
      <c r="DK798" s="269"/>
      <c r="DL798" s="269"/>
      <c r="DM798" s="196">
        <f>'Detailed Budget'!$AC$178</f>
        <v>5622683761.6229038</v>
      </c>
      <c r="DN798" s="269">
        <f t="shared" si="2136"/>
        <v>0</v>
      </c>
      <c r="DO798" s="196">
        <f>'Detailed Budget'!$AC$179</f>
        <v>26827890683.128094</v>
      </c>
      <c r="DP798" s="269">
        <f t="shared" si="2137"/>
        <v>0</v>
      </c>
      <c r="DQ798" s="269">
        <f t="shared" si="2041"/>
        <v>0</v>
      </c>
      <c r="DR798" s="269">
        <f>'Detailed Budget'!$AC$181</f>
        <v>50888946855.375237</v>
      </c>
      <c r="DS798" s="269">
        <f t="shared" si="2138"/>
        <v>0</v>
      </c>
      <c r="DT798" s="269">
        <f t="shared" si="2139"/>
        <v>0</v>
      </c>
      <c r="DU798" s="272">
        <f>'Detailed Budget'!$AC$192</f>
        <v>77498869683.252869</v>
      </c>
      <c r="DV798" s="269">
        <f t="shared" si="2106"/>
        <v>41752259.205866866</v>
      </c>
      <c r="DW798" s="140">
        <f>'Detailed Budget'!$AC$194</f>
        <v>2684962805.4134097</v>
      </c>
      <c r="DX798" s="269">
        <f t="shared" si="2107"/>
        <v>1446514.8132858141</v>
      </c>
      <c r="DY798" s="607">
        <f t="shared" si="1977"/>
        <v>43198774.019152679</v>
      </c>
      <c r="DZ798" s="196">
        <f>'Detailed Budget'!$AC$198</f>
        <v>18732540018.380611</v>
      </c>
      <c r="EA798" s="269">
        <f t="shared" si="2108"/>
        <v>9925960.5492796469</v>
      </c>
      <c r="EB798" s="196">
        <f>'Detailed Budget'!$AC$200</f>
        <v>4683135004.5951529</v>
      </c>
      <c r="EC798" s="269">
        <f t="shared" si="2109"/>
        <v>2481490.1373199117</v>
      </c>
      <c r="ED798" s="269">
        <f t="shared" si="1978"/>
        <v>12407450.686599558</v>
      </c>
      <c r="EE798" s="196">
        <f>'Detailed Budget'!$AC$161</f>
        <v>251147290106.36197</v>
      </c>
      <c r="EF798" s="269">
        <f t="shared" si="2110"/>
        <v>135304770.22734997</v>
      </c>
      <c r="EG798" s="196">
        <f>'Detailed Budget'!$AC$163</f>
        <v>15696705631.647623</v>
      </c>
      <c r="EH798" s="269">
        <f t="shared" si="2111"/>
        <v>8456548.1392093729</v>
      </c>
      <c r="EI798" s="269">
        <f t="shared" si="1979"/>
        <v>143761318.36655933</v>
      </c>
      <c r="EJ798" s="196">
        <f>'Detailed Budget'!$AC$204</f>
        <v>45012172507.531975</v>
      </c>
      <c r="EK798" s="269">
        <f t="shared" si="2112"/>
        <v>28193982.125478413</v>
      </c>
      <c r="EL798" s="201">
        <f>'Detailed Budget'!$AC$206</f>
        <v>11253043126.882994</v>
      </c>
      <c r="EM798" s="269">
        <f t="shared" si="2113"/>
        <v>7048495.5313696032</v>
      </c>
      <c r="EN798" s="269">
        <f t="shared" si="1980"/>
        <v>35242477.656848013</v>
      </c>
      <c r="EO798" s="140">
        <f>'Detailed Budget'!$AC$209</f>
        <v>135789361677.54817</v>
      </c>
      <c r="EP798" s="269">
        <f t="shared" si="2114"/>
        <v>63996296.886058934</v>
      </c>
      <c r="EQ798" s="196">
        <f>'Detailed Budget'!$AC$211</f>
        <v>33947340419.387043</v>
      </c>
      <c r="ER798" s="269">
        <f t="shared" si="2115"/>
        <v>15999074.221514734</v>
      </c>
      <c r="ES798" s="269">
        <f t="shared" si="1981"/>
        <v>79995371.107573673</v>
      </c>
      <c r="ET798" s="196">
        <f>'Detailed Budget'!$AC$214</f>
        <v>22239745544.201103</v>
      </c>
      <c r="EU798" s="269">
        <f t="shared" si="2116"/>
        <v>10179250.719589407</v>
      </c>
      <c r="EV798" s="140">
        <f>'Detailed Budget'!$AC$217</f>
        <v>5559936386.0502758</v>
      </c>
      <c r="EW798" s="269">
        <f t="shared" si="2117"/>
        <v>2544812.6798973517</v>
      </c>
      <c r="EX798" s="269">
        <f t="shared" si="1982"/>
        <v>12724063.399486758</v>
      </c>
      <c r="EY798" s="196">
        <f>'Detailed Budget'!$AC$219</f>
        <v>372777004.58170313</v>
      </c>
      <c r="EZ798" s="269">
        <f t="shared" si="2118"/>
        <v>178615.58252353157</v>
      </c>
      <c r="FA798" s="196">
        <f>'Detailed Budget'!$AC$222</f>
        <v>93194251.145425782</v>
      </c>
      <c r="FB798" s="269">
        <f t="shared" si="2119"/>
        <v>44653.895630882893</v>
      </c>
      <c r="FC798" s="269">
        <f t="shared" si="1983"/>
        <v>223269.47815441445</v>
      </c>
      <c r="FD798" s="269"/>
      <c r="FE798" s="269">
        <f t="shared" si="1984"/>
        <v>128185181.64206287</v>
      </c>
      <c r="FF798" s="140">
        <f>'Detailed Budget'!$AC$165</f>
        <v>14927760000</v>
      </c>
      <c r="FG798" s="1087">
        <f t="shared" si="2043"/>
        <v>174853072.830899</v>
      </c>
      <c r="FH798" s="269">
        <f t="shared" si="2120"/>
        <v>16961436.200431772</v>
      </c>
      <c r="FJ798" s="140">
        <f>'Detailed Budget'!$AC$235</f>
        <v>3623696172</v>
      </c>
      <c r="FK798" s="269">
        <f t="shared" si="2121"/>
        <v>4681778</v>
      </c>
      <c r="FL798" s="269">
        <f t="shared" si="2044"/>
        <v>4681778</v>
      </c>
      <c r="FO798" s="607"/>
      <c r="FP798" s="607"/>
      <c r="FQ798" s="607"/>
      <c r="FR798" s="269">
        <f>'Detailed Budget'!$AC$257</f>
        <v>13636439388</v>
      </c>
      <c r="FS798" s="269">
        <f t="shared" si="2122"/>
        <v>12491700</v>
      </c>
      <c r="FT798" s="269">
        <f t="shared" si="2045"/>
        <v>12491700</v>
      </c>
      <c r="FU798" s="269"/>
      <c r="FV798" s="269"/>
      <c r="FW798" s="269"/>
      <c r="FX798" s="140">
        <f>'Detailed Budget'!$AC$278</f>
        <v>1114560000</v>
      </c>
      <c r="FY798" s="269">
        <f t="shared" si="2123"/>
        <v>1440000</v>
      </c>
      <c r="FZ798" s="269">
        <f t="shared" si="2071"/>
        <v>1440000</v>
      </c>
      <c r="GB798" s="269">
        <f t="shared" si="2094"/>
        <v>600479438.67454672</v>
      </c>
      <c r="GC798" s="887">
        <f t="shared" si="1985"/>
        <v>375299.64917159168</v>
      </c>
      <c r="GD798" s="1078">
        <f t="shared" si="2095"/>
        <v>3.3694792159915662E-4</v>
      </c>
    </row>
    <row r="799" spans="1:186" hidden="1" outlineLevel="1">
      <c r="A799" s="211" t="s">
        <v>1672</v>
      </c>
      <c r="B799" s="212" t="s">
        <v>1673</v>
      </c>
      <c r="C799" s="213" t="s">
        <v>215</v>
      </c>
      <c r="D799" s="214"/>
      <c r="E799" s="213"/>
      <c r="F799" s="213"/>
      <c r="G799" s="213" t="s">
        <v>215</v>
      </c>
      <c r="H799" s="213" t="s">
        <v>215</v>
      </c>
      <c r="I799" s="214" t="s">
        <v>215</v>
      </c>
      <c r="J799" s="214"/>
      <c r="K799" s="213"/>
      <c r="L799" s="213"/>
      <c r="M799" s="214"/>
      <c r="N799" s="213" t="s">
        <v>215</v>
      </c>
      <c r="O799" s="214"/>
      <c r="P799" s="213"/>
      <c r="Q799" s="214"/>
      <c r="R799" s="214" t="s">
        <v>215</v>
      </c>
      <c r="S799" s="214"/>
      <c r="T799" s="214"/>
      <c r="U799" s="215">
        <f t="shared" si="2099"/>
        <v>6</v>
      </c>
      <c r="V799" s="845" t="s">
        <v>216</v>
      </c>
      <c r="W799" s="216">
        <v>76105</v>
      </c>
      <c r="X799" s="217">
        <v>3.21</v>
      </c>
      <c r="Y799" s="218">
        <f t="shared" si="1965"/>
        <v>1.0321</v>
      </c>
      <c r="Z799" s="196">
        <v>19</v>
      </c>
      <c r="AA799" s="218">
        <f t="shared" si="1966"/>
        <v>1.8226940798007465</v>
      </c>
      <c r="AB799" s="196">
        <f t="shared" si="2097"/>
        <v>138716.1329432358</v>
      </c>
      <c r="AC799">
        <v>11.9</v>
      </c>
      <c r="AD799" s="196">
        <f t="shared" si="2098"/>
        <v>16507.219820245064</v>
      </c>
      <c r="AE799" s="196">
        <f t="shared" si="1967"/>
        <v>15681.85882923281</v>
      </c>
      <c r="AF799" s="196">
        <f t="shared" si="2124"/>
        <v>0</v>
      </c>
      <c r="AG799" s="606">
        <f t="shared" si="1988"/>
        <v>7.2506030761350273E-4</v>
      </c>
      <c r="AH799" s="196">
        <f t="shared" si="2140"/>
        <v>6935.8066471617904</v>
      </c>
      <c r="AI799" s="248">
        <f t="shared" si="1964"/>
        <v>5.3730643218209662E-4</v>
      </c>
      <c r="AJ799" s="196">
        <f t="shared" si="1968"/>
        <v>23443.026467406853</v>
      </c>
      <c r="AK799" s="196">
        <f t="shared" si="1998"/>
        <v>5548.6453177294325</v>
      </c>
      <c r="AL799" s="196">
        <f t="shared" si="1999"/>
        <v>5548.6453177294325</v>
      </c>
      <c r="AM799" s="196">
        <f t="shared" si="1969"/>
        <v>11097.290635458865</v>
      </c>
      <c r="AN799" s="627">
        <f t="shared" si="1970"/>
        <v>5.3730643218209673E-4</v>
      </c>
      <c r="AO799" s="196">
        <f t="shared" si="1971"/>
        <v>5271.2130518429603</v>
      </c>
      <c r="AP799" s="589">
        <f t="shared" si="1989"/>
        <v>5.3730643218209662E-4</v>
      </c>
      <c r="AQ799" s="196"/>
      <c r="AR799" s="589"/>
      <c r="AS799">
        <v>1</v>
      </c>
      <c r="AT799" s="589">
        <f t="shared" si="1990"/>
        <v>1.2919896640826874E-3</v>
      </c>
      <c r="AU799" s="196">
        <v>10</v>
      </c>
      <c r="AV799" s="245">
        <f t="shared" si="1972"/>
        <v>1.1362345188046814E-3</v>
      </c>
      <c r="AX799" s="245"/>
      <c r="AY799" s="245"/>
      <c r="AZ799" s="196">
        <v>54</v>
      </c>
      <c r="BA799" s="589">
        <f t="shared" si="2073"/>
        <v>1.9786742882268878E-3</v>
      </c>
      <c r="BI799" s="196">
        <v>0</v>
      </c>
      <c r="BK799" s="246">
        <f t="shared" si="2074"/>
        <v>0</v>
      </c>
      <c r="BL799" s="246"/>
      <c r="BM799" s="246">
        <f t="shared" si="2075"/>
        <v>0</v>
      </c>
      <c r="BN799" s="196">
        <v>1</v>
      </c>
      <c r="BO799" s="196">
        <f t="shared" si="2125"/>
        <v>7440.4053214644382</v>
      </c>
      <c r="BP799" s="196">
        <f t="shared" si="1973"/>
        <v>7440.4053214644382</v>
      </c>
      <c r="BQ799" s="248">
        <f t="shared" si="2077"/>
        <v>6.9601526973046108E-4</v>
      </c>
      <c r="BR799" s="248"/>
      <c r="BS799" s="248"/>
      <c r="BT799" s="276">
        <v>0</v>
      </c>
      <c r="BU799" s="196">
        <f t="shared" si="2126"/>
        <v>0</v>
      </c>
      <c r="BV799" s="264">
        <f t="shared" si="2079"/>
        <v>0</v>
      </c>
      <c r="BW799" s="196">
        <f t="shared" si="2127"/>
        <v>0</v>
      </c>
      <c r="BX799" s="247">
        <f t="shared" si="2081"/>
        <v>0</v>
      </c>
      <c r="BY799" s="196">
        <f t="shared" si="2128"/>
        <v>0</v>
      </c>
      <c r="BZ799" s="620">
        <v>1</v>
      </c>
      <c r="CA799" s="196">
        <f t="shared" si="2129"/>
        <v>42447.136680630159</v>
      </c>
      <c r="CB799" s="196">
        <f t="shared" si="2130"/>
        <v>84894.273361260319</v>
      </c>
      <c r="CC799" s="196">
        <f t="shared" si="1986"/>
        <v>127341.41004189049</v>
      </c>
      <c r="CD799" s="247">
        <f t="shared" si="1974"/>
        <v>5.3730643218209673E-4</v>
      </c>
      <c r="CE799" s="196">
        <f t="shared" si="2131"/>
        <v>12237.688310586092</v>
      </c>
      <c r="CF799" s="247">
        <f t="shared" si="1975"/>
        <v>5.2846143979683267E-4</v>
      </c>
      <c r="CG799" s="196">
        <f t="shared" si="2101"/>
        <v>21084.852207371841</v>
      </c>
      <c r="CH799" s="589">
        <f t="shared" si="1991"/>
        <v>5.3730643218209662E-4</v>
      </c>
      <c r="CI799" s="196">
        <f t="shared" si="2132"/>
        <v>37998.121516139232</v>
      </c>
      <c r="CJ799" s="248">
        <f t="shared" si="1992"/>
        <v>6.2468902127334408E-4</v>
      </c>
      <c r="CK799" s="196">
        <f t="shared" si="2133"/>
        <v>32697.342616202102</v>
      </c>
      <c r="CL799" s="589">
        <f t="shared" si="1993"/>
        <v>4.7003102566434368E-4</v>
      </c>
      <c r="CM799" s="196">
        <f t="shared" si="2134"/>
        <v>3167.562513392601</v>
      </c>
      <c r="CN799" s="589">
        <f t="shared" si="1994"/>
        <v>4.5648175642248163E-4</v>
      </c>
      <c r="CO799" s="196">
        <f t="shared" si="2135"/>
        <v>253.39698288437825</v>
      </c>
      <c r="CP799" s="589">
        <f t="shared" si="1995"/>
        <v>4.7786767939935474E-4</v>
      </c>
      <c r="CQ799" s="196">
        <f>'Detailed Budget'!$AC$12</f>
        <v>292876014141.44696</v>
      </c>
      <c r="CR799" s="269">
        <f t="shared" si="2040"/>
        <v>0</v>
      </c>
      <c r="CS799" s="269">
        <f>'Detailed Budget'!$AC$16</f>
        <v>10488008800.000002</v>
      </c>
      <c r="CT799" s="607">
        <f t="shared" si="2103"/>
        <v>0</v>
      </c>
      <c r="CU799" s="269">
        <f>'Detailed Budget'!$AC$24</f>
        <v>30624985696</v>
      </c>
      <c r="CV799" s="269">
        <f t="shared" si="2050"/>
        <v>0</v>
      </c>
      <c r="CW799" s="269"/>
      <c r="CX799" s="269">
        <f t="shared" si="1987"/>
        <v>0</v>
      </c>
      <c r="CY799" s="196">
        <f>'Detailed Budget'!$AC$97</f>
        <v>74629165494.837845</v>
      </c>
      <c r="CZ799" s="269">
        <f t="shared" si="2104"/>
        <v>51943038.751648784</v>
      </c>
      <c r="DA799" s="269">
        <f>'Detailed Budget'!$AC$100</f>
        <v>14925833098.967569</v>
      </c>
      <c r="DB799" s="269">
        <f t="shared" si="2105"/>
        <v>10388607.750329757</v>
      </c>
      <c r="DC799" s="269">
        <f t="shared" si="1976"/>
        <v>62331646.501978539</v>
      </c>
      <c r="DD799" s="207">
        <v>0</v>
      </c>
      <c r="DE799" s="606">
        <v>0</v>
      </c>
      <c r="DF799" s="269">
        <f>'Detailed Budget'!$AC$147</f>
        <v>5913600671000</v>
      </c>
      <c r="DG799" s="269">
        <f t="shared" si="2042"/>
        <v>0</v>
      </c>
      <c r="DH799" s="269">
        <f>'Detailed Budget'!$AC$153</f>
        <v>226428026880.00003</v>
      </c>
      <c r="DI799" s="269"/>
      <c r="DJ799" s="269">
        <f>'Detailed Budget'!$AC$156</f>
        <v>27713070000</v>
      </c>
      <c r="DK799" s="269"/>
      <c r="DL799" s="269"/>
      <c r="DM799" s="196">
        <f>'Detailed Budget'!$AC$178</f>
        <v>5622683761.6229038</v>
      </c>
      <c r="DN799" s="269">
        <f t="shared" si="2136"/>
        <v>0</v>
      </c>
      <c r="DO799" s="196">
        <f>'Detailed Budget'!$AC$179</f>
        <v>26827890683.128094</v>
      </c>
      <c r="DP799" s="269">
        <f t="shared" si="2137"/>
        <v>0</v>
      </c>
      <c r="DQ799" s="269">
        <f t="shared" si="2041"/>
        <v>0</v>
      </c>
      <c r="DR799" s="269">
        <f>'Detailed Budget'!$AC$181</f>
        <v>50888946855.375237</v>
      </c>
      <c r="DS799" s="269">
        <f t="shared" si="2138"/>
        <v>0</v>
      </c>
      <c r="DT799" s="269">
        <f t="shared" si="2139"/>
        <v>0</v>
      </c>
      <c r="DU799" s="272">
        <f>'Detailed Budget'!$AC$192</f>
        <v>77498869683.252869</v>
      </c>
      <c r="DV799" s="269">
        <f t="shared" si="2106"/>
        <v>41640641.167653859</v>
      </c>
      <c r="DW799" s="140">
        <f>'Detailed Budget'!$AC$194</f>
        <v>2684962805.4134097</v>
      </c>
      <c r="DX799" s="269">
        <f t="shared" si="2107"/>
        <v>1442647.7855183124</v>
      </c>
      <c r="DY799" s="607">
        <f t="shared" si="1977"/>
        <v>43083288.95317217</v>
      </c>
      <c r="DZ799" s="196">
        <f>'Detailed Budget'!$AC$198</f>
        <v>18732540018.380611</v>
      </c>
      <c r="EA799" s="269">
        <f t="shared" si="2108"/>
        <v>9899425.0691652037</v>
      </c>
      <c r="EB799" s="196">
        <f>'Detailed Budget'!$AC$200</f>
        <v>4683135004.5951529</v>
      </c>
      <c r="EC799" s="269">
        <f t="shared" si="2109"/>
        <v>2474856.2672913009</v>
      </c>
      <c r="ED799" s="269">
        <f t="shared" si="1978"/>
        <v>12374281.336456504</v>
      </c>
      <c r="EE799" s="196">
        <f>'Detailed Budget'!$AC$161</f>
        <v>251147290106.36197</v>
      </c>
      <c r="EF799" s="269">
        <f t="shared" si="2110"/>
        <v>134943054.39925131</v>
      </c>
      <c r="EG799" s="196">
        <f>'Detailed Budget'!$AC$163</f>
        <v>15696705631.647623</v>
      </c>
      <c r="EH799" s="269">
        <f t="shared" si="2111"/>
        <v>8433940.899953207</v>
      </c>
      <c r="EI799" s="269">
        <f t="shared" si="1979"/>
        <v>143376995.29920453</v>
      </c>
      <c r="EJ799" s="196">
        <f>'Detailed Budget'!$AC$204</f>
        <v>45012172507.531975</v>
      </c>
      <c r="EK799" s="269">
        <f t="shared" si="2112"/>
        <v>28118609.989117075</v>
      </c>
      <c r="EL799" s="201">
        <f>'Detailed Budget'!$AC$206</f>
        <v>11253043126.882994</v>
      </c>
      <c r="EM799" s="269">
        <f t="shared" si="2113"/>
        <v>7029652.4972792687</v>
      </c>
      <c r="EN799" s="269">
        <f t="shared" si="1980"/>
        <v>35148262.486396343</v>
      </c>
      <c r="EO799" s="140">
        <f>'Detailed Budget'!$AC$209</f>
        <v>135789361677.54817</v>
      </c>
      <c r="EP799" s="269">
        <f t="shared" si="2114"/>
        <v>63825212.943604492</v>
      </c>
      <c r="EQ799" s="196">
        <f>'Detailed Budget'!$AC$211</f>
        <v>33947340419.387043</v>
      </c>
      <c r="ER799" s="269">
        <f t="shared" si="2115"/>
        <v>15956303.235901123</v>
      </c>
      <c r="ES799" s="269">
        <f t="shared" si="1981"/>
        <v>79781516.179505616</v>
      </c>
      <c r="ET799" s="196">
        <f>'Detailed Budget'!$AC$214</f>
        <v>22239745544.201103</v>
      </c>
      <c r="EU799" s="269">
        <f t="shared" si="2116"/>
        <v>10152038.108405979</v>
      </c>
      <c r="EV799" s="140">
        <f>'Detailed Budget'!$AC$217</f>
        <v>5559936386.0502758</v>
      </c>
      <c r="EW799" s="269">
        <f t="shared" si="2117"/>
        <v>2538009.5271014948</v>
      </c>
      <c r="EX799" s="269">
        <f t="shared" si="1982"/>
        <v>12690047.635507474</v>
      </c>
      <c r="EY799" s="196">
        <f>'Detailed Budget'!$AC$219</f>
        <v>372777004.58170313</v>
      </c>
      <c r="EZ799" s="269">
        <f t="shared" si="2118"/>
        <v>178138.08211290112</v>
      </c>
      <c r="FA799" s="196">
        <f>'Detailed Budget'!$AC$222</f>
        <v>93194251.145425782</v>
      </c>
      <c r="FB799" s="269">
        <f t="shared" si="2119"/>
        <v>44534.520528225279</v>
      </c>
      <c r="FC799" s="269">
        <f t="shared" si="1983"/>
        <v>222672.6026411264</v>
      </c>
      <c r="FD799" s="269"/>
      <c r="FE799" s="269">
        <f t="shared" si="1984"/>
        <v>127842498.90405056</v>
      </c>
      <c r="FF799" s="140">
        <f>'Detailed Budget'!$AC$165</f>
        <v>14927760000</v>
      </c>
      <c r="FG799" s="1087">
        <f t="shared" si="2043"/>
        <v>174385630.89275926</v>
      </c>
      <c r="FH799" s="269">
        <f t="shared" si="2120"/>
        <v>16961436.200431772</v>
      </c>
      <c r="FJ799" s="140">
        <f>'Detailed Budget'!$AC$235</f>
        <v>3623696172</v>
      </c>
      <c r="FK799" s="269">
        <f t="shared" si="2121"/>
        <v>4681778</v>
      </c>
      <c r="FL799" s="269">
        <f t="shared" si="2044"/>
        <v>4681778</v>
      </c>
      <c r="FO799" s="607"/>
      <c r="FP799" s="607"/>
      <c r="FQ799" s="607"/>
      <c r="FR799" s="269">
        <f>'Detailed Budget'!$AC$257</f>
        <v>13636439388</v>
      </c>
      <c r="FS799" s="269">
        <f t="shared" si="2122"/>
        <v>26982071.999999996</v>
      </c>
      <c r="FT799" s="269">
        <f t="shared" si="2045"/>
        <v>26982071.999999996</v>
      </c>
      <c r="FU799" s="269"/>
      <c r="FV799" s="269"/>
      <c r="FW799" s="269"/>
      <c r="FX799" s="140">
        <f>'Detailed Budget'!$AC$278</f>
        <v>1114560000</v>
      </c>
      <c r="FY799" s="269">
        <f t="shared" si="2123"/>
        <v>1440000</v>
      </c>
      <c r="FZ799" s="269">
        <f t="shared" si="2071"/>
        <v>1440000</v>
      </c>
      <c r="GB799" s="269">
        <f t="shared" si="2094"/>
        <v>613459628.08805346</v>
      </c>
      <c r="GC799" s="887">
        <f t="shared" si="1985"/>
        <v>383412.26755503344</v>
      </c>
      <c r="GD799" s="1078">
        <f t="shared" si="2095"/>
        <v>3.4423151461359611E-4</v>
      </c>
    </row>
    <row r="800" spans="1:186" hidden="1" outlineLevel="1">
      <c r="A800" s="211" t="s">
        <v>1674</v>
      </c>
      <c r="B800" s="212" t="s">
        <v>1675</v>
      </c>
      <c r="C800" s="213" t="s">
        <v>215</v>
      </c>
      <c r="D800" s="214"/>
      <c r="E800" s="213"/>
      <c r="F800" s="213"/>
      <c r="G800" s="213" t="s">
        <v>215</v>
      </c>
      <c r="H800" s="213" t="s">
        <v>215</v>
      </c>
      <c r="I800" s="214" t="s">
        <v>215</v>
      </c>
      <c r="J800" s="214"/>
      <c r="K800" s="213"/>
      <c r="L800" s="213"/>
      <c r="M800" s="214"/>
      <c r="N800" s="213" t="s">
        <v>215</v>
      </c>
      <c r="O800" s="214"/>
      <c r="P800" s="213"/>
      <c r="Q800" s="214"/>
      <c r="R800" s="214" t="s">
        <v>215</v>
      </c>
      <c r="S800" s="214"/>
      <c r="T800" s="214"/>
      <c r="U800" s="215">
        <f t="shared" si="2099"/>
        <v>6</v>
      </c>
      <c r="V800" s="845" t="s">
        <v>216</v>
      </c>
      <c r="W800" s="216">
        <v>68350</v>
      </c>
      <c r="X800" s="217">
        <v>3.21</v>
      </c>
      <c r="Y800" s="218">
        <f t="shared" si="1965"/>
        <v>1.0321</v>
      </c>
      <c r="Z800" s="196">
        <v>19</v>
      </c>
      <c r="AA800" s="218">
        <f t="shared" si="1966"/>
        <v>1.8226940798007465</v>
      </c>
      <c r="AB800" s="196">
        <f t="shared" si="2097"/>
        <v>124581.14035438102</v>
      </c>
      <c r="AC800">
        <v>11.9</v>
      </c>
      <c r="AD800" s="196">
        <f t="shared" si="2098"/>
        <v>14825.155702171342</v>
      </c>
      <c r="AE800" s="196">
        <f t="shared" si="1967"/>
        <v>14083.897917062774</v>
      </c>
      <c r="AF800" s="196">
        <f t="shared" si="2124"/>
        <v>0</v>
      </c>
      <c r="AG800" s="606">
        <f t="shared" si="1988"/>
        <v>6.5117761021461014E-4</v>
      </c>
      <c r="AH800" s="196">
        <f t="shared" si="2140"/>
        <v>6229.0570177190511</v>
      </c>
      <c r="AI800" s="248">
        <f t="shared" si="1964"/>
        <v>4.8255560921945089E-4</v>
      </c>
      <c r="AJ800" s="196">
        <f t="shared" si="1968"/>
        <v>21054.212719890391</v>
      </c>
      <c r="AK800" s="196">
        <f t="shared" si="1998"/>
        <v>4983.2456141752409</v>
      </c>
      <c r="AL800" s="196">
        <f t="shared" si="1999"/>
        <v>4983.2456141752409</v>
      </c>
      <c r="AM800" s="196">
        <f t="shared" si="1969"/>
        <v>9966.4912283504818</v>
      </c>
      <c r="AN800" s="627">
        <f t="shared" si="1970"/>
        <v>4.8255560921945089E-4</v>
      </c>
      <c r="AO800" s="196">
        <f t="shared" si="1971"/>
        <v>4734.0833334664785</v>
      </c>
      <c r="AP800" s="589">
        <f t="shared" si="1989"/>
        <v>4.8255560921945084E-4</v>
      </c>
      <c r="AQ800" s="196"/>
      <c r="AR800" s="589"/>
      <c r="AS800">
        <v>1</v>
      </c>
      <c r="AT800" s="589">
        <f t="shared" si="1990"/>
        <v>1.2919896640826874E-3</v>
      </c>
      <c r="AU800" s="196">
        <v>11</v>
      </c>
      <c r="AV800" s="245">
        <f t="shared" si="1972"/>
        <v>1.2498579706851495E-3</v>
      </c>
      <c r="AX800" s="245"/>
      <c r="AY800" s="245"/>
      <c r="AZ800" s="196">
        <v>28</v>
      </c>
      <c r="BA800" s="589">
        <f t="shared" si="2073"/>
        <v>1.0259792605620901E-3</v>
      </c>
      <c r="BI800" s="196">
        <v>0</v>
      </c>
      <c r="BK800" s="246">
        <f t="shared" si="2074"/>
        <v>0</v>
      </c>
      <c r="BL800" s="246"/>
      <c r="BM800" s="246">
        <f t="shared" si="2075"/>
        <v>0</v>
      </c>
      <c r="BN800" s="196">
        <v>1</v>
      </c>
      <c r="BO800" s="196">
        <f t="shared" si="2125"/>
        <v>6682.2377468247059</v>
      </c>
      <c r="BP800" s="196">
        <f t="shared" si="1973"/>
        <v>6682.2377468247059</v>
      </c>
      <c r="BQ800" s="248">
        <f t="shared" si="2077"/>
        <v>6.2509222371824461E-4</v>
      </c>
      <c r="BR800" s="248"/>
      <c r="BS800" s="248"/>
      <c r="BT800" s="276">
        <v>0</v>
      </c>
      <c r="BU800" s="196">
        <f t="shared" si="2126"/>
        <v>0</v>
      </c>
      <c r="BV800" s="264">
        <f t="shared" si="2079"/>
        <v>0</v>
      </c>
      <c r="BW800" s="196">
        <f t="shared" si="2127"/>
        <v>0</v>
      </c>
      <c r="BX800" s="247">
        <f t="shared" si="2081"/>
        <v>0</v>
      </c>
      <c r="BY800" s="196">
        <f t="shared" si="2128"/>
        <v>0</v>
      </c>
      <c r="BZ800" s="620">
        <v>1</v>
      </c>
      <c r="CA800" s="196">
        <f t="shared" si="2129"/>
        <v>38121.828948440598</v>
      </c>
      <c r="CB800" s="196">
        <f t="shared" si="2130"/>
        <v>76243.657896881195</v>
      </c>
      <c r="CC800" s="196">
        <f t="shared" si="1986"/>
        <v>114365.48684532179</v>
      </c>
      <c r="CD800" s="247">
        <f t="shared" si="1974"/>
        <v>4.8255560921945095E-4</v>
      </c>
      <c r="CE800" s="196">
        <f t="shared" si="2131"/>
        <v>10990.683871343004</v>
      </c>
      <c r="CF800" s="247">
        <f t="shared" si="1975"/>
        <v>4.7461190999426462E-4</v>
      </c>
      <c r="CG800" s="196">
        <f t="shared" si="2101"/>
        <v>18936.333333865914</v>
      </c>
      <c r="CH800" s="589">
        <f t="shared" si="1991"/>
        <v>4.8255560921945084E-4</v>
      </c>
      <c r="CI800" s="196">
        <f t="shared" si="2132"/>
        <v>34126.162612549975</v>
      </c>
      <c r="CJ800" s="248">
        <f t="shared" si="1992"/>
        <v>5.6103402672666783E-4</v>
      </c>
      <c r="CK800" s="196">
        <f t="shared" si="2133"/>
        <v>29365.52615225561</v>
      </c>
      <c r="CL800" s="589">
        <f t="shared" si="1993"/>
        <v>4.2213547866970481E-4</v>
      </c>
      <c r="CM800" s="196">
        <f t="shared" si="2134"/>
        <v>2844.792034562568</v>
      </c>
      <c r="CN800" s="589">
        <f t="shared" si="1994"/>
        <v>4.0996686224921641E-4</v>
      </c>
      <c r="CO800" s="196">
        <f t="shared" si="2135"/>
        <v>227.57616162075095</v>
      </c>
      <c r="CP800" s="589">
        <f t="shared" si="1995"/>
        <v>4.2917358763479264E-4</v>
      </c>
      <c r="CQ800" s="196">
        <f>'Detailed Budget'!$AC$12</f>
        <v>292876014141.44696</v>
      </c>
      <c r="CR800" s="269">
        <f t="shared" si="2040"/>
        <v>0</v>
      </c>
      <c r="CS800" s="269">
        <f>'Detailed Budget'!$AC$16</f>
        <v>10488008800.000002</v>
      </c>
      <c r="CT800" s="607">
        <f t="shared" si="2103"/>
        <v>0</v>
      </c>
      <c r="CU800" s="269">
        <f>'Detailed Budget'!$AC$24</f>
        <v>30624985696</v>
      </c>
      <c r="CV800" s="269">
        <f t="shared" si="2050"/>
        <v>0</v>
      </c>
      <c r="CW800" s="269"/>
      <c r="CX800" s="269">
        <f t="shared" si="1987"/>
        <v>0</v>
      </c>
      <c r="CY800" s="196">
        <f>'Detailed Budget'!$AC$97</f>
        <v>74629165494.837845</v>
      </c>
      <c r="CZ800" s="269">
        <f t="shared" si="2104"/>
        <v>46650111.013405077</v>
      </c>
      <c r="DA800" s="269">
        <f>'Detailed Budget'!$AC$100</f>
        <v>14925833098.967569</v>
      </c>
      <c r="DB800" s="269">
        <f t="shared" si="2105"/>
        <v>9330022.2026810162</v>
      </c>
      <c r="DC800" s="269">
        <f t="shared" si="1976"/>
        <v>55980133.21608609</v>
      </c>
      <c r="DD800" s="207">
        <v>0</v>
      </c>
      <c r="DE800" s="606">
        <v>0</v>
      </c>
      <c r="DF800" s="269">
        <f>'Detailed Budget'!$AC$147</f>
        <v>5913600671000</v>
      </c>
      <c r="DG800" s="269">
        <f t="shared" si="2042"/>
        <v>0</v>
      </c>
      <c r="DH800" s="269">
        <f>'Detailed Budget'!$AC$153</f>
        <v>226428026880.00003</v>
      </c>
      <c r="DI800" s="269"/>
      <c r="DJ800" s="269">
        <f>'Detailed Budget'!$AC$156</f>
        <v>27713070000</v>
      </c>
      <c r="DK800" s="269"/>
      <c r="DL800" s="269"/>
      <c r="DM800" s="196">
        <f>'Detailed Budget'!$AC$178</f>
        <v>5622683761.6229038</v>
      </c>
      <c r="DN800" s="269">
        <f t="shared" si="2136"/>
        <v>0</v>
      </c>
      <c r="DO800" s="196">
        <f>'Detailed Budget'!$AC$179</f>
        <v>26827890683.128094</v>
      </c>
      <c r="DP800" s="269">
        <f t="shared" si="2137"/>
        <v>0</v>
      </c>
      <c r="DQ800" s="269">
        <f t="shared" si="2041"/>
        <v>0</v>
      </c>
      <c r="DR800" s="269">
        <f>'Detailed Budget'!$AC$181</f>
        <v>50888946855.375237</v>
      </c>
      <c r="DS800" s="269">
        <f t="shared" si="2138"/>
        <v>0</v>
      </c>
      <c r="DT800" s="269">
        <f t="shared" si="2139"/>
        <v>0</v>
      </c>
      <c r="DU800" s="272">
        <f>'Detailed Budget'!$AC$192</f>
        <v>77498869683.252869</v>
      </c>
      <c r="DV800" s="269">
        <f t="shared" si="2106"/>
        <v>37397514.273820922</v>
      </c>
      <c r="DW800" s="140">
        <f>'Detailed Budget'!$AC$194</f>
        <v>2684962805.4134097</v>
      </c>
      <c r="DX800" s="269">
        <f t="shared" si="2107"/>
        <v>1295643.8622978339</v>
      </c>
      <c r="DY800" s="607">
        <f t="shared" si="1977"/>
        <v>38693158.136118755</v>
      </c>
      <c r="DZ800" s="196">
        <f>'Detailed Budget'!$AC$198</f>
        <v>18732540018.380611</v>
      </c>
      <c r="EA800" s="269">
        <f t="shared" si="2108"/>
        <v>8890686.5971676186</v>
      </c>
      <c r="EB800" s="196">
        <f>'Detailed Budget'!$AC$200</f>
        <v>4683135004.5951529</v>
      </c>
      <c r="EC800" s="269">
        <f t="shared" si="2109"/>
        <v>2222671.6492919046</v>
      </c>
      <c r="ED800" s="269">
        <f t="shared" si="1978"/>
        <v>11113358.246459523</v>
      </c>
      <c r="EE800" s="196">
        <f>'Detailed Budget'!$AC$161</f>
        <v>251147290106.36197</v>
      </c>
      <c r="EF800" s="269">
        <f t="shared" si="2110"/>
        <v>121192533.58108966</v>
      </c>
      <c r="EG800" s="196">
        <f>'Detailed Budget'!$AC$163</f>
        <v>15696705631.647623</v>
      </c>
      <c r="EH800" s="269">
        <f t="shared" si="2111"/>
        <v>7574533.3488181038</v>
      </c>
      <c r="EI800" s="269">
        <f t="shared" si="1979"/>
        <v>128767066.92990777</v>
      </c>
      <c r="EJ800" s="196">
        <f>'Detailed Budget'!$AC$204</f>
        <v>45012172507.531975</v>
      </c>
      <c r="EK800" s="269">
        <f t="shared" si="2112"/>
        <v>25253360.393616077</v>
      </c>
      <c r="EL800" s="201">
        <f>'Detailed Budget'!$AC$206</f>
        <v>11253043126.882994</v>
      </c>
      <c r="EM800" s="269">
        <f t="shared" si="2113"/>
        <v>6313340.0984040191</v>
      </c>
      <c r="EN800" s="269">
        <f t="shared" si="1980"/>
        <v>31566700.492020097</v>
      </c>
      <c r="EO800" s="140">
        <f>'Detailed Budget'!$AC$209</f>
        <v>135789361677.54817</v>
      </c>
      <c r="EP800" s="269">
        <f t="shared" si="2114"/>
        <v>57321507.190005466</v>
      </c>
      <c r="EQ800" s="196">
        <f>'Detailed Budget'!$AC$211</f>
        <v>33947340419.387043</v>
      </c>
      <c r="ER800" s="269">
        <f t="shared" si="2115"/>
        <v>14330376.797501367</v>
      </c>
      <c r="ES800" s="269">
        <f t="shared" si="1981"/>
        <v>71651883.987506837</v>
      </c>
      <c r="ET800" s="196">
        <f>'Detailed Budget'!$AC$214</f>
        <v>22239745544.201103</v>
      </c>
      <c r="EU800" s="269">
        <f t="shared" si="2116"/>
        <v>9117558.6979771182</v>
      </c>
      <c r="EV800" s="140">
        <f>'Detailed Budget'!$AC$217</f>
        <v>5559936386.0502758</v>
      </c>
      <c r="EW800" s="269">
        <f t="shared" si="2117"/>
        <v>2279389.6744942795</v>
      </c>
      <c r="EX800" s="269">
        <f t="shared" si="1982"/>
        <v>11396948.372471398</v>
      </c>
      <c r="EY800" s="196">
        <f>'Detailed Budget'!$AC$219</f>
        <v>372777004.58170313</v>
      </c>
      <c r="EZ800" s="269">
        <f t="shared" si="2118"/>
        <v>159986.04444408105</v>
      </c>
      <c r="FA800" s="196">
        <f>'Detailed Budget'!$AC$222</f>
        <v>93194251.145425782</v>
      </c>
      <c r="FB800" s="269">
        <f t="shared" si="2119"/>
        <v>39996.511111020263</v>
      </c>
      <c r="FC800" s="269">
        <f t="shared" si="1983"/>
        <v>199982.55555510131</v>
      </c>
      <c r="FD800" s="269"/>
      <c r="FE800" s="269">
        <f t="shared" si="1984"/>
        <v>114815515.40755343</v>
      </c>
      <c r="FF800" s="140">
        <f>'Detailed Budget'!$AC$165</f>
        <v>14927760000</v>
      </c>
      <c r="FG800" s="1087">
        <f t="shared" si="2043"/>
        <v>156615963.09730101</v>
      </c>
      <c r="FH800" s="269">
        <f t="shared" si="2120"/>
        <v>18657579.820474949</v>
      </c>
      <c r="FJ800" s="140">
        <f>'Detailed Budget'!$AC$235</f>
        <v>3623696172</v>
      </c>
      <c r="FK800" s="269">
        <f t="shared" si="2121"/>
        <v>4681778</v>
      </c>
      <c r="FL800" s="269">
        <f t="shared" si="2044"/>
        <v>4681778</v>
      </c>
      <c r="FO800" s="607"/>
      <c r="FP800" s="607"/>
      <c r="FQ800" s="607"/>
      <c r="FR800" s="269">
        <f>'Detailed Budget'!$AC$257</f>
        <v>13636439388</v>
      </c>
      <c r="FS800" s="269">
        <f t="shared" si="2122"/>
        <v>13990704</v>
      </c>
      <c r="FT800" s="269">
        <f t="shared" si="2045"/>
        <v>13990704</v>
      </c>
      <c r="FU800" s="269"/>
      <c r="FV800" s="269"/>
      <c r="FW800" s="269"/>
      <c r="FX800" s="140">
        <f>'Detailed Budget'!$AC$278</f>
        <v>1114560000</v>
      </c>
      <c r="FY800" s="269">
        <f t="shared" si="2123"/>
        <v>1440000</v>
      </c>
      <c r="FZ800" s="269">
        <f t="shared" si="2071"/>
        <v>1440000</v>
      </c>
      <c r="GB800" s="269">
        <f t="shared" si="2094"/>
        <v>544755256.85390151</v>
      </c>
      <c r="GC800" s="887">
        <f t="shared" si="1985"/>
        <v>340472.03553368844</v>
      </c>
      <c r="GD800" s="1078">
        <f t="shared" si="2095"/>
        <v>3.0567932847509402E-4</v>
      </c>
    </row>
    <row r="801" spans="1:186" hidden="1" outlineLevel="1">
      <c r="A801" s="211" t="s">
        <v>1676</v>
      </c>
      <c r="B801" s="212" t="s">
        <v>1677</v>
      </c>
      <c r="C801" s="213" t="s">
        <v>215</v>
      </c>
      <c r="D801" s="214"/>
      <c r="E801" s="213"/>
      <c r="F801" s="213"/>
      <c r="G801" s="213" t="s">
        <v>215</v>
      </c>
      <c r="H801" s="213" t="s">
        <v>215</v>
      </c>
      <c r="I801" s="214" t="s">
        <v>215</v>
      </c>
      <c r="J801" s="214"/>
      <c r="K801" s="213"/>
      <c r="L801" s="213"/>
      <c r="M801" s="214"/>
      <c r="N801" s="213"/>
      <c r="O801" s="214" t="s">
        <v>215</v>
      </c>
      <c r="P801" s="213"/>
      <c r="Q801" s="214"/>
      <c r="R801" s="214" t="s">
        <v>215</v>
      </c>
      <c r="S801" s="214"/>
      <c r="T801" s="214"/>
      <c r="U801" s="215">
        <f t="shared" si="2099"/>
        <v>6</v>
      </c>
      <c r="V801" s="845" t="s">
        <v>216</v>
      </c>
      <c r="W801" s="216">
        <v>70954</v>
      </c>
      <c r="X801" s="217">
        <v>3.21</v>
      </c>
      <c r="Y801" s="218">
        <f t="shared" si="1965"/>
        <v>1.0321</v>
      </c>
      <c r="Z801" s="196">
        <v>19</v>
      </c>
      <c r="AA801" s="218">
        <f t="shared" si="1966"/>
        <v>1.8226940798007465</v>
      </c>
      <c r="AB801" s="196">
        <f t="shared" si="2097"/>
        <v>129327.43573818216</v>
      </c>
      <c r="AC801">
        <v>11.9</v>
      </c>
      <c r="AD801" s="196">
        <f t="shared" si="2098"/>
        <v>15389.964852843677</v>
      </c>
      <c r="AE801" s="196">
        <f t="shared" si="1967"/>
        <v>14620.466610201493</v>
      </c>
      <c r="AF801" s="196">
        <f t="shared" si="2124"/>
        <v>0</v>
      </c>
      <c r="AG801" s="606">
        <f t="shared" si="1988"/>
        <v>6.7598619100464445E-4</v>
      </c>
      <c r="AH801" s="196">
        <f t="shared" si="2140"/>
        <v>6466.3717869091088</v>
      </c>
      <c r="AI801" s="248">
        <f t="shared" si="1964"/>
        <v>5.0094002482160816E-4</v>
      </c>
      <c r="AJ801" s="196">
        <f t="shared" si="1968"/>
        <v>21856.336639752786</v>
      </c>
      <c r="AK801" s="196">
        <f t="shared" si="1998"/>
        <v>5173.0974295272863</v>
      </c>
      <c r="AL801" s="196">
        <f t="shared" si="1999"/>
        <v>5173.0974295272863</v>
      </c>
      <c r="AM801" s="196">
        <f t="shared" si="1969"/>
        <v>10346.194859054573</v>
      </c>
      <c r="AN801" s="627">
        <f t="shared" si="1970"/>
        <v>5.0094002482160816E-4</v>
      </c>
      <c r="AO801" s="196">
        <f t="shared" si="1971"/>
        <v>4914.4425580509223</v>
      </c>
      <c r="AP801" s="589">
        <f t="shared" si="1989"/>
        <v>5.0094002482160816E-4</v>
      </c>
      <c r="AQ801" s="196"/>
      <c r="AR801" s="589"/>
      <c r="AS801">
        <v>1</v>
      </c>
      <c r="AT801" s="589">
        <f t="shared" si="1990"/>
        <v>1.2919896640826874E-3</v>
      </c>
      <c r="AU801" s="196">
        <v>10</v>
      </c>
      <c r="AV801" s="245">
        <f t="shared" si="1972"/>
        <v>1.1362345188046814E-3</v>
      </c>
      <c r="AX801" s="245"/>
      <c r="AY801" s="245"/>
      <c r="AZ801" s="196">
        <v>20</v>
      </c>
      <c r="BA801" s="589">
        <f t="shared" si="2073"/>
        <v>7.3284232897292143E-4</v>
      </c>
      <c r="BI801" s="196">
        <v>0</v>
      </c>
      <c r="BK801" s="246">
        <f t="shared" si="2074"/>
        <v>0</v>
      </c>
      <c r="BL801" s="246"/>
      <c r="BM801" s="246">
        <f t="shared" si="2075"/>
        <v>0</v>
      </c>
      <c r="BN801" s="196">
        <v>1</v>
      </c>
      <c r="BO801" s="196">
        <f t="shared" si="2125"/>
        <v>6936.8178067037343</v>
      </c>
      <c r="BP801" s="196">
        <f t="shared" si="1973"/>
        <v>6936.8178067037343</v>
      </c>
      <c r="BQ801" s="248">
        <f t="shared" si="2077"/>
        <v>6.4890700280474515E-4</v>
      </c>
      <c r="BR801" s="248"/>
      <c r="BS801" s="248"/>
      <c r="BT801" s="276">
        <v>0</v>
      </c>
      <c r="BU801" s="196">
        <f t="shared" si="2126"/>
        <v>0</v>
      </c>
      <c r="BV801" s="264">
        <f t="shared" si="2079"/>
        <v>0</v>
      </c>
      <c r="BW801" s="196">
        <f t="shared" si="2127"/>
        <v>0</v>
      </c>
      <c r="BX801" s="247">
        <f t="shared" si="2081"/>
        <v>0</v>
      </c>
      <c r="BY801" s="196">
        <f t="shared" si="2128"/>
        <v>0</v>
      </c>
      <c r="BZ801" s="620">
        <v>1</v>
      </c>
      <c r="CA801" s="196">
        <f t="shared" si="2129"/>
        <v>39574.195335883742</v>
      </c>
      <c r="CB801" s="196">
        <f t="shared" si="2130"/>
        <v>79148.390671767484</v>
      </c>
      <c r="CC801" s="196">
        <f t="shared" si="1986"/>
        <v>118722.58600765123</v>
      </c>
      <c r="CD801" s="247">
        <f t="shared" si="1974"/>
        <v>5.0094002482160816E-4</v>
      </c>
      <c r="CE801" s="196">
        <f t="shared" si="2131"/>
        <v>11409.407218833529</v>
      </c>
      <c r="CF801" s="247">
        <f t="shared" si="1975"/>
        <v>4.9269368634576526E-4</v>
      </c>
      <c r="CG801" s="196">
        <f t="shared" si="2101"/>
        <v>19657.770232203689</v>
      </c>
      <c r="CH801" s="589">
        <f t="shared" si="1991"/>
        <v>5.0094002482160816E-4</v>
      </c>
      <c r="CI801" s="196">
        <f t="shared" si="2132"/>
        <v>35426.302004548219</v>
      </c>
      <c r="CJ801" s="248">
        <f t="shared" si="1992"/>
        <v>5.8240831503092883E-4</v>
      </c>
      <c r="CK801" s="196">
        <f t="shared" si="2133"/>
        <v>30484.294697983092</v>
      </c>
      <c r="CL801" s="589">
        <f t="shared" si="1993"/>
        <v>4.3821800663540938E-4</v>
      </c>
      <c r="CM801" s="196">
        <f t="shared" si="2134"/>
        <v>2953.1729922509498</v>
      </c>
      <c r="CN801" s="589">
        <f t="shared" si="1994"/>
        <v>4.2558578996387559E-4</v>
      </c>
      <c r="CO801" s="196">
        <f t="shared" si="2135"/>
        <v>236.24636388644859</v>
      </c>
      <c r="CP801" s="589">
        <f t="shared" si="1995"/>
        <v>4.4552425365090083E-4</v>
      </c>
      <c r="CQ801" s="196">
        <f>'Detailed Budget'!$AC$12</f>
        <v>292876014141.44696</v>
      </c>
      <c r="CR801" s="269">
        <f t="shared" si="2040"/>
        <v>0</v>
      </c>
      <c r="CS801" s="269">
        <f>'Detailed Budget'!$AC$16</f>
        <v>10488008800.000002</v>
      </c>
      <c r="CT801" s="607">
        <f t="shared" si="2103"/>
        <v>0</v>
      </c>
      <c r="CU801" s="269">
        <f>'Detailed Budget'!$AC$24</f>
        <v>30624985696</v>
      </c>
      <c r="CV801" s="269">
        <f t="shared" si="2050"/>
        <v>0</v>
      </c>
      <c r="CW801" s="269"/>
      <c r="CX801" s="269">
        <f t="shared" si="1987"/>
        <v>0</v>
      </c>
      <c r="CY801" s="196">
        <f>'Detailed Budget'!$AC$97</f>
        <v>74629165494.837845</v>
      </c>
      <c r="CZ801" s="269">
        <f t="shared" si="2104"/>
        <v>48427388.103074528</v>
      </c>
      <c r="DA801" s="269">
        <f>'Detailed Budget'!$AC$100</f>
        <v>14925833098.967569</v>
      </c>
      <c r="DB801" s="269">
        <f t="shared" si="2105"/>
        <v>9685477.6206149068</v>
      </c>
      <c r="DC801" s="269">
        <f t="shared" si="1976"/>
        <v>58112865.723689437</v>
      </c>
      <c r="DD801" s="207">
        <v>0</v>
      </c>
      <c r="DE801" s="606">
        <v>0</v>
      </c>
      <c r="DF801" s="269">
        <f>'Detailed Budget'!$AC$147</f>
        <v>5913600671000</v>
      </c>
      <c r="DG801" s="269">
        <f t="shared" si="2042"/>
        <v>0</v>
      </c>
      <c r="DH801" s="269">
        <f>'Detailed Budget'!$AC$153</f>
        <v>226428026880.00003</v>
      </c>
      <c r="DI801" s="269"/>
      <c r="DJ801" s="269">
        <f>'Detailed Budget'!$AC$156</f>
        <v>27713070000</v>
      </c>
      <c r="DK801" s="269"/>
      <c r="DL801" s="269"/>
      <c r="DM801" s="196">
        <f>'Detailed Budget'!$AC$178</f>
        <v>5622683761.6229038</v>
      </c>
      <c r="DN801" s="269">
        <f t="shared" si="2136"/>
        <v>0</v>
      </c>
      <c r="DO801" s="196">
        <f>'Detailed Budget'!$AC$179</f>
        <v>26827890683.128094</v>
      </c>
      <c r="DP801" s="269">
        <f t="shared" si="2137"/>
        <v>0</v>
      </c>
      <c r="DQ801" s="269">
        <f t="shared" si="2041"/>
        <v>0</v>
      </c>
      <c r="DR801" s="269">
        <f>'Detailed Budget'!$AC$181</f>
        <v>50888946855.375237</v>
      </c>
      <c r="DS801" s="269">
        <f t="shared" si="2138"/>
        <v>0</v>
      </c>
      <c r="DT801" s="269">
        <f t="shared" si="2139"/>
        <v>0</v>
      </c>
      <c r="DU801" s="272">
        <f>'Detailed Budget'!$AC$192</f>
        <v>77498869683.252869</v>
      </c>
      <c r="DV801" s="269">
        <f t="shared" si="2106"/>
        <v>38822285.70277527</v>
      </c>
      <c r="DW801" s="140">
        <f>'Detailed Budget'!$AC$194</f>
        <v>2684962805.4134097</v>
      </c>
      <c r="DX801" s="269">
        <f t="shared" si="2107"/>
        <v>1345005.3343888882</v>
      </c>
      <c r="DY801" s="607">
        <f t="shared" si="1977"/>
        <v>40167291.037164159</v>
      </c>
      <c r="DZ801" s="196">
        <f>'Detailed Budget'!$AC$198</f>
        <v>18732540018.380611</v>
      </c>
      <c r="EA801" s="269">
        <f t="shared" si="2108"/>
        <v>9229404.1962755136</v>
      </c>
      <c r="EB801" s="196">
        <f>'Detailed Budget'!$AC$200</f>
        <v>4683135004.5951529</v>
      </c>
      <c r="EC801" s="269">
        <f t="shared" si="2109"/>
        <v>2307351.0490688784</v>
      </c>
      <c r="ED801" s="269">
        <f t="shared" si="1978"/>
        <v>11536755.245344393</v>
      </c>
      <c r="EE801" s="196">
        <f>'Detailed Budget'!$AC$161</f>
        <v>251147290106.36197</v>
      </c>
      <c r="EF801" s="269">
        <f t="shared" si="2110"/>
        <v>125809729.73976059</v>
      </c>
      <c r="EG801" s="196">
        <f>'Detailed Budget'!$AC$163</f>
        <v>15696705631.647623</v>
      </c>
      <c r="EH801" s="269">
        <f t="shared" si="2111"/>
        <v>7863108.108735037</v>
      </c>
      <c r="EI801" s="269">
        <f t="shared" si="1979"/>
        <v>133672837.84849563</v>
      </c>
      <c r="EJ801" s="196">
        <f>'Detailed Budget'!$AC$204</f>
        <v>45012172507.531975</v>
      </c>
      <c r="EK801" s="269">
        <f t="shared" si="2112"/>
        <v>26215463.545993198</v>
      </c>
      <c r="EL801" s="201">
        <f>'Detailed Budget'!$AC$206</f>
        <v>11253043126.882994</v>
      </c>
      <c r="EM801" s="269">
        <f t="shared" si="2113"/>
        <v>6553865.8864982994</v>
      </c>
      <c r="EN801" s="269">
        <f t="shared" si="1980"/>
        <v>32769329.432491496</v>
      </c>
      <c r="EO801" s="140">
        <f>'Detailed Budget'!$AC$209</f>
        <v>135789361677.54817</v>
      </c>
      <c r="EP801" s="269">
        <f t="shared" si="2114"/>
        <v>59505343.39662981</v>
      </c>
      <c r="EQ801" s="196">
        <f>'Detailed Budget'!$AC$211</f>
        <v>33947340419.387043</v>
      </c>
      <c r="ER801" s="269">
        <f t="shared" si="2115"/>
        <v>14876335.849157453</v>
      </c>
      <c r="ES801" s="269">
        <f t="shared" si="1981"/>
        <v>74381679.245787263</v>
      </c>
      <c r="ET801" s="196">
        <f>'Detailed Budget'!$AC$214</f>
        <v>22239745544.201103</v>
      </c>
      <c r="EU801" s="269">
        <f t="shared" si="2116"/>
        <v>9464919.676024409</v>
      </c>
      <c r="EV801" s="140">
        <f>'Detailed Budget'!$AC$217</f>
        <v>5559936386.0502758</v>
      </c>
      <c r="EW801" s="269">
        <f t="shared" si="2117"/>
        <v>2366229.9190061023</v>
      </c>
      <c r="EX801" s="269">
        <f t="shared" si="1982"/>
        <v>11831149.595030511</v>
      </c>
      <c r="EY801" s="196">
        <f>'Detailed Budget'!$AC$219</f>
        <v>372777004.58170313</v>
      </c>
      <c r="EZ801" s="269">
        <f t="shared" si="2118"/>
        <v>166081.19674448171</v>
      </c>
      <c r="FA801" s="196">
        <f>'Detailed Budget'!$AC$222</f>
        <v>93194251.145425782</v>
      </c>
      <c r="FB801" s="269">
        <f t="shared" si="2119"/>
        <v>41520.299186120428</v>
      </c>
      <c r="FC801" s="269">
        <f t="shared" si="1983"/>
        <v>207601.49593060213</v>
      </c>
      <c r="FD801" s="269"/>
      <c r="FE801" s="269">
        <f t="shared" si="1984"/>
        <v>119189759.76923987</v>
      </c>
      <c r="FF801" s="140">
        <f>'Detailed Budget'!$AC$165</f>
        <v>14927760000</v>
      </c>
      <c r="FG801" s="1087">
        <f t="shared" si="2043"/>
        <v>162582721.95473146</v>
      </c>
      <c r="FH801" s="269">
        <f t="shared" si="2120"/>
        <v>16961436.200431772</v>
      </c>
      <c r="FJ801" s="140">
        <f>'Detailed Budget'!$AC$235</f>
        <v>3623696172</v>
      </c>
      <c r="FK801" s="269">
        <f t="shared" si="2121"/>
        <v>4681778</v>
      </c>
      <c r="FL801" s="269">
        <f t="shared" si="2044"/>
        <v>4681778</v>
      </c>
      <c r="FO801" s="607"/>
      <c r="FP801" s="607"/>
      <c r="FQ801" s="607"/>
      <c r="FR801" s="269">
        <f>'Detailed Budget'!$AC$257</f>
        <v>13636439388</v>
      </c>
      <c r="FS801" s="269">
        <f t="shared" si="2122"/>
        <v>9993360</v>
      </c>
      <c r="FT801" s="269">
        <f t="shared" si="2045"/>
        <v>9993360</v>
      </c>
      <c r="FU801" s="269"/>
      <c r="FV801" s="269"/>
      <c r="FW801" s="269"/>
      <c r="FX801" s="140">
        <f>'Detailed Budget'!$AC$278</f>
        <v>1114560000</v>
      </c>
      <c r="FY801" s="269">
        <f t="shared" si="2123"/>
        <v>1440000</v>
      </c>
      <c r="FZ801" s="269">
        <f t="shared" si="2071"/>
        <v>1440000</v>
      </c>
      <c r="GB801" s="269">
        <f t="shared" si="2094"/>
        <v>558338805.77909672</v>
      </c>
      <c r="GC801" s="887">
        <f t="shared" si="1985"/>
        <v>348961.75361193548</v>
      </c>
      <c r="GD801" s="1078">
        <f t="shared" si="2095"/>
        <v>3.1330148551079166E-4</v>
      </c>
    </row>
    <row r="802" spans="1:186" hidden="1" outlineLevel="1">
      <c r="A802" s="211" t="s">
        <v>1678</v>
      </c>
      <c r="B802" s="212" t="s">
        <v>1679</v>
      </c>
      <c r="C802" s="213" t="s">
        <v>215</v>
      </c>
      <c r="D802" s="214"/>
      <c r="E802" s="213"/>
      <c r="F802" s="213"/>
      <c r="G802" s="213" t="s">
        <v>215</v>
      </c>
      <c r="H802" s="213" t="s">
        <v>215</v>
      </c>
      <c r="I802" s="214" t="s">
        <v>215</v>
      </c>
      <c r="J802" s="214"/>
      <c r="K802" s="213"/>
      <c r="L802" s="213"/>
      <c r="M802" s="214"/>
      <c r="N802" s="213"/>
      <c r="O802" s="214" t="s">
        <v>215</v>
      </c>
      <c r="P802" s="213"/>
      <c r="Q802" s="214"/>
      <c r="R802" s="214" t="s">
        <v>215</v>
      </c>
      <c r="S802" s="214"/>
      <c r="T802" s="214"/>
      <c r="U802" s="215">
        <f t="shared" si="2099"/>
        <v>6</v>
      </c>
      <c r="V802" s="845" t="s">
        <v>216</v>
      </c>
      <c r="W802" s="216">
        <v>138742</v>
      </c>
      <c r="X802" s="217">
        <v>3.21</v>
      </c>
      <c r="Y802" s="218">
        <f t="shared" si="1965"/>
        <v>1.0321</v>
      </c>
      <c r="Z802" s="196">
        <v>19</v>
      </c>
      <c r="AA802" s="218">
        <f t="shared" si="1966"/>
        <v>1.8226940798007465</v>
      </c>
      <c r="AB802" s="196">
        <f t="shared" si="2097"/>
        <v>252884.22201971518</v>
      </c>
      <c r="AC802">
        <v>11.9</v>
      </c>
      <c r="AD802" s="196">
        <f t="shared" si="2098"/>
        <v>30093.222420346108</v>
      </c>
      <c r="AE802" s="196">
        <f t="shared" si="1967"/>
        <v>28588.561299328801</v>
      </c>
      <c r="AF802" s="196">
        <f t="shared" si="2124"/>
        <v>0</v>
      </c>
      <c r="AG802" s="606">
        <f t="shared" si="1988"/>
        <v>1.321809568345215E-3</v>
      </c>
      <c r="AH802" s="196">
        <f t="shared" si="2140"/>
        <v>12644.21110098576</v>
      </c>
      <c r="AI802" s="248">
        <f t="shared" ref="AI802:AI861" si="2141">AH802/12908475</f>
        <v>9.7952787614228329E-4</v>
      </c>
      <c r="AJ802" s="196">
        <f t="shared" si="1968"/>
        <v>42737.43352133187</v>
      </c>
      <c r="AK802" s="196">
        <f t="shared" si="1998"/>
        <v>10115.368880788606</v>
      </c>
      <c r="AL802" s="196">
        <f t="shared" si="1999"/>
        <v>10115.368880788606</v>
      </c>
      <c r="AM802" s="196">
        <f t="shared" si="1969"/>
        <v>20230.737761577213</v>
      </c>
      <c r="AN802" s="627">
        <f t="shared" si="1970"/>
        <v>9.7952787614228307E-4</v>
      </c>
      <c r="AO802" s="196">
        <f t="shared" si="1971"/>
        <v>9609.6004367491769</v>
      </c>
      <c r="AP802" s="589">
        <f t="shared" si="1989"/>
        <v>9.7952787614228329E-4</v>
      </c>
      <c r="AQ802" s="196"/>
      <c r="AR802" s="589"/>
      <c r="AS802">
        <v>1</v>
      </c>
      <c r="AT802" s="589">
        <f t="shared" si="1990"/>
        <v>1.2919896640826874E-3</v>
      </c>
      <c r="AU802" s="196">
        <v>11</v>
      </c>
      <c r="AV802" s="245">
        <f t="shared" si="1972"/>
        <v>1.2498579706851495E-3</v>
      </c>
      <c r="AX802" s="245"/>
      <c r="AY802" s="245"/>
      <c r="AZ802" s="196">
        <v>24</v>
      </c>
      <c r="BA802" s="589">
        <f t="shared" si="2073"/>
        <v>8.7941079476750578E-4</v>
      </c>
      <c r="BI802" s="196">
        <v>0</v>
      </c>
      <c r="BK802" s="246">
        <f t="shared" si="2074"/>
        <v>0</v>
      </c>
      <c r="BL802" s="246"/>
      <c r="BM802" s="246">
        <f t="shared" si="2075"/>
        <v>0</v>
      </c>
      <c r="BN802" s="196">
        <v>1</v>
      </c>
      <c r="BO802" s="196">
        <f t="shared" si="2125"/>
        <v>13564.111623554552</v>
      </c>
      <c r="BP802" s="196">
        <f t="shared" si="1973"/>
        <v>13564.111623554552</v>
      </c>
      <c r="BQ802" s="248">
        <f t="shared" si="2077"/>
        <v>1.2688594777339681E-3</v>
      </c>
      <c r="BR802" s="248"/>
      <c r="BS802" s="248"/>
      <c r="BT802" s="276">
        <v>0</v>
      </c>
      <c r="BU802" s="196">
        <f t="shared" si="2126"/>
        <v>0</v>
      </c>
      <c r="BV802" s="264">
        <f t="shared" si="2079"/>
        <v>0</v>
      </c>
      <c r="BW802" s="196">
        <f t="shared" si="2127"/>
        <v>0</v>
      </c>
      <c r="BX802" s="247">
        <f t="shared" si="2081"/>
        <v>0</v>
      </c>
      <c r="BY802" s="196">
        <f t="shared" si="2128"/>
        <v>0</v>
      </c>
      <c r="BZ802" s="620">
        <v>1</v>
      </c>
      <c r="CA802" s="196">
        <f t="shared" si="2129"/>
        <v>77382.571938032837</v>
      </c>
      <c r="CB802" s="196">
        <f t="shared" si="2130"/>
        <v>154765.14387606567</v>
      </c>
      <c r="CC802" s="196">
        <f t="shared" si="1986"/>
        <v>232147.71581409851</v>
      </c>
      <c r="CD802" s="247">
        <f t="shared" si="1974"/>
        <v>9.7952787614228307E-4</v>
      </c>
      <c r="CE802" s="196">
        <f t="shared" si="2131"/>
        <v>22309.721458344862</v>
      </c>
      <c r="CF802" s="247">
        <f t="shared" si="1975"/>
        <v>9.6340315459289344E-4</v>
      </c>
      <c r="CG802" s="196">
        <f t="shared" si="2101"/>
        <v>38438.401746996708</v>
      </c>
      <c r="CH802" s="589">
        <f t="shared" si="1991"/>
        <v>9.7952787614228329E-4</v>
      </c>
      <c r="CI802" s="196">
        <f t="shared" si="2132"/>
        <v>69271.866176889671</v>
      </c>
      <c r="CJ802" s="248">
        <f t="shared" si="1992"/>
        <v>1.1388293041128216E-3</v>
      </c>
      <c r="CK802" s="196">
        <f t="shared" si="2133"/>
        <v>59608.366194824404</v>
      </c>
      <c r="CL802" s="589">
        <f t="shared" si="1993"/>
        <v>8.5688252496842995E-4</v>
      </c>
      <c r="CM802" s="196">
        <f t="shared" si="2134"/>
        <v>5774.5740520743211</v>
      </c>
      <c r="CN802" s="589">
        <f t="shared" si="1994"/>
        <v>8.3218174692290838E-4</v>
      </c>
      <c r="CO802" s="196">
        <f t="shared" si="2135"/>
        <v>461.9513067386427</v>
      </c>
      <c r="CP802" s="589">
        <f t="shared" si="1995"/>
        <v>8.7116901090894517E-4</v>
      </c>
      <c r="CQ802" s="196">
        <f>'Detailed Budget'!$AC$12</f>
        <v>292876014141.44696</v>
      </c>
      <c r="CR802" s="269">
        <f t="shared" si="2040"/>
        <v>0</v>
      </c>
      <c r="CS802" s="269">
        <f>'Detailed Budget'!$AC$16</f>
        <v>10488008800.000002</v>
      </c>
      <c r="CT802" s="607">
        <f t="shared" si="2103"/>
        <v>0</v>
      </c>
      <c r="CU802" s="269">
        <f>'Detailed Budget'!$AC$24</f>
        <v>30624985696</v>
      </c>
      <c r="CV802" s="269">
        <f t="shared" si="2050"/>
        <v>0</v>
      </c>
      <c r="CW802" s="269"/>
      <c r="CX802" s="269">
        <f t="shared" si="1987"/>
        <v>0</v>
      </c>
      <c r="CY802" s="196">
        <f>'Detailed Budget'!$AC$97</f>
        <v>74629165494.837845</v>
      </c>
      <c r="CZ802" s="269">
        <f t="shared" si="2104"/>
        <v>94693923.953501821</v>
      </c>
      <c r="DA802" s="269">
        <f>'Detailed Budget'!$AC$100</f>
        <v>14925833098.967569</v>
      </c>
      <c r="DB802" s="269">
        <f t="shared" si="2105"/>
        <v>18938784.790700365</v>
      </c>
      <c r="DC802" s="269">
        <f t="shared" si="1976"/>
        <v>113632708.74420218</v>
      </c>
      <c r="DD802" s="207">
        <v>0</v>
      </c>
      <c r="DE802" s="606">
        <v>0</v>
      </c>
      <c r="DF802" s="269">
        <f>'Detailed Budget'!$AC$147</f>
        <v>5913600671000</v>
      </c>
      <c r="DG802" s="269">
        <f t="shared" si="2042"/>
        <v>0</v>
      </c>
      <c r="DH802" s="269">
        <f>'Detailed Budget'!$AC$153</f>
        <v>226428026880.00003</v>
      </c>
      <c r="DI802" s="269"/>
      <c r="DJ802" s="269">
        <f>'Detailed Budget'!$AC$156</f>
        <v>27713070000</v>
      </c>
      <c r="DK802" s="269"/>
      <c r="DL802" s="269"/>
      <c r="DM802" s="196">
        <f>'Detailed Budget'!$AC$178</f>
        <v>5622683761.6229038</v>
      </c>
      <c r="DN802" s="269">
        <f t="shared" si="2136"/>
        <v>0</v>
      </c>
      <c r="DO802" s="196">
        <f>'Detailed Budget'!$AC$179</f>
        <v>26827890683.128094</v>
      </c>
      <c r="DP802" s="269">
        <f t="shared" si="2137"/>
        <v>0</v>
      </c>
      <c r="DQ802" s="269">
        <f t="shared" si="2041"/>
        <v>0</v>
      </c>
      <c r="DR802" s="269">
        <f>'Detailed Budget'!$AC$181</f>
        <v>50888946855.375237</v>
      </c>
      <c r="DS802" s="269">
        <f t="shared" si="2138"/>
        <v>0</v>
      </c>
      <c r="DT802" s="269">
        <f t="shared" si="2139"/>
        <v>0</v>
      </c>
      <c r="DU802" s="272">
        <f>'Detailed Budget'!$AC$192</f>
        <v>77498869683.252869</v>
      </c>
      <c r="DV802" s="269">
        <f t="shared" si="2106"/>
        <v>75912303.224264249</v>
      </c>
      <c r="DW802" s="140">
        <f>'Detailed Budget'!$AC$194</f>
        <v>2684962805.4134097</v>
      </c>
      <c r="DX802" s="269">
        <f t="shared" si="2107"/>
        <v>2629995.9143076232</v>
      </c>
      <c r="DY802" s="607">
        <f t="shared" si="1977"/>
        <v>78542299.138571873</v>
      </c>
      <c r="DZ802" s="196">
        <f>'Detailed Budget'!$AC$198</f>
        <v>18732540018.380611</v>
      </c>
      <c r="EA802" s="269">
        <f t="shared" si="2108"/>
        <v>18046988.1472455</v>
      </c>
      <c r="EB802" s="196">
        <f>'Detailed Budget'!$AC$200</f>
        <v>4683135004.5951529</v>
      </c>
      <c r="EC802" s="269">
        <f t="shared" si="2109"/>
        <v>4511747.0368113751</v>
      </c>
      <c r="ED802" s="269">
        <f t="shared" si="1978"/>
        <v>22558735.184056874</v>
      </c>
      <c r="EE802" s="196">
        <f>'Detailed Budget'!$AC$161</f>
        <v>251147290106.36197</v>
      </c>
      <c r="EF802" s="269">
        <f t="shared" si="2110"/>
        <v>246005771.67677462</v>
      </c>
      <c r="EG802" s="196">
        <f>'Detailed Budget'!$AC$163</f>
        <v>15696705631.647623</v>
      </c>
      <c r="EH802" s="269">
        <f t="shared" si="2111"/>
        <v>15375360.729798414</v>
      </c>
      <c r="EI802" s="269">
        <f t="shared" si="1979"/>
        <v>261381132.40657303</v>
      </c>
      <c r="EJ802" s="196">
        <f>'Detailed Budget'!$AC$204</f>
        <v>45012172507.531975</v>
      </c>
      <c r="EK802" s="269">
        <f t="shared" si="2112"/>
        <v>51261181.093358919</v>
      </c>
      <c r="EL802" s="201">
        <f>'Detailed Budget'!$AC$206</f>
        <v>11253043126.882994</v>
      </c>
      <c r="EM802" s="269">
        <f t="shared" si="2113"/>
        <v>12815295.27333973</v>
      </c>
      <c r="EN802" s="269">
        <f t="shared" si="1980"/>
        <v>64076476.366698653</v>
      </c>
      <c r="EO802" s="140">
        <f>'Detailed Budget'!$AC$209</f>
        <v>135789361677.54817</v>
      </c>
      <c r="EP802" s="269">
        <f t="shared" si="2114"/>
        <v>116355531.09810884</v>
      </c>
      <c r="EQ802" s="196">
        <f>'Detailed Budget'!$AC$211</f>
        <v>33947340419.387043</v>
      </c>
      <c r="ER802" s="269">
        <f t="shared" si="2115"/>
        <v>29088882.774527211</v>
      </c>
      <c r="ES802" s="269">
        <f t="shared" si="1981"/>
        <v>145444413.87263605</v>
      </c>
      <c r="ET802" s="196">
        <f>'Detailed Budget'!$AC$214</f>
        <v>22239745544.201103</v>
      </c>
      <c r="EU802" s="269">
        <f t="shared" si="2116"/>
        <v>18507510.298094243</v>
      </c>
      <c r="EV802" s="140">
        <f>'Detailed Budget'!$AC$217</f>
        <v>5559936386.0502758</v>
      </c>
      <c r="EW802" s="269">
        <f t="shared" si="2117"/>
        <v>4626877.5745235607</v>
      </c>
      <c r="EX802" s="269">
        <f t="shared" si="1982"/>
        <v>23134387.872617804</v>
      </c>
      <c r="EY802" s="196">
        <f>'Detailed Budget'!$AC$219</f>
        <v>372777004.58170313</v>
      </c>
      <c r="EZ802" s="269">
        <f t="shared" si="2118"/>
        <v>324751.77437104163</v>
      </c>
      <c r="FA802" s="196">
        <f>'Detailed Budget'!$AC$222</f>
        <v>93194251.145425782</v>
      </c>
      <c r="FB802" s="269">
        <f t="shared" si="2119"/>
        <v>81187.943592760406</v>
      </c>
      <c r="FC802" s="269">
        <f t="shared" si="1983"/>
        <v>405939.71796380205</v>
      </c>
      <c r="FD802" s="269"/>
      <c r="FE802" s="269">
        <f t="shared" si="1984"/>
        <v>233061217.82991633</v>
      </c>
      <c r="FF802" s="140">
        <f>'Detailed Budget'!$AC$165</f>
        <v>14927760000</v>
      </c>
      <c r="FG802" s="1087">
        <f t="shared" si="2043"/>
        <v>317910928.34009862</v>
      </c>
      <c r="FH802" s="269">
        <f t="shared" si="2120"/>
        <v>18657579.820474949</v>
      </c>
      <c r="FJ802" s="140">
        <f>'Detailed Budget'!$AC$235</f>
        <v>3623696172</v>
      </c>
      <c r="FK802" s="269">
        <f t="shared" si="2121"/>
        <v>4681778</v>
      </c>
      <c r="FL802" s="269">
        <f t="shared" si="2044"/>
        <v>4681778</v>
      </c>
      <c r="FO802" s="607"/>
      <c r="FP802" s="607"/>
      <c r="FQ802" s="607"/>
      <c r="FR802" s="269">
        <f>'Detailed Budget'!$AC$257</f>
        <v>13636439388</v>
      </c>
      <c r="FS802" s="269">
        <f t="shared" si="2122"/>
        <v>11992032</v>
      </c>
      <c r="FT802" s="269">
        <f t="shared" si="2045"/>
        <v>11992032</v>
      </c>
      <c r="FU802" s="269"/>
      <c r="FV802" s="269"/>
      <c r="FW802" s="269"/>
      <c r="FX802" s="140">
        <f>'Detailed Budget'!$AC$278</f>
        <v>1114560000</v>
      </c>
      <c r="FY802" s="269">
        <f t="shared" si="2123"/>
        <v>1440000</v>
      </c>
      <c r="FZ802" s="269">
        <f t="shared" si="2071"/>
        <v>1440000</v>
      </c>
      <c r="GB802" s="269">
        <f t="shared" si="2094"/>
        <v>1063858411.4638939</v>
      </c>
      <c r="GC802" s="887">
        <f t="shared" si="1985"/>
        <v>664911.50716493372</v>
      </c>
      <c r="GD802" s="1078">
        <f t="shared" si="2095"/>
        <v>5.9696445461944198E-4</v>
      </c>
    </row>
    <row r="803" spans="1:186" hidden="1" outlineLevel="1">
      <c r="A803" s="211" t="s">
        <v>1680</v>
      </c>
      <c r="B803" s="212" t="s">
        <v>1681</v>
      </c>
      <c r="C803" s="213" t="s">
        <v>215</v>
      </c>
      <c r="D803" s="214"/>
      <c r="E803" s="213"/>
      <c r="F803" s="213"/>
      <c r="G803" s="213" t="s">
        <v>215</v>
      </c>
      <c r="H803" s="213" t="s">
        <v>215</v>
      </c>
      <c r="I803" s="214" t="s">
        <v>215</v>
      </c>
      <c r="J803" s="214"/>
      <c r="K803" s="213"/>
      <c r="L803" s="213"/>
      <c r="M803" s="214"/>
      <c r="N803" s="213"/>
      <c r="O803" s="214"/>
      <c r="P803" s="213" t="s">
        <v>215</v>
      </c>
      <c r="Q803" s="214" t="s">
        <v>215</v>
      </c>
      <c r="R803" s="214"/>
      <c r="S803" s="214"/>
      <c r="T803" s="214"/>
      <c r="U803" s="215">
        <f t="shared" si="2099"/>
        <v>6</v>
      </c>
      <c r="V803" s="845" t="s">
        <v>1073</v>
      </c>
      <c r="W803" s="216">
        <v>83818</v>
      </c>
      <c r="X803" s="217">
        <v>3.21</v>
      </c>
      <c r="Y803" s="218">
        <f t="shared" si="1965"/>
        <v>1.0321</v>
      </c>
      <c r="Z803" s="196">
        <v>19</v>
      </c>
      <c r="AA803" s="218">
        <f t="shared" si="1966"/>
        <v>1.8226940798007465</v>
      </c>
      <c r="AB803" s="196">
        <f t="shared" si="2097"/>
        <v>152774.57238073897</v>
      </c>
      <c r="AC803">
        <v>11.9</v>
      </c>
      <c r="AD803" s="196">
        <f t="shared" si="2098"/>
        <v>18180.174113307938</v>
      </c>
      <c r="AE803" s="196">
        <f t="shared" si="1967"/>
        <v>17271.16540764254</v>
      </c>
      <c r="AF803" s="196">
        <f t="shared" si="2124"/>
        <v>0</v>
      </c>
      <c r="AG803" s="606">
        <f t="shared" si="1988"/>
        <v>7.9854286661255587E-4</v>
      </c>
      <c r="AH803" s="196">
        <f t="shared" si="2140"/>
        <v>7638.7286190369487</v>
      </c>
      <c r="AI803" s="248">
        <f t="shared" si="2141"/>
        <v>5.9176073231244971E-4</v>
      </c>
      <c r="AJ803" s="196">
        <f t="shared" ref="AJ803:AJ861" si="2142">AD803+AH803</f>
        <v>25818.902732344886</v>
      </c>
      <c r="AK803" s="196">
        <f t="shared" si="1998"/>
        <v>6110.9828952295593</v>
      </c>
      <c r="AL803" s="196">
        <f t="shared" si="1999"/>
        <v>6110.9828952295593</v>
      </c>
      <c r="AM803" s="196">
        <f t="shared" ref="AM803:AM861" si="2143">AK803+AL803</f>
        <v>12221.965790459119</v>
      </c>
      <c r="AN803" s="627">
        <f t="shared" ref="AN803:AN861" si="2144">AM803/20653560</f>
        <v>5.9176073231244971E-4</v>
      </c>
      <c r="AO803" s="196">
        <f t="shared" ref="AO803:AO861" si="2145">AB803*0.038</f>
        <v>5805.4337504680807</v>
      </c>
      <c r="AP803" s="589">
        <f t="shared" si="1989"/>
        <v>5.917607323124496E-4</v>
      </c>
      <c r="AQ803" s="196"/>
      <c r="AR803" s="589"/>
      <c r="AS803">
        <v>1</v>
      </c>
      <c r="AT803" s="589">
        <f t="shared" si="1990"/>
        <v>1.2919896640826874E-3</v>
      </c>
      <c r="AU803" s="196">
        <v>11</v>
      </c>
      <c r="AV803" s="245">
        <f t="shared" ref="AV803:AV861" si="2146">AU803/8801</f>
        <v>1.2498579706851495E-3</v>
      </c>
      <c r="AX803" s="245"/>
      <c r="AY803" s="245"/>
      <c r="AZ803" s="196">
        <v>17</v>
      </c>
      <c r="BA803" s="589">
        <f t="shared" si="2073"/>
        <v>6.229159796269833E-4</v>
      </c>
      <c r="BI803" s="196">
        <v>0</v>
      </c>
      <c r="BK803" s="246">
        <f t="shared" si="2074"/>
        <v>0</v>
      </c>
      <c r="BL803" s="246"/>
      <c r="BM803" s="246">
        <f t="shared" si="2075"/>
        <v>0</v>
      </c>
      <c r="BN803" s="196">
        <v>1</v>
      </c>
      <c r="BO803" s="196">
        <f t="shared" si="2125"/>
        <v>8194.4667661061194</v>
      </c>
      <c r="BP803" s="196">
        <f t="shared" ref="BP803:BP861" si="2147">BN803*BO803</f>
        <v>8194.4667661061194</v>
      </c>
      <c r="BQ803" s="248">
        <f t="shared" si="2077"/>
        <v>7.6655420640257246E-4</v>
      </c>
      <c r="BR803" s="248"/>
      <c r="BS803" s="248"/>
      <c r="BT803" s="276">
        <v>0</v>
      </c>
      <c r="BU803" s="196">
        <f t="shared" si="2126"/>
        <v>0</v>
      </c>
      <c r="BV803" s="264">
        <f t="shared" si="2079"/>
        <v>0</v>
      </c>
      <c r="BW803" s="196">
        <f t="shared" si="2127"/>
        <v>0</v>
      </c>
      <c r="BX803" s="247">
        <f t="shared" si="2081"/>
        <v>0</v>
      </c>
      <c r="BY803" s="196">
        <f t="shared" si="2128"/>
        <v>0</v>
      </c>
      <c r="BZ803" s="620">
        <v>1</v>
      </c>
      <c r="CA803" s="196">
        <f t="shared" si="2129"/>
        <v>46749.01914850613</v>
      </c>
      <c r="CB803" s="196">
        <f t="shared" si="2130"/>
        <v>93498.038297012259</v>
      </c>
      <c r="CC803" s="196">
        <f t="shared" si="1986"/>
        <v>140247.05744551838</v>
      </c>
      <c r="CD803" s="247">
        <f t="shared" ref="CD803:CD861" si="2148">CC803/236999601</f>
        <v>5.9176073231244971E-4</v>
      </c>
      <c r="CE803" s="196">
        <f t="shared" si="2131"/>
        <v>13477.939147450301</v>
      </c>
      <c r="CF803" s="247">
        <f t="shared" ref="CF803:CF861" si="2149">CE803/23157202</f>
        <v>5.8201932804534417E-4</v>
      </c>
      <c r="CG803" s="196">
        <f t="shared" si="2101"/>
        <v>23221.735001872323</v>
      </c>
      <c r="CH803" s="589">
        <f t="shared" si="1991"/>
        <v>5.917607323124496E-4</v>
      </c>
      <c r="CI803" s="196">
        <f t="shared" si="2132"/>
        <v>41849.110429534951</v>
      </c>
      <c r="CJ803" s="248">
        <f t="shared" si="1992"/>
        <v>6.8799926923446741E-4</v>
      </c>
      <c r="CK803" s="196">
        <f t="shared" si="2133"/>
        <v>36011.114426185231</v>
      </c>
      <c r="CL803" s="589">
        <f t="shared" si="1993"/>
        <v>5.1766717704663232E-4</v>
      </c>
      <c r="CM803" s="196">
        <f t="shared" si="2134"/>
        <v>3488.584912259917</v>
      </c>
      <c r="CN803" s="589">
        <f t="shared" si="1994"/>
        <v>5.0274473240680064E-4</v>
      </c>
      <c r="CO803" s="196">
        <f t="shared" si="2135"/>
        <v>279.07796217597809</v>
      </c>
      <c r="CP803" s="589">
        <f t="shared" si="1995"/>
        <v>5.2629805074430212E-4</v>
      </c>
      <c r="CQ803" s="196">
        <f>'Detailed Budget'!$AC$12</f>
        <v>292876014141.44696</v>
      </c>
      <c r="CR803" s="269">
        <f t="shared" si="2040"/>
        <v>0</v>
      </c>
      <c r="CS803" s="269">
        <f>'Detailed Budget'!$AC$16</f>
        <v>10488008800.000002</v>
      </c>
      <c r="CT803" s="607">
        <f t="shared" si="2103"/>
        <v>0</v>
      </c>
      <c r="CU803" s="269">
        <f>'Detailed Budget'!$AC$24</f>
        <v>30624985696</v>
      </c>
      <c r="CV803" s="269">
        <f t="shared" si="2050"/>
        <v>0</v>
      </c>
      <c r="CW803" s="269"/>
      <c r="CX803" s="269">
        <f t="shared" si="1987"/>
        <v>0</v>
      </c>
      <c r="CY803" s="196">
        <f>'Detailed Budget'!$AC$97</f>
        <v>74629165494.837845</v>
      </c>
      <c r="CZ803" s="269">
        <f t="shared" si="2104"/>
        <v>57207300.730381668</v>
      </c>
      <c r="DA803" s="269">
        <f>'Detailed Budget'!$AC$100</f>
        <v>14925833098.967569</v>
      </c>
      <c r="DB803" s="269">
        <f t="shared" si="2105"/>
        <v>11441460.146076335</v>
      </c>
      <c r="DC803" s="269">
        <f t="shared" ref="DC803:DC861" si="2150">CZ803+DB803</f>
        <v>68648760.876458004</v>
      </c>
      <c r="DD803" s="207">
        <v>0</v>
      </c>
      <c r="DE803" s="606">
        <v>0</v>
      </c>
      <c r="DF803" s="269">
        <f>'Detailed Budget'!$AC$147</f>
        <v>5913600671000</v>
      </c>
      <c r="DG803" s="269">
        <f t="shared" si="2042"/>
        <v>0</v>
      </c>
      <c r="DH803" s="269">
        <f>'Detailed Budget'!$AC$153</f>
        <v>226428026880.00003</v>
      </c>
      <c r="DI803" s="269"/>
      <c r="DJ803" s="269">
        <f>'Detailed Budget'!$AC$156</f>
        <v>27713070000</v>
      </c>
      <c r="DK803" s="269"/>
      <c r="DL803" s="269"/>
      <c r="DM803" s="196">
        <f>'Detailed Budget'!$AC$178</f>
        <v>5622683761.6229038</v>
      </c>
      <c r="DN803" s="269">
        <f t="shared" si="2136"/>
        <v>0</v>
      </c>
      <c r="DO803" s="196">
        <f>'Detailed Budget'!$AC$179</f>
        <v>26827890683.128094</v>
      </c>
      <c r="DP803" s="269">
        <f t="shared" si="2137"/>
        <v>0</v>
      </c>
      <c r="DQ803" s="269">
        <f t="shared" si="2041"/>
        <v>0</v>
      </c>
      <c r="DR803" s="269">
        <f>'Detailed Budget'!$AC$181</f>
        <v>50888946855.375237</v>
      </c>
      <c r="DS803" s="269">
        <f t="shared" si="2138"/>
        <v>0</v>
      </c>
      <c r="DT803" s="269">
        <f t="shared" si="2139"/>
        <v>0</v>
      </c>
      <c r="DU803" s="272">
        <f>'Detailed Budget'!$AC$192</f>
        <v>77498869683.252869</v>
      </c>
      <c r="DV803" s="269">
        <f t="shared" si="2106"/>
        <v>45860787.877148822</v>
      </c>
      <c r="DW803" s="140">
        <f>'Detailed Budget'!$AC$194</f>
        <v>2684962805.4134097</v>
      </c>
      <c r="DX803" s="269">
        <f t="shared" si="2107"/>
        <v>1588855.5559631288</v>
      </c>
      <c r="DY803" s="607">
        <f t="shared" ref="DY803:DY861" si="2151">DV803+DX803</f>
        <v>47449643.433111951</v>
      </c>
      <c r="DZ803" s="196">
        <f>'Detailed Budget'!$AC$198</f>
        <v>18732540018.380611</v>
      </c>
      <c r="EA803" s="269">
        <f t="shared" si="2108"/>
        <v>10902700.354080403</v>
      </c>
      <c r="EB803" s="196">
        <f>'Detailed Budget'!$AC$200</f>
        <v>4683135004.5951529</v>
      </c>
      <c r="EC803" s="269">
        <f t="shared" si="2109"/>
        <v>2725675.0885201008</v>
      </c>
      <c r="ED803" s="269">
        <f t="shared" ref="ED803:ED861" si="2152">EA803+EC803</f>
        <v>13628375.442600504</v>
      </c>
      <c r="EE803" s="196">
        <f>'Detailed Budget'!$AC$161</f>
        <v>251147290106.36197</v>
      </c>
      <c r="EF803" s="269">
        <f t="shared" si="2110"/>
        <v>148619104.31162798</v>
      </c>
      <c r="EG803" s="196">
        <f>'Detailed Budget'!$AC$163</f>
        <v>15696705631.647623</v>
      </c>
      <c r="EH803" s="269">
        <f t="shared" si="2111"/>
        <v>9288694.019476749</v>
      </c>
      <c r="EI803" s="269">
        <f t="shared" ref="EI803:EI861" si="2153">EF803+EH803</f>
        <v>157907798.33110473</v>
      </c>
      <c r="EJ803" s="196">
        <f>'Detailed Budget'!$AC$204</f>
        <v>45012172507.531975</v>
      </c>
      <c r="EK803" s="269">
        <f t="shared" si="2112"/>
        <v>30968341.791837782</v>
      </c>
      <c r="EL803" s="201">
        <f>'Detailed Budget'!$AC$206</f>
        <v>11253043126.882994</v>
      </c>
      <c r="EM803" s="269">
        <f t="shared" si="2113"/>
        <v>7742085.4479594454</v>
      </c>
      <c r="EN803" s="269">
        <f t="shared" ref="EN803:EN861" si="2154">EK803+EM803</f>
        <v>38710427.239797227</v>
      </c>
      <c r="EO803" s="140">
        <f>'Detailed Budget'!$AC$209</f>
        <v>135789361677.54817</v>
      </c>
      <c r="EP803" s="269">
        <f t="shared" si="2114"/>
        <v>70293695.532580525</v>
      </c>
      <c r="EQ803" s="196">
        <f>'Detailed Budget'!$AC$211</f>
        <v>33947340419.387043</v>
      </c>
      <c r="ER803" s="269">
        <f t="shared" si="2115"/>
        <v>17573423.883145131</v>
      </c>
      <c r="ES803" s="269">
        <f t="shared" ref="ES803:ES861" si="2155">EP803+ER803</f>
        <v>87867119.415725648</v>
      </c>
      <c r="ET803" s="196">
        <f>'Detailed Budget'!$AC$214</f>
        <v>22239745544.201103</v>
      </c>
      <c r="EU803" s="269">
        <f t="shared" si="2116"/>
        <v>11180914.92241472</v>
      </c>
      <c r="EV803" s="140">
        <f>'Detailed Budget'!$AC$217</f>
        <v>5559936386.0502758</v>
      </c>
      <c r="EW803" s="269">
        <f t="shared" si="2117"/>
        <v>2795228.73060368</v>
      </c>
      <c r="EX803" s="269">
        <f t="shared" ref="EX803:EX861" si="2156">EU803+EW803</f>
        <v>13976143.6530184</v>
      </c>
      <c r="EY803" s="196">
        <f>'Detailed Budget'!$AC$219</f>
        <v>372777004.58170313</v>
      </c>
      <c r="EZ803" s="269">
        <f t="shared" si="2118"/>
        <v>196191.81087365013</v>
      </c>
      <c r="FA803" s="196">
        <f>'Detailed Budget'!$AC$222</f>
        <v>93194251.145425782</v>
      </c>
      <c r="FB803" s="269">
        <f t="shared" si="2119"/>
        <v>49047.952718412533</v>
      </c>
      <c r="FC803" s="269">
        <f t="shared" ref="FC803:FC861" si="2157">EZ803+FB803</f>
        <v>245239.76359206266</v>
      </c>
      <c r="FD803" s="269"/>
      <c r="FE803" s="269">
        <f t="shared" ref="FE803:FE861" si="2158">EN803+ES803+EX803+FC803</f>
        <v>140798930.07213336</v>
      </c>
      <c r="FF803" s="140">
        <f>'Detailed Budget'!$AC$165</f>
        <v>14927760000</v>
      </c>
      <c r="FG803" s="1087">
        <f t="shared" si="2043"/>
        <v>192059060.6421299</v>
      </c>
      <c r="FH803" s="269">
        <f t="shared" si="2120"/>
        <v>18657579.820474949</v>
      </c>
      <c r="FJ803" s="140">
        <f>'Detailed Budget'!$AC$235</f>
        <v>3623696172</v>
      </c>
      <c r="FK803" s="269">
        <f t="shared" si="2121"/>
        <v>4681778</v>
      </c>
      <c r="FL803" s="269">
        <f t="shared" si="2044"/>
        <v>4681778</v>
      </c>
      <c r="FO803" s="607"/>
      <c r="FP803" s="607"/>
      <c r="FQ803" s="607"/>
      <c r="FR803" s="269">
        <f>'Detailed Budget'!$AC$257</f>
        <v>13636439388</v>
      </c>
      <c r="FS803" s="269">
        <f t="shared" si="2122"/>
        <v>8494356</v>
      </c>
      <c r="FT803" s="269">
        <f t="shared" si="2045"/>
        <v>8494356</v>
      </c>
      <c r="FU803" s="269"/>
      <c r="FV803" s="269"/>
      <c r="FW803" s="269"/>
      <c r="FX803" s="140">
        <f>'Detailed Budget'!$AC$278</f>
        <v>1114560000</v>
      </c>
      <c r="FY803" s="269">
        <f t="shared" si="2123"/>
        <v>1440000</v>
      </c>
      <c r="FZ803" s="269">
        <f t="shared" si="2071"/>
        <v>1440000</v>
      </c>
      <c r="GB803" s="269">
        <f t="shared" si="2094"/>
        <v>653766282.6180135</v>
      </c>
      <c r="GC803" s="887">
        <f t="shared" ref="GC803:GC861" si="2159">GB803/1600</f>
        <v>408603.92663625843</v>
      </c>
      <c r="GD803" s="1078">
        <f t="shared" si="2095"/>
        <v>3.6684884769075106E-4</v>
      </c>
    </row>
    <row r="804" spans="1:186" hidden="1" outlineLevel="1">
      <c r="A804" s="211" t="s">
        <v>1682</v>
      </c>
      <c r="B804" s="212" t="s">
        <v>1683</v>
      </c>
      <c r="C804" s="213" t="s">
        <v>215</v>
      </c>
      <c r="D804" s="214"/>
      <c r="E804" s="213"/>
      <c r="F804" s="213"/>
      <c r="G804" s="213" t="s">
        <v>215</v>
      </c>
      <c r="H804" s="213" t="s">
        <v>215</v>
      </c>
      <c r="I804" s="214" t="s">
        <v>215</v>
      </c>
      <c r="J804" s="214"/>
      <c r="K804" s="213"/>
      <c r="L804" s="213"/>
      <c r="M804" s="214"/>
      <c r="N804" s="213"/>
      <c r="O804" s="214" t="s">
        <v>215</v>
      </c>
      <c r="P804" s="213"/>
      <c r="Q804" s="214" t="s">
        <v>215</v>
      </c>
      <c r="R804" s="214"/>
      <c r="S804" s="214"/>
      <c r="T804" s="214"/>
      <c r="U804" s="215">
        <f t="shared" si="2099"/>
        <v>6</v>
      </c>
      <c r="V804" s="845" t="s">
        <v>1073</v>
      </c>
      <c r="W804" s="216">
        <v>75489</v>
      </c>
      <c r="X804" s="217">
        <v>3.21</v>
      </c>
      <c r="Y804" s="218">
        <f t="shared" si="1965"/>
        <v>1.0321</v>
      </c>
      <c r="Z804" s="196">
        <v>19</v>
      </c>
      <c r="AA804" s="218">
        <f t="shared" si="1966"/>
        <v>1.8226940798007465</v>
      </c>
      <c r="AB804" s="196">
        <f t="shared" si="2097"/>
        <v>137593.35339007856</v>
      </c>
      <c r="AC804">
        <v>11.9</v>
      </c>
      <c r="AD804" s="196">
        <f t="shared" si="2098"/>
        <v>16373.609053419348</v>
      </c>
      <c r="AE804" s="196">
        <f t="shared" si="1967"/>
        <v>15554.928600748381</v>
      </c>
      <c r="AF804" s="196">
        <f t="shared" si="2124"/>
        <v>0</v>
      </c>
      <c r="AG804" s="606">
        <f t="shared" si="1988"/>
        <v>7.191916110825268E-4</v>
      </c>
      <c r="AH804" s="196">
        <f t="shared" si="2140"/>
        <v>6879.6676695039278</v>
      </c>
      <c r="AI804" s="248">
        <f t="shared" si="2141"/>
        <v>5.3295743064180143E-4</v>
      </c>
      <c r="AJ804" s="196">
        <f t="shared" si="2142"/>
        <v>23253.276722923278</v>
      </c>
      <c r="AK804" s="196">
        <f t="shared" si="1998"/>
        <v>5503.734135603142</v>
      </c>
      <c r="AL804" s="196">
        <f t="shared" si="1999"/>
        <v>5503.734135603142</v>
      </c>
      <c r="AM804" s="196">
        <f t="shared" si="2143"/>
        <v>11007.468271206284</v>
      </c>
      <c r="AN804" s="627">
        <f t="shared" si="2144"/>
        <v>5.3295743064180143E-4</v>
      </c>
      <c r="AO804" s="196">
        <f t="shared" si="2145"/>
        <v>5228.5474288229852</v>
      </c>
      <c r="AP804" s="589">
        <f t="shared" si="1989"/>
        <v>5.3295743064180143E-4</v>
      </c>
      <c r="AQ804" s="196"/>
      <c r="AR804" s="589"/>
      <c r="AS804">
        <v>1</v>
      </c>
      <c r="AT804" s="589">
        <f t="shared" si="1990"/>
        <v>1.2919896640826874E-3</v>
      </c>
      <c r="AU804" s="196">
        <v>10</v>
      </c>
      <c r="AV804" s="245">
        <f t="shared" si="2146"/>
        <v>1.1362345188046814E-3</v>
      </c>
      <c r="AX804" s="245"/>
      <c r="AY804" s="245"/>
      <c r="AZ804" s="196">
        <v>22</v>
      </c>
      <c r="BA804" s="589">
        <f t="shared" si="2073"/>
        <v>8.0612656187021366E-4</v>
      </c>
      <c r="BI804" s="196">
        <v>0</v>
      </c>
      <c r="BK804" s="246">
        <f t="shared" si="2074"/>
        <v>0</v>
      </c>
      <c r="BL804" s="246"/>
      <c r="BM804" s="246">
        <f t="shared" si="2075"/>
        <v>0</v>
      </c>
      <c r="BN804" s="196">
        <v>1</v>
      </c>
      <c r="BO804" s="196">
        <f t="shared" si="2125"/>
        <v>7380.1820814930561</v>
      </c>
      <c r="BP804" s="196">
        <f t="shared" si="2147"/>
        <v>7380.1820814930561</v>
      </c>
      <c r="BQ804" s="248">
        <f t="shared" si="2077"/>
        <v>6.9038166607559009E-4</v>
      </c>
      <c r="BR804" s="248"/>
      <c r="BS804" s="248"/>
      <c r="BT804" s="276">
        <v>0</v>
      </c>
      <c r="BU804" s="196">
        <f t="shared" si="2126"/>
        <v>0</v>
      </c>
      <c r="BV804" s="264">
        <f t="shared" si="2079"/>
        <v>0</v>
      </c>
      <c r="BW804" s="196">
        <f t="shared" si="2127"/>
        <v>0</v>
      </c>
      <c r="BX804" s="247">
        <f t="shared" si="2081"/>
        <v>0</v>
      </c>
      <c r="BY804" s="196">
        <f t="shared" si="2128"/>
        <v>0</v>
      </c>
      <c r="BZ804" s="620">
        <v>1</v>
      </c>
      <c r="CA804" s="196">
        <f t="shared" si="2129"/>
        <v>42103.56613736404</v>
      </c>
      <c r="CB804" s="196">
        <f t="shared" si="2130"/>
        <v>84207.132274728079</v>
      </c>
      <c r="CC804" s="196">
        <f t="shared" ref="CC804:CC861" si="2160">CA804+CB804</f>
        <v>126310.69841209211</v>
      </c>
      <c r="CD804" s="247">
        <f t="shared" si="2148"/>
        <v>5.3295743064180143E-4</v>
      </c>
      <c r="CE804" s="196">
        <f t="shared" si="2131"/>
        <v>12138.635475695861</v>
      </c>
      <c r="CF804" s="247">
        <f t="shared" si="2149"/>
        <v>5.2418403033733781E-4</v>
      </c>
      <c r="CG804" s="196">
        <f t="shared" si="2101"/>
        <v>20914.189715291941</v>
      </c>
      <c r="CH804" s="589">
        <f t="shared" si="1991"/>
        <v>5.3295743064180143E-4</v>
      </c>
      <c r="CI804" s="196">
        <f t="shared" si="2132"/>
        <v>37690.561659967592</v>
      </c>
      <c r="CJ804" s="248">
        <f t="shared" si="1992"/>
        <v>6.1963273801857242E-4</v>
      </c>
      <c r="CK804" s="196">
        <f t="shared" si="2133"/>
        <v>32432.687691406347</v>
      </c>
      <c r="CL804" s="589">
        <f t="shared" si="1993"/>
        <v>4.6622655668320916E-4</v>
      </c>
      <c r="CM804" s="196">
        <f t="shared" si="2134"/>
        <v>3141.924007272768</v>
      </c>
      <c r="CN804" s="589">
        <f t="shared" si="1994"/>
        <v>4.5278695631793847E-4</v>
      </c>
      <c r="CO804" s="196">
        <f t="shared" si="2135"/>
        <v>251.34596729464329</v>
      </c>
      <c r="CP804" s="589">
        <f t="shared" si="1995"/>
        <v>4.7399977991167318E-4</v>
      </c>
      <c r="CQ804" s="196">
        <f>'Detailed Budget'!$AC$12</f>
        <v>292876014141.44696</v>
      </c>
      <c r="CR804" s="269">
        <f t="shared" si="2040"/>
        <v>0</v>
      </c>
      <c r="CS804" s="269">
        <f>'Detailed Budget'!$AC$16</f>
        <v>10488008800.000002</v>
      </c>
      <c r="CT804" s="607">
        <f t="shared" si="2103"/>
        <v>0</v>
      </c>
      <c r="CU804" s="269">
        <f>'Detailed Budget'!$AC$24</f>
        <v>30624985696</v>
      </c>
      <c r="CV804" s="269">
        <f t="shared" si="2050"/>
        <v>0</v>
      </c>
      <c r="CW804" s="269"/>
      <c r="CX804" s="269">
        <f t="shared" ref="CX804:CX861" si="2161">CR804+CT804+CV804+CW804</f>
        <v>0</v>
      </c>
      <c r="CY804" s="196">
        <f>'Detailed Budget'!$AC$97</f>
        <v>74629165494.837845</v>
      </c>
      <c r="CZ804" s="269">
        <f t="shared" si="2104"/>
        <v>51522607.612157091</v>
      </c>
      <c r="DA804" s="269">
        <f>'Detailed Budget'!$AC$100</f>
        <v>14925833098.967569</v>
      </c>
      <c r="DB804" s="269">
        <f t="shared" si="2105"/>
        <v>10304521.522431418</v>
      </c>
      <c r="DC804" s="269">
        <f t="shared" si="2150"/>
        <v>61827129.13458851</v>
      </c>
      <c r="DD804" s="207">
        <v>0</v>
      </c>
      <c r="DE804" s="606">
        <v>0</v>
      </c>
      <c r="DF804" s="269">
        <f>'Detailed Budget'!$AC$147</f>
        <v>5913600671000</v>
      </c>
      <c r="DG804" s="269">
        <f t="shared" si="2042"/>
        <v>0</v>
      </c>
      <c r="DH804" s="269">
        <f>'Detailed Budget'!$AC$153</f>
        <v>226428026880.00003</v>
      </c>
      <c r="DI804" s="269"/>
      <c r="DJ804" s="269">
        <f>'Detailed Budget'!$AC$156</f>
        <v>27713070000</v>
      </c>
      <c r="DK804" s="269"/>
      <c r="DL804" s="269"/>
      <c r="DM804" s="196">
        <f>'Detailed Budget'!$AC$178</f>
        <v>5622683761.6229038</v>
      </c>
      <c r="DN804" s="269">
        <f t="shared" si="2136"/>
        <v>0</v>
      </c>
      <c r="DO804" s="196">
        <f>'Detailed Budget'!$AC$179</f>
        <v>26827890683.128094</v>
      </c>
      <c r="DP804" s="269">
        <f t="shared" si="2137"/>
        <v>0</v>
      </c>
      <c r="DQ804" s="269">
        <f t="shared" si="2041"/>
        <v>0</v>
      </c>
      <c r="DR804" s="269">
        <f>'Detailed Budget'!$AC$181</f>
        <v>50888946855.375237</v>
      </c>
      <c r="DS804" s="269">
        <f t="shared" si="2138"/>
        <v>0</v>
      </c>
      <c r="DT804" s="269">
        <f t="shared" si="2139"/>
        <v>0</v>
      </c>
      <c r="DU804" s="272">
        <f>'Detailed Budget'!$AC$192</f>
        <v>77498869683.252869</v>
      </c>
      <c r="DV804" s="269">
        <f t="shared" si="2106"/>
        <v>41303598.464030251</v>
      </c>
      <c r="DW804" s="140">
        <f>'Detailed Budget'!$AC$194</f>
        <v>2684962805.4134097</v>
      </c>
      <c r="DX804" s="269">
        <f t="shared" si="2107"/>
        <v>1430970.8781419338</v>
      </c>
      <c r="DY804" s="607">
        <f t="shared" si="2151"/>
        <v>42734569.342172183</v>
      </c>
      <c r="DZ804" s="196">
        <f>'Detailed Budget'!$AC$198</f>
        <v>18732540018.380611</v>
      </c>
      <c r="EA804" s="269">
        <f t="shared" si="2108"/>
        <v>9819298.3252902161</v>
      </c>
      <c r="EB804" s="196">
        <f>'Detailed Budget'!$AC$200</f>
        <v>4683135004.5951529</v>
      </c>
      <c r="EC804" s="269">
        <f t="shared" si="2109"/>
        <v>2454824.581322554</v>
      </c>
      <c r="ED804" s="269">
        <f t="shared" si="2152"/>
        <v>12274122.906612771</v>
      </c>
      <c r="EE804" s="196">
        <f>'Detailed Budget'!$AC$161</f>
        <v>251147290106.36197</v>
      </c>
      <c r="EF804" s="269">
        <f t="shared" si="2110"/>
        <v>133850814.4477378</v>
      </c>
      <c r="EG804" s="196">
        <f>'Detailed Budget'!$AC$163</f>
        <v>15696705631.647623</v>
      </c>
      <c r="EH804" s="269">
        <f t="shared" si="2111"/>
        <v>8365675.9029836124</v>
      </c>
      <c r="EI804" s="269">
        <f t="shared" si="2153"/>
        <v>142216490.35072142</v>
      </c>
      <c r="EJ804" s="196">
        <f>'Detailed Budget'!$AC$204</f>
        <v>45012172507.531975</v>
      </c>
      <c r="EK804" s="269">
        <f t="shared" si="2112"/>
        <v>27891015.695006348</v>
      </c>
      <c r="EL804" s="201">
        <f>'Detailed Budget'!$AC$206</f>
        <v>11253043126.882994</v>
      </c>
      <c r="EM804" s="269">
        <f t="shared" si="2113"/>
        <v>6972753.923751587</v>
      </c>
      <c r="EN804" s="269">
        <f t="shared" si="2154"/>
        <v>34863769.618757933</v>
      </c>
      <c r="EO804" s="140">
        <f>'Detailed Budget'!$AC$209</f>
        <v>135789361677.54817</v>
      </c>
      <c r="EP804" s="269">
        <f t="shared" si="2114"/>
        <v>63308606.529134206</v>
      </c>
      <c r="EQ804" s="196">
        <f>'Detailed Budget'!$AC$211</f>
        <v>33947340419.387043</v>
      </c>
      <c r="ER804" s="269">
        <f t="shared" si="2115"/>
        <v>15827151.632283552</v>
      </c>
      <c r="ES804" s="269">
        <f t="shared" si="2155"/>
        <v>79135758.161417753</v>
      </c>
      <c r="ET804" s="196">
        <f>'Detailed Budget'!$AC$214</f>
        <v>22239745544.201103</v>
      </c>
      <c r="EU804" s="269">
        <f t="shared" si="2116"/>
        <v>10069866.694244251</v>
      </c>
      <c r="EV804" s="140">
        <f>'Detailed Budget'!$AC$217</f>
        <v>5559936386.0502758</v>
      </c>
      <c r="EW804" s="269">
        <f t="shared" si="2117"/>
        <v>2517466.6735610627</v>
      </c>
      <c r="EX804" s="269">
        <f t="shared" si="2156"/>
        <v>12587333.367805313</v>
      </c>
      <c r="EY804" s="196">
        <f>'Detailed Budget'!$AC$219</f>
        <v>372777004.58170313</v>
      </c>
      <c r="EZ804" s="269">
        <f t="shared" si="2118"/>
        <v>176696.21812786008</v>
      </c>
      <c r="FA804" s="196">
        <f>'Detailed Budget'!$AC$222</f>
        <v>93194251.145425782</v>
      </c>
      <c r="FB804" s="269">
        <f t="shared" si="2119"/>
        <v>44174.054531965019</v>
      </c>
      <c r="FC804" s="269">
        <f t="shared" si="2157"/>
        <v>220870.2726598251</v>
      </c>
      <c r="FD804" s="269"/>
      <c r="FE804" s="269">
        <f t="shared" si="2158"/>
        <v>126807731.42064083</v>
      </c>
      <c r="FF804" s="140">
        <f>'Detailed Budget'!$AC$165</f>
        <v>14927760000</v>
      </c>
      <c r="FG804" s="1087">
        <f t="shared" si="2043"/>
        <v>172974139.55014125</v>
      </c>
      <c r="FH804" s="269">
        <f t="shared" si="2120"/>
        <v>16961436.200431772</v>
      </c>
      <c r="FJ804" s="140">
        <f>'Detailed Budget'!$AC$235</f>
        <v>3623696172</v>
      </c>
      <c r="FK804" s="269">
        <f t="shared" si="2121"/>
        <v>4681778</v>
      </c>
      <c r="FL804" s="269">
        <f t="shared" si="2044"/>
        <v>4681778</v>
      </c>
      <c r="FO804" s="607"/>
      <c r="FP804" s="607"/>
      <c r="FQ804" s="607"/>
      <c r="FR804" s="269">
        <f>'Detailed Budget'!$AC$257</f>
        <v>13636439388</v>
      </c>
      <c r="FS804" s="269">
        <f t="shared" si="2122"/>
        <v>10992696</v>
      </c>
      <c r="FT804" s="269">
        <f t="shared" si="2045"/>
        <v>10992696</v>
      </c>
      <c r="FU804" s="269"/>
      <c r="FV804" s="269"/>
      <c r="FW804" s="269"/>
      <c r="FX804" s="140">
        <f>'Detailed Budget'!$AC$278</f>
        <v>1114560000</v>
      </c>
      <c r="FY804" s="269">
        <f t="shared" si="2123"/>
        <v>1440000</v>
      </c>
      <c r="FZ804" s="269">
        <f t="shared" si="2071"/>
        <v>1440000</v>
      </c>
      <c r="GB804" s="269">
        <f t="shared" si="2094"/>
        <v>592910092.90530872</v>
      </c>
      <c r="GC804" s="887">
        <f t="shared" si="2159"/>
        <v>370568.80806581792</v>
      </c>
      <c r="GD804" s="1078">
        <f t="shared" si="2095"/>
        <v>3.3270052333612895E-4</v>
      </c>
    </row>
    <row r="805" spans="1:186" hidden="1" outlineLevel="1">
      <c r="A805" s="211" t="s">
        <v>1684</v>
      </c>
      <c r="B805" s="212" t="s">
        <v>1685</v>
      </c>
      <c r="C805" s="213" t="s">
        <v>215</v>
      </c>
      <c r="D805" s="214"/>
      <c r="E805" s="213"/>
      <c r="F805" s="213"/>
      <c r="G805" s="213" t="s">
        <v>215</v>
      </c>
      <c r="H805" s="213" t="s">
        <v>215</v>
      </c>
      <c r="I805" s="214" t="s">
        <v>215</v>
      </c>
      <c r="J805" s="214"/>
      <c r="K805" s="213"/>
      <c r="L805" s="213"/>
      <c r="M805" s="214"/>
      <c r="N805" s="213"/>
      <c r="O805" s="214" t="s">
        <v>215</v>
      </c>
      <c r="P805" s="213"/>
      <c r="Q805" s="214" t="s">
        <v>215</v>
      </c>
      <c r="R805" s="214"/>
      <c r="S805" s="214"/>
      <c r="T805" s="214"/>
      <c r="U805" s="215">
        <f t="shared" si="2099"/>
        <v>6</v>
      </c>
      <c r="V805" s="845" t="s">
        <v>1073</v>
      </c>
      <c r="W805" s="216">
        <v>73969</v>
      </c>
      <c r="X805" s="217">
        <v>3.21</v>
      </c>
      <c r="Y805" s="218">
        <f t="shared" si="1965"/>
        <v>1.0321</v>
      </c>
      <c r="Z805" s="196">
        <v>19</v>
      </c>
      <c r="AA805" s="218">
        <f t="shared" si="1966"/>
        <v>1.8226940798007465</v>
      </c>
      <c r="AB805" s="196">
        <f t="shared" si="2097"/>
        <v>134822.85838878143</v>
      </c>
      <c r="AC805">
        <v>11.9</v>
      </c>
      <c r="AD805" s="196">
        <f t="shared" si="2098"/>
        <v>16043.920148264991</v>
      </c>
      <c r="AE805" s="196">
        <f t="shared" si="1967"/>
        <v>15241.724140851742</v>
      </c>
      <c r="AF805" s="196">
        <f t="shared" si="2124"/>
        <v>0</v>
      </c>
      <c r="AG805" s="606">
        <f t="shared" ref="AG805:AG828" si="2162">AE805/21628351</f>
        <v>7.0471041185024889E-4</v>
      </c>
      <c r="AH805" s="196">
        <f t="shared" si="2140"/>
        <v>6741.1429194390721</v>
      </c>
      <c r="AI805" s="248">
        <f t="shared" si="2141"/>
        <v>5.2222612813977427E-4</v>
      </c>
      <c r="AJ805" s="196">
        <f t="shared" si="2142"/>
        <v>22785.063067704064</v>
      </c>
      <c r="AK805" s="196">
        <f t="shared" si="1998"/>
        <v>5392.914335551257</v>
      </c>
      <c r="AL805" s="196">
        <f t="shared" si="1999"/>
        <v>5392.914335551257</v>
      </c>
      <c r="AM805" s="196">
        <f t="shared" si="2143"/>
        <v>10785.828671102514</v>
      </c>
      <c r="AN805" s="627">
        <f t="shared" si="2144"/>
        <v>5.2222612813977417E-4</v>
      </c>
      <c r="AO805" s="196">
        <f t="shared" si="2145"/>
        <v>5123.2686187736945</v>
      </c>
      <c r="AP805" s="589">
        <f t="shared" ref="AP805:AP861" si="2163">AO805/9810441</f>
        <v>5.2222612813977417E-4</v>
      </c>
      <c r="AQ805" s="196"/>
      <c r="AR805" s="589"/>
      <c r="AS805">
        <v>1</v>
      </c>
      <c r="AT805" s="589">
        <f t="shared" ref="AT805:AT861" si="2164">AS805/774</f>
        <v>1.2919896640826874E-3</v>
      </c>
      <c r="AU805" s="196">
        <v>10</v>
      </c>
      <c r="AV805" s="245">
        <f t="shared" si="2146"/>
        <v>1.1362345188046814E-3</v>
      </c>
      <c r="AX805" s="245"/>
      <c r="AY805" s="245"/>
      <c r="AZ805" s="196">
        <v>27</v>
      </c>
      <c r="BA805" s="589">
        <f t="shared" si="2073"/>
        <v>9.8933714411344391E-4</v>
      </c>
      <c r="BI805" s="196">
        <v>0</v>
      </c>
      <c r="BK805" s="246">
        <f t="shared" si="2074"/>
        <v>0</v>
      </c>
      <c r="BL805" s="246"/>
      <c r="BM805" s="246">
        <f t="shared" si="2075"/>
        <v>0</v>
      </c>
      <c r="BN805" s="196">
        <v>1</v>
      </c>
      <c r="BO805" s="196">
        <f t="shared" si="2125"/>
        <v>7231.5792815636714</v>
      </c>
      <c r="BP805" s="196">
        <f t="shared" si="2147"/>
        <v>7231.5792815636714</v>
      </c>
      <c r="BQ805" s="248">
        <f t="shared" si="2077"/>
        <v>6.7648056614798627E-4</v>
      </c>
      <c r="BR805" s="248"/>
      <c r="BS805" s="248"/>
      <c r="BT805" s="276">
        <v>0</v>
      </c>
      <c r="BU805" s="196">
        <f t="shared" si="2126"/>
        <v>0</v>
      </c>
      <c r="BV805" s="264">
        <f t="shared" si="2079"/>
        <v>0</v>
      </c>
      <c r="BW805" s="196">
        <f t="shared" si="2127"/>
        <v>0</v>
      </c>
      <c r="BX805" s="247">
        <f t="shared" si="2081"/>
        <v>0</v>
      </c>
      <c r="BY805" s="196">
        <f t="shared" si="2128"/>
        <v>0</v>
      </c>
      <c r="BZ805" s="620">
        <v>1</v>
      </c>
      <c r="CA805" s="196">
        <f t="shared" si="2129"/>
        <v>41255.794666967115</v>
      </c>
      <c r="CB805" s="196">
        <f t="shared" si="2130"/>
        <v>82511.589333934229</v>
      </c>
      <c r="CC805" s="196">
        <f t="shared" si="2160"/>
        <v>123767.38400090134</v>
      </c>
      <c r="CD805" s="247">
        <f t="shared" si="2148"/>
        <v>5.2222612813977406E-4</v>
      </c>
      <c r="CE805" s="196">
        <f t="shared" si="2131"/>
        <v>11894.219389603086</v>
      </c>
      <c r="CF805" s="247">
        <f t="shared" si="2149"/>
        <v>5.1362938361910419E-4</v>
      </c>
      <c r="CG805" s="196">
        <f t="shared" si="2101"/>
        <v>20493.074475094778</v>
      </c>
      <c r="CH805" s="589">
        <f t="shared" ref="CH805:CH861" si="2165">CG805/39241764</f>
        <v>5.2222612813977417E-4</v>
      </c>
      <c r="CI805" s="196">
        <f t="shared" si="2132"/>
        <v>36931.647729154494</v>
      </c>
      <c r="CJ805" s="248">
        <f t="shared" ref="CJ805:CJ861" si="2166">CI805/60827260</f>
        <v>6.0715619492238344E-4</v>
      </c>
      <c r="CK805" s="196">
        <f t="shared" si="2133"/>
        <v>31779.64307178048</v>
      </c>
      <c r="CL805" s="589">
        <f t="shared" ref="CL805:CL861" si="2167">CK805/69564222</f>
        <v>4.5683890595053989E-4</v>
      </c>
      <c r="CM805" s="196">
        <f t="shared" si="2134"/>
        <v>3078.6601610030525</v>
      </c>
      <c r="CN805" s="589">
        <f t="shared" ref="CN805:CN861" si="2168">CM805/6939078</f>
        <v>4.4366991709893629E-4</v>
      </c>
      <c r="CO805" s="196">
        <f t="shared" si="2135"/>
        <v>246.28501973555714</v>
      </c>
      <c r="CP805" s="589">
        <f t="shared" ref="CP805:CP861" si="2169">CO805/530266</f>
        <v>4.644556123446669E-4</v>
      </c>
      <c r="CQ805" s="196">
        <f>'Detailed Budget'!$AC$12</f>
        <v>292876014141.44696</v>
      </c>
      <c r="CR805" s="269">
        <f t="shared" si="2040"/>
        <v>0</v>
      </c>
      <c r="CS805" s="269">
        <f>'Detailed Budget'!$AC$16</f>
        <v>10488008800.000002</v>
      </c>
      <c r="CT805" s="607">
        <f t="shared" si="2103"/>
        <v>0</v>
      </c>
      <c r="CU805" s="269">
        <f>'Detailed Budget'!$AC$24</f>
        <v>30624985696</v>
      </c>
      <c r="CV805" s="269">
        <f t="shared" si="2050"/>
        <v>0</v>
      </c>
      <c r="CW805" s="269"/>
      <c r="CX805" s="269">
        <f t="shared" si="2161"/>
        <v>0</v>
      </c>
      <c r="CY805" s="196">
        <f>'Detailed Budget'!$AC$97</f>
        <v>74629165494.837845</v>
      </c>
      <c r="CZ805" s="269">
        <f t="shared" si="2104"/>
        <v>50485180.125099666</v>
      </c>
      <c r="DA805" s="269">
        <f>'Detailed Budget'!$AC$100</f>
        <v>14925833098.967569</v>
      </c>
      <c r="DB805" s="269">
        <f t="shared" si="2105"/>
        <v>10097036.025019934</v>
      </c>
      <c r="DC805" s="269">
        <f t="shared" si="2150"/>
        <v>60582216.150119603</v>
      </c>
      <c r="DD805" s="207">
        <v>0</v>
      </c>
      <c r="DE805" s="606">
        <v>0</v>
      </c>
      <c r="DF805" s="269">
        <f>'Detailed Budget'!$AC$147</f>
        <v>5913600671000</v>
      </c>
      <c r="DG805" s="269">
        <f t="shared" si="2042"/>
        <v>0</v>
      </c>
      <c r="DH805" s="269">
        <f>'Detailed Budget'!$AC$153</f>
        <v>226428026880.00003</v>
      </c>
      <c r="DI805" s="269"/>
      <c r="DJ805" s="269">
        <f>'Detailed Budget'!$AC$156</f>
        <v>27713070000</v>
      </c>
      <c r="DK805" s="269"/>
      <c r="DL805" s="269"/>
      <c r="DM805" s="196">
        <f>'Detailed Budget'!$AC$178</f>
        <v>5622683761.6229038</v>
      </c>
      <c r="DN805" s="269">
        <f t="shared" si="2136"/>
        <v>0</v>
      </c>
      <c r="DO805" s="196">
        <f>'Detailed Budget'!$AC$179</f>
        <v>26827890683.128094</v>
      </c>
      <c r="DP805" s="269">
        <f t="shared" si="2137"/>
        <v>0</v>
      </c>
      <c r="DQ805" s="269">
        <f t="shared" si="2041"/>
        <v>0</v>
      </c>
      <c r="DR805" s="269">
        <f>'Detailed Budget'!$AC$181</f>
        <v>50888946855.375237</v>
      </c>
      <c r="DS805" s="269">
        <f t="shared" si="2138"/>
        <v>0</v>
      </c>
      <c r="DT805" s="269">
        <f t="shared" si="2139"/>
        <v>0</v>
      </c>
      <c r="DU805" s="272">
        <f>'Detailed Budget'!$AC$192</f>
        <v>77498869683.252869</v>
      </c>
      <c r="DV805" s="269">
        <f t="shared" si="2106"/>
        <v>40471934.649894066</v>
      </c>
      <c r="DW805" s="140">
        <f>'Detailed Budget'!$AC$194</f>
        <v>2684962805.4134097</v>
      </c>
      <c r="DX805" s="269">
        <f t="shared" si="2107"/>
        <v>1402157.7300703509</v>
      </c>
      <c r="DY805" s="607">
        <f t="shared" si="2151"/>
        <v>41874092.379964419</v>
      </c>
      <c r="DZ805" s="196">
        <f>'Detailed Budget'!$AC$198</f>
        <v>18732540018.380611</v>
      </c>
      <c r="EA805" s="269">
        <f t="shared" si="2108"/>
        <v>9621582.9832610358</v>
      </c>
      <c r="EB805" s="196">
        <f>'Detailed Budget'!$AC$200</f>
        <v>4683135004.5951529</v>
      </c>
      <c r="EC805" s="269">
        <f t="shared" si="2109"/>
        <v>2405395.7458152589</v>
      </c>
      <c r="ED805" s="269">
        <f t="shared" si="2152"/>
        <v>12026978.729076294</v>
      </c>
      <c r="EE805" s="196">
        <f>'Detailed Budget'!$AC$161</f>
        <v>251147290106.36197</v>
      </c>
      <c r="EF805" s="269">
        <f t="shared" si="2110"/>
        <v>131155676.90504202</v>
      </c>
      <c r="EG805" s="196">
        <f>'Detailed Budget'!$AC$163</f>
        <v>15696705631.647623</v>
      </c>
      <c r="EH805" s="269">
        <f t="shared" si="2111"/>
        <v>8197229.8065651264</v>
      </c>
      <c r="EI805" s="269">
        <f t="shared" si="2153"/>
        <v>139352906.71160716</v>
      </c>
      <c r="EJ805" s="196">
        <f>'Detailed Budget'!$AC$204</f>
        <v>45012172507.531975</v>
      </c>
      <c r="EK805" s="269">
        <f t="shared" si="2112"/>
        <v>27329419.384863034</v>
      </c>
      <c r="EL805" s="201">
        <f>'Detailed Budget'!$AC$206</f>
        <v>11253043126.882994</v>
      </c>
      <c r="EM805" s="269">
        <f t="shared" si="2113"/>
        <v>6832354.8462157585</v>
      </c>
      <c r="EN805" s="269">
        <f t="shared" si="2154"/>
        <v>34161774.231078789</v>
      </c>
      <c r="EO805" s="140">
        <f>'Detailed Budget'!$AC$209</f>
        <v>135789361677.54817</v>
      </c>
      <c r="EP805" s="269">
        <f t="shared" si="2114"/>
        <v>62033863.428493276</v>
      </c>
      <c r="EQ805" s="196">
        <f>'Detailed Budget'!$AC$211</f>
        <v>33947340419.387043</v>
      </c>
      <c r="ER805" s="269">
        <f t="shared" si="2115"/>
        <v>15508465.857123319</v>
      </c>
      <c r="ES805" s="269">
        <f t="shared" si="2155"/>
        <v>77542329.285616592</v>
      </c>
      <c r="ET805" s="196">
        <f>'Detailed Budget'!$AC$214</f>
        <v>22239745544.201103</v>
      </c>
      <c r="EU805" s="269">
        <f t="shared" si="2116"/>
        <v>9867106.0618971419</v>
      </c>
      <c r="EV805" s="140">
        <f>'Detailed Budget'!$AC$217</f>
        <v>5559936386.0502758</v>
      </c>
      <c r="EW805" s="269">
        <f t="shared" si="2117"/>
        <v>2466776.5154742855</v>
      </c>
      <c r="EX805" s="269">
        <f t="shared" si="2156"/>
        <v>12333882.577371428</v>
      </c>
      <c r="EY805" s="196">
        <f>'Detailed Budget'!$AC$219</f>
        <v>372777004.58170313</v>
      </c>
      <c r="EZ805" s="269">
        <f t="shared" si="2118"/>
        <v>173138.37193100562</v>
      </c>
      <c r="FA805" s="196">
        <f>'Detailed Budget'!$AC$222</f>
        <v>93194251.145425782</v>
      </c>
      <c r="FB805" s="269">
        <f t="shared" si="2119"/>
        <v>43284.592982751405</v>
      </c>
      <c r="FC805" s="269">
        <f t="shared" si="2157"/>
        <v>216422.96491375702</v>
      </c>
      <c r="FD805" s="269"/>
      <c r="FE805" s="269">
        <f t="shared" si="2158"/>
        <v>124254409.05898057</v>
      </c>
      <c r="FF805" s="140">
        <f>'Detailed Budget'!$AC$165</f>
        <v>14927760000</v>
      </c>
      <c r="FG805" s="1087">
        <f t="shared" si="2043"/>
        <v>169491238.83459049</v>
      </c>
      <c r="FH805" s="269">
        <f t="shared" si="2120"/>
        <v>16961436.200431772</v>
      </c>
      <c r="FJ805" s="140">
        <f>'Detailed Budget'!$AC$235</f>
        <v>3623696172</v>
      </c>
      <c r="FK805" s="269">
        <f t="shared" si="2121"/>
        <v>4681778</v>
      </c>
      <c r="FL805" s="269">
        <f t="shared" si="2044"/>
        <v>4681778</v>
      </c>
      <c r="FO805" s="607"/>
      <c r="FP805" s="607"/>
      <c r="FQ805" s="607"/>
      <c r="FR805" s="269">
        <f>'Detailed Budget'!$AC$257</f>
        <v>13636439388</v>
      </c>
      <c r="FS805" s="269">
        <f t="shared" si="2122"/>
        <v>13491035.999999998</v>
      </c>
      <c r="FT805" s="269">
        <f t="shared" si="2045"/>
        <v>13491035.999999998</v>
      </c>
      <c r="FU805" s="269"/>
      <c r="FV805" s="269"/>
      <c r="FW805" s="269"/>
      <c r="FX805" s="140">
        <f>'Detailed Budget'!$AC$278</f>
        <v>1114560000</v>
      </c>
      <c r="FY805" s="269">
        <f t="shared" si="2123"/>
        <v>1440000</v>
      </c>
      <c r="FZ805" s="269">
        <f t="shared" si="2071"/>
        <v>1440000</v>
      </c>
      <c r="GB805" s="269">
        <f t="shared" si="2094"/>
        <v>584156092.06477034</v>
      </c>
      <c r="GC805" s="887">
        <f t="shared" si="2159"/>
        <v>365097.55754048144</v>
      </c>
      <c r="GD805" s="1078">
        <f t="shared" si="2095"/>
        <v>3.2778837780886907E-4</v>
      </c>
    </row>
    <row r="806" spans="1:186" hidden="1" outlineLevel="1">
      <c r="A806" s="211" t="s">
        <v>1686</v>
      </c>
      <c r="B806" s="212" t="s">
        <v>1687</v>
      </c>
      <c r="C806" s="213" t="s">
        <v>215</v>
      </c>
      <c r="D806" s="214"/>
      <c r="E806" s="213"/>
      <c r="F806" s="213"/>
      <c r="G806" s="213" t="s">
        <v>215</v>
      </c>
      <c r="H806" s="213" t="s">
        <v>215</v>
      </c>
      <c r="I806" s="214" t="s">
        <v>215</v>
      </c>
      <c r="J806" s="214"/>
      <c r="K806" s="213"/>
      <c r="L806" s="213"/>
      <c r="M806" s="214"/>
      <c r="N806" s="213" t="s">
        <v>215</v>
      </c>
      <c r="O806" s="214"/>
      <c r="P806" s="213"/>
      <c r="Q806" s="214"/>
      <c r="R806" s="214" t="s">
        <v>215</v>
      </c>
      <c r="S806" s="214"/>
      <c r="T806" s="214"/>
      <c r="U806" s="215">
        <f t="shared" si="2099"/>
        <v>6</v>
      </c>
      <c r="V806" s="845" t="s">
        <v>216</v>
      </c>
      <c r="W806" s="216">
        <v>132515</v>
      </c>
      <c r="X806" s="217">
        <v>3.21</v>
      </c>
      <c r="Y806" s="218">
        <f t="shared" si="1965"/>
        <v>1.0321</v>
      </c>
      <c r="Z806" s="196">
        <v>19</v>
      </c>
      <c r="AA806" s="218">
        <f t="shared" si="1966"/>
        <v>1.8226940798007465</v>
      </c>
      <c r="AB806" s="196">
        <f t="shared" si="2097"/>
        <v>241534.30598479591</v>
      </c>
      <c r="AC806">
        <v>11.9</v>
      </c>
      <c r="AD806" s="196">
        <f t="shared" si="2098"/>
        <v>28742.582412190714</v>
      </c>
      <c r="AE806" s="196">
        <f t="shared" si="1967"/>
        <v>27305.453291581176</v>
      </c>
      <c r="AF806" s="196">
        <f t="shared" si="2124"/>
        <v>0</v>
      </c>
      <c r="AG806" s="606">
        <f t="shared" si="2162"/>
        <v>1.2624842870166651E-3</v>
      </c>
      <c r="AH806" s="196">
        <f t="shared" si="2140"/>
        <v>12076.715299239797</v>
      </c>
      <c r="AI806" s="248">
        <f t="shared" si="2141"/>
        <v>9.3556483622114902E-4</v>
      </c>
      <c r="AJ806" s="196">
        <f t="shared" si="2142"/>
        <v>40819.29771143051</v>
      </c>
      <c r="AK806" s="196">
        <f t="shared" si="1998"/>
        <v>9661.372239391836</v>
      </c>
      <c r="AL806" s="196">
        <f t="shared" si="1999"/>
        <v>9661.372239391836</v>
      </c>
      <c r="AM806" s="196">
        <f t="shared" si="2143"/>
        <v>19322.744478783672</v>
      </c>
      <c r="AN806" s="627">
        <f t="shared" si="2144"/>
        <v>9.3556483622114891E-4</v>
      </c>
      <c r="AO806" s="196">
        <f t="shared" si="2145"/>
        <v>9178.303627422245</v>
      </c>
      <c r="AP806" s="589">
        <f t="shared" si="2163"/>
        <v>9.3556483622114902E-4</v>
      </c>
      <c r="AQ806" s="196"/>
      <c r="AR806" s="589"/>
      <c r="AS806">
        <v>1</v>
      </c>
      <c r="AT806" s="589">
        <f t="shared" si="2164"/>
        <v>1.2919896640826874E-3</v>
      </c>
      <c r="AU806" s="196">
        <v>11</v>
      </c>
      <c r="AV806" s="245">
        <f t="shared" si="2146"/>
        <v>1.2498579706851495E-3</v>
      </c>
      <c r="AX806" s="245"/>
      <c r="AY806" s="245"/>
      <c r="AZ806" s="196">
        <v>41</v>
      </c>
      <c r="BA806" s="589">
        <f t="shared" si="2073"/>
        <v>1.5023267743944891E-3</v>
      </c>
      <c r="BI806" s="196">
        <v>0</v>
      </c>
      <c r="BK806" s="246">
        <f t="shared" si="2074"/>
        <v>0</v>
      </c>
      <c r="BL806" s="246"/>
      <c r="BM806" s="246">
        <f t="shared" si="2075"/>
        <v>0</v>
      </c>
      <c r="BN806" s="196">
        <v>1</v>
      </c>
      <c r="BO806" s="196">
        <f t="shared" si="2125"/>
        <v>12955.328968843834</v>
      </c>
      <c r="BP806" s="196">
        <f t="shared" si="2147"/>
        <v>12955.328968843834</v>
      </c>
      <c r="BQ806" s="248">
        <f t="shared" si="2077"/>
        <v>1.211910695333185E-3</v>
      </c>
      <c r="BR806" s="248"/>
      <c r="BS806" s="248"/>
      <c r="BT806" s="276">
        <v>0</v>
      </c>
      <c r="BU806" s="196">
        <f t="shared" si="2126"/>
        <v>0</v>
      </c>
      <c r="BV806" s="264">
        <f t="shared" si="2079"/>
        <v>0</v>
      </c>
      <c r="BW806" s="196">
        <f t="shared" si="2127"/>
        <v>0</v>
      </c>
      <c r="BX806" s="247">
        <f t="shared" si="2081"/>
        <v>0</v>
      </c>
      <c r="BY806" s="196">
        <f t="shared" si="2128"/>
        <v>0</v>
      </c>
      <c r="BZ806" s="620">
        <v>1</v>
      </c>
      <c r="CA806" s="196">
        <f t="shared" si="2129"/>
        <v>73909.497631347549</v>
      </c>
      <c r="CB806" s="196">
        <f t="shared" si="2130"/>
        <v>147818.9952626951</v>
      </c>
      <c r="CC806" s="196">
        <f t="shared" si="2160"/>
        <v>221728.49289404263</v>
      </c>
      <c r="CD806" s="247">
        <f t="shared" si="2148"/>
        <v>9.3556483622114891E-4</v>
      </c>
      <c r="CE806" s="196">
        <f t="shared" si="2131"/>
        <v>21308.419505647675</v>
      </c>
      <c r="CF806" s="247">
        <f t="shared" si="2149"/>
        <v>9.2016382228076062E-4</v>
      </c>
      <c r="CG806" s="196">
        <f t="shared" si="2101"/>
        <v>36713.21450968898</v>
      </c>
      <c r="CH806" s="589">
        <f t="shared" si="2165"/>
        <v>9.3556483622114902E-4</v>
      </c>
      <c r="CI806" s="196">
        <f t="shared" si="2132"/>
        <v>66162.815487959902</v>
      </c>
      <c r="CJ806" s="248">
        <f t="shared" si="2166"/>
        <v>1.0877165186786303E-3</v>
      </c>
      <c r="CK806" s="196">
        <f t="shared" si="2133"/>
        <v>56933.031427449183</v>
      </c>
      <c r="CL806" s="589">
        <f t="shared" si="2167"/>
        <v>8.1842403739452703E-4</v>
      </c>
      <c r="CM806" s="196">
        <f t="shared" si="2134"/>
        <v>5515.4003871259501</v>
      </c>
      <c r="CN806" s="589">
        <f t="shared" si="2168"/>
        <v>7.9483187638558755E-4</v>
      </c>
      <c r="CO806" s="196">
        <f t="shared" si="2135"/>
        <v>441.218069600202</v>
      </c>
      <c r="CP806" s="589">
        <f t="shared" si="2169"/>
        <v>8.3206931917226821E-4</v>
      </c>
      <c r="CQ806" s="196">
        <f>'Detailed Budget'!$AC$12</f>
        <v>292876014141.44696</v>
      </c>
      <c r="CR806" s="269">
        <f t="shared" si="2040"/>
        <v>0</v>
      </c>
      <c r="CS806" s="269">
        <f>'Detailed Budget'!$AC$16</f>
        <v>10488008800.000002</v>
      </c>
      <c r="CT806" s="607">
        <f t="shared" si="2103"/>
        <v>0</v>
      </c>
      <c r="CU806" s="269">
        <f>'Detailed Budget'!$AC$24</f>
        <v>30624985696</v>
      </c>
      <c r="CV806" s="269">
        <f t="shared" si="2050"/>
        <v>0</v>
      </c>
      <c r="CW806" s="269"/>
      <c r="CX806" s="269">
        <f t="shared" si="2161"/>
        <v>0</v>
      </c>
      <c r="CY806" s="196">
        <f>'Detailed Budget'!$AC$97</f>
        <v>74629165494.837845</v>
      </c>
      <c r="CZ806" s="269">
        <f t="shared" si="2104"/>
        <v>90443883.846984267</v>
      </c>
      <c r="DA806" s="269">
        <f>'Detailed Budget'!$AC$100</f>
        <v>14925833098.967569</v>
      </c>
      <c r="DB806" s="269">
        <f t="shared" si="2105"/>
        <v>18088776.769396853</v>
      </c>
      <c r="DC806" s="269">
        <f t="shared" si="2150"/>
        <v>108532660.61638112</v>
      </c>
      <c r="DD806" s="207">
        <v>0</v>
      </c>
      <c r="DE806" s="606">
        <v>0</v>
      </c>
      <c r="DF806" s="269">
        <f>'Detailed Budget'!$AC$147</f>
        <v>5913600671000</v>
      </c>
      <c r="DG806" s="269">
        <f t="shared" si="2042"/>
        <v>0</v>
      </c>
      <c r="DH806" s="269">
        <f>'Detailed Budget'!$AC$153</f>
        <v>226428026880.00003</v>
      </c>
      <c r="DI806" s="269"/>
      <c r="DJ806" s="269">
        <f>'Detailed Budget'!$AC$156</f>
        <v>27713070000</v>
      </c>
      <c r="DK806" s="269"/>
      <c r="DL806" s="269"/>
      <c r="DM806" s="196">
        <f>'Detailed Budget'!$AC$178</f>
        <v>5622683761.6229038</v>
      </c>
      <c r="DN806" s="269">
        <f t="shared" si="2136"/>
        <v>0</v>
      </c>
      <c r="DO806" s="196">
        <f>'Detailed Budget'!$AC$179</f>
        <v>26827890683.128094</v>
      </c>
      <c r="DP806" s="269">
        <f t="shared" si="2137"/>
        <v>0</v>
      </c>
      <c r="DQ806" s="269">
        <f t="shared" si="2041"/>
        <v>0</v>
      </c>
      <c r="DR806" s="269">
        <f>'Detailed Budget'!$AC$181</f>
        <v>50888946855.375237</v>
      </c>
      <c r="DS806" s="269">
        <f t="shared" si="2138"/>
        <v>0</v>
      </c>
      <c r="DT806" s="269">
        <f t="shared" si="2139"/>
        <v>0</v>
      </c>
      <c r="DU806" s="272">
        <f>'Detailed Budget'!$AC$192</f>
        <v>77498869683.252869</v>
      </c>
      <c r="DV806" s="269">
        <f t="shared" si="2106"/>
        <v>72505217.322536632</v>
      </c>
      <c r="DW806" s="140">
        <f>'Detailed Budget'!$AC$194</f>
        <v>2684962805.4134097</v>
      </c>
      <c r="DX806" s="269">
        <f t="shared" si="2107"/>
        <v>2511956.7873064731</v>
      </c>
      <c r="DY806" s="607">
        <f t="shared" si="2151"/>
        <v>75017174.109843105</v>
      </c>
      <c r="DZ806" s="196">
        <f>'Detailed Budget'!$AC$198</f>
        <v>18732540018.380611</v>
      </c>
      <c r="EA806" s="269">
        <f t="shared" si="2108"/>
        <v>17237005.624340415</v>
      </c>
      <c r="EB806" s="196">
        <f>'Detailed Budget'!$AC$200</f>
        <v>4683135004.5951529</v>
      </c>
      <c r="EC806" s="269">
        <f t="shared" si="2109"/>
        <v>4309251.4060851038</v>
      </c>
      <c r="ED806" s="269">
        <f t="shared" si="2152"/>
        <v>21546257.030425519</v>
      </c>
      <c r="EE806" s="196">
        <f>'Detailed Budget'!$AC$161</f>
        <v>251147290106.36197</v>
      </c>
      <c r="EF806" s="269">
        <f t="shared" si="2110"/>
        <v>234964573.33574393</v>
      </c>
      <c r="EG806" s="196">
        <f>'Detailed Budget'!$AC$163</f>
        <v>15696705631.647623</v>
      </c>
      <c r="EH806" s="269">
        <f t="shared" si="2111"/>
        <v>14685285.833483996</v>
      </c>
      <c r="EI806" s="269">
        <f t="shared" si="2153"/>
        <v>249649859.16922793</v>
      </c>
      <c r="EJ806" s="196">
        <f>'Detailed Budget'!$AC$204</f>
        <v>45012172507.531975</v>
      </c>
      <c r="EK806" s="269">
        <f t="shared" si="2112"/>
        <v>48960483.578054629</v>
      </c>
      <c r="EL806" s="201">
        <f>'Detailed Budget'!$AC$206</f>
        <v>11253043126.882994</v>
      </c>
      <c r="EM806" s="269">
        <f t="shared" si="2113"/>
        <v>12240120.894513657</v>
      </c>
      <c r="EN806" s="269">
        <f t="shared" si="2154"/>
        <v>61200604.472568288</v>
      </c>
      <c r="EO806" s="140">
        <f>'Detailed Budget'!$AC$209</f>
        <v>135789361677.54817</v>
      </c>
      <c r="EP806" s="269">
        <f t="shared" si="2114"/>
        <v>111133277.61936463</v>
      </c>
      <c r="EQ806" s="196">
        <f>'Detailed Budget'!$AC$211</f>
        <v>33947340419.387043</v>
      </c>
      <c r="ER806" s="269">
        <f t="shared" si="2115"/>
        <v>27783319.404841159</v>
      </c>
      <c r="ES806" s="269">
        <f t="shared" si="2155"/>
        <v>138916597.0242058</v>
      </c>
      <c r="ET806" s="196">
        <f>'Detailed Budget'!$AC$214</f>
        <v>22239745544.201103</v>
      </c>
      <c r="EU806" s="269">
        <f t="shared" si="2116"/>
        <v>17676858.681235373</v>
      </c>
      <c r="EV806" s="140">
        <f>'Detailed Budget'!$AC$217</f>
        <v>5559936386.0502758</v>
      </c>
      <c r="EW806" s="269">
        <f t="shared" si="2117"/>
        <v>4419214.6703088433</v>
      </c>
      <c r="EX806" s="269">
        <f t="shared" si="2156"/>
        <v>22096073.351544216</v>
      </c>
      <c r="EY806" s="196">
        <f>'Detailed Budget'!$AC$219</f>
        <v>372777004.58170313</v>
      </c>
      <c r="EZ806" s="269">
        <f t="shared" si="2118"/>
        <v>310176.30840537522</v>
      </c>
      <c r="FA806" s="196">
        <f>'Detailed Budget'!$AC$222</f>
        <v>93194251.145425782</v>
      </c>
      <c r="FB806" s="269">
        <f t="shared" si="2119"/>
        <v>77544.077101343806</v>
      </c>
      <c r="FC806" s="269">
        <f t="shared" si="2157"/>
        <v>387720.385506719</v>
      </c>
      <c r="FD806" s="269"/>
      <c r="FE806" s="269">
        <f t="shared" si="2158"/>
        <v>222600995.233825</v>
      </c>
      <c r="FF806" s="140">
        <f>'Detailed Budget'!$AC$165</f>
        <v>14927760000</v>
      </c>
      <c r="FG806" s="1087">
        <f t="shared" si="2043"/>
        <v>303642492.3165887</v>
      </c>
      <c r="FH806" s="269">
        <f t="shared" si="2120"/>
        <v>18657579.820474949</v>
      </c>
      <c r="FJ806" s="140">
        <f>'Detailed Budget'!$AC$235</f>
        <v>3623696172</v>
      </c>
      <c r="FK806" s="269">
        <f t="shared" si="2121"/>
        <v>4681778</v>
      </c>
      <c r="FL806" s="269">
        <f t="shared" si="2044"/>
        <v>4681778</v>
      </c>
      <c r="FO806" s="607"/>
      <c r="FP806" s="607"/>
      <c r="FQ806" s="607"/>
      <c r="FR806" s="269">
        <f>'Detailed Budget'!$AC$257</f>
        <v>13636439388</v>
      </c>
      <c r="FS806" s="269">
        <f t="shared" si="2122"/>
        <v>20486388</v>
      </c>
      <c r="FT806" s="269">
        <f t="shared" si="2045"/>
        <v>20486388</v>
      </c>
      <c r="FU806" s="269"/>
      <c r="FV806" s="269"/>
      <c r="FW806" s="269"/>
      <c r="FX806" s="140">
        <f>'Detailed Budget'!$AC$278</f>
        <v>1114560000</v>
      </c>
      <c r="FY806" s="269">
        <f t="shared" si="2123"/>
        <v>1440000</v>
      </c>
      <c r="FZ806" s="269">
        <f t="shared" si="2071"/>
        <v>1440000</v>
      </c>
      <c r="GB806" s="269">
        <f t="shared" si="2094"/>
        <v>1026255184.2967664</v>
      </c>
      <c r="GC806" s="887">
        <f t="shared" si="2159"/>
        <v>641409.49018547905</v>
      </c>
      <c r="GD806" s="1078">
        <f t="shared" si="2095"/>
        <v>5.7586409976407486E-4</v>
      </c>
    </row>
    <row r="807" spans="1:186" hidden="1" outlineLevel="1">
      <c r="A807" s="211" t="s">
        <v>1688</v>
      </c>
      <c r="B807" s="212" t="s">
        <v>1689</v>
      </c>
      <c r="C807" s="213" t="s">
        <v>215</v>
      </c>
      <c r="D807" s="214"/>
      <c r="E807" s="213"/>
      <c r="F807" s="213"/>
      <c r="G807" s="213" t="s">
        <v>215</v>
      </c>
      <c r="H807" s="213" t="s">
        <v>215</v>
      </c>
      <c r="I807" s="214" t="s">
        <v>215</v>
      </c>
      <c r="J807" s="214"/>
      <c r="K807" s="213"/>
      <c r="L807" s="213"/>
      <c r="M807" s="214"/>
      <c r="N807" s="213"/>
      <c r="O807" s="214"/>
      <c r="P807" s="213" t="s">
        <v>215</v>
      </c>
      <c r="Q807" s="214"/>
      <c r="R807" s="214" t="s">
        <v>215</v>
      </c>
      <c r="S807" s="214"/>
      <c r="T807" s="214"/>
      <c r="U807" s="215">
        <f t="shared" si="2099"/>
        <v>6</v>
      </c>
      <c r="V807" s="845" t="s">
        <v>216</v>
      </c>
      <c r="W807" s="216">
        <v>167204</v>
      </c>
      <c r="X807" s="217">
        <v>3.21</v>
      </c>
      <c r="Y807" s="218">
        <f t="shared" si="1965"/>
        <v>1.0321</v>
      </c>
      <c r="Z807" s="196">
        <v>19</v>
      </c>
      <c r="AA807" s="218">
        <f t="shared" si="1966"/>
        <v>1.8226940798007465</v>
      </c>
      <c r="AB807" s="196">
        <f t="shared" si="2097"/>
        <v>304761.74091900402</v>
      </c>
      <c r="AC807">
        <v>11.9</v>
      </c>
      <c r="AD807" s="196">
        <f t="shared" si="2098"/>
        <v>36266.64716936148</v>
      </c>
      <c r="AE807" s="196">
        <f t="shared" si="1967"/>
        <v>34453.314810893404</v>
      </c>
      <c r="AF807" s="196">
        <f t="shared" si="2124"/>
        <v>0</v>
      </c>
      <c r="AG807" s="606">
        <f t="shared" si="2162"/>
        <v>1.5929700239696223E-3</v>
      </c>
      <c r="AH807" s="196">
        <f t="shared" si="2140"/>
        <v>15238.087045950202</v>
      </c>
      <c r="AI807" s="248">
        <f t="shared" si="2141"/>
        <v>1.1804715154927442E-3</v>
      </c>
      <c r="AJ807" s="196">
        <f t="shared" si="2142"/>
        <v>51504.734215311684</v>
      </c>
      <c r="AK807" s="196">
        <f t="shared" si="1998"/>
        <v>12190.469636760161</v>
      </c>
      <c r="AL807" s="196">
        <f t="shared" si="1999"/>
        <v>12190.469636760161</v>
      </c>
      <c r="AM807" s="196">
        <f t="shared" si="2143"/>
        <v>24380.939273520322</v>
      </c>
      <c r="AN807" s="627">
        <f t="shared" si="2144"/>
        <v>1.1804715154927442E-3</v>
      </c>
      <c r="AO807" s="196">
        <f t="shared" si="2145"/>
        <v>11580.946154922152</v>
      </c>
      <c r="AP807" s="589">
        <f t="shared" si="2163"/>
        <v>1.1804715154927442E-3</v>
      </c>
      <c r="AQ807" s="196"/>
      <c r="AR807" s="589"/>
      <c r="AS807">
        <v>1</v>
      </c>
      <c r="AT807" s="589">
        <f t="shared" si="2164"/>
        <v>1.2919896640826874E-3</v>
      </c>
      <c r="AU807" s="196">
        <v>11</v>
      </c>
      <c r="AV807" s="245">
        <f t="shared" si="2146"/>
        <v>1.2498579706851495E-3</v>
      </c>
      <c r="AX807" s="245"/>
      <c r="AY807" s="245"/>
      <c r="AZ807" s="196">
        <v>20</v>
      </c>
      <c r="BA807" s="589">
        <f t="shared" si="2073"/>
        <v>7.3284232897292143E-4</v>
      </c>
      <c r="BI807" s="196">
        <v>0</v>
      </c>
      <c r="BK807" s="246">
        <f t="shared" si="2074"/>
        <v>0</v>
      </c>
      <c r="BL807" s="246"/>
      <c r="BM807" s="246">
        <f t="shared" si="2075"/>
        <v>0</v>
      </c>
      <c r="BN807" s="196">
        <v>1</v>
      </c>
      <c r="BO807" s="196">
        <f t="shared" si="2125"/>
        <v>16346.69905223231</v>
      </c>
      <c r="BP807" s="196">
        <f t="shared" si="2147"/>
        <v>16346.69905223231</v>
      </c>
      <c r="BQ807" s="248">
        <f t="shared" si="2077"/>
        <v>1.5291575738783526E-3</v>
      </c>
      <c r="BR807" s="248"/>
      <c r="BS807" s="248"/>
      <c r="BT807" s="276">
        <v>0</v>
      </c>
      <c r="BU807" s="196">
        <f t="shared" si="2126"/>
        <v>0</v>
      </c>
      <c r="BV807" s="264">
        <f t="shared" si="2079"/>
        <v>0</v>
      </c>
      <c r="BW807" s="196">
        <f t="shared" si="2127"/>
        <v>0</v>
      </c>
      <c r="BX807" s="247">
        <f t="shared" si="2081"/>
        <v>0</v>
      </c>
      <c r="BY807" s="196">
        <f t="shared" si="2128"/>
        <v>0</v>
      </c>
      <c r="BZ807" s="620">
        <v>1</v>
      </c>
      <c r="CA807" s="196">
        <f t="shared" si="2129"/>
        <v>93257.092721215246</v>
      </c>
      <c r="CB807" s="196">
        <f t="shared" si="2130"/>
        <v>186514.18544243049</v>
      </c>
      <c r="CC807" s="196">
        <f t="shared" si="2160"/>
        <v>279771.27816364577</v>
      </c>
      <c r="CD807" s="247">
        <f t="shared" si="2148"/>
        <v>1.1804715154927444E-3</v>
      </c>
      <c r="CE807" s="196">
        <f t="shared" si="2131"/>
        <v>26886.412670432128</v>
      </c>
      <c r="CF807" s="247">
        <f t="shared" si="2149"/>
        <v>1.1610389143918219E-3</v>
      </c>
      <c r="CG807" s="196">
        <f t="shared" si="2101"/>
        <v>46323.784619688609</v>
      </c>
      <c r="CH807" s="589">
        <f t="shared" si="2165"/>
        <v>1.1804715154927442E-3</v>
      </c>
      <c r="CI807" s="196">
        <f t="shared" si="2132"/>
        <v>83482.52953136513</v>
      </c>
      <c r="CJ807" s="248">
        <f t="shared" si="2166"/>
        <v>1.3724525735889653E-3</v>
      </c>
      <c r="CK807" s="196">
        <f t="shared" si="2133"/>
        <v>71836.626697318905</v>
      </c>
      <c r="CL807" s="589">
        <f t="shared" si="2167"/>
        <v>1.032666284937664E-3</v>
      </c>
      <c r="CM807" s="196">
        <f t="shared" si="2134"/>
        <v>6959.1895734747568</v>
      </c>
      <c r="CN807" s="589">
        <f t="shared" si="2168"/>
        <v>1.0028983062987267E-3</v>
      </c>
      <c r="CO807" s="196">
        <f t="shared" si="2135"/>
        <v>556.71754978253171</v>
      </c>
      <c r="CP807" s="589">
        <f t="shared" si="2169"/>
        <v>1.0498835486011393E-3</v>
      </c>
      <c r="CQ807" s="196">
        <f>'Detailed Budget'!$AC$12</f>
        <v>292876014141.44696</v>
      </c>
      <c r="CR807" s="269">
        <f t="shared" si="2040"/>
        <v>0</v>
      </c>
      <c r="CS807" s="269">
        <f>'Detailed Budget'!$AC$16</f>
        <v>10488008800.000002</v>
      </c>
      <c r="CT807" s="607">
        <f t="shared" si="2103"/>
        <v>0</v>
      </c>
      <c r="CU807" s="269">
        <f>'Detailed Budget'!$AC$24</f>
        <v>30624985696</v>
      </c>
      <c r="CV807" s="269">
        <f t="shared" si="2050"/>
        <v>0</v>
      </c>
      <c r="CW807" s="269"/>
      <c r="CX807" s="269">
        <f t="shared" si="2161"/>
        <v>0</v>
      </c>
      <c r="CY807" s="196">
        <f>'Detailed Budget'!$AC$97</f>
        <v>74629165494.837845</v>
      </c>
      <c r="CZ807" s="269">
        <f t="shared" si="2104"/>
        <v>114119753.6486523</v>
      </c>
      <c r="DA807" s="269">
        <f>'Detailed Budget'!$AC$100</f>
        <v>14925833098.967569</v>
      </c>
      <c r="DB807" s="269">
        <f t="shared" si="2105"/>
        <v>22823950.729730461</v>
      </c>
      <c r="DC807" s="269">
        <f t="shared" si="2150"/>
        <v>136943704.37838277</v>
      </c>
      <c r="DD807" s="207">
        <v>0</v>
      </c>
      <c r="DE807" s="606">
        <v>0</v>
      </c>
      <c r="DF807" s="269">
        <f>'Detailed Budget'!$AC$147</f>
        <v>5913600671000</v>
      </c>
      <c r="DG807" s="269">
        <f t="shared" si="2042"/>
        <v>0</v>
      </c>
      <c r="DH807" s="269">
        <f>'Detailed Budget'!$AC$153</f>
        <v>226428026880.00003</v>
      </c>
      <c r="DI807" s="269"/>
      <c r="DJ807" s="269">
        <f>'Detailed Budget'!$AC$156</f>
        <v>27713070000</v>
      </c>
      <c r="DK807" s="269"/>
      <c r="DL807" s="269"/>
      <c r="DM807" s="196">
        <f>'Detailed Budget'!$AC$178</f>
        <v>5622683761.6229038</v>
      </c>
      <c r="DN807" s="269">
        <f t="shared" si="2136"/>
        <v>0</v>
      </c>
      <c r="DO807" s="196">
        <f>'Detailed Budget'!$AC$179</f>
        <v>26827890683.128094</v>
      </c>
      <c r="DP807" s="269">
        <f t="shared" si="2137"/>
        <v>0</v>
      </c>
      <c r="DQ807" s="269">
        <f t="shared" si="2041"/>
        <v>0</v>
      </c>
      <c r="DR807" s="269">
        <f>'Detailed Budget'!$AC$181</f>
        <v>50888946855.375237</v>
      </c>
      <c r="DS807" s="269">
        <f t="shared" si="2138"/>
        <v>0</v>
      </c>
      <c r="DT807" s="269">
        <f t="shared" si="2139"/>
        <v>0</v>
      </c>
      <c r="DU807" s="272">
        <f>'Detailed Budget'!$AC$192</f>
        <v>77498869683.252869</v>
      </c>
      <c r="DV807" s="269">
        <f t="shared" si="2106"/>
        <v>91485208.143964216</v>
      </c>
      <c r="DW807" s="140">
        <f>'Detailed Budget'!$AC$194</f>
        <v>2684962805.4134097</v>
      </c>
      <c r="DX807" s="269">
        <f t="shared" si="2107"/>
        <v>3169522.111948018</v>
      </c>
      <c r="DY807" s="607">
        <f t="shared" si="2151"/>
        <v>94654730.255912229</v>
      </c>
      <c r="DZ807" s="196">
        <f>'Detailed Budget'!$AC$198</f>
        <v>18732540018.380611</v>
      </c>
      <c r="EA807" s="269">
        <f t="shared" si="2108"/>
        <v>21749207.926741984</v>
      </c>
      <c r="EB807" s="196">
        <f>'Detailed Budget'!$AC$200</f>
        <v>4683135004.5951529</v>
      </c>
      <c r="EC807" s="269">
        <f t="shared" si="2109"/>
        <v>5437301.9816854959</v>
      </c>
      <c r="ED807" s="269">
        <f t="shared" si="2152"/>
        <v>27186509.908427481</v>
      </c>
      <c r="EE807" s="196">
        <f>'Detailed Budget'!$AC$161</f>
        <v>251147290106.36197</v>
      </c>
      <c r="EF807" s="269">
        <f t="shared" si="2110"/>
        <v>296472222.16375297</v>
      </c>
      <c r="EG807" s="196">
        <f>'Detailed Budget'!$AC$163</f>
        <v>15696705631.647623</v>
      </c>
      <c r="EH807" s="269">
        <f t="shared" si="2111"/>
        <v>18529513.885234561</v>
      </c>
      <c r="EI807" s="269">
        <f t="shared" si="2153"/>
        <v>315001736.04898751</v>
      </c>
      <c r="EJ807" s="196">
        <f>'Detailed Budget'!$AC$204</f>
        <v>45012172507.531975</v>
      </c>
      <c r="EK807" s="269">
        <f t="shared" si="2112"/>
        <v>61777072.000792727</v>
      </c>
      <c r="EL807" s="201">
        <f>'Detailed Budget'!$AC$206</f>
        <v>11253043126.882994</v>
      </c>
      <c r="EM807" s="269">
        <f t="shared" si="2113"/>
        <v>15444268.000198182</v>
      </c>
      <c r="EN807" s="269">
        <f t="shared" si="2154"/>
        <v>77221340.000990912</v>
      </c>
      <c r="EO807" s="140">
        <f>'Detailed Budget'!$AC$209</f>
        <v>135789361677.54817</v>
      </c>
      <c r="EP807" s="269">
        <f t="shared" si="2114"/>
        <v>140225095.65761048</v>
      </c>
      <c r="EQ807" s="196">
        <f>'Detailed Budget'!$AC$211</f>
        <v>33947340419.387043</v>
      </c>
      <c r="ER807" s="269">
        <f t="shared" si="2115"/>
        <v>35056273.914402619</v>
      </c>
      <c r="ES807" s="269">
        <f t="shared" si="2155"/>
        <v>175281369.57201308</v>
      </c>
      <c r="ET807" s="196">
        <f>'Detailed Budget'!$AC$214</f>
        <v>22239745544.201103</v>
      </c>
      <c r="EU807" s="269">
        <f t="shared" si="2116"/>
        <v>22304203.138793942</v>
      </c>
      <c r="EV807" s="140">
        <f>'Detailed Budget'!$AC$217</f>
        <v>5559936386.0502758</v>
      </c>
      <c r="EW807" s="269">
        <f t="shared" si="2117"/>
        <v>5576050.7846984854</v>
      </c>
      <c r="EX807" s="269">
        <f t="shared" si="2156"/>
        <v>27880253.923492428</v>
      </c>
      <c r="EY807" s="196">
        <f>'Detailed Budget'!$AC$219</f>
        <v>372777004.58170313</v>
      </c>
      <c r="EZ807" s="269">
        <f t="shared" si="2118"/>
        <v>391372.44440714165</v>
      </c>
      <c r="FA807" s="196">
        <f>'Detailed Budget'!$AC$222</f>
        <v>93194251.145425782</v>
      </c>
      <c r="FB807" s="269">
        <f t="shared" si="2119"/>
        <v>97843.111101785413</v>
      </c>
      <c r="FC807" s="269">
        <f t="shared" si="2157"/>
        <v>489215.55550892709</v>
      </c>
      <c r="FD807" s="269"/>
      <c r="FE807" s="269">
        <f t="shared" si="2158"/>
        <v>280872179.05200535</v>
      </c>
      <c r="FF807" s="140">
        <f>'Detailed Budget'!$AC$165</f>
        <v>14927760000</v>
      </c>
      <c r="FG807" s="1087">
        <f t="shared" si="2043"/>
        <v>383128244.23878741</v>
      </c>
      <c r="FH807" s="269">
        <f t="shared" si="2120"/>
        <v>18657579.820474949</v>
      </c>
      <c r="FJ807" s="140">
        <f>'Detailed Budget'!$AC$235</f>
        <v>3623696172</v>
      </c>
      <c r="FK807" s="269">
        <f t="shared" si="2121"/>
        <v>4681778</v>
      </c>
      <c r="FL807" s="269">
        <f t="shared" si="2044"/>
        <v>4681778</v>
      </c>
      <c r="FO807" s="607"/>
      <c r="FP807" s="607"/>
      <c r="FQ807" s="607"/>
      <c r="FR807" s="269">
        <f>'Detailed Budget'!$AC$257</f>
        <v>13636439388</v>
      </c>
      <c r="FS807" s="269">
        <f t="shared" si="2122"/>
        <v>9993360</v>
      </c>
      <c r="FT807" s="269">
        <f t="shared" si="2045"/>
        <v>9993360</v>
      </c>
      <c r="FU807" s="269"/>
      <c r="FV807" s="269"/>
      <c r="FW807" s="269"/>
      <c r="FX807" s="140">
        <f>'Detailed Budget'!$AC$278</f>
        <v>1114560000</v>
      </c>
      <c r="FY807" s="269">
        <f t="shared" si="2123"/>
        <v>1440000</v>
      </c>
      <c r="FZ807" s="269">
        <f t="shared" si="2071"/>
        <v>1440000</v>
      </c>
      <c r="GB807" s="269">
        <f t="shared" si="2094"/>
        <v>1272559821.7029777</v>
      </c>
      <c r="GC807" s="887">
        <f t="shared" si="2159"/>
        <v>795349.88856436103</v>
      </c>
      <c r="GD807" s="1078">
        <f t="shared" si="2095"/>
        <v>7.1407338772478627E-4</v>
      </c>
    </row>
    <row r="808" spans="1:186" hidden="1" outlineLevel="1">
      <c r="A808" s="211" t="s">
        <v>1690</v>
      </c>
      <c r="B808" s="212" t="s">
        <v>1691</v>
      </c>
      <c r="C808" s="213" t="s">
        <v>215</v>
      </c>
      <c r="D808" s="214"/>
      <c r="E808" s="213"/>
      <c r="F808" s="213"/>
      <c r="G808" s="213" t="s">
        <v>215</v>
      </c>
      <c r="H808" s="213" t="s">
        <v>215</v>
      </c>
      <c r="I808" s="214" t="s">
        <v>215</v>
      </c>
      <c r="J808" s="214"/>
      <c r="K808" s="213"/>
      <c r="L808" s="213"/>
      <c r="M808" s="214"/>
      <c r="N808" s="213"/>
      <c r="O808" s="214" t="s">
        <v>215</v>
      </c>
      <c r="P808" s="213"/>
      <c r="Q808" s="214"/>
      <c r="R808" s="214" t="s">
        <v>215</v>
      </c>
      <c r="S808" s="214"/>
      <c r="T808" s="214"/>
      <c r="U808" s="215">
        <f t="shared" si="2099"/>
        <v>6</v>
      </c>
      <c r="V808" s="845" t="s">
        <v>216</v>
      </c>
      <c r="W808" s="216">
        <v>188614</v>
      </c>
      <c r="X808" s="217">
        <v>3.21</v>
      </c>
      <c r="Y808" s="218">
        <f t="shared" si="1965"/>
        <v>1.0321</v>
      </c>
      <c r="Z808" s="196">
        <v>19</v>
      </c>
      <c r="AA808" s="218">
        <f t="shared" si="1966"/>
        <v>1.8226940798007465</v>
      </c>
      <c r="AB808" s="196">
        <f t="shared" si="2097"/>
        <v>343785.62116753799</v>
      </c>
      <c r="AC808">
        <v>11.9</v>
      </c>
      <c r="AD808" s="196">
        <f t="shared" si="2098"/>
        <v>40910.488918937022</v>
      </c>
      <c r="AE808" s="196">
        <f t="shared" si="1967"/>
        <v>38864.96447299017</v>
      </c>
      <c r="AF808" s="196">
        <f t="shared" si="2124"/>
        <v>0</v>
      </c>
      <c r="AG808" s="606">
        <f t="shared" si="2162"/>
        <v>1.7969453368400657E-3</v>
      </c>
      <c r="AH808" s="196">
        <f t="shared" si="2140"/>
        <v>17189.281058376899</v>
      </c>
      <c r="AI808" s="248">
        <f t="shared" si="2141"/>
        <v>1.3316275592877469E-3</v>
      </c>
      <c r="AJ808" s="196">
        <f t="shared" si="2142"/>
        <v>58099.769977313917</v>
      </c>
      <c r="AK808" s="196">
        <f t="shared" si="1998"/>
        <v>13751.42484670152</v>
      </c>
      <c r="AL808" s="196">
        <f t="shared" si="1999"/>
        <v>13751.42484670152</v>
      </c>
      <c r="AM808" s="196">
        <f t="shared" si="2143"/>
        <v>27502.849693403041</v>
      </c>
      <c r="AN808" s="627">
        <f t="shared" si="2144"/>
        <v>1.3316275592877471E-3</v>
      </c>
      <c r="AO808" s="196">
        <f t="shared" si="2145"/>
        <v>13063.853604366443</v>
      </c>
      <c r="AP808" s="589">
        <f t="shared" si="2163"/>
        <v>1.3316275592877469E-3</v>
      </c>
      <c r="AQ808" s="196"/>
      <c r="AR808" s="589"/>
      <c r="AS808">
        <v>1</v>
      </c>
      <c r="AT808" s="589">
        <f t="shared" si="2164"/>
        <v>1.2919896640826874E-3</v>
      </c>
      <c r="AU808" s="196">
        <v>10</v>
      </c>
      <c r="AV808" s="245">
        <f t="shared" si="2146"/>
        <v>1.1362345188046814E-3</v>
      </c>
      <c r="AX808" s="245"/>
      <c r="AY808" s="245"/>
      <c r="AZ808" s="196">
        <v>28</v>
      </c>
      <c r="BA808" s="589">
        <f t="shared" si="2073"/>
        <v>1.0259792605620901E-3</v>
      </c>
      <c r="BI808" s="196">
        <v>0</v>
      </c>
      <c r="BK808" s="246">
        <f t="shared" si="2074"/>
        <v>0</v>
      </c>
      <c r="BL808" s="246"/>
      <c r="BM808" s="246">
        <f t="shared" si="2075"/>
        <v>0</v>
      </c>
      <c r="BN808" s="196">
        <v>1</v>
      </c>
      <c r="BO808" s="196">
        <f t="shared" si="2125"/>
        <v>18439.847701237679</v>
      </c>
      <c r="BP808" s="196">
        <f t="shared" si="2147"/>
        <v>18439.847701237679</v>
      </c>
      <c r="BQ808" s="248">
        <f t="shared" si="2077"/>
        <v>1.7249618827270374E-3</v>
      </c>
      <c r="BR808" s="248"/>
      <c r="BS808" s="248"/>
      <c r="BT808" s="276">
        <v>0</v>
      </c>
      <c r="BU808" s="196">
        <f t="shared" si="2126"/>
        <v>0</v>
      </c>
      <c r="BV808" s="264">
        <f t="shared" si="2079"/>
        <v>0</v>
      </c>
      <c r="BW808" s="196">
        <f t="shared" si="2127"/>
        <v>0</v>
      </c>
      <c r="BX808" s="247">
        <f t="shared" si="2081"/>
        <v>0</v>
      </c>
      <c r="BY808" s="196">
        <f t="shared" si="2128"/>
        <v>0</v>
      </c>
      <c r="BZ808" s="620">
        <v>1</v>
      </c>
      <c r="CA808" s="196">
        <f t="shared" si="2129"/>
        <v>105198.40007726662</v>
      </c>
      <c r="CB808" s="196">
        <f t="shared" si="2130"/>
        <v>210396.80015453324</v>
      </c>
      <c r="CC808" s="196">
        <f t="shared" si="2160"/>
        <v>315595.20023179986</v>
      </c>
      <c r="CD808" s="247">
        <f t="shared" si="2148"/>
        <v>1.3316275592877469E-3</v>
      </c>
      <c r="CE808" s="196">
        <f t="shared" si="2131"/>
        <v>30329.141883094213</v>
      </c>
      <c r="CF808" s="247">
        <f t="shared" si="2149"/>
        <v>1.3097066684953655E-3</v>
      </c>
      <c r="CG808" s="196">
        <f t="shared" si="2101"/>
        <v>52255.41441746577</v>
      </c>
      <c r="CH808" s="589">
        <f t="shared" si="2165"/>
        <v>1.3316275592877469E-3</v>
      </c>
      <c r="CI808" s="196">
        <f t="shared" si="2132"/>
        <v>94172.231675252406</v>
      </c>
      <c r="CJ808" s="248">
        <f t="shared" si="2166"/>
        <v>1.5481912497004207E-3</v>
      </c>
      <c r="CK808" s="196">
        <f t="shared" si="2133"/>
        <v>81035.103872443899</v>
      </c>
      <c r="CL808" s="589">
        <f t="shared" si="2167"/>
        <v>1.1648962863761187E-3</v>
      </c>
      <c r="CM808" s="196">
        <f t="shared" si="2134"/>
        <v>7850.2941449449054</v>
      </c>
      <c r="CN808" s="589">
        <f t="shared" si="2168"/>
        <v>1.131316602140069E-3</v>
      </c>
      <c r="CO808" s="196">
        <f t="shared" si="2135"/>
        <v>628.00365980887079</v>
      </c>
      <c r="CP808" s="589">
        <f t="shared" si="2169"/>
        <v>1.1843181720285116E-3</v>
      </c>
      <c r="CQ808" s="196">
        <f>'Detailed Budget'!$AC$12</f>
        <v>292876014141.44696</v>
      </c>
      <c r="CR808" s="269">
        <f t="shared" si="2040"/>
        <v>0</v>
      </c>
      <c r="CS808" s="269">
        <f>'Detailed Budget'!$AC$16</f>
        <v>10488008800.000002</v>
      </c>
      <c r="CT808" s="607">
        <f t="shared" si="2103"/>
        <v>0</v>
      </c>
      <c r="CU808" s="269">
        <f>'Detailed Budget'!$AC$24</f>
        <v>30624985696</v>
      </c>
      <c r="CV808" s="269">
        <f t="shared" si="2050"/>
        <v>0</v>
      </c>
      <c r="CW808" s="269"/>
      <c r="CX808" s="269">
        <f t="shared" si="2161"/>
        <v>0</v>
      </c>
      <c r="CY808" s="196">
        <f>'Detailed Budget'!$AC$97</f>
        <v>74629165494.837845</v>
      </c>
      <c r="CZ808" s="269">
        <f t="shared" si="2104"/>
        <v>128732465.81832315</v>
      </c>
      <c r="DA808" s="269">
        <f>'Detailed Budget'!$AC$100</f>
        <v>14925833098.967569</v>
      </c>
      <c r="DB808" s="269">
        <f t="shared" si="2105"/>
        <v>25746493.163664632</v>
      </c>
      <c r="DC808" s="269">
        <f t="shared" si="2150"/>
        <v>154478958.98198777</v>
      </c>
      <c r="DD808" s="207">
        <v>0</v>
      </c>
      <c r="DE808" s="606">
        <v>0</v>
      </c>
      <c r="DF808" s="269">
        <f>'Detailed Budget'!$AC$147</f>
        <v>5913600671000</v>
      </c>
      <c r="DG808" s="269">
        <f t="shared" si="2042"/>
        <v>0</v>
      </c>
      <c r="DH808" s="269">
        <f>'Detailed Budget'!$AC$153</f>
        <v>226428026880.00003</v>
      </c>
      <c r="DI808" s="269"/>
      <c r="DJ808" s="269">
        <f>'Detailed Budget'!$AC$156</f>
        <v>27713070000</v>
      </c>
      <c r="DK808" s="269"/>
      <c r="DL808" s="269"/>
      <c r="DM808" s="196">
        <f>'Detailed Budget'!$AC$178</f>
        <v>5622683761.6229038</v>
      </c>
      <c r="DN808" s="269">
        <f t="shared" si="2136"/>
        <v>0</v>
      </c>
      <c r="DO808" s="196">
        <f>'Detailed Budget'!$AC$179</f>
        <v>26827890683.128094</v>
      </c>
      <c r="DP808" s="269">
        <f t="shared" si="2137"/>
        <v>0</v>
      </c>
      <c r="DQ808" s="269">
        <f t="shared" si="2041"/>
        <v>0</v>
      </c>
      <c r="DR808" s="269">
        <f>'Detailed Budget'!$AC$181</f>
        <v>50888946855.375237</v>
      </c>
      <c r="DS808" s="269">
        <f t="shared" si="2138"/>
        <v>0</v>
      </c>
      <c r="DT808" s="269">
        <f t="shared" si="2139"/>
        <v>0</v>
      </c>
      <c r="DU808" s="272">
        <f>'Detailed Budget'!$AC$192</f>
        <v>77498869683.252869</v>
      </c>
      <c r="DV808" s="269">
        <f t="shared" si="2106"/>
        <v>103199630.68386918</v>
      </c>
      <c r="DW808" s="140">
        <f>'Detailed Budget'!$AC$194</f>
        <v>2684962805.4134097</v>
      </c>
      <c r="DX808" s="269">
        <f t="shared" si="2107"/>
        <v>3575370.4673510413</v>
      </c>
      <c r="DY808" s="607">
        <f t="shared" si="2151"/>
        <v>106775001.15122022</v>
      </c>
      <c r="DZ808" s="196">
        <f>'Detailed Budget'!$AC$198</f>
        <v>18732540018.380611</v>
      </c>
      <c r="EA808" s="269">
        <f t="shared" si="2108"/>
        <v>24534132.579929385</v>
      </c>
      <c r="EB808" s="196">
        <f>'Detailed Budget'!$AC$200</f>
        <v>4683135004.5951529</v>
      </c>
      <c r="EC808" s="269">
        <f t="shared" si="2109"/>
        <v>6133533.1449823463</v>
      </c>
      <c r="ED808" s="269">
        <f t="shared" si="2152"/>
        <v>30667665.724911731</v>
      </c>
      <c r="EE808" s="196">
        <f>'Detailed Budget'!$AC$161</f>
        <v>251147290106.36197</v>
      </c>
      <c r="EF808" s="269">
        <f t="shared" si="2110"/>
        <v>334434652.9460665</v>
      </c>
      <c r="EG808" s="196">
        <f>'Detailed Budget'!$AC$163</f>
        <v>15696705631.647623</v>
      </c>
      <c r="EH808" s="269">
        <f t="shared" si="2111"/>
        <v>20902165.809129156</v>
      </c>
      <c r="EI808" s="269">
        <f t="shared" si="2153"/>
        <v>355336818.75519568</v>
      </c>
      <c r="EJ808" s="196">
        <f>'Detailed Budget'!$AC$204</f>
        <v>45012172507.531975</v>
      </c>
      <c r="EK808" s="269">
        <f t="shared" si="2112"/>
        <v>69687451.60616684</v>
      </c>
      <c r="EL808" s="201">
        <f>'Detailed Budget'!$AC$206</f>
        <v>11253043126.882994</v>
      </c>
      <c r="EM808" s="269">
        <f t="shared" si="2113"/>
        <v>17421862.90154171</v>
      </c>
      <c r="EN808" s="269">
        <f t="shared" si="2154"/>
        <v>87109314.507708549</v>
      </c>
      <c r="EO808" s="140">
        <f>'Detailed Budget'!$AC$209</f>
        <v>135789361677.54817</v>
      </c>
      <c r="EP808" s="269">
        <f t="shared" si="2114"/>
        <v>158180523.14755952</v>
      </c>
      <c r="EQ808" s="196">
        <f>'Detailed Budget'!$AC$211</f>
        <v>33947340419.387043</v>
      </c>
      <c r="ER808" s="269">
        <f t="shared" si="2115"/>
        <v>39545130.786889881</v>
      </c>
      <c r="ES808" s="269">
        <f t="shared" si="2155"/>
        <v>197725653.9344494</v>
      </c>
      <c r="ET808" s="196">
        <f>'Detailed Budget'!$AC$214</f>
        <v>22239745544.201103</v>
      </c>
      <c r="EU808" s="269">
        <f t="shared" si="2116"/>
        <v>25160193.361525331</v>
      </c>
      <c r="EV808" s="140">
        <f>'Detailed Budget'!$AC$217</f>
        <v>5559936386.0502758</v>
      </c>
      <c r="EW808" s="269">
        <f t="shared" si="2117"/>
        <v>6290048.3403813327</v>
      </c>
      <c r="EX808" s="269">
        <f t="shared" si="2156"/>
        <v>31450241.701906662</v>
      </c>
      <c r="EY808" s="196">
        <f>'Detailed Budget'!$AC$219</f>
        <v>372777004.58170313</v>
      </c>
      <c r="EZ808" s="269">
        <f t="shared" si="2118"/>
        <v>441486.58064046677</v>
      </c>
      <c r="FA808" s="196">
        <f>'Detailed Budget'!$AC$222</f>
        <v>93194251.145425782</v>
      </c>
      <c r="FB808" s="269">
        <f t="shared" si="2119"/>
        <v>110371.64516011669</v>
      </c>
      <c r="FC808" s="269">
        <f t="shared" si="2157"/>
        <v>551858.22580058349</v>
      </c>
      <c r="FD808" s="269"/>
      <c r="FE808" s="269">
        <f t="shared" si="2158"/>
        <v>316837068.36986524</v>
      </c>
      <c r="FF808" s="140">
        <f>'Detailed Budget'!$AC$165</f>
        <v>14927760000</v>
      </c>
      <c r="FG808" s="1087">
        <f t="shared" si="2043"/>
        <v>432186733.9229604</v>
      </c>
      <c r="FH808" s="269">
        <f t="shared" si="2120"/>
        <v>16961436.200431772</v>
      </c>
      <c r="FJ808" s="140">
        <f>'Detailed Budget'!$AC$235</f>
        <v>3623696172</v>
      </c>
      <c r="FK808" s="269">
        <f t="shared" si="2121"/>
        <v>4681778</v>
      </c>
      <c r="FL808" s="269">
        <f t="shared" si="2044"/>
        <v>4681778</v>
      </c>
      <c r="FO808" s="607"/>
      <c r="FP808" s="607"/>
      <c r="FQ808" s="607"/>
      <c r="FR808" s="269">
        <f>'Detailed Budget'!$AC$257</f>
        <v>13636439388</v>
      </c>
      <c r="FS808" s="269">
        <f t="shared" si="2122"/>
        <v>13990704</v>
      </c>
      <c r="FT808" s="269">
        <f t="shared" si="2045"/>
        <v>13990704</v>
      </c>
      <c r="FU808" s="269"/>
      <c r="FV808" s="269"/>
      <c r="FW808" s="269"/>
      <c r="FX808" s="140">
        <f>'Detailed Budget'!$AC$278</f>
        <v>1114560000</v>
      </c>
      <c r="FY808" s="269">
        <f t="shared" si="2123"/>
        <v>1440000</v>
      </c>
      <c r="FZ808" s="269">
        <f t="shared" si="2071"/>
        <v>1440000</v>
      </c>
      <c r="GB808" s="269">
        <f t="shared" si="2094"/>
        <v>1433356165.1065726</v>
      </c>
      <c r="GC808" s="887">
        <f t="shared" si="2159"/>
        <v>895847.60319160786</v>
      </c>
      <c r="GD808" s="1078">
        <f t="shared" si="2095"/>
        <v>8.0430127934115611E-4</v>
      </c>
    </row>
    <row r="809" spans="1:186" hidden="1" outlineLevel="1">
      <c r="A809" s="211" t="s">
        <v>1692</v>
      </c>
      <c r="B809" s="212" t="s">
        <v>1693</v>
      </c>
      <c r="C809" s="213" t="s">
        <v>215</v>
      </c>
      <c r="D809" s="214"/>
      <c r="E809" s="213"/>
      <c r="F809" s="213"/>
      <c r="G809" s="213" t="s">
        <v>215</v>
      </c>
      <c r="H809" s="213" t="s">
        <v>215</v>
      </c>
      <c r="I809" s="214" t="s">
        <v>215</v>
      </c>
      <c r="J809" s="214"/>
      <c r="K809" s="213"/>
      <c r="L809" s="213"/>
      <c r="M809" s="214"/>
      <c r="N809" s="213" t="s">
        <v>215</v>
      </c>
      <c r="O809" s="214"/>
      <c r="P809" s="213"/>
      <c r="Q809" s="214" t="s">
        <v>215</v>
      </c>
      <c r="R809" s="214"/>
      <c r="S809" s="214"/>
      <c r="T809" s="214"/>
      <c r="U809" s="215">
        <f t="shared" si="2099"/>
        <v>6</v>
      </c>
      <c r="V809" s="845" t="s">
        <v>1073</v>
      </c>
      <c r="W809" s="216">
        <v>153274</v>
      </c>
      <c r="X809" s="217">
        <v>3.21</v>
      </c>
      <c r="Y809" s="218">
        <f t="shared" ref="Y809:Y861" si="2170">1+X809/100</f>
        <v>1.0321</v>
      </c>
      <c r="Z809" s="196">
        <v>19</v>
      </c>
      <c r="AA809" s="218">
        <f t="shared" ref="AA809:AA861" si="2171">POWER(Y809,Z809)</f>
        <v>1.8226940798007465</v>
      </c>
      <c r="AB809" s="196">
        <f t="shared" si="2097"/>
        <v>279371.61238737963</v>
      </c>
      <c r="AC809">
        <v>11.9</v>
      </c>
      <c r="AD809" s="196">
        <f t="shared" si="2098"/>
        <v>33245.221874098177</v>
      </c>
      <c r="AE809" s="196">
        <f t="shared" ref="AE809:AE861" si="2172">AD809*0.95</f>
        <v>31582.960780393267</v>
      </c>
      <c r="AF809" s="196">
        <f t="shared" si="2124"/>
        <v>0</v>
      </c>
      <c r="AG809" s="606">
        <f t="shared" si="2162"/>
        <v>1.4602574546896002E-3</v>
      </c>
      <c r="AH809" s="196">
        <f t="shared" si="2140"/>
        <v>13968.580619368982</v>
      </c>
      <c r="AI809" s="248">
        <f t="shared" si="2141"/>
        <v>1.0821247761156126E-3</v>
      </c>
      <c r="AJ809" s="196">
        <f t="shared" si="2142"/>
        <v>47213.802493467156</v>
      </c>
      <c r="AK809" s="196">
        <f t="shared" si="1998"/>
        <v>11174.864495495185</v>
      </c>
      <c r="AL809" s="196">
        <f t="shared" si="1999"/>
        <v>11174.864495495185</v>
      </c>
      <c r="AM809" s="196">
        <f t="shared" si="2143"/>
        <v>22349.72899099037</v>
      </c>
      <c r="AN809" s="627">
        <f t="shared" si="2144"/>
        <v>1.0821247761156126E-3</v>
      </c>
      <c r="AO809" s="196">
        <f t="shared" si="2145"/>
        <v>10616.121270720425</v>
      </c>
      <c r="AP809" s="589">
        <f t="shared" si="2163"/>
        <v>1.0821247761156124E-3</v>
      </c>
      <c r="AQ809" s="196"/>
      <c r="AR809" s="589"/>
      <c r="AS809">
        <v>1</v>
      </c>
      <c r="AT809" s="589">
        <f t="shared" si="2164"/>
        <v>1.2919896640826874E-3</v>
      </c>
      <c r="AU809" s="196">
        <v>10</v>
      </c>
      <c r="AV809" s="245">
        <f t="shared" si="2146"/>
        <v>1.1362345188046814E-3</v>
      </c>
      <c r="AX809" s="245"/>
      <c r="AY809" s="245"/>
      <c r="AZ809" s="196">
        <v>27</v>
      </c>
      <c r="BA809" s="589">
        <f t="shared" si="2073"/>
        <v>9.8933714411344391E-4</v>
      </c>
      <c r="BI809" s="196">
        <v>0</v>
      </c>
      <c r="BK809" s="246">
        <f t="shared" si="2074"/>
        <v>0</v>
      </c>
      <c r="BL809" s="246"/>
      <c r="BM809" s="246">
        <f t="shared" si="2075"/>
        <v>0</v>
      </c>
      <c r="BN809" s="196">
        <v>1</v>
      </c>
      <c r="BO809" s="196">
        <f t="shared" si="2125"/>
        <v>14984.832602879447</v>
      </c>
      <c r="BP809" s="196">
        <f t="shared" si="2147"/>
        <v>14984.832602879447</v>
      </c>
      <c r="BQ809" s="248">
        <f t="shared" si="2077"/>
        <v>1.4017613094102449E-3</v>
      </c>
      <c r="BR809" s="248"/>
      <c r="BS809" s="248"/>
      <c r="BT809" s="276">
        <v>0</v>
      </c>
      <c r="BU809" s="196">
        <f t="shared" si="2126"/>
        <v>0</v>
      </c>
      <c r="BV809" s="264">
        <f t="shared" si="2079"/>
        <v>0</v>
      </c>
      <c r="BW809" s="196">
        <f t="shared" si="2127"/>
        <v>0</v>
      </c>
      <c r="BX809" s="247">
        <f t="shared" si="2081"/>
        <v>0</v>
      </c>
      <c r="BY809" s="196">
        <f t="shared" si="2128"/>
        <v>0</v>
      </c>
      <c r="BZ809" s="620">
        <v>1</v>
      </c>
      <c r="CA809" s="196">
        <f t="shared" si="2129"/>
        <v>85487.713390538163</v>
      </c>
      <c r="CB809" s="196">
        <f t="shared" si="2130"/>
        <v>170975.42678107633</v>
      </c>
      <c r="CC809" s="196">
        <f t="shared" si="2160"/>
        <v>256463.14017161448</v>
      </c>
      <c r="CD809" s="247">
        <f t="shared" si="2148"/>
        <v>1.0821247761156124E-3</v>
      </c>
      <c r="CE809" s="196">
        <f t="shared" si="2131"/>
        <v>24646.467881437133</v>
      </c>
      <c r="CF809" s="247">
        <f t="shared" si="2149"/>
        <v>1.0643111322964291E-3</v>
      </c>
      <c r="CG809" s="196">
        <f t="shared" si="2101"/>
        <v>42464.4850828817</v>
      </c>
      <c r="CH809" s="589">
        <f t="shared" si="2165"/>
        <v>1.0821247761156124E-3</v>
      </c>
      <c r="CI809" s="196">
        <f t="shared" si="2132"/>
        <v>76527.482783847634</v>
      </c>
      <c r="CJ809" s="248">
        <f t="shared" si="2166"/>
        <v>1.2581116227140204E-3</v>
      </c>
      <c r="CK809" s="196">
        <f t="shared" si="2133"/>
        <v>65851.816466142307</v>
      </c>
      <c r="CL809" s="589">
        <f t="shared" si="2167"/>
        <v>9.4663340684155578E-4</v>
      </c>
      <c r="CM809" s="196">
        <f t="shared" si="2134"/>
        <v>6379.4097191740029</v>
      </c>
      <c r="CN809" s="589">
        <f t="shared" si="2168"/>
        <v>9.1934544029826488E-4</v>
      </c>
      <c r="CO809" s="196">
        <f t="shared" si="2135"/>
        <v>510.33662906011682</v>
      </c>
      <c r="CP809" s="589">
        <f t="shared" si="2169"/>
        <v>9.6241627609561394E-4</v>
      </c>
      <c r="CQ809" s="196">
        <f>'Detailed Budget'!$AC$12</f>
        <v>292876014141.44696</v>
      </c>
      <c r="CR809" s="269">
        <f t="shared" si="2040"/>
        <v>0</v>
      </c>
      <c r="CS809" s="269">
        <f>'Detailed Budget'!$AC$16</f>
        <v>10488008800.000002</v>
      </c>
      <c r="CT809" s="607">
        <f t="shared" si="2103"/>
        <v>0</v>
      </c>
      <c r="CU809" s="269">
        <f>'Detailed Budget'!$AC$24</f>
        <v>30624985696</v>
      </c>
      <c r="CV809" s="269">
        <f t="shared" si="2050"/>
        <v>0</v>
      </c>
      <c r="CW809" s="269"/>
      <c r="CX809" s="269">
        <f t="shared" si="2161"/>
        <v>0</v>
      </c>
      <c r="CY809" s="196">
        <f>'Detailed Budget'!$AC$97</f>
        <v>74629165494.837845</v>
      </c>
      <c r="CZ809" s="269">
        <f t="shared" si="2104"/>
        <v>104612276.74423777</v>
      </c>
      <c r="DA809" s="269">
        <f>'Detailed Budget'!$AC$100</f>
        <v>14925833098.967569</v>
      </c>
      <c r="DB809" s="269">
        <f t="shared" si="2105"/>
        <v>20922455.348847553</v>
      </c>
      <c r="DC809" s="269">
        <f t="shared" si="2150"/>
        <v>125534732.09308532</v>
      </c>
      <c r="DD809" s="207">
        <v>0</v>
      </c>
      <c r="DE809" s="606">
        <v>0</v>
      </c>
      <c r="DF809" s="269">
        <f>'Detailed Budget'!$AC$147</f>
        <v>5913600671000</v>
      </c>
      <c r="DG809" s="269">
        <f t="shared" si="2042"/>
        <v>0</v>
      </c>
      <c r="DH809" s="269">
        <f>'Detailed Budget'!$AC$153</f>
        <v>226428026880.00003</v>
      </c>
      <c r="DI809" s="269"/>
      <c r="DJ809" s="269">
        <f>'Detailed Budget'!$AC$156</f>
        <v>27713070000</v>
      </c>
      <c r="DK809" s="269"/>
      <c r="DL809" s="269"/>
      <c r="DM809" s="196">
        <f>'Detailed Budget'!$AC$178</f>
        <v>5622683761.6229038</v>
      </c>
      <c r="DN809" s="269">
        <f t="shared" si="2136"/>
        <v>0</v>
      </c>
      <c r="DO809" s="196">
        <f>'Detailed Budget'!$AC$179</f>
        <v>26827890683.128094</v>
      </c>
      <c r="DP809" s="269">
        <f t="shared" si="2137"/>
        <v>0</v>
      </c>
      <c r="DQ809" s="269">
        <f t="shared" si="2041"/>
        <v>0</v>
      </c>
      <c r="DR809" s="269">
        <f>'Detailed Budget'!$AC$181</f>
        <v>50888946855.375237</v>
      </c>
      <c r="DS809" s="269">
        <f t="shared" si="2138"/>
        <v>0</v>
      </c>
      <c r="DT809" s="269">
        <f t="shared" si="2139"/>
        <v>0</v>
      </c>
      <c r="DU809" s="272">
        <f>'Detailed Budget'!$AC$192</f>
        <v>77498869683.252869</v>
      </c>
      <c r="DV809" s="269">
        <f t="shared" si="2106"/>
        <v>83863447.005203024</v>
      </c>
      <c r="DW809" s="140">
        <f>'Detailed Budget'!$AC$194</f>
        <v>2684962805.4134097</v>
      </c>
      <c r="DX809" s="269">
        <f t="shared" si="2107"/>
        <v>2905464.7746867333</v>
      </c>
      <c r="DY809" s="607">
        <f t="shared" si="2151"/>
        <v>86768911.779889762</v>
      </c>
      <c r="DZ809" s="196">
        <f>'Detailed Budget'!$AC$198</f>
        <v>18732540018.380611</v>
      </c>
      <c r="EA809" s="269">
        <f t="shared" si="2108"/>
        <v>19937250.87775084</v>
      </c>
      <c r="EB809" s="196">
        <f>'Detailed Budget'!$AC$200</f>
        <v>4683135004.5951529</v>
      </c>
      <c r="EC809" s="269">
        <f t="shared" si="2109"/>
        <v>4984312.71943771</v>
      </c>
      <c r="ED809" s="269">
        <f t="shared" si="2152"/>
        <v>24921563.597188551</v>
      </c>
      <c r="EE809" s="196">
        <f>'Detailed Budget'!$AC$161</f>
        <v>251147290106.36197</v>
      </c>
      <c r="EF809" s="269">
        <f t="shared" si="2110"/>
        <v>271772705.0783897</v>
      </c>
      <c r="EG809" s="196">
        <f>'Detailed Budget'!$AC$163</f>
        <v>15696705631.647623</v>
      </c>
      <c r="EH809" s="269">
        <f t="shared" si="2111"/>
        <v>16985794.067399357</v>
      </c>
      <c r="EI809" s="269">
        <f t="shared" si="2153"/>
        <v>288758499.14578909</v>
      </c>
      <c r="EJ809" s="196">
        <f>'Detailed Budget'!$AC$204</f>
        <v>45012172507.531975</v>
      </c>
      <c r="EK809" s="269">
        <f t="shared" si="2112"/>
        <v>56630337.395334475</v>
      </c>
      <c r="EL809" s="201">
        <f>'Detailed Budget'!$AC$206</f>
        <v>11253043126.882994</v>
      </c>
      <c r="EM809" s="269">
        <f t="shared" si="2113"/>
        <v>14157584.348833619</v>
      </c>
      <c r="EN809" s="269">
        <f t="shared" si="2154"/>
        <v>70787921.744168088</v>
      </c>
      <c r="EO809" s="140">
        <f>'Detailed Budget'!$AC$209</f>
        <v>135789361677.54817</v>
      </c>
      <c r="EP809" s="269">
        <f t="shared" si="2114"/>
        <v>128542746.05765763</v>
      </c>
      <c r="EQ809" s="196">
        <f>'Detailed Budget'!$AC$211</f>
        <v>33947340419.387043</v>
      </c>
      <c r="ER809" s="269">
        <f t="shared" si="2115"/>
        <v>32135686.514414407</v>
      </c>
      <c r="ES809" s="269">
        <f t="shared" si="2155"/>
        <v>160678432.57207203</v>
      </c>
      <c r="ET809" s="196">
        <f>'Detailed Budget'!$AC$214</f>
        <v>22239745544.201103</v>
      </c>
      <c r="EU809" s="269">
        <f t="shared" si="2116"/>
        <v>20446008.659454938</v>
      </c>
      <c r="EV809" s="140">
        <f>'Detailed Budget'!$AC$217</f>
        <v>5559936386.0502758</v>
      </c>
      <c r="EW809" s="269">
        <f t="shared" si="2117"/>
        <v>5111502.1648637345</v>
      </c>
      <c r="EX809" s="269">
        <f t="shared" si="2156"/>
        <v>25557510.824318673</v>
      </c>
      <c r="EY809" s="196">
        <f>'Detailed Budget'!$AC$219</f>
        <v>372777004.58170313</v>
      </c>
      <c r="EZ809" s="269">
        <f t="shared" si="2118"/>
        <v>358766.65656360035</v>
      </c>
      <c r="FA809" s="196">
        <f>'Detailed Budget'!$AC$222</f>
        <v>93194251.145425782</v>
      </c>
      <c r="FB809" s="269">
        <f t="shared" si="2119"/>
        <v>89691.664140900088</v>
      </c>
      <c r="FC809" s="269">
        <f t="shared" si="2157"/>
        <v>448458.32070450042</v>
      </c>
      <c r="FD809" s="269"/>
      <c r="FE809" s="269">
        <f t="shared" si="2158"/>
        <v>257472323.4612633</v>
      </c>
      <c r="FF809" s="140">
        <f>'Detailed Budget'!$AC$165</f>
        <v>14927760000</v>
      </c>
      <c r="FG809" s="1087">
        <f t="shared" si="2043"/>
        <v>351209292.28640407</v>
      </c>
      <c r="FH809" s="269">
        <f t="shared" si="2120"/>
        <v>16961436.200431772</v>
      </c>
      <c r="FJ809" s="140">
        <f>'Detailed Budget'!$AC$235</f>
        <v>3623696172</v>
      </c>
      <c r="FK809" s="269">
        <f t="shared" si="2121"/>
        <v>4681778</v>
      </c>
      <c r="FL809" s="269">
        <f t="shared" si="2044"/>
        <v>4681778</v>
      </c>
      <c r="FO809" s="607"/>
      <c r="FP809" s="607"/>
      <c r="FQ809" s="607"/>
      <c r="FR809" s="269">
        <f>'Detailed Budget'!$AC$257</f>
        <v>13636439388</v>
      </c>
      <c r="FS809" s="269">
        <f t="shared" si="2122"/>
        <v>13491035.999999998</v>
      </c>
      <c r="FT809" s="269">
        <f t="shared" si="2045"/>
        <v>13491035.999999998</v>
      </c>
      <c r="FU809" s="269"/>
      <c r="FV809" s="269"/>
      <c r="FW809" s="269"/>
      <c r="FX809" s="140">
        <f>'Detailed Budget'!$AC$278</f>
        <v>1114560000</v>
      </c>
      <c r="FY809" s="269">
        <f t="shared" si="2123"/>
        <v>1440000</v>
      </c>
      <c r="FZ809" s="269">
        <f t="shared" si="2071"/>
        <v>1440000</v>
      </c>
      <c r="GB809" s="269">
        <f t="shared" si="2094"/>
        <v>1171239572.5640519</v>
      </c>
      <c r="GC809" s="887">
        <f t="shared" si="2159"/>
        <v>732024.73285253241</v>
      </c>
      <c r="GD809" s="1078">
        <f t="shared" si="2095"/>
        <v>6.5721940544917815E-4</v>
      </c>
    </row>
    <row r="810" spans="1:186" hidden="1" outlineLevel="1">
      <c r="A810" s="211" t="s">
        <v>1694</v>
      </c>
      <c r="B810" s="212" t="s">
        <v>1695</v>
      </c>
      <c r="C810" s="213" t="s">
        <v>215</v>
      </c>
      <c r="D810" s="214"/>
      <c r="E810" s="213"/>
      <c r="F810" s="213"/>
      <c r="G810" s="213" t="s">
        <v>215</v>
      </c>
      <c r="H810" s="213" t="s">
        <v>215</v>
      </c>
      <c r="I810" s="214" t="s">
        <v>215</v>
      </c>
      <c r="J810" s="214"/>
      <c r="K810" s="213"/>
      <c r="L810" s="213"/>
      <c r="M810" s="214"/>
      <c r="N810" s="213" t="s">
        <v>215</v>
      </c>
      <c r="O810" s="214"/>
      <c r="P810" s="213"/>
      <c r="Q810" s="214"/>
      <c r="R810" s="214" t="s">
        <v>215</v>
      </c>
      <c r="S810" s="214"/>
      <c r="T810" s="214"/>
      <c r="U810" s="215">
        <f t="shared" si="2099"/>
        <v>6</v>
      </c>
      <c r="V810" s="845" t="s">
        <v>216</v>
      </c>
      <c r="W810" s="216">
        <v>134490</v>
      </c>
      <c r="X810" s="217">
        <v>3.21</v>
      </c>
      <c r="Y810" s="218">
        <f t="shared" si="2170"/>
        <v>1.0321</v>
      </c>
      <c r="Z810" s="196">
        <v>19</v>
      </c>
      <c r="AA810" s="218">
        <f t="shared" si="2171"/>
        <v>1.8226940798007465</v>
      </c>
      <c r="AB810" s="196">
        <f t="shared" si="2097"/>
        <v>245134.12679240239</v>
      </c>
      <c r="AC810">
        <v>11.9</v>
      </c>
      <c r="AD810" s="196">
        <f t="shared" si="2098"/>
        <v>29170.961088295888</v>
      </c>
      <c r="AE810" s="196">
        <f t="shared" si="2172"/>
        <v>27712.413033881094</v>
      </c>
      <c r="AF810" s="196">
        <f t="shared" si="2124"/>
        <v>0</v>
      </c>
      <c r="AG810" s="606">
        <f t="shared" si="2162"/>
        <v>1.2813003189138688E-3</v>
      </c>
      <c r="AH810" s="196">
        <f t="shared" si="2140"/>
        <v>12256.706339620119</v>
      </c>
      <c r="AI810" s="248">
        <f t="shared" si="2141"/>
        <v>9.4950846940634892E-4</v>
      </c>
      <c r="AJ810" s="196">
        <f t="shared" si="2142"/>
        <v>41427.667427916007</v>
      </c>
      <c r="AK810" s="196">
        <f t="shared" si="1998"/>
        <v>9805.3650716960965</v>
      </c>
      <c r="AL810" s="196">
        <f t="shared" si="1999"/>
        <v>9805.3650716960965</v>
      </c>
      <c r="AM810" s="196">
        <f t="shared" si="2143"/>
        <v>19610.730143392193</v>
      </c>
      <c r="AN810" s="627">
        <f t="shared" si="2144"/>
        <v>9.4950846940634903E-4</v>
      </c>
      <c r="AO810" s="196">
        <f t="shared" si="2145"/>
        <v>9315.0968181112912</v>
      </c>
      <c r="AP810" s="589">
        <f t="shared" si="2163"/>
        <v>9.4950846940634892E-4</v>
      </c>
      <c r="AQ810" s="196"/>
      <c r="AR810" s="589"/>
      <c r="AS810">
        <v>1</v>
      </c>
      <c r="AT810" s="589">
        <f t="shared" si="2164"/>
        <v>1.2919896640826874E-3</v>
      </c>
      <c r="AU810" s="196">
        <v>11</v>
      </c>
      <c r="AV810" s="245">
        <f t="shared" si="2146"/>
        <v>1.2498579706851495E-3</v>
      </c>
      <c r="AX810" s="245"/>
      <c r="AY810" s="245"/>
      <c r="AZ810" s="196">
        <v>41</v>
      </c>
      <c r="BA810" s="589">
        <f t="shared" si="2073"/>
        <v>1.5023267743944891E-3</v>
      </c>
      <c r="BI810" s="196">
        <v>0</v>
      </c>
      <c r="BK810" s="246">
        <f t="shared" si="2074"/>
        <v>0</v>
      </c>
      <c r="BL810" s="246"/>
      <c r="BM810" s="246">
        <f t="shared" si="2075"/>
        <v>0</v>
      </c>
      <c r="BN810" s="196">
        <v>1</v>
      </c>
      <c r="BO810" s="196">
        <f t="shared" si="2125"/>
        <v>13148.414843752083</v>
      </c>
      <c r="BP810" s="196">
        <f t="shared" si="2147"/>
        <v>13148.414843752083</v>
      </c>
      <c r="BQ810" s="248">
        <f t="shared" si="2077"/>
        <v>1.2299729797785916E-3</v>
      </c>
      <c r="BR810" s="248"/>
      <c r="BS810" s="248"/>
      <c r="BT810" s="276">
        <v>0</v>
      </c>
      <c r="BU810" s="196">
        <f t="shared" si="2126"/>
        <v>0</v>
      </c>
      <c r="BV810" s="264">
        <f t="shared" si="2079"/>
        <v>0</v>
      </c>
      <c r="BW810" s="196">
        <f t="shared" si="2127"/>
        <v>0</v>
      </c>
      <c r="BX810" s="247">
        <f t="shared" si="2081"/>
        <v>0</v>
      </c>
      <c r="BY810" s="196">
        <f t="shared" si="2128"/>
        <v>0</v>
      </c>
      <c r="BZ810" s="620">
        <v>1</v>
      </c>
      <c r="CA810" s="196">
        <f t="shared" si="2129"/>
        <v>75011.04279847513</v>
      </c>
      <c r="CB810" s="196">
        <f t="shared" si="2130"/>
        <v>150022.08559695026</v>
      </c>
      <c r="CC810" s="196">
        <f t="shared" si="2160"/>
        <v>225033.12839542539</v>
      </c>
      <c r="CD810" s="247">
        <f t="shared" si="2148"/>
        <v>9.4950846940634892E-4</v>
      </c>
      <c r="CE810" s="196">
        <f t="shared" si="2131"/>
        <v>21625.999617511643</v>
      </c>
      <c r="CF810" s="247">
        <f t="shared" si="2149"/>
        <v>9.338779191679393E-4</v>
      </c>
      <c r="CG810" s="196">
        <f t="shared" si="2101"/>
        <v>37260.387272445165</v>
      </c>
      <c r="CH810" s="589">
        <f t="shared" si="2165"/>
        <v>9.4950846940634892E-4</v>
      </c>
      <c r="CI810" s="196">
        <f t="shared" si="2132"/>
        <v>67148.904312536164</v>
      </c>
      <c r="CJ810" s="248">
        <f t="shared" si="2166"/>
        <v>1.1039278164516396E-3</v>
      </c>
      <c r="CK810" s="196">
        <f t="shared" si="2133"/>
        <v>57781.559798344664</v>
      </c>
      <c r="CL810" s="589">
        <f t="shared" si="2167"/>
        <v>8.306218072609892E-4</v>
      </c>
      <c r="CM810" s="196">
        <f t="shared" si="2134"/>
        <v>5597.6017663250886</v>
      </c>
      <c r="CN810" s="589">
        <f t="shared" si="2168"/>
        <v>8.0667802931817291E-4</v>
      </c>
      <c r="CO810" s="196">
        <f t="shared" si="2135"/>
        <v>447.79397185625163</v>
      </c>
      <c r="CP810" s="589">
        <f t="shared" si="2169"/>
        <v>8.4447045795176695E-4</v>
      </c>
      <c r="CQ810" s="196">
        <f>'Detailed Budget'!$AC$12</f>
        <v>292876014141.44696</v>
      </c>
      <c r="CR810" s="269">
        <f t="shared" si="2040"/>
        <v>0</v>
      </c>
      <c r="CS810" s="269">
        <f>'Detailed Budget'!$AC$16</f>
        <v>10488008800.000002</v>
      </c>
      <c r="CT810" s="607">
        <f t="shared" si="2103"/>
        <v>0</v>
      </c>
      <c r="CU810" s="269">
        <f>'Detailed Budget'!$AC$24</f>
        <v>30624985696</v>
      </c>
      <c r="CV810" s="269">
        <f t="shared" si="2050"/>
        <v>0</v>
      </c>
      <c r="CW810" s="269"/>
      <c r="CX810" s="269">
        <f t="shared" si="2161"/>
        <v>0</v>
      </c>
      <c r="CY810" s="196">
        <f>'Detailed Budget'!$AC$97</f>
        <v>74629165494.837845</v>
      </c>
      <c r="CZ810" s="269">
        <f t="shared" si="2104"/>
        <v>91791857.062075347</v>
      </c>
      <c r="DA810" s="269">
        <f>'Detailed Budget'!$AC$100</f>
        <v>14925833098.967569</v>
      </c>
      <c r="DB810" s="269">
        <f t="shared" si="2105"/>
        <v>18358371.412415072</v>
      </c>
      <c r="DC810" s="269">
        <f t="shared" si="2150"/>
        <v>110150228.47449042</v>
      </c>
      <c r="DD810" s="207">
        <v>0</v>
      </c>
      <c r="DE810" s="606">
        <v>0</v>
      </c>
      <c r="DF810" s="269">
        <f>'Detailed Budget'!$AC$147</f>
        <v>5913600671000</v>
      </c>
      <c r="DG810" s="269">
        <f t="shared" si="2042"/>
        <v>0</v>
      </c>
      <c r="DH810" s="269">
        <f>'Detailed Budget'!$AC$153</f>
        <v>226428026880.00003</v>
      </c>
      <c r="DI810" s="269"/>
      <c r="DJ810" s="269">
        <f>'Detailed Budget'!$AC$156</f>
        <v>27713070000</v>
      </c>
      <c r="DK810" s="269"/>
      <c r="DL810" s="269"/>
      <c r="DM810" s="196">
        <f>'Detailed Budget'!$AC$178</f>
        <v>5622683761.6229038</v>
      </c>
      <c r="DN810" s="269">
        <f t="shared" si="2136"/>
        <v>0</v>
      </c>
      <c r="DO810" s="196">
        <f>'Detailed Budget'!$AC$179</f>
        <v>26827890683.128094</v>
      </c>
      <c r="DP810" s="269">
        <f t="shared" si="2137"/>
        <v>0</v>
      </c>
      <c r="DQ810" s="269">
        <f t="shared" si="2041"/>
        <v>0</v>
      </c>
      <c r="DR810" s="269">
        <f>'Detailed Budget'!$AC$181</f>
        <v>50888946855.375237</v>
      </c>
      <c r="DS810" s="269">
        <f t="shared" si="2138"/>
        <v>0</v>
      </c>
      <c r="DT810" s="269">
        <f t="shared" si="2139"/>
        <v>0</v>
      </c>
      <c r="DU810" s="272">
        <f>'Detailed Budget'!$AC$192</f>
        <v>77498869683.252869</v>
      </c>
      <c r="DV810" s="269">
        <f t="shared" si="2106"/>
        <v>73585833.133667529</v>
      </c>
      <c r="DW810" s="140">
        <f>'Detailed Budget'!$AC$194</f>
        <v>2684962805.4134097</v>
      </c>
      <c r="DX810" s="269">
        <f t="shared" si="2107"/>
        <v>2549394.9237810634</v>
      </c>
      <c r="DY810" s="607">
        <f t="shared" si="2151"/>
        <v>76135228.057448596</v>
      </c>
      <c r="DZ810" s="196">
        <f>'Detailed Budget'!$AC$198</f>
        <v>18732540018.380611</v>
      </c>
      <c r="EA810" s="269">
        <f t="shared" si="2108"/>
        <v>17493905.493095435</v>
      </c>
      <c r="EB810" s="196">
        <f>'Detailed Budget'!$AC$200</f>
        <v>4683135004.5951529</v>
      </c>
      <c r="EC810" s="269">
        <f t="shared" si="2109"/>
        <v>4373476.3732738588</v>
      </c>
      <c r="ED810" s="269">
        <f t="shared" si="2152"/>
        <v>21867381.866369292</v>
      </c>
      <c r="EE810" s="196">
        <f>'Detailed Budget'!$AC$161</f>
        <v>251147290106.36197</v>
      </c>
      <c r="EF810" s="269">
        <f t="shared" si="2110"/>
        <v>238466479.02444404</v>
      </c>
      <c r="EG810" s="196">
        <f>'Detailed Budget'!$AC$163</f>
        <v>15696705631.647623</v>
      </c>
      <c r="EH810" s="269">
        <f t="shared" si="2111"/>
        <v>14904154.939027753</v>
      </c>
      <c r="EI810" s="269">
        <f t="shared" si="2153"/>
        <v>253370633.9634718</v>
      </c>
      <c r="EJ810" s="196">
        <f>'Detailed Budget'!$AC$204</f>
        <v>45012172507.531975</v>
      </c>
      <c r="EK810" s="269">
        <f t="shared" si="2112"/>
        <v>49690189.309984297</v>
      </c>
      <c r="EL810" s="201">
        <f>'Detailed Budget'!$AC$206</f>
        <v>11253043126.882994</v>
      </c>
      <c r="EM810" s="269">
        <f t="shared" si="2113"/>
        <v>12422547.327496074</v>
      </c>
      <c r="EN810" s="269">
        <f t="shared" si="2154"/>
        <v>62112736.637480371</v>
      </c>
      <c r="EO810" s="140">
        <f>'Detailed Budget'!$AC$209</f>
        <v>135789361677.54817</v>
      </c>
      <c r="EP810" s="269">
        <f t="shared" si="2114"/>
        <v>112789605.00342117</v>
      </c>
      <c r="EQ810" s="196">
        <f>'Detailed Budget'!$AC$211</f>
        <v>33947340419.387043</v>
      </c>
      <c r="ER810" s="269">
        <f t="shared" si="2115"/>
        <v>28197401.250855293</v>
      </c>
      <c r="ES810" s="269">
        <f t="shared" si="2155"/>
        <v>140987006.25427645</v>
      </c>
      <c r="ET810" s="196">
        <f>'Detailed Budget'!$AC$214</f>
        <v>22239745544.201103</v>
      </c>
      <c r="EU810" s="269">
        <f t="shared" si="2116"/>
        <v>17940314.108133763</v>
      </c>
      <c r="EV810" s="140">
        <f>'Detailed Budget'!$AC$217</f>
        <v>5559936386.0502758</v>
      </c>
      <c r="EW810" s="269">
        <f t="shared" si="2117"/>
        <v>4485078.5270334408</v>
      </c>
      <c r="EX810" s="269">
        <f t="shared" si="2156"/>
        <v>22425392.635167204</v>
      </c>
      <c r="EY810" s="196">
        <f>'Detailed Budget'!$AC$219</f>
        <v>372777004.58170313</v>
      </c>
      <c r="EZ810" s="269">
        <f t="shared" si="2118"/>
        <v>314799.16777299874</v>
      </c>
      <c r="FA810" s="196">
        <f>'Detailed Budget'!$AC$222</f>
        <v>93194251.145425782</v>
      </c>
      <c r="FB810" s="269">
        <f t="shared" si="2119"/>
        <v>78699.791943249686</v>
      </c>
      <c r="FC810" s="269">
        <f t="shared" si="2157"/>
        <v>393498.95971624844</v>
      </c>
      <c r="FD810" s="269"/>
      <c r="FE810" s="269">
        <f t="shared" si="2158"/>
        <v>225918634.4866403</v>
      </c>
      <c r="FF810" s="140">
        <f>'Detailed Budget'!$AC$165</f>
        <v>14927760000</v>
      </c>
      <c r="FG810" s="1087">
        <f t="shared" si="2043"/>
        <v>308167971.86475521</v>
      </c>
      <c r="FH810" s="269">
        <f t="shared" si="2120"/>
        <v>18657579.820474949</v>
      </c>
      <c r="FJ810" s="140">
        <f>'Detailed Budget'!$AC$235</f>
        <v>3623696172</v>
      </c>
      <c r="FK810" s="269">
        <f t="shared" si="2121"/>
        <v>4681778</v>
      </c>
      <c r="FL810" s="269">
        <f t="shared" si="2044"/>
        <v>4681778</v>
      </c>
      <c r="FO810" s="607"/>
      <c r="FP810" s="607"/>
      <c r="FQ810" s="607"/>
      <c r="FR810" s="269">
        <f>'Detailed Budget'!$AC$257</f>
        <v>13636439388</v>
      </c>
      <c r="FS810" s="269">
        <f t="shared" si="2122"/>
        <v>20486388</v>
      </c>
      <c r="FT810" s="269">
        <f t="shared" si="2045"/>
        <v>20486388</v>
      </c>
      <c r="FU810" s="269"/>
      <c r="FV810" s="269"/>
      <c r="FW810" s="269"/>
      <c r="FX810" s="140">
        <f>'Detailed Budget'!$AC$278</f>
        <v>1114560000</v>
      </c>
      <c r="FY810" s="269">
        <f t="shared" si="2123"/>
        <v>1440000</v>
      </c>
      <c r="FZ810" s="269">
        <f t="shared" si="2071"/>
        <v>1440000</v>
      </c>
      <c r="GB810" s="269">
        <f t="shared" si="2094"/>
        <v>1040875824.5336508</v>
      </c>
      <c r="GC810" s="887">
        <f t="shared" si="2159"/>
        <v>650547.39033353177</v>
      </c>
      <c r="GD810" s="1078">
        <f t="shared" si="2095"/>
        <v>5.8406820139183645E-4</v>
      </c>
    </row>
    <row r="811" spans="1:186" hidden="1" outlineLevel="1">
      <c r="A811" s="211" t="s">
        <v>1696</v>
      </c>
      <c r="B811" s="212" t="s">
        <v>1697</v>
      </c>
      <c r="C811" s="213" t="s">
        <v>215</v>
      </c>
      <c r="D811" s="214"/>
      <c r="E811" s="213"/>
      <c r="F811" s="213"/>
      <c r="G811" s="213" t="s">
        <v>215</v>
      </c>
      <c r="H811" s="213" t="s">
        <v>215</v>
      </c>
      <c r="I811" s="214" t="s">
        <v>215</v>
      </c>
      <c r="J811" s="214"/>
      <c r="K811" s="213"/>
      <c r="L811" s="213"/>
      <c r="M811" s="214"/>
      <c r="N811" s="213"/>
      <c r="O811" s="214" t="s">
        <v>215</v>
      </c>
      <c r="P811" s="213"/>
      <c r="Q811" s="214"/>
      <c r="R811" s="214" t="s">
        <v>215</v>
      </c>
      <c r="S811" s="214"/>
      <c r="T811" s="214"/>
      <c r="U811" s="215">
        <f t="shared" si="2099"/>
        <v>6</v>
      </c>
      <c r="V811" s="845" t="s">
        <v>216</v>
      </c>
      <c r="W811" s="216">
        <v>37508</v>
      </c>
      <c r="X811" s="217">
        <v>3.21</v>
      </c>
      <c r="Y811" s="218">
        <f t="shared" si="2170"/>
        <v>1.0321</v>
      </c>
      <c r="Z811" s="196">
        <v>19</v>
      </c>
      <c r="AA811" s="218">
        <f t="shared" si="2171"/>
        <v>1.8226940798007465</v>
      </c>
      <c r="AB811" s="196">
        <f t="shared" si="2097"/>
        <v>68365.6095451664</v>
      </c>
      <c r="AC811">
        <v>11.9</v>
      </c>
      <c r="AD811" s="196">
        <f t="shared" si="2098"/>
        <v>8135.5075358748018</v>
      </c>
      <c r="AE811" s="196">
        <f t="shared" si="2172"/>
        <v>7728.7321590810616</v>
      </c>
      <c r="AF811" s="196">
        <f t="shared" si="2124"/>
        <v>0</v>
      </c>
      <c r="AG811" s="606">
        <f t="shared" si="2162"/>
        <v>3.5734264526597804E-4</v>
      </c>
      <c r="AH811" s="196">
        <f t="shared" si="2140"/>
        <v>3418.2804772583204</v>
      </c>
      <c r="AI811" s="248">
        <f t="shared" si="2141"/>
        <v>2.6480900937239454E-4</v>
      </c>
      <c r="AJ811" s="196">
        <f t="shared" si="2142"/>
        <v>11553.788013133122</v>
      </c>
      <c r="AK811" s="196">
        <f t="shared" si="1998"/>
        <v>2734.6243818066559</v>
      </c>
      <c r="AL811" s="196">
        <f t="shared" si="1999"/>
        <v>2734.6243818066559</v>
      </c>
      <c r="AM811" s="196">
        <f t="shared" si="2143"/>
        <v>5469.2487636133119</v>
      </c>
      <c r="AN811" s="627">
        <f t="shared" si="2144"/>
        <v>2.6480900937239448E-4</v>
      </c>
      <c r="AO811" s="196">
        <f t="shared" si="2145"/>
        <v>2597.8931627163233</v>
      </c>
      <c r="AP811" s="589">
        <f t="shared" si="2163"/>
        <v>2.6480900937239448E-4</v>
      </c>
      <c r="AQ811" s="196"/>
      <c r="AR811" s="589"/>
      <c r="AS811">
        <v>1</v>
      </c>
      <c r="AT811" s="589">
        <f t="shared" si="2164"/>
        <v>1.2919896640826874E-3</v>
      </c>
      <c r="AU811" s="196">
        <v>10</v>
      </c>
      <c r="AV811" s="245">
        <f t="shared" si="2146"/>
        <v>1.1362345188046814E-3</v>
      </c>
      <c r="AX811" s="245"/>
      <c r="AY811" s="245"/>
      <c r="AZ811" s="196">
        <v>28</v>
      </c>
      <c r="BA811" s="589">
        <f t="shared" si="2073"/>
        <v>1.0259792605620901E-3</v>
      </c>
      <c r="BI811" s="196">
        <v>0</v>
      </c>
      <c r="BK811" s="246">
        <f t="shared" si="2074"/>
        <v>0</v>
      </c>
      <c r="BL811" s="246"/>
      <c r="BM811" s="246">
        <f t="shared" si="2075"/>
        <v>0</v>
      </c>
      <c r="BN811" s="196">
        <v>1</v>
      </c>
      <c r="BO811" s="196">
        <f t="shared" si="2125"/>
        <v>3666.9696182575149</v>
      </c>
      <c r="BP811" s="196">
        <f t="shared" si="2147"/>
        <v>3666.9696182575149</v>
      </c>
      <c r="BQ811" s="248">
        <f t="shared" si="2077"/>
        <v>3.4302793163458559E-4</v>
      </c>
      <c r="BR811" s="248"/>
      <c r="BS811" s="248"/>
      <c r="BT811" s="276">
        <v>0</v>
      </c>
      <c r="BU811" s="196">
        <f t="shared" si="2126"/>
        <v>0</v>
      </c>
      <c r="BV811" s="264">
        <f t="shared" si="2079"/>
        <v>0</v>
      </c>
      <c r="BW811" s="196">
        <f t="shared" si="2127"/>
        <v>0</v>
      </c>
      <c r="BX811" s="247">
        <f t="shared" si="2081"/>
        <v>0</v>
      </c>
      <c r="BY811" s="196">
        <f t="shared" si="2128"/>
        <v>0</v>
      </c>
      <c r="BZ811" s="620">
        <v>1</v>
      </c>
      <c r="CA811" s="196">
        <f t="shared" si="2129"/>
        <v>20919.876520820919</v>
      </c>
      <c r="CB811" s="196">
        <f t="shared" si="2130"/>
        <v>41839.753041641838</v>
      </c>
      <c r="CC811" s="196">
        <f t="shared" si="2160"/>
        <v>62759.629562462753</v>
      </c>
      <c r="CD811" s="247">
        <f t="shared" si="2148"/>
        <v>2.6480900937239448E-4</v>
      </c>
      <c r="CE811" s="196">
        <f t="shared" si="2131"/>
        <v>6031.2885244525751</v>
      </c>
      <c r="CF811" s="247">
        <f t="shared" si="2149"/>
        <v>2.6044979546547008E-4</v>
      </c>
      <c r="CG811" s="196">
        <f t="shared" si="2101"/>
        <v>10391.572650865293</v>
      </c>
      <c r="CH811" s="589">
        <f t="shared" si="2165"/>
        <v>2.6480900937239448E-4</v>
      </c>
      <c r="CI811" s="196">
        <f t="shared" si="2132"/>
        <v>18727.199813775049</v>
      </c>
      <c r="CJ811" s="248">
        <f t="shared" si="2166"/>
        <v>3.0787511740254368E-4</v>
      </c>
      <c r="CK811" s="196">
        <f t="shared" si="2133"/>
        <v>16114.735258504807</v>
      </c>
      <c r="CL811" s="589">
        <f t="shared" si="2167"/>
        <v>2.3165263400063335E-4</v>
      </c>
      <c r="CM811" s="196">
        <f t="shared" si="2134"/>
        <v>1561.1186486082343</v>
      </c>
      <c r="CN811" s="589">
        <f t="shared" si="2168"/>
        <v>2.2497493883311793E-4</v>
      </c>
      <c r="CO811" s="196">
        <f t="shared" si="2135"/>
        <v>124.88554016197699</v>
      </c>
      <c r="CP811" s="589">
        <f t="shared" si="2169"/>
        <v>2.3551489283110173E-4</v>
      </c>
      <c r="CQ811" s="196">
        <f>'Detailed Budget'!$AC$12</f>
        <v>292876014141.44696</v>
      </c>
      <c r="CR811" s="269">
        <f t="shared" si="2040"/>
        <v>0</v>
      </c>
      <c r="CS811" s="269">
        <f>'Detailed Budget'!$AC$16</f>
        <v>10488008800.000002</v>
      </c>
      <c r="CT811" s="607">
        <f t="shared" si="2103"/>
        <v>0</v>
      </c>
      <c r="CU811" s="269">
        <f>'Detailed Budget'!$AC$24</f>
        <v>30624985696</v>
      </c>
      <c r="CV811" s="269">
        <f t="shared" si="2050"/>
        <v>0</v>
      </c>
      <c r="CW811" s="269"/>
      <c r="CX811" s="269">
        <f t="shared" si="2161"/>
        <v>0</v>
      </c>
      <c r="CY811" s="196">
        <f>'Detailed Budget'!$AC$97</f>
        <v>74629165494.837845</v>
      </c>
      <c r="CZ811" s="269">
        <f t="shared" si="2104"/>
        <v>25599888.279309411</v>
      </c>
      <c r="DA811" s="269">
        <f>'Detailed Budget'!$AC$100</f>
        <v>14925833098.967569</v>
      </c>
      <c r="DB811" s="269">
        <f t="shared" si="2105"/>
        <v>5119977.6558618825</v>
      </c>
      <c r="DC811" s="269">
        <f t="shared" si="2150"/>
        <v>30719865.935171291</v>
      </c>
      <c r="DD811" s="207">
        <v>0</v>
      </c>
      <c r="DE811" s="606">
        <v>0</v>
      </c>
      <c r="DF811" s="269">
        <f>'Detailed Budget'!$AC$147</f>
        <v>5913600671000</v>
      </c>
      <c r="DG811" s="269">
        <f t="shared" si="2042"/>
        <v>0</v>
      </c>
      <c r="DH811" s="269">
        <f>'Detailed Budget'!$AC$153</f>
        <v>226428026880.00003</v>
      </c>
      <c r="DI811" s="269"/>
      <c r="DJ811" s="269">
        <f>'Detailed Budget'!$AC$156</f>
        <v>27713070000</v>
      </c>
      <c r="DK811" s="269"/>
      <c r="DL811" s="269"/>
      <c r="DM811" s="196">
        <f>'Detailed Budget'!$AC$178</f>
        <v>5622683761.6229038</v>
      </c>
      <c r="DN811" s="269">
        <f t="shared" si="2136"/>
        <v>0</v>
      </c>
      <c r="DO811" s="196">
        <f>'Detailed Budget'!$AC$179</f>
        <v>26827890683.128094</v>
      </c>
      <c r="DP811" s="269">
        <f t="shared" si="2137"/>
        <v>0</v>
      </c>
      <c r="DQ811" s="269">
        <f t="shared" si="2041"/>
        <v>0</v>
      </c>
      <c r="DR811" s="269">
        <f>'Detailed Budget'!$AC$181</f>
        <v>50888946855.375237</v>
      </c>
      <c r="DS811" s="269">
        <f t="shared" si="2138"/>
        <v>0</v>
      </c>
      <c r="DT811" s="269">
        <f t="shared" si="2139"/>
        <v>0</v>
      </c>
      <c r="DU811" s="272">
        <f>'Detailed Budget'!$AC$192</f>
        <v>77498869683.252869</v>
      </c>
      <c r="DV811" s="269">
        <f t="shared" si="2106"/>
        <v>20522398.908302486</v>
      </c>
      <c r="DW811" s="140">
        <f>'Detailed Budget'!$AC$194</f>
        <v>2684962805.4134097</v>
      </c>
      <c r="DX811" s="269">
        <f t="shared" si="2107"/>
        <v>711002.34070325014</v>
      </c>
      <c r="DY811" s="607">
        <f t="shared" si="2151"/>
        <v>21233401.249005735</v>
      </c>
      <c r="DZ811" s="196">
        <f>'Detailed Budget'!$AC$198</f>
        <v>18732540018.380611</v>
      </c>
      <c r="EA811" s="269">
        <f t="shared" si="2108"/>
        <v>4878886.2163359635</v>
      </c>
      <c r="EB811" s="196">
        <f>'Detailed Budget'!$AC$200</f>
        <v>4683135004.5951529</v>
      </c>
      <c r="EC811" s="269">
        <f t="shared" si="2109"/>
        <v>1219721.5540839909</v>
      </c>
      <c r="ED811" s="269">
        <f t="shared" si="2152"/>
        <v>6098607.7704199543</v>
      </c>
      <c r="EE811" s="196">
        <f>'Detailed Budget'!$AC$161</f>
        <v>251147290106.36197</v>
      </c>
      <c r="EF811" s="269">
        <f t="shared" si="2110"/>
        <v>66506065.099627085</v>
      </c>
      <c r="EG811" s="196">
        <f>'Detailed Budget'!$AC$163</f>
        <v>15696705631.647623</v>
      </c>
      <c r="EH811" s="269">
        <f t="shared" si="2111"/>
        <v>4156629.0687266928</v>
      </c>
      <c r="EI811" s="269">
        <f t="shared" si="2153"/>
        <v>70662694.168353781</v>
      </c>
      <c r="EJ811" s="196">
        <f>'Detailed Budget'!$AC$204</f>
        <v>45012172507.531975</v>
      </c>
      <c r="EK811" s="269">
        <f t="shared" si="2112"/>
        <v>13858127.895299956</v>
      </c>
      <c r="EL811" s="201">
        <f>'Detailed Budget'!$AC$206</f>
        <v>11253043126.882994</v>
      </c>
      <c r="EM811" s="269">
        <f t="shared" si="2113"/>
        <v>3464531.9738249891</v>
      </c>
      <c r="EN811" s="269">
        <f t="shared" si="2154"/>
        <v>17322659.869124945</v>
      </c>
      <c r="EO811" s="140">
        <f>'Detailed Budget'!$AC$209</f>
        <v>135789361677.54817</v>
      </c>
      <c r="EP811" s="269">
        <f t="shared" si="2114"/>
        <v>31455963.301868696</v>
      </c>
      <c r="EQ811" s="196">
        <f>'Detailed Budget'!$AC$211</f>
        <v>33947340419.387043</v>
      </c>
      <c r="ER811" s="269">
        <f t="shared" si="2115"/>
        <v>7863990.8254671739</v>
      </c>
      <c r="ES811" s="269">
        <f t="shared" si="2155"/>
        <v>39319954.127335869</v>
      </c>
      <c r="ET811" s="196">
        <f>'Detailed Budget'!$AC$214</f>
        <v>22239745544.201103</v>
      </c>
      <c r="EU811" s="269">
        <f t="shared" si="2116"/>
        <v>5003385.3934707502</v>
      </c>
      <c r="EV811" s="140">
        <f>'Detailed Budget'!$AC$217</f>
        <v>5559936386.0502758</v>
      </c>
      <c r="EW811" s="269">
        <f t="shared" si="2117"/>
        <v>1250846.3483676875</v>
      </c>
      <c r="EX811" s="269">
        <f t="shared" si="2156"/>
        <v>6254231.7418384375</v>
      </c>
      <c r="EY811" s="196">
        <f>'Detailed Budget'!$AC$219</f>
        <v>372777004.58170313</v>
      </c>
      <c r="EZ811" s="269">
        <f t="shared" si="2118"/>
        <v>87794.536283958936</v>
      </c>
      <c r="FA811" s="196">
        <f>'Detailed Budget'!$AC$222</f>
        <v>93194251.145425782</v>
      </c>
      <c r="FB811" s="269">
        <f t="shared" si="2119"/>
        <v>21948.634070989734</v>
      </c>
      <c r="FC811" s="269">
        <f t="shared" si="2157"/>
        <v>109743.17035494867</v>
      </c>
      <c r="FD811" s="269"/>
      <c r="FE811" s="269">
        <f t="shared" si="2158"/>
        <v>63006588.908654198</v>
      </c>
      <c r="FF811" s="140">
        <f>'Detailed Budget'!$AC$165</f>
        <v>14927760000</v>
      </c>
      <c r="FG811" s="1087">
        <f t="shared" si="2043"/>
        <v>85945157.920315534</v>
      </c>
      <c r="FH811" s="269">
        <f t="shared" si="2120"/>
        <v>16961436.200431772</v>
      </c>
      <c r="FJ811" s="140">
        <f>'Detailed Budget'!$AC$235</f>
        <v>3623696172</v>
      </c>
      <c r="FK811" s="269">
        <f t="shared" si="2121"/>
        <v>4681778</v>
      </c>
      <c r="FL811" s="269">
        <f t="shared" si="2044"/>
        <v>4681778</v>
      </c>
      <c r="FO811" s="607"/>
      <c r="FP811" s="607"/>
      <c r="FQ811" s="607"/>
      <c r="FR811" s="269">
        <f>'Detailed Budget'!$AC$257</f>
        <v>13636439388</v>
      </c>
      <c r="FS811" s="269">
        <f t="shared" si="2122"/>
        <v>13990704</v>
      </c>
      <c r="FT811" s="269">
        <f t="shared" si="2045"/>
        <v>13990704</v>
      </c>
      <c r="FU811" s="269"/>
      <c r="FV811" s="269"/>
      <c r="FW811" s="269"/>
      <c r="FX811" s="140">
        <f>'Detailed Budget'!$AC$278</f>
        <v>1114560000</v>
      </c>
      <c r="FY811" s="269">
        <f t="shared" si="2123"/>
        <v>1440000</v>
      </c>
      <c r="FZ811" s="269">
        <f t="shared" si="2071"/>
        <v>1440000</v>
      </c>
      <c r="GB811" s="269">
        <f t="shared" si="2094"/>
        <v>314740234.15235227</v>
      </c>
      <c r="GC811" s="887">
        <f t="shared" si="2159"/>
        <v>196712.64634522016</v>
      </c>
      <c r="GD811" s="1078">
        <f t="shared" si="2095"/>
        <v>1.7661065627052304E-4</v>
      </c>
    </row>
    <row r="812" spans="1:186" hidden="1" outlineLevel="1">
      <c r="A812" s="211" t="s">
        <v>1698</v>
      </c>
      <c r="B812" s="212" t="s">
        <v>1699</v>
      </c>
      <c r="C812" s="213" t="s">
        <v>215</v>
      </c>
      <c r="D812" s="214"/>
      <c r="E812" s="213"/>
      <c r="F812" s="213"/>
      <c r="G812" s="213" t="s">
        <v>215</v>
      </c>
      <c r="H812" s="213" t="s">
        <v>215</v>
      </c>
      <c r="I812" s="214" t="s">
        <v>215</v>
      </c>
      <c r="J812" s="214"/>
      <c r="K812" s="213"/>
      <c r="L812" s="213"/>
      <c r="M812" s="214"/>
      <c r="N812" s="213"/>
      <c r="O812" s="214"/>
      <c r="P812" s="213" t="s">
        <v>215</v>
      </c>
      <c r="Q812" s="214" t="s">
        <v>215</v>
      </c>
      <c r="R812" s="214"/>
      <c r="S812" s="214"/>
      <c r="T812" s="214"/>
      <c r="U812" s="215">
        <f t="shared" si="2099"/>
        <v>6</v>
      </c>
      <c r="V812" s="845" t="s">
        <v>1073</v>
      </c>
      <c r="W812" s="216">
        <v>96444</v>
      </c>
      <c r="X812" s="217">
        <v>3.21</v>
      </c>
      <c r="Y812" s="218">
        <f t="shared" si="2170"/>
        <v>1.0321</v>
      </c>
      <c r="Z812" s="196">
        <v>19</v>
      </c>
      <c r="AA812" s="218">
        <f t="shared" si="2171"/>
        <v>1.8226940798007465</v>
      </c>
      <c r="AB812" s="196">
        <f t="shared" si="2097"/>
        <v>175787.9078323032</v>
      </c>
      <c r="AC812">
        <v>11.9</v>
      </c>
      <c r="AD812" s="196">
        <f t="shared" si="2098"/>
        <v>20918.761032044084</v>
      </c>
      <c r="AE812" s="196">
        <f t="shared" si="2172"/>
        <v>19872.822980441877</v>
      </c>
      <c r="AF812" s="196">
        <f t="shared" si="2124"/>
        <v>0</v>
      </c>
      <c r="AG812" s="606">
        <f t="shared" si="2162"/>
        <v>9.188320912880449E-4</v>
      </c>
      <c r="AH812" s="196">
        <f t="shared" si="2140"/>
        <v>8789.3953916151604</v>
      </c>
      <c r="AI812" s="248">
        <f t="shared" si="2141"/>
        <v>6.8090114375363164E-4</v>
      </c>
      <c r="AJ812" s="196">
        <f t="shared" si="2142"/>
        <v>29708.156423659246</v>
      </c>
      <c r="AK812" s="196">
        <f t="shared" si="1998"/>
        <v>7031.516313292128</v>
      </c>
      <c r="AL812" s="196">
        <f t="shared" si="1999"/>
        <v>7031.516313292128</v>
      </c>
      <c r="AM812" s="196">
        <f t="shared" si="2143"/>
        <v>14063.032626584256</v>
      </c>
      <c r="AN812" s="627">
        <f t="shared" si="2144"/>
        <v>6.8090114375363164E-4</v>
      </c>
      <c r="AO812" s="196">
        <f t="shared" si="2145"/>
        <v>6679.9404976275218</v>
      </c>
      <c r="AP812" s="589">
        <f t="shared" si="2163"/>
        <v>6.8090114375363164E-4</v>
      </c>
      <c r="AQ812" s="196"/>
      <c r="AR812" s="589"/>
      <c r="AS812">
        <v>1</v>
      </c>
      <c r="AT812" s="589">
        <f t="shared" si="2164"/>
        <v>1.2919896640826874E-3</v>
      </c>
      <c r="AU812" s="196">
        <v>12</v>
      </c>
      <c r="AV812" s="245">
        <f t="shared" si="2146"/>
        <v>1.3634814225656176E-3</v>
      </c>
      <c r="AX812" s="245"/>
      <c r="AY812" s="245"/>
      <c r="AZ812" s="196">
        <v>19</v>
      </c>
      <c r="BA812" s="589">
        <f t="shared" si="2073"/>
        <v>6.9620021252427542E-4</v>
      </c>
      <c r="BI812" s="196">
        <v>0</v>
      </c>
      <c r="BK812" s="246">
        <f t="shared" si="2074"/>
        <v>0</v>
      </c>
      <c r="BL812" s="246"/>
      <c r="BM812" s="246">
        <f t="shared" si="2075"/>
        <v>0</v>
      </c>
      <c r="BN812" s="196">
        <v>1</v>
      </c>
      <c r="BO812" s="196">
        <f t="shared" si="2125"/>
        <v>9428.847655519563</v>
      </c>
      <c r="BP812" s="196">
        <f t="shared" si="2147"/>
        <v>9428.847655519563</v>
      </c>
      <c r="BQ812" s="248">
        <f t="shared" si="2077"/>
        <v>8.8202479040647261E-4</v>
      </c>
      <c r="BR812" s="248"/>
      <c r="BS812" s="248"/>
      <c r="BT812" s="276">
        <v>0</v>
      </c>
      <c r="BU812" s="196">
        <f t="shared" si="2126"/>
        <v>0</v>
      </c>
      <c r="BV812" s="264">
        <f t="shared" si="2079"/>
        <v>0</v>
      </c>
      <c r="BW812" s="196">
        <f t="shared" si="2127"/>
        <v>0</v>
      </c>
      <c r="BX812" s="247">
        <f t="shared" si="2081"/>
        <v>0</v>
      </c>
      <c r="BY812" s="196">
        <f t="shared" si="2128"/>
        <v>0</v>
      </c>
      <c r="BZ812" s="620">
        <v>1</v>
      </c>
      <c r="CA812" s="196">
        <f t="shared" si="2129"/>
        <v>53791.099796684779</v>
      </c>
      <c r="CB812" s="196">
        <f t="shared" si="2130"/>
        <v>107582.19959336956</v>
      </c>
      <c r="CC812" s="196">
        <f t="shared" si="2160"/>
        <v>161373.29939005434</v>
      </c>
      <c r="CD812" s="247">
        <f t="shared" si="2148"/>
        <v>6.8090114375363164E-4</v>
      </c>
      <c r="CE812" s="196">
        <f t="shared" si="2131"/>
        <v>15508.200662586756</v>
      </c>
      <c r="CF812" s="247">
        <f t="shared" si="2149"/>
        <v>6.6969233427193646E-4</v>
      </c>
      <c r="CG812" s="196">
        <f t="shared" si="2101"/>
        <v>26719.761990510087</v>
      </c>
      <c r="CH812" s="589">
        <f t="shared" si="2165"/>
        <v>6.8090114375363164E-4</v>
      </c>
      <c r="CI812" s="196">
        <f t="shared" si="2132"/>
        <v>48153.088910091741</v>
      </c>
      <c r="CJ812" s="248">
        <f t="shared" si="2166"/>
        <v>7.9163665945320805E-4</v>
      </c>
      <c r="CK812" s="196">
        <f t="shared" si="2133"/>
        <v>41435.681115261752</v>
      </c>
      <c r="CL812" s="589">
        <f t="shared" si="2167"/>
        <v>5.9564643898787158E-4</v>
      </c>
      <c r="CM812" s="196">
        <f t="shared" si="2134"/>
        <v>4014.0910458134949</v>
      </c>
      <c r="CN812" s="589">
        <f t="shared" si="2168"/>
        <v>5.7847613844569769E-4</v>
      </c>
      <c r="CO812" s="196">
        <f t="shared" si="2135"/>
        <v>321.11712262401915</v>
      </c>
      <c r="CP812" s="589">
        <f t="shared" si="2169"/>
        <v>6.0557743212655377E-4</v>
      </c>
      <c r="CQ812" s="196">
        <f>'Detailed Budget'!$AC$12</f>
        <v>292876014141.44696</v>
      </c>
      <c r="CR812" s="269">
        <f t="shared" si="2040"/>
        <v>0</v>
      </c>
      <c r="CS812" s="269">
        <f>'Detailed Budget'!$AC$16</f>
        <v>10488008800.000002</v>
      </c>
      <c r="CT812" s="607">
        <f t="shared" si="2103"/>
        <v>0</v>
      </c>
      <c r="CU812" s="269">
        <f>'Detailed Budget'!$AC$24</f>
        <v>30624985696</v>
      </c>
      <c r="CV812" s="269">
        <f t="shared" si="2050"/>
        <v>0</v>
      </c>
      <c r="CW812" s="269"/>
      <c r="CX812" s="269">
        <f t="shared" si="2161"/>
        <v>0</v>
      </c>
      <c r="CY812" s="196">
        <f>'Detailed Budget'!$AC$97</f>
        <v>74629165494.837845</v>
      </c>
      <c r="CZ812" s="269">
        <f t="shared" si="2104"/>
        <v>65824774.053794309</v>
      </c>
      <c r="DA812" s="269">
        <f>'Detailed Budget'!$AC$100</f>
        <v>14925833098.967569</v>
      </c>
      <c r="DB812" s="269">
        <f t="shared" si="2105"/>
        <v>13164954.810758863</v>
      </c>
      <c r="DC812" s="269">
        <f t="shared" si="2150"/>
        <v>78989728.864553168</v>
      </c>
      <c r="DD812" s="207">
        <v>0</v>
      </c>
      <c r="DE812" s="606">
        <v>0</v>
      </c>
      <c r="DF812" s="269">
        <f>'Detailed Budget'!$AC$147</f>
        <v>5913600671000</v>
      </c>
      <c r="DG812" s="269">
        <f t="shared" si="2042"/>
        <v>0</v>
      </c>
      <c r="DH812" s="269">
        <f>'Detailed Budget'!$AC$153</f>
        <v>226428026880.00003</v>
      </c>
      <c r="DI812" s="269"/>
      <c r="DJ812" s="269">
        <f>'Detailed Budget'!$AC$156</f>
        <v>27713070000</v>
      </c>
      <c r="DK812" s="269"/>
      <c r="DL812" s="269"/>
      <c r="DM812" s="196">
        <f>'Detailed Budget'!$AC$178</f>
        <v>5622683761.6229038</v>
      </c>
      <c r="DN812" s="269">
        <f t="shared" si="2136"/>
        <v>0</v>
      </c>
      <c r="DO812" s="196">
        <f>'Detailed Budget'!$AC$179</f>
        <v>26827890683.128094</v>
      </c>
      <c r="DP812" s="269">
        <f t="shared" si="2137"/>
        <v>0</v>
      </c>
      <c r="DQ812" s="269">
        <f t="shared" si="2041"/>
        <v>0</v>
      </c>
      <c r="DR812" s="269">
        <f>'Detailed Budget'!$AC$181</f>
        <v>50888946855.375237</v>
      </c>
      <c r="DS812" s="269">
        <f t="shared" si="2138"/>
        <v>0</v>
      </c>
      <c r="DT812" s="269">
        <f t="shared" si="2139"/>
        <v>0</v>
      </c>
      <c r="DU812" s="272">
        <f>'Detailed Budget'!$AC$192</f>
        <v>77498869683.252869</v>
      </c>
      <c r="DV812" s="269">
        <f t="shared" si="2106"/>
        <v>52769069.006940529</v>
      </c>
      <c r="DW812" s="140">
        <f>'Detailed Budget'!$AC$194</f>
        <v>2684962805.4134097</v>
      </c>
      <c r="DX812" s="269">
        <f t="shared" si="2107"/>
        <v>1828194.2451419502</v>
      </c>
      <c r="DY812" s="607">
        <f t="shared" si="2151"/>
        <v>54597263.252082482</v>
      </c>
      <c r="DZ812" s="196">
        <f>'Detailed Budget'!$AC$198</f>
        <v>18732540018.380611</v>
      </c>
      <c r="EA812" s="269">
        <f t="shared" si="2108"/>
        <v>12545038.451751776</v>
      </c>
      <c r="EB812" s="196">
        <f>'Detailed Budget'!$AC$200</f>
        <v>4683135004.5951529</v>
      </c>
      <c r="EC812" s="269">
        <f t="shared" si="2109"/>
        <v>3136259.612937944</v>
      </c>
      <c r="ED812" s="269">
        <f t="shared" si="2152"/>
        <v>15681298.06468972</v>
      </c>
      <c r="EE812" s="196">
        <f>'Detailed Budget'!$AC$161</f>
        <v>251147290106.36197</v>
      </c>
      <c r="EF812" s="269">
        <f t="shared" si="2110"/>
        <v>171006477.08404699</v>
      </c>
      <c r="EG812" s="196">
        <f>'Detailed Budget'!$AC$163</f>
        <v>15696705631.647623</v>
      </c>
      <c r="EH812" s="269">
        <f t="shared" si="2111"/>
        <v>10687904.817752937</v>
      </c>
      <c r="EI812" s="269">
        <f t="shared" si="2153"/>
        <v>181694381.90179992</v>
      </c>
      <c r="EJ812" s="196">
        <f>'Detailed Budget'!$AC$204</f>
        <v>45012172507.531975</v>
      </c>
      <c r="EK812" s="269">
        <f t="shared" si="2112"/>
        <v>35633285.878594145</v>
      </c>
      <c r="EL812" s="201">
        <f>'Detailed Budget'!$AC$206</f>
        <v>11253043126.882994</v>
      </c>
      <c r="EM812" s="269">
        <f t="shared" si="2113"/>
        <v>8908321.4696485363</v>
      </c>
      <c r="EN812" s="269">
        <f t="shared" si="2154"/>
        <v>44541607.348242685</v>
      </c>
      <c r="EO812" s="140">
        <f>'Detailed Budget'!$AC$209</f>
        <v>135789361677.54817</v>
      </c>
      <c r="EP812" s="269">
        <f t="shared" si="2114"/>
        <v>80882449.73566772</v>
      </c>
      <c r="EQ812" s="196">
        <f>'Detailed Budget'!$AC$211</f>
        <v>33947340419.387043</v>
      </c>
      <c r="ER812" s="269">
        <f t="shared" si="2115"/>
        <v>20220612.43391693</v>
      </c>
      <c r="ES812" s="269">
        <f t="shared" si="2155"/>
        <v>101103062.16958465</v>
      </c>
      <c r="ET812" s="196">
        <f>'Detailed Budget'!$AC$214</f>
        <v>22239745544.201103</v>
      </c>
      <c r="EU812" s="269">
        <f t="shared" si="2116"/>
        <v>12865162.122424366</v>
      </c>
      <c r="EV812" s="140">
        <f>'Detailed Budget'!$AC$217</f>
        <v>5559936386.0502758</v>
      </c>
      <c r="EW812" s="269">
        <f t="shared" si="2117"/>
        <v>3216290.5306060915</v>
      </c>
      <c r="EX812" s="269">
        <f t="shared" si="2156"/>
        <v>16081452.653030457</v>
      </c>
      <c r="EY812" s="196">
        <f>'Detailed Budget'!$AC$219</f>
        <v>372777004.58170313</v>
      </c>
      <c r="EZ812" s="269">
        <f t="shared" si="2118"/>
        <v>225745.34119041634</v>
      </c>
      <c r="FA812" s="196">
        <f>'Detailed Budget'!$AC$222</f>
        <v>93194251.145425782</v>
      </c>
      <c r="FB812" s="269">
        <f t="shared" si="2119"/>
        <v>56436.335297604084</v>
      </c>
      <c r="FC812" s="269">
        <f t="shared" si="2157"/>
        <v>282181.6764880204</v>
      </c>
      <c r="FD812" s="269"/>
      <c r="FE812" s="269">
        <f t="shared" si="2158"/>
        <v>162008303.8473458</v>
      </c>
      <c r="FF812" s="140">
        <f>'Detailed Budget'!$AC$165</f>
        <v>14927760000</v>
      </c>
      <c r="FG812" s="1087">
        <f t="shared" si="2043"/>
        <v>220990050.40169865</v>
      </c>
      <c r="FH812" s="269">
        <f t="shared" si="2120"/>
        <v>20353723.440518126</v>
      </c>
      <c r="FJ812" s="140">
        <f>'Detailed Budget'!$AC$235</f>
        <v>3623696172</v>
      </c>
      <c r="FK812" s="269">
        <f t="shared" si="2121"/>
        <v>4681778</v>
      </c>
      <c r="FL812" s="269">
        <f t="shared" si="2044"/>
        <v>4681778</v>
      </c>
      <c r="FO812" s="607"/>
      <c r="FP812" s="607"/>
      <c r="FQ812" s="607"/>
      <c r="FR812" s="269">
        <f>'Detailed Budget'!$AC$257</f>
        <v>13636439388</v>
      </c>
      <c r="FS812" s="269">
        <f t="shared" si="2122"/>
        <v>9493692</v>
      </c>
      <c r="FT812" s="269">
        <f t="shared" si="2045"/>
        <v>9493692</v>
      </c>
      <c r="FU812" s="269"/>
      <c r="FV812" s="269"/>
      <c r="FW812" s="269"/>
      <c r="FX812" s="140">
        <f>'Detailed Budget'!$AC$278</f>
        <v>1114560000</v>
      </c>
      <c r="FY812" s="269">
        <f t="shared" si="2123"/>
        <v>1440000</v>
      </c>
      <c r="FZ812" s="269">
        <f t="shared" si="2071"/>
        <v>1440000</v>
      </c>
      <c r="GB812" s="269">
        <f t="shared" si="2094"/>
        <v>749930219.77268791</v>
      </c>
      <c r="GC812" s="887">
        <f t="shared" si="2159"/>
        <v>468706.38735792995</v>
      </c>
      <c r="GD812" s="1078">
        <f t="shared" si="2095"/>
        <v>4.2080946094435676E-4</v>
      </c>
    </row>
    <row r="813" spans="1:186" hidden="1" outlineLevel="1">
      <c r="A813" s="211" t="s">
        <v>1700</v>
      </c>
      <c r="B813" s="212" t="s">
        <v>1701</v>
      </c>
      <c r="C813" s="213" t="s">
        <v>215</v>
      </c>
      <c r="D813" s="214"/>
      <c r="E813" s="213"/>
      <c r="F813" s="213"/>
      <c r="G813" s="213" t="s">
        <v>215</v>
      </c>
      <c r="H813" s="213" t="s">
        <v>215</v>
      </c>
      <c r="I813" s="214" t="s">
        <v>215</v>
      </c>
      <c r="J813" s="214"/>
      <c r="K813" s="213"/>
      <c r="L813" s="213"/>
      <c r="M813" s="214"/>
      <c r="N813" s="213"/>
      <c r="O813" s="214" t="s">
        <v>215</v>
      </c>
      <c r="P813" s="213"/>
      <c r="Q813" s="214"/>
      <c r="R813" s="214" t="s">
        <v>215</v>
      </c>
      <c r="S813" s="214"/>
      <c r="T813" s="214"/>
      <c r="U813" s="215">
        <f t="shared" si="2099"/>
        <v>6</v>
      </c>
      <c r="V813" s="845" t="s">
        <v>216</v>
      </c>
      <c r="W813" s="216">
        <v>62054</v>
      </c>
      <c r="X813" s="217">
        <v>3.21</v>
      </c>
      <c r="Y813" s="218">
        <f t="shared" si="2170"/>
        <v>1.0321</v>
      </c>
      <c r="Z813" s="196">
        <v>19</v>
      </c>
      <c r="AA813" s="218">
        <f t="shared" si="2171"/>
        <v>1.8226940798007465</v>
      </c>
      <c r="AB813" s="196">
        <f t="shared" si="2097"/>
        <v>113105.45842795553</v>
      </c>
      <c r="AC813">
        <v>11.9</v>
      </c>
      <c r="AD813" s="196">
        <f t="shared" si="2098"/>
        <v>13459.549552926708</v>
      </c>
      <c r="AE813" s="196">
        <f t="shared" si="2172"/>
        <v>12786.572075280372</v>
      </c>
      <c r="AF813" s="196">
        <f t="shared" si="2124"/>
        <v>0</v>
      </c>
      <c r="AG813" s="606">
        <f t="shared" si="2162"/>
        <v>5.9119495865775308E-4</v>
      </c>
      <c r="AH813" s="196">
        <f t="shared" si="2140"/>
        <v>5655.2729213977764</v>
      </c>
      <c r="AI813" s="248">
        <f t="shared" si="2141"/>
        <v>4.3810542464526415E-4</v>
      </c>
      <c r="AJ813" s="196">
        <f t="shared" si="2142"/>
        <v>19114.822474324486</v>
      </c>
      <c r="AK813" s="196">
        <f t="shared" ref="AK813:AK861" si="2173">AB813*0.04</f>
        <v>4524.2183371182209</v>
      </c>
      <c r="AL813" s="196">
        <f t="shared" ref="AL813:AL861" si="2174">AB813*0.04</f>
        <v>4524.2183371182209</v>
      </c>
      <c r="AM813" s="196">
        <f t="shared" si="2143"/>
        <v>9048.4366742364418</v>
      </c>
      <c r="AN813" s="627">
        <f t="shared" si="2144"/>
        <v>4.3810542464526415E-4</v>
      </c>
      <c r="AO813" s="196">
        <f t="shared" si="2145"/>
        <v>4298.00742026231</v>
      </c>
      <c r="AP813" s="589">
        <f t="shared" si="2163"/>
        <v>4.3810542464526415E-4</v>
      </c>
      <c r="AQ813" s="196"/>
      <c r="AR813" s="589"/>
      <c r="AS813">
        <v>1</v>
      </c>
      <c r="AT813" s="589">
        <f t="shared" si="2164"/>
        <v>1.2919896640826874E-3</v>
      </c>
      <c r="AU813" s="196">
        <v>11</v>
      </c>
      <c r="AV813" s="245">
        <f t="shared" si="2146"/>
        <v>1.2498579706851495E-3</v>
      </c>
      <c r="AX813" s="245"/>
      <c r="AY813" s="245"/>
      <c r="AZ813" s="196">
        <v>28</v>
      </c>
      <c r="BA813" s="589">
        <f t="shared" si="2073"/>
        <v>1.0259792605620901E-3</v>
      </c>
      <c r="BI813" s="196">
        <v>0</v>
      </c>
      <c r="BK813" s="246">
        <f t="shared" si="2074"/>
        <v>0</v>
      </c>
      <c r="BL813" s="246"/>
      <c r="BM813" s="246">
        <f t="shared" si="2075"/>
        <v>0</v>
      </c>
      <c r="BN813" s="196">
        <v>1</v>
      </c>
      <c r="BO813" s="196">
        <f t="shared" si="2125"/>
        <v>6066.7093071171976</v>
      </c>
      <c r="BP813" s="196">
        <f t="shared" si="2147"/>
        <v>6066.7093071171976</v>
      </c>
      <c r="BQ813" s="248">
        <f t="shared" si="2077"/>
        <v>5.6751240454443251E-4</v>
      </c>
      <c r="BR813" s="248"/>
      <c r="BS813" s="248"/>
      <c r="BT813" s="276">
        <v>0</v>
      </c>
      <c r="BU813" s="196">
        <f t="shared" si="2126"/>
        <v>0</v>
      </c>
      <c r="BV813" s="264">
        <f t="shared" si="2079"/>
        <v>0</v>
      </c>
      <c r="BW813" s="196">
        <f t="shared" si="2127"/>
        <v>0</v>
      </c>
      <c r="BX813" s="247">
        <f t="shared" si="2081"/>
        <v>0</v>
      </c>
      <c r="BY813" s="196">
        <f t="shared" si="2128"/>
        <v>0</v>
      </c>
      <c r="BZ813" s="620">
        <v>1</v>
      </c>
      <c r="CA813" s="196">
        <f t="shared" si="2129"/>
        <v>34610.270278954391</v>
      </c>
      <c r="CB813" s="196">
        <f t="shared" si="2130"/>
        <v>69220.540557908782</v>
      </c>
      <c r="CC813" s="196">
        <f t="shared" si="2160"/>
        <v>103830.81083686318</v>
      </c>
      <c r="CD813" s="247">
        <f t="shared" si="2148"/>
        <v>4.381054246452642E-4</v>
      </c>
      <c r="CE813" s="196">
        <f t="shared" si="2131"/>
        <v>9978.2867147376564</v>
      </c>
      <c r="CF813" s="247">
        <f t="shared" si="2149"/>
        <v>4.308934522718961E-4</v>
      </c>
      <c r="CG813" s="196">
        <f t="shared" si="2101"/>
        <v>17192.02968104924</v>
      </c>
      <c r="CH813" s="589">
        <f t="shared" si="2165"/>
        <v>4.3810542464526415E-4</v>
      </c>
      <c r="CI813" s="196">
        <f t="shared" si="2132"/>
        <v>30982.661225445157</v>
      </c>
      <c r="CJ813" s="248">
        <f t="shared" si="2166"/>
        <v>5.0935487190192615E-4</v>
      </c>
      <c r="CK813" s="196">
        <f t="shared" si="2133"/>
        <v>26660.546596226333</v>
      </c>
      <c r="CL813" s="589">
        <f t="shared" si="2167"/>
        <v>3.8325084116122701E-4</v>
      </c>
      <c r="CM813" s="196">
        <f t="shared" si="2134"/>
        <v>2582.7465239611647</v>
      </c>
      <c r="CN813" s="589">
        <f t="shared" si="2168"/>
        <v>3.7220312611576994E-4</v>
      </c>
      <c r="CO813" s="196">
        <f t="shared" si="2135"/>
        <v>206.61318409969394</v>
      </c>
      <c r="CP813" s="589">
        <f t="shared" si="2169"/>
        <v>3.8964064092303471E-4</v>
      </c>
      <c r="CQ813" s="196">
        <f>'Detailed Budget'!$AC$12</f>
        <v>292876014141.44696</v>
      </c>
      <c r="CR813" s="269">
        <f t="shared" si="2040"/>
        <v>0</v>
      </c>
      <c r="CS813" s="269">
        <f>'Detailed Budget'!$AC$16</f>
        <v>10488008800.000002</v>
      </c>
      <c r="CT813" s="607">
        <f t="shared" si="2103"/>
        <v>0</v>
      </c>
      <c r="CU813" s="269">
        <f>'Detailed Budget'!$AC$24</f>
        <v>30624985696</v>
      </c>
      <c r="CV813" s="269">
        <f t="shared" si="2050"/>
        <v>0</v>
      </c>
      <c r="CW813" s="269"/>
      <c r="CX813" s="269">
        <f t="shared" si="2161"/>
        <v>0</v>
      </c>
      <c r="CY813" s="196">
        <f>'Detailed Budget'!$AC$97</f>
        <v>74629165494.837845</v>
      </c>
      <c r="CZ813" s="269">
        <f t="shared" si="2104"/>
        <v>42352977.159119822</v>
      </c>
      <c r="DA813" s="269">
        <f>'Detailed Budget'!$AC$100</f>
        <v>14925833098.967569</v>
      </c>
      <c r="DB813" s="269">
        <f t="shared" si="2105"/>
        <v>8470595.4318239633</v>
      </c>
      <c r="DC813" s="269">
        <f t="shared" si="2150"/>
        <v>50823572.590943784</v>
      </c>
      <c r="DD813" s="207">
        <v>0</v>
      </c>
      <c r="DE813" s="606">
        <v>0</v>
      </c>
      <c r="DF813" s="269">
        <f>'Detailed Budget'!$AC$147</f>
        <v>5913600671000</v>
      </c>
      <c r="DG813" s="269">
        <f t="shared" si="2042"/>
        <v>0</v>
      </c>
      <c r="DH813" s="269">
        <f>'Detailed Budget'!$AC$153</f>
        <v>226428026880.00003</v>
      </c>
      <c r="DI813" s="269"/>
      <c r="DJ813" s="269">
        <f>'Detailed Budget'!$AC$156</f>
        <v>27713070000</v>
      </c>
      <c r="DK813" s="269"/>
      <c r="DL813" s="269"/>
      <c r="DM813" s="196">
        <f>'Detailed Budget'!$AC$178</f>
        <v>5622683761.6229038</v>
      </c>
      <c r="DN813" s="269">
        <f t="shared" si="2136"/>
        <v>0</v>
      </c>
      <c r="DO813" s="196">
        <f>'Detailed Budget'!$AC$179</f>
        <v>26827890683.128094</v>
      </c>
      <c r="DP813" s="269">
        <f t="shared" si="2137"/>
        <v>0</v>
      </c>
      <c r="DQ813" s="269">
        <f t="shared" si="2041"/>
        <v>0</v>
      </c>
      <c r="DR813" s="269">
        <f>'Detailed Budget'!$AC$181</f>
        <v>50888946855.375237</v>
      </c>
      <c r="DS813" s="269">
        <f t="shared" si="2138"/>
        <v>0</v>
      </c>
      <c r="DT813" s="269">
        <f t="shared" si="2139"/>
        <v>0</v>
      </c>
      <c r="DU813" s="272">
        <f>'Detailed Budget'!$AC$192</f>
        <v>77498869683.252869</v>
      </c>
      <c r="DV813" s="269">
        <f t="shared" si="2106"/>
        <v>33952675.212109491</v>
      </c>
      <c r="DW813" s="140">
        <f>'Detailed Budget'!$AC$194</f>
        <v>2684962805.4134097</v>
      </c>
      <c r="DX813" s="269">
        <f t="shared" si="2107"/>
        <v>1176296.7700223816</v>
      </c>
      <c r="DY813" s="607">
        <f t="shared" si="2151"/>
        <v>35128971.982131876</v>
      </c>
      <c r="DZ813" s="196">
        <f>'Detailed Budget'!$AC$198</f>
        <v>18732540018.380611</v>
      </c>
      <c r="EA813" s="269">
        <f t="shared" si="2108"/>
        <v>8071728.8383414699</v>
      </c>
      <c r="EB813" s="196">
        <f>'Detailed Budget'!$AC$200</f>
        <v>4683135004.5951529</v>
      </c>
      <c r="EC813" s="269">
        <f t="shared" si="2109"/>
        <v>2017932.2095853675</v>
      </c>
      <c r="ED813" s="269">
        <f t="shared" si="2152"/>
        <v>10089661.047926838</v>
      </c>
      <c r="EE813" s="196">
        <f>'Detailed Budget'!$AC$161</f>
        <v>251147290106.36197</v>
      </c>
      <c r="EF813" s="269">
        <f t="shared" si="2110"/>
        <v>110028990.18055506</v>
      </c>
      <c r="EG813" s="196">
        <f>'Detailed Budget'!$AC$163</f>
        <v>15696705631.647623</v>
      </c>
      <c r="EH813" s="269">
        <f t="shared" si="2111"/>
        <v>6876811.8862846913</v>
      </c>
      <c r="EI813" s="269">
        <f t="shared" si="2153"/>
        <v>116905802.06683975</v>
      </c>
      <c r="EJ813" s="196">
        <f>'Detailed Budget'!$AC$204</f>
        <v>45012172507.531975</v>
      </c>
      <c r="EK813" s="269">
        <f t="shared" si="2112"/>
        <v>22927169.361601353</v>
      </c>
      <c r="EL813" s="201">
        <f>'Detailed Budget'!$AC$206</f>
        <v>11253043126.882994</v>
      </c>
      <c r="EM813" s="269">
        <f t="shared" si="2113"/>
        <v>5731792.3404003382</v>
      </c>
      <c r="EN813" s="269">
        <f t="shared" si="2154"/>
        <v>28658961.702001691</v>
      </c>
      <c r="EO813" s="140">
        <f>'Detailed Budget'!$AC$209</f>
        <v>135789361677.54817</v>
      </c>
      <c r="EP813" s="269">
        <f t="shared" si="2114"/>
        <v>52041387.083666421</v>
      </c>
      <c r="EQ813" s="196">
        <f>'Detailed Budget'!$AC$211</f>
        <v>33947340419.387043</v>
      </c>
      <c r="ER813" s="269">
        <f t="shared" si="2115"/>
        <v>13010346.770916605</v>
      </c>
      <c r="ES813" s="269">
        <f t="shared" si="2155"/>
        <v>65051733.854583025</v>
      </c>
      <c r="ET813" s="196">
        <f>'Detailed Budget'!$AC$214</f>
        <v>22239745544.201103</v>
      </c>
      <c r="EU813" s="269">
        <f t="shared" si="2116"/>
        <v>8277702.815570916</v>
      </c>
      <c r="EV813" s="140">
        <f>'Detailed Budget'!$AC$217</f>
        <v>5559936386.0502758</v>
      </c>
      <c r="EW813" s="269">
        <f t="shared" si="2117"/>
        <v>2069425.703892729</v>
      </c>
      <c r="EX813" s="269">
        <f t="shared" si="2156"/>
        <v>10347128.519463645</v>
      </c>
      <c r="EY813" s="196">
        <f>'Detailed Budget'!$AC$219</f>
        <v>372777004.58170313</v>
      </c>
      <c r="EZ813" s="269">
        <f t="shared" si="2118"/>
        <v>145249.07098658386</v>
      </c>
      <c r="FA813" s="196">
        <f>'Detailed Budget'!$AC$222</f>
        <v>93194251.145425782</v>
      </c>
      <c r="FB813" s="269">
        <f t="shared" si="2119"/>
        <v>36312.267746645965</v>
      </c>
      <c r="FC813" s="269">
        <f t="shared" si="2157"/>
        <v>181561.33873322982</v>
      </c>
      <c r="FD813" s="269"/>
      <c r="FE813" s="269">
        <f t="shared" si="2158"/>
        <v>104239385.41478159</v>
      </c>
      <c r="FF813" s="140">
        <f>'Detailed Budget'!$AC$165</f>
        <v>14927760000</v>
      </c>
      <c r="FG813" s="1087">
        <f t="shared" si="2043"/>
        <v>142189421.71236163</v>
      </c>
      <c r="FH813" s="269">
        <f t="shared" si="2120"/>
        <v>18657579.820474949</v>
      </c>
      <c r="FJ813" s="140">
        <f>'Detailed Budget'!$AC$235</f>
        <v>3623696172</v>
      </c>
      <c r="FK813" s="269">
        <f t="shared" si="2121"/>
        <v>4681778</v>
      </c>
      <c r="FL813" s="269">
        <f t="shared" si="2044"/>
        <v>4681778</v>
      </c>
      <c r="FO813" s="607"/>
      <c r="FP813" s="607"/>
      <c r="FQ813" s="607"/>
      <c r="FR813" s="269">
        <f>'Detailed Budget'!$AC$257</f>
        <v>13636439388</v>
      </c>
      <c r="FS813" s="269">
        <f t="shared" si="2122"/>
        <v>13990704</v>
      </c>
      <c r="FT813" s="269">
        <f t="shared" si="2045"/>
        <v>13990704</v>
      </c>
      <c r="FU813" s="269"/>
      <c r="FV813" s="269"/>
      <c r="FW813" s="269"/>
      <c r="FX813" s="140">
        <f>'Detailed Budget'!$AC$278</f>
        <v>1114560000</v>
      </c>
      <c r="FY813" s="269">
        <f t="shared" si="2123"/>
        <v>1440000</v>
      </c>
      <c r="FZ813" s="269">
        <f t="shared" si="2071"/>
        <v>1440000</v>
      </c>
      <c r="GB813" s="269">
        <f t="shared" si="2094"/>
        <v>498146876.63546038</v>
      </c>
      <c r="GC813" s="887">
        <f t="shared" si="2159"/>
        <v>311341.79789716273</v>
      </c>
      <c r="GD813" s="1078">
        <f t="shared" si="2095"/>
        <v>2.7952589867844327E-4</v>
      </c>
    </row>
    <row r="814" spans="1:186" hidden="1" outlineLevel="1">
      <c r="A814" s="211" t="s">
        <v>1702</v>
      </c>
      <c r="B814" s="212" t="s">
        <v>1703</v>
      </c>
      <c r="C814" s="213" t="s">
        <v>215</v>
      </c>
      <c r="D814" s="214"/>
      <c r="E814" s="213"/>
      <c r="F814" s="213"/>
      <c r="G814" s="213" t="s">
        <v>215</v>
      </c>
      <c r="H814" s="213" t="s">
        <v>215</v>
      </c>
      <c r="I814" s="214" t="s">
        <v>215</v>
      </c>
      <c r="J814" s="214"/>
      <c r="K814" s="213"/>
      <c r="L814" s="213"/>
      <c r="M814" s="214"/>
      <c r="N814" s="213"/>
      <c r="O814" s="214"/>
      <c r="P814" s="213" t="s">
        <v>215</v>
      </c>
      <c r="Q814" s="214"/>
      <c r="R814" s="214" t="s">
        <v>215</v>
      </c>
      <c r="S814" s="214"/>
      <c r="T814" s="214"/>
      <c r="U814" s="215">
        <f t="shared" si="2099"/>
        <v>6</v>
      </c>
      <c r="V814" s="845" t="s">
        <v>216</v>
      </c>
      <c r="W814" s="216">
        <v>105416</v>
      </c>
      <c r="X814" s="217">
        <v>3.21</v>
      </c>
      <c r="Y814" s="218">
        <f t="shared" si="2170"/>
        <v>1.0321</v>
      </c>
      <c r="Z814" s="196">
        <v>19</v>
      </c>
      <c r="AA814" s="218">
        <f t="shared" si="2171"/>
        <v>1.8226940798007465</v>
      </c>
      <c r="AB814" s="196">
        <f t="shared" ref="AB814:AB846" si="2175">W814*AA814</f>
        <v>192141.11911627548</v>
      </c>
      <c r="AC814">
        <v>11.9</v>
      </c>
      <c r="AD814" s="196">
        <f t="shared" ref="AD814:AD846" si="2176">AB814*AC814/100</f>
        <v>22864.793174836785</v>
      </c>
      <c r="AE814" s="196">
        <f t="shared" si="2172"/>
        <v>21721.553516094944</v>
      </c>
      <c r="AF814" s="196">
        <f t="shared" si="2124"/>
        <v>0</v>
      </c>
      <c r="AG814" s="606">
        <f t="shared" si="2162"/>
        <v>1.0043092751775178E-3</v>
      </c>
      <c r="AH814" s="196">
        <f t="shared" si="2140"/>
        <v>9607.0559558137738</v>
      </c>
      <c r="AI814" s="248">
        <f t="shared" si="2141"/>
        <v>7.4424406878533477E-4</v>
      </c>
      <c r="AJ814" s="196">
        <f t="shared" si="2142"/>
        <v>32471.84913065056</v>
      </c>
      <c r="AK814" s="196">
        <f t="shared" si="2173"/>
        <v>7685.6447646510196</v>
      </c>
      <c r="AL814" s="196">
        <f t="shared" si="2174"/>
        <v>7685.6447646510196</v>
      </c>
      <c r="AM814" s="196">
        <f t="shared" si="2143"/>
        <v>15371.289529302039</v>
      </c>
      <c r="AN814" s="627">
        <f t="shared" si="2144"/>
        <v>7.4424406878533477E-4</v>
      </c>
      <c r="AO814" s="196">
        <f t="shared" si="2145"/>
        <v>7301.3625264184684</v>
      </c>
      <c r="AP814" s="589">
        <f t="shared" si="2163"/>
        <v>7.4424406878533477E-4</v>
      </c>
      <c r="AQ814" s="196"/>
      <c r="AR814" s="589"/>
      <c r="AS814">
        <v>1</v>
      </c>
      <c r="AT814" s="589">
        <f t="shared" si="2164"/>
        <v>1.2919896640826874E-3</v>
      </c>
      <c r="AU814" s="196">
        <v>11</v>
      </c>
      <c r="AV814" s="245">
        <f t="shared" si="2146"/>
        <v>1.2498579706851495E-3</v>
      </c>
      <c r="AX814" s="245"/>
      <c r="AY814" s="245"/>
      <c r="AZ814" s="196">
        <v>24</v>
      </c>
      <c r="BA814" s="589">
        <f t="shared" si="2073"/>
        <v>8.7941079476750578E-4</v>
      </c>
      <c r="BI814" s="196">
        <v>0</v>
      </c>
      <c r="BK814" s="246">
        <f t="shared" si="2074"/>
        <v>0</v>
      </c>
      <c r="BL814" s="246"/>
      <c r="BM814" s="246">
        <f t="shared" si="2075"/>
        <v>0</v>
      </c>
      <c r="BN814" s="196">
        <v>1</v>
      </c>
      <c r="BO814" s="196">
        <f t="shared" si="2125"/>
        <v>10305.995235102757</v>
      </c>
      <c r="BP814" s="196">
        <f t="shared" si="2147"/>
        <v>10305.995235102757</v>
      </c>
      <c r="BQ814" s="248">
        <f t="shared" si="2077"/>
        <v>9.6407786182125079E-4</v>
      </c>
      <c r="BR814" s="248"/>
      <c r="BS814" s="248"/>
      <c r="BT814" s="276">
        <v>0</v>
      </c>
      <c r="BU814" s="196">
        <f t="shared" si="2126"/>
        <v>0</v>
      </c>
      <c r="BV814" s="264">
        <f t="shared" si="2079"/>
        <v>0</v>
      </c>
      <c r="BW814" s="196">
        <f t="shared" si="2127"/>
        <v>0</v>
      </c>
      <c r="BX814" s="247">
        <f t="shared" si="2081"/>
        <v>0</v>
      </c>
      <c r="BY814" s="196">
        <f t="shared" si="2128"/>
        <v>0</v>
      </c>
      <c r="BZ814" s="620">
        <v>1</v>
      </c>
      <c r="CA814" s="196">
        <f t="shared" si="2129"/>
        <v>58795.182449580301</v>
      </c>
      <c r="CB814" s="196">
        <f t="shared" si="2130"/>
        <v>117590.3648991606</v>
      </c>
      <c r="CC814" s="196">
        <f t="shared" si="2160"/>
        <v>176385.54734874092</v>
      </c>
      <c r="CD814" s="247">
        <f t="shared" si="2148"/>
        <v>7.4424406878533488E-4</v>
      </c>
      <c r="CE814" s="196">
        <f t="shared" si="2131"/>
        <v>16950.898770760705</v>
      </c>
      <c r="CF814" s="247">
        <f t="shared" si="2149"/>
        <v>7.3199252529561668E-4</v>
      </c>
      <c r="CG814" s="196">
        <f t="shared" si="2101"/>
        <v>29205.450105673874</v>
      </c>
      <c r="CH814" s="589">
        <f t="shared" si="2165"/>
        <v>7.4424406878533477E-4</v>
      </c>
      <c r="CI814" s="196">
        <f t="shared" si="2132"/>
        <v>52632.678243812268</v>
      </c>
      <c r="CJ814" s="248">
        <f t="shared" si="2166"/>
        <v>8.6528109672887239E-4</v>
      </c>
      <c r="CK814" s="196">
        <f t="shared" si="2133"/>
        <v>45290.362909527103</v>
      </c>
      <c r="CL814" s="589">
        <f t="shared" si="2167"/>
        <v>6.5105828265465406E-4</v>
      </c>
      <c r="CM814" s="196">
        <f t="shared" si="2134"/>
        <v>4387.5142226107928</v>
      </c>
      <c r="CN814" s="589">
        <f t="shared" si="2168"/>
        <v>6.3229066204628236E-4</v>
      </c>
      <c r="CO814" s="196">
        <f t="shared" si="2135"/>
        <v>350.99003150567785</v>
      </c>
      <c r="CP814" s="589">
        <f t="shared" si="2169"/>
        <v>6.6191313700233057E-4</v>
      </c>
      <c r="CQ814" s="196">
        <f>'Detailed Budget'!$AC$12</f>
        <v>292876014141.44696</v>
      </c>
      <c r="CR814" s="269">
        <f t="shared" si="2040"/>
        <v>0</v>
      </c>
      <c r="CS814" s="269">
        <f>'Detailed Budget'!$AC$16</f>
        <v>10488008800.000002</v>
      </c>
      <c r="CT814" s="607">
        <f t="shared" si="2103"/>
        <v>0</v>
      </c>
      <c r="CU814" s="269">
        <f>'Detailed Budget'!$AC$24</f>
        <v>30624985696</v>
      </c>
      <c r="CV814" s="269">
        <f t="shared" si="2050"/>
        <v>0</v>
      </c>
      <c r="CW814" s="269"/>
      <c r="CX814" s="269">
        <f t="shared" si="2161"/>
        <v>0</v>
      </c>
      <c r="CY814" s="196">
        <f>'Detailed Budget'!$AC$97</f>
        <v>74629165494.837845</v>
      </c>
      <c r="CZ814" s="269">
        <f t="shared" si="2104"/>
        <v>71948326.299767539</v>
      </c>
      <c r="DA814" s="269">
        <f>'Detailed Budget'!$AC$100</f>
        <v>14925833098.967569</v>
      </c>
      <c r="DB814" s="269">
        <f t="shared" si="2105"/>
        <v>14389665.259953508</v>
      </c>
      <c r="DC814" s="269">
        <f t="shared" si="2150"/>
        <v>86337991.559721053</v>
      </c>
      <c r="DD814" s="207">
        <v>0</v>
      </c>
      <c r="DE814" s="606">
        <v>0</v>
      </c>
      <c r="DF814" s="269">
        <f>'Detailed Budget'!$AC$147</f>
        <v>5913600671000</v>
      </c>
      <c r="DG814" s="269">
        <f t="shared" si="2042"/>
        <v>0</v>
      </c>
      <c r="DH814" s="269">
        <f>'Detailed Budget'!$AC$153</f>
        <v>226428026880.00003</v>
      </c>
      <c r="DI814" s="269"/>
      <c r="DJ814" s="269">
        <f>'Detailed Budget'!$AC$156</f>
        <v>27713070000</v>
      </c>
      <c r="DK814" s="269"/>
      <c r="DL814" s="269"/>
      <c r="DM814" s="196">
        <f>'Detailed Budget'!$AC$178</f>
        <v>5622683761.6229038</v>
      </c>
      <c r="DN814" s="269">
        <f t="shared" si="2136"/>
        <v>0</v>
      </c>
      <c r="DO814" s="196">
        <f>'Detailed Budget'!$AC$179</f>
        <v>26827890683.128094</v>
      </c>
      <c r="DP814" s="269">
        <f t="shared" si="2137"/>
        <v>0</v>
      </c>
      <c r="DQ814" s="269">
        <f t="shared" si="2041"/>
        <v>0</v>
      </c>
      <c r="DR814" s="269">
        <f>'Detailed Budget'!$AC$181</f>
        <v>50888946855.375237</v>
      </c>
      <c r="DS814" s="269">
        <f t="shared" si="2138"/>
        <v>0</v>
      </c>
      <c r="DT814" s="269">
        <f t="shared" si="2139"/>
        <v>0</v>
      </c>
      <c r="DU814" s="272">
        <f>'Detailed Budget'!$AC$192</f>
        <v>77498869683.252869</v>
      </c>
      <c r="DV814" s="269">
        <f t="shared" si="2106"/>
        <v>57678074.099328555</v>
      </c>
      <c r="DW814" s="140">
        <f>'Detailed Budget'!$AC$194</f>
        <v>2684962805.4134097</v>
      </c>
      <c r="DX814" s="269">
        <f t="shared" si="2107"/>
        <v>1998267.6428381631</v>
      </c>
      <c r="DY814" s="607">
        <f t="shared" si="2151"/>
        <v>59676341.74216672</v>
      </c>
      <c r="DZ814" s="196">
        <f>'Detailed Budget'!$AC$198</f>
        <v>18732540018.380611</v>
      </c>
      <c r="EA814" s="269">
        <f t="shared" si="2108"/>
        <v>13712079.273255622</v>
      </c>
      <c r="EB814" s="196">
        <f>'Detailed Budget'!$AC$200</f>
        <v>4683135004.5951529</v>
      </c>
      <c r="EC814" s="269">
        <f t="shared" si="2109"/>
        <v>3428019.8183139055</v>
      </c>
      <c r="ED814" s="269">
        <f t="shared" si="2152"/>
        <v>17140099.091569528</v>
      </c>
      <c r="EE814" s="196">
        <f>'Detailed Budget'!$AC$161</f>
        <v>251147290106.36197</v>
      </c>
      <c r="EF814" s="269">
        <f t="shared" si="2110"/>
        <v>186914881.0531697</v>
      </c>
      <c r="EG814" s="196">
        <f>'Detailed Budget'!$AC$163</f>
        <v>15696705631.647623</v>
      </c>
      <c r="EH814" s="269">
        <f t="shared" si="2111"/>
        <v>11682180.065823106</v>
      </c>
      <c r="EI814" s="269">
        <f t="shared" si="2153"/>
        <v>198597061.11899281</v>
      </c>
      <c r="EJ814" s="196">
        <f>'Detailed Budget'!$AC$204</f>
        <v>45012172507.531975</v>
      </c>
      <c r="EK814" s="269">
        <f t="shared" si="2112"/>
        <v>38948181.993466467</v>
      </c>
      <c r="EL814" s="201">
        <f>'Detailed Budget'!$AC$206</f>
        <v>11253043126.882994</v>
      </c>
      <c r="EM814" s="269">
        <f t="shared" si="2113"/>
        <v>9737045.4983666167</v>
      </c>
      <c r="EN814" s="269">
        <f t="shared" si="2154"/>
        <v>48685227.491833083</v>
      </c>
      <c r="EO814" s="140">
        <f>'Detailed Budget'!$AC$209</f>
        <v>135789361677.54817</v>
      </c>
      <c r="EP814" s="269">
        <f t="shared" si="2114"/>
        <v>88406788.616556212</v>
      </c>
      <c r="EQ814" s="196">
        <f>'Detailed Budget'!$AC$211</f>
        <v>33947340419.387043</v>
      </c>
      <c r="ER814" s="269">
        <f t="shared" si="2115"/>
        <v>22101697.154139053</v>
      </c>
      <c r="ES814" s="269">
        <f t="shared" si="2155"/>
        <v>110508485.77069527</v>
      </c>
      <c r="ET814" s="196">
        <f>'Detailed Budget'!$AC$214</f>
        <v>22239745544.201103</v>
      </c>
      <c r="EU814" s="269">
        <f t="shared" si="2116"/>
        <v>14061983.433883773</v>
      </c>
      <c r="EV814" s="140">
        <f>'Detailed Budget'!$AC$217</f>
        <v>5559936386.0502758</v>
      </c>
      <c r="EW814" s="269">
        <f t="shared" si="2117"/>
        <v>3515495.8584709433</v>
      </c>
      <c r="EX814" s="269">
        <f t="shared" si="2156"/>
        <v>17577479.292354718</v>
      </c>
      <c r="EY814" s="196">
        <f>'Detailed Budget'!$AC$219</f>
        <v>372777004.58170313</v>
      </c>
      <c r="EZ814" s="269">
        <f t="shared" si="2118"/>
        <v>246745.99650500726</v>
      </c>
      <c r="FA814" s="196">
        <f>'Detailed Budget'!$AC$222</f>
        <v>93194251.145425782</v>
      </c>
      <c r="FB814" s="269">
        <f t="shared" si="2119"/>
        <v>61686.499126251816</v>
      </c>
      <c r="FC814" s="269">
        <f t="shared" si="2157"/>
        <v>308432.49563125905</v>
      </c>
      <c r="FD814" s="269"/>
      <c r="FE814" s="269">
        <f t="shared" si="2158"/>
        <v>177079625.05051431</v>
      </c>
      <c r="FF814" s="140">
        <f>'Detailed Budget'!$AC$165</f>
        <v>14927760000</v>
      </c>
      <c r="FG814" s="1087">
        <f t="shared" si="2043"/>
        <v>241548330.15164715</v>
      </c>
      <c r="FH814" s="269">
        <f t="shared" si="2120"/>
        <v>18657579.820474949</v>
      </c>
      <c r="FJ814" s="140">
        <f>'Detailed Budget'!$AC$235</f>
        <v>3623696172</v>
      </c>
      <c r="FK814" s="269">
        <f t="shared" si="2121"/>
        <v>4681778</v>
      </c>
      <c r="FL814" s="269">
        <f t="shared" si="2044"/>
        <v>4681778</v>
      </c>
      <c r="FO814" s="607"/>
      <c r="FP814" s="607"/>
      <c r="FQ814" s="607"/>
      <c r="FR814" s="269">
        <f>'Detailed Budget'!$AC$257</f>
        <v>13636439388</v>
      </c>
      <c r="FS814" s="269">
        <f t="shared" si="2122"/>
        <v>11992032</v>
      </c>
      <c r="FT814" s="269">
        <f t="shared" si="2045"/>
        <v>11992032</v>
      </c>
      <c r="FU814" s="269"/>
      <c r="FV814" s="269"/>
      <c r="FW814" s="269"/>
      <c r="FX814" s="140">
        <f>'Detailed Budget'!$AC$278</f>
        <v>1114560000</v>
      </c>
      <c r="FY814" s="269">
        <f t="shared" si="2123"/>
        <v>1440000</v>
      </c>
      <c r="FZ814" s="269">
        <f t="shared" si="2071"/>
        <v>1440000</v>
      </c>
      <c r="GB814" s="269">
        <f t="shared" si="2094"/>
        <v>817150838.53508651</v>
      </c>
      <c r="GC814" s="887">
        <f t="shared" si="2159"/>
        <v>510719.27408442908</v>
      </c>
      <c r="GD814" s="1078">
        <f t="shared" si="2095"/>
        <v>4.585290668489237E-4</v>
      </c>
    </row>
    <row r="815" spans="1:186" hidden="1" outlineLevel="1">
      <c r="A815" s="211" t="s">
        <v>1704</v>
      </c>
      <c r="B815" s="212" t="s">
        <v>1705</v>
      </c>
      <c r="C815" s="213" t="s">
        <v>215</v>
      </c>
      <c r="D815" s="214"/>
      <c r="E815" s="213"/>
      <c r="F815" s="213"/>
      <c r="G815" s="213" t="s">
        <v>215</v>
      </c>
      <c r="H815" s="213" t="s">
        <v>215</v>
      </c>
      <c r="I815" s="214" t="s">
        <v>215</v>
      </c>
      <c r="J815" s="214"/>
      <c r="K815" s="213"/>
      <c r="L815" s="213"/>
      <c r="M815" s="214"/>
      <c r="N815" s="213"/>
      <c r="O815" s="214"/>
      <c r="P815" s="213" t="s">
        <v>215</v>
      </c>
      <c r="Q815" s="214"/>
      <c r="R815" s="214" t="s">
        <v>215</v>
      </c>
      <c r="S815" s="214"/>
      <c r="T815" s="214"/>
      <c r="U815" s="215">
        <f t="shared" si="2099"/>
        <v>6</v>
      </c>
      <c r="V815" s="845" t="s">
        <v>216</v>
      </c>
      <c r="W815" s="216">
        <v>106809</v>
      </c>
      <c r="X815" s="217">
        <v>3.21</v>
      </c>
      <c r="Y815" s="218">
        <f t="shared" si="2170"/>
        <v>1.0321</v>
      </c>
      <c r="Z815" s="196">
        <v>19</v>
      </c>
      <c r="AA815" s="218">
        <f t="shared" si="2171"/>
        <v>1.8226940798007465</v>
      </c>
      <c r="AB815" s="196">
        <f t="shared" si="2175"/>
        <v>194680.13196943793</v>
      </c>
      <c r="AC815">
        <v>11.9</v>
      </c>
      <c r="AD815" s="196">
        <f t="shared" si="2176"/>
        <v>23166.935704363113</v>
      </c>
      <c r="AE815" s="196">
        <f t="shared" si="2172"/>
        <v>22008.588919144957</v>
      </c>
      <c r="AF815" s="196">
        <f t="shared" si="2124"/>
        <v>0</v>
      </c>
      <c r="AG815" s="606">
        <f t="shared" si="2162"/>
        <v>1.0175805321055202E-3</v>
      </c>
      <c r="AH815" s="196">
        <f t="shared" si="2140"/>
        <v>9734.0065984718967</v>
      </c>
      <c r="AI815" s="248">
        <f t="shared" si="2141"/>
        <v>7.5407874272304793E-4</v>
      </c>
      <c r="AJ815" s="196">
        <f t="shared" si="2142"/>
        <v>32900.942302835014</v>
      </c>
      <c r="AK815" s="196">
        <f t="shared" si="2173"/>
        <v>7787.2052787775174</v>
      </c>
      <c r="AL815" s="196">
        <f t="shared" si="2174"/>
        <v>7787.2052787775174</v>
      </c>
      <c r="AM815" s="196">
        <f t="shared" si="2143"/>
        <v>15574.410557555035</v>
      </c>
      <c r="AN815" s="627">
        <f t="shared" si="2144"/>
        <v>7.5407874272304793E-4</v>
      </c>
      <c r="AO815" s="196">
        <f t="shared" si="2145"/>
        <v>7397.845014838641</v>
      </c>
      <c r="AP815" s="589">
        <f t="shared" si="2163"/>
        <v>7.5407874272304793E-4</v>
      </c>
      <c r="AQ815" s="196"/>
      <c r="AR815" s="589"/>
      <c r="AS815">
        <v>1</v>
      </c>
      <c r="AT815" s="589">
        <f t="shared" si="2164"/>
        <v>1.2919896640826874E-3</v>
      </c>
      <c r="AU815" s="196">
        <v>10</v>
      </c>
      <c r="AV815" s="245">
        <f t="shared" si="2146"/>
        <v>1.1362345188046814E-3</v>
      </c>
      <c r="AX815" s="245"/>
      <c r="AY815" s="245"/>
      <c r="AZ815" s="196">
        <v>22</v>
      </c>
      <c r="BA815" s="589">
        <f t="shared" si="2073"/>
        <v>8.0612656187021366E-4</v>
      </c>
      <c r="BI815" s="196">
        <v>0</v>
      </c>
      <c r="BK815" s="246">
        <f t="shared" si="2074"/>
        <v>0</v>
      </c>
      <c r="BL815" s="246"/>
      <c r="BM815" s="246">
        <f t="shared" si="2075"/>
        <v>0</v>
      </c>
      <c r="BN815" s="196">
        <v>1</v>
      </c>
      <c r="BO815" s="196">
        <f t="shared" si="2125"/>
        <v>10442.181880038042</v>
      </c>
      <c r="BP815" s="196">
        <f t="shared" si="2147"/>
        <v>10442.181880038042</v>
      </c>
      <c r="BQ815" s="248">
        <f t="shared" si="2077"/>
        <v>9.7681748826806145E-4</v>
      </c>
      <c r="BR815" s="248"/>
      <c r="BS815" s="248"/>
      <c r="BT815" s="276">
        <v>0</v>
      </c>
      <c r="BU815" s="196">
        <f t="shared" si="2126"/>
        <v>0</v>
      </c>
      <c r="BV815" s="264">
        <f t="shared" si="2079"/>
        <v>0</v>
      </c>
      <c r="BW815" s="196">
        <f t="shared" si="2127"/>
        <v>0</v>
      </c>
      <c r="BX815" s="247">
        <f t="shared" si="2081"/>
        <v>0</v>
      </c>
      <c r="BY815" s="196">
        <f t="shared" si="2128"/>
        <v>0</v>
      </c>
      <c r="BZ815" s="620">
        <v>1</v>
      </c>
      <c r="CA815" s="196">
        <f t="shared" si="2129"/>
        <v>59572.120382648012</v>
      </c>
      <c r="CB815" s="196">
        <f t="shared" si="2130"/>
        <v>119144.24076529602</v>
      </c>
      <c r="CC815" s="196">
        <f t="shared" si="2160"/>
        <v>178716.36114794403</v>
      </c>
      <c r="CD815" s="247">
        <f t="shared" si="2148"/>
        <v>7.5407874272304803E-4</v>
      </c>
      <c r="CE815" s="196">
        <f t="shared" si="2131"/>
        <v>17174.893249660206</v>
      </c>
      <c r="CF815" s="247">
        <f t="shared" si="2149"/>
        <v>7.4166530350515609E-4</v>
      </c>
      <c r="CG815" s="196">
        <f t="shared" si="2101"/>
        <v>29591.380059354564</v>
      </c>
      <c r="CH815" s="589">
        <f t="shared" si="2165"/>
        <v>7.5407874272304793E-4</v>
      </c>
      <c r="CI815" s="196">
        <f t="shared" si="2132"/>
        <v>53328.182918564016</v>
      </c>
      <c r="CJ815" s="248">
        <f t="shared" si="2166"/>
        <v>8.7671519181636685E-4</v>
      </c>
      <c r="CK815" s="196">
        <f t="shared" si="2133"/>
        <v>45888.843932644762</v>
      </c>
      <c r="CL815" s="589">
        <f t="shared" si="2167"/>
        <v>6.5966157046426488E-4</v>
      </c>
      <c r="CM815" s="196">
        <f t="shared" si="2134"/>
        <v>4445.4922080408678</v>
      </c>
      <c r="CN815" s="589">
        <f t="shared" si="2168"/>
        <v>6.406459486463285E-4</v>
      </c>
      <c r="CO815" s="196">
        <f t="shared" si="2135"/>
        <v>355.62812357791933</v>
      </c>
      <c r="CP815" s="589">
        <f t="shared" si="2169"/>
        <v>6.7065986425288312E-4</v>
      </c>
      <c r="CQ815" s="196">
        <f>'Detailed Budget'!$AC$12</f>
        <v>292876014141.44696</v>
      </c>
      <c r="CR815" s="269">
        <f t="shared" si="2040"/>
        <v>0</v>
      </c>
      <c r="CS815" s="269">
        <f>'Detailed Budget'!$AC$16</f>
        <v>10488008800.000002</v>
      </c>
      <c r="CT815" s="607">
        <f t="shared" si="2103"/>
        <v>0</v>
      </c>
      <c r="CU815" s="269">
        <f>'Detailed Budget'!$AC$24</f>
        <v>30624985696</v>
      </c>
      <c r="CV815" s="269">
        <f t="shared" si="2050"/>
        <v>0</v>
      </c>
      <c r="CW815" s="269"/>
      <c r="CX815" s="269">
        <f t="shared" si="2161"/>
        <v>0</v>
      </c>
      <c r="CY815" s="196">
        <f>'Detailed Budget'!$AC$97</f>
        <v>74629165494.837845</v>
      </c>
      <c r="CZ815" s="269">
        <f t="shared" si="2104"/>
        <v>72899073.990208983</v>
      </c>
      <c r="DA815" s="269">
        <f>'Detailed Budget'!$AC$100</f>
        <v>14925833098.967569</v>
      </c>
      <c r="DB815" s="269">
        <f t="shared" si="2105"/>
        <v>14579814.798041796</v>
      </c>
      <c r="DC815" s="269">
        <f t="shared" si="2150"/>
        <v>87478888.788250774</v>
      </c>
      <c r="DD815" s="207">
        <v>0</v>
      </c>
      <c r="DE815" s="606">
        <v>0</v>
      </c>
      <c r="DF815" s="269">
        <f>'Detailed Budget'!$AC$147</f>
        <v>5913600671000</v>
      </c>
      <c r="DG815" s="269">
        <f t="shared" si="2042"/>
        <v>0</v>
      </c>
      <c r="DH815" s="269">
        <f>'Detailed Budget'!$AC$153</f>
        <v>226428026880.00003</v>
      </c>
      <c r="DI815" s="269"/>
      <c r="DJ815" s="269">
        <f>'Detailed Budget'!$AC$156</f>
        <v>27713070000</v>
      </c>
      <c r="DK815" s="269"/>
      <c r="DL815" s="269"/>
      <c r="DM815" s="196">
        <f>'Detailed Budget'!$AC$178</f>
        <v>5622683761.6229038</v>
      </c>
      <c r="DN815" s="269">
        <f t="shared" si="2136"/>
        <v>0</v>
      </c>
      <c r="DO815" s="196">
        <f>'Detailed Budget'!$AC$179</f>
        <v>26827890683.128094</v>
      </c>
      <c r="DP815" s="269">
        <f t="shared" si="2137"/>
        <v>0</v>
      </c>
      <c r="DQ815" s="269">
        <f t="shared" si="2041"/>
        <v>0</v>
      </c>
      <c r="DR815" s="269">
        <f>'Detailed Budget'!$AC$181</f>
        <v>50888946855.375237</v>
      </c>
      <c r="DS815" s="269">
        <f t="shared" si="2138"/>
        <v>0</v>
      </c>
      <c r="DT815" s="269">
        <f t="shared" si="2139"/>
        <v>0</v>
      </c>
      <c r="DU815" s="272">
        <f>'Detailed Budget'!$AC$192</f>
        <v>77498869683.252869</v>
      </c>
      <c r="DV815" s="269">
        <f t="shared" si="2106"/>
        <v>58440250.213204667</v>
      </c>
      <c r="DW815" s="140">
        <f>'Detailed Budget'!$AC$194</f>
        <v>2684962805.4134097</v>
      </c>
      <c r="DX815" s="269">
        <f t="shared" si="2107"/>
        <v>2024673.3765642915</v>
      </c>
      <c r="DY815" s="607">
        <f t="shared" si="2151"/>
        <v>60464923.589768961</v>
      </c>
      <c r="DZ815" s="196">
        <f>'Detailed Budget'!$AC$198</f>
        <v>18732540018.380611</v>
      </c>
      <c r="EA815" s="269">
        <f t="shared" si="2108"/>
        <v>13893274.978154738</v>
      </c>
      <c r="EB815" s="196">
        <f>'Detailed Budget'!$AC$200</f>
        <v>4683135004.5951529</v>
      </c>
      <c r="EC815" s="269">
        <f t="shared" si="2109"/>
        <v>3473318.7445386844</v>
      </c>
      <c r="ED815" s="269">
        <f t="shared" si="2152"/>
        <v>17366593.722693421</v>
      </c>
      <c r="EE815" s="196">
        <f>'Detailed Budget'!$AC$161</f>
        <v>251147290106.36197</v>
      </c>
      <c r="EF815" s="269">
        <f t="shared" si="2110"/>
        <v>189384832.76170599</v>
      </c>
      <c r="EG815" s="196">
        <f>'Detailed Budget'!$AC$163</f>
        <v>15696705631.647623</v>
      </c>
      <c r="EH815" s="269">
        <f t="shared" si="2111"/>
        <v>11836552.047606625</v>
      </c>
      <c r="EI815" s="269">
        <f t="shared" si="2153"/>
        <v>201221384.80931261</v>
      </c>
      <c r="EJ815" s="196">
        <f>'Detailed Budget'!$AC$204</f>
        <v>45012172507.531975</v>
      </c>
      <c r="EK815" s="269">
        <f t="shared" si="2112"/>
        <v>39462855.45401229</v>
      </c>
      <c r="EL815" s="201">
        <f>'Detailed Budget'!$AC$206</f>
        <v>11253043126.882994</v>
      </c>
      <c r="EM815" s="269">
        <f t="shared" si="2113"/>
        <v>9865713.8635030724</v>
      </c>
      <c r="EN815" s="269">
        <f t="shared" si="2154"/>
        <v>49328569.317515358</v>
      </c>
      <c r="EO815" s="140">
        <f>'Detailed Budget'!$AC$209</f>
        <v>135789361677.54817</v>
      </c>
      <c r="EP815" s="269">
        <f t="shared" si="2114"/>
        <v>89575023.576551497</v>
      </c>
      <c r="EQ815" s="196">
        <f>'Detailed Budget'!$AC$211</f>
        <v>33947340419.387043</v>
      </c>
      <c r="ER815" s="269">
        <f t="shared" si="2115"/>
        <v>22393755.894137874</v>
      </c>
      <c r="ES815" s="269">
        <f t="shared" si="2155"/>
        <v>111968779.47068937</v>
      </c>
      <c r="ET815" s="196">
        <f>'Detailed Budget'!$AC$214</f>
        <v>22239745544.201103</v>
      </c>
      <c r="EU815" s="269">
        <f t="shared" si="2116"/>
        <v>14247802.881817672</v>
      </c>
      <c r="EV815" s="140">
        <f>'Detailed Budget'!$AC$217</f>
        <v>5559936386.0502758</v>
      </c>
      <c r="EW815" s="269">
        <f t="shared" si="2117"/>
        <v>3561950.7204544181</v>
      </c>
      <c r="EX815" s="269">
        <f t="shared" si="2156"/>
        <v>17809753.60227209</v>
      </c>
      <c r="EY815" s="196">
        <f>'Detailed Budget'!$AC$219</f>
        <v>372777004.58170313</v>
      </c>
      <c r="EZ815" s="269">
        <f t="shared" si="2118"/>
        <v>250006.57528936141</v>
      </c>
      <c r="FA815" s="196">
        <f>'Detailed Budget'!$AC$222</f>
        <v>93194251.145425782</v>
      </c>
      <c r="FB815" s="269">
        <f t="shared" si="2119"/>
        <v>62501.643822340353</v>
      </c>
      <c r="FC815" s="269">
        <f t="shared" si="2157"/>
        <v>312508.21911170176</v>
      </c>
      <c r="FD815" s="269"/>
      <c r="FE815" s="269">
        <f t="shared" si="2158"/>
        <v>179419610.60958853</v>
      </c>
      <c r="FF815" s="140">
        <f>'Detailed Budget'!$AC$165</f>
        <v>14927760000</v>
      </c>
      <c r="FG815" s="1087">
        <f t="shared" si="2043"/>
        <v>244740225.34688553</v>
      </c>
      <c r="FH815" s="269">
        <f t="shared" si="2120"/>
        <v>16961436.200431772</v>
      </c>
      <c r="FJ815" s="140">
        <f>'Detailed Budget'!$AC$235</f>
        <v>3623696172</v>
      </c>
      <c r="FK815" s="269">
        <f t="shared" si="2121"/>
        <v>4681778</v>
      </c>
      <c r="FL815" s="269">
        <f t="shared" si="2044"/>
        <v>4681778</v>
      </c>
      <c r="FO815" s="607"/>
      <c r="FP815" s="607"/>
      <c r="FQ815" s="607"/>
      <c r="FR815" s="269">
        <f>'Detailed Budget'!$AC$257</f>
        <v>13636439388</v>
      </c>
      <c r="FS815" s="269">
        <f t="shared" si="2122"/>
        <v>10992696</v>
      </c>
      <c r="FT815" s="269">
        <f t="shared" si="2045"/>
        <v>10992696</v>
      </c>
      <c r="FU815" s="269"/>
      <c r="FV815" s="269"/>
      <c r="FW815" s="269"/>
      <c r="FX815" s="140">
        <f>'Detailed Budget'!$AC$278</f>
        <v>1114560000</v>
      </c>
      <c r="FY815" s="269">
        <f t="shared" si="2123"/>
        <v>1440000</v>
      </c>
      <c r="FZ815" s="269">
        <f t="shared" si="2071"/>
        <v>1440000</v>
      </c>
      <c r="GB815" s="269">
        <f t="shared" si="2094"/>
        <v>824767537.06693172</v>
      </c>
      <c r="GC815" s="887">
        <f t="shared" si="2159"/>
        <v>515479.71066683234</v>
      </c>
      <c r="GD815" s="1078">
        <f t="shared" si="2095"/>
        <v>4.6280303623814635E-4</v>
      </c>
    </row>
    <row r="816" spans="1:186" hidden="1" outlineLevel="1">
      <c r="A816" s="211" t="s">
        <v>1706</v>
      </c>
      <c r="B816" s="212" t="s">
        <v>1707</v>
      </c>
      <c r="C816" s="213" t="s">
        <v>215</v>
      </c>
      <c r="D816" s="214"/>
      <c r="E816" s="213"/>
      <c r="F816" s="213"/>
      <c r="G816" s="213" t="s">
        <v>215</v>
      </c>
      <c r="H816" s="213" t="s">
        <v>215</v>
      </c>
      <c r="I816" s="214" t="s">
        <v>215</v>
      </c>
      <c r="J816" s="214"/>
      <c r="K816" s="213"/>
      <c r="L816" s="213"/>
      <c r="M816" s="214"/>
      <c r="N816" s="213"/>
      <c r="O816" s="214"/>
      <c r="P816" s="213" t="s">
        <v>215</v>
      </c>
      <c r="Q816" s="214" t="s">
        <v>215</v>
      </c>
      <c r="R816" s="214"/>
      <c r="S816" s="214"/>
      <c r="T816" s="214"/>
      <c r="U816" s="215">
        <f t="shared" si="2099"/>
        <v>6</v>
      </c>
      <c r="V816" s="845" t="s">
        <v>1073</v>
      </c>
      <c r="W816" s="216">
        <v>119590</v>
      </c>
      <c r="X816" s="217">
        <v>3.21</v>
      </c>
      <c r="Y816" s="218">
        <f t="shared" si="2170"/>
        <v>1.0321</v>
      </c>
      <c r="Z816" s="196">
        <v>19</v>
      </c>
      <c r="AA816" s="218">
        <f t="shared" si="2171"/>
        <v>1.8226940798007465</v>
      </c>
      <c r="AB816" s="196">
        <f t="shared" si="2175"/>
        <v>217975.98500337129</v>
      </c>
      <c r="AC816">
        <v>11.9</v>
      </c>
      <c r="AD816" s="196">
        <f t="shared" si="2176"/>
        <v>25939.142215401185</v>
      </c>
      <c r="AE816" s="196">
        <f t="shared" si="2172"/>
        <v>24642.185104631124</v>
      </c>
      <c r="AF816" s="196">
        <f t="shared" si="2124"/>
        <v>0</v>
      </c>
      <c r="AG816" s="606">
        <f t="shared" si="2162"/>
        <v>1.1393464580185112E-3</v>
      </c>
      <c r="AH816" s="196">
        <f t="shared" si="2140"/>
        <v>10898.799250168566</v>
      </c>
      <c r="AI816" s="248">
        <f t="shared" si="2141"/>
        <v>8.4431346461673947E-4</v>
      </c>
      <c r="AJ816" s="196">
        <f t="shared" si="2142"/>
        <v>36837.941465569747</v>
      </c>
      <c r="AK816" s="196">
        <f t="shared" si="2173"/>
        <v>8719.0394001348523</v>
      </c>
      <c r="AL816" s="196">
        <f t="shared" si="2174"/>
        <v>8719.0394001348523</v>
      </c>
      <c r="AM816" s="196">
        <f t="shared" si="2143"/>
        <v>17438.078800269705</v>
      </c>
      <c r="AN816" s="627">
        <f t="shared" si="2144"/>
        <v>8.4431346461673947E-4</v>
      </c>
      <c r="AO816" s="196">
        <f t="shared" si="2145"/>
        <v>8283.0874301281092</v>
      </c>
      <c r="AP816" s="589">
        <f t="shared" si="2163"/>
        <v>8.4431346461673936E-4</v>
      </c>
      <c r="AQ816" s="196"/>
      <c r="AR816" s="589"/>
      <c r="AS816">
        <v>1</v>
      </c>
      <c r="AT816" s="589">
        <f t="shared" si="2164"/>
        <v>1.2919896640826874E-3</v>
      </c>
      <c r="AU816" s="196">
        <v>11</v>
      </c>
      <c r="AV816" s="245">
        <f t="shared" si="2146"/>
        <v>1.2498579706851495E-3</v>
      </c>
      <c r="AX816" s="245"/>
      <c r="AY816" s="245"/>
      <c r="AZ816" s="196">
        <v>21</v>
      </c>
      <c r="BA816" s="589">
        <f t="shared" si="2073"/>
        <v>7.6948444542156754E-4</v>
      </c>
      <c r="BI816" s="196">
        <v>0</v>
      </c>
      <c r="BK816" s="246">
        <f t="shared" si="2074"/>
        <v>0</v>
      </c>
      <c r="BL816" s="246"/>
      <c r="BM816" s="246">
        <f t="shared" si="2075"/>
        <v>0</v>
      </c>
      <c r="BN816" s="196">
        <v>1</v>
      </c>
      <c r="BO816" s="196">
        <f t="shared" si="2125"/>
        <v>11691.716344444283</v>
      </c>
      <c r="BP816" s="196">
        <f t="shared" si="2147"/>
        <v>11691.716344444283</v>
      </c>
      <c r="BQ816" s="248">
        <f t="shared" si="2077"/>
        <v>1.0937056186461579E-3</v>
      </c>
      <c r="BR816" s="248"/>
      <c r="BS816" s="248"/>
      <c r="BT816" s="276">
        <v>0</v>
      </c>
      <c r="BU816" s="196">
        <f t="shared" si="2126"/>
        <v>0</v>
      </c>
      <c r="BV816" s="264">
        <f t="shared" si="2079"/>
        <v>0</v>
      </c>
      <c r="BW816" s="196">
        <f t="shared" si="2127"/>
        <v>0</v>
      </c>
      <c r="BX816" s="247">
        <f t="shared" si="2081"/>
        <v>0</v>
      </c>
      <c r="BY816" s="196">
        <f t="shared" si="2128"/>
        <v>0</v>
      </c>
      <c r="BZ816" s="620">
        <v>1</v>
      </c>
      <c r="CA816" s="196">
        <f t="shared" si="2129"/>
        <v>66700.651411031606</v>
      </c>
      <c r="CB816" s="196">
        <f t="shared" si="2130"/>
        <v>133401.30282206321</v>
      </c>
      <c r="CC816" s="196">
        <f t="shared" si="2160"/>
        <v>200101.95423309482</v>
      </c>
      <c r="CD816" s="247">
        <f t="shared" si="2148"/>
        <v>8.4431346461673925E-4</v>
      </c>
      <c r="CE816" s="196">
        <f t="shared" si="2131"/>
        <v>19230.078773575864</v>
      </c>
      <c r="CF816" s="247">
        <f t="shared" si="2149"/>
        <v>8.3041460594314735E-4</v>
      </c>
      <c r="CG816" s="196">
        <f t="shared" si="2101"/>
        <v>33132.349720512437</v>
      </c>
      <c r="CH816" s="589">
        <f t="shared" si="2165"/>
        <v>8.4431346461673936E-4</v>
      </c>
      <c r="CI816" s="196">
        <f t="shared" si="2132"/>
        <v>59709.550648644516</v>
      </c>
      <c r="CJ816" s="248">
        <f t="shared" si="2166"/>
        <v>9.8162486110083729E-4</v>
      </c>
      <c r="CK816" s="196">
        <f t="shared" si="2133"/>
        <v>51380.003987538395</v>
      </c>
      <c r="CL816" s="589">
        <f t="shared" si="2167"/>
        <v>7.3859812573679612E-4</v>
      </c>
      <c r="CM816" s="196">
        <f t="shared" si="2134"/>
        <v>4977.4495890758972</v>
      </c>
      <c r="CN816" s="589">
        <f t="shared" si="2168"/>
        <v>7.1730705276347917E-4</v>
      </c>
      <c r="CO816" s="196">
        <f t="shared" si="2135"/>
        <v>398.1833674941567</v>
      </c>
      <c r="CP816" s="589">
        <f t="shared" si="2169"/>
        <v>7.5091249956466509E-4</v>
      </c>
      <c r="CQ816" s="196">
        <f>'Detailed Budget'!$AC$12</f>
        <v>292876014141.44696</v>
      </c>
      <c r="CR816" s="269">
        <f t="shared" si="2040"/>
        <v>0</v>
      </c>
      <c r="CS816" s="269">
        <f>'Detailed Budget'!$AC$16</f>
        <v>10488008800.000002</v>
      </c>
      <c r="CT816" s="607">
        <f t="shared" si="2103"/>
        <v>0</v>
      </c>
      <c r="CU816" s="269">
        <f>'Detailed Budget'!$AC$24</f>
        <v>30624985696</v>
      </c>
      <c r="CV816" s="269">
        <f t="shared" si="2050"/>
        <v>0</v>
      </c>
      <c r="CW816" s="269"/>
      <c r="CX816" s="269">
        <f t="shared" si="2161"/>
        <v>0</v>
      </c>
      <c r="CY816" s="196">
        <f>'Detailed Budget'!$AC$97</f>
        <v>74629165494.837845</v>
      </c>
      <c r="CZ816" s="269">
        <f t="shared" si="2104"/>
        <v>81622337.616578132</v>
      </c>
      <c r="DA816" s="269">
        <f>'Detailed Budget'!$AC$100</f>
        <v>14925833098.967569</v>
      </c>
      <c r="DB816" s="269">
        <f t="shared" si="2105"/>
        <v>16324467.523315625</v>
      </c>
      <c r="DC816" s="269">
        <f t="shared" si="2150"/>
        <v>97946805.139893755</v>
      </c>
      <c r="DD816" s="207">
        <v>0</v>
      </c>
      <c r="DE816" s="606">
        <v>0</v>
      </c>
      <c r="DF816" s="269">
        <f>'Detailed Budget'!$AC$147</f>
        <v>5913600671000</v>
      </c>
      <c r="DG816" s="269">
        <f t="shared" si="2042"/>
        <v>0</v>
      </c>
      <c r="DH816" s="269">
        <f>'Detailed Budget'!$AC$153</f>
        <v>226428026880.00003</v>
      </c>
      <c r="DI816" s="269"/>
      <c r="DJ816" s="269">
        <f>'Detailed Budget'!$AC$156</f>
        <v>27713070000</v>
      </c>
      <c r="DK816" s="269"/>
      <c r="DL816" s="269"/>
      <c r="DM816" s="196">
        <f>'Detailed Budget'!$AC$178</f>
        <v>5622683761.6229038</v>
      </c>
      <c r="DN816" s="269">
        <f t="shared" si="2136"/>
        <v>0</v>
      </c>
      <c r="DO816" s="196">
        <f>'Detailed Budget'!$AC$179</f>
        <v>26827890683.128094</v>
      </c>
      <c r="DP816" s="269">
        <f t="shared" si="2137"/>
        <v>0</v>
      </c>
      <c r="DQ816" s="269">
        <f t="shared" si="2041"/>
        <v>0</v>
      </c>
      <c r="DR816" s="269">
        <f>'Detailed Budget'!$AC$181</f>
        <v>50888946855.375237</v>
      </c>
      <c r="DS816" s="269">
        <f t="shared" si="2138"/>
        <v>0</v>
      </c>
      <c r="DT816" s="269">
        <f t="shared" si="2139"/>
        <v>0</v>
      </c>
      <c r="DU816" s="272">
        <f>'Detailed Budget'!$AC$192</f>
        <v>77498869683.252869</v>
      </c>
      <c r="DV816" s="269">
        <f t="shared" si="2106"/>
        <v>65433339.166148409</v>
      </c>
      <c r="DW816" s="140">
        <f>'Detailed Budget'!$AC$194</f>
        <v>2684962805.4134097</v>
      </c>
      <c r="DX816" s="269">
        <f t="shared" si="2107"/>
        <v>2266950.2486056765</v>
      </c>
      <c r="DY816" s="607">
        <f t="shared" si="2151"/>
        <v>67700289.414754093</v>
      </c>
      <c r="DZ816" s="196">
        <f>'Detailed Budget'!$AC$198</f>
        <v>18732540018.380611</v>
      </c>
      <c r="EA816" s="269">
        <f t="shared" si="2108"/>
        <v>15555774.837677773</v>
      </c>
      <c r="EB816" s="196">
        <f>'Detailed Budget'!$AC$200</f>
        <v>4683135004.5951529</v>
      </c>
      <c r="EC816" s="269">
        <f t="shared" si="2109"/>
        <v>3888943.7094194433</v>
      </c>
      <c r="ED816" s="269">
        <f t="shared" si="2152"/>
        <v>19444718.547097217</v>
      </c>
      <c r="EE816" s="196">
        <f>'Detailed Budget'!$AC$161</f>
        <v>251147290106.36197</v>
      </c>
      <c r="EF816" s="269">
        <f t="shared" si="2110"/>
        <v>212047038.63880783</v>
      </c>
      <c r="EG816" s="196">
        <f>'Detailed Budget'!$AC$163</f>
        <v>15696705631.647623</v>
      </c>
      <c r="EH816" s="269">
        <f t="shared" si="2111"/>
        <v>13252939.91492549</v>
      </c>
      <c r="EI816" s="269">
        <f t="shared" si="2153"/>
        <v>225299978.55373332</v>
      </c>
      <c r="EJ816" s="196">
        <f>'Detailed Budget'!$AC$204</f>
        <v>45012172507.531975</v>
      </c>
      <c r="EK816" s="269">
        <f t="shared" si="2112"/>
        <v>44185067.585552998</v>
      </c>
      <c r="EL816" s="201">
        <f>'Detailed Budget'!$AC$206</f>
        <v>11253043126.882994</v>
      </c>
      <c r="EM816" s="269">
        <f t="shared" si="2113"/>
        <v>11046266.896388249</v>
      </c>
      <c r="EN816" s="269">
        <f t="shared" si="2154"/>
        <v>55231334.481941245</v>
      </c>
      <c r="EO816" s="140">
        <f>'Detailed Budget'!$AC$209</f>
        <v>135789361677.54817</v>
      </c>
      <c r="EP816" s="269">
        <f t="shared" si="2114"/>
        <v>100293768.03003301</v>
      </c>
      <c r="EQ816" s="196">
        <f>'Detailed Budget'!$AC$211</f>
        <v>33947340419.387043</v>
      </c>
      <c r="ER816" s="269">
        <f t="shared" si="2115"/>
        <v>25073442.007508252</v>
      </c>
      <c r="ES816" s="269">
        <f t="shared" si="2155"/>
        <v>125367210.03754126</v>
      </c>
      <c r="ET816" s="196">
        <f>'Detailed Budget'!$AC$214</f>
        <v>22239745544.201103</v>
      </c>
      <c r="EU816" s="269">
        <f t="shared" si="2116"/>
        <v>15952726.330520611</v>
      </c>
      <c r="EV816" s="140">
        <f>'Detailed Budget'!$AC$217</f>
        <v>5559936386.0502758</v>
      </c>
      <c r="EW816" s="269">
        <f t="shared" si="2117"/>
        <v>3988181.5826301528</v>
      </c>
      <c r="EX816" s="269">
        <f t="shared" si="2156"/>
        <v>19940907.913150765</v>
      </c>
      <c r="EY816" s="196">
        <f>'Detailed Budget'!$AC$219</f>
        <v>372777004.58170313</v>
      </c>
      <c r="EZ816" s="269">
        <f t="shared" si="2118"/>
        <v>279922.91229067533</v>
      </c>
      <c r="FA816" s="196">
        <f>'Detailed Budget'!$AC$222</f>
        <v>93194251.145425782</v>
      </c>
      <c r="FB816" s="269">
        <f t="shared" si="2119"/>
        <v>69980.728072668833</v>
      </c>
      <c r="FC816" s="269">
        <f t="shared" si="2157"/>
        <v>349903.64036334417</v>
      </c>
      <c r="FD816" s="269"/>
      <c r="FE816" s="269">
        <f t="shared" si="2158"/>
        <v>200889356.07299659</v>
      </c>
      <c r="FF816" s="140">
        <f>'Detailed Budget'!$AC$165</f>
        <v>14927760000</v>
      </c>
      <c r="FG816" s="1087">
        <f t="shared" si="2043"/>
        <v>274026379.32415843</v>
      </c>
      <c r="FH816" s="269">
        <f t="shared" si="2120"/>
        <v>18657579.820474949</v>
      </c>
      <c r="FJ816" s="140">
        <f>'Detailed Budget'!$AC$235</f>
        <v>3623696172</v>
      </c>
      <c r="FK816" s="269">
        <f t="shared" si="2121"/>
        <v>4681778</v>
      </c>
      <c r="FL816" s="269">
        <f t="shared" si="2044"/>
        <v>4681778</v>
      </c>
      <c r="FO816" s="607"/>
      <c r="FP816" s="607"/>
      <c r="FQ816" s="607"/>
      <c r="FR816" s="269">
        <f>'Detailed Budget'!$AC$257</f>
        <v>13636439388</v>
      </c>
      <c r="FS816" s="269">
        <f t="shared" si="2122"/>
        <v>10493028</v>
      </c>
      <c r="FT816" s="269">
        <f t="shared" si="2045"/>
        <v>10493028</v>
      </c>
      <c r="FU816" s="269"/>
      <c r="FV816" s="269"/>
      <c r="FW816" s="269"/>
      <c r="FX816" s="140">
        <f>'Detailed Budget'!$AC$278</f>
        <v>1114560000</v>
      </c>
      <c r="FY816" s="269">
        <f t="shared" si="2123"/>
        <v>1440000</v>
      </c>
      <c r="FZ816" s="269">
        <f t="shared" si="2071"/>
        <v>1440000</v>
      </c>
      <c r="GB816" s="269">
        <f t="shared" si="2094"/>
        <v>920579912.87310839</v>
      </c>
      <c r="GC816" s="887">
        <f t="shared" si="2159"/>
        <v>575362.4455456927</v>
      </c>
      <c r="GD816" s="1078">
        <f t="shared" si="2095"/>
        <v>5.1656637734875846E-4</v>
      </c>
    </row>
    <row r="817" spans="1:186" hidden="1" outlineLevel="1">
      <c r="A817" s="211" t="s">
        <v>1708</v>
      </c>
      <c r="B817" s="212" t="s">
        <v>1709</v>
      </c>
      <c r="C817" s="213" t="s">
        <v>215</v>
      </c>
      <c r="D817" s="214"/>
      <c r="E817" s="213"/>
      <c r="F817" s="213"/>
      <c r="G817" s="213" t="s">
        <v>215</v>
      </c>
      <c r="H817" s="213" t="s">
        <v>215</v>
      </c>
      <c r="I817" s="214" t="s">
        <v>215</v>
      </c>
      <c r="J817" s="214"/>
      <c r="K817" s="213"/>
      <c r="L817" s="213"/>
      <c r="M817" s="214"/>
      <c r="N817" s="213"/>
      <c r="O817" s="214" t="s">
        <v>215</v>
      </c>
      <c r="P817" s="213"/>
      <c r="Q817" s="214"/>
      <c r="R817" s="214" t="s">
        <v>215</v>
      </c>
      <c r="S817" s="214"/>
      <c r="T817" s="214"/>
      <c r="U817" s="215">
        <f t="shared" si="2099"/>
        <v>6</v>
      </c>
      <c r="V817" s="845" t="s">
        <v>216</v>
      </c>
      <c r="W817" s="216">
        <v>142806</v>
      </c>
      <c r="X817" s="217">
        <v>3.21</v>
      </c>
      <c r="Y817" s="218">
        <f t="shared" si="2170"/>
        <v>1.0321</v>
      </c>
      <c r="Z817" s="196">
        <v>19</v>
      </c>
      <c r="AA817" s="218">
        <f t="shared" si="2171"/>
        <v>1.8226940798007465</v>
      </c>
      <c r="AB817" s="196">
        <f t="shared" si="2175"/>
        <v>260291.6507600254</v>
      </c>
      <c r="AC817">
        <v>11.9</v>
      </c>
      <c r="AD817" s="196">
        <f t="shared" si="2176"/>
        <v>30974.706440443024</v>
      </c>
      <c r="AE817" s="196">
        <f t="shared" si="2172"/>
        <v>29425.971118420872</v>
      </c>
      <c r="AF817" s="196">
        <f t="shared" si="2124"/>
        <v>0</v>
      </c>
      <c r="AG817" s="606">
        <f t="shared" si="2162"/>
        <v>1.3605277220820429E-3</v>
      </c>
      <c r="AH817" s="196">
        <f t="shared" si="2140"/>
        <v>13014.58253800127</v>
      </c>
      <c r="AI817" s="248">
        <f t="shared" si="2141"/>
        <v>1.008219990200335E-3</v>
      </c>
      <c r="AJ817" s="196">
        <f t="shared" si="2142"/>
        <v>43989.288978444296</v>
      </c>
      <c r="AK817" s="196">
        <f t="shared" si="2173"/>
        <v>10411.666030401017</v>
      </c>
      <c r="AL817" s="196">
        <f t="shared" si="2174"/>
        <v>10411.666030401017</v>
      </c>
      <c r="AM817" s="196">
        <f t="shared" si="2143"/>
        <v>20823.332060802033</v>
      </c>
      <c r="AN817" s="627">
        <f t="shared" si="2144"/>
        <v>1.008219990200335E-3</v>
      </c>
      <c r="AO817" s="196">
        <f t="shared" si="2145"/>
        <v>9891.0827288809651</v>
      </c>
      <c r="AP817" s="589">
        <f t="shared" si="2163"/>
        <v>1.008219990200335E-3</v>
      </c>
      <c r="AQ817" s="196"/>
      <c r="AR817" s="589"/>
      <c r="AS817">
        <v>1</v>
      </c>
      <c r="AT817" s="589">
        <f t="shared" si="2164"/>
        <v>1.2919896640826874E-3</v>
      </c>
      <c r="AU817" s="196">
        <v>11</v>
      </c>
      <c r="AV817" s="245">
        <f t="shared" si="2146"/>
        <v>1.2498579706851495E-3</v>
      </c>
      <c r="AX817" s="245"/>
      <c r="AY817" s="245"/>
      <c r="AZ817" s="196">
        <v>30</v>
      </c>
      <c r="BA817" s="589">
        <f t="shared" si="2073"/>
        <v>1.0992634934593821E-3</v>
      </c>
      <c r="BI817" s="196">
        <v>0</v>
      </c>
      <c r="BK817" s="246">
        <f t="shared" si="2074"/>
        <v>0</v>
      </c>
      <c r="BL817" s="246"/>
      <c r="BM817" s="246">
        <f t="shared" si="2075"/>
        <v>0</v>
      </c>
      <c r="BN817" s="196">
        <v>1</v>
      </c>
      <c r="BO817" s="196">
        <f t="shared" si="2125"/>
        <v>13961.428583365752</v>
      </c>
      <c r="BP817" s="196">
        <f t="shared" si="2147"/>
        <v>13961.428583365752</v>
      </c>
      <c r="BQ817" s="248">
        <f t="shared" si="2077"/>
        <v>1.3060266291193513E-3</v>
      </c>
      <c r="BR817" s="248"/>
      <c r="BS817" s="248"/>
      <c r="BT817" s="276">
        <v>0</v>
      </c>
      <c r="BU817" s="196">
        <f t="shared" si="2126"/>
        <v>0</v>
      </c>
      <c r="BV817" s="264">
        <f t="shared" si="2079"/>
        <v>0</v>
      </c>
      <c r="BW817" s="196">
        <f t="shared" si="2127"/>
        <v>0</v>
      </c>
      <c r="BX817" s="247">
        <f t="shared" si="2081"/>
        <v>0</v>
      </c>
      <c r="BY817" s="196">
        <f t="shared" si="2128"/>
        <v>0</v>
      </c>
      <c r="BZ817" s="620">
        <v>1</v>
      </c>
      <c r="CA817" s="196">
        <f t="shared" si="2129"/>
        <v>79649.245132567768</v>
      </c>
      <c r="CB817" s="196">
        <f t="shared" si="2130"/>
        <v>159298.49026513554</v>
      </c>
      <c r="CC817" s="196">
        <f t="shared" si="2160"/>
        <v>238947.73539770331</v>
      </c>
      <c r="CD817" s="247">
        <f t="shared" si="2148"/>
        <v>1.008219990200335E-3</v>
      </c>
      <c r="CE817" s="196">
        <f t="shared" si="2131"/>
        <v>22963.212888529764</v>
      </c>
      <c r="CF817" s="247">
        <f t="shared" si="2149"/>
        <v>9.9162294687111878E-4</v>
      </c>
      <c r="CG817" s="196">
        <f t="shared" si="2101"/>
        <v>39564.33091552386</v>
      </c>
      <c r="CH817" s="589">
        <f t="shared" si="2165"/>
        <v>1.008219990200335E-3</v>
      </c>
      <c r="CI817" s="196">
        <f t="shared" si="2132"/>
        <v>71300.962370853129</v>
      </c>
      <c r="CJ817" s="248">
        <f t="shared" si="2166"/>
        <v>1.1721876403910539E-3</v>
      </c>
      <c r="CK817" s="196">
        <f t="shared" si="2133"/>
        <v>61354.401283087267</v>
      </c>
      <c r="CL817" s="589">
        <f t="shared" si="2167"/>
        <v>8.8198213850630377E-4</v>
      </c>
      <c r="CM817" s="196">
        <f t="shared" si="2134"/>
        <v>5943.721598942825</v>
      </c>
      <c r="CN817" s="589">
        <f t="shared" si="2168"/>
        <v>8.5655783072950394E-4</v>
      </c>
      <c r="CO817" s="196">
        <f t="shared" si="2135"/>
        <v>475.48268231767315</v>
      </c>
      <c r="CP817" s="589">
        <f t="shared" si="2169"/>
        <v>8.9668710103546739E-4</v>
      </c>
      <c r="CQ817" s="196">
        <f>'Detailed Budget'!$AC$12</f>
        <v>292876014141.44696</v>
      </c>
      <c r="CR817" s="269">
        <f t="shared" si="2040"/>
        <v>0</v>
      </c>
      <c r="CS817" s="269">
        <f>'Detailed Budget'!$AC$16</f>
        <v>10488008800.000002</v>
      </c>
      <c r="CT817" s="607">
        <f t="shared" si="2103"/>
        <v>0</v>
      </c>
      <c r="CU817" s="269">
        <f>'Detailed Budget'!$AC$24</f>
        <v>30624985696</v>
      </c>
      <c r="CV817" s="269">
        <f t="shared" si="2050"/>
        <v>0</v>
      </c>
      <c r="CW817" s="269"/>
      <c r="CX817" s="269">
        <f t="shared" si="2161"/>
        <v>0</v>
      </c>
      <c r="CY817" s="196">
        <f>'Detailed Budget'!$AC$97</f>
        <v>74629165494.837845</v>
      </c>
      <c r="CZ817" s="269">
        <f t="shared" si="2104"/>
        <v>97467677.445213273</v>
      </c>
      <c r="DA817" s="269">
        <f>'Detailed Budget'!$AC$100</f>
        <v>14925833098.967569</v>
      </c>
      <c r="DB817" s="269">
        <f t="shared" si="2105"/>
        <v>19493535.489042655</v>
      </c>
      <c r="DC817" s="269">
        <f t="shared" si="2150"/>
        <v>116961212.93425593</v>
      </c>
      <c r="DD817" s="207">
        <v>0</v>
      </c>
      <c r="DE817" s="606">
        <v>0</v>
      </c>
      <c r="DF817" s="269">
        <f>'Detailed Budget'!$AC$147</f>
        <v>5913600671000</v>
      </c>
      <c r="DG817" s="269">
        <f t="shared" si="2042"/>
        <v>0</v>
      </c>
      <c r="DH817" s="269">
        <f>'Detailed Budget'!$AC$153</f>
        <v>226428026880.00003</v>
      </c>
      <c r="DI817" s="269"/>
      <c r="DJ817" s="269">
        <f>'Detailed Budget'!$AC$156</f>
        <v>27713070000</v>
      </c>
      <c r="DK817" s="269"/>
      <c r="DL817" s="269"/>
      <c r="DM817" s="196">
        <f>'Detailed Budget'!$AC$178</f>
        <v>5622683761.6229038</v>
      </c>
      <c r="DN817" s="269">
        <f t="shared" si="2136"/>
        <v>0</v>
      </c>
      <c r="DO817" s="196">
        <f>'Detailed Budget'!$AC$179</f>
        <v>26827890683.128094</v>
      </c>
      <c r="DP817" s="269">
        <f t="shared" si="2137"/>
        <v>0</v>
      </c>
      <c r="DQ817" s="269">
        <f t="shared" si="2041"/>
        <v>0</v>
      </c>
      <c r="DR817" s="269">
        <f>'Detailed Budget'!$AC$181</f>
        <v>50888946855.375237</v>
      </c>
      <c r="DS817" s="269">
        <f t="shared" si="2138"/>
        <v>0</v>
      </c>
      <c r="DT817" s="269">
        <f t="shared" si="2139"/>
        <v>0</v>
      </c>
      <c r="DU817" s="272">
        <f>'Detailed Budget'!$AC$192</f>
        <v>77498869683.252869</v>
      </c>
      <c r="DV817" s="269">
        <f t="shared" si="2106"/>
        <v>78135909.632586241</v>
      </c>
      <c r="DW817" s="140">
        <f>'Detailed Budget'!$AC$194</f>
        <v>2684962805.4134097</v>
      </c>
      <c r="DX817" s="269">
        <f t="shared" si="2107"/>
        <v>2707033.1733621717</v>
      </c>
      <c r="DY817" s="607">
        <f t="shared" si="2151"/>
        <v>80842942.805948406</v>
      </c>
      <c r="DZ817" s="196">
        <f>'Detailed Budget'!$AC$198</f>
        <v>18732540018.380611</v>
      </c>
      <c r="EA817" s="269">
        <f t="shared" si="2108"/>
        <v>18575616.535407744</v>
      </c>
      <c r="EB817" s="196">
        <f>'Detailed Budget'!$AC$200</f>
        <v>4683135004.5951529</v>
      </c>
      <c r="EC817" s="269">
        <f t="shared" si="2109"/>
        <v>4643904.1338519361</v>
      </c>
      <c r="ED817" s="269">
        <f t="shared" si="2152"/>
        <v>23219520.669259682</v>
      </c>
      <c r="EE817" s="196">
        <f>'Detailed Budget'!$AC$161</f>
        <v>251147290106.36197</v>
      </c>
      <c r="EF817" s="269">
        <f t="shared" si="2110"/>
        <v>253211718.36987695</v>
      </c>
      <c r="EG817" s="196">
        <f>'Detailed Budget'!$AC$163</f>
        <v>15696705631.647623</v>
      </c>
      <c r="EH817" s="269">
        <f t="shared" si="2111"/>
        <v>15825732.398117309</v>
      </c>
      <c r="EI817" s="269">
        <f t="shared" si="2153"/>
        <v>269037450.76799428</v>
      </c>
      <c r="EJ817" s="196">
        <f>'Detailed Budget'!$AC$204</f>
        <v>45012172507.531975</v>
      </c>
      <c r="EK817" s="269">
        <f t="shared" si="2112"/>
        <v>52762712.280478969</v>
      </c>
      <c r="EL817" s="201">
        <f>'Detailed Budget'!$AC$206</f>
        <v>11253043126.882994</v>
      </c>
      <c r="EM817" s="269">
        <f t="shared" si="2113"/>
        <v>13190678.070119742</v>
      </c>
      <c r="EN817" s="269">
        <f t="shared" si="2154"/>
        <v>65953390.350598708</v>
      </c>
      <c r="EO817" s="140">
        <f>'Detailed Budget'!$AC$209</f>
        <v>135789361677.54817</v>
      </c>
      <c r="EP817" s="269">
        <f t="shared" si="2114"/>
        <v>119763791.59876987</v>
      </c>
      <c r="EQ817" s="196">
        <f>'Detailed Budget'!$AC$211</f>
        <v>33947340419.387043</v>
      </c>
      <c r="ER817" s="269">
        <f t="shared" si="2115"/>
        <v>29940947.899692468</v>
      </c>
      <c r="ES817" s="269">
        <f t="shared" si="2155"/>
        <v>149704739.49846235</v>
      </c>
      <c r="ET817" s="196">
        <f>'Detailed Budget'!$AC$214</f>
        <v>22239745544.201103</v>
      </c>
      <c r="EU817" s="269">
        <f t="shared" si="2116"/>
        <v>19049628.199317049</v>
      </c>
      <c r="EV817" s="140">
        <f>'Detailed Budget'!$AC$217</f>
        <v>5559936386.0502758</v>
      </c>
      <c r="EW817" s="269">
        <f t="shared" si="2117"/>
        <v>4762407.0498292623</v>
      </c>
      <c r="EX817" s="269">
        <f t="shared" si="2156"/>
        <v>23812035.249146312</v>
      </c>
      <c r="EY817" s="196">
        <f>'Detailed Budget'!$AC$219</f>
        <v>372777004.58170313</v>
      </c>
      <c r="EZ817" s="269">
        <f t="shared" si="2118"/>
        <v>334264.33157105255</v>
      </c>
      <c r="FA817" s="196">
        <f>'Detailed Budget'!$AC$222</f>
        <v>93194251.145425782</v>
      </c>
      <c r="FB817" s="269">
        <f t="shared" si="2119"/>
        <v>83566.082892763137</v>
      </c>
      <c r="FC817" s="269">
        <f t="shared" si="2157"/>
        <v>417830.41446381569</v>
      </c>
      <c r="FD817" s="269"/>
      <c r="FE817" s="269">
        <f t="shared" si="2158"/>
        <v>239887995.5126712</v>
      </c>
      <c r="FF817" s="140">
        <f>'Detailed Budget'!$AC$165</f>
        <v>14927760000</v>
      </c>
      <c r="FG817" s="1087">
        <f t="shared" si="2043"/>
        <v>327223104.99009764</v>
      </c>
      <c r="FH817" s="269">
        <f t="shared" si="2120"/>
        <v>18657579.820474949</v>
      </c>
      <c r="FJ817" s="140">
        <f>'Detailed Budget'!$AC$235</f>
        <v>3623696172</v>
      </c>
      <c r="FK817" s="269">
        <f t="shared" si="2121"/>
        <v>4681778</v>
      </c>
      <c r="FL817" s="269">
        <f t="shared" si="2044"/>
        <v>4681778</v>
      </c>
      <c r="FO817" s="607"/>
      <c r="FP817" s="607"/>
      <c r="FQ817" s="607"/>
      <c r="FR817" s="269">
        <f>'Detailed Budget'!$AC$257</f>
        <v>13636439388</v>
      </c>
      <c r="FS817" s="269">
        <f t="shared" si="2122"/>
        <v>14990039.999999998</v>
      </c>
      <c r="FT817" s="269">
        <f t="shared" si="2045"/>
        <v>14990039.999999998</v>
      </c>
      <c r="FU817" s="269"/>
      <c r="FV817" s="269"/>
      <c r="FW817" s="269"/>
      <c r="FX817" s="140">
        <f>'Detailed Budget'!$AC$278</f>
        <v>1114560000</v>
      </c>
      <c r="FY817" s="269">
        <f t="shared" si="2123"/>
        <v>1440000</v>
      </c>
      <c r="FZ817" s="269">
        <f t="shared" si="2071"/>
        <v>1440000</v>
      </c>
      <c r="GB817" s="269">
        <f t="shared" si="2094"/>
        <v>1096941625.5007021</v>
      </c>
      <c r="GC817" s="887">
        <f t="shared" si="2159"/>
        <v>685588.51593793882</v>
      </c>
      <c r="GD817" s="1078">
        <f t="shared" si="2095"/>
        <v>6.15528487776228E-4</v>
      </c>
    </row>
    <row r="818" spans="1:186" hidden="1" outlineLevel="1">
      <c r="A818" s="211" t="s">
        <v>1710</v>
      </c>
      <c r="B818" s="212" t="s">
        <v>1711</v>
      </c>
      <c r="C818" s="213" t="s">
        <v>215</v>
      </c>
      <c r="D818" s="214"/>
      <c r="E818" s="213"/>
      <c r="F818" s="213"/>
      <c r="G818" s="213" t="s">
        <v>215</v>
      </c>
      <c r="H818" s="213" t="s">
        <v>215</v>
      </c>
      <c r="I818" s="214" t="s">
        <v>215</v>
      </c>
      <c r="J818" s="214"/>
      <c r="K818" s="213"/>
      <c r="L818" s="213"/>
      <c r="M818" s="214"/>
      <c r="N818" s="213"/>
      <c r="O818" s="214" t="s">
        <v>215</v>
      </c>
      <c r="P818" s="213"/>
      <c r="Q818" s="214"/>
      <c r="R818" s="214" t="s">
        <v>215</v>
      </c>
      <c r="S818" s="214"/>
      <c r="T818" s="214"/>
      <c r="U818" s="215">
        <f t="shared" si="2099"/>
        <v>6</v>
      </c>
      <c r="V818" s="845" t="s">
        <v>216</v>
      </c>
      <c r="W818" s="216">
        <v>102060</v>
      </c>
      <c r="X818" s="217">
        <v>3.21</v>
      </c>
      <c r="Y818" s="218">
        <f t="shared" si="2170"/>
        <v>1.0321</v>
      </c>
      <c r="Z818" s="196">
        <v>19</v>
      </c>
      <c r="AA818" s="218">
        <f t="shared" si="2171"/>
        <v>1.8226940798007465</v>
      </c>
      <c r="AB818" s="196">
        <f t="shared" si="2175"/>
        <v>186024.15778446419</v>
      </c>
      <c r="AC818">
        <v>11.9</v>
      </c>
      <c r="AD818" s="196">
        <f t="shared" si="2176"/>
        <v>22136.874776351237</v>
      </c>
      <c r="AE818" s="196">
        <f t="shared" si="2172"/>
        <v>21030.031037533674</v>
      </c>
      <c r="AF818" s="196">
        <f t="shared" si="2124"/>
        <v>0</v>
      </c>
      <c r="AG818" s="606">
        <f t="shared" si="2162"/>
        <v>9.7233631160940903E-4</v>
      </c>
      <c r="AH818" s="196">
        <f t="shared" si="2140"/>
        <v>9301.2078892232093</v>
      </c>
      <c r="AI818" s="248">
        <f t="shared" si="2141"/>
        <v>7.2055048247164828E-4</v>
      </c>
      <c r="AJ818" s="196">
        <f t="shared" si="2142"/>
        <v>31438.082665574446</v>
      </c>
      <c r="AK818" s="196">
        <f t="shared" si="2173"/>
        <v>7440.9663113785673</v>
      </c>
      <c r="AL818" s="196">
        <f t="shared" si="2174"/>
        <v>7440.9663113785673</v>
      </c>
      <c r="AM818" s="196">
        <f t="shared" si="2143"/>
        <v>14881.932622757135</v>
      </c>
      <c r="AN818" s="627">
        <f t="shared" si="2144"/>
        <v>7.2055048247164817E-4</v>
      </c>
      <c r="AO818" s="196">
        <f t="shared" si="2145"/>
        <v>7068.9179958096393</v>
      </c>
      <c r="AP818" s="589">
        <f t="shared" si="2163"/>
        <v>7.2055048247164828E-4</v>
      </c>
      <c r="AQ818" s="196"/>
      <c r="AR818" s="589"/>
      <c r="AS818">
        <v>1</v>
      </c>
      <c r="AT818" s="589">
        <f t="shared" si="2164"/>
        <v>1.2919896640826874E-3</v>
      </c>
      <c r="AU818" s="196">
        <v>11</v>
      </c>
      <c r="AV818" s="245">
        <f t="shared" si="2146"/>
        <v>1.2498579706851495E-3</v>
      </c>
      <c r="AX818" s="245"/>
      <c r="AY818" s="245"/>
      <c r="AZ818" s="196">
        <v>25</v>
      </c>
      <c r="BA818" s="589">
        <f t="shared" si="2073"/>
        <v>9.1605291121615189E-4</v>
      </c>
      <c r="BI818" s="196">
        <v>0</v>
      </c>
      <c r="BK818" s="246">
        <f t="shared" si="2074"/>
        <v>0</v>
      </c>
      <c r="BL818" s="246"/>
      <c r="BM818" s="246">
        <f t="shared" si="2075"/>
        <v>0</v>
      </c>
      <c r="BN818" s="196">
        <v>1</v>
      </c>
      <c r="BO818" s="196">
        <f t="shared" si="2125"/>
        <v>9977.8958952586636</v>
      </c>
      <c r="BP818" s="196">
        <f t="shared" si="2147"/>
        <v>9977.8958952586636</v>
      </c>
      <c r="BQ818" s="248">
        <f t="shared" si="2077"/>
        <v>9.3338569645477776E-4</v>
      </c>
      <c r="BR818" s="248"/>
      <c r="BS818" s="248"/>
      <c r="BT818" s="276">
        <v>0</v>
      </c>
      <c r="BU818" s="196">
        <f t="shared" si="2126"/>
        <v>0</v>
      </c>
      <c r="BV818" s="264">
        <f t="shared" si="2079"/>
        <v>0</v>
      </c>
      <c r="BW818" s="196">
        <f t="shared" si="2127"/>
        <v>0</v>
      </c>
      <c r="BX818" s="247">
        <f t="shared" si="2081"/>
        <v>0</v>
      </c>
      <c r="BY818" s="196">
        <f t="shared" si="2128"/>
        <v>0</v>
      </c>
      <c r="BZ818" s="620">
        <v>1</v>
      </c>
      <c r="CA818" s="196">
        <f t="shared" si="2129"/>
        <v>56923.392282046043</v>
      </c>
      <c r="CB818" s="196">
        <f t="shared" si="2130"/>
        <v>113846.78456409209</v>
      </c>
      <c r="CC818" s="196">
        <f t="shared" si="2160"/>
        <v>170770.17684613814</v>
      </c>
      <c r="CD818" s="247">
        <f t="shared" si="2148"/>
        <v>7.2055048247164828E-4</v>
      </c>
      <c r="CE818" s="196">
        <f t="shared" si="2131"/>
        <v>16411.253780676914</v>
      </c>
      <c r="CF818" s="247">
        <f t="shared" si="2149"/>
        <v>7.0868897635720045E-4</v>
      </c>
      <c r="CG818" s="196">
        <f t="shared" si="2101"/>
        <v>28275.671983238557</v>
      </c>
      <c r="CH818" s="589">
        <f t="shared" si="2165"/>
        <v>7.2055048247164828E-4</v>
      </c>
      <c r="CI818" s="196">
        <f t="shared" si="2132"/>
        <v>50957.076170253844</v>
      </c>
      <c r="CJ818" s="248">
        <f t="shared" si="2166"/>
        <v>8.3773420289281228E-4</v>
      </c>
      <c r="CK818" s="196">
        <f t="shared" si="2133"/>
        <v>43848.509130932078</v>
      </c>
      <c r="CL818" s="589">
        <f t="shared" si="2167"/>
        <v>6.3033133801068133E-4</v>
      </c>
      <c r="CM818" s="196">
        <f t="shared" si="2134"/>
        <v>4247.8343093994981</v>
      </c>
      <c r="CN818" s="589">
        <f t="shared" si="2168"/>
        <v>6.1216119913906403E-4</v>
      </c>
      <c r="CO818" s="196">
        <f t="shared" si="2135"/>
        <v>339.81599202653751</v>
      </c>
      <c r="CP818" s="589">
        <f t="shared" si="2169"/>
        <v>6.4084061966359815E-4</v>
      </c>
      <c r="CQ818" s="196">
        <f>'Detailed Budget'!$AC$12</f>
        <v>292876014141.44696</v>
      </c>
      <c r="CR818" s="269">
        <f t="shared" si="2040"/>
        <v>0</v>
      </c>
      <c r="CS818" s="269">
        <f>'Detailed Budget'!$AC$16</f>
        <v>10488008800.000002</v>
      </c>
      <c r="CT818" s="607">
        <f t="shared" si="2103"/>
        <v>0</v>
      </c>
      <c r="CU818" s="269">
        <f>'Detailed Budget'!$AC$24</f>
        <v>30624985696</v>
      </c>
      <c r="CV818" s="269">
        <f t="shared" si="2050"/>
        <v>0</v>
      </c>
      <c r="CW818" s="269"/>
      <c r="CX818" s="269">
        <f t="shared" si="2161"/>
        <v>0</v>
      </c>
      <c r="CY818" s="196">
        <f>'Detailed Budget'!$AC$97</f>
        <v>74629165494.837845</v>
      </c>
      <c r="CZ818" s="269">
        <f t="shared" si="2104"/>
        <v>69657795.611238092</v>
      </c>
      <c r="DA818" s="269">
        <f>'Detailed Budget'!$AC$100</f>
        <v>14925833098.967569</v>
      </c>
      <c r="DB818" s="269">
        <f t="shared" si="2105"/>
        <v>13931559.122247618</v>
      </c>
      <c r="DC818" s="269">
        <f t="shared" si="2150"/>
        <v>83589354.733485714</v>
      </c>
      <c r="DD818" s="207">
        <v>0</v>
      </c>
      <c r="DE818" s="606">
        <v>0</v>
      </c>
      <c r="DF818" s="269">
        <f>'Detailed Budget'!$AC$147</f>
        <v>5913600671000</v>
      </c>
      <c r="DG818" s="269">
        <f t="shared" si="2042"/>
        <v>0</v>
      </c>
      <c r="DH818" s="269">
        <f>'Detailed Budget'!$AC$153</f>
        <v>226428026880.00003</v>
      </c>
      <c r="DI818" s="269"/>
      <c r="DJ818" s="269">
        <f>'Detailed Budget'!$AC$156</f>
        <v>27713070000</v>
      </c>
      <c r="DK818" s="269"/>
      <c r="DL818" s="269"/>
      <c r="DM818" s="196">
        <f>'Detailed Budget'!$AC$178</f>
        <v>5622683761.6229038</v>
      </c>
      <c r="DN818" s="269">
        <f t="shared" si="2136"/>
        <v>0</v>
      </c>
      <c r="DO818" s="196">
        <f>'Detailed Budget'!$AC$179</f>
        <v>26827890683.128094</v>
      </c>
      <c r="DP818" s="269">
        <f t="shared" si="2137"/>
        <v>0</v>
      </c>
      <c r="DQ818" s="269">
        <f t="shared" si="2041"/>
        <v>0</v>
      </c>
      <c r="DR818" s="269">
        <f>'Detailed Budget'!$AC$181</f>
        <v>50888946855.375237</v>
      </c>
      <c r="DS818" s="269">
        <f t="shared" si="2138"/>
        <v>0</v>
      </c>
      <c r="DT818" s="269">
        <f t="shared" si="2139"/>
        <v>0</v>
      </c>
      <c r="DU818" s="272">
        <f>'Detailed Budget'!$AC$192</f>
        <v>77498869683.252869</v>
      </c>
      <c r="DV818" s="269">
        <f t="shared" si="2106"/>
        <v>55841847.941275254</v>
      </c>
      <c r="DW818" s="140">
        <f>'Detailed Budget'!$AC$194</f>
        <v>2684962805.4134097</v>
      </c>
      <c r="DX818" s="269">
        <f t="shared" si="2107"/>
        <v>1934651.2448590624</v>
      </c>
      <c r="DY818" s="607">
        <f t="shared" si="2151"/>
        <v>57776499.186134316</v>
      </c>
      <c r="DZ818" s="196">
        <f>'Detailed Budget'!$AC$198</f>
        <v>18732540018.380611</v>
      </c>
      <c r="EA818" s="269">
        <f t="shared" si="2108"/>
        <v>13275544.610196449</v>
      </c>
      <c r="EB818" s="196">
        <f>'Detailed Budget'!$AC$200</f>
        <v>4683135004.5951529</v>
      </c>
      <c r="EC818" s="269">
        <f t="shared" si="2109"/>
        <v>3318886.1525491122</v>
      </c>
      <c r="ED818" s="269">
        <f t="shared" si="2152"/>
        <v>16594430.762745561</v>
      </c>
      <c r="EE818" s="196">
        <f>'Detailed Budget'!$AC$161</f>
        <v>251147290106.36197</v>
      </c>
      <c r="EF818" s="269">
        <f t="shared" si="2110"/>
        <v>180964301.05758613</v>
      </c>
      <c r="EG818" s="196">
        <f>'Detailed Budget'!$AC$163</f>
        <v>15696705631.647623</v>
      </c>
      <c r="EH818" s="269">
        <f t="shared" si="2111"/>
        <v>11310268.816099133</v>
      </c>
      <c r="EI818" s="269">
        <f t="shared" si="2153"/>
        <v>192274569.87368527</v>
      </c>
      <c r="EJ818" s="196">
        <f>'Detailed Budget'!$AC$204</f>
        <v>45012172507.531975</v>
      </c>
      <c r="EK818" s="269">
        <f t="shared" si="2112"/>
        <v>37708236.456071056</v>
      </c>
      <c r="EL818" s="201">
        <f>'Detailed Budget'!$AC$206</f>
        <v>11253043126.882994</v>
      </c>
      <c r="EM818" s="269">
        <f t="shared" si="2113"/>
        <v>9427059.1140177641</v>
      </c>
      <c r="EN818" s="269">
        <f t="shared" si="2154"/>
        <v>47135295.570088819</v>
      </c>
      <c r="EO818" s="140">
        <f>'Detailed Budget'!$AC$209</f>
        <v>135789361677.54817</v>
      </c>
      <c r="EP818" s="269">
        <f t="shared" si="2114"/>
        <v>85592290.033825278</v>
      </c>
      <c r="EQ818" s="196">
        <f>'Detailed Budget'!$AC$211</f>
        <v>33947340419.387043</v>
      </c>
      <c r="ER818" s="269">
        <f t="shared" si="2115"/>
        <v>21398072.50845632</v>
      </c>
      <c r="ES818" s="269">
        <f t="shared" si="2155"/>
        <v>106990362.5422816</v>
      </c>
      <c r="ET818" s="196">
        <f>'Detailed Budget'!$AC$214</f>
        <v>22239745544.201103</v>
      </c>
      <c r="EU818" s="269">
        <f t="shared" si="2116"/>
        <v>13614309.300885804</v>
      </c>
      <c r="EV818" s="140">
        <f>'Detailed Budget'!$AC$217</f>
        <v>5559936386.0502758</v>
      </c>
      <c r="EW818" s="269">
        <f t="shared" si="2117"/>
        <v>3403577.325221451</v>
      </c>
      <c r="EX818" s="269">
        <f t="shared" si="2156"/>
        <v>17017886.626107253</v>
      </c>
      <c r="EY818" s="196">
        <f>'Detailed Budget'!$AC$219</f>
        <v>372777004.58170313</v>
      </c>
      <c r="EZ818" s="269">
        <f t="shared" si="2118"/>
        <v>238890.64661247859</v>
      </c>
      <c r="FA818" s="196">
        <f>'Detailed Budget'!$AC$222</f>
        <v>93194251.145425782</v>
      </c>
      <c r="FB818" s="269">
        <f t="shared" si="2119"/>
        <v>59722.661653119649</v>
      </c>
      <c r="FC818" s="269">
        <f t="shared" si="2157"/>
        <v>298613.30826559826</v>
      </c>
      <c r="FD818" s="269"/>
      <c r="FE818" s="269">
        <f t="shared" si="2158"/>
        <v>171442158.04674327</v>
      </c>
      <c r="FF818" s="140">
        <f>'Detailed Budget'!$AC$165</f>
        <v>14927760000</v>
      </c>
      <c r="FG818" s="1087">
        <f t="shared" si="2043"/>
        <v>233858451.99283892</v>
      </c>
      <c r="FH818" s="269">
        <f t="shared" si="2120"/>
        <v>18657579.820474949</v>
      </c>
      <c r="FJ818" s="140">
        <f>'Detailed Budget'!$AC$235</f>
        <v>3623696172</v>
      </c>
      <c r="FK818" s="269">
        <f t="shared" si="2121"/>
        <v>4681778</v>
      </c>
      <c r="FL818" s="269">
        <f t="shared" si="2044"/>
        <v>4681778</v>
      </c>
      <c r="FO818" s="607"/>
      <c r="FP818" s="607"/>
      <c r="FQ818" s="607"/>
      <c r="FR818" s="269">
        <f>'Detailed Budget'!$AC$257</f>
        <v>13636439388</v>
      </c>
      <c r="FS818" s="269">
        <f t="shared" si="2122"/>
        <v>12491700</v>
      </c>
      <c r="FT818" s="269">
        <f t="shared" si="2045"/>
        <v>12491700</v>
      </c>
      <c r="FU818" s="269"/>
      <c r="FV818" s="269"/>
      <c r="FW818" s="269"/>
      <c r="FX818" s="140">
        <f>'Detailed Budget'!$AC$278</f>
        <v>1114560000</v>
      </c>
      <c r="FY818" s="269">
        <f t="shared" si="2123"/>
        <v>1440000</v>
      </c>
      <c r="FZ818" s="269">
        <f t="shared" si="2071"/>
        <v>1440000</v>
      </c>
      <c r="GB818" s="269">
        <f t="shared" si="2094"/>
        <v>792806522.41610801</v>
      </c>
      <c r="GC818" s="887">
        <f t="shared" si="2159"/>
        <v>495504.07651006751</v>
      </c>
      <c r="GD818" s="1078">
        <f t="shared" si="2095"/>
        <v>4.4486870449388815E-4</v>
      </c>
    </row>
    <row r="819" spans="1:186" hidden="1" outlineLevel="1">
      <c r="A819" s="211" t="s">
        <v>1712</v>
      </c>
      <c r="B819" s="212" t="s">
        <v>1713</v>
      </c>
      <c r="C819" s="213" t="s">
        <v>215</v>
      </c>
      <c r="D819" s="214"/>
      <c r="E819" s="213"/>
      <c r="F819" s="213"/>
      <c r="G819" s="213" t="s">
        <v>215</v>
      </c>
      <c r="H819" s="213" t="s">
        <v>215</v>
      </c>
      <c r="I819" s="214" t="s">
        <v>215</v>
      </c>
      <c r="J819" s="214"/>
      <c r="K819" s="213"/>
      <c r="L819" s="213"/>
      <c r="M819" s="214"/>
      <c r="N819" s="213"/>
      <c r="O819" s="214" t="s">
        <v>215</v>
      </c>
      <c r="P819" s="213"/>
      <c r="Q819" s="214"/>
      <c r="R819" s="214" t="s">
        <v>215</v>
      </c>
      <c r="S819" s="214"/>
      <c r="T819" s="214"/>
      <c r="U819" s="215">
        <f t="shared" si="2099"/>
        <v>6</v>
      </c>
      <c r="V819" s="845" t="s">
        <v>216</v>
      </c>
      <c r="W819" s="216">
        <v>191348</v>
      </c>
      <c r="X819" s="217">
        <v>3.21</v>
      </c>
      <c r="Y819" s="218">
        <f t="shared" si="2170"/>
        <v>1.0321</v>
      </c>
      <c r="Z819" s="196">
        <v>19</v>
      </c>
      <c r="AA819" s="218">
        <f t="shared" si="2171"/>
        <v>1.8226940798007465</v>
      </c>
      <c r="AB819" s="196">
        <f t="shared" si="2175"/>
        <v>348768.86678171327</v>
      </c>
      <c r="AC819">
        <v>11.9</v>
      </c>
      <c r="AD819" s="196">
        <f t="shared" si="2176"/>
        <v>41503.495147023881</v>
      </c>
      <c r="AE819" s="196">
        <f t="shared" si="2172"/>
        <v>39428.320389672685</v>
      </c>
      <c r="AF819" s="196">
        <f t="shared" si="2124"/>
        <v>0</v>
      </c>
      <c r="AG819" s="606">
        <f t="shared" si="2162"/>
        <v>1.8229924412486501E-3</v>
      </c>
      <c r="AH819" s="196">
        <f t="shared" si="2140"/>
        <v>17438.443339085665</v>
      </c>
      <c r="AI819" s="248">
        <f t="shared" si="2141"/>
        <v>1.3509297836565252E-3</v>
      </c>
      <c r="AJ819" s="196">
        <f t="shared" si="2142"/>
        <v>58941.938486109546</v>
      </c>
      <c r="AK819" s="196">
        <f t="shared" si="2173"/>
        <v>13950.754671268531</v>
      </c>
      <c r="AL819" s="196">
        <f t="shared" si="2174"/>
        <v>13950.754671268531</v>
      </c>
      <c r="AM819" s="196">
        <f t="shared" si="2143"/>
        <v>27901.509342537061</v>
      </c>
      <c r="AN819" s="627">
        <f t="shared" si="2144"/>
        <v>1.3509297836565252E-3</v>
      </c>
      <c r="AO819" s="196">
        <f t="shared" si="2145"/>
        <v>13253.216937705103</v>
      </c>
      <c r="AP819" s="589">
        <f t="shared" si="2163"/>
        <v>1.3509297836565252E-3</v>
      </c>
      <c r="AQ819" s="196"/>
      <c r="AR819" s="589"/>
      <c r="AS819">
        <v>1</v>
      </c>
      <c r="AT819" s="589">
        <f t="shared" si="2164"/>
        <v>1.2919896640826874E-3</v>
      </c>
      <c r="AU819" s="196">
        <v>15</v>
      </c>
      <c r="AV819" s="245">
        <f t="shared" si="2146"/>
        <v>1.7043517782070218E-3</v>
      </c>
      <c r="AX819" s="245"/>
      <c r="AY819" s="245"/>
      <c r="AZ819" s="196">
        <v>34</v>
      </c>
      <c r="BA819" s="589">
        <f t="shared" si="2073"/>
        <v>1.2458319592539666E-3</v>
      </c>
      <c r="BI819" s="196">
        <v>0</v>
      </c>
      <c r="BK819" s="246">
        <f t="shared" si="2074"/>
        <v>0</v>
      </c>
      <c r="BL819" s="246"/>
      <c r="BM819" s="246">
        <f t="shared" si="2075"/>
        <v>0</v>
      </c>
      <c r="BN819" s="196">
        <v>1</v>
      </c>
      <c r="BO819" s="196">
        <f t="shared" si="2125"/>
        <v>18707.137211110668</v>
      </c>
      <c r="BP819" s="196">
        <f t="shared" si="2147"/>
        <v>18707.137211110668</v>
      </c>
      <c r="BQ819" s="248">
        <f t="shared" si="2077"/>
        <v>1.7499655716757673E-3</v>
      </c>
      <c r="BR819" s="248"/>
      <c r="BS819" s="248"/>
      <c r="BT819" s="276">
        <v>0</v>
      </c>
      <c r="BU819" s="196">
        <f t="shared" si="2126"/>
        <v>0</v>
      </c>
      <c r="BV819" s="264">
        <f t="shared" si="2079"/>
        <v>0</v>
      </c>
      <c r="BW819" s="196">
        <f t="shared" si="2127"/>
        <v>0</v>
      </c>
      <c r="BX819" s="247">
        <f t="shared" si="2081"/>
        <v>0</v>
      </c>
      <c r="BY819" s="196">
        <f t="shared" si="2128"/>
        <v>0</v>
      </c>
      <c r="BZ819" s="620">
        <v>1</v>
      </c>
      <c r="CA819" s="196">
        <f t="shared" si="2129"/>
        <v>106723.27323520425</v>
      </c>
      <c r="CB819" s="196">
        <f t="shared" si="2130"/>
        <v>213446.5464704085</v>
      </c>
      <c r="CC819" s="196">
        <f t="shared" si="2160"/>
        <v>320169.81970561272</v>
      </c>
      <c r="CD819" s="247">
        <f t="shared" si="2148"/>
        <v>1.3509297836565249E-3</v>
      </c>
      <c r="CE819" s="196">
        <f t="shared" si="2131"/>
        <v>30768.769237947941</v>
      </c>
      <c r="CF819" s="247">
        <f t="shared" si="2149"/>
        <v>1.3286911448951364E-3</v>
      </c>
      <c r="CG819" s="196">
        <f t="shared" si="2101"/>
        <v>53012.867750820413</v>
      </c>
      <c r="CH819" s="589">
        <f t="shared" si="2165"/>
        <v>1.3509297836565252E-3</v>
      </c>
      <c r="CI819" s="196">
        <f t="shared" si="2132"/>
        <v>95537.278179754401</v>
      </c>
      <c r="CJ819" s="248">
        <f t="shared" si="2166"/>
        <v>1.5706326107694873E-3</v>
      </c>
      <c r="CK819" s="196">
        <f t="shared" si="2133"/>
        <v>82209.724918534121</v>
      </c>
      <c r="CL819" s="589">
        <f t="shared" si="2167"/>
        <v>1.1817817055229068E-3</v>
      </c>
      <c r="CM819" s="196">
        <f t="shared" si="2134"/>
        <v>7964.0858263274076</v>
      </c>
      <c r="CN819" s="589">
        <f t="shared" si="2168"/>
        <v>1.1477152766300376E-3</v>
      </c>
      <c r="CO819" s="196">
        <f t="shared" si="2135"/>
        <v>637.10670627370087</v>
      </c>
      <c r="CP819" s="589">
        <f t="shared" si="2169"/>
        <v>1.2014851155339036E-3</v>
      </c>
      <c r="CQ819" s="196">
        <f>'Detailed Budget'!$AC$12</f>
        <v>292876014141.44696</v>
      </c>
      <c r="CR819" s="269">
        <f t="shared" si="2040"/>
        <v>0</v>
      </c>
      <c r="CS819" s="269">
        <f>'Detailed Budget'!$AC$16</f>
        <v>10488008800.000002</v>
      </c>
      <c r="CT819" s="607">
        <f t="shared" si="2103"/>
        <v>0</v>
      </c>
      <c r="CU819" s="269">
        <f>'Detailed Budget'!$AC$24</f>
        <v>30624985696</v>
      </c>
      <c r="CV819" s="269">
        <f t="shared" si="2050"/>
        <v>0</v>
      </c>
      <c r="CW819" s="269"/>
      <c r="CX819" s="269">
        <f t="shared" si="2161"/>
        <v>0</v>
      </c>
      <c r="CY819" s="196">
        <f>'Detailed Budget'!$AC$97</f>
        <v>74629165494.837845</v>
      </c>
      <c r="CZ819" s="269">
        <f t="shared" si="2104"/>
        <v>130598470.25885935</v>
      </c>
      <c r="DA819" s="269">
        <f>'Detailed Budget'!$AC$100</f>
        <v>14925833098.967569</v>
      </c>
      <c r="DB819" s="269">
        <f t="shared" si="2105"/>
        <v>26119694.051771872</v>
      </c>
      <c r="DC819" s="269">
        <f t="shared" si="2150"/>
        <v>156718164.31063122</v>
      </c>
      <c r="DD819" s="207">
        <v>0</v>
      </c>
      <c r="DE819" s="606">
        <v>0</v>
      </c>
      <c r="DF819" s="269">
        <f>'Detailed Budget'!$AC$147</f>
        <v>5913600671000</v>
      </c>
      <c r="DG819" s="269">
        <f t="shared" si="2042"/>
        <v>0</v>
      </c>
      <c r="DH819" s="269">
        <f>'Detailed Budget'!$AC$153</f>
        <v>226428026880.00003</v>
      </c>
      <c r="DI819" s="269"/>
      <c r="DJ819" s="269">
        <f>'Detailed Budget'!$AC$156</f>
        <v>27713070000</v>
      </c>
      <c r="DK819" s="269"/>
      <c r="DL819" s="269"/>
      <c r="DM819" s="196">
        <f>'Detailed Budget'!$AC$178</f>
        <v>5622683761.6229038</v>
      </c>
      <c r="DN819" s="269">
        <f t="shared" si="2136"/>
        <v>0</v>
      </c>
      <c r="DO819" s="196">
        <f>'Detailed Budget'!$AC$179</f>
        <v>26827890683.128094</v>
      </c>
      <c r="DP819" s="269">
        <f t="shared" si="2137"/>
        <v>0</v>
      </c>
      <c r="DQ819" s="269">
        <f t="shared" si="2041"/>
        <v>0</v>
      </c>
      <c r="DR819" s="269">
        <f>'Detailed Budget'!$AC$181</f>
        <v>50888946855.375237</v>
      </c>
      <c r="DS819" s="269">
        <f t="shared" si="2138"/>
        <v>0</v>
      </c>
      <c r="DT819" s="269">
        <f t="shared" si="2139"/>
        <v>0</v>
      </c>
      <c r="DU819" s="272">
        <f>'Detailed Budget'!$AC$192</f>
        <v>77498869683.252869</v>
      </c>
      <c r="DV819" s="269">
        <f t="shared" si="2106"/>
        <v>104695531.25482202</v>
      </c>
      <c r="DW819" s="140">
        <f>'Detailed Budget'!$AC$194</f>
        <v>2684962805.4134097</v>
      </c>
      <c r="DX819" s="269">
        <f t="shared" si="2107"/>
        <v>3627196.2218429544</v>
      </c>
      <c r="DY819" s="607">
        <f t="shared" si="2151"/>
        <v>108322727.47666498</v>
      </c>
      <c r="DZ819" s="196">
        <f>'Detailed Budget'!$AC$198</f>
        <v>18732540018.380611</v>
      </c>
      <c r="EA819" s="269">
        <f t="shared" si="2108"/>
        <v>24889760.043816093</v>
      </c>
      <c r="EB819" s="196">
        <f>'Detailed Budget'!$AC$200</f>
        <v>4683135004.5951529</v>
      </c>
      <c r="EC819" s="269">
        <f t="shared" si="2109"/>
        <v>6222440.0109540233</v>
      </c>
      <c r="ED819" s="269">
        <f t="shared" si="2152"/>
        <v>31112200.054770116</v>
      </c>
      <c r="EE819" s="196">
        <f>'Detailed Budget'!$AC$161</f>
        <v>251147290106.36197</v>
      </c>
      <c r="EF819" s="269">
        <f t="shared" si="2110"/>
        <v>339282354.28931016</v>
      </c>
      <c r="EG819" s="196">
        <f>'Detailed Budget'!$AC$163</f>
        <v>15696705631.647623</v>
      </c>
      <c r="EH819" s="269">
        <f t="shared" si="2111"/>
        <v>21205147.143081885</v>
      </c>
      <c r="EI819" s="269">
        <f t="shared" si="2153"/>
        <v>360487501.43239206</v>
      </c>
      <c r="EJ819" s="196">
        <f>'Detailed Budget'!$AC$204</f>
        <v>45012172507.531975</v>
      </c>
      <c r="EK819" s="269">
        <f t="shared" si="2112"/>
        <v>70697586.021911487</v>
      </c>
      <c r="EL819" s="201">
        <f>'Detailed Budget'!$AC$206</f>
        <v>11253043126.882994</v>
      </c>
      <c r="EM819" s="269">
        <f t="shared" si="2113"/>
        <v>17674396.505477872</v>
      </c>
      <c r="EN819" s="269">
        <f t="shared" si="2154"/>
        <v>88371982.527389362</v>
      </c>
      <c r="EO819" s="140">
        <f>'Detailed Budget'!$AC$209</f>
        <v>135789361677.54817</v>
      </c>
      <c r="EP819" s="269">
        <f t="shared" si="2114"/>
        <v>160473383.43515971</v>
      </c>
      <c r="EQ819" s="196">
        <f>'Detailed Budget'!$AC$211</f>
        <v>33947340419.387043</v>
      </c>
      <c r="ER819" s="269">
        <f t="shared" si="2115"/>
        <v>40118345.858789928</v>
      </c>
      <c r="ES819" s="269">
        <f t="shared" si="2155"/>
        <v>200591729.29394963</v>
      </c>
      <c r="ET819" s="196">
        <f>'Detailed Budget'!$AC$214</f>
        <v>22239745544.201103</v>
      </c>
      <c r="EU819" s="269">
        <f t="shared" si="2116"/>
        <v>25524895.709444415</v>
      </c>
      <c r="EV819" s="140">
        <f>'Detailed Budget'!$AC$217</f>
        <v>5559936386.0502758</v>
      </c>
      <c r="EW819" s="269">
        <f t="shared" si="2117"/>
        <v>6381223.9273611037</v>
      </c>
      <c r="EX819" s="269">
        <f t="shared" si="2156"/>
        <v>31906119.636805519</v>
      </c>
      <c r="EY819" s="196">
        <f>'Detailed Budget'!$AC$219</f>
        <v>372777004.58170313</v>
      </c>
      <c r="EZ819" s="269">
        <f t="shared" si="2118"/>
        <v>447886.02241823007</v>
      </c>
      <c r="FA819" s="196">
        <f>'Detailed Budget'!$AC$222</f>
        <v>93194251.145425782</v>
      </c>
      <c r="FB819" s="269">
        <f t="shared" si="2119"/>
        <v>111971.50560455752</v>
      </c>
      <c r="FC819" s="269">
        <f t="shared" si="2157"/>
        <v>559857.52802278753</v>
      </c>
      <c r="FD819" s="269"/>
      <c r="FE819" s="269">
        <f t="shared" si="2158"/>
        <v>321429688.98616731</v>
      </c>
      <c r="FF819" s="140">
        <f>'Detailed Budget'!$AC$165</f>
        <v>14927760000</v>
      </c>
      <c r="FG819" s="1087">
        <f t="shared" si="2043"/>
        <v>438451372.44685233</v>
      </c>
      <c r="FH819" s="269">
        <f t="shared" si="2120"/>
        <v>25442154.300647654</v>
      </c>
      <c r="FJ819" s="140">
        <f>'Detailed Budget'!$AC$235</f>
        <v>3623696172</v>
      </c>
      <c r="FK819" s="269">
        <f t="shared" si="2121"/>
        <v>4681778</v>
      </c>
      <c r="FL819" s="269">
        <f t="shared" si="2044"/>
        <v>4681778</v>
      </c>
      <c r="FO819" s="607"/>
      <c r="FP819" s="607"/>
      <c r="FQ819" s="607"/>
      <c r="FR819" s="269">
        <f>'Detailed Budget'!$AC$257</f>
        <v>13636439388</v>
      </c>
      <c r="FS819" s="269">
        <f t="shared" si="2122"/>
        <v>16988712</v>
      </c>
      <c r="FT819" s="269">
        <f t="shared" si="2045"/>
        <v>16988712</v>
      </c>
      <c r="FU819" s="269"/>
      <c r="FV819" s="269"/>
      <c r="FW819" s="269"/>
      <c r="FX819" s="140">
        <f>'Detailed Budget'!$AC$278</f>
        <v>1114560000</v>
      </c>
      <c r="FY819" s="269">
        <f t="shared" si="2123"/>
        <v>1440000</v>
      </c>
      <c r="FZ819" s="269">
        <f t="shared" si="2071"/>
        <v>1440000</v>
      </c>
      <c r="GB819" s="269">
        <f t="shared" si="2094"/>
        <v>1465074299.0081258</v>
      </c>
      <c r="GC819" s="887">
        <f t="shared" si="2159"/>
        <v>915671.43688007863</v>
      </c>
      <c r="GD819" s="1078">
        <f t="shared" si="2095"/>
        <v>8.2209932304890161E-4</v>
      </c>
    </row>
    <row r="820" spans="1:186" hidden="1" outlineLevel="1">
      <c r="A820" s="211" t="s">
        <v>1714</v>
      </c>
      <c r="B820" s="212" t="s">
        <v>1715</v>
      </c>
      <c r="C820" s="213" t="s">
        <v>215</v>
      </c>
      <c r="D820" s="214"/>
      <c r="E820" s="213"/>
      <c r="F820" s="213"/>
      <c r="G820" s="213" t="s">
        <v>215</v>
      </c>
      <c r="H820" s="213" t="s">
        <v>215</v>
      </c>
      <c r="I820" s="214" t="s">
        <v>215</v>
      </c>
      <c r="J820" s="214"/>
      <c r="K820" s="213"/>
      <c r="L820" s="213"/>
      <c r="M820" s="214"/>
      <c r="N820" s="213"/>
      <c r="O820" s="214" t="s">
        <v>215</v>
      </c>
      <c r="P820" s="213"/>
      <c r="Q820" s="214"/>
      <c r="R820" s="214" t="s">
        <v>215</v>
      </c>
      <c r="S820" s="214"/>
      <c r="T820" s="214"/>
      <c r="U820" s="215">
        <f t="shared" si="2099"/>
        <v>6</v>
      </c>
      <c r="V820" s="845" t="s">
        <v>216</v>
      </c>
      <c r="W820" s="216">
        <v>116850</v>
      </c>
      <c r="X820" s="217">
        <v>3.21</v>
      </c>
      <c r="Y820" s="218">
        <f t="shared" si="2170"/>
        <v>1.0321</v>
      </c>
      <c r="Z820" s="196">
        <v>19</v>
      </c>
      <c r="AA820" s="218">
        <f t="shared" si="2171"/>
        <v>1.8226940798007465</v>
      </c>
      <c r="AB820" s="196">
        <f t="shared" si="2175"/>
        <v>212981.80322471724</v>
      </c>
      <c r="AC820">
        <v>11.9</v>
      </c>
      <c r="AD820" s="196">
        <f t="shared" si="2176"/>
        <v>25344.834583741351</v>
      </c>
      <c r="AE820" s="196">
        <f t="shared" si="2172"/>
        <v>24077.592854554281</v>
      </c>
      <c r="AF820" s="196">
        <f t="shared" si="2124"/>
        <v>0</v>
      </c>
      <c r="AG820" s="606">
        <f t="shared" si="2162"/>
        <v>1.1132421909813782E-3</v>
      </c>
      <c r="AH820" s="196">
        <f t="shared" si="2140"/>
        <v>10649.090161235863</v>
      </c>
      <c r="AI820" s="248">
        <f t="shared" si="2141"/>
        <v>8.2496887984334806E-4</v>
      </c>
      <c r="AJ820" s="196">
        <f t="shared" si="2142"/>
        <v>35993.924744977216</v>
      </c>
      <c r="AK820" s="196">
        <f t="shared" si="2173"/>
        <v>8519.2721289886904</v>
      </c>
      <c r="AL820" s="196">
        <f t="shared" si="2174"/>
        <v>8519.2721289886904</v>
      </c>
      <c r="AM820" s="196">
        <f t="shared" si="2143"/>
        <v>17038.544257977381</v>
      </c>
      <c r="AN820" s="627">
        <f t="shared" si="2144"/>
        <v>8.2496887984334806E-4</v>
      </c>
      <c r="AO820" s="196">
        <f t="shared" si="2145"/>
        <v>8093.3085225392551</v>
      </c>
      <c r="AP820" s="589">
        <f t="shared" si="2163"/>
        <v>8.2496887984334806E-4</v>
      </c>
      <c r="AQ820" s="196"/>
      <c r="AR820" s="589"/>
      <c r="AS820">
        <v>1</v>
      </c>
      <c r="AT820" s="589">
        <f t="shared" si="2164"/>
        <v>1.2919896640826874E-3</v>
      </c>
      <c r="AU820" s="196">
        <v>10</v>
      </c>
      <c r="AV820" s="245">
        <f t="shared" si="2146"/>
        <v>1.1362345188046814E-3</v>
      </c>
      <c r="AX820" s="245"/>
      <c r="AY820" s="245"/>
      <c r="AZ820" s="196">
        <v>37</v>
      </c>
      <c r="BA820" s="589">
        <f t="shared" si="2073"/>
        <v>1.3557583085999048E-3</v>
      </c>
      <c r="BI820" s="196">
        <v>0</v>
      </c>
      <c r="BK820" s="246">
        <f t="shared" si="2074"/>
        <v>0</v>
      </c>
      <c r="BL820" s="246"/>
      <c r="BM820" s="246">
        <f t="shared" si="2075"/>
        <v>0</v>
      </c>
      <c r="BN820" s="196">
        <v>1</v>
      </c>
      <c r="BO820" s="196">
        <f t="shared" si="2125"/>
        <v>11423.840244571575</v>
      </c>
      <c r="BP820" s="196">
        <f t="shared" si="2147"/>
        <v>11423.840244571575</v>
      </c>
      <c r="BQ820" s="248">
        <f t="shared" si="2077"/>
        <v>1.0686470569345561E-3</v>
      </c>
      <c r="BR820" s="248"/>
      <c r="BS820" s="248"/>
      <c r="BT820" s="276">
        <v>0</v>
      </c>
      <c r="BU820" s="196">
        <f t="shared" si="2126"/>
        <v>0</v>
      </c>
      <c r="BV820" s="264">
        <f t="shared" si="2079"/>
        <v>0</v>
      </c>
      <c r="BW820" s="196">
        <f t="shared" si="2127"/>
        <v>0</v>
      </c>
      <c r="BX820" s="247">
        <f t="shared" si="2081"/>
        <v>0</v>
      </c>
      <c r="BY820" s="196">
        <f t="shared" si="2128"/>
        <v>0</v>
      </c>
      <c r="BZ820" s="620">
        <v>1</v>
      </c>
      <c r="CA820" s="196">
        <f t="shared" si="2129"/>
        <v>65172.431786763482</v>
      </c>
      <c r="CB820" s="196">
        <f t="shared" si="2130"/>
        <v>130344.86357352696</v>
      </c>
      <c r="CC820" s="196">
        <f t="shared" si="2160"/>
        <v>195517.29536029045</v>
      </c>
      <c r="CD820" s="247">
        <f t="shared" si="2148"/>
        <v>8.2496887984334806E-4</v>
      </c>
      <c r="CE820" s="196">
        <f t="shared" si="2131"/>
        <v>18789.486618382303</v>
      </c>
      <c r="CF820" s="247">
        <f t="shared" si="2149"/>
        <v>8.1138846646422588E-4</v>
      </c>
      <c r="CG820" s="196">
        <f t="shared" si="2101"/>
        <v>32373.234090157021</v>
      </c>
      <c r="CH820" s="589">
        <f t="shared" si="2165"/>
        <v>8.2496887984334806E-4</v>
      </c>
      <c r="CI820" s="196">
        <f t="shared" si="2132"/>
        <v>58341.508431257716</v>
      </c>
      <c r="CJ820" s="248">
        <f t="shared" si="2166"/>
        <v>9.5913425051954862E-4</v>
      </c>
      <c r="CK820" s="196">
        <f t="shared" si="2133"/>
        <v>50202.805133739108</v>
      </c>
      <c r="CL820" s="589">
        <f t="shared" si="2167"/>
        <v>7.2167565007395763E-4</v>
      </c>
      <c r="CM820" s="196">
        <f t="shared" si="2134"/>
        <v>4863.4081819844341</v>
      </c>
      <c r="CN820" s="589">
        <f t="shared" si="2168"/>
        <v>7.0087238996080373E-4</v>
      </c>
      <c r="CO820" s="196">
        <f t="shared" si="2135"/>
        <v>389.06034360475127</v>
      </c>
      <c r="CP820" s="589">
        <f t="shared" si="2169"/>
        <v>7.3370788171361401E-4</v>
      </c>
      <c r="CQ820" s="196">
        <f>'Detailed Budget'!$AC$12</f>
        <v>292876014141.44696</v>
      </c>
      <c r="CR820" s="269">
        <f t="shared" si="2040"/>
        <v>0</v>
      </c>
      <c r="CS820" s="269">
        <f>'Detailed Budget'!$AC$16</f>
        <v>10488008800.000002</v>
      </c>
      <c r="CT820" s="607">
        <f t="shared" si="2103"/>
        <v>0</v>
      </c>
      <c r="CU820" s="269">
        <f>'Detailed Budget'!$AC$24</f>
        <v>30624985696</v>
      </c>
      <c r="CV820" s="269">
        <f t="shared" si="2050"/>
        <v>0</v>
      </c>
      <c r="CW820" s="269"/>
      <c r="CX820" s="269">
        <f t="shared" si="2161"/>
        <v>0</v>
      </c>
      <c r="CY820" s="196">
        <f>'Detailed Budget'!$AC$97</f>
        <v>74629165494.837845</v>
      </c>
      <c r="CZ820" s="269">
        <f t="shared" si="2104"/>
        <v>79752238.067540392</v>
      </c>
      <c r="DA820" s="269">
        <f>'Detailed Budget'!$AC$100</f>
        <v>14925833098.967569</v>
      </c>
      <c r="DB820" s="269">
        <f t="shared" si="2105"/>
        <v>15950447.613508077</v>
      </c>
      <c r="DC820" s="269">
        <f t="shared" si="2150"/>
        <v>95702685.681048468</v>
      </c>
      <c r="DD820" s="207">
        <v>0</v>
      </c>
      <c r="DE820" s="606">
        <v>0</v>
      </c>
      <c r="DF820" s="269">
        <f>'Detailed Budget'!$AC$147</f>
        <v>5913600671000</v>
      </c>
      <c r="DG820" s="269">
        <f t="shared" si="2042"/>
        <v>0</v>
      </c>
      <c r="DH820" s="269">
        <f>'Detailed Budget'!$AC$153</f>
        <v>226428026880.00003</v>
      </c>
      <c r="DI820" s="269"/>
      <c r="DJ820" s="269">
        <f>'Detailed Budget'!$AC$156</f>
        <v>27713070000</v>
      </c>
      <c r="DK820" s="269"/>
      <c r="DL820" s="269"/>
      <c r="DM820" s="196">
        <f>'Detailed Budget'!$AC$178</f>
        <v>5622683761.6229038</v>
      </c>
      <c r="DN820" s="269">
        <f t="shared" si="2136"/>
        <v>0</v>
      </c>
      <c r="DO820" s="196">
        <f>'Detailed Budget'!$AC$179</f>
        <v>26827890683.128094</v>
      </c>
      <c r="DP820" s="269">
        <f t="shared" si="2137"/>
        <v>0</v>
      </c>
      <c r="DQ820" s="269">
        <f t="shared" si="2041"/>
        <v>0</v>
      </c>
      <c r="DR820" s="269">
        <f>'Detailed Budget'!$AC$181</f>
        <v>50888946855.375237</v>
      </c>
      <c r="DS820" s="269">
        <f t="shared" si="2138"/>
        <v>0</v>
      </c>
      <c r="DT820" s="269">
        <f t="shared" si="2139"/>
        <v>0</v>
      </c>
      <c r="DU820" s="272">
        <f>'Detailed Budget'!$AC$192</f>
        <v>77498869683.252869</v>
      </c>
      <c r="DV820" s="269">
        <f t="shared" si="2106"/>
        <v>63934155.711718723</v>
      </c>
      <c r="DW820" s="140">
        <f>'Detailed Budget'!$AC$194</f>
        <v>2684962805.4134097</v>
      </c>
      <c r="DX820" s="269">
        <f t="shared" si="2107"/>
        <v>2215010.7580029541</v>
      </c>
      <c r="DY820" s="607">
        <f t="shared" si="2151"/>
        <v>66149166.469721675</v>
      </c>
      <c r="DZ820" s="196">
        <f>'Detailed Budget'!$AC$198</f>
        <v>18732540018.380611</v>
      </c>
      <c r="EA820" s="269">
        <f t="shared" si="2108"/>
        <v>15199366.918493586</v>
      </c>
      <c r="EB820" s="196">
        <f>'Detailed Budget'!$AC$200</f>
        <v>4683135004.5951529</v>
      </c>
      <c r="EC820" s="269">
        <f t="shared" si="2109"/>
        <v>3799841.7296233964</v>
      </c>
      <c r="ED820" s="269">
        <f t="shared" si="2152"/>
        <v>18999208.648116983</v>
      </c>
      <c r="EE820" s="196">
        <f>'Detailed Budget'!$AC$161</f>
        <v>251147290106.36197</v>
      </c>
      <c r="EF820" s="269">
        <f t="shared" si="2110"/>
        <v>207188698.5947378</v>
      </c>
      <c r="EG820" s="196">
        <f>'Detailed Budget'!$AC$163</f>
        <v>15696705631.647623</v>
      </c>
      <c r="EH820" s="269">
        <f t="shared" si="2111"/>
        <v>12949293.662171112</v>
      </c>
      <c r="EI820" s="269">
        <f t="shared" si="2153"/>
        <v>220137992.25690892</v>
      </c>
      <c r="EJ820" s="196">
        <f>'Detailed Budget'!$AC$204</f>
        <v>45012172507.531975</v>
      </c>
      <c r="EK820" s="269">
        <f t="shared" si="2112"/>
        <v>43172716.34226831</v>
      </c>
      <c r="EL820" s="201">
        <f>'Detailed Budget'!$AC$206</f>
        <v>11253043126.882994</v>
      </c>
      <c r="EM820" s="269">
        <f t="shared" si="2113"/>
        <v>10793179.085567078</v>
      </c>
      <c r="EN820" s="269">
        <f t="shared" si="2154"/>
        <v>53965895.42783539</v>
      </c>
      <c r="EO820" s="140">
        <f>'Detailed Budget'!$AC$209</f>
        <v>135789361677.54817</v>
      </c>
      <c r="EP820" s="269">
        <f t="shared" si="2114"/>
        <v>97995875.861772329</v>
      </c>
      <c r="EQ820" s="196">
        <f>'Detailed Budget'!$AC$211</f>
        <v>33947340419.387043</v>
      </c>
      <c r="ER820" s="269">
        <f t="shared" si="2115"/>
        <v>24498968.965443082</v>
      </c>
      <c r="ES820" s="269">
        <f t="shared" si="2155"/>
        <v>122494844.8272154</v>
      </c>
      <c r="ET820" s="196">
        <f>'Detailed Budget'!$AC$214</f>
        <v>22239745544.201103</v>
      </c>
      <c r="EU820" s="269">
        <f t="shared" si="2116"/>
        <v>15587223.611684363</v>
      </c>
      <c r="EV820" s="140">
        <f>'Detailed Budget'!$AC$217</f>
        <v>5559936386.0502758</v>
      </c>
      <c r="EW820" s="269">
        <f t="shared" si="2117"/>
        <v>3896805.9029210908</v>
      </c>
      <c r="EX820" s="269">
        <f t="shared" si="2156"/>
        <v>19484029.514605455</v>
      </c>
      <c r="EY820" s="196">
        <f>'Detailed Budget'!$AC$219</f>
        <v>372777004.58170313</v>
      </c>
      <c r="EZ820" s="269">
        <f t="shared" si="2118"/>
        <v>273509.42638318759</v>
      </c>
      <c r="FA820" s="196">
        <f>'Detailed Budget'!$AC$222</f>
        <v>93194251.145425782</v>
      </c>
      <c r="FB820" s="269">
        <f t="shared" si="2119"/>
        <v>68377.356595796897</v>
      </c>
      <c r="FC820" s="269">
        <f t="shared" si="2157"/>
        <v>341886.78297898447</v>
      </c>
      <c r="FD820" s="269"/>
      <c r="FE820" s="269">
        <f t="shared" si="2158"/>
        <v>196286656.55263522</v>
      </c>
      <c r="FF820" s="140">
        <f>'Detailed Budget'!$AC$165</f>
        <v>14927760000</v>
      </c>
      <c r="FG820" s="1087">
        <f t="shared" si="2043"/>
        <v>267747992.50796813</v>
      </c>
      <c r="FH820" s="269">
        <f t="shared" si="2120"/>
        <v>16961436.200431772</v>
      </c>
      <c r="FJ820" s="140">
        <f>'Detailed Budget'!$AC$235</f>
        <v>3623696172</v>
      </c>
      <c r="FK820" s="269">
        <f t="shared" si="2121"/>
        <v>4681778</v>
      </c>
      <c r="FL820" s="269">
        <f t="shared" si="2044"/>
        <v>4681778</v>
      </c>
      <c r="FO820" s="607"/>
      <c r="FP820" s="607"/>
      <c r="FQ820" s="607"/>
      <c r="FR820" s="269">
        <f>'Detailed Budget'!$AC$257</f>
        <v>13636439388</v>
      </c>
      <c r="FS820" s="269">
        <f t="shared" si="2122"/>
        <v>18487716</v>
      </c>
      <c r="FT820" s="269">
        <f t="shared" si="2045"/>
        <v>18487716</v>
      </c>
      <c r="FU820" s="269"/>
      <c r="FV820" s="269"/>
      <c r="FW820" s="269"/>
      <c r="FX820" s="140">
        <f>'Detailed Budget'!$AC$278</f>
        <v>1114560000</v>
      </c>
      <c r="FY820" s="269">
        <f t="shared" si="2123"/>
        <v>1440000</v>
      </c>
      <c r="FZ820" s="269">
        <f t="shared" si="2071"/>
        <v>1440000</v>
      </c>
      <c r="GB820" s="269">
        <f t="shared" si="2094"/>
        <v>906594632.31683111</v>
      </c>
      <c r="GC820" s="887">
        <f t="shared" si="2159"/>
        <v>566621.64519801945</v>
      </c>
      <c r="GD820" s="1078">
        <f t="shared" si="2095"/>
        <v>5.0871879604469188E-4</v>
      </c>
    </row>
    <row r="821" spans="1:186" hidden="1" outlineLevel="1">
      <c r="A821" s="211" t="s">
        <v>1716</v>
      </c>
      <c r="B821" s="212" t="s">
        <v>1717</v>
      </c>
      <c r="C821" s="213" t="s">
        <v>215</v>
      </c>
      <c r="D821" s="214"/>
      <c r="E821" s="213"/>
      <c r="F821" s="213"/>
      <c r="G821" s="213" t="s">
        <v>215</v>
      </c>
      <c r="H821" s="213" t="s">
        <v>215</v>
      </c>
      <c r="I821" s="214" t="s">
        <v>215</v>
      </c>
      <c r="J821" s="214"/>
      <c r="K821" s="213"/>
      <c r="L821" s="213"/>
      <c r="M821" s="214"/>
      <c r="N821" s="213"/>
      <c r="O821" s="214" t="s">
        <v>215</v>
      </c>
      <c r="P821" s="213"/>
      <c r="Q821" s="214"/>
      <c r="R821" s="214" t="s">
        <v>215</v>
      </c>
      <c r="S821" s="214"/>
      <c r="T821" s="214"/>
      <c r="U821" s="215">
        <f t="shared" si="2099"/>
        <v>6</v>
      </c>
      <c r="V821" s="845" t="s">
        <v>216</v>
      </c>
      <c r="W821" s="216">
        <v>132078</v>
      </c>
      <c r="X821" s="217">
        <v>3.21</v>
      </c>
      <c r="Y821" s="218">
        <f t="shared" si="2170"/>
        <v>1.0321</v>
      </c>
      <c r="Z821" s="196">
        <v>19</v>
      </c>
      <c r="AA821" s="218">
        <f t="shared" si="2171"/>
        <v>1.8226940798007465</v>
      </c>
      <c r="AB821" s="196">
        <f t="shared" si="2175"/>
        <v>240737.78867192299</v>
      </c>
      <c r="AC821">
        <v>11.9</v>
      </c>
      <c r="AD821" s="196">
        <f t="shared" si="2176"/>
        <v>28647.796851958836</v>
      </c>
      <c r="AE821" s="196">
        <f t="shared" si="2172"/>
        <v>27215.407009360893</v>
      </c>
      <c r="AF821" s="196">
        <f t="shared" si="2124"/>
        <v>0</v>
      </c>
      <c r="AG821" s="606">
        <f t="shared" si="2162"/>
        <v>1.2583209422373852E-3</v>
      </c>
      <c r="AH821" s="196">
        <f t="shared" si="2140"/>
        <v>12036.88943359615</v>
      </c>
      <c r="AI821" s="248">
        <f t="shared" si="2141"/>
        <v>9.3247958675181613E-4</v>
      </c>
      <c r="AJ821" s="196">
        <f t="shared" si="2142"/>
        <v>40684.686285554984</v>
      </c>
      <c r="AK821" s="196">
        <f t="shared" si="2173"/>
        <v>9629.51154687692</v>
      </c>
      <c r="AL821" s="196">
        <f t="shared" si="2174"/>
        <v>9629.51154687692</v>
      </c>
      <c r="AM821" s="196">
        <f t="shared" si="2143"/>
        <v>19259.02309375384</v>
      </c>
      <c r="AN821" s="627">
        <f t="shared" si="2144"/>
        <v>9.3247958675181613E-4</v>
      </c>
      <c r="AO821" s="196">
        <f t="shared" si="2145"/>
        <v>9148.0359695330735</v>
      </c>
      <c r="AP821" s="589">
        <f t="shared" si="2163"/>
        <v>9.3247958675181613E-4</v>
      </c>
      <c r="AQ821" s="196"/>
      <c r="AR821" s="589"/>
      <c r="AS821">
        <v>1</v>
      </c>
      <c r="AT821" s="589">
        <f t="shared" si="2164"/>
        <v>1.2919896640826874E-3</v>
      </c>
      <c r="AU821" s="196">
        <v>15</v>
      </c>
      <c r="AV821" s="245">
        <f t="shared" si="2146"/>
        <v>1.7043517782070218E-3</v>
      </c>
      <c r="AX821" s="245"/>
      <c r="AY821" s="245"/>
      <c r="AZ821" s="196">
        <v>29</v>
      </c>
      <c r="BA821" s="589">
        <f t="shared" si="2073"/>
        <v>1.0626213770107361E-3</v>
      </c>
      <c r="BI821" s="196">
        <v>0</v>
      </c>
      <c r="BK821" s="246">
        <f t="shared" si="2074"/>
        <v>0</v>
      </c>
      <c r="BL821" s="246"/>
      <c r="BM821" s="246">
        <f t="shared" si="2075"/>
        <v>0</v>
      </c>
      <c r="BN821" s="196">
        <v>1</v>
      </c>
      <c r="BO821" s="196">
        <f t="shared" si="2125"/>
        <v>12912.605663864135</v>
      </c>
      <c r="BP821" s="196">
        <f t="shared" si="2147"/>
        <v>12912.605663864135</v>
      </c>
      <c r="BQ821" s="248">
        <f t="shared" si="2077"/>
        <v>1.2079141291039988E-3</v>
      </c>
      <c r="BR821" s="248"/>
      <c r="BS821" s="248"/>
      <c r="BT821" s="276">
        <v>0</v>
      </c>
      <c r="BU821" s="196">
        <f t="shared" si="2126"/>
        <v>0</v>
      </c>
      <c r="BV821" s="264">
        <f t="shared" si="2079"/>
        <v>0</v>
      </c>
      <c r="BW821" s="196">
        <f t="shared" si="2127"/>
        <v>0</v>
      </c>
      <c r="BX821" s="247">
        <f t="shared" si="2081"/>
        <v>0</v>
      </c>
      <c r="BY821" s="196">
        <f t="shared" si="2128"/>
        <v>0</v>
      </c>
      <c r="BZ821" s="620">
        <v>1</v>
      </c>
      <c r="CA821" s="196">
        <f t="shared" si="2129"/>
        <v>73665.76333360844</v>
      </c>
      <c r="CB821" s="196">
        <f t="shared" si="2130"/>
        <v>147331.52666721688</v>
      </c>
      <c r="CC821" s="196">
        <f t="shared" si="2160"/>
        <v>220997.29000082531</v>
      </c>
      <c r="CD821" s="247">
        <f t="shared" si="2148"/>
        <v>9.3247958675181613E-4</v>
      </c>
      <c r="CE821" s="196">
        <f t="shared" si="2131"/>
        <v>21238.149880895999</v>
      </c>
      <c r="CF821" s="247">
        <f t="shared" si="2149"/>
        <v>9.1712936134926825E-4</v>
      </c>
      <c r="CG821" s="196">
        <f t="shared" si="2101"/>
        <v>36592.143878132294</v>
      </c>
      <c r="CH821" s="589">
        <f t="shared" si="2165"/>
        <v>9.3247958675181613E-4</v>
      </c>
      <c r="CI821" s="196">
        <f t="shared" si="2132"/>
        <v>65944.627732851135</v>
      </c>
      <c r="CJ821" s="248">
        <f t="shared" si="2166"/>
        <v>1.0841295125384759E-3</v>
      </c>
      <c r="CK821" s="196">
        <f t="shared" si="2133"/>
        <v>56745.281099306747</v>
      </c>
      <c r="CL821" s="589">
        <f t="shared" si="2167"/>
        <v>8.1572508780888462E-4</v>
      </c>
      <c r="CM821" s="196">
        <f t="shared" si="2134"/>
        <v>5497.2120313234063</v>
      </c>
      <c r="CN821" s="589">
        <f t="shared" si="2168"/>
        <v>7.9221072761012428E-4</v>
      </c>
      <c r="CO821" s="196">
        <f t="shared" si="2135"/>
        <v>439.76304717696473</v>
      </c>
      <c r="CP821" s="589">
        <f t="shared" si="2169"/>
        <v>8.2932537099675394E-4</v>
      </c>
      <c r="CQ821" s="196">
        <f>'Detailed Budget'!$AC$12</f>
        <v>292876014141.44696</v>
      </c>
      <c r="CR821" s="269">
        <f t="shared" si="2040"/>
        <v>0</v>
      </c>
      <c r="CS821" s="269">
        <f>'Detailed Budget'!$AC$16</f>
        <v>10488008800.000002</v>
      </c>
      <c r="CT821" s="607">
        <f t="shared" si="2103"/>
        <v>0</v>
      </c>
      <c r="CU821" s="269">
        <f>'Detailed Budget'!$AC$24</f>
        <v>30624985696</v>
      </c>
      <c r="CV821" s="269">
        <f t="shared" si="2050"/>
        <v>0</v>
      </c>
      <c r="CW821" s="269"/>
      <c r="CX821" s="269">
        <f t="shared" si="2161"/>
        <v>0</v>
      </c>
      <c r="CY821" s="196">
        <f>'Detailed Budget'!$AC$97</f>
        <v>74629165494.837845</v>
      </c>
      <c r="CZ821" s="269">
        <f t="shared" si="2104"/>
        <v>90145623.444455251</v>
      </c>
      <c r="DA821" s="269">
        <f>'Detailed Budget'!$AC$100</f>
        <v>14925833098.967569</v>
      </c>
      <c r="DB821" s="269">
        <f t="shared" si="2105"/>
        <v>18029124.688891049</v>
      </c>
      <c r="DC821" s="269">
        <f t="shared" si="2150"/>
        <v>108174748.1333463</v>
      </c>
      <c r="DD821" s="207">
        <v>0</v>
      </c>
      <c r="DE821" s="606">
        <v>0</v>
      </c>
      <c r="DF821" s="269">
        <f>'Detailed Budget'!$AC$147</f>
        <v>5913600671000</v>
      </c>
      <c r="DG821" s="269">
        <f t="shared" si="2042"/>
        <v>0</v>
      </c>
      <c r="DH821" s="269">
        <f>'Detailed Budget'!$AC$153</f>
        <v>226428026880.00003</v>
      </c>
      <c r="DI821" s="269"/>
      <c r="DJ821" s="269">
        <f>'Detailed Budget'!$AC$156</f>
        <v>27713070000</v>
      </c>
      <c r="DK821" s="269"/>
      <c r="DL821" s="269"/>
      <c r="DM821" s="196">
        <f>'Detailed Budget'!$AC$178</f>
        <v>5622683761.6229038</v>
      </c>
      <c r="DN821" s="269">
        <f t="shared" si="2136"/>
        <v>0</v>
      </c>
      <c r="DO821" s="196">
        <f>'Detailed Budget'!$AC$179</f>
        <v>26827890683.128094</v>
      </c>
      <c r="DP821" s="269">
        <f t="shared" si="2137"/>
        <v>0</v>
      </c>
      <c r="DQ821" s="269">
        <f t="shared" si="2041"/>
        <v>0</v>
      </c>
      <c r="DR821" s="269">
        <f>'Detailed Budget'!$AC$181</f>
        <v>50888946855.375237</v>
      </c>
      <c r="DS821" s="269">
        <f t="shared" si="2138"/>
        <v>0</v>
      </c>
      <c r="DT821" s="269">
        <f t="shared" si="2139"/>
        <v>0</v>
      </c>
      <c r="DU821" s="272">
        <f>'Detailed Budget'!$AC$192</f>
        <v>77498869683.252869</v>
      </c>
      <c r="DV821" s="269">
        <f t="shared" si="2106"/>
        <v>72266113.975972489</v>
      </c>
      <c r="DW821" s="140">
        <f>'Detailed Budget'!$AC$194</f>
        <v>2684962805.4134097</v>
      </c>
      <c r="DX821" s="269">
        <f t="shared" si="2107"/>
        <v>2503673.007235893</v>
      </c>
      <c r="DY821" s="607">
        <f t="shared" si="2151"/>
        <v>74769786.983208388</v>
      </c>
      <c r="DZ821" s="196">
        <f>'Detailed Budget'!$AC$198</f>
        <v>18732540018.380611</v>
      </c>
      <c r="EA821" s="269">
        <f t="shared" si="2108"/>
        <v>17180162.463507019</v>
      </c>
      <c r="EB821" s="196">
        <f>'Detailed Budget'!$AC$200</f>
        <v>4683135004.5951529</v>
      </c>
      <c r="EC821" s="269">
        <f t="shared" si="2109"/>
        <v>4295040.6158767547</v>
      </c>
      <c r="ED821" s="269">
        <f t="shared" si="2152"/>
        <v>21475203.079383776</v>
      </c>
      <c r="EE821" s="196">
        <f>'Detailed Budget'!$AC$161</f>
        <v>251147290106.36197</v>
      </c>
      <c r="EF821" s="269">
        <f t="shared" si="2110"/>
        <v>234189721.29221889</v>
      </c>
      <c r="EG821" s="196">
        <f>'Detailed Budget'!$AC$163</f>
        <v>15696705631.647623</v>
      </c>
      <c r="EH821" s="269">
        <f t="shared" si="2111"/>
        <v>14636857.580763681</v>
      </c>
      <c r="EI821" s="269">
        <f t="shared" si="2153"/>
        <v>248826578.87298256</v>
      </c>
      <c r="EJ821" s="196">
        <f>'Detailed Budget'!$AC$204</f>
        <v>45012172507.531975</v>
      </c>
      <c r="EK821" s="269">
        <f t="shared" si="2112"/>
        <v>48799024.638888426</v>
      </c>
      <c r="EL821" s="201">
        <f>'Detailed Budget'!$AC$206</f>
        <v>11253043126.882994</v>
      </c>
      <c r="EM821" s="269">
        <f t="shared" si="2113"/>
        <v>12199756.159722107</v>
      </c>
      <c r="EN821" s="269">
        <f t="shared" si="2154"/>
        <v>60998780.798610531</v>
      </c>
      <c r="EO821" s="140">
        <f>'Detailed Budget'!$AC$209</f>
        <v>135789361677.54817</v>
      </c>
      <c r="EP821" s="269">
        <f t="shared" si="2114"/>
        <v>110766788.97793038</v>
      </c>
      <c r="EQ821" s="196">
        <f>'Detailed Budget'!$AC$211</f>
        <v>33947340419.387043</v>
      </c>
      <c r="ER821" s="269">
        <f t="shared" si="2115"/>
        <v>27691697.244482595</v>
      </c>
      <c r="ES821" s="269">
        <f t="shared" si="2155"/>
        <v>138458486.22241297</v>
      </c>
      <c r="ET821" s="196">
        <f>'Detailed Budget'!$AC$214</f>
        <v>22239745544.201103</v>
      </c>
      <c r="EU821" s="269">
        <f t="shared" si="2116"/>
        <v>17618564.999435574</v>
      </c>
      <c r="EV821" s="140">
        <f>'Detailed Budget'!$AC$217</f>
        <v>5559936386.0502758</v>
      </c>
      <c r="EW821" s="269">
        <f t="shared" si="2117"/>
        <v>4404641.2498588935</v>
      </c>
      <c r="EX821" s="269">
        <f t="shared" si="2156"/>
        <v>22023206.249294467</v>
      </c>
      <c r="EY821" s="196">
        <f>'Detailed Budget'!$AC$219</f>
        <v>372777004.58170313</v>
      </c>
      <c r="EZ821" s="269">
        <f t="shared" si="2118"/>
        <v>309153.42762377957</v>
      </c>
      <c r="FA821" s="196">
        <f>'Detailed Budget'!$AC$222</f>
        <v>93194251.145425782</v>
      </c>
      <c r="FB821" s="269">
        <f t="shared" si="2119"/>
        <v>77288.356905944893</v>
      </c>
      <c r="FC821" s="269">
        <f t="shared" si="2157"/>
        <v>386441.78452972445</v>
      </c>
      <c r="FD821" s="269"/>
      <c r="FE821" s="269">
        <f t="shared" si="2158"/>
        <v>221866915.05484769</v>
      </c>
      <c r="FF821" s="140">
        <f>'Detailed Budget'!$AC$165</f>
        <v>14927760000</v>
      </c>
      <c r="FG821" s="1087">
        <f t="shared" si="2043"/>
        <v>302641158.36086786</v>
      </c>
      <c r="FH821" s="269">
        <f t="shared" si="2120"/>
        <v>25442154.300647654</v>
      </c>
      <c r="FJ821" s="140">
        <f>'Detailed Budget'!$AC$235</f>
        <v>3623696172</v>
      </c>
      <c r="FK821" s="269">
        <f t="shared" si="2121"/>
        <v>4681778</v>
      </c>
      <c r="FL821" s="269">
        <f t="shared" si="2044"/>
        <v>4681778</v>
      </c>
      <c r="FO821" s="607"/>
      <c r="FP821" s="607"/>
      <c r="FQ821" s="607"/>
      <c r="FR821" s="269">
        <f>'Detailed Budget'!$AC$257</f>
        <v>13636439388</v>
      </c>
      <c r="FS821" s="269">
        <f t="shared" si="2122"/>
        <v>14490372</v>
      </c>
      <c r="FT821" s="269">
        <f t="shared" si="2045"/>
        <v>14490372</v>
      </c>
      <c r="FU821" s="269"/>
      <c r="FV821" s="269"/>
      <c r="FW821" s="269"/>
      <c r="FX821" s="140">
        <f>'Detailed Budget'!$AC$278</f>
        <v>1114560000</v>
      </c>
      <c r="FY821" s="269">
        <f t="shared" si="2123"/>
        <v>1440000</v>
      </c>
      <c r="FZ821" s="269">
        <f t="shared" si="2071"/>
        <v>1440000</v>
      </c>
      <c r="GB821" s="269">
        <f t="shared" si="2094"/>
        <v>1023808694.7852842</v>
      </c>
      <c r="GC821" s="887">
        <f t="shared" si="2159"/>
        <v>639880.43424080266</v>
      </c>
      <c r="GD821" s="1078">
        <f t="shared" si="2095"/>
        <v>5.7449129746142214E-4</v>
      </c>
    </row>
    <row r="822" spans="1:186" hidden="1" outlineLevel="1">
      <c r="A822" s="211" t="s">
        <v>1718</v>
      </c>
      <c r="B822" s="212" t="s">
        <v>1719</v>
      </c>
      <c r="C822" s="213" t="s">
        <v>215</v>
      </c>
      <c r="D822" s="214"/>
      <c r="E822" s="213"/>
      <c r="F822" s="213"/>
      <c r="G822" s="213" t="s">
        <v>215</v>
      </c>
      <c r="H822" s="213" t="s">
        <v>215</v>
      </c>
      <c r="I822" s="214" t="s">
        <v>215</v>
      </c>
      <c r="J822" s="214"/>
      <c r="K822" s="213"/>
      <c r="L822" s="213"/>
      <c r="M822" s="214"/>
      <c r="N822" s="213" t="s">
        <v>215</v>
      </c>
      <c r="O822" s="214"/>
      <c r="P822" s="213"/>
      <c r="Q822" s="214"/>
      <c r="R822" s="214" t="s">
        <v>215</v>
      </c>
      <c r="S822" s="214"/>
      <c r="T822" s="214"/>
      <c r="U822" s="215">
        <f t="shared" si="2099"/>
        <v>6</v>
      </c>
      <c r="V822" s="845" t="s">
        <v>216</v>
      </c>
      <c r="W822" s="216">
        <v>76227</v>
      </c>
      <c r="X822" s="217">
        <v>3.21</v>
      </c>
      <c r="Y822" s="218">
        <f t="shared" si="2170"/>
        <v>1.0321</v>
      </c>
      <c r="Z822" s="196">
        <v>19</v>
      </c>
      <c r="AA822" s="218">
        <f t="shared" si="2171"/>
        <v>1.8226940798007465</v>
      </c>
      <c r="AB822" s="196">
        <f t="shared" si="2175"/>
        <v>138938.50162097151</v>
      </c>
      <c r="AC822">
        <v>11.9</v>
      </c>
      <c r="AD822" s="196">
        <f t="shared" si="2176"/>
        <v>16533.68169289561</v>
      </c>
      <c r="AE822" s="196">
        <f t="shared" si="2172"/>
        <v>15706.997608250829</v>
      </c>
      <c r="AF822" s="196">
        <f t="shared" si="2124"/>
        <v>0</v>
      </c>
      <c r="AG822" s="606">
        <f t="shared" si="2162"/>
        <v>7.2622261439398816E-4</v>
      </c>
      <c r="AH822" s="196">
        <f t="shared" si="2140"/>
        <v>6946.9250810485755</v>
      </c>
      <c r="AI822" s="248">
        <f t="shared" si="2141"/>
        <v>5.3816776040923307E-4</v>
      </c>
      <c r="AJ822" s="196">
        <f t="shared" si="2142"/>
        <v>23480.606773944186</v>
      </c>
      <c r="AK822" s="196">
        <f t="shared" si="2173"/>
        <v>5557.5400648388604</v>
      </c>
      <c r="AL822" s="196">
        <f t="shared" si="2174"/>
        <v>5557.5400648388604</v>
      </c>
      <c r="AM822" s="196">
        <f t="shared" si="2143"/>
        <v>11115.080129677721</v>
      </c>
      <c r="AN822" s="627">
        <f t="shared" si="2144"/>
        <v>5.3816776040923307E-4</v>
      </c>
      <c r="AO822" s="196">
        <f t="shared" si="2145"/>
        <v>5279.663061596917</v>
      </c>
      <c r="AP822" s="589">
        <f t="shared" si="2163"/>
        <v>5.3816776040923307E-4</v>
      </c>
      <c r="AQ822" s="196"/>
      <c r="AR822" s="589"/>
      <c r="AS822">
        <v>1</v>
      </c>
      <c r="AT822" s="589">
        <f t="shared" si="2164"/>
        <v>1.2919896640826874E-3</v>
      </c>
      <c r="AU822" s="196">
        <v>10</v>
      </c>
      <c r="AV822" s="245">
        <f t="shared" si="2146"/>
        <v>1.1362345188046814E-3</v>
      </c>
      <c r="AX822" s="245"/>
      <c r="AY822" s="245"/>
      <c r="AZ822" s="196">
        <v>36</v>
      </c>
      <c r="BA822" s="589">
        <f t="shared" si="2073"/>
        <v>1.3191161921512586E-3</v>
      </c>
      <c r="BI822" s="196">
        <v>0</v>
      </c>
      <c r="BK822" s="246">
        <f t="shared" si="2074"/>
        <v>0</v>
      </c>
      <c r="BL822" s="246"/>
      <c r="BM822" s="246">
        <f t="shared" si="2075"/>
        <v>0</v>
      </c>
      <c r="BN822" s="196">
        <v>1</v>
      </c>
      <c r="BO822" s="196">
        <f t="shared" si="2125"/>
        <v>7452.3326514587707</v>
      </c>
      <c r="BP822" s="196">
        <f t="shared" si="2147"/>
        <v>7452.3326514587707</v>
      </c>
      <c r="BQ822" s="248">
        <f t="shared" si="2077"/>
        <v>6.9713101590886085E-4</v>
      </c>
      <c r="BR822" s="248"/>
      <c r="BS822" s="248"/>
      <c r="BT822" s="276">
        <v>0</v>
      </c>
      <c r="BU822" s="196">
        <f t="shared" si="2126"/>
        <v>0</v>
      </c>
      <c r="BV822" s="264">
        <f t="shared" si="2079"/>
        <v>0</v>
      </c>
      <c r="BW822" s="196">
        <f t="shared" si="2127"/>
        <v>0</v>
      </c>
      <c r="BX822" s="247">
        <f t="shared" si="2081"/>
        <v>0</v>
      </c>
      <c r="BY822" s="196">
        <f t="shared" si="2128"/>
        <v>0</v>
      </c>
      <c r="BZ822" s="620">
        <v>1</v>
      </c>
      <c r="CA822" s="196">
        <f t="shared" si="2129"/>
        <v>42515.181496017278</v>
      </c>
      <c r="CB822" s="196">
        <f t="shared" si="2130"/>
        <v>85030.362992034556</v>
      </c>
      <c r="CC822" s="196">
        <f t="shared" si="2160"/>
        <v>127545.54448805183</v>
      </c>
      <c r="CD822" s="247">
        <f t="shared" si="2148"/>
        <v>5.3816776040923307E-4</v>
      </c>
      <c r="CE822" s="196">
        <f t="shared" si="2131"/>
        <v>12257.305917496171</v>
      </c>
      <c r="CF822" s="247">
        <f t="shared" si="2149"/>
        <v>5.2930858907290139E-4</v>
      </c>
      <c r="CG822" s="196">
        <f t="shared" si="2101"/>
        <v>21118.652246387668</v>
      </c>
      <c r="CH822" s="589">
        <f t="shared" si="2165"/>
        <v>5.3816776040923307E-4</v>
      </c>
      <c r="CI822" s="196">
        <f t="shared" si="2132"/>
        <v>38059.034344796593</v>
      </c>
      <c r="CJ822" s="248">
        <f t="shared" si="2166"/>
        <v>6.2569042802185389E-4</v>
      </c>
      <c r="CK822" s="196">
        <f t="shared" si="2133"/>
        <v>32749.758039619439</v>
      </c>
      <c r="CL822" s="589">
        <f t="shared" si="2167"/>
        <v>4.7078450815736051E-4</v>
      </c>
      <c r="CM822" s="196">
        <f t="shared" si="2134"/>
        <v>3172.6402694747753</v>
      </c>
      <c r="CN822" s="589">
        <f t="shared" si="2168"/>
        <v>4.5721351878084889E-4</v>
      </c>
      <c r="CO822" s="196">
        <f t="shared" si="2135"/>
        <v>253.80319051741014</v>
      </c>
      <c r="CP822" s="589">
        <f t="shared" si="2169"/>
        <v>4.7863372442775916E-4</v>
      </c>
      <c r="CQ822" s="196">
        <f>'Detailed Budget'!$AC$12</f>
        <v>292876014141.44696</v>
      </c>
      <c r="CR822" s="269">
        <f t="shared" si="2040"/>
        <v>0</v>
      </c>
      <c r="CS822" s="269">
        <f>'Detailed Budget'!$AC$16</f>
        <v>10488008800.000002</v>
      </c>
      <c r="CT822" s="607">
        <f t="shared" si="2103"/>
        <v>0</v>
      </c>
      <c r="CU822" s="269">
        <f>'Detailed Budget'!$AC$24</f>
        <v>30624985696</v>
      </c>
      <c r="CV822" s="269">
        <f t="shared" si="2050"/>
        <v>0</v>
      </c>
      <c r="CW822" s="269"/>
      <c r="CX822" s="269">
        <f t="shared" si="2161"/>
        <v>0</v>
      </c>
      <c r="CY822" s="196">
        <f>'Detailed Budget'!$AC$97</f>
        <v>74629165494.837845</v>
      </c>
      <c r="CZ822" s="269">
        <f t="shared" si="2104"/>
        <v>52026305.957846813</v>
      </c>
      <c r="DA822" s="269">
        <f>'Detailed Budget'!$AC$100</f>
        <v>14925833098.967569</v>
      </c>
      <c r="DB822" s="269">
        <f t="shared" si="2105"/>
        <v>10405261.191569362</v>
      </c>
      <c r="DC822" s="269">
        <f t="shared" si="2150"/>
        <v>62431567.149416178</v>
      </c>
      <c r="DD822" s="207">
        <v>0</v>
      </c>
      <c r="DE822" s="606">
        <v>0</v>
      </c>
      <c r="DF822" s="269">
        <f>'Detailed Budget'!$AC$147</f>
        <v>5913600671000</v>
      </c>
      <c r="DG822" s="269">
        <f t="shared" si="2042"/>
        <v>0</v>
      </c>
      <c r="DH822" s="269">
        <f>'Detailed Budget'!$AC$153</f>
        <v>226428026880.00003</v>
      </c>
      <c r="DI822" s="269"/>
      <c r="DJ822" s="269">
        <f>'Detailed Budget'!$AC$156</f>
        <v>27713070000</v>
      </c>
      <c r="DK822" s="269"/>
      <c r="DL822" s="269"/>
      <c r="DM822" s="196">
        <f>'Detailed Budget'!$AC$178</f>
        <v>5622683761.6229038</v>
      </c>
      <c r="DN822" s="269">
        <f t="shared" si="2136"/>
        <v>0</v>
      </c>
      <c r="DO822" s="196">
        <f>'Detailed Budget'!$AC$179</f>
        <v>26827890683.128094</v>
      </c>
      <c r="DP822" s="269">
        <f t="shared" si="2137"/>
        <v>0</v>
      </c>
      <c r="DQ822" s="269">
        <f t="shared" si="2041"/>
        <v>0</v>
      </c>
      <c r="DR822" s="269">
        <f>'Detailed Budget'!$AC$181</f>
        <v>50888946855.375237</v>
      </c>
      <c r="DS822" s="269">
        <f t="shared" si="2138"/>
        <v>0</v>
      </c>
      <c r="DT822" s="269">
        <f t="shared" si="2139"/>
        <v>0</v>
      </c>
      <c r="DU822" s="272">
        <f>'Detailed Budget'!$AC$192</f>
        <v>77498869683.252869</v>
      </c>
      <c r="DV822" s="269">
        <f t="shared" si="2106"/>
        <v>41707393.131683208</v>
      </c>
      <c r="DW822" s="140">
        <f>'Detailed Budget'!$AC$194</f>
        <v>2684962805.4134097</v>
      </c>
      <c r="DX822" s="269">
        <f t="shared" si="2107"/>
        <v>1444960.4197714261</v>
      </c>
      <c r="DY822" s="607">
        <f t="shared" si="2151"/>
        <v>43152353.551454633</v>
      </c>
      <c r="DZ822" s="196">
        <f>'Detailed Budget'!$AC$198</f>
        <v>18732540018.380611</v>
      </c>
      <c r="EA822" s="269">
        <f t="shared" si="2108"/>
        <v>9915294.3268807027</v>
      </c>
      <c r="EB822" s="196">
        <f>'Detailed Budget'!$AC$200</f>
        <v>4683135004.5951529</v>
      </c>
      <c r="EC822" s="269">
        <f t="shared" si="2109"/>
        <v>2478823.5817201757</v>
      </c>
      <c r="ED822" s="269">
        <f t="shared" si="2152"/>
        <v>12394117.908600878</v>
      </c>
      <c r="EE822" s="196">
        <f>'Detailed Budget'!$AC$161</f>
        <v>251147290106.36197</v>
      </c>
      <c r="EF822" s="269">
        <f t="shared" si="2110"/>
        <v>135159374.64938876</v>
      </c>
      <c r="EG822" s="196">
        <f>'Detailed Budget'!$AC$163</f>
        <v>15696705631.647623</v>
      </c>
      <c r="EH822" s="269">
        <f t="shared" si="2111"/>
        <v>8447460.9155867975</v>
      </c>
      <c r="EI822" s="269">
        <f t="shared" si="2153"/>
        <v>143606835.56497556</v>
      </c>
      <c r="EJ822" s="196">
        <f>'Detailed Budget'!$AC$204</f>
        <v>45012172507.531975</v>
      </c>
      <c r="EK822" s="269">
        <f t="shared" si="2112"/>
        <v>28163685.482431207</v>
      </c>
      <c r="EL822" s="201">
        <f>'Detailed Budget'!$AC$206</f>
        <v>11253043126.882994</v>
      </c>
      <c r="EM822" s="269">
        <f t="shared" si="2113"/>
        <v>7040921.3706078017</v>
      </c>
      <c r="EN822" s="269">
        <f t="shared" si="2154"/>
        <v>35204606.853039011</v>
      </c>
      <c r="EO822" s="140">
        <f>'Detailed Budget'!$AC$209</f>
        <v>135789361677.54817</v>
      </c>
      <c r="EP822" s="269">
        <f t="shared" si="2114"/>
        <v>63927527.850366451</v>
      </c>
      <c r="EQ822" s="196">
        <f>'Detailed Budget'!$AC$211</f>
        <v>33947340419.387043</v>
      </c>
      <c r="ER822" s="269">
        <f t="shared" si="2115"/>
        <v>15981881.962591613</v>
      </c>
      <c r="ES822" s="269">
        <f t="shared" si="2155"/>
        <v>79909409.812958062</v>
      </c>
      <c r="ET822" s="196">
        <f>'Detailed Budget'!$AC$214</f>
        <v>22239745544.201103</v>
      </c>
      <c r="EU822" s="269">
        <f t="shared" si="2116"/>
        <v>10168312.317054892</v>
      </c>
      <c r="EV822" s="140">
        <f>'Detailed Budget'!$AC$217</f>
        <v>5559936386.0502758</v>
      </c>
      <c r="EW822" s="269">
        <f t="shared" si="2117"/>
        <v>2542078.079263723</v>
      </c>
      <c r="EX822" s="269">
        <f t="shared" si="2156"/>
        <v>12710390.396318614</v>
      </c>
      <c r="EY822" s="196">
        <f>'Detailed Budget'!$AC$219</f>
        <v>372777004.58170313</v>
      </c>
      <c r="EZ822" s="269">
        <f t="shared" si="2118"/>
        <v>178423.64608396441</v>
      </c>
      <c r="FA822" s="196">
        <f>'Detailed Budget'!$AC$222</f>
        <v>93194251.145425782</v>
      </c>
      <c r="FB822" s="269">
        <f t="shared" si="2119"/>
        <v>44605.911520991103</v>
      </c>
      <c r="FC822" s="269">
        <f t="shared" si="2157"/>
        <v>223029.55760495551</v>
      </c>
      <c r="FD822" s="269"/>
      <c r="FE822" s="269">
        <f t="shared" si="2158"/>
        <v>128047436.61992064</v>
      </c>
      <c r="FF822" s="140">
        <f>'Detailed Budget'!$AC$165</f>
        <v>14927760000</v>
      </c>
      <c r="FG822" s="1087">
        <f t="shared" si="2043"/>
        <v>174665179.50282317</v>
      </c>
      <c r="FH822" s="269">
        <f t="shared" si="2120"/>
        <v>16961436.200431772</v>
      </c>
      <c r="FJ822" s="140">
        <f>'Detailed Budget'!$AC$235</f>
        <v>3623696172</v>
      </c>
      <c r="FK822" s="269">
        <f t="shared" si="2121"/>
        <v>4681778</v>
      </c>
      <c r="FL822" s="269">
        <f t="shared" si="2044"/>
        <v>4681778</v>
      </c>
      <c r="FO822" s="607"/>
      <c r="FP822" s="607"/>
      <c r="FQ822" s="607"/>
      <c r="FR822" s="269">
        <f>'Detailed Budget'!$AC$257</f>
        <v>13636439388</v>
      </c>
      <c r="FS822" s="269">
        <f t="shared" si="2122"/>
        <v>17988048</v>
      </c>
      <c r="FT822" s="269">
        <f t="shared" si="2045"/>
        <v>17988048</v>
      </c>
      <c r="FU822" s="269"/>
      <c r="FV822" s="269"/>
      <c r="FW822" s="269"/>
      <c r="FX822" s="140">
        <f>'Detailed Budget'!$AC$278</f>
        <v>1114560000</v>
      </c>
      <c r="FY822" s="269">
        <f t="shared" si="2123"/>
        <v>1440000</v>
      </c>
      <c r="FZ822" s="269">
        <f t="shared" si="2071"/>
        <v>1440000</v>
      </c>
      <c r="GB822" s="269">
        <f t="shared" si="2094"/>
        <v>605368752.49762297</v>
      </c>
      <c r="GC822" s="887">
        <f t="shared" si="2159"/>
        <v>378355.47031101433</v>
      </c>
      <c r="GD822" s="1078">
        <f t="shared" si="2095"/>
        <v>3.3969146954539105E-4</v>
      </c>
    </row>
    <row r="823" spans="1:186" hidden="1" outlineLevel="1">
      <c r="A823" s="211" t="s">
        <v>1720</v>
      </c>
      <c r="B823" s="212" t="s">
        <v>1721</v>
      </c>
      <c r="C823" s="213" t="s">
        <v>215</v>
      </c>
      <c r="D823" s="214"/>
      <c r="E823" s="213"/>
      <c r="F823" s="213"/>
      <c r="G823" s="213" t="s">
        <v>215</v>
      </c>
      <c r="H823" s="213" t="s">
        <v>215</v>
      </c>
      <c r="I823" s="214" t="s">
        <v>215</v>
      </c>
      <c r="J823" s="214"/>
      <c r="K823" s="213"/>
      <c r="L823" s="213"/>
      <c r="M823" s="214"/>
      <c r="N823" s="213"/>
      <c r="O823" s="214"/>
      <c r="P823" s="213" t="s">
        <v>215</v>
      </c>
      <c r="Q823" s="214" t="s">
        <v>215</v>
      </c>
      <c r="R823" s="214"/>
      <c r="S823" s="214"/>
      <c r="T823" s="214"/>
      <c r="U823" s="215">
        <f t="shared" si="2099"/>
        <v>6</v>
      </c>
      <c r="V823" s="845" t="s">
        <v>1073</v>
      </c>
      <c r="W823" s="216">
        <v>131649</v>
      </c>
      <c r="X823" s="217">
        <v>3.21</v>
      </c>
      <c r="Y823" s="218">
        <f t="shared" si="2170"/>
        <v>1.0321</v>
      </c>
      <c r="Z823" s="196">
        <v>19</v>
      </c>
      <c r="AA823" s="218">
        <f t="shared" si="2171"/>
        <v>1.8226940798007465</v>
      </c>
      <c r="AB823" s="196">
        <f t="shared" si="2175"/>
        <v>239955.85291168847</v>
      </c>
      <c r="AC823">
        <v>11.9</v>
      </c>
      <c r="AD823" s="196">
        <f t="shared" si="2176"/>
        <v>28554.74649649093</v>
      </c>
      <c r="AE823" s="196">
        <f t="shared" si="2172"/>
        <v>27127.009171666381</v>
      </c>
      <c r="AF823" s="196">
        <f t="shared" si="2124"/>
        <v>0</v>
      </c>
      <c r="AG823" s="606">
        <f t="shared" si="2162"/>
        <v>1.25423381429617E-3</v>
      </c>
      <c r="AH823" s="196">
        <f t="shared" si="2140"/>
        <v>11997.792645584424</v>
      </c>
      <c r="AI823" s="248">
        <f t="shared" si="2141"/>
        <v>9.2945081782196766E-4</v>
      </c>
      <c r="AJ823" s="196">
        <f t="shared" si="2142"/>
        <v>40552.539142075359</v>
      </c>
      <c r="AK823" s="196">
        <f t="shared" si="2173"/>
        <v>9598.2341164675399</v>
      </c>
      <c r="AL823" s="196">
        <f t="shared" si="2174"/>
        <v>9598.2341164675399</v>
      </c>
      <c r="AM823" s="196">
        <f t="shared" si="2143"/>
        <v>19196.46823293508</v>
      </c>
      <c r="AN823" s="627">
        <f t="shared" si="2144"/>
        <v>9.2945081782196777E-4</v>
      </c>
      <c r="AO823" s="196">
        <f t="shared" si="2145"/>
        <v>9118.3224106441612</v>
      </c>
      <c r="AP823" s="589">
        <f t="shared" si="2163"/>
        <v>9.2945081782196755E-4</v>
      </c>
      <c r="AQ823" s="196"/>
      <c r="AR823" s="589"/>
      <c r="AS823">
        <v>1</v>
      </c>
      <c r="AT823" s="589">
        <f t="shared" si="2164"/>
        <v>1.2919896640826874E-3</v>
      </c>
      <c r="AU823" s="196">
        <v>11</v>
      </c>
      <c r="AV823" s="245">
        <f t="shared" si="2146"/>
        <v>1.2498579706851495E-3</v>
      </c>
      <c r="AX823" s="245"/>
      <c r="AY823" s="245"/>
      <c r="AZ823" s="196">
        <v>22</v>
      </c>
      <c r="BA823" s="589">
        <f t="shared" si="2073"/>
        <v>8.0612656187021366E-4</v>
      </c>
      <c r="BI823" s="196">
        <v>0</v>
      </c>
      <c r="BK823" s="246">
        <f t="shared" si="2074"/>
        <v>0</v>
      </c>
      <c r="BL823" s="246"/>
      <c r="BM823" s="246">
        <f t="shared" si="2075"/>
        <v>0</v>
      </c>
      <c r="BN823" s="196">
        <v>1</v>
      </c>
      <c r="BO823" s="196">
        <f t="shared" si="2125"/>
        <v>12870.664478884068</v>
      </c>
      <c r="BP823" s="196">
        <f t="shared" si="2147"/>
        <v>12870.664478884068</v>
      </c>
      <c r="BQ823" s="248">
        <f t="shared" si="2077"/>
        <v>1.2039907265586425E-3</v>
      </c>
      <c r="BR823" s="248"/>
      <c r="BS823" s="248"/>
      <c r="BT823" s="276">
        <v>0</v>
      </c>
      <c r="BU823" s="196">
        <f t="shared" si="2126"/>
        <v>0</v>
      </c>
      <c r="BV823" s="264">
        <f t="shared" si="2079"/>
        <v>0</v>
      </c>
      <c r="BW823" s="196">
        <f t="shared" si="2127"/>
        <v>0</v>
      </c>
      <c r="BX823" s="247">
        <f t="shared" si="2081"/>
        <v>0</v>
      </c>
      <c r="BY823" s="196">
        <f t="shared" si="2128"/>
        <v>0</v>
      </c>
      <c r="BZ823" s="620">
        <v>1</v>
      </c>
      <c r="CA823" s="196">
        <f t="shared" si="2129"/>
        <v>73426.490990976672</v>
      </c>
      <c r="CB823" s="196">
        <f t="shared" si="2130"/>
        <v>146852.98198195334</v>
      </c>
      <c r="CC823" s="196">
        <f t="shared" si="2160"/>
        <v>220279.47297293</v>
      </c>
      <c r="CD823" s="247">
        <f t="shared" si="2148"/>
        <v>9.2945081782196755E-4</v>
      </c>
      <c r="CE823" s="196">
        <f t="shared" si="2131"/>
        <v>21169.166656597445</v>
      </c>
      <c r="CF823" s="247">
        <f t="shared" si="2149"/>
        <v>9.1415045118997727E-4</v>
      </c>
      <c r="CG823" s="196">
        <f t="shared" si="2101"/>
        <v>36473.289642576645</v>
      </c>
      <c r="CH823" s="589">
        <f t="shared" si="2165"/>
        <v>9.2945081782196755E-4</v>
      </c>
      <c r="CI823" s="196">
        <f t="shared" si="2132"/>
        <v>65730.434261588773</v>
      </c>
      <c r="CJ823" s="248">
        <f t="shared" si="2166"/>
        <v>1.0806081724146176E-3</v>
      </c>
      <c r="CK823" s="196">
        <f t="shared" si="2133"/>
        <v>56560.967848109722</v>
      </c>
      <c r="CL823" s="589">
        <f t="shared" si="2167"/>
        <v>8.1307554691130912E-4</v>
      </c>
      <c r="CM823" s="196">
        <f t="shared" si="2134"/>
        <v>5479.3566431328099</v>
      </c>
      <c r="CN823" s="589">
        <f t="shared" si="2168"/>
        <v>7.896375632516035E-4</v>
      </c>
      <c r="CO823" s="196">
        <f t="shared" si="2135"/>
        <v>438.334661319828</v>
      </c>
      <c r="CP823" s="589">
        <f t="shared" si="2169"/>
        <v>8.266316552821188E-4</v>
      </c>
      <c r="CQ823" s="196">
        <f>'Detailed Budget'!$AC$12</f>
        <v>292876014141.44696</v>
      </c>
      <c r="CR823" s="269">
        <f t="shared" si="2040"/>
        <v>0</v>
      </c>
      <c r="CS823" s="269">
        <f>'Detailed Budget'!$AC$16</f>
        <v>10488008800.000002</v>
      </c>
      <c r="CT823" s="607">
        <f t="shared" si="2103"/>
        <v>0</v>
      </c>
      <c r="CU823" s="269">
        <f>'Detailed Budget'!$AC$24</f>
        <v>30624985696</v>
      </c>
      <c r="CV823" s="269">
        <f t="shared" si="2050"/>
        <v>0</v>
      </c>
      <c r="CW823" s="269"/>
      <c r="CX823" s="269">
        <f t="shared" si="2161"/>
        <v>0</v>
      </c>
      <c r="CY823" s="196">
        <f>'Detailed Budget'!$AC$97</f>
        <v>74629165494.837845</v>
      </c>
      <c r="CZ823" s="269">
        <f t="shared" si="2104"/>
        <v>89852823.186594993</v>
      </c>
      <c r="DA823" s="269">
        <f>'Detailed Budget'!$AC$100</f>
        <v>14925833098.967569</v>
      </c>
      <c r="DB823" s="269">
        <f t="shared" si="2105"/>
        <v>17970564.637318999</v>
      </c>
      <c r="DC823" s="269">
        <f t="shared" si="2150"/>
        <v>107823387.82391399</v>
      </c>
      <c r="DD823" s="207">
        <v>0</v>
      </c>
      <c r="DE823" s="606">
        <v>0</v>
      </c>
      <c r="DF823" s="269">
        <f>'Detailed Budget'!$AC$147</f>
        <v>5913600671000</v>
      </c>
      <c r="DG823" s="269">
        <f t="shared" si="2042"/>
        <v>0</v>
      </c>
      <c r="DH823" s="269">
        <f>'Detailed Budget'!$AC$153</f>
        <v>226428026880.00003</v>
      </c>
      <c r="DI823" s="269"/>
      <c r="DJ823" s="269">
        <f>'Detailed Budget'!$AC$156</f>
        <v>27713070000</v>
      </c>
      <c r="DK823" s="269"/>
      <c r="DL823" s="269"/>
      <c r="DM823" s="196">
        <f>'Detailed Budget'!$AC$178</f>
        <v>5622683761.6229038</v>
      </c>
      <c r="DN823" s="269">
        <f t="shared" si="2136"/>
        <v>0</v>
      </c>
      <c r="DO823" s="196">
        <f>'Detailed Budget'!$AC$179</f>
        <v>26827890683.128094</v>
      </c>
      <c r="DP823" s="269">
        <f t="shared" si="2137"/>
        <v>0</v>
      </c>
      <c r="DQ823" s="269">
        <f t="shared" si="2041"/>
        <v>0</v>
      </c>
      <c r="DR823" s="269">
        <f>'Detailed Budget'!$AC$181</f>
        <v>50888946855.375237</v>
      </c>
      <c r="DS823" s="269">
        <f t="shared" si="2138"/>
        <v>0</v>
      </c>
      <c r="DT823" s="269">
        <f t="shared" si="2139"/>
        <v>0</v>
      </c>
      <c r="DU823" s="272">
        <f>'Detailed Budget'!$AC$192</f>
        <v>77498869683.252869</v>
      </c>
      <c r="DV823" s="269">
        <f t="shared" si="2106"/>
        <v>72031387.807377473</v>
      </c>
      <c r="DW823" s="140">
        <f>'Detailed Budget'!$AC$194</f>
        <v>2684962805.4134097</v>
      </c>
      <c r="DX823" s="269">
        <f t="shared" si="2107"/>
        <v>2495540.8753130585</v>
      </c>
      <c r="DY823" s="607">
        <f t="shared" si="2151"/>
        <v>74526928.682690531</v>
      </c>
      <c r="DZ823" s="196">
        <f>'Detailed Budget'!$AC$198</f>
        <v>18732540018.380611</v>
      </c>
      <c r="EA823" s="269">
        <f t="shared" si="2108"/>
        <v>17124359.909736942</v>
      </c>
      <c r="EB823" s="196">
        <f>'Detailed Budget'!$AC$200</f>
        <v>4683135004.5951529</v>
      </c>
      <c r="EC823" s="269">
        <f t="shared" si="2109"/>
        <v>4281089.9774342356</v>
      </c>
      <c r="ED823" s="269">
        <f t="shared" si="2152"/>
        <v>21405449.887171179</v>
      </c>
      <c r="EE823" s="196">
        <f>'Detailed Budget'!$AC$161</f>
        <v>251147290106.36197</v>
      </c>
      <c r="EF823" s="269">
        <f t="shared" si="2110"/>
        <v>233429054.18312907</v>
      </c>
      <c r="EG823" s="196">
        <f>'Detailed Budget'!$AC$163</f>
        <v>15696705631.647623</v>
      </c>
      <c r="EH823" s="269">
        <f t="shared" si="2111"/>
        <v>14589315.886445567</v>
      </c>
      <c r="EI823" s="269">
        <f t="shared" si="2153"/>
        <v>248018370.06957465</v>
      </c>
      <c r="EJ823" s="196">
        <f>'Detailed Budget'!$AC$204</f>
        <v>45012172507.531975</v>
      </c>
      <c r="EK823" s="269">
        <f t="shared" si="2112"/>
        <v>48640521.469775625</v>
      </c>
      <c r="EL823" s="201">
        <f>'Detailed Budget'!$AC$206</f>
        <v>11253043126.882994</v>
      </c>
      <c r="EM823" s="269">
        <f t="shared" si="2113"/>
        <v>12160130.367443906</v>
      </c>
      <c r="EN823" s="269">
        <f t="shared" si="2154"/>
        <v>60800651.837219529</v>
      </c>
      <c r="EO823" s="140">
        <f>'Detailed Budget'!$AC$209</f>
        <v>135789361677.54817</v>
      </c>
      <c r="EP823" s="269">
        <f t="shared" si="2114"/>
        <v>110407009.51071005</v>
      </c>
      <c r="EQ823" s="196">
        <f>'Detailed Budget'!$AC$211</f>
        <v>33947340419.387043</v>
      </c>
      <c r="ER823" s="269">
        <f t="shared" si="2115"/>
        <v>27601752.377677511</v>
      </c>
      <c r="ES823" s="269">
        <f t="shared" si="2155"/>
        <v>138008761.88838756</v>
      </c>
      <c r="ET823" s="196">
        <f>'Detailed Budget'!$AC$214</f>
        <v>22239745544.201103</v>
      </c>
      <c r="EU823" s="269">
        <f t="shared" si="2116"/>
        <v>17561338.478858665</v>
      </c>
      <c r="EV823" s="140">
        <f>'Detailed Budget'!$AC$217</f>
        <v>5559936386.0502758</v>
      </c>
      <c r="EW823" s="269">
        <f t="shared" si="2117"/>
        <v>4390334.6197146662</v>
      </c>
      <c r="EX823" s="269">
        <f t="shared" si="2156"/>
        <v>21951673.098573331</v>
      </c>
      <c r="EY823" s="196">
        <f>'Detailed Budget'!$AC$219</f>
        <v>372777004.58170313</v>
      </c>
      <c r="EZ823" s="269">
        <f t="shared" si="2118"/>
        <v>308149.27234848327</v>
      </c>
      <c r="FA823" s="196">
        <f>'Detailed Budget'!$AC$222</f>
        <v>93194251.145425782</v>
      </c>
      <c r="FB823" s="269">
        <f t="shared" si="2119"/>
        <v>77037.318087120817</v>
      </c>
      <c r="FC823" s="269">
        <f t="shared" si="2157"/>
        <v>385186.5904356041</v>
      </c>
      <c r="FD823" s="269"/>
      <c r="FE823" s="269">
        <f t="shared" si="2158"/>
        <v>221146273.41461602</v>
      </c>
      <c r="FF823" s="140">
        <f>'Detailed Budget'!$AC$165</f>
        <v>14927760000</v>
      </c>
      <c r="FG823" s="1087">
        <f t="shared" si="2043"/>
        <v>301658155.46154475</v>
      </c>
      <c r="FH823" s="269">
        <f t="shared" si="2120"/>
        <v>18657579.820474949</v>
      </c>
      <c r="FJ823" s="140">
        <f>'Detailed Budget'!$AC$235</f>
        <v>3623696172</v>
      </c>
      <c r="FK823" s="269">
        <f t="shared" si="2121"/>
        <v>4681778</v>
      </c>
      <c r="FL823" s="269">
        <f t="shared" si="2044"/>
        <v>4681778</v>
      </c>
      <c r="FO823" s="607"/>
      <c r="FP823" s="607"/>
      <c r="FQ823" s="607"/>
      <c r="FR823" s="269">
        <f>'Detailed Budget'!$AC$257</f>
        <v>13636439388</v>
      </c>
      <c r="FS823" s="269">
        <f t="shared" si="2122"/>
        <v>10992696</v>
      </c>
      <c r="FT823" s="269">
        <f t="shared" si="2045"/>
        <v>10992696</v>
      </c>
      <c r="FU823" s="269"/>
      <c r="FV823" s="269"/>
      <c r="FW823" s="269"/>
      <c r="FX823" s="140">
        <f>'Detailed Budget'!$AC$278</f>
        <v>1114560000</v>
      </c>
      <c r="FY823" s="269">
        <f t="shared" si="2123"/>
        <v>1440000</v>
      </c>
      <c r="FZ823" s="269">
        <f t="shared" si="2071"/>
        <v>1440000</v>
      </c>
      <c r="GB823" s="269">
        <f t="shared" si="2094"/>
        <v>1010350619.1599861</v>
      </c>
      <c r="GC823" s="887">
        <f t="shared" si="2159"/>
        <v>631469.1369749913</v>
      </c>
      <c r="GD823" s="1078">
        <f t="shared" si="2095"/>
        <v>5.6693954744533844E-4</v>
      </c>
    </row>
    <row r="824" spans="1:186" hidden="1" outlineLevel="1">
      <c r="A824" s="211" t="s">
        <v>1722</v>
      </c>
      <c r="B824" s="212" t="s">
        <v>1723</v>
      </c>
      <c r="C824" s="213" t="s">
        <v>215</v>
      </c>
      <c r="D824" s="214"/>
      <c r="E824" s="213"/>
      <c r="F824" s="213"/>
      <c r="G824" s="213" t="s">
        <v>215</v>
      </c>
      <c r="H824" s="213" t="s">
        <v>215</v>
      </c>
      <c r="I824" s="214" t="s">
        <v>215</v>
      </c>
      <c r="J824" s="214"/>
      <c r="K824" s="213"/>
      <c r="L824" s="213"/>
      <c r="M824" s="214"/>
      <c r="N824" s="213" t="s">
        <v>215</v>
      </c>
      <c r="O824" s="214"/>
      <c r="P824" s="213"/>
      <c r="Q824" s="214"/>
      <c r="R824" s="214" t="s">
        <v>215</v>
      </c>
      <c r="S824" s="214"/>
      <c r="T824" s="214"/>
      <c r="U824" s="215">
        <f t="shared" si="2099"/>
        <v>6</v>
      </c>
      <c r="V824" s="845" t="s">
        <v>216</v>
      </c>
      <c r="W824" s="216">
        <v>148379</v>
      </c>
      <c r="X824" s="217">
        <v>3.21</v>
      </c>
      <c r="Y824" s="218">
        <f t="shared" si="2170"/>
        <v>1.0321</v>
      </c>
      <c r="Z824" s="196">
        <v>19</v>
      </c>
      <c r="AA824" s="218">
        <f t="shared" si="2171"/>
        <v>1.8226940798007465</v>
      </c>
      <c r="AB824" s="196">
        <f t="shared" si="2175"/>
        <v>270449.52486675495</v>
      </c>
      <c r="AC824">
        <v>11.9</v>
      </c>
      <c r="AD824" s="196">
        <f t="shared" si="2176"/>
        <v>32183.49345914384</v>
      </c>
      <c r="AE824" s="196">
        <f t="shared" si="2172"/>
        <v>30574.318786186646</v>
      </c>
      <c r="AF824" s="196">
        <f t="shared" si="2124"/>
        <v>0</v>
      </c>
      <c r="AG824" s="606">
        <f t="shared" si="2162"/>
        <v>1.4136222768988097E-3</v>
      </c>
      <c r="AH824" s="196">
        <f t="shared" si="2140"/>
        <v>13522.476243337747</v>
      </c>
      <c r="AI824" s="248">
        <f t="shared" si="2141"/>
        <v>1.0475657460186233E-3</v>
      </c>
      <c r="AJ824" s="196">
        <f t="shared" si="2142"/>
        <v>45705.969702481583</v>
      </c>
      <c r="AK824" s="196">
        <f t="shared" si="2173"/>
        <v>10817.980994670199</v>
      </c>
      <c r="AL824" s="196">
        <f t="shared" si="2174"/>
        <v>10817.980994670199</v>
      </c>
      <c r="AM824" s="196">
        <f t="shared" si="2143"/>
        <v>21635.961989340398</v>
      </c>
      <c r="AN824" s="627">
        <f t="shared" si="2144"/>
        <v>1.0475657460186233E-3</v>
      </c>
      <c r="AO824" s="196">
        <f t="shared" si="2145"/>
        <v>10277.081944936688</v>
      </c>
      <c r="AP824" s="589">
        <f t="shared" si="2163"/>
        <v>1.0475657460186233E-3</v>
      </c>
      <c r="AQ824" s="196"/>
      <c r="AR824" s="589"/>
      <c r="AS824">
        <v>1</v>
      </c>
      <c r="AT824" s="589">
        <f t="shared" si="2164"/>
        <v>1.2919896640826874E-3</v>
      </c>
      <c r="AU824" s="196">
        <v>12</v>
      </c>
      <c r="AV824" s="245">
        <f t="shared" si="2146"/>
        <v>1.3634814225656176E-3</v>
      </c>
      <c r="AX824" s="245"/>
      <c r="AY824" s="245"/>
      <c r="AZ824" s="196">
        <v>42</v>
      </c>
      <c r="BA824" s="589">
        <f t="shared" si="2073"/>
        <v>1.5389688908431351E-3</v>
      </c>
      <c r="BI824" s="196">
        <v>0</v>
      </c>
      <c r="BK824" s="246">
        <f t="shared" si="2074"/>
        <v>0</v>
      </c>
      <c r="BL824" s="246"/>
      <c r="BM824" s="246">
        <f t="shared" si="2075"/>
        <v>0</v>
      </c>
      <c r="BN824" s="196">
        <v>1</v>
      </c>
      <c r="BO824" s="196">
        <f t="shared" si="2125"/>
        <v>14506.27292810685</v>
      </c>
      <c r="BP824" s="196">
        <f t="shared" si="2147"/>
        <v>14506.27292810685</v>
      </c>
      <c r="BQ824" s="248">
        <f t="shared" si="2077"/>
        <v>1.3569942803670729E-3</v>
      </c>
      <c r="BR824" s="248"/>
      <c r="BS824" s="248"/>
      <c r="BT824" s="276">
        <v>0</v>
      </c>
      <c r="BU824" s="196">
        <f t="shared" si="2126"/>
        <v>0</v>
      </c>
      <c r="BV824" s="264">
        <f t="shared" si="2079"/>
        <v>0</v>
      </c>
      <c r="BW824" s="196">
        <f t="shared" si="2127"/>
        <v>0</v>
      </c>
      <c r="BX824" s="247">
        <f t="shared" si="2081"/>
        <v>0</v>
      </c>
      <c r="BY824" s="196">
        <f t="shared" si="2128"/>
        <v>0</v>
      </c>
      <c r="BZ824" s="620">
        <v>1</v>
      </c>
      <c r="CA824" s="196">
        <f t="shared" si="2129"/>
        <v>82757.554609227023</v>
      </c>
      <c r="CB824" s="196">
        <f t="shared" si="2130"/>
        <v>165515.10921845405</v>
      </c>
      <c r="CC824" s="196">
        <f t="shared" si="2160"/>
        <v>248272.66382768107</v>
      </c>
      <c r="CD824" s="247">
        <f t="shared" si="2148"/>
        <v>1.0475657460186233E-3</v>
      </c>
      <c r="CE824" s="196">
        <f t="shared" si="2131"/>
        <v>23859.351604184398</v>
      </c>
      <c r="CF824" s="247">
        <f t="shared" si="2149"/>
        <v>1.0303210035558009E-3</v>
      </c>
      <c r="CG824" s="196">
        <f t="shared" si="2101"/>
        <v>41108.327779746753</v>
      </c>
      <c r="CH824" s="589">
        <f t="shared" si="2165"/>
        <v>1.0475657460186233E-3</v>
      </c>
      <c r="CI824" s="196">
        <f t="shared" si="2132"/>
        <v>74083.480355340929</v>
      </c>
      <c r="CJ824" s="248">
        <f t="shared" si="2166"/>
        <v>1.2179322289930688E-3</v>
      </c>
      <c r="CK824" s="196">
        <f t="shared" si="2133"/>
        <v>63748.755010176079</v>
      </c>
      <c r="CL824" s="589">
        <f t="shared" si="2167"/>
        <v>9.1640146583075533E-4</v>
      </c>
      <c r="CM824" s="196">
        <f t="shared" si="2134"/>
        <v>6175.6751616146203</v>
      </c>
      <c r="CN824" s="589">
        <f t="shared" si="2168"/>
        <v>8.8998497518180664E-4</v>
      </c>
      <c r="CO824" s="196">
        <f t="shared" si="2135"/>
        <v>494.03838017740168</v>
      </c>
      <c r="CP824" s="589">
        <f t="shared" si="2169"/>
        <v>9.3168028909528737E-4</v>
      </c>
      <c r="CQ824" s="196">
        <f>'Detailed Budget'!$AC$12</f>
        <v>292876014141.44696</v>
      </c>
      <c r="CR824" s="269">
        <f t="shared" si="2040"/>
        <v>0</v>
      </c>
      <c r="CS824" s="269">
        <f>'Detailed Budget'!$AC$16</f>
        <v>10488008800.000002</v>
      </c>
      <c r="CT824" s="607">
        <f t="shared" si="2103"/>
        <v>0</v>
      </c>
      <c r="CU824" s="269">
        <f>'Detailed Budget'!$AC$24</f>
        <v>30624985696</v>
      </c>
      <c r="CV824" s="269">
        <f t="shared" si="2050"/>
        <v>0</v>
      </c>
      <c r="CW824" s="269"/>
      <c r="CX824" s="269">
        <f t="shared" si="2161"/>
        <v>0</v>
      </c>
      <c r="CY824" s="196">
        <f>'Detailed Budget'!$AC$97</f>
        <v>74629165494.837845</v>
      </c>
      <c r="CZ824" s="269">
        <f t="shared" si="2104"/>
        <v>101271350.72506267</v>
      </c>
      <c r="DA824" s="269">
        <f>'Detailed Budget'!$AC$100</f>
        <v>14925833098.967569</v>
      </c>
      <c r="DB824" s="269">
        <f t="shared" si="2105"/>
        <v>20254270.145012535</v>
      </c>
      <c r="DC824" s="269">
        <f t="shared" si="2150"/>
        <v>121525620.8700752</v>
      </c>
      <c r="DD824" s="207">
        <v>0</v>
      </c>
      <c r="DE824" s="606">
        <v>0</v>
      </c>
      <c r="DF824" s="269">
        <f>'Detailed Budget'!$AC$147</f>
        <v>5913600671000</v>
      </c>
      <c r="DG824" s="269">
        <f t="shared" si="2042"/>
        <v>0</v>
      </c>
      <c r="DH824" s="269">
        <f>'Detailed Budget'!$AC$153</f>
        <v>226428026880.00003</v>
      </c>
      <c r="DI824" s="269"/>
      <c r="DJ824" s="269">
        <f>'Detailed Budget'!$AC$156</f>
        <v>27713070000</v>
      </c>
      <c r="DK824" s="269"/>
      <c r="DL824" s="269"/>
      <c r="DM824" s="196">
        <f>'Detailed Budget'!$AC$178</f>
        <v>5622683761.6229038</v>
      </c>
      <c r="DN824" s="269">
        <f t="shared" si="2136"/>
        <v>0</v>
      </c>
      <c r="DO824" s="196">
        <f>'Detailed Budget'!$AC$179</f>
        <v>26827890683.128094</v>
      </c>
      <c r="DP824" s="269">
        <f t="shared" si="2137"/>
        <v>0</v>
      </c>
      <c r="DQ824" s="269">
        <f t="shared" si="2041"/>
        <v>0</v>
      </c>
      <c r="DR824" s="269">
        <f>'Detailed Budget'!$AC$181</f>
        <v>50888946855.375237</v>
      </c>
      <c r="DS824" s="269">
        <f t="shared" si="2138"/>
        <v>0</v>
      </c>
      <c r="DT824" s="269">
        <f t="shared" si="2139"/>
        <v>0</v>
      </c>
      <c r="DU824" s="272">
        <f>'Detailed Budget'!$AC$192</f>
        <v>77498869683.252869</v>
      </c>
      <c r="DV824" s="269">
        <f t="shared" si="2106"/>
        <v>81185161.235336855</v>
      </c>
      <c r="DW824" s="140">
        <f>'Detailed Budget'!$AC$194</f>
        <v>2684962805.4134097</v>
      </c>
      <c r="DX824" s="269">
        <f t="shared" si="2107"/>
        <v>2812675.064285154</v>
      </c>
      <c r="DY824" s="607">
        <f t="shared" si="2151"/>
        <v>83997836.299622014</v>
      </c>
      <c r="DZ824" s="196">
        <f>'Detailed Budget'!$AC$198</f>
        <v>18732540018.380611</v>
      </c>
      <c r="EA824" s="269">
        <f t="shared" si="2108"/>
        <v>19300529.430887114</v>
      </c>
      <c r="EB824" s="196">
        <f>'Detailed Budget'!$AC$200</f>
        <v>4683135004.5951529</v>
      </c>
      <c r="EC824" s="269">
        <f t="shared" si="2109"/>
        <v>4825132.3577217786</v>
      </c>
      <c r="ED824" s="269">
        <f t="shared" si="2152"/>
        <v>24125661.788608894</v>
      </c>
      <c r="EE824" s="196">
        <f>'Detailed Budget'!$AC$161</f>
        <v>251147290106.36197</v>
      </c>
      <c r="EF824" s="269">
        <f t="shared" si="2110"/>
        <v>263093298.32082668</v>
      </c>
      <c r="EG824" s="196">
        <f>'Detailed Budget'!$AC$163</f>
        <v>15696705631.647623</v>
      </c>
      <c r="EH824" s="269">
        <f t="shared" si="2111"/>
        <v>16443331.145051667</v>
      </c>
      <c r="EI824" s="269">
        <f t="shared" si="2153"/>
        <v>279536629.46587837</v>
      </c>
      <c r="EJ824" s="196">
        <f>'Detailed Budget'!$AC$204</f>
        <v>45012172507.531975</v>
      </c>
      <c r="EK824" s="269">
        <f t="shared" si="2112"/>
        <v>54821775.593918949</v>
      </c>
      <c r="EL824" s="201">
        <f>'Detailed Budget'!$AC$206</f>
        <v>11253043126.882994</v>
      </c>
      <c r="EM824" s="269">
        <f t="shared" si="2113"/>
        <v>13705443.898479737</v>
      </c>
      <c r="EN824" s="269">
        <f t="shared" si="2154"/>
        <v>68527219.492398679</v>
      </c>
      <c r="EO824" s="140">
        <f>'Detailed Budget'!$AC$209</f>
        <v>135789361677.54817</v>
      </c>
      <c r="EP824" s="269">
        <f t="shared" si="2114"/>
        <v>124437570.08552773</v>
      </c>
      <c r="EQ824" s="196">
        <f>'Detailed Budget'!$AC$211</f>
        <v>33947340419.387043</v>
      </c>
      <c r="ER824" s="269">
        <f t="shared" si="2115"/>
        <v>31109392.521381933</v>
      </c>
      <c r="ES824" s="269">
        <f t="shared" si="2155"/>
        <v>155546962.60690966</v>
      </c>
      <c r="ET824" s="196">
        <f>'Detailed Budget'!$AC$214</f>
        <v>22239745544.201103</v>
      </c>
      <c r="EU824" s="269">
        <f t="shared" si="2116"/>
        <v>19793039.386205513</v>
      </c>
      <c r="EV824" s="140">
        <f>'Detailed Budget'!$AC$217</f>
        <v>5559936386.0502758</v>
      </c>
      <c r="EW824" s="269">
        <f t="shared" si="2117"/>
        <v>4948259.8465513783</v>
      </c>
      <c r="EX824" s="269">
        <f t="shared" si="2156"/>
        <v>24741299.23275689</v>
      </c>
      <c r="EY824" s="196">
        <f>'Detailed Budget'!$AC$219</f>
        <v>372777004.58170313</v>
      </c>
      <c r="EZ824" s="269">
        <f t="shared" si="2118"/>
        <v>347308.98739675642</v>
      </c>
      <c r="FA824" s="196">
        <f>'Detailed Budget'!$AC$222</f>
        <v>93194251.145425782</v>
      </c>
      <c r="FB824" s="269">
        <f t="shared" si="2119"/>
        <v>86827.246849189105</v>
      </c>
      <c r="FC824" s="269">
        <f t="shared" si="2157"/>
        <v>434136.23424594552</v>
      </c>
      <c r="FD824" s="269"/>
      <c r="FE824" s="269">
        <f t="shared" si="2158"/>
        <v>249249617.56631118</v>
      </c>
      <c r="FF824" s="140">
        <f>'Detailed Budget'!$AC$165</f>
        <v>14927760000</v>
      </c>
      <c r="FG824" s="1087">
        <f t="shared" si="2043"/>
        <v>339992977.15310061</v>
      </c>
      <c r="FH824" s="269">
        <f t="shared" si="2120"/>
        <v>20353723.440518126</v>
      </c>
      <c r="FJ824" s="140">
        <f>'Detailed Budget'!$AC$235</f>
        <v>3623696172</v>
      </c>
      <c r="FK824" s="269">
        <f t="shared" si="2121"/>
        <v>4681778</v>
      </c>
      <c r="FL824" s="269">
        <f t="shared" si="2044"/>
        <v>4681778</v>
      </c>
      <c r="FO824" s="607"/>
      <c r="FP824" s="607"/>
      <c r="FQ824" s="607"/>
      <c r="FR824" s="269">
        <f>'Detailed Budget'!$AC$257</f>
        <v>13636439388</v>
      </c>
      <c r="FS824" s="269">
        <f t="shared" si="2122"/>
        <v>20986056</v>
      </c>
      <c r="FT824" s="269">
        <f t="shared" si="2045"/>
        <v>20986056</v>
      </c>
      <c r="FU824" s="269"/>
      <c r="FV824" s="269"/>
      <c r="FW824" s="269"/>
      <c r="FX824" s="140">
        <f>'Detailed Budget'!$AC$278</f>
        <v>1114560000</v>
      </c>
      <c r="FY824" s="269">
        <f t="shared" si="2123"/>
        <v>1440000</v>
      </c>
      <c r="FZ824" s="269">
        <f t="shared" si="2071"/>
        <v>1440000</v>
      </c>
      <c r="GB824" s="269">
        <f t="shared" si="2094"/>
        <v>1145889900.5841143</v>
      </c>
      <c r="GC824" s="887">
        <f t="shared" si="2159"/>
        <v>716181.18786507146</v>
      </c>
      <c r="GD824" s="1078">
        <f t="shared" si="2095"/>
        <v>6.4299490626280431E-4</v>
      </c>
    </row>
    <row r="825" spans="1:186" hidden="1" outlineLevel="1">
      <c r="A825" s="211" t="s">
        <v>1724</v>
      </c>
      <c r="B825" s="212" t="s">
        <v>1725</v>
      </c>
      <c r="C825" s="213" t="s">
        <v>215</v>
      </c>
      <c r="D825" s="214"/>
      <c r="E825" s="213"/>
      <c r="F825" s="213"/>
      <c r="G825" s="213" t="s">
        <v>215</v>
      </c>
      <c r="H825" s="213" t="s">
        <v>215</v>
      </c>
      <c r="I825" s="214" t="s">
        <v>215</v>
      </c>
      <c r="J825" s="214"/>
      <c r="K825" s="213"/>
      <c r="L825" s="213"/>
      <c r="M825" s="214"/>
      <c r="N825" s="213"/>
      <c r="O825" s="214"/>
      <c r="P825" s="213" t="s">
        <v>215</v>
      </c>
      <c r="Q825" s="214" t="s">
        <v>215</v>
      </c>
      <c r="R825" s="214"/>
      <c r="S825" s="214"/>
      <c r="T825" s="214"/>
      <c r="U825" s="215">
        <f t="shared" si="2099"/>
        <v>6</v>
      </c>
      <c r="V825" s="845" t="s">
        <v>1073</v>
      </c>
      <c r="W825" s="216">
        <v>102832</v>
      </c>
      <c r="X825" s="217">
        <v>3.21</v>
      </c>
      <c r="Y825" s="218">
        <f t="shared" si="2170"/>
        <v>1.0321</v>
      </c>
      <c r="Z825" s="196">
        <v>19</v>
      </c>
      <c r="AA825" s="218">
        <f t="shared" si="2171"/>
        <v>1.8226940798007465</v>
      </c>
      <c r="AB825" s="196">
        <f t="shared" si="2175"/>
        <v>187431.27761407036</v>
      </c>
      <c r="AC825">
        <v>11.9</v>
      </c>
      <c r="AD825" s="196">
        <f t="shared" si="2176"/>
        <v>22304.322036074373</v>
      </c>
      <c r="AE825" s="196">
        <f t="shared" si="2172"/>
        <v>21189.105934270654</v>
      </c>
      <c r="AF825" s="196">
        <f t="shared" si="2124"/>
        <v>0</v>
      </c>
      <c r="AG825" s="606">
        <f t="shared" si="2162"/>
        <v>9.7969123648264508E-4</v>
      </c>
      <c r="AH825" s="196">
        <f t="shared" si="2140"/>
        <v>9371.5638807035193</v>
      </c>
      <c r="AI825" s="248">
        <f t="shared" si="2141"/>
        <v>7.2600085453188848E-4</v>
      </c>
      <c r="AJ825" s="196">
        <f t="shared" si="2142"/>
        <v>31675.885916777894</v>
      </c>
      <c r="AK825" s="196">
        <f t="shared" si="2173"/>
        <v>7497.2511045628144</v>
      </c>
      <c r="AL825" s="196">
        <f t="shared" si="2174"/>
        <v>7497.2511045628144</v>
      </c>
      <c r="AM825" s="196">
        <f t="shared" si="2143"/>
        <v>14994.502209125629</v>
      </c>
      <c r="AN825" s="627">
        <f t="shared" si="2144"/>
        <v>7.2600085453188837E-4</v>
      </c>
      <c r="AO825" s="196">
        <f t="shared" si="2145"/>
        <v>7122.3885493346734</v>
      </c>
      <c r="AP825" s="589">
        <f t="shared" si="2163"/>
        <v>7.2600085453188837E-4</v>
      </c>
      <c r="AQ825" s="196"/>
      <c r="AR825" s="589"/>
      <c r="AS825">
        <v>1</v>
      </c>
      <c r="AT825" s="589">
        <f t="shared" si="2164"/>
        <v>1.2919896640826874E-3</v>
      </c>
      <c r="AU825" s="196">
        <v>10</v>
      </c>
      <c r="AV825" s="245">
        <f t="shared" si="2146"/>
        <v>1.1362345188046814E-3</v>
      </c>
      <c r="AX825" s="245"/>
      <c r="AY825" s="245"/>
      <c r="AZ825" s="196">
        <v>18</v>
      </c>
      <c r="BA825" s="589">
        <f t="shared" si="2073"/>
        <v>6.5955809607562931E-4</v>
      </c>
      <c r="BI825" s="196">
        <v>0</v>
      </c>
      <c r="BK825" s="246">
        <f t="shared" si="2074"/>
        <v>0</v>
      </c>
      <c r="BL825" s="246"/>
      <c r="BM825" s="246">
        <f t="shared" si="2075"/>
        <v>0</v>
      </c>
      <c r="BN825" s="196">
        <v>1</v>
      </c>
      <c r="BO825" s="196">
        <f t="shared" si="2125"/>
        <v>10053.370475222799</v>
      </c>
      <c r="BP825" s="196">
        <f t="shared" si="2147"/>
        <v>10053.370475222799</v>
      </c>
      <c r="BQ825" s="248">
        <f t="shared" si="2077"/>
        <v>9.4044599194432392E-4</v>
      </c>
      <c r="BR825" s="248"/>
      <c r="BS825" s="248"/>
      <c r="BT825" s="276">
        <v>0</v>
      </c>
      <c r="BU825" s="196">
        <f t="shared" si="2126"/>
        <v>0</v>
      </c>
      <c r="BV825" s="264">
        <f t="shared" si="2079"/>
        <v>0</v>
      </c>
      <c r="BW825" s="196">
        <f t="shared" si="2127"/>
        <v>0</v>
      </c>
      <c r="BX825" s="247">
        <f t="shared" si="2081"/>
        <v>0</v>
      </c>
      <c r="BY825" s="196">
        <f t="shared" si="2128"/>
        <v>0</v>
      </c>
      <c r="BZ825" s="620">
        <v>1</v>
      </c>
      <c r="CA825" s="196">
        <f t="shared" si="2129"/>
        <v>57353.970949905532</v>
      </c>
      <c r="CB825" s="196">
        <f t="shared" si="2130"/>
        <v>114707.94189981106</v>
      </c>
      <c r="CC825" s="196">
        <f t="shared" si="2160"/>
        <v>172061.91284971661</v>
      </c>
      <c r="CD825" s="247">
        <f t="shared" si="2148"/>
        <v>7.2600085453188848E-4</v>
      </c>
      <c r="CE825" s="196">
        <f t="shared" si="2131"/>
        <v>16535.391424402987</v>
      </c>
      <c r="CF825" s="247">
        <f t="shared" si="2149"/>
        <v>7.140496258746194E-4</v>
      </c>
      <c r="CG825" s="196">
        <f t="shared" si="2101"/>
        <v>28489.554197338693</v>
      </c>
      <c r="CH825" s="589">
        <f t="shared" si="2165"/>
        <v>7.2600085453188837E-4</v>
      </c>
      <c r="CI825" s="196">
        <f t="shared" si="2132"/>
        <v>51342.524561429978</v>
      </c>
      <c r="CJ825" s="248">
        <f t="shared" si="2166"/>
        <v>8.4407097346535058E-4</v>
      </c>
      <c r="CK825" s="196">
        <f t="shared" si="2133"/>
        <v>44180.187056163115</v>
      </c>
      <c r="CL825" s="589">
        <f t="shared" si="2167"/>
        <v>6.3509927640911605E-4</v>
      </c>
      <c r="CM825" s="196">
        <f t="shared" si="2134"/>
        <v>4279.965683952275</v>
      </c>
      <c r="CN825" s="589">
        <f t="shared" si="2168"/>
        <v>6.1679169537397834E-4</v>
      </c>
      <c r="CO825" s="196">
        <f t="shared" si="2135"/>
        <v>342.38642065523129</v>
      </c>
      <c r="CP825" s="589">
        <f t="shared" si="2169"/>
        <v>6.4568805213841972E-4</v>
      </c>
      <c r="CQ825" s="196">
        <f>'Detailed Budget'!$AC$12</f>
        <v>292876014141.44696</v>
      </c>
      <c r="CR825" s="269">
        <f t="shared" si="2040"/>
        <v>0</v>
      </c>
      <c r="CS825" s="269">
        <f>'Detailed Budget'!$AC$16</f>
        <v>10488008800.000002</v>
      </c>
      <c r="CT825" s="607">
        <f t="shared" si="2103"/>
        <v>0</v>
      </c>
      <c r="CU825" s="269">
        <f>'Detailed Budget'!$AC$24</f>
        <v>30624985696</v>
      </c>
      <c r="CV825" s="269">
        <f t="shared" si="2050"/>
        <v>0</v>
      </c>
      <c r="CW825" s="269"/>
      <c r="CX825" s="269">
        <f t="shared" si="2161"/>
        <v>0</v>
      </c>
      <c r="CY825" s="196">
        <f>'Detailed Budget'!$AC$97</f>
        <v>74629165494.837845</v>
      </c>
      <c r="CZ825" s="269">
        <f t="shared" si="2104"/>
        <v>70184699.571769893</v>
      </c>
      <c r="DA825" s="269">
        <f>'Detailed Budget'!$AC$100</f>
        <v>14925833098.967569</v>
      </c>
      <c r="DB825" s="269">
        <f t="shared" si="2105"/>
        <v>14036939.914353978</v>
      </c>
      <c r="DC825" s="269">
        <f t="shared" si="2150"/>
        <v>84221639.486123875</v>
      </c>
      <c r="DD825" s="207">
        <v>0</v>
      </c>
      <c r="DE825" s="606">
        <v>0</v>
      </c>
      <c r="DF825" s="269">
        <f>'Detailed Budget'!$AC$147</f>
        <v>5913600671000</v>
      </c>
      <c r="DG825" s="269">
        <f t="shared" si="2042"/>
        <v>0</v>
      </c>
      <c r="DH825" s="269">
        <f>'Detailed Budget'!$AC$153</f>
        <v>226428026880.00003</v>
      </c>
      <c r="DI825" s="269"/>
      <c r="DJ825" s="269">
        <f>'Detailed Budget'!$AC$156</f>
        <v>27713070000</v>
      </c>
      <c r="DK825" s="269"/>
      <c r="DL825" s="269"/>
      <c r="DM825" s="196">
        <f>'Detailed Budget'!$AC$178</f>
        <v>5622683761.6229038</v>
      </c>
      <c r="DN825" s="269">
        <f t="shared" si="2136"/>
        <v>0</v>
      </c>
      <c r="DO825" s="196">
        <f>'Detailed Budget'!$AC$179</f>
        <v>26827890683.128094</v>
      </c>
      <c r="DP825" s="269">
        <f t="shared" si="2137"/>
        <v>0</v>
      </c>
      <c r="DQ825" s="269">
        <f t="shared" si="2041"/>
        <v>0</v>
      </c>
      <c r="DR825" s="269">
        <f>'Detailed Budget'!$AC$181</f>
        <v>50888946855.375237</v>
      </c>
      <c r="DS825" s="269">
        <f t="shared" si="2138"/>
        <v>0</v>
      </c>
      <c r="DT825" s="269">
        <f t="shared" si="2139"/>
        <v>0</v>
      </c>
      <c r="DU825" s="272">
        <f>'Detailed Budget'!$AC$192</f>
        <v>77498869683.252869</v>
      </c>
      <c r="DV825" s="269">
        <f t="shared" si="2106"/>
        <v>56264245.615297049</v>
      </c>
      <c r="DW825" s="140">
        <f>'Detailed Budget'!$AC$194</f>
        <v>2684962805.4134097</v>
      </c>
      <c r="DX825" s="269">
        <f t="shared" si="2107"/>
        <v>1949285.2911164719</v>
      </c>
      <c r="DY825" s="607">
        <f t="shared" si="2151"/>
        <v>58213530.906413518</v>
      </c>
      <c r="DZ825" s="196">
        <f>'Detailed Budget'!$AC$198</f>
        <v>18732540018.380611</v>
      </c>
      <c r="EA825" s="269">
        <f t="shared" si="2108"/>
        <v>13375963.191806011</v>
      </c>
      <c r="EB825" s="196">
        <f>'Detailed Budget'!$AC$200</f>
        <v>4683135004.5951529</v>
      </c>
      <c r="EC825" s="269">
        <f t="shared" si="2109"/>
        <v>3343990.7979515027</v>
      </c>
      <c r="ED825" s="269">
        <f t="shared" si="2152"/>
        <v>16719953.989757514</v>
      </c>
      <c r="EE825" s="196">
        <f>'Detailed Budget'!$AC$161</f>
        <v>251147290106.36197</v>
      </c>
      <c r="EF825" s="269">
        <f t="shared" si="2110"/>
        <v>182333147.23058686</v>
      </c>
      <c r="EG825" s="196">
        <f>'Detailed Budget'!$AC$163</f>
        <v>15696705631.647623</v>
      </c>
      <c r="EH825" s="269">
        <f t="shared" si="2111"/>
        <v>11395821.701911679</v>
      </c>
      <c r="EI825" s="269">
        <f t="shared" si="2153"/>
        <v>193728968.93249854</v>
      </c>
      <c r="EJ825" s="196">
        <f>'Detailed Budget'!$AC$204</f>
        <v>45012172507.531975</v>
      </c>
      <c r="EK825" s="269">
        <f t="shared" si="2112"/>
        <v>37993468.266222805</v>
      </c>
      <c r="EL825" s="201">
        <f>'Detailed Budget'!$AC$206</f>
        <v>11253043126.882994</v>
      </c>
      <c r="EM825" s="269">
        <f t="shared" si="2113"/>
        <v>9498367.0665557012</v>
      </c>
      <c r="EN825" s="269">
        <f t="shared" si="2154"/>
        <v>47491835.332778506</v>
      </c>
      <c r="EO825" s="140">
        <f>'Detailed Budget'!$AC$209</f>
        <v>135789361677.54817</v>
      </c>
      <c r="EP825" s="269">
        <f t="shared" si="2114"/>
        <v>86239725.345466599</v>
      </c>
      <c r="EQ825" s="196">
        <f>'Detailed Budget'!$AC$211</f>
        <v>33947340419.387043</v>
      </c>
      <c r="ER825" s="269">
        <f t="shared" si="2115"/>
        <v>21559931.33636665</v>
      </c>
      <c r="ES825" s="269">
        <f t="shared" si="2155"/>
        <v>107799656.68183325</v>
      </c>
      <c r="ET825" s="196">
        <f>'Detailed Budget'!$AC$214</f>
        <v>22239745544.201103</v>
      </c>
      <c r="EU825" s="269">
        <f t="shared" si="2116"/>
        <v>13717290.358893679</v>
      </c>
      <c r="EV825" s="140">
        <f>'Detailed Budget'!$AC$217</f>
        <v>5559936386.0502758</v>
      </c>
      <c r="EW825" s="269">
        <f t="shared" si="2117"/>
        <v>3429322.5897234199</v>
      </c>
      <c r="EX825" s="269">
        <f t="shared" si="2156"/>
        <v>17146612.948617101</v>
      </c>
      <c r="EY825" s="196">
        <f>'Detailed Budget'!$AC$219</f>
        <v>372777004.58170313</v>
      </c>
      <c r="EZ825" s="269">
        <f t="shared" si="2118"/>
        <v>240697.65797035466</v>
      </c>
      <c r="FA825" s="196">
        <f>'Detailed Budget'!$AC$222</f>
        <v>93194251.145425782</v>
      </c>
      <c r="FB825" s="269">
        <f t="shared" si="2119"/>
        <v>60174.414492588665</v>
      </c>
      <c r="FC825" s="269">
        <f t="shared" si="2157"/>
        <v>300872.07246294332</v>
      </c>
      <c r="FD825" s="269"/>
      <c r="FE825" s="269">
        <f t="shared" si="2158"/>
        <v>172738977.0356918</v>
      </c>
      <c r="FF825" s="140">
        <f>'Detailed Budget'!$AC$165</f>
        <v>14927760000</v>
      </c>
      <c r="FG825" s="1087">
        <f t="shared" si="2043"/>
        <v>235627398.93521079</v>
      </c>
      <c r="FH825" s="269">
        <f t="shared" si="2120"/>
        <v>16961436.200431772</v>
      </c>
      <c r="FJ825" s="140">
        <f>'Detailed Budget'!$AC$235</f>
        <v>3623696172</v>
      </c>
      <c r="FK825" s="269">
        <f t="shared" si="2121"/>
        <v>4681778</v>
      </c>
      <c r="FL825" s="269">
        <f t="shared" si="2044"/>
        <v>4681778</v>
      </c>
      <c r="FO825" s="607"/>
      <c r="FP825" s="607"/>
      <c r="FQ825" s="607"/>
      <c r="FR825" s="269">
        <f>'Detailed Budget'!$AC$257</f>
        <v>13636439388</v>
      </c>
      <c r="FS825" s="269">
        <f t="shared" si="2122"/>
        <v>8994024</v>
      </c>
      <c r="FT825" s="269">
        <f t="shared" si="2045"/>
        <v>8994024</v>
      </c>
      <c r="FU825" s="269"/>
      <c r="FV825" s="269"/>
      <c r="FW825" s="269"/>
      <c r="FX825" s="140">
        <f>'Detailed Budget'!$AC$278</f>
        <v>1114560000</v>
      </c>
      <c r="FY825" s="269">
        <f t="shared" si="2123"/>
        <v>1440000</v>
      </c>
      <c r="FZ825" s="269">
        <f t="shared" si="2071"/>
        <v>1440000</v>
      </c>
      <c r="GB825" s="269">
        <f t="shared" si="2094"/>
        <v>793327707.48612785</v>
      </c>
      <c r="GC825" s="887">
        <f t="shared" si="2159"/>
        <v>495829.81717882992</v>
      </c>
      <c r="GD825" s="1078">
        <f t="shared" si="2095"/>
        <v>4.451611578483266E-4</v>
      </c>
    </row>
    <row r="826" spans="1:186" hidden="1" outlineLevel="1">
      <c r="A826" s="211" t="s">
        <v>1726</v>
      </c>
      <c r="B826" s="212" t="s">
        <v>1727</v>
      </c>
      <c r="C826" s="213" t="s">
        <v>215</v>
      </c>
      <c r="D826" s="214"/>
      <c r="E826" s="213"/>
      <c r="F826" s="213"/>
      <c r="G826" s="213" t="s">
        <v>215</v>
      </c>
      <c r="H826" s="213" t="s">
        <v>215</v>
      </c>
      <c r="I826" s="214" t="s">
        <v>215</v>
      </c>
      <c r="J826" s="214"/>
      <c r="K826" s="213"/>
      <c r="L826" s="213"/>
      <c r="M826" s="214"/>
      <c r="N826" s="213"/>
      <c r="O826" s="214"/>
      <c r="P826" s="213" t="s">
        <v>215</v>
      </c>
      <c r="Q826" s="214" t="s">
        <v>215</v>
      </c>
      <c r="R826" s="214"/>
      <c r="S826" s="214"/>
      <c r="T826" s="214"/>
      <c r="U826" s="215">
        <f t="shared" si="2099"/>
        <v>6</v>
      </c>
      <c r="V826" s="845" t="s">
        <v>1073</v>
      </c>
      <c r="W826" s="216">
        <v>155507</v>
      </c>
      <c r="X826" s="217">
        <v>3.21</v>
      </c>
      <c r="Y826" s="218">
        <f t="shared" si="2170"/>
        <v>1.0321</v>
      </c>
      <c r="Z826" s="196">
        <v>19</v>
      </c>
      <c r="AA826" s="218">
        <f t="shared" si="2171"/>
        <v>1.8226940798007465</v>
      </c>
      <c r="AB826" s="196">
        <f t="shared" si="2175"/>
        <v>283441.6882675747</v>
      </c>
      <c r="AC826">
        <v>11.9</v>
      </c>
      <c r="AD826" s="196">
        <f t="shared" si="2176"/>
        <v>33729.56090384139</v>
      </c>
      <c r="AE826" s="196">
        <f t="shared" si="2172"/>
        <v>32043.082858649319</v>
      </c>
      <c r="AF826" s="196">
        <f t="shared" si="2124"/>
        <v>0</v>
      </c>
      <c r="AG826" s="606">
        <f t="shared" si="2162"/>
        <v>1.4815314796143876E-3</v>
      </c>
      <c r="AH826" s="196">
        <f t="shared" si="2140"/>
        <v>14172.084413378736</v>
      </c>
      <c r="AI826" s="248">
        <f t="shared" si="2141"/>
        <v>1.0978899066991831E-3</v>
      </c>
      <c r="AJ826" s="196">
        <f t="shared" si="2142"/>
        <v>47901.645317220129</v>
      </c>
      <c r="AK826" s="196">
        <f t="shared" si="2173"/>
        <v>11337.667530702989</v>
      </c>
      <c r="AL826" s="196">
        <f t="shared" si="2174"/>
        <v>11337.667530702989</v>
      </c>
      <c r="AM826" s="196">
        <f t="shared" si="2143"/>
        <v>22675.335061405978</v>
      </c>
      <c r="AN826" s="627">
        <f t="shared" si="2144"/>
        <v>1.0978899066991831E-3</v>
      </c>
      <c r="AO826" s="196">
        <f t="shared" si="2145"/>
        <v>10770.784154167839</v>
      </c>
      <c r="AP826" s="589">
        <f t="shared" si="2163"/>
        <v>1.0978899066991829E-3</v>
      </c>
      <c r="AQ826" s="196"/>
      <c r="AR826" s="589"/>
      <c r="AS826">
        <v>1</v>
      </c>
      <c r="AT826" s="589">
        <f t="shared" si="2164"/>
        <v>1.2919896640826874E-3</v>
      </c>
      <c r="AU826" s="196">
        <v>15</v>
      </c>
      <c r="AV826" s="245">
        <f t="shared" si="2146"/>
        <v>1.7043517782070218E-3</v>
      </c>
      <c r="AX826" s="245"/>
      <c r="AY826" s="245"/>
      <c r="AZ826" s="196">
        <v>25</v>
      </c>
      <c r="BA826" s="589">
        <f t="shared" si="2073"/>
        <v>9.1605291121615189E-4</v>
      </c>
      <c r="BI826" s="196">
        <v>0</v>
      </c>
      <c r="BK826" s="246">
        <f t="shared" si="2074"/>
        <v>0</v>
      </c>
      <c r="BL826" s="246"/>
      <c r="BM826" s="246">
        <f t="shared" si="2075"/>
        <v>0</v>
      </c>
      <c r="BN826" s="196">
        <v>1</v>
      </c>
      <c r="BO826" s="196">
        <f t="shared" si="2125"/>
        <v>15203.141847775711</v>
      </c>
      <c r="BP826" s="196">
        <f t="shared" si="2147"/>
        <v>15203.141847775711</v>
      </c>
      <c r="BQ826" s="248">
        <f t="shared" si="2077"/>
        <v>1.4221831226591526E-3</v>
      </c>
      <c r="BR826" s="248"/>
      <c r="BS826" s="248"/>
      <c r="BT826" s="276">
        <v>0</v>
      </c>
      <c r="BU826" s="196">
        <f t="shared" si="2126"/>
        <v>0</v>
      </c>
      <c r="BV826" s="264">
        <f t="shared" si="2079"/>
        <v>0</v>
      </c>
      <c r="BW826" s="196">
        <f t="shared" si="2127"/>
        <v>0</v>
      </c>
      <c r="BX826" s="247">
        <f t="shared" si="2081"/>
        <v>0</v>
      </c>
      <c r="BY826" s="196">
        <f t="shared" si="2128"/>
        <v>0</v>
      </c>
      <c r="BZ826" s="620">
        <v>1</v>
      </c>
      <c r="CA826" s="196">
        <f t="shared" si="2129"/>
        <v>86733.156609877871</v>
      </c>
      <c r="CB826" s="196">
        <f t="shared" si="2130"/>
        <v>173466.31321975574</v>
      </c>
      <c r="CC826" s="196">
        <f t="shared" si="2160"/>
        <v>260199.4698296336</v>
      </c>
      <c r="CD826" s="247">
        <f t="shared" si="2148"/>
        <v>1.0978899066991831E-3</v>
      </c>
      <c r="CE826" s="196">
        <f t="shared" si="2131"/>
        <v>25005.53440791422</v>
      </c>
      <c r="CF826" s="247">
        <f t="shared" si="2149"/>
        <v>1.0798167415870977E-3</v>
      </c>
      <c r="CG826" s="196">
        <f t="shared" si="2101"/>
        <v>43083.136616671356</v>
      </c>
      <c r="CH826" s="589">
        <f t="shared" si="2165"/>
        <v>1.0978899066991829E-3</v>
      </c>
      <c r="CI826" s="196">
        <f t="shared" si="2132"/>
        <v>77642.387262469783</v>
      </c>
      <c r="CJ826" s="248">
        <f t="shared" si="2166"/>
        <v>1.276440649512567E-3</v>
      </c>
      <c r="CK826" s="196">
        <f t="shared" si="2133"/>
        <v>66811.190568526901</v>
      </c>
      <c r="CL826" s="589">
        <f t="shared" si="2167"/>
        <v>9.604246068981682E-4</v>
      </c>
      <c r="CM826" s="196">
        <f t="shared" si="2134"/>
        <v>6472.3493038583947</v>
      </c>
      <c r="CN826" s="589">
        <f t="shared" si="2168"/>
        <v>9.3273909067723333E-4</v>
      </c>
      <c r="CO826" s="196">
        <f t="shared" si="2135"/>
        <v>517.77156057290597</v>
      </c>
      <c r="CP826" s="589">
        <f t="shared" si="2169"/>
        <v>9.7643741173845955E-4</v>
      </c>
      <c r="CQ826" s="196">
        <f>'Detailed Budget'!$AC$12</f>
        <v>292876014141.44696</v>
      </c>
      <c r="CR826" s="269">
        <f t="shared" si="2040"/>
        <v>0</v>
      </c>
      <c r="CS826" s="269">
        <f>'Detailed Budget'!$AC$16</f>
        <v>10488008800.000002</v>
      </c>
      <c r="CT826" s="607">
        <f t="shared" si="2103"/>
        <v>0</v>
      </c>
      <c r="CU826" s="269">
        <f>'Detailed Budget'!$AC$24</f>
        <v>30624985696</v>
      </c>
      <c r="CV826" s="269">
        <f t="shared" si="2050"/>
        <v>0</v>
      </c>
      <c r="CW826" s="269"/>
      <c r="CX826" s="269">
        <f t="shared" si="2161"/>
        <v>0</v>
      </c>
      <c r="CY826" s="196">
        <f>'Detailed Budget'!$AC$97</f>
        <v>74629165494.837845</v>
      </c>
      <c r="CZ826" s="269">
        <f t="shared" si="2104"/>
        <v>106136339.62489517</v>
      </c>
      <c r="DA826" s="269">
        <f>'Detailed Budget'!$AC$100</f>
        <v>14925833098.967569</v>
      </c>
      <c r="DB826" s="269">
        <f t="shared" si="2105"/>
        <v>21227267.924979035</v>
      </c>
      <c r="DC826" s="269">
        <f t="shared" si="2150"/>
        <v>127363607.5498742</v>
      </c>
      <c r="DD826" s="207">
        <v>0</v>
      </c>
      <c r="DE826" s="606">
        <v>0</v>
      </c>
      <c r="DF826" s="269">
        <f>'Detailed Budget'!$AC$147</f>
        <v>5913600671000</v>
      </c>
      <c r="DG826" s="269">
        <f t="shared" si="2042"/>
        <v>0</v>
      </c>
      <c r="DH826" s="269">
        <f>'Detailed Budget'!$AC$153</f>
        <v>226428026880.00003</v>
      </c>
      <c r="DI826" s="269"/>
      <c r="DJ826" s="269">
        <f>'Detailed Budget'!$AC$156</f>
        <v>27713070000</v>
      </c>
      <c r="DK826" s="269"/>
      <c r="DL826" s="269"/>
      <c r="DM826" s="196">
        <f>'Detailed Budget'!$AC$178</f>
        <v>5622683761.6229038</v>
      </c>
      <c r="DN826" s="269">
        <f t="shared" si="2136"/>
        <v>0</v>
      </c>
      <c r="DO826" s="196">
        <f>'Detailed Budget'!$AC$179</f>
        <v>26827890683.128094</v>
      </c>
      <c r="DP826" s="269">
        <f t="shared" si="2137"/>
        <v>0</v>
      </c>
      <c r="DQ826" s="269">
        <f t="shared" si="2041"/>
        <v>0</v>
      </c>
      <c r="DR826" s="269">
        <f>'Detailed Budget'!$AC$181</f>
        <v>50888946855.375237</v>
      </c>
      <c r="DS826" s="269">
        <f t="shared" si="2138"/>
        <v>0</v>
      </c>
      <c r="DT826" s="269">
        <f t="shared" si="2139"/>
        <v>0</v>
      </c>
      <c r="DU826" s="272">
        <f>'Detailed Budget'!$AC$192</f>
        <v>77498869683.252869</v>
      </c>
      <c r="DV826" s="269">
        <f t="shared" si="2106"/>
        <v>85085226.805838645</v>
      </c>
      <c r="DW826" s="140">
        <f>'Detailed Budget'!$AC$194</f>
        <v>2684962805.4134097</v>
      </c>
      <c r="DX826" s="269">
        <f t="shared" si="2107"/>
        <v>2947793.5639261054</v>
      </c>
      <c r="DY826" s="607">
        <f t="shared" si="2151"/>
        <v>88033020.369764745</v>
      </c>
      <c r="DZ826" s="196">
        <f>'Detailed Budget'!$AC$198</f>
        <v>18732540018.380611</v>
      </c>
      <c r="EA826" s="269">
        <f t="shared" si="2108"/>
        <v>20227710.324297663</v>
      </c>
      <c r="EB826" s="196">
        <f>'Detailed Budget'!$AC$200</f>
        <v>4683135004.5951529</v>
      </c>
      <c r="EC826" s="269">
        <f t="shared" si="2109"/>
        <v>5056927.5810744157</v>
      </c>
      <c r="ED826" s="269">
        <f t="shared" si="2152"/>
        <v>25284637.905372079</v>
      </c>
      <c r="EE826" s="196">
        <f>'Detailed Budget'!$AC$161</f>
        <v>251147290106.36197</v>
      </c>
      <c r="EF826" s="269">
        <f t="shared" si="2110"/>
        <v>275732074.90262634</v>
      </c>
      <c r="EG826" s="196">
        <f>'Detailed Budget'!$AC$163</f>
        <v>15696705631.647623</v>
      </c>
      <c r="EH826" s="269">
        <f t="shared" si="2111"/>
        <v>17233254.681414146</v>
      </c>
      <c r="EI826" s="269">
        <f t="shared" si="2153"/>
        <v>292965329.58404046</v>
      </c>
      <c r="EJ826" s="196">
        <f>'Detailed Budget'!$AC$204</f>
        <v>45012172507.531975</v>
      </c>
      <c r="EK826" s="269">
        <f t="shared" si="2112"/>
        <v>57455366.711485825</v>
      </c>
      <c r="EL826" s="201">
        <f>'Detailed Budget'!$AC$206</f>
        <v>11253043126.882994</v>
      </c>
      <c r="EM826" s="269">
        <f t="shared" si="2113"/>
        <v>14363841.677871456</v>
      </c>
      <c r="EN826" s="269">
        <f t="shared" si="2154"/>
        <v>71819208.389357284</v>
      </c>
      <c r="EO826" s="140">
        <f>'Detailed Budget'!$AC$209</f>
        <v>135789361677.54817</v>
      </c>
      <c r="EP826" s="269">
        <f t="shared" si="2114"/>
        <v>130415444.31011239</v>
      </c>
      <c r="EQ826" s="196">
        <f>'Detailed Budget'!$AC$211</f>
        <v>33947340419.387043</v>
      </c>
      <c r="ER826" s="269">
        <f t="shared" si="2115"/>
        <v>32603861.077528097</v>
      </c>
      <c r="ES826" s="269">
        <f t="shared" si="2155"/>
        <v>163019305.38764048</v>
      </c>
      <c r="ET826" s="196">
        <f>'Detailed Budget'!$AC$214</f>
        <v>22239745544.201103</v>
      </c>
      <c r="EU826" s="269">
        <f t="shared" si="2116"/>
        <v>20743880.035791188</v>
      </c>
      <c r="EV826" s="140">
        <f>'Detailed Budget'!$AC$217</f>
        <v>5559936386.0502758</v>
      </c>
      <c r="EW826" s="269">
        <f t="shared" si="2117"/>
        <v>5185970.0089477971</v>
      </c>
      <c r="EX826" s="269">
        <f t="shared" si="2156"/>
        <v>25929850.044738986</v>
      </c>
      <c r="EY826" s="196">
        <f>'Detailed Budget'!$AC$219</f>
        <v>372777004.58170313</v>
      </c>
      <c r="EZ826" s="269">
        <f t="shared" si="2118"/>
        <v>363993.41350937408</v>
      </c>
      <c r="FA826" s="196">
        <f>'Detailed Budget'!$AC$222</f>
        <v>93194251.145425782</v>
      </c>
      <c r="FB826" s="269">
        <f t="shared" si="2119"/>
        <v>90998.353377343519</v>
      </c>
      <c r="FC826" s="269">
        <f t="shared" si="2157"/>
        <v>454991.76688671758</v>
      </c>
      <c r="FD826" s="269"/>
      <c r="FE826" s="269">
        <f t="shared" si="2158"/>
        <v>261223355.58862343</v>
      </c>
      <c r="FF826" s="140">
        <f>'Detailed Budget'!$AC$165</f>
        <v>14927760000</v>
      </c>
      <c r="FG826" s="1087">
        <f t="shared" si="2043"/>
        <v>356325948.40339416</v>
      </c>
      <c r="FH826" s="269">
        <f t="shared" si="2120"/>
        <v>25442154.300647654</v>
      </c>
      <c r="FJ826" s="140">
        <f>'Detailed Budget'!$AC$235</f>
        <v>3623696172</v>
      </c>
      <c r="FK826" s="269">
        <f t="shared" si="2121"/>
        <v>4681778</v>
      </c>
      <c r="FL826" s="269">
        <f t="shared" si="2044"/>
        <v>4681778</v>
      </c>
      <c r="FO826" s="607"/>
      <c r="FP826" s="607"/>
      <c r="FQ826" s="607"/>
      <c r="FR826" s="269">
        <f>'Detailed Budget'!$AC$257</f>
        <v>13636439388</v>
      </c>
      <c r="FS826" s="269">
        <f t="shared" si="2122"/>
        <v>12491700</v>
      </c>
      <c r="FT826" s="269">
        <f t="shared" si="2045"/>
        <v>12491700</v>
      </c>
      <c r="FU826" s="269"/>
      <c r="FV826" s="269"/>
      <c r="FW826" s="269"/>
      <c r="FX826" s="140">
        <f>'Detailed Budget'!$AC$278</f>
        <v>1114560000</v>
      </c>
      <c r="FY826" s="269">
        <f t="shared" si="2123"/>
        <v>1440000</v>
      </c>
      <c r="FZ826" s="269">
        <f>FU826+FW826+FY826</f>
        <v>1440000</v>
      </c>
      <c r="GB826" s="269">
        <f t="shared" si="2094"/>
        <v>1195251531.7017169</v>
      </c>
      <c r="GC826" s="887">
        <f t="shared" si="2159"/>
        <v>747032.2073135731</v>
      </c>
      <c r="GD826" s="1078">
        <f t="shared" si="2095"/>
        <v>6.7069327183637555E-4</v>
      </c>
    </row>
    <row r="827" spans="1:186" hidden="1" outlineLevel="1">
      <c r="A827" s="211"/>
      <c r="B827" s="212"/>
      <c r="C827" s="213"/>
      <c r="D827" s="214"/>
      <c r="E827" s="213"/>
      <c r="F827" s="213"/>
      <c r="G827" s="213"/>
      <c r="H827" s="213"/>
      <c r="I827" s="214"/>
      <c r="J827" s="214"/>
      <c r="K827" s="213"/>
      <c r="L827" s="213"/>
      <c r="M827" s="214"/>
      <c r="N827" s="213"/>
      <c r="O827" s="214"/>
      <c r="P827" s="213"/>
      <c r="Q827" s="214"/>
      <c r="R827" s="214"/>
      <c r="S827" s="214"/>
      <c r="T827" s="214"/>
      <c r="U827" s="215"/>
      <c r="V827" s="845"/>
      <c r="W827" s="216"/>
      <c r="X827" s="217"/>
      <c r="Y827" s="218"/>
      <c r="Z827" s="196"/>
      <c r="AA827" s="218"/>
      <c r="AG827" s="606"/>
      <c r="AJ827" s="196"/>
      <c r="AK827" s="196"/>
      <c r="AL827" s="196"/>
      <c r="AM827" s="196"/>
      <c r="AO827" s="196"/>
      <c r="AP827" s="589"/>
      <c r="AQ827" s="196"/>
      <c r="AR827" s="589"/>
      <c r="AS827"/>
      <c r="AT827" s="589"/>
      <c r="AV827" s="245"/>
      <c r="AX827" s="245"/>
      <c r="AY827" s="245"/>
      <c r="BA827" s="589">
        <f t="shared" si="2073"/>
        <v>0</v>
      </c>
      <c r="BK827" s="246">
        <f t="shared" si="2074"/>
        <v>0</v>
      </c>
      <c r="BL827" s="246"/>
      <c r="BM827" s="246">
        <f t="shared" si="2075"/>
        <v>0</v>
      </c>
      <c r="BN827" s="196"/>
      <c r="BQ827" s="248">
        <f t="shared" si="2077"/>
        <v>0</v>
      </c>
      <c r="BR827" s="248"/>
      <c r="BS827" s="248"/>
      <c r="BT827" s="276"/>
      <c r="BV827" s="264">
        <f t="shared" si="2079"/>
        <v>0</v>
      </c>
      <c r="BX827" s="247">
        <f t="shared" si="2081"/>
        <v>0</v>
      </c>
      <c r="BY827" s="196"/>
      <c r="BZ827" s="620"/>
      <c r="CA827" s="196"/>
      <c r="CB827" s="196"/>
      <c r="CC827" s="196"/>
      <c r="CD827" s="247"/>
      <c r="CF827" s="247"/>
      <c r="CG827" s="196"/>
      <c r="CH827" s="589"/>
      <c r="CI827" s="207"/>
      <c r="CJ827" s="248"/>
      <c r="CK827" s="207"/>
      <c r="CL827" s="589"/>
      <c r="CM827" s="207"/>
      <c r="CN827" s="589"/>
      <c r="CO827" s="207"/>
      <c r="CP827" s="589"/>
      <c r="CQ827" s="196"/>
      <c r="CR827" s="269">
        <f t="shared" ref="CR827:CR861" si="2177">BK827*CQ827</f>
        <v>0</v>
      </c>
      <c r="CS827" s="269"/>
      <c r="CT827" s="607"/>
      <c r="CU827" s="269">
        <f>'Detailed Budget'!$AC$24</f>
        <v>30624985696</v>
      </c>
      <c r="CV827" s="269">
        <f t="shared" si="2050"/>
        <v>0</v>
      </c>
      <c r="CW827" s="269"/>
      <c r="CX827" s="269"/>
      <c r="CY827" s="196"/>
      <c r="DC827" s="269"/>
      <c r="DD827" s="207"/>
      <c r="DE827" s="606">
        <v>0</v>
      </c>
      <c r="DF827" s="269">
        <f>'Detailed Budget'!$AC$147</f>
        <v>5913600671000</v>
      </c>
      <c r="DG827" s="269">
        <f t="shared" si="2042"/>
        <v>0</v>
      </c>
      <c r="DH827" s="269">
        <f>'Detailed Budget'!$AC$153</f>
        <v>226428026880.00003</v>
      </c>
      <c r="DI827" s="269"/>
      <c r="DJ827" s="269">
        <f>'Detailed Budget'!$AC$156</f>
        <v>27713070000</v>
      </c>
      <c r="DK827" s="269"/>
      <c r="DL827" s="269"/>
      <c r="DM827" s="196"/>
      <c r="DN827" s="269"/>
      <c r="DO827" s="196"/>
      <c r="DP827" s="269"/>
      <c r="DQ827" s="269"/>
      <c r="DR827" s="269"/>
      <c r="DS827" s="269"/>
      <c r="DT827" s="269"/>
      <c r="DU827" s="272"/>
      <c r="DV827" s="269"/>
      <c r="DW827" s="140"/>
      <c r="DX827" s="269"/>
      <c r="DY827" s="607"/>
      <c r="DZ827" s="196"/>
      <c r="EA827" s="269"/>
      <c r="EB827" s="196"/>
      <c r="ED827" s="269"/>
      <c r="EE827" s="196"/>
      <c r="EG827" s="196"/>
      <c r="EI827" s="269"/>
      <c r="EJ827" s="196"/>
      <c r="EL827" s="201"/>
      <c r="EN827" s="269"/>
      <c r="EO827" s="140"/>
      <c r="EQ827" s="196"/>
      <c r="ES827" s="269"/>
      <c r="ET827" s="196"/>
      <c r="EV827" s="140"/>
      <c r="EX827" s="269"/>
      <c r="EY827" s="196"/>
      <c r="FA827" s="196"/>
      <c r="FC827" s="269"/>
      <c r="FD827" s="269"/>
      <c r="FE827" s="269"/>
      <c r="FF827" s="140"/>
      <c r="FG827" s="1087">
        <f t="shared" si="2043"/>
        <v>0</v>
      </c>
      <c r="FJ827" s="140"/>
      <c r="FO827" s="607"/>
      <c r="FP827" s="607"/>
      <c r="FQ827" s="607"/>
      <c r="FT827" s="269">
        <f t="shared" si="2045"/>
        <v>0</v>
      </c>
      <c r="FU827" s="269"/>
      <c r="FV827" s="269"/>
      <c r="FW827" s="269"/>
      <c r="FX827" s="140">
        <f>'Detailed Budget'!$AC$278</f>
        <v>1114560000</v>
      </c>
      <c r="FY827" s="269"/>
      <c r="FZ827" s="269"/>
      <c r="GB827" s="269">
        <f t="shared" si="2094"/>
        <v>0</v>
      </c>
      <c r="GD827" s="1078">
        <f t="shared" si="2095"/>
        <v>0</v>
      </c>
    </row>
    <row r="828" spans="1:186" s="210" customFormat="1" collapsed="1">
      <c r="A828" s="203">
        <v>6.6</v>
      </c>
      <c r="B828" s="204" t="s">
        <v>1728</v>
      </c>
      <c r="C828" s="205">
        <f t="shared" ref="C828:T828" si="2178">COUNTA(C829:C861)</f>
        <v>33</v>
      </c>
      <c r="D828" s="205">
        <f t="shared" si="2178"/>
        <v>5</v>
      </c>
      <c r="E828" s="205">
        <f t="shared" si="2178"/>
        <v>0</v>
      </c>
      <c r="F828" s="205">
        <f t="shared" si="2178"/>
        <v>0</v>
      </c>
      <c r="G828" s="205">
        <f t="shared" si="2178"/>
        <v>28</v>
      </c>
      <c r="H828" s="205">
        <f t="shared" si="2178"/>
        <v>33</v>
      </c>
      <c r="I828" s="205">
        <f t="shared" si="2178"/>
        <v>33</v>
      </c>
      <c r="J828" s="205">
        <f t="shared" si="2178"/>
        <v>0</v>
      </c>
      <c r="K828" s="205">
        <f t="shared" si="2178"/>
        <v>0</v>
      </c>
      <c r="L828" s="205">
        <f t="shared" si="2178"/>
        <v>0</v>
      </c>
      <c r="M828" s="205">
        <f t="shared" si="2178"/>
        <v>8</v>
      </c>
      <c r="N828" s="205">
        <f t="shared" si="2178"/>
        <v>9</v>
      </c>
      <c r="O828" s="205">
        <f t="shared" si="2178"/>
        <v>16</v>
      </c>
      <c r="P828" s="205">
        <f t="shared" si="2178"/>
        <v>0</v>
      </c>
      <c r="Q828" s="205">
        <f t="shared" si="2178"/>
        <v>7</v>
      </c>
      <c r="R828" s="205">
        <f t="shared" si="2178"/>
        <v>26</v>
      </c>
      <c r="S828" s="205">
        <f t="shared" si="2178"/>
        <v>0</v>
      </c>
      <c r="T828" s="205">
        <f t="shared" si="2178"/>
        <v>0</v>
      </c>
      <c r="U828" s="206">
        <f>SUM(C828:T828)</f>
        <v>198</v>
      </c>
      <c r="V828" s="844"/>
      <c r="W828" s="207">
        <f>SUM(W829:W861)</f>
        <v>5580894</v>
      </c>
      <c r="X828" s="208">
        <v>3.35</v>
      </c>
      <c r="Y828" s="209">
        <f t="shared" si="2170"/>
        <v>1.0335000000000001</v>
      </c>
      <c r="Z828" s="207">
        <v>19</v>
      </c>
      <c r="AA828" s="209">
        <f t="shared" si="2171"/>
        <v>1.8702477386515275</v>
      </c>
      <c r="AB828" s="207">
        <f t="shared" si="2175"/>
        <v>10437654.383153878</v>
      </c>
      <c r="AC828" s="210">
        <v>12.8</v>
      </c>
      <c r="AD828" s="207">
        <f t="shared" si="2176"/>
        <v>1336019.7610436964</v>
      </c>
      <c r="AE828" s="207">
        <f t="shared" si="2172"/>
        <v>1269218.7729915115</v>
      </c>
      <c r="AF828" s="207">
        <f>SUM(AF829:AF861)</f>
        <v>150649.64632214053</v>
      </c>
      <c r="AG828" s="588">
        <f t="shared" si="2162"/>
        <v>5.8683104088310359E-2</v>
      </c>
      <c r="AH828" s="207">
        <f>SUM(AH829:AH861)</f>
        <v>521882.71915769397</v>
      </c>
      <c r="AI828" s="633">
        <f t="shared" si="2141"/>
        <v>4.0429463523591593E-2</v>
      </c>
      <c r="AJ828" s="207">
        <f>SUM(AJ829:AJ861)</f>
        <v>1857902.4802013903</v>
      </c>
      <c r="AK828" s="207">
        <f t="shared" si="2173"/>
        <v>417506.17532615515</v>
      </c>
      <c r="AL828" s="207">
        <f t="shared" si="2174"/>
        <v>417506.17532615515</v>
      </c>
      <c r="AM828" s="207">
        <f t="shared" si="2143"/>
        <v>835012.3506523103</v>
      </c>
      <c r="AN828" s="632">
        <f t="shared" si="2144"/>
        <v>4.0429463523591586E-2</v>
      </c>
      <c r="AO828" s="207">
        <f t="shared" si="2145"/>
        <v>396630.86655984737</v>
      </c>
      <c r="AP828" s="588">
        <f t="shared" si="2163"/>
        <v>4.0429463523591586E-2</v>
      </c>
      <c r="AQ828" s="207">
        <v>1</v>
      </c>
      <c r="AR828" s="588">
        <f>AQ828/37</f>
        <v>2.7027027027027029E-2</v>
      </c>
      <c r="AS828" s="207">
        <f>SUM(AS829:AS861)</f>
        <v>33</v>
      </c>
      <c r="AT828" s="588">
        <f t="shared" si="2164"/>
        <v>4.2635658914728682E-2</v>
      </c>
      <c r="AU828" s="207">
        <f>SUM(AU829:AU861)</f>
        <v>351</v>
      </c>
      <c r="AV828" s="892">
        <f t="shared" si="2146"/>
        <v>3.9881831610044313E-2</v>
      </c>
      <c r="AW828" s="207">
        <v>27460</v>
      </c>
      <c r="AX828" s="208">
        <f>AW828*0.002</f>
        <v>54.92</v>
      </c>
      <c r="AY828" s="207">
        <f>AX828*100</f>
        <v>5492</v>
      </c>
      <c r="AZ828" s="207">
        <f>SUM(AZ829:AZ861)</f>
        <v>783</v>
      </c>
      <c r="BA828" s="588">
        <f t="shared" si="2073"/>
        <v>2.8690777179289875E-2</v>
      </c>
      <c r="BB828" s="207">
        <v>58</v>
      </c>
      <c r="BC828" s="207">
        <v>3</v>
      </c>
      <c r="BD828" s="207">
        <f>BB828+BC828</f>
        <v>61</v>
      </c>
      <c r="BE828" s="633">
        <f>BD828/1306</f>
        <v>4.6707503828483918E-2</v>
      </c>
      <c r="BF828" s="207">
        <f>AZ828+BD828</f>
        <v>844</v>
      </c>
      <c r="BG828" s="588">
        <f>BF828/28597</f>
        <v>2.9513585341119697E-2</v>
      </c>
      <c r="BH828" s="1084">
        <v>33.9</v>
      </c>
      <c r="BI828" s="207"/>
      <c r="BJ828" s="207"/>
      <c r="BK828" s="892">
        <f t="shared" si="2074"/>
        <v>0</v>
      </c>
      <c r="BL828" s="892"/>
      <c r="BM828" s="892">
        <f t="shared" si="2075"/>
        <v>0</v>
      </c>
      <c r="BN828" s="207"/>
      <c r="BO828" s="207">
        <v>671354</v>
      </c>
      <c r="BP828" s="207">
        <f>SUM(BP829:BP861)</f>
        <v>671354.17352105991</v>
      </c>
      <c r="BQ828" s="633">
        <f t="shared" si="2077"/>
        <v>6.2802056605695988E-2</v>
      </c>
      <c r="BR828" s="207">
        <f>AY828*0.5*24</f>
        <v>65904</v>
      </c>
      <c r="BS828" s="633">
        <f>BR828/2211211</f>
        <v>2.9804482702012608E-2</v>
      </c>
      <c r="BT828" s="634"/>
      <c r="BU828" s="207">
        <f>SUM(BU829:BU861)</f>
        <v>125594.23146014242</v>
      </c>
      <c r="BV828" s="264">
        <f t="shared" si="2079"/>
        <v>8.7114537892432203E-3</v>
      </c>
      <c r="BW828" s="207">
        <f>SUM(BW829:BW861)</f>
        <v>537264.21235727589</v>
      </c>
      <c r="BX828" s="247">
        <f t="shared" si="2081"/>
        <v>8.7114538677163286E-3</v>
      </c>
      <c r="BY828" s="207">
        <f>SUM(BY829:BY861)</f>
        <v>662858.4438174183</v>
      </c>
      <c r="CA828" s="207">
        <f>SUM(CA829:CA861)</f>
        <v>3193922.2412450868</v>
      </c>
      <c r="CB828" s="207">
        <f>SUM(CB829:CB861)</f>
        <v>6387844.4824901735</v>
      </c>
      <c r="CC828" s="207">
        <f>SUM(CC829:CC861)</f>
        <v>9581766.723735258</v>
      </c>
      <c r="CD828" s="633">
        <f t="shared" si="2148"/>
        <v>4.0429463523591579E-2</v>
      </c>
      <c r="CE828" s="207">
        <f>SUM(CE829:CE861)</f>
        <v>805491.56653841794</v>
      </c>
      <c r="CF828" s="633">
        <f t="shared" si="2149"/>
        <v>3.4783630878135359E-2</v>
      </c>
      <c r="CG828" s="207">
        <f t="shared" ref="CG828:CG861" si="2179">AO828*4</f>
        <v>1586523.4662393895</v>
      </c>
      <c r="CH828" s="588">
        <f t="shared" si="2165"/>
        <v>4.0429463523591586E-2</v>
      </c>
      <c r="CI828" s="207">
        <f t="shared" ref="CI828:CO828" si="2180">SUM(CI829:CI861)</f>
        <v>2335191.5823349589</v>
      </c>
      <c r="CJ828" s="633">
        <f t="shared" si="2166"/>
        <v>3.8390543686086777E-2</v>
      </c>
      <c r="CK828" s="207">
        <f t="shared" si="2180"/>
        <v>3137588.4388207742</v>
      </c>
      <c r="CL828" s="588">
        <f t="shared" si="2167"/>
        <v>4.5103479182456378E-2</v>
      </c>
      <c r="CM828" s="207">
        <f t="shared" si="2180"/>
        <v>303953.94563575072</v>
      </c>
      <c r="CN828" s="588">
        <f t="shared" si="2168"/>
        <v>4.3803217896635653E-2</v>
      </c>
      <c r="CO828" s="207">
        <f t="shared" si="2180"/>
        <v>24315.995650917295</v>
      </c>
      <c r="CP828" s="588">
        <f t="shared" si="2169"/>
        <v>4.5856222444805618E-2</v>
      </c>
      <c r="CQ828" s="207">
        <f>'Detailed Budget'!$AC$12</f>
        <v>292876014141.44696</v>
      </c>
      <c r="CR828" s="605">
        <f t="shared" si="2177"/>
        <v>0</v>
      </c>
      <c r="CS828" s="605">
        <f>'Detailed Budget'!$AC$16</f>
        <v>10488008800.000002</v>
      </c>
      <c r="CT828" s="605">
        <f t="shared" ref="CT828:CT861" si="2181">BM828*CS828</f>
        <v>0</v>
      </c>
      <c r="CU828" s="605">
        <f>'Detailed Budget'!$AC$24</f>
        <v>30624985696</v>
      </c>
      <c r="CV828" s="605">
        <f t="shared" si="2050"/>
        <v>0</v>
      </c>
      <c r="CW828" s="605"/>
      <c r="CX828" s="605">
        <f t="shared" si="2161"/>
        <v>0</v>
      </c>
      <c r="CY828" s="207">
        <f>'Detailed Budget'!$AC$97</f>
        <v>74629165494.837845</v>
      </c>
      <c r="CZ828" s="605">
        <f t="shared" ref="CZ828:CZ861" si="2182">BQ828*CY828</f>
        <v>4686865075.84266</v>
      </c>
      <c r="DA828" s="605">
        <f>'Detailed Budget'!$AC$100</f>
        <v>14925833098.967569</v>
      </c>
      <c r="DB828" s="605">
        <f t="shared" ref="DB828:DB861" si="2183">BQ828*DA828</f>
        <v>937373015.16853201</v>
      </c>
      <c r="DC828" s="605">
        <f t="shared" si="2150"/>
        <v>5624238091.0111923</v>
      </c>
      <c r="DD828" s="207">
        <f>SUM(DD829:DD861)</f>
        <v>0</v>
      </c>
      <c r="DE828" s="606">
        <v>0</v>
      </c>
      <c r="DF828" s="605">
        <f>'Detailed Budget'!$AC$147</f>
        <v>5913600671000</v>
      </c>
      <c r="DG828" s="605">
        <f t="shared" si="2042"/>
        <v>0</v>
      </c>
      <c r="DH828" s="605">
        <f>'Detailed Budget'!$AC$153</f>
        <v>226428026880.00003</v>
      </c>
      <c r="DI828" s="605">
        <f>BS828*DH828</f>
        <v>6748570210.3958063</v>
      </c>
      <c r="DJ828" s="605">
        <f>'Detailed Budget'!$AC$156</f>
        <v>27713070000</v>
      </c>
      <c r="DK828" s="605">
        <f>AT828*DJ828</f>
        <v>1181565000</v>
      </c>
      <c r="DL828" s="605">
        <f>DI828+DK828</f>
        <v>7930135210.3958063</v>
      </c>
      <c r="DM828" s="207">
        <f>'Detailed Budget'!$AC$178</f>
        <v>5622683761.6229038</v>
      </c>
      <c r="DN828" s="605">
        <f>SUM(DN829:DN861)</f>
        <v>48981749.76090616</v>
      </c>
      <c r="DO828" s="605">
        <f>'Detailed Budget'!$AC$179</f>
        <v>26827890683.128094</v>
      </c>
      <c r="DP828" s="605">
        <f>SUM(DP829:DP861)</f>
        <v>233709932.05420715</v>
      </c>
      <c r="DQ828" s="605">
        <f>SUM(DQ829:DQ861)</f>
        <v>282691681.81511331</v>
      </c>
      <c r="DR828" s="605">
        <f>'Detailed Budget'!$AC$181</f>
        <v>50888946855.375237</v>
      </c>
      <c r="DS828" s="605">
        <f>SUM(DS829:DS861)</f>
        <v>0</v>
      </c>
      <c r="DT828" s="605">
        <f>SUM(DT829:DT861)</f>
        <v>282691681.81511331</v>
      </c>
      <c r="DU828" s="634">
        <f>'Detailed Budget'!$AC$192</f>
        <v>77498869683.252869</v>
      </c>
      <c r="DV828" s="605">
        <f t="shared" ref="DV828:DV861" si="2184">BZ828*CD828*DU828</f>
        <v>0</v>
      </c>
      <c r="DW828" s="930">
        <f>'Detailed Budget'!$AC$194</f>
        <v>2684962805.4134097</v>
      </c>
      <c r="DX828" s="605">
        <f t="shared" ref="DX828:DX861" si="2185">BZ828*AN828*DW828</f>
        <v>0</v>
      </c>
      <c r="DY828" s="605">
        <f t="shared" si="2151"/>
        <v>0</v>
      </c>
      <c r="DZ828" s="207">
        <f>'Detailed Budget'!$AC$198</f>
        <v>18732540018.380611</v>
      </c>
      <c r="EA828" s="605">
        <f t="shared" ref="EA828:EA861" si="2186">CF828*DZ828</f>
        <v>651585757.40925014</v>
      </c>
      <c r="EB828" s="207">
        <f>'Detailed Budget'!$AC$200</f>
        <v>4683135004.5951529</v>
      </c>
      <c r="EC828" s="605">
        <f t="shared" ref="EC828:EC861" si="2187">CF828*EB828</f>
        <v>162896439.35231254</v>
      </c>
      <c r="ED828" s="605">
        <f t="shared" si="2152"/>
        <v>814482196.76156271</v>
      </c>
      <c r="EE828" s="207">
        <f>'Detailed Budget'!$AC$161</f>
        <v>251147290106.36197</v>
      </c>
      <c r="EF828" s="605">
        <f t="shared" ref="EF828:EF861" si="2188">CH828*EE828</f>
        <v>10153750204.404036</v>
      </c>
      <c r="EG828" s="207">
        <f>'Detailed Budget'!$AC$163</f>
        <v>15696705631.647623</v>
      </c>
      <c r="EH828" s="605">
        <f t="shared" ref="EH828:EH861" si="2189">AP828*EG828</f>
        <v>634609387.77525222</v>
      </c>
      <c r="EI828" s="605">
        <f t="shared" si="2153"/>
        <v>10788359592.179287</v>
      </c>
      <c r="EJ828" s="207">
        <f>'Detailed Budget'!$AC$204</f>
        <v>45012172507.531975</v>
      </c>
      <c r="EK828" s="605">
        <f t="shared" ref="EK828:EK861" si="2190">CJ828*EJ828</f>
        <v>1728041775.0560803</v>
      </c>
      <c r="EL828" s="207">
        <f>'Detailed Budget'!$AC$206</f>
        <v>11253043126.882994</v>
      </c>
      <c r="EM828" s="605">
        <f t="shared" ref="EM828:EM861" si="2191">CJ828*EL828</f>
        <v>432010443.76402009</v>
      </c>
      <c r="EN828" s="605">
        <f t="shared" si="2154"/>
        <v>2160052218.8201003</v>
      </c>
      <c r="EO828" s="930">
        <f>'Detailed Budget'!$AC$209</f>
        <v>135789361677.54817</v>
      </c>
      <c r="EP828" s="605">
        <f t="shared" ref="EP828:EP861" si="2192">CL828*EO828</f>
        <v>6124572647.6223335</v>
      </c>
      <c r="EQ828" s="207">
        <f>'Detailed Budget'!$AC$211</f>
        <v>33947340419.387043</v>
      </c>
      <c r="ER828" s="605">
        <f t="shared" ref="ER828:ER861" si="2193">CL828*EQ828</f>
        <v>1531143161.9055834</v>
      </c>
      <c r="ES828" s="605">
        <f t="shared" si="2155"/>
        <v>7655715809.5279169</v>
      </c>
      <c r="ET828" s="207">
        <f>'Detailed Budget'!$AC$214</f>
        <v>22239745544.201103</v>
      </c>
      <c r="EU828" s="605">
        <f t="shared" ref="EU828:EU861" si="2194">CN828*ET828</f>
        <v>974172420.03837276</v>
      </c>
      <c r="EV828" s="930">
        <f>'Detailed Budget'!$AC$217</f>
        <v>5559936386.0502758</v>
      </c>
      <c r="EW828" s="605">
        <f t="shared" ref="EW828:EW861" si="2195">CN828*EV828</f>
        <v>243543105.00959319</v>
      </c>
      <c r="EX828" s="605">
        <f t="shared" si="2156"/>
        <v>1217715525.047966</v>
      </c>
      <c r="EY828" s="207">
        <f>'Detailed Budget'!$AC$219</f>
        <v>372777004.58170313</v>
      </c>
      <c r="EZ828" s="605">
        <f t="shared" ref="EZ828:EZ861" si="2196">CP828*EY828</f>
        <v>17094145.244406901</v>
      </c>
      <c r="FA828" s="207">
        <f>'Detailed Budget'!$AC$222</f>
        <v>93194251.145425782</v>
      </c>
      <c r="FB828" s="605">
        <f t="shared" ref="FB828:FB861" si="2197">CP828*FA828</f>
        <v>4273536.3111017253</v>
      </c>
      <c r="FC828" s="605">
        <f t="shared" si="2157"/>
        <v>21367681.555508628</v>
      </c>
      <c r="FD828" s="605"/>
      <c r="FE828" s="605">
        <f t="shared" si="2158"/>
        <v>11054851234.951492</v>
      </c>
      <c r="FF828" s="930">
        <f>'Detailed Budget'!$AC$165</f>
        <v>14927760000</v>
      </c>
      <c r="FG828" s="1087">
        <f t="shared" si="2043"/>
        <v>15079548847.676149</v>
      </c>
      <c r="FH828" s="605">
        <f t="shared" ref="FH828:FH861" si="2198">AV828*FF828</f>
        <v>595346410.63515508</v>
      </c>
      <c r="FI828" s="605"/>
      <c r="FJ828" s="930">
        <f>'Detailed Budget'!$AC$235</f>
        <v>3623696172</v>
      </c>
      <c r="FK828" s="605">
        <f t="shared" ref="FK828:FK861" si="2199">AT828*FJ828</f>
        <v>154498674</v>
      </c>
      <c r="FL828" s="605">
        <f t="shared" si="2044"/>
        <v>154498674</v>
      </c>
      <c r="FM828" s="605"/>
      <c r="FN828" s="605">
        <f>'Detailed Budget'!$AC$251</f>
        <v>1047595800</v>
      </c>
      <c r="FO828" s="605">
        <f>AR828*FN828</f>
        <v>28313400</v>
      </c>
      <c r="FP828" s="605">
        <f>'Detailed Budget'!$AB$254</f>
        <v>2773297530</v>
      </c>
      <c r="FQ828" s="605">
        <f>BE828*FP828</f>
        <v>129533805</v>
      </c>
      <c r="FR828" s="605">
        <f>'Detailed Budget'!$AC$257</f>
        <v>13636439388</v>
      </c>
      <c r="FS828" s="605">
        <f t="shared" ref="FS828:FS861" si="2200">BA828*FR828</f>
        <v>391240044</v>
      </c>
      <c r="FT828" s="605">
        <f t="shared" si="2045"/>
        <v>549087249</v>
      </c>
      <c r="FU828" s="605"/>
      <c r="FV828" s="605">
        <f>'Detailed Budget'!$AC$265</f>
        <v>6277805540</v>
      </c>
      <c r="FW828" s="605">
        <f>AR828*FV828</f>
        <v>169670420</v>
      </c>
      <c r="FX828" s="930">
        <f>'Detailed Budget'!$AC$278</f>
        <v>1114560000</v>
      </c>
      <c r="FY828" s="605">
        <f t="shared" ref="FY828:FY861" si="2201">AT828*FX828</f>
        <v>47520000</v>
      </c>
      <c r="FZ828" s="605">
        <f>FU828+FW828+FY828</f>
        <v>217190420</v>
      </c>
      <c r="GB828" s="269">
        <f t="shared" si="2094"/>
        <v>53090429608.425758</v>
      </c>
      <c r="GC828" s="889">
        <f t="shared" si="2159"/>
        <v>33181518.5052661</v>
      </c>
      <c r="GD828" s="1078">
        <f t="shared" si="2095"/>
        <v>2.9790711823291707E-2</v>
      </c>
    </row>
    <row r="829" spans="1:186" hidden="1" outlineLevel="1">
      <c r="A829" s="211" t="s">
        <v>1729</v>
      </c>
      <c r="B829" s="212" t="s">
        <v>1730</v>
      </c>
      <c r="C829" s="213" t="s">
        <v>215</v>
      </c>
      <c r="D829" s="214"/>
      <c r="E829" s="213"/>
      <c r="F829" s="213"/>
      <c r="G829" s="213" t="s">
        <v>215</v>
      </c>
      <c r="H829" s="213" t="s">
        <v>215</v>
      </c>
      <c r="I829" s="214" t="s">
        <v>215</v>
      </c>
      <c r="J829" s="214"/>
      <c r="K829" s="213"/>
      <c r="L829" s="213"/>
      <c r="M829" s="214"/>
      <c r="N829" s="213" t="s">
        <v>215</v>
      </c>
      <c r="O829" s="214"/>
      <c r="P829" s="213"/>
      <c r="Q829" s="214"/>
      <c r="R829" s="214" t="s">
        <v>215</v>
      </c>
      <c r="S829" s="214"/>
      <c r="T829" s="214"/>
      <c r="U829" s="215">
        <f t="shared" si="2099"/>
        <v>6</v>
      </c>
      <c r="V829" s="845" t="s">
        <v>216</v>
      </c>
      <c r="W829" s="216">
        <v>132184</v>
      </c>
      <c r="X829" s="217">
        <v>3.35</v>
      </c>
      <c r="Y829" s="218">
        <f t="shared" si="2170"/>
        <v>1.0335000000000001</v>
      </c>
      <c r="Z829" s="196">
        <v>19</v>
      </c>
      <c r="AA829" s="218">
        <f t="shared" si="2171"/>
        <v>1.8702477386515275</v>
      </c>
      <c r="AB829" s="196">
        <f t="shared" si="2175"/>
        <v>247216.82708591351</v>
      </c>
      <c r="AC829">
        <v>12.8</v>
      </c>
      <c r="AD829" s="196">
        <f t="shared" si="2176"/>
        <v>31643.753866996933</v>
      </c>
      <c r="AE829" s="196">
        <f t="shared" si="2172"/>
        <v>30061.566173647083</v>
      </c>
      <c r="AF829" s="196">
        <f t="shared" ref="AF829:AF861" si="2202">AE829*BT829</f>
        <v>0</v>
      </c>
      <c r="AG829" s="606"/>
      <c r="AH829" s="196">
        <f>AB829*0.05</f>
        <v>12360.841354295677</v>
      </c>
      <c r="AI829" s="248">
        <f t="shared" si="2141"/>
        <v>9.5757565121330573E-4</v>
      </c>
      <c r="AJ829" s="196">
        <f t="shared" si="2142"/>
        <v>44004.595221292606</v>
      </c>
      <c r="AK829" s="196">
        <f t="shared" si="2173"/>
        <v>9888.6730834365408</v>
      </c>
      <c r="AL829" s="196">
        <f t="shared" si="2174"/>
        <v>9888.6730834365408</v>
      </c>
      <c r="AM829" s="196">
        <f t="shared" si="2143"/>
        <v>19777.346166873082</v>
      </c>
      <c r="AN829" s="627">
        <f t="shared" si="2144"/>
        <v>9.5757565121330573E-4</v>
      </c>
      <c r="AO829" s="196">
        <f t="shared" si="2145"/>
        <v>9394.2394292647132</v>
      </c>
      <c r="AP829" s="589">
        <f t="shared" si="2163"/>
        <v>9.5757565121330562E-4</v>
      </c>
      <c r="AQ829" s="589"/>
      <c r="AR829" s="589"/>
      <c r="AS829">
        <v>1</v>
      </c>
      <c r="AT829" s="589">
        <f t="shared" si="2164"/>
        <v>1.2919896640826874E-3</v>
      </c>
      <c r="AU829" s="196">
        <v>10</v>
      </c>
      <c r="AV829" s="245">
        <f t="shared" si="2146"/>
        <v>1.1362345188046814E-3</v>
      </c>
      <c r="AX829" s="245"/>
      <c r="AY829" s="245"/>
      <c r="AZ829" s="196">
        <v>25</v>
      </c>
      <c r="BA829" s="589">
        <f t="shared" si="2073"/>
        <v>9.1605291121615189E-4</v>
      </c>
      <c r="BI829" s="196">
        <v>0</v>
      </c>
      <c r="BK829" s="246">
        <f t="shared" si="2074"/>
        <v>0</v>
      </c>
      <c r="BL829" s="246"/>
      <c r="BM829" s="246">
        <f t="shared" si="2075"/>
        <v>0</v>
      </c>
      <c r="BN829" s="196">
        <v>1</v>
      </c>
      <c r="BO829" s="196">
        <f t="shared" ref="BO829:BO861" si="2203">AJ829/1857902*671354</f>
        <v>15901.08682815115</v>
      </c>
      <c r="BP829" s="196">
        <f t="shared" si="2147"/>
        <v>15901.08682815115</v>
      </c>
      <c r="BQ829" s="248">
        <f t="shared" si="2077"/>
        <v>1.4874726254193896E-3</v>
      </c>
      <c r="BR829" s="248"/>
      <c r="BS829" s="248"/>
      <c r="BT829" s="276">
        <v>0</v>
      </c>
      <c r="BU829" s="196">
        <f>AD829*BT829*0.18*4*1.1</f>
        <v>0</v>
      </c>
      <c r="BV829" s="264">
        <f t="shared" si="2079"/>
        <v>0</v>
      </c>
      <c r="BW829" s="196">
        <f>AD829*BT829*0.77*4*1.1</f>
        <v>0</v>
      </c>
      <c r="BX829" s="247">
        <f t="shared" si="2081"/>
        <v>0</v>
      </c>
      <c r="BY829" s="196">
        <f t="shared" ref="BY829:BY861" si="2204">BU829+BW829</f>
        <v>0</v>
      </c>
      <c r="BZ829" s="620">
        <v>1</v>
      </c>
      <c r="CA829" s="196">
        <f t="shared" ref="CA829:CA861" si="2205">AK829*0.85*0.75*12</f>
        <v>75648.349088289542</v>
      </c>
      <c r="CB829" s="196">
        <f t="shared" ref="CB829:CB861" si="2206">AL829*0.85*0.75*2*12</f>
        <v>151296.69817657908</v>
      </c>
      <c r="CC829" s="196">
        <f t="shared" si="2160"/>
        <v>226945.04726486863</v>
      </c>
      <c r="CD829" s="247">
        <f t="shared" si="2148"/>
        <v>9.5757565121330573E-4</v>
      </c>
      <c r="CE829" s="196">
        <f t="shared" ref="CE829:CE861" si="2207">AH829/521883*805492</f>
        <v>19078.143614860674</v>
      </c>
      <c r="CF829" s="247">
        <f t="shared" si="2149"/>
        <v>8.2385357327973709E-4</v>
      </c>
      <c r="CG829" s="196">
        <f t="shared" si="2179"/>
        <v>37576.957717058853</v>
      </c>
      <c r="CH829" s="589">
        <f t="shared" si="2165"/>
        <v>9.5757565121330562E-4</v>
      </c>
      <c r="CI829" s="271">
        <f t="shared" ref="CI829:CI861" si="2208">AD829/1336020*2335192</f>
        <v>55309.232556533811</v>
      </c>
      <c r="CJ829" s="248">
        <f t="shared" si="2166"/>
        <v>9.0928364283602138E-4</v>
      </c>
      <c r="CK829" s="271">
        <f t="shared" ref="CK829:CK861" si="2209">AD829/1336020*3137589</f>
        <v>74314.077672338026</v>
      </c>
      <c r="CL829" s="589">
        <f t="shared" si="2167"/>
        <v>1.0682801522934882E-3</v>
      </c>
      <c r="CM829" s="271">
        <f t="shared" ref="CM829:CM861" si="2210">AD829/1336020*303954</f>
        <v>7199.1778288417736</v>
      </c>
      <c r="CN829" s="589">
        <f t="shared" si="2168"/>
        <v>1.0374833412798896E-3</v>
      </c>
      <c r="CO829" s="271">
        <f t="shared" ref="CO829:CO861" si="2211">AD829/1336020*24316</f>
        <v>575.92664707855977</v>
      </c>
      <c r="CP829" s="589">
        <f t="shared" si="2169"/>
        <v>1.0861089473557795E-3</v>
      </c>
      <c r="CQ829" s="196">
        <f>'Detailed Budget'!$AC$12</f>
        <v>292876014141.44696</v>
      </c>
      <c r="CR829" s="269">
        <f t="shared" si="2177"/>
        <v>0</v>
      </c>
      <c r="CS829" s="269">
        <f>'Detailed Budget'!$AC$16</f>
        <v>10488008800.000002</v>
      </c>
      <c r="CT829" s="607">
        <f t="shared" si="2181"/>
        <v>0</v>
      </c>
      <c r="CU829" s="269">
        <f>'Detailed Budget'!$AC$24</f>
        <v>30624985696</v>
      </c>
      <c r="CV829" s="269">
        <f t="shared" si="2050"/>
        <v>0</v>
      </c>
      <c r="CW829" s="269"/>
      <c r="CX829" s="269">
        <f t="shared" si="2161"/>
        <v>0</v>
      </c>
      <c r="CY829" s="196">
        <f>'Detailed Budget'!$AC$97</f>
        <v>74629165494.837845</v>
      </c>
      <c r="CZ829" s="269">
        <f t="shared" si="2182"/>
        <v>111008840.73146456</v>
      </c>
      <c r="DA829" s="269">
        <f>'Detailed Budget'!$AC$100</f>
        <v>14925833098.967569</v>
      </c>
      <c r="DB829" s="269">
        <f t="shared" si="2183"/>
        <v>22201768.146292914</v>
      </c>
      <c r="DC829" s="269">
        <f t="shared" si="2150"/>
        <v>133210608.87775747</v>
      </c>
      <c r="DD829" s="207">
        <v>0</v>
      </c>
      <c r="DE829" s="606">
        <v>0</v>
      </c>
      <c r="DF829" s="269">
        <f>'Detailed Budget'!$AC$147</f>
        <v>5913600671000</v>
      </c>
      <c r="DG829" s="269">
        <f t="shared" si="2042"/>
        <v>0</v>
      </c>
      <c r="DH829" s="269"/>
      <c r="DI829" s="269"/>
      <c r="DJ829" s="269"/>
      <c r="DK829" s="269"/>
      <c r="DL829" s="269"/>
      <c r="DM829" s="196">
        <f>'Detailed Budget'!$AC$178</f>
        <v>5622683761.6229038</v>
      </c>
      <c r="DN829" s="269">
        <f t="shared" ref="DN829:DN861" si="2212">BT829*BV829*DM829</f>
        <v>0</v>
      </c>
      <c r="DO829" s="196">
        <f>'Detailed Budget'!$AC$179</f>
        <v>26827890683.128094</v>
      </c>
      <c r="DP829" s="269">
        <f t="shared" ref="DP829:DP861" si="2213">BT829*BX829*DO829</f>
        <v>0</v>
      </c>
      <c r="DQ829" s="269">
        <f t="shared" si="2041"/>
        <v>0</v>
      </c>
      <c r="DR829" s="269">
        <f>'Detailed Budget'!$AC$181</f>
        <v>50888946855.375237</v>
      </c>
      <c r="DS829" s="269">
        <f t="shared" ref="DS829:DS861" si="2214">BT829*AG829*DR829</f>
        <v>0</v>
      </c>
      <c r="DT829" s="269">
        <f t="shared" ref="DT829:DT861" si="2215">DQ829+DS829</f>
        <v>0</v>
      </c>
      <c r="DU829" s="272">
        <f>'Detailed Budget'!$AC$192</f>
        <v>77498869683.252869</v>
      </c>
      <c r="DV829" s="269">
        <f t="shared" si="2184"/>
        <v>74211030.605235979</v>
      </c>
      <c r="DW829" s="140">
        <f>'Detailed Budget'!$AC$194</f>
        <v>2684962805.4134097</v>
      </c>
      <c r="DX829" s="269">
        <f t="shared" si="2185"/>
        <v>2571055.00687725</v>
      </c>
      <c r="DY829" s="607">
        <f t="shared" si="2151"/>
        <v>76782085.612113222</v>
      </c>
      <c r="DZ829" s="196">
        <f>'Detailed Budget'!$AC$198</f>
        <v>18732540018.380611</v>
      </c>
      <c r="EA829" s="269">
        <f t="shared" si="2186"/>
        <v>15432870.030748539</v>
      </c>
      <c r="EB829" s="196">
        <f>'Detailed Budget'!$AC$200</f>
        <v>4683135004.5951529</v>
      </c>
      <c r="EC829" s="269">
        <f t="shared" si="2187"/>
        <v>3858217.5076871347</v>
      </c>
      <c r="ED829" s="269">
        <f t="shared" si="2152"/>
        <v>19291087.538435675</v>
      </c>
      <c r="EE829" s="196">
        <f>'Detailed Budget'!$AC$161</f>
        <v>251147290106.36197</v>
      </c>
      <c r="EF829" s="269">
        <f t="shared" si="2188"/>
        <v>240492529.87405655</v>
      </c>
      <c r="EG829" s="196">
        <f>'Detailed Budget'!$AC$163</f>
        <v>15696705631.647623</v>
      </c>
      <c r="EH829" s="269">
        <f t="shared" si="2189"/>
        <v>15030783.117128534</v>
      </c>
      <c r="EI829" s="269">
        <f t="shared" si="2153"/>
        <v>255523312.99118507</v>
      </c>
      <c r="EJ829" s="196">
        <f>'Detailed Budget'!$AC$204</f>
        <v>45012172507.531975</v>
      </c>
      <c r="EK829" s="269">
        <f t="shared" si="2190"/>
        <v>40928832.189612083</v>
      </c>
      <c r="EL829" s="201">
        <f>'Detailed Budget'!$AC$206</f>
        <v>11253043126.882994</v>
      </c>
      <c r="EM829" s="269">
        <f t="shared" si="2191"/>
        <v>10232208.047403021</v>
      </c>
      <c r="EN829" s="269">
        <f t="shared" si="2154"/>
        <v>51161040.237015106</v>
      </c>
      <c r="EO829" s="140">
        <f>'Detailed Budget'!$AC$209</f>
        <v>135789361677.54817</v>
      </c>
      <c r="EP829" s="269">
        <f t="shared" si="2192"/>
        <v>145061079.9727267</v>
      </c>
      <c r="EQ829" s="196">
        <f>'Detailed Budget'!$AC$211</f>
        <v>33947340419.387043</v>
      </c>
      <c r="ER829" s="269">
        <f t="shared" si="2193"/>
        <v>36265269.993181676</v>
      </c>
      <c r="ES829" s="269">
        <f t="shared" si="2155"/>
        <v>181326349.96590838</v>
      </c>
      <c r="ET829" s="196">
        <f>'Detailed Budget'!$AC$214</f>
        <v>22239745544.201103</v>
      </c>
      <c r="EU829" s="269">
        <f t="shared" si="2194"/>
        <v>23073365.516412299</v>
      </c>
      <c r="EV829" s="140">
        <f>'Detailed Budget'!$AC$217</f>
        <v>5559936386.0502758</v>
      </c>
      <c r="EW829" s="269">
        <f t="shared" si="2195"/>
        <v>5768341.3791030748</v>
      </c>
      <c r="EX829" s="269">
        <f t="shared" si="2156"/>
        <v>28841706.895515375</v>
      </c>
      <c r="EY829" s="196">
        <f>'Detailed Budget'!$AC$219</f>
        <v>372777004.58170313</v>
      </c>
      <c r="EZ829" s="269">
        <f t="shared" si="2196"/>
        <v>404876.44004467415</v>
      </c>
      <c r="FA829" s="196">
        <f>'Detailed Budget'!$AC$222</f>
        <v>93194251.145425782</v>
      </c>
      <c r="FB829" s="269">
        <f t="shared" si="2197"/>
        <v>101219.11001116854</v>
      </c>
      <c r="FC829" s="269">
        <f t="shared" si="2157"/>
        <v>506095.55005584267</v>
      </c>
      <c r="FD829" s="269"/>
      <c r="FE829" s="269">
        <f t="shared" si="2158"/>
        <v>261835192.64849469</v>
      </c>
      <c r="FF829" s="140">
        <f>'Detailed Budget'!$AC$165</f>
        <v>14927760000</v>
      </c>
      <c r="FG829" s="1087">
        <f t="shared" si="2043"/>
        <v>357160534.65291119</v>
      </c>
      <c r="FH829" s="269">
        <f t="shared" si="2198"/>
        <v>16961436.200431772</v>
      </c>
      <c r="FJ829" s="140">
        <f>'Detailed Budget'!$AC$235</f>
        <v>3623696172</v>
      </c>
      <c r="FK829" s="269">
        <f t="shared" si="2199"/>
        <v>4681778</v>
      </c>
      <c r="FL829" s="269">
        <f t="shared" si="2044"/>
        <v>4681778</v>
      </c>
      <c r="FR829" s="269">
        <f>'Detailed Budget'!$AC$257</f>
        <v>13636439388</v>
      </c>
      <c r="FS829" s="269">
        <f t="shared" si="2200"/>
        <v>12491700</v>
      </c>
      <c r="FT829" s="269">
        <f t="shared" si="2045"/>
        <v>12491700</v>
      </c>
      <c r="FU829" s="269"/>
      <c r="FV829" s="269"/>
      <c r="FW829" s="269"/>
      <c r="FX829" s="140">
        <f>'Detailed Budget'!$AC$278</f>
        <v>1114560000</v>
      </c>
      <c r="FY829" s="269">
        <f t="shared" si="2201"/>
        <v>1440000</v>
      </c>
      <c r="FZ829" s="269">
        <f t="shared" ref="FZ829:FZ861" si="2216">FU829+FW829+FY829</f>
        <v>1440000</v>
      </c>
      <c r="GB829" s="269">
        <f t="shared" si="2094"/>
        <v>1139377736.5213292</v>
      </c>
      <c r="GC829" s="887">
        <f t="shared" si="2159"/>
        <v>712111.08532583073</v>
      </c>
      <c r="GD829" s="1078">
        <f t="shared" si="2095"/>
        <v>6.3934072594497087E-4</v>
      </c>
    </row>
    <row r="830" spans="1:186" hidden="1" outlineLevel="1">
      <c r="A830" s="211" t="s">
        <v>1731</v>
      </c>
      <c r="B830" s="212" t="s">
        <v>1732</v>
      </c>
      <c r="C830" s="213" t="s">
        <v>215</v>
      </c>
      <c r="D830" s="214"/>
      <c r="E830" s="213"/>
      <c r="F830" s="213"/>
      <c r="G830" s="213" t="s">
        <v>215</v>
      </c>
      <c r="H830" s="213" t="s">
        <v>215</v>
      </c>
      <c r="I830" s="214" t="s">
        <v>215</v>
      </c>
      <c r="J830" s="214"/>
      <c r="K830" s="213"/>
      <c r="L830" s="213"/>
      <c r="M830" s="214"/>
      <c r="N830" s="213"/>
      <c r="O830" s="214" t="s">
        <v>215</v>
      </c>
      <c r="P830" s="213"/>
      <c r="Q830" s="214"/>
      <c r="R830" s="214" t="s">
        <v>215</v>
      </c>
      <c r="S830" s="214"/>
      <c r="T830" s="214"/>
      <c r="U830" s="215">
        <f t="shared" si="2099"/>
        <v>6</v>
      </c>
      <c r="V830" s="845" t="s">
        <v>216</v>
      </c>
      <c r="W830" s="216">
        <v>211811</v>
      </c>
      <c r="X830" s="217">
        <v>3.35</v>
      </c>
      <c r="Y830" s="218">
        <f t="shared" si="2170"/>
        <v>1.0335000000000001</v>
      </c>
      <c r="Z830" s="196">
        <v>19</v>
      </c>
      <c r="AA830" s="218">
        <f t="shared" si="2171"/>
        <v>1.8702477386515275</v>
      </c>
      <c r="AB830" s="196">
        <f t="shared" si="2175"/>
        <v>396139.04377151869</v>
      </c>
      <c r="AC830">
        <v>12.8</v>
      </c>
      <c r="AD830" s="196">
        <f t="shared" si="2176"/>
        <v>50705.797602754392</v>
      </c>
      <c r="AE830" s="196">
        <f t="shared" si="2172"/>
        <v>48170.507722616669</v>
      </c>
      <c r="AF830" s="196">
        <f t="shared" si="2202"/>
        <v>0</v>
      </c>
      <c r="AG830" s="606"/>
      <c r="AH830" s="196">
        <f t="shared" ref="AH830:AH861" si="2217">AB830*0.05</f>
        <v>19806.952188575935</v>
      </c>
      <c r="AI830" s="248">
        <f t="shared" si="2141"/>
        <v>1.5344145755851048E-3</v>
      </c>
      <c r="AJ830" s="196">
        <f t="shared" si="2142"/>
        <v>70512.749791330323</v>
      </c>
      <c r="AK830" s="196">
        <f t="shared" si="2173"/>
        <v>15845.561750860748</v>
      </c>
      <c r="AL830" s="196">
        <f t="shared" si="2174"/>
        <v>15845.561750860748</v>
      </c>
      <c r="AM830" s="196">
        <f t="shared" si="2143"/>
        <v>31691.123501721497</v>
      </c>
      <c r="AN830" s="627">
        <f t="shared" si="2144"/>
        <v>1.5344145755851048E-3</v>
      </c>
      <c r="AO830" s="196">
        <f t="shared" si="2145"/>
        <v>15053.28366331771</v>
      </c>
      <c r="AP830" s="589">
        <f t="shared" si="2163"/>
        <v>1.5344145755851048E-3</v>
      </c>
      <c r="AQ830" s="589"/>
      <c r="AR830" s="589"/>
      <c r="AS830">
        <v>1</v>
      </c>
      <c r="AT830" s="589">
        <f t="shared" si="2164"/>
        <v>1.2919896640826874E-3</v>
      </c>
      <c r="AU830" s="196">
        <v>12</v>
      </c>
      <c r="AV830" s="245">
        <f t="shared" si="2146"/>
        <v>1.3634814225656176E-3</v>
      </c>
      <c r="AX830" s="245"/>
      <c r="AY830" s="245"/>
      <c r="AZ830" s="196">
        <v>34</v>
      </c>
      <c r="BA830" s="589">
        <f t="shared" si="2073"/>
        <v>1.2458319592539666E-3</v>
      </c>
      <c r="BI830" s="196">
        <v>0</v>
      </c>
      <c r="BK830" s="246">
        <f t="shared" si="2074"/>
        <v>0</v>
      </c>
      <c r="BL830" s="246"/>
      <c r="BM830" s="246">
        <f t="shared" si="2075"/>
        <v>0</v>
      </c>
      <c r="BN830" s="196">
        <v>1</v>
      </c>
      <c r="BO830" s="196">
        <f t="shared" si="2203"/>
        <v>25479.82435209649</v>
      </c>
      <c r="BP830" s="196">
        <f t="shared" si="2147"/>
        <v>25479.82435209649</v>
      </c>
      <c r="BQ830" s="248">
        <f t="shared" si="2077"/>
        <v>2.3835189150177498E-3</v>
      </c>
      <c r="BR830" s="248"/>
      <c r="BS830" s="248"/>
      <c r="BT830" s="276">
        <v>0</v>
      </c>
      <c r="BU830" s="196">
        <f t="shared" ref="BU830:BU861" si="2218">AD830*BT830*0.18*4*1.1</f>
        <v>0</v>
      </c>
      <c r="BV830" s="264">
        <f t="shared" si="2079"/>
        <v>0</v>
      </c>
      <c r="BW830" s="196">
        <f t="shared" ref="BW830:BW861" si="2219">AD830*BT830*0.77*4*1.1</f>
        <v>0</v>
      </c>
      <c r="BX830" s="247">
        <f t="shared" si="2081"/>
        <v>0</v>
      </c>
      <c r="BY830" s="196">
        <f t="shared" si="2204"/>
        <v>0</v>
      </c>
      <c r="BZ830" s="620">
        <v>1</v>
      </c>
      <c r="CA830" s="196">
        <f t="shared" si="2205"/>
        <v>121218.54739408473</v>
      </c>
      <c r="CB830" s="196">
        <f t="shared" si="2206"/>
        <v>242437.09478816946</v>
      </c>
      <c r="CC830" s="196">
        <f t="shared" si="2160"/>
        <v>363655.64218225417</v>
      </c>
      <c r="CD830" s="247">
        <f t="shared" si="2148"/>
        <v>1.5344145755851048E-3</v>
      </c>
      <c r="CE830" s="196">
        <f t="shared" si="2207"/>
        <v>30570.724726194199</v>
      </c>
      <c r="CF830" s="247">
        <f t="shared" si="2149"/>
        <v>1.3201389669699388E-3</v>
      </c>
      <c r="CG830" s="196">
        <f t="shared" si="2179"/>
        <v>60213.134653270841</v>
      </c>
      <c r="CH830" s="589">
        <f t="shared" si="2165"/>
        <v>1.5344145755851048E-3</v>
      </c>
      <c r="CI830" s="271">
        <f t="shared" si="2208"/>
        <v>88627.245786418804</v>
      </c>
      <c r="CJ830" s="248">
        <f t="shared" si="2166"/>
        <v>1.4570316957630313E-3</v>
      </c>
      <c r="CK830" s="271">
        <f t="shared" si="2209"/>
        <v>119080.51735350411</v>
      </c>
      <c r="CL830" s="589">
        <f t="shared" si="2167"/>
        <v>1.7118069307740422E-3</v>
      </c>
      <c r="CM830" s="271">
        <f t="shared" si="2210"/>
        <v>11535.927609278011</v>
      </c>
      <c r="CN830" s="589">
        <f t="shared" si="2168"/>
        <v>1.6624582702886479E-3</v>
      </c>
      <c r="CO830" s="271">
        <f t="shared" si="2211"/>
        <v>922.86206382282887</v>
      </c>
      <c r="CP830" s="589">
        <f t="shared" si="2169"/>
        <v>1.7403757054437374E-3</v>
      </c>
      <c r="CQ830" s="196">
        <f>'Detailed Budget'!$AC$12</f>
        <v>292876014141.44696</v>
      </c>
      <c r="CR830" s="269">
        <f t="shared" si="2177"/>
        <v>0</v>
      </c>
      <c r="CS830" s="269">
        <f>'Detailed Budget'!$AC$16</f>
        <v>10488008800.000002</v>
      </c>
      <c r="CT830" s="607">
        <f t="shared" si="2181"/>
        <v>0</v>
      </c>
      <c r="CU830" s="269">
        <f>'Detailed Budget'!$AC$24</f>
        <v>30624985696</v>
      </c>
      <c r="CV830" s="269">
        <f t="shared" si="2050"/>
        <v>0</v>
      </c>
      <c r="CW830" s="269"/>
      <c r="CX830" s="269">
        <f t="shared" si="2161"/>
        <v>0</v>
      </c>
      <c r="CY830" s="196">
        <f>'Detailed Budget'!$AC$97</f>
        <v>74629165494.837845</v>
      </c>
      <c r="CZ830" s="269">
        <f t="shared" si="2182"/>
        <v>177880027.56893599</v>
      </c>
      <c r="DA830" s="269">
        <f>'Detailed Budget'!$AC$100</f>
        <v>14925833098.967569</v>
      </c>
      <c r="DB830" s="269">
        <f t="shared" si="2183"/>
        <v>35576005.513787195</v>
      </c>
      <c r="DC830" s="269">
        <f t="shared" si="2150"/>
        <v>213456033.0827232</v>
      </c>
      <c r="DD830" s="207">
        <v>0</v>
      </c>
      <c r="DE830" s="606">
        <v>0</v>
      </c>
      <c r="DF830" s="269">
        <f>'Detailed Budget'!$AC$147</f>
        <v>5913600671000</v>
      </c>
      <c r="DG830" s="269">
        <f t="shared" si="2042"/>
        <v>0</v>
      </c>
      <c r="DH830" s="269"/>
      <c r="DI830" s="269"/>
      <c r="DJ830" s="269"/>
      <c r="DK830" s="269"/>
      <c r="DL830" s="269"/>
      <c r="DM830" s="196">
        <f>'Detailed Budget'!$AC$178</f>
        <v>5622683761.6229038</v>
      </c>
      <c r="DN830" s="269">
        <f t="shared" si="2212"/>
        <v>0</v>
      </c>
      <c r="DO830" s="196">
        <f>'Detailed Budget'!$AC$179</f>
        <v>26827890683.128094</v>
      </c>
      <c r="DP830" s="269">
        <f t="shared" si="2213"/>
        <v>0</v>
      </c>
      <c r="DQ830" s="269">
        <f t="shared" si="2041"/>
        <v>0</v>
      </c>
      <c r="DR830" s="269">
        <f>'Detailed Budget'!$AC$181</f>
        <v>50888946855.375237</v>
      </c>
      <c r="DS830" s="269">
        <f t="shared" si="2214"/>
        <v>0</v>
      </c>
      <c r="DT830" s="269">
        <f t="shared" si="2215"/>
        <v>0</v>
      </c>
      <c r="DU830" s="272">
        <f>'Detailed Budget'!$AC$192</f>
        <v>77498869683.252869</v>
      </c>
      <c r="DV830" s="269">
        <f t="shared" si="2184"/>
        <v>118915395.23335379</v>
      </c>
      <c r="DW830" s="140">
        <f>'Detailed Budget'!$AC$194</f>
        <v>2684962805.4134097</v>
      </c>
      <c r="DX830" s="269">
        <f t="shared" si="2185"/>
        <v>4119846.0635302095</v>
      </c>
      <c r="DY830" s="607">
        <f t="shared" si="2151"/>
        <v>123035241.296884</v>
      </c>
      <c r="DZ830" s="196">
        <f>'Detailed Budget'!$AC$198</f>
        <v>18732540018.380611</v>
      </c>
      <c r="EA830" s="269">
        <f t="shared" si="2186"/>
        <v>24729556.028588019</v>
      </c>
      <c r="EB830" s="196">
        <f>'Detailed Budget'!$AC$200</f>
        <v>4683135004.5951529</v>
      </c>
      <c r="EC830" s="269">
        <f t="shared" si="2187"/>
        <v>6182389.0071470048</v>
      </c>
      <c r="ED830" s="269">
        <f t="shared" si="2152"/>
        <v>30911945.035735026</v>
      </c>
      <c r="EE830" s="196">
        <f>'Detailed Budget'!$AC$161</f>
        <v>251147290106.36197</v>
      </c>
      <c r="EF830" s="269">
        <f t="shared" si="2188"/>
        <v>385364062.55790257</v>
      </c>
      <c r="EG830" s="196">
        <f>'Detailed Budget'!$AC$163</f>
        <v>15696705631.647623</v>
      </c>
      <c r="EH830" s="269">
        <f t="shared" si="2189"/>
        <v>24085253.909868911</v>
      </c>
      <c r="EI830" s="269">
        <f t="shared" si="2153"/>
        <v>409449316.46777147</v>
      </c>
      <c r="EJ830" s="196">
        <f>'Detailed Budget'!$AC$204</f>
        <v>45012172507.531975</v>
      </c>
      <c r="EK830" s="269">
        <f t="shared" si="2190"/>
        <v>65584162.038627408</v>
      </c>
      <c r="EL830" s="201">
        <f>'Detailed Budget'!$AC$206</f>
        <v>11253043126.882994</v>
      </c>
      <c r="EM830" s="269">
        <f t="shared" si="2191"/>
        <v>16396040.509656852</v>
      </c>
      <c r="EN830" s="269">
        <f t="shared" si="2154"/>
        <v>81980202.548284262</v>
      </c>
      <c r="EO830" s="140">
        <f>'Detailed Budget'!$AC$209</f>
        <v>135789361677.54817</v>
      </c>
      <c r="EP830" s="269">
        <f t="shared" si="2192"/>
        <v>232445170.4450101</v>
      </c>
      <c r="EQ830" s="196">
        <f>'Detailed Budget'!$AC$211</f>
        <v>33947340419.387043</v>
      </c>
      <c r="ER830" s="269">
        <f t="shared" si="2193"/>
        <v>58111292.611252524</v>
      </c>
      <c r="ES830" s="269">
        <f t="shared" si="2155"/>
        <v>290556463.05626261</v>
      </c>
      <c r="ET830" s="196">
        <f>'Detailed Budget'!$AC$214</f>
        <v>22239745544.201103</v>
      </c>
      <c r="EU830" s="269">
        <f t="shared" si="2194"/>
        <v>36972648.909072228</v>
      </c>
      <c r="EV830" s="140">
        <f>'Detailed Budget'!$AC$217</f>
        <v>5559936386.0502758</v>
      </c>
      <c r="EW830" s="269">
        <f t="shared" si="2195"/>
        <v>9243162.2272680569</v>
      </c>
      <c r="EX830" s="269">
        <f t="shared" si="2156"/>
        <v>46215811.136340283</v>
      </c>
      <c r="EY830" s="196">
        <f>'Detailed Budget'!$AC$219</f>
        <v>372777004.58170313</v>
      </c>
      <c r="EZ830" s="269">
        <f t="shared" si="2196"/>
        <v>648772.04232208489</v>
      </c>
      <c r="FA830" s="196">
        <f>'Detailed Budget'!$AC$222</f>
        <v>93194251.145425782</v>
      </c>
      <c r="FB830" s="269">
        <f t="shared" si="2197"/>
        <v>162193.01058052122</v>
      </c>
      <c r="FC830" s="269">
        <f t="shared" si="2157"/>
        <v>810965.05290260608</v>
      </c>
      <c r="FD830" s="269"/>
      <c r="FE830" s="269">
        <f t="shared" si="2158"/>
        <v>419563441.79378974</v>
      </c>
      <c r="FF830" s="140">
        <f>'Detailed Budget'!$AC$165</f>
        <v>14927760000</v>
      </c>
      <c r="FG830" s="1087">
        <f t="shared" si="2043"/>
        <v>572312307.12769902</v>
      </c>
      <c r="FH830" s="269">
        <f t="shared" si="2198"/>
        <v>20353723.440518126</v>
      </c>
      <c r="FJ830" s="140">
        <f>'Detailed Budget'!$AC$235</f>
        <v>3623696172</v>
      </c>
      <c r="FK830" s="269">
        <f t="shared" si="2199"/>
        <v>4681778</v>
      </c>
      <c r="FL830" s="269">
        <f t="shared" si="2044"/>
        <v>4681778</v>
      </c>
      <c r="FR830" s="269">
        <f>'Detailed Budget'!$AC$257</f>
        <v>13636439388</v>
      </c>
      <c r="FS830" s="269">
        <f t="shared" si="2200"/>
        <v>16988712</v>
      </c>
      <c r="FT830" s="269">
        <f t="shared" si="2045"/>
        <v>16988712</v>
      </c>
      <c r="FU830" s="269"/>
      <c r="FV830" s="269"/>
      <c r="FW830" s="269"/>
      <c r="FX830" s="140">
        <f>'Detailed Budget'!$AC$278</f>
        <v>1114560000</v>
      </c>
      <c r="FY830" s="269">
        <f t="shared" si="2201"/>
        <v>1440000</v>
      </c>
      <c r="FZ830" s="269">
        <f t="shared" si="2216"/>
        <v>1440000</v>
      </c>
      <c r="GB830" s="269">
        <f t="shared" si="2094"/>
        <v>1812192498.2451203</v>
      </c>
      <c r="GC830" s="887">
        <f t="shared" si="2159"/>
        <v>1132620.3114032003</v>
      </c>
      <c r="GD830" s="1078">
        <f t="shared" si="2095"/>
        <v>1.0168782750814935E-3</v>
      </c>
    </row>
    <row r="831" spans="1:186" hidden="1" outlineLevel="1">
      <c r="A831" s="211" t="s">
        <v>1733</v>
      </c>
      <c r="B831" s="212" t="s">
        <v>1734</v>
      </c>
      <c r="C831" s="213" t="s">
        <v>215</v>
      </c>
      <c r="D831" s="214"/>
      <c r="E831" s="213"/>
      <c r="F831" s="213"/>
      <c r="G831" s="213" t="s">
        <v>215</v>
      </c>
      <c r="H831" s="213" t="s">
        <v>215</v>
      </c>
      <c r="I831" s="214" t="s">
        <v>215</v>
      </c>
      <c r="J831" s="214"/>
      <c r="K831" s="213"/>
      <c r="L831" s="213"/>
      <c r="M831" s="214"/>
      <c r="N831" s="213" t="s">
        <v>215</v>
      </c>
      <c r="O831" s="214"/>
      <c r="P831" s="213"/>
      <c r="Q831" s="214"/>
      <c r="R831" s="214" t="s">
        <v>215</v>
      </c>
      <c r="S831" s="214"/>
      <c r="T831" s="214"/>
      <c r="U831" s="215">
        <f t="shared" si="2099"/>
        <v>6</v>
      </c>
      <c r="V831" s="845" t="s">
        <v>216</v>
      </c>
      <c r="W831" s="216">
        <v>168246</v>
      </c>
      <c r="X831" s="217">
        <v>3.35</v>
      </c>
      <c r="Y831" s="218">
        <f t="shared" si="2170"/>
        <v>1.0335000000000001</v>
      </c>
      <c r="Z831" s="196">
        <v>19</v>
      </c>
      <c r="AA831" s="218">
        <f t="shared" si="2171"/>
        <v>1.8702477386515275</v>
      </c>
      <c r="AB831" s="196">
        <f t="shared" si="2175"/>
        <v>314661.70103716489</v>
      </c>
      <c r="AC831">
        <v>12.8</v>
      </c>
      <c r="AD831" s="196">
        <f t="shared" si="2176"/>
        <v>40276.697732757108</v>
      </c>
      <c r="AE831" s="196">
        <f t="shared" si="2172"/>
        <v>38262.862846119249</v>
      </c>
      <c r="AF831" s="196">
        <f t="shared" si="2202"/>
        <v>0</v>
      </c>
      <c r="AG831" s="606"/>
      <c r="AH831" s="196">
        <f t="shared" si="2217"/>
        <v>15733.085051858245</v>
      </c>
      <c r="AI831" s="248">
        <f t="shared" si="2141"/>
        <v>1.2188182610152047E-3</v>
      </c>
      <c r="AJ831" s="196">
        <f t="shared" si="2142"/>
        <v>56009.782784615352</v>
      </c>
      <c r="AK831" s="196">
        <f t="shared" si="2173"/>
        <v>12586.468041486596</v>
      </c>
      <c r="AL831" s="196">
        <f t="shared" si="2174"/>
        <v>12586.468041486596</v>
      </c>
      <c r="AM831" s="196">
        <f t="shared" si="2143"/>
        <v>25172.936082973192</v>
      </c>
      <c r="AN831" s="627">
        <f t="shared" si="2144"/>
        <v>1.2188182610152047E-3</v>
      </c>
      <c r="AO831" s="196">
        <f t="shared" si="2145"/>
        <v>11957.144639412265</v>
      </c>
      <c r="AP831" s="589">
        <f t="shared" si="2163"/>
        <v>1.2188182610152047E-3</v>
      </c>
      <c r="AQ831" s="589"/>
      <c r="AR831" s="589"/>
      <c r="AS831">
        <v>1</v>
      </c>
      <c r="AT831" s="589">
        <f t="shared" si="2164"/>
        <v>1.2919896640826874E-3</v>
      </c>
      <c r="AU831" s="196">
        <v>10</v>
      </c>
      <c r="AV831" s="245">
        <f t="shared" si="2146"/>
        <v>1.1362345188046814E-3</v>
      </c>
      <c r="AX831" s="245"/>
      <c r="AY831" s="245"/>
      <c r="AZ831" s="196">
        <v>24</v>
      </c>
      <c r="BA831" s="589">
        <f t="shared" si="2073"/>
        <v>8.7941079476750578E-4</v>
      </c>
      <c r="BI831" s="196">
        <v>0</v>
      </c>
      <c r="BK831" s="246">
        <f t="shared" si="2074"/>
        <v>0</v>
      </c>
      <c r="BL831" s="246"/>
      <c r="BM831" s="246">
        <f t="shared" si="2075"/>
        <v>0</v>
      </c>
      <c r="BN831" s="196">
        <v>1</v>
      </c>
      <c r="BO831" s="196">
        <f t="shared" si="2203"/>
        <v>20239.168541496085</v>
      </c>
      <c r="BP831" s="196">
        <f t="shared" si="2147"/>
        <v>20239.168541496085</v>
      </c>
      <c r="BQ831" s="248">
        <f t="shared" si="2077"/>
        <v>1.8932799683495022E-3</v>
      </c>
      <c r="BR831" s="248"/>
      <c r="BS831" s="248"/>
      <c r="BT831" s="276">
        <v>0</v>
      </c>
      <c r="BU831" s="196">
        <f t="shared" si="2218"/>
        <v>0</v>
      </c>
      <c r="BV831" s="264">
        <f t="shared" si="2079"/>
        <v>0</v>
      </c>
      <c r="BW831" s="196">
        <f t="shared" si="2219"/>
        <v>0</v>
      </c>
      <c r="BX831" s="247">
        <f t="shared" si="2081"/>
        <v>0</v>
      </c>
      <c r="BY831" s="196">
        <f t="shared" si="2204"/>
        <v>0</v>
      </c>
      <c r="BZ831" s="620">
        <v>1</v>
      </c>
      <c r="CA831" s="196">
        <f t="shared" si="2205"/>
        <v>96286.48051737246</v>
      </c>
      <c r="CB831" s="196">
        <f t="shared" si="2206"/>
        <v>192572.96103474492</v>
      </c>
      <c r="CC831" s="196">
        <f t="shared" si="2160"/>
        <v>288859.44155211735</v>
      </c>
      <c r="CD831" s="247">
        <f t="shared" si="2148"/>
        <v>1.2188182610152047E-3</v>
      </c>
      <c r="CE831" s="196">
        <f t="shared" si="2207"/>
        <v>24282.979412227265</v>
      </c>
      <c r="CF831" s="247">
        <f t="shared" si="2149"/>
        <v>1.0486145697665575E-3</v>
      </c>
      <c r="CG831" s="196">
        <f t="shared" si="2179"/>
        <v>47828.57855764906</v>
      </c>
      <c r="CH831" s="589">
        <f t="shared" si="2165"/>
        <v>1.2188182610152047E-3</v>
      </c>
      <c r="CI831" s="271">
        <f t="shared" si="2208"/>
        <v>70398.513743770702</v>
      </c>
      <c r="CJ831" s="248">
        <f t="shared" si="2166"/>
        <v>1.1573513872525361E-3</v>
      </c>
      <c r="CK831" s="271">
        <f t="shared" si="2209"/>
        <v>94588.197603796085</v>
      </c>
      <c r="CL831" s="589">
        <f t="shared" si="2167"/>
        <v>1.3597247965167509E-3</v>
      </c>
      <c r="CM831" s="271">
        <f t="shared" si="2210"/>
        <v>9163.2336212500213</v>
      </c>
      <c r="CN831" s="589">
        <f t="shared" si="2168"/>
        <v>1.3205261017746191E-3</v>
      </c>
      <c r="CO831" s="271">
        <f t="shared" si="2211"/>
        <v>733.04904273118802</v>
      </c>
      <c r="CP831" s="589">
        <f t="shared" si="2169"/>
        <v>1.3824175842524092E-3</v>
      </c>
      <c r="CQ831" s="196">
        <f>'Detailed Budget'!$AC$12</f>
        <v>292876014141.44696</v>
      </c>
      <c r="CR831" s="269">
        <f t="shared" si="2177"/>
        <v>0</v>
      </c>
      <c r="CS831" s="269">
        <f>'Detailed Budget'!$AC$16</f>
        <v>10488008800.000002</v>
      </c>
      <c r="CT831" s="607">
        <f t="shared" si="2181"/>
        <v>0</v>
      </c>
      <c r="CU831" s="269">
        <f>'Detailed Budget'!$AC$24</f>
        <v>30624985696</v>
      </c>
      <c r="CV831" s="269">
        <f t="shared" si="2050"/>
        <v>0</v>
      </c>
      <c r="CW831" s="269"/>
      <c r="CX831" s="269">
        <f t="shared" si="2161"/>
        <v>0</v>
      </c>
      <c r="CY831" s="196">
        <f>'Detailed Budget'!$AC$97</f>
        <v>74629165494.837845</v>
      </c>
      <c r="CZ831" s="269">
        <f t="shared" si="2182"/>
        <v>141293904.08601636</v>
      </c>
      <c r="DA831" s="269">
        <f>'Detailed Budget'!$AC$100</f>
        <v>14925833098.967569</v>
      </c>
      <c r="DB831" s="269">
        <f t="shared" si="2183"/>
        <v>28258780.817203272</v>
      </c>
      <c r="DC831" s="269">
        <f t="shared" si="2150"/>
        <v>169552684.90321964</v>
      </c>
      <c r="DD831" s="207">
        <v>0</v>
      </c>
      <c r="DE831" s="606">
        <v>0</v>
      </c>
      <c r="DF831" s="269">
        <f>'Detailed Budget'!$AC$147</f>
        <v>5913600671000</v>
      </c>
      <c r="DG831" s="269">
        <f t="shared" si="2042"/>
        <v>0</v>
      </c>
      <c r="DH831" s="269"/>
      <c r="DI831" s="269"/>
      <c r="DJ831" s="269"/>
      <c r="DK831" s="269"/>
      <c r="DL831" s="269"/>
      <c r="DM831" s="196">
        <f>'Detailed Budget'!$AC$178</f>
        <v>5622683761.6229038</v>
      </c>
      <c r="DN831" s="269">
        <f t="shared" si="2212"/>
        <v>0</v>
      </c>
      <c r="DO831" s="196">
        <f>'Detailed Budget'!$AC$179</f>
        <v>26827890683.128094</v>
      </c>
      <c r="DP831" s="269">
        <f t="shared" si="2213"/>
        <v>0</v>
      </c>
      <c r="DQ831" s="269">
        <f t="shared" si="2041"/>
        <v>0</v>
      </c>
      <c r="DR831" s="269">
        <f>'Detailed Budget'!$AC$181</f>
        <v>50888946855.375237</v>
      </c>
      <c r="DS831" s="269">
        <f t="shared" si="2214"/>
        <v>0</v>
      </c>
      <c r="DT831" s="269">
        <f t="shared" si="2215"/>
        <v>0</v>
      </c>
      <c r="DU831" s="272">
        <f>'Detailed Budget'!$AC$192</f>
        <v>77498869683.252869</v>
      </c>
      <c r="DV831" s="269">
        <f t="shared" si="2184"/>
        <v>94457037.577986225</v>
      </c>
      <c r="DW831" s="140">
        <f>'Detailed Budget'!$AC$194</f>
        <v>2684962805.4134097</v>
      </c>
      <c r="DX831" s="269">
        <f t="shared" si="2185"/>
        <v>3272481.6973844771</v>
      </c>
      <c r="DY831" s="607">
        <f t="shared" si="2151"/>
        <v>97729519.275370702</v>
      </c>
      <c r="DZ831" s="196">
        <f>'Detailed Budget'!$AC$198</f>
        <v>18732540018.380611</v>
      </c>
      <c r="EA831" s="269">
        <f t="shared" si="2186"/>
        <v>19643214.392009005</v>
      </c>
      <c r="EB831" s="196">
        <f>'Detailed Budget'!$AC$200</f>
        <v>4683135004.5951529</v>
      </c>
      <c r="EC831" s="269">
        <f t="shared" si="2187"/>
        <v>4910803.5980022512</v>
      </c>
      <c r="ED831" s="269">
        <f t="shared" si="2152"/>
        <v>24554017.990011256</v>
      </c>
      <c r="EE831" s="196">
        <f>'Detailed Budget'!$AC$161</f>
        <v>251147290106.36197</v>
      </c>
      <c r="EF831" s="269">
        <f t="shared" si="2188"/>
        <v>306102903.38611722</v>
      </c>
      <c r="EG831" s="196">
        <f>'Detailed Budget'!$AC$163</f>
        <v>15696705631.647623</v>
      </c>
      <c r="EH831" s="269">
        <f t="shared" si="2189"/>
        <v>19131431.461632326</v>
      </c>
      <c r="EI831" s="269">
        <f t="shared" si="2153"/>
        <v>325234334.84774953</v>
      </c>
      <c r="EJ831" s="196">
        <f>'Detailed Budget'!$AC$204</f>
        <v>45012172507.531975</v>
      </c>
      <c r="EK831" s="269">
        <f t="shared" si="2190"/>
        <v>52094900.294842593</v>
      </c>
      <c r="EL831" s="201">
        <f>'Detailed Budget'!$AC$206</f>
        <v>11253043126.882994</v>
      </c>
      <c r="EM831" s="269">
        <f t="shared" si="2191"/>
        <v>13023725.073710648</v>
      </c>
      <c r="EN831" s="269">
        <f t="shared" si="2154"/>
        <v>65118625.368553244</v>
      </c>
      <c r="EO831" s="140">
        <f>'Detailed Budget'!$AC$209</f>
        <v>135789361677.54817</v>
      </c>
      <c r="EP831" s="269">
        <f t="shared" si="2192"/>
        <v>184636162.17614368</v>
      </c>
      <c r="EQ831" s="196">
        <f>'Detailed Budget'!$AC$211</f>
        <v>33947340419.387043</v>
      </c>
      <c r="ER831" s="269">
        <f t="shared" si="2193"/>
        <v>46159040.544035919</v>
      </c>
      <c r="ES831" s="269">
        <f t="shared" si="2155"/>
        <v>230795202.72017959</v>
      </c>
      <c r="ET831" s="196">
        <f>'Detailed Budget'!$AC$214</f>
        <v>22239745544.201103</v>
      </c>
      <c r="EU831" s="269">
        <f t="shared" si="2194"/>
        <v>29368164.48794334</v>
      </c>
      <c r="EV831" s="140">
        <f>'Detailed Budget'!$AC$217</f>
        <v>5559936386.0502758</v>
      </c>
      <c r="EW831" s="269">
        <f t="shared" si="2195"/>
        <v>7342041.121985835</v>
      </c>
      <c r="EX831" s="269">
        <f t="shared" si="2156"/>
        <v>36710205.609929174</v>
      </c>
      <c r="EY831" s="196">
        <f>'Detailed Budget'!$AC$219</f>
        <v>372777004.58170313</v>
      </c>
      <c r="EZ831" s="269">
        <f t="shared" si="2196"/>
        <v>515333.48613868729</v>
      </c>
      <c r="FA831" s="196">
        <f>'Detailed Budget'!$AC$222</f>
        <v>93194251.145425782</v>
      </c>
      <c r="FB831" s="269">
        <f t="shared" si="2197"/>
        <v>128833.37153467182</v>
      </c>
      <c r="FC831" s="269">
        <f t="shared" si="2157"/>
        <v>644166.8576733591</v>
      </c>
      <c r="FD831" s="269"/>
      <c r="FE831" s="269">
        <f t="shared" si="2158"/>
        <v>333268200.55633539</v>
      </c>
      <c r="FF831" s="140">
        <f>'Detailed Budget'!$AC$165</f>
        <v>14927760000</v>
      </c>
      <c r="FG831" s="1087">
        <f t="shared" si="2043"/>
        <v>454599885.86526126</v>
      </c>
      <c r="FH831" s="269">
        <f t="shared" si="2198"/>
        <v>16961436.200431772</v>
      </c>
      <c r="FJ831" s="140">
        <f>'Detailed Budget'!$AC$235</f>
        <v>3623696172</v>
      </c>
      <c r="FK831" s="269">
        <f t="shared" si="2199"/>
        <v>4681778</v>
      </c>
      <c r="FL831" s="269">
        <f t="shared" si="2044"/>
        <v>4681778</v>
      </c>
      <c r="FR831" s="269">
        <f>'Detailed Budget'!$AC$257</f>
        <v>13636439388</v>
      </c>
      <c r="FS831" s="269">
        <f t="shared" si="2200"/>
        <v>11992032</v>
      </c>
      <c r="FT831" s="269">
        <f t="shared" si="2045"/>
        <v>11992032</v>
      </c>
      <c r="FU831" s="269"/>
      <c r="FV831" s="269"/>
      <c r="FW831" s="269"/>
      <c r="FX831" s="140">
        <f>'Detailed Budget'!$AC$278</f>
        <v>1114560000</v>
      </c>
      <c r="FY831" s="269">
        <f t="shared" si="2201"/>
        <v>1440000</v>
      </c>
      <c r="FZ831" s="269">
        <f t="shared" si="2216"/>
        <v>1440000</v>
      </c>
      <c r="GB831" s="269">
        <f t="shared" si="2094"/>
        <v>1440013889.6383798</v>
      </c>
      <c r="GC831" s="887">
        <f t="shared" si="2159"/>
        <v>900008.68102398736</v>
      </c>
      <c r="GD831" s="1078">
        <f t="shared" si="2095"/>
        <v>8.0803713822172633E-4</v>
      </c>
    </row>
    <row r="832" spans="1:186" hidden="1" outlineLevel="1">
      <c r="A832" s="211" t="s">
        <v>1735</v>
      </c>
      <c r="B832" s="212" t="s">
        <v>1736</v>
      </c>
      <c r="C832" s="213" t="s">
        <v>215</v>
      </c>
      <c r="D832" s="214"/>
      <c r="E832" s="213"/>
      <c r="F832" s="213"/>
      <c r="G832" s="213" t="s">
        <v>215</v>
      </c>
      <c r="H832" s="213" t="s">
        <v>215</v>
      </c>
      <c r="I832" s="214" t="s">
        <v>215</v>
      </c>
      <c r="J832" s="214"/>
      <c r="K832" s="213"/>
      <c r="L832" s="213"/>
      <c r="M832" s="214" t="s">
        <v>215</v>
      </c>
      <c r="N832" s="213"/>
      <c r="O832" s="214"/>
      <c r="P832" s="213"/>
      <c r="Q832" s="214"/>
      <c r="R832" s="214" t="s">
        <v>215</v>
      </c>
      <c r="S832" s="214"/>
      <c r="T832" s="214"/>
      <c r="U832" s="215">
        <f t="shared" si="2099"/>
        <v>6</v>
      </c>
      <c r="V832" s="845" t="s">
        <v>216</v>
      </c>
      <c r="W832" s="216">
        <v>109965</v>
      </c>
      <c r="X832" s="217">
        <v>3.35</v>
      </c>
      <c r="Y832" s="218">
        <f t="shared" si="2170"/>
        <v>1.0335000000000001</v>
      </c>
      <c r="Z832" s="196">
        <v>19</v>
      </c>
      <c r="AA832" s="218">
        <f t="shared" si="2171"/>
        <v>1.8702477386515275</v>
      </c>
      <c r="AB832" s="196">
        <f t="shared" si="2175"/>
        <v>205661.79258081521</v>
      </c>
      <c r="AC832">
        <v>12.8</v>
      </c>
      <c r="AD832" s="196">
        <f t="shared" si="2176"/>
        <v>26324.709450344351</v>
      </c>
      <c r="AE832" s="196">
        <f t="shared" si="2172"/>
        <v>25008.473977827132</v>
      </c>
      <c r="AF832" s="196">
        <f t="shared" si="2202"/>
        <v>0</v>
      </c>
      <c r="AG832" s="606"/>
      <c r="AH832" s="196">
        <f t="shared" si="2217"/>
        <v>10283.089629040762</v>
      </c>
      <c r="AI832" s="248">
        <f t="shared" si="2141"/>
        <v>7.9661537315916576E-4</v>
      </c>
      <c r="AJ832" s="196">
        <f t="shared" si="2142"/>
        <v>36607.799079385113</v>
      </c>
      <c r="AK832" s="196">
        <f t="shared" si="2173"/>
        <v>8226.471703232608</v>
      </c>
      <c r="AL832" s="196">
        <f t="shared" si="2174"/>
        <v>8226.471703232608</v>
      </c>
      <c r="AM832" s="196">
        <f t="shared" si="2143"/>
        <v>16452.943406465216</v>
      </c>
      <c r="AN832" s="627">
        <f t="shared" si="2144"/>
        <v>7.9661537315916554E-4</v>
      </c>
      <c r="AO832" s="196">
        <f t="shared" si="2145"/>
        <v>7815.1481180709779</v>
      </c>
      <c r="AP832" s="589">
        <f t="shared" si="2163"/>
        <v>7.9661537315916565E-4</v>
      </c>
      <c r="AQ832" s="589"/>
      <c r="AR832" s="589"/>
      <c r="AS832">
        <v>1</v>
      </c>
      <c r="AT832" s="589">
        <f t="shared" si="2164"/>
        <v>1.2919896640826874E-3</v>
      </c>
      <c r="AU832" s="196">
        <v>10</v>
      </c>
      <c r="AV832" s="245">
        <f t="shared" si="2146"/>
        <v>1.1362345188046814E-3</v>
      </c>
      <c r="AX832" s="245"/>
      <c r="AY832" s="245"/>
      <c r="AZ832" s="196">
        <v>25</v>
      </c>
      <c r="BA832" s="589">
        <f t="shared" si="2073"/>
        <v>9.1605291121615189E-4</v>
      </c>
      <c r="BI832" s="196">
        <v>0</v>
      </c>
      <c r="BK832" s="246">
        <f t="shared" si="2074"/>
        <v>0</v>
      </c>
      <c r="BL832" s="246"/>
      <c r="BM832" s="246">
        <f t="shared" si="2075"/>
        <v>0</v>
      </c>
      <c r="BN832" s="196">
        <v>1</v>
      </c>
      <c r="BO832" s="196">
        <f t="shared" si="2203"/>
        <v>13228.25011391425</v>
      </c>
      <c r="BP832" s="196">
        <f t="shared" si="2147"/>
        <v>13228.25011391425</v>
      </c>
      <c r="BQ832" s="248">
        <f t="shared" si="2077"/>
        <v>1.2374411975295283E-3</v>
      </c>
      <c r="BR832" s="248"/>
      <c r="BS832" s="248"/>
      <c r="BT832" s="276">
        <v>0</v>
      </c>
      <c r="BU832" s="196">
        <f t="shared" si="2218"/>
        <v>0</v>
      </c>
      <c r="BV832" s="264">
        <f t="shared" si="2079"/>
        <v>0</v>
      </c>
      <c r="BW832" s="196">
        <f t="shared" si="2219"/>
        <v>0</v>
      </c>
      <c r="BX832" s="247">
        <f t="shared" si="2081"/>
        <v>0</v>
      </c>
      <c r="BY832" s="196">
        <f t="shared" si="2204"/>
        <v>0</v>
      </c>
      <c r="BZ832" s="620">
        <v>1</v>
      </c>
      <c r="CA832" s="196">
        <f t="shared" si="2205"/>
        <v>62932.50852972945</v>
      </c>
      <c r="CB832" s="196">
        <f t="shared" si="2206"/>
        <v>125865.0170594589</v>
      </c>
      <c r="CC832" s="196">
        <f t="shared" si="2160"/>
        <v>188797.52558918836</v>
      </c>
      <c r="CD832" s="247">
        <f t="shared" si="2148"/>
        <v>7.9661537315916565E-4</v>
      </c>
      <c r="CE832" s="196">
        <f t="shared" si="2207"/>
        <v>15871.270824064593</v>
      </c>
      <c r="CF832" s="247">
        <f t="shared" si="2149"/>
        <v>6.8537083297302468E-4</v>
      </c>
      <c r="CG832" s="196">
        <f t="shared" si="2179"/>
        <v>31260.592472283912</v>
      </c>
      <c r="CH832" s="589">
        <f t="shared" si="2165"/>
        <v>7.9661537315916565E-4</v>
      </c>
      <c r="CI832" s="271">
        <f t="shared" si="2208"/>
        <v>46012.22355261787</v>
      </c>
      <c r="CJ832" s="248">
        <f t="shared" si="2166"/>
        <v>7.5644083841057235E-4</v>
      </c>
      <c r="CK832" s="271">
        <f t="shared" si="2209"/>
        <v>61822.516728489456</v>
      </c>
      <c r="CL832" s="589">
        <f t="shared" si="2167"/>
        <v>8.8871139432119943E-4</v>
      </c>
      <c r="CM832" s="271">
        <f t="shared" si="2210"/>
        <v>5989.0576011361854</v>
      </c>
      <c r="CN832" s="589">
        <f t="shared" si="2168"/>
        <v>8.6309126387341159E-4</v>
      </c>
      <c r="CO832" s="271">
        <f t="shared" si="2211"/>
        <v>479.11830286565566</v>
      </c>
      <c r="CP832" s="589">
        <f t="shared" si="2169"/>
        <v>9.0354332140030788E-4</v>
      </c>
      <c r="CQ832" s="196">
        <f>'Detailed Budget'!$AC$12</f>
        <v>292876014141.44696</v>
      </c>
      <c r="CR832" s="269">
        <f t="shared" si="2177"/>
        <v>0</v>
      </c>
      <c r="CS832" s="269">
        <f>'Detailed Budget'!$AC$16</f>
        <v>10488008800.000002</v>
      </c>
      <c r="CT832" s="607">
        <f t="shared" si="2181"/>
        <v>0</v>
      </c>
      <c r="CU832" s="269">
        <f>'Detailed Budget'!$AC$24</f>
        <v>30624985696</v>
      </c>
      <c r="CV832" s="269">
        <f t="shared" si="2050"/>
        <v>0</v>
      </c>
      <c r="CW832" s="269"/>
      <c r="CX832" s="269">
        <f t="shared" si="2161"/>
        <v>0</v>
      </c>
      <c r="CY832" s="196">
        <f>'Detailed Budget'!$AC$97</f>
        <v>74629165494.837845</v>
      </c>
      <c r="CZ832" s="269">
        <f t="shared" si="2182"/>
        <v>92349203.920561492</v>
      </c>
      <c r="DA832" s="269">
        <f>'Detailed Budget'!$AC$100</f>
        <v>14925833098.967569</v>
      </c>
      <c r="DB832" s="269">
        <f t="shared" si="2183"/>
        <v>18469840.784112297</v>
      </c>
      <c r="DC832" s="269">
        <f t="shared" si="2150"/>
        <v>110819044.7046738</v>
      </c>
      <c r="DD832" s="207">
        <v>0</v>
      </c>
      <c r="DE832" s="606">
        <v>0</v>
      </c>
      <c r="DF832" s="269">
        <f>'Detailed Budget'!$AC$147</f>
        <v>5913600671000</v>
      </c>
      <c r="DG832" s="269">
        <f t="shared" si="2042"/>
        <v>0</v>
      </c>
      <c r="DH832" s="269"/>
      <c r="DI832" s="269"/>
      <c r="DJ832" s="269"/>
      <c r="DK832" s="269"/>
      <c r="DL832" s="269"/>
      <c r="DM832" s="196">
        <f>'Detailed Budget'!$AC$178</f>
        <v>5622683761.6229038</v>
      </c>
      <c r="DN832" s="269">
        <f t="shared" si="2212"/>
        <v>0</v>
      </c>
      <c r="DO832" s="196">
        <f>'Detailed Budget'!$AC$179</f>
        <v>26827890683.128094</v>
      </c>
      <c r="DP832" s="269">
        <f t="shared" si="2213"/>
        <v>0</v>
      </c>
      <c r="DQ832" s="269">
        <f t="shared" ref="DQ832:DQ861" si="2220">DN832+DP832</f>
        <v>0</v>
      </c>
      <c r="DR832" s="269">
        <f>'Detailed Budget'!$AC$181</f>
        <v>50888946855.375237</v>
      </c>
      <c r="DS832" s="269">
        <f t="shared" si="2214"/>
        <v>0</v>
      </c>
      <c r="DT832" s="269">
        <f t="shared" si="2215"/>
        <v>0</v>
      </c>
      <c r="DU832" s="272">
        <f>'Detailed Budget'!$AC$192</f>
        <v>77498869683.252869</v>
      </c>
      <c r="DV832" s="269">
        <f t="shared" si="2184"/>
        <v>61736790.992138036</v>
      </c>
      <c r="DW832" s="140">
        <f>'Detailed Budget'!$AC$194</f>
        <v>2684962805.4134097</v>
      </c>
      <c r="DX832" s="269">
        <f t="shared" si="2185"/>
        <v>2138882.6471528835</v>
      </c>
      <c r="DY832" s="607">
        <f t="shared" si="2151"/>
        <v>63875673.639290921</v>
      </c>
      <c r="DZ832" s="196">
        <f>'Detailed Budget'!$AC$198</f>
        <v>18732540018.380611</v>
      </c>
      <c r="EA832" s="269">
        <f t="shared" si="2186"/>
        <v>12838736.556098038</v>
      </c>
      <c r="EB832" s="196">
        <f>'Detailed Budget'!$AC$200</f>
        <v>4683135004.5951529</v>
      </c>
      <c r="EC832" s="269">
        <f t="shared" si="2187"/>
        <v>3209684.1390245096</v>
      </c>
      <c r="ED832" s="269">
        <f t="shared" si="2152"/>
        <v>16048420.695122547</v>
      </c>
      <c r="EE832" s="196">
        <f>'Detailed Budget'!$AC$161</f>
        <v>251147290106.36197</v>
      </c>
      <c r="EF832" s="269">
        <f t="shared" si="2188"/>
        <v>200067792.22599277</v>
      </c>
      <c r="EG832" s="196">
        <f>'Detailed Budget'!$AC$163</f>
        <v>15696705631.647623</v>
      </c>
      <c r="EH832" s="269">
        <f t="shared" si="2189"/>
        <v>12504237.014124548</v>
      </c>
      <c r="EI832" s="269">
        <f t="shared" si="2153"/>
        <v>212572029.24011731</v>
      </c>
      <c r="EJ832" s="196">
        <f>'Detailed Budget'!$AC$204</f>
        <v>45012172507.531975</v>
      </c>
      <c r="EK832" s="269">
        <f t="shared" si="2190"/>
        <v>34049045.510278799</v>
      </c>
      <c r="EL832" s="201">
        <f>'Detailed Budget'!$AC$206</f>
        <v>11253043126.882994</v>
      </c>
      <c r="EM832" s="269">
        <f t="shared" si="2191"/>
        <v>8512261.3775696997</v>
      </c>
      <c r="EN832" s="269">
        <f t="shared" si="2154"/>
        <v>42561306.887848496</v>
      </c>
      <c r="EO832" s="140">
        <f>'Detailed Budget'!$AC$209</f>
        <v>135789361677.54817</v>
      </c>
      <c r="EP832" s="269">
        <f t="shared" si="2192"/>
        <v>120677552.95043948</v>
      </c>
      <c r="EQ832" s="196">
        <f>'Detailed Budget'!$AC$211</f>
        <v>33947340419.387043</v>
      </c>
      <c r="ER832" s="269">
        <f t="shared" si="2193"/>
        <v>30169388.237609871</v>
      </c>
      <c r="ES832" s="269">
        <f t="shared" si="2155"/>
        <v>150846941.18804935</v>
      </c>
      <c r="ET832" s="196">
        <f>'Detailed Budget'!$AC$214</f>
        <v>22239745544.201103</v>
      </c>
      <c r="EU832" s="269">
        <f t="shared" si="2194"/>
        <v>19194930.089967605</v>
      </c>
      <c r="EV832" s="140">
        <f>'Detailed Budget'!$AC$217</f>
        <v>5559936386.0502758</v>
      </c>
      <c r="EW832" s="269">
        <f t="shared" si="2195"/>
        <v>4798732.5224919012</v>
      </c>
      <c r="EX832" s="269">
        <f t="shared" si="2156"/>
        <v>23993662.612459507</v>
      </c>
      <c r="EY832" s="196">
        <f>'Detailed Budget'!$AC$219</f>
        <v>372777004.58170313</v>
      </c>
      <c r="EZ832" s="269">
        <f t="shared" si="2196"/>
        <v>336820.17286140984</v>
      </c>
      <c r="FA832" s="196">
        <f>'Detailed Budget'!$AC$222</f>
        <v>93194251.145425782</v>
      </c>
      <c r="FB832" s="269">
        <f t="shared" si="2197"/>
        <v>84205.04321535246</v>
      </c>
      <c r="FC832" s="269">
        <f t="shared" si="2157"/>
        <v>421025.2160767623</v>
      </c>
      <c r="FD832" s="269"/>
      <c r="FE832" s="269">
        <f t="shared" si="2158"/>
        <v>217822935.90443411</v>
      </c>
      <c r="FF832" s="140">
        <f>'Detailed Budget'!$AC$165</f>
        <v>14927760000</v>
      </c>
      <c r="FG832" s="1087">
        <f t="shared" si="2043"/>
        <v>297124903.11314058</v>
      </c>
      <c r="FH832" s="269">
        <f t="shared" si="2198"/>
        <v>16961436.200431772</v>
      </c>
      <c r="FJ832" s="140">
        <f>'Detailed Budget'!$AC$235</f>
        <v>3623696172</v>
      </c>
      <c r="FK832" s="269">
        <f t="shared" si="2199"/>
        <v>4681778</v>
      </c>
      <c r="FL832" s="269">
        <f t="shared" si="2044"/>
        <v>4681778</v>
      </c>
      <c r="FR832" s="269">
        <f>'Detailed Budget'!$AC$257</f>
        <v>13636439388</v>
      </c>
      <c r="FS832" s="269">
        <f t="shared" si="2200"/>
        <v>12491700</v>
      </c>
      <c r="FT832" s="269">
        <f t="shared" si="2045"/>
        <v>12491700</v>
      </c>
      <c r="FU832" s="269"/>
      <c r="FV832" s="269"/>
      <c r="FW832" s="269"/>
      <c r="FX832" s="140">
        <f>'Detailed Budget'!$AC$278</f>
        <v>1114560000</v>
      </c>
      <c r="FY832" s="269">
        <f t="shared" si="2201"/>
        <v>1440000</v>
      </c>
      <c r="FZ832" s="269">
        <f t="shared" si="2216"/>
        <v>1440000</v>
      </c>
      <c r="GB832" s="269">
        <f t="shared" si="2094"/>
        <v>953837921.4972111</v>
      </c>
      <c r="GC832" s="887">
        <f t="shared" si="2159"/>
        <v>596148.7009357569</v>
      </c>
      <c r="GD832" s="1078">
        <f t="shared" si="2095"/>
        <v>5.3522849325260023E-4</v>
      </c>
    </row>
    <row r="833" spans="1:186" hidden="1" outlineLevel="1">
      <c r="A833" s="211" t="s">
        <v>1737</v>
      </c>
      <c r="B833" s="212" t="s">
        <v>1738</v>
      </c>
      <c r="C833" s="213" t="s">
        <v>215</v>
      </c>
      <c r="D833" s="214"/>
      <c r="E833" s="213"/>
      <c r="F833" s="213"/>
      <c r="G833" s="213" t="s">
        <v>215</v>
      </c>
      <c r="H833" s="213" t="s">
        <v>215</v>
      </c>
      <c r="I833" s="214" t="s">
        <v>215</v>
      </c>
      <c r="J833" s="214"/>
      <c r="K833" s="213"/>
      <c r="L833" s="213"/>
      <c r="M833" s="214"/>
      <c r="N833" s="213"/>
      <c r="O833" s="214" t="s">
        <v>215</v>
      </c>
      <c r="P833" s="213"/>
      <c r="Q833" s="214"/>
      <c r="R833" s="214" t="s">
        <v>215</v>
      </c>
      <c r="S833" s="214"/>
      <c r="T833" s="214"/>
      <c r="U833" s="215">
        <f t="shared" si="2099"/>
        <v>6</v>
      </c>
      <c r="V833" s="845" t="s">
        <v>216</v>
      </c>
      <c r="W833" s="216">
        <v>283643</v>
      </c>
      <c r="X833" s="217">
        <v>3.35</v>
      </c>
      <c r="Y833" s="218">
        <f t="shared" si="2170"/>
        <v>1.0335000000000001</v>
      </c>
      <c r="Z833" s="196">
        <v>19</v>
      </c>
      <c r="AA833" s="218">
        <f t="shared" si="2171"/>
        <v>1.8702477386515275</v>
      </c>
      <c r="AB833" s="196">
        <f t="shared" si="2175"/>
        <v>530482.67933433526</v>
      </c>
      <c r="AC833">
        <v>12.8</v>
      </c>
      <c r="AD833" s="196">
        <f t="shared" si="2176"/>
        <v>67901.782954794908</v>
      </c>
      <c r="AE833" s="196">
        <f t="shared" si="2172"/>
        <v>64506.693807055162</v>
      </c>
      <c r="AF833" s="196">
        <f t="shared" si="2202"/>
        <v>0</v>
      </c>
      <c r="AG833" s="606"/>
      <c r="AH833" s="196">
        <f t="shared" si="2217"/>
        <v>26524.133966716763</v>
      </c>
      <c r="AI833" s="248">
        <f t="shared" si="2141"/>
        <v>2.0547844704131794E-3</v>
      </c>
      <c r="AJ833" s="196">
        <f t="shared" si="2142"/>
        <v>94425.916921511671</v>
      </c>
      <c r="AK833" s="196">
        <f t="shared" si="2173"/>
        <v>21219.30717337341</v>
      </c>
      <c r="AL833" s="196">
        <f t="shared" si="2174"/>
        <v>21219.30717337341</v>
      </c>
      <c r="AM833" s="196">
        <f t="shared" si="2143"/>
        <v>42438.614346746821</v>
      </c>
      <c r="AN833" s="627">
        <f t="shared" si="2144"/>
        <v>2.0547844704131794E-3</v>
      </c>
      <c r="AO833" s="196">
        <f t="shared" si="2145"/>
        <v>20158.341814704738</v>
      </c>
      <c r="AP833" s="589">
        <f t="shared" si="2163"/>
        <v>2.0547844704131789E-3</v>
      </c>
      <c r="AQ833" s="589"/>
      <c r="AR833" s="589"/>
      <c r="AS833">
        <v>1</v>
      </c>
      <c r="AT833" s="589">
        <f t="shared" si="2164"/>
        <v>1.2919896640826874E-3</v>
      </c>
      <c r="AU833" s="196">
        <v>11</v>
      </c>
      <c r="AV833" s="245">
        <f t="shared" si="2146"/>
        <v>1.2498579706851495E-3</v>
      </c>
      <c r="AX833" s="245"/>
      <c r="AY833" s="245"/>
      <c r="AZ833" s="196">
        <v>28</v>
      </c>
      <c r="BA833" s="589">
        <f t="shared" si="2073"/>
        <v>1.0259792605620901E-3</v>
      </c>
      <c r="BI833" s="196">
        <v>0</v>
      </c>
      <c r="BK833" s="246">
        <f t="shared" si="2074"/>
        <v>0</v>
      </c>
      <c r="BL833" s="246"/>
      <c r="BM833" s="246">
        <f t="shared" si="2075"/>
        <v>0</v>
      </c>
      <c r="BN833" s="196">
        <v>1</v>
      </c>
      <c r="BO833" s="196">
        <f t="shared" si="2203"/>
        <v>34120.861611066968</v>
      </c>
      <c r="BP833" s="196">
        <f t="shared" si="2147"/>
        <v>34120.861611066968</v>
      </c>
      <c r="BQ833" s="248">
        <f t="shared" si="2077"/>
        <v>3.1918477114615375E-3</v>
      </c>
      <c r="BR833" s="248"/>
      <c r="BS833" s="248"/>
      <c r="BT833" s="276">
        <v>0</v>
      </c>
      <c r="BU833" s="196">
        <f t="shared" si="2218"/>
        <v>0</v>
      </c>
      <c r="BV833" s="264">
        <f t="shared" si="2079"/>
        <v>0</v>
      </c>
      <c r="BW833" s="196">
        <f t="shared" si="2219"/>
        <v>0</v>
      </c>
      <c r="BX833" s="247">
        <f t="shared" si="2081"/>
        <v>0</v>
      </c>
      <c r="BY833" s="196">
        <f t="shared" si="2204"/>
        <v>0</v>
      </c>
      <c r="BZ833" s="620">
        <v>1</v>
      </c>
      <c r="CA833" s="196">
        <f t="shared" si="2205"/>
        <v>162327.69987630661</v>
      </c>
      <c r="CB833" s="196">
        <f t="shared" si="2206"/>
        <v>324655.39975261322</v>
      </c>
      <c r="CC833" s="196">
        <f t="shared" si="2160"/>
        <v>486983.09962891985</v>
      </c>
      <c r="CD833" s="247">
        <f t="shared" si="2148"/>
        <v>2.0547844704131794E-3</v>
      </c>
      <c r="CE833" s="196">
        <f t="shared" si="2207"/>
        <v>40938.251901515512</v>
      </c>
      <c r="CF833" s="247">
        <f t="shared" si="2149"/>
        <v>1.7678410328465207E-3</v>
      </c>
      <c r="CG833" s="196">
        <f t="shared" si="2179"/>
        <v>80633.367258818951</v>
      </c>
      <c r="CH833" s="589">
        <f t="shared" si="2165"/>
        <v>2.0547844704131789E-3</v>
      </c>
      <c r="CI833" s="271">
        <f t="shared" si="2208"/>
        <v>118683.62774642103</v>
      </c>
      <c r="CJ833" s="248">
        <f t="shared" si="2166"/>
        <v>1.9511585388922834E-3</v>
      </c>
      <c r="CK833" s="271">
        <f t="shared" si="2209"/>
        <v>159464.59430199547</v>
      </c>
      <c r="CL833" s="589">
        <f t="shared" si="2167"/>
        <v>2.292336343558841E-3</v>
      </c>
      <c r="CM833" s="271">
        <f t="shared" si="2210"/>
        <v>15448.135908326021</v>
      </c>
      <c r="CN833" s="589">
        <f t="shared" si="2168"/>
        <v>2.2262519470635754E-3</v>
      </c>
      <c r="CO833" s="271">
        <f t="shared" si="2211"/>
        <v>1235.8346090094408</v>
      </c>
      <c r="CP833" s="589">
        <f t="shared" si="2169"/>
        <v>2.3305937190192107E-3</v>
      </c>
      <c r="CQ833" s="196">
        <f>'Detailed Budget'!$AC$12</f>
        <v>292876014141.44696</v>
      </c>
      <c r="CR833" s="269">
        <f t="shared" si="2177"/>
        <v>0</v>
      </c>
      <c r="CS833" s="269">
        <f>'Detailed Budget'!$AC$16</f>
        <v>10488008800.000002</v>
      </c>
      <c r="CT833" s="607">
        <f t="shared" si="2181"/>
        <v>0</v>
      </c>
      <c r="CU833" s="269">
        <f>'Detailed Budget'!$AC$24</f>
        <v>30624985696</v>
      </c>
      <c r="CV833" s="269">
        <f t="shared" si="2050"/>
        <v>0</v>
      </c>
      <c r="CW833" s="269"/>
      <c r="CX833" s="269">
        <f t="shared" si="2161"/>
        <v>0</v>
      </c>
      <c r="CY833" s="196">
        <f>'Detailed Budget'!$AC$97</f>
        <v>74629165494.837845</v>
      </c>
      <c r="CZ833" s="269">
        <f t="shared" si="2182"/>
        <v>238204931.09298253</v>
      </c>
      <c r="DA833" s="269">
        <f>'Detailed Budget'!$AC$100</f>
        <v>14925833098.967569</v>
      </c>
      <c r="DB833" s="269">
        <f t="shared" si="2183"/>
        <v>47640986.218596503</v>
      </c>
      <c r="DC833" s="269">
        <f t="shared" si="2150"/>
        <v>285845917.31157905</v>
      </c>
      <c r="DD833" s="207">
        <v>0</v>
      </c>
      <c r="DE833" s="606">
        <v>0</v>
      </c>
      <c r="DF833" s="269">
        <f>'Detailed Budget'!$AC$147</f>
        <v>5913600671000</v>
      </c>
      <c r="DG833" s="269">
        <f t="shared" si="2042"/>
        <v>0</v>
      </c>
      <c r="DH833" s="269"/>
      <c r="DI833" s="269"/>
      <c r="DJ833" s="269"/>
      <c r="DK833" s="269"/>
      <c r="DL833" s="269"/>
      <c r="DM833" s="196">
        <f>'Detailed Budget'!$AC$178</f>
        <v>5622683761.6229038</v>
      </c>
      <c r="DN833" s="269">
        <f t="shared" si="2212"/>
        <v>0</v>
      </c>
      <c r="DO833" s="196">
        <f>'Detailed Budget'!$AC$179</f>
        <v>26827890683.128094</v>
      </c>
      <c r="DP833" s="269">
        <f t="shared" si="2213"/>
        <v>0</v>
      </c>
      <c r="DQ833" s="269">
        <f t="shared" si="2220"/>
        <v>0</v>
      </c>
      <c r="DR833" s="269">
        <f>'Detailed Budget'!$AC$181</f>
        <v>50888946855.375237</v>
      </c>
      <c r="DS833" s="269">
        <f t="shared" si="2214"/>
        <v>0</v>
      </c>
      <c r="DT833" s="269">
        <f t="shared" si="2215"/>
        <v>0</v>
      </c>
      <c r="DU833" s="272">
        <f>'Detailed Budget'!$AC$192</f>
        <v>77498869683.252869</v>
      </c>
      <c r="DV833" s="269">
        <f t="shared" si="2184"/>
        <v>159243473.89972275</v>
      </c>
      <c r="DW833" s="140">
        <f>'Detailed Budget'!$AC$194</f>
        <v>2684962805.4134097</v>
      </c>
      <c r="DX833" s="269">
        <f t="shared" si="2185"/>
        <v>5517019.8762004776</v>
      </c>
      <c r="DY833" s="607">
        <f t="shared" si="2151"/>
        <v>164760493.77592322</v>
      </c>
      <c r="DZ833" s="196">
        <f>'Detailed Budget'!$AC$198</f>
        <v>18732540018.380611</v>
      </c>
      <c r="EA833" s="269">
        <f t="shared" si="2186"/>
        <v>33116152.89393276</v>
      </c>
      <c r="EB833" s="196">
        <f>'Detailed Budget'!$AC$200</f>
        <v>4683135004.5951529</v>
      </c>
      <c r="EC833" s="269">
        <f t="shared" si="2187"/>
        <v>8279038.2234831899</v>
      </c>
      <c r="ED833" s="269">
        <f t="shared" si="2152"/>
        <v>41395191.11741595</v>
      </c>
      <c r="EE833" s="196">
        <f>'Detailed Budget'!$AC$161</f>
        <v>251147290106.36197</v>
      </c>
      <c r="EF833" s="269">
        <f t="shared" si="2188"/>
        <v>516053551.49690598</v>
      </c>
      <c r="EG833" s="196">
        <f>'Detailed Budget'!$AC$163</f>
        <v>15696705631.647623</v>
      </c>
      <c r="EH833" s="269">
        <f t="shared" si="2189"/>
        <v>32253346.968556624</v>
      </c>
      <c r="EI833" s="269">
        <f t="shared" si="2153"/>
        <v>548306898.46546257</v>
      </c>
      <c r="EJ833" s="196">
        <f>'Detailed Budget'!$AC$204</f>
        <v>45012172507.531975</v>
      </c>
      <c r="EK833" s="269">
        <f t="shared" si="2190"/>
        <v>87825884.742163494</v>
      </c>
      <c r="EL833" s="201">
        <f>'Detailed Budget'!$AC$206</f>
        <v>11253043126.882994</v>
      </c>
      <c r="EM833" s="269">
        <f t="shared" si="2191"/>
        <v>21956471.185540874</v>
      </c>
      <c r="EN833" s="269">
        <f t="shared" si="2154"/>
        <v>109782355.92770436</v>
      </c>
      <c r="EO833" s="140">
        <f>'Detailed Budget'!$AC$209</f>
        <v>135789361677.54817</v>
      </c>
      <c r="EP833" s="269">
        <f t="shared" si="2192"/>
        <v>311274888.84209979</v>
      </c>
      <c r="EQ833" s="196">
        <f>'Detailed Budget'!$AC$211</f>
        <v>33947340419.387043</v>
      </c>
      <c r="ER833" s="269">
        <f t="shared" si="2193"/>
        <v>77818722.210524946</v>
      </c>
      <c r="ES833" s="269">
        <f t="shared" si="2155"/>
        <v>389093611.0526247</v>
      </c>
      <c r="ET833" s="196">
        <f>'Detailed Budget'!$AC$214</f>
        <v>22239745544.201103</v>
      </c>
      <c r="EU833" s="269">
        <f t="shared" si="2194"/>
        <v>49511276.819976181</v>
      </c>
      <c r="EV833" s="140">
        <f>'Detailed Budget'!$AC$217</f>
        <v>5559936386.0502758</v>
      </c>
      <c r="EW833" s="269">
        <f t="shared" si="2195"/>
        <v>12377819.204994045</v>
      </c>
      <c r="EX833" s="269">
        <f t="shared" si="2156"/>
        <v>61889096.024970226</v>
      </c>
      <c r="EY833" s="196">
        <f>'Detailed Budget'!$AC$219</f>
        <v>372777004.58170313</v>
      </c>
      <c r="EZ833" s="269">
        <f t="shared" si="2196"/>
        <v>868791.74547291279</v>
      </c>
      <c r="FA833" s="196">
        <f>'Detailed Budget'!$AC$222</f>
        <v>93194251.145425782</v>
      </c>
      <c r="FB833" s="269">
        <f t="shared" si="2197"/>
        <v>217197.9363682282</v>
      </c>
      <c r="FC833" s="269">
        <f t="shared" si="2157"/>
        <v>1085989.6818411411</v>
      </c>
      <c r="FD833" s="269"/>
      <c r="FE833" s="269">
        <f t="shared" si="2158"/>
        <v>561851052.68714035</v>
      </c>
      <c r="FF833" s="140">
        <f>'Detailed Budget'!$AC$165</f>
        <v>14927760000</v>
      </c>
      <c r="FG833" s="1087">
        <f t="shared" si="2043"/>
        <v>766402026.95148921</v>
      </c>
      <c r="FH833" s="269">
        <f t="shared" si="2198"/>
        <v>18657579.820474949</v>
      </c>
      <c r="FJ833" s="140">
        <f>'Detailed Budget'!$AC$235</f>
        <v>3623696172</v>
      </c>
      <c r="FK833" s="269">
        <f t="shared" si="2199"/>
        <v>4681778</v>
      </c>
      <c r="FL833" s="269">
        <f t="shared" si="2044"/>
        <v>4681778</v>
      </c>
      <c r="FR833" s="269">
        <f>'Detailed Budget'!$AC$257</f>
        <v>13636439388</v>
      </c>
      <c r="FS833" s="269">
        <f t="shared" si="2200"/>
        <v>13990704</v>
      </c>
      <c r="FT833" s="269">
        <f t="shared" si="2045"/>
        <v>13990704</v>
      </c>
      <c r="FU833" s="269"/>
      <c r="FV833" s="269"/>
      <c r="FW833" s="269"/>
      <c r="FX833" s="140">
        <f>'Detailed Budget'!$AC$278</f>
        <v>1114560000</v>
      </c>
      <c r="FY833" s="269">
        <f t="shared" si="2201"/>
        <v>1440000</v>
      </c>
      <c r="FZ833" s="269">
        <f t="shared" si="2216"/>
        <v>1440000</v>
      </c>
      <c r="GB833" s="269">
        <f t="shared" si="2094"/>
        <v>2407331642.1294856</v>
      </c>
      <c r="GC833" s="887">
        <f t="shared" si="2159"/>
        <v>1504582.2763309286</v>
      </c>
      <c r="GD833" s="1078">
        <f t="shared" si="2095"/>
        <v>1.350829589112787E-3</v>
      </c>
    </row>
    <row r="834" spans="1:186" ht="30" hidden="1" outlineLevel="1">
      <c r="A834" s="211" t="s">
        <v>1739</v>
      </c>
      <c r="B834" s="212" t="s">
        <v>1740</v>
      </c>
      <c r="C834" s="213" t="s">
        <v>215</v>
      </c>
      <c r="D834" s="214"/>
      <c r="E834" s="213"/>
      <c r="F834" s="213"/>
      <c r="G834" s="213" t="s">
        <v>215</v>
      </c>
      <c r="H834" s="213" t="s">
        <v>215</v>
      </c>
      <c r="I834" s="214" t="s">
        <v>215</v>
      </c>
      <c r="J834" s="214"/>
      <c r="K834" s="213"/>
      <c r="L834" s="213"/>
      <c r="M834" s="214"/>
      <c r="N834" s="213"/>
      <c r="O834" s="214" t="s">
        <v>215</v>
      </c>
      <c r="P834" s="213"/>
      <c r="Q834" s="214" t="s">
        <v>215</v>
      </c>
      <c r="R834" s="214"/>
      <c r="S834" s="214"/>
      <c r="T834" s="214"/>
      <c r="U834" s="215">
        <f>COUNTA(C834:T834)</f>
        <v>6</v>
      </c>
      <c r="V834" s="845" t="s">
        <v>1073</v>
      </c>
      <c r="W834" s="216">
        <v>331444</v>
      </c>
      <c r="X834" s="217">
        <v>3.35</v>
      </c>
      <c r="Y834" s="218">
        <f t="shared" si="2170"/>
        <v>1.0335000000000001</v>
      </c>
      <c r="Z834" s="196">
        <v>19</v>
      </c>
      <c r="AA834" s="218">
        <f t="shared" si="2171"/>
        <v>1.8702477386515275</v>
      </c>
      <c r="AB834" s="196">
        <f t="shared" si="2175"/>
        <v>619882.39148961683</v>
      </c>
      <c r="AC834">
        <v>12.8</v>
      </c>
      <c r="AD834" s="196">
        <f t="shared" si="2176"/>
        <v>79344.946110670964</v>
      </c>
      <c r="AE834" s="196">
        <f t="shared" si="2172"/>
        <v>75377.698805137406</v>
      </c>
      <c r="AF834" s="196">
        <f t="shared" si="2202"/>
        <v>0</v>
      </c>
      <c r="AG834" s="606"/>
      <c r="AH834" s="196">
        <f t="shared" si="2217"/>
        <v>30994.119574480843</v>
      </c>
      <c r="AI834" s="248">
        <f t="shared" si="2141"/>
        <v>2.4010674827569362E-3</v>
      </c>
      <c r="AJ834" s="196">
        <f t="shared" si="2142"/>
        <v>110339.06568515181</v>
      </c>
      <c r="AK834" s="196">
        <f t="shared" si="2173"/>
        <v>24795.295659584674</v>
      </c>
      <c r="AL834" s="196">
        <f t="shared" si="2174"/>
        <v>24795.295659584674</v>
      </c>
      <c r="AM834" s="196">
        <f t="shared" si="2143"/>
        <v>49590.591319169347</v>
      </c>
      <c r="AN834" s="627">
        <f t="shared" si="2144"/>
        <v>2.4010674827569362E-3</v>
      </c>
      <c r="AO834" s="196">
        <f t="shared" si="2145"/>
        <v>23555.53087660544</v>
      </c>
      <c r="AP834" s="589">
        <f t="shared" si="2163"/>
        <v>2.4010674827569362E-3</v>
      </c>
      <c r="AQ834" s="589"/>
      <c r="AR834" s="589"/>
      <c r="AS834">
        <v>1</v>
      </c>
      <c r="AT834" s="589">
        <f t="shared" si="2164"/>
        <v>1.2919896640826874E-3</v>
      </c>
      <c r="AU834" s="196">
        <v>12</v>
      </c>
      <c r="AV834" s="245">
        <f t="shared" si="2146"/>
        <v>1.3634814225656176E-3</v>
      </c>
      <c r="AX834" s="245"/>
      <c r="AY834" s="245"/>
      <c r="AZ834" s="196">
        <v>25</v>
      </c>
      <c r="BA834" s="589">
        <f t="shared" si="2073"/>
        <v>9.1605291121615189E-4</v>
      </c>
      <c r="BI834" s="196">
        <v>0</v>
      </c>
      <c r="BK834" s="246">
        <f t="shared" si="2074"/>
        <v>0</v>
      </c>
      <c r="BL834" s="246"/>
      <c r="BM834" s="246">
        <f t="shared" si="2075"/>
        <v>0</v>
      </c>
      <c r="BN834" s="196">
        <v>1</v>
      </c>
      <c r="BO834" s="196">
        <f t="shared" si="2203"/>
        <v>39871.087443788434</v>
      </c>
      <c r="BP834" s="196">
        <f t="shared" si="2147"/>
        <v>39871.087443788434</v>
      </c>
      <c r="BQ834" s="248">
        <f t="shared" si="2077"/>
        <v>3.7297545607600331E-3</v>
      </c>
      <c r="BR834" s="248"/>
      <c r="BS834" s="248"/>
      <c r="BT834" s="276">
        <v>0</v>
      </c>
      <c r="BU834" s="196">
        <f t="shared" si="2218"/>
        <v>0</v>
      </c>
      <c r="BV834" s="264">
        <f t="shared" si="2079"/>
        <v>0</v>
      </c>
      <c r="BW834" s="196">
        <f t="shared" si="2219"/>
        <v>0</v>
      </c>
      <c r="BX834" s="247">
        <f t="shared" si="2081"/>
        <v>0</v>
      </c>
      <c r="BY834" s="196">
        <f t="shared" si="2204"/>
        <v>0</v>
      </c>
      <c r="BZ834" s="620">
        <v>1</v>
      </c>
      <c r="CA834" s="196">
        <f t="shared" si="2205"/>
        <v>189684.01179582273</v>
      </c>
      <c r="CB834" s="196">
        <f t="shared" si="2206"/>
        <v>379368.02359164547</v>
      </c>
      <c r="CC834" s="196">
        <f t="shared" si="2160"/>
        <v>569052.03538746818</v>
      </c>
      <c r="CD834" s="247">
        <f t="shared" si="2148"/>
        <v>2.4010674827569358E-3</v>
      </c>
      <c r="CE834" s="196">
        <f t="shared" si="2207"/>
        <v>47837.379957361562</v>
      </c>
      <c r="CF834" s="247">
        <f t="shared" si="2149"/>
        <v>2.0657668382113503E-3</v>
      </c>
      <c r="CG834" s="196">
        <f t="shared" si="2179"/>
        <v>94222.123506421762</v>
      </c>
      <c r="CH834" s="589">
        <f t="shared" si="2165"/>
        <v>2.4010674827569362E-3</v>
      </c>
      <c r="CI834" s="271">
        <f t="shared" si="2208"/>
        <v>138684.81265106058</v>
      </c>
      <c r="CJ834" s="248">
        <f t="shared" si="2166"/>
        <v>2.2799779679548377E-3</v>
      </c>
      <c r="CK834" s="271">
        <f t="shared" si="2209"/>
        <v>186338.40071438602</v>
      </c>
      <c r="CL834" s="589">
        <f t="shared" si="2167"/>
        <v>2.6786528384431011E-3</v>
      </c>
      <c r="CM834" s="271">
        <f t="shared" si="2210"/>
        <v>18051.536466611939</v>
      </c>
      <c r="CN834" s="589">
        <f t="shared" si="2168"/>
        <v>2.6014315542514351E-3</v>
      </c>
      <c r="CO834" s="271">
        <f t="shared" si="2211"/>
        <v>1444.1039128359421</v>
      </c>
      <c r="CP834" s="589">
        <f t="shared" si="2169"/>
        <v>2.7233575466576059E-3</v>
      </c>
      <c r="CQ834" s="196">
        <f>'Detailed Budget'!$AC$12</f>
        <v>292876014141.44696</v>
      </c>
      <c r="CR834" s="269">
        <f t="shared" si="2177"/>
        <v>0</v>
      </c>
      <c r="CS834" s="269">
        <f>'Detailed Budget'!$AC$16</f>
        <v>10488008800.000002</v>
      </c>
      <c r="CT834" s="607">
        <f t="shared" si="2181"/>
        <v>0</v>
      </c>
      <c r="CU834" s="269">
        <f>'Detailed Budget'!$AC$24</f>
        <v>30624985696</v>
      </c>
      <c r="CV834" s="269">
        <f t="shared" si="2050"/>
        <v>0</v>
      </c>
      <c r="CW834" s="269"/>
      <c r="CX834" s="269">
        <f t="shared" si="2161"/>
        <v>0</v>
      </c>
      <c r="CY834" s="196">
        <f>'Detailed Budget'!$AC$97</f>
        <v>74629165494.837845</v>
      </c>
      <c r="CZ834" s="269">
        <f t="shared" si="2182"/>
        <v>278348470.37008673</v>
      </c>
      <c r="DA834" s="269">
        <f>'Detailed Budget'!$AC$100</f>
        <v>14925833098.967569</v>
      </c>
      <c r="DB834" s="269">
        <f t="shared" si="2183"/>
        <v>55669694.074017353</v>
      </c>
      <c r="DC834" s="269">
        <f t="shared" si="2150"/>
        <v>334018164.44410408</v>
      </c>
      <c r="DD834" s="207">
        <v>0</v>
      </c>
      <c r="DE834" s="606">
        <v>0</v>
      </c>
      <c r="DF834" s="269">
        <f>'Detailed Budget'!$AC$147</f>
        <v>5913600671000</v>
      </c>
      <c r="DG834" s="269">
        <f t="shared" si="2042"/>
        <v>0</v>
      </c>
      <c r="DH834" s="269"/>
      <c r="DI834" s="269"/>
      <c r="DJ834" s="269"/>
      <c r="DK834" s="269"/>
      <c r="DL834" s="269"/>
      <c r="DM834" s="196">
        <f>'Detailed Budget'!$AC$178</f>
        <v>5622683761.6229038</v>
      </c>
      <c r="DN834" s="269">
        <f t="shared" si="2212"/>
        <v>0</v>
      </c>
      <c r="DO834" s="196">
        <f>'Detailed Budget'!$AC$179</f>
        <v>26827890683.128094</v>
      </c>
      <c r="DP834" s="269">
        <f t="shared" si="2213"/>
        <v>0</v>
      </c>
      <c r="DQ834" s="269">
        <f t="shared" si="2220"/>
        <v>0</v>
      </c>
      <c r="DR834" s="269">
        <f>'Detailed Budget'!$AC$181</f>
        <v>50888946855.375237</v>
      </c>
      <c r="DS834" s="269">
        <f t="shared" si="2214"/>
        <v>0</v>
      </c>
      <c r="DT834" s="269">
        <f t="shared" si="2215"/>
        <v>0</v>
      </c>
      <c r="DU834" s="272">
        <f>'Detailed Budget'!$AC$192</f>
        <v>77498869683.252869</v>
      </c>
      <c r="DV834" s="269">
        <f t="shared" si="2184"/>
        <v>186080015.94687578</v>
      </c>
      <c r="DW834" s="140">
        <f>'Detailed Budget'!$AC$194</f>
        <v>2684962805.4134097</v>
      </c>
      <c r="DX834" s="269">
        <f t="shared" si="2185"/>
        <v>6446776.8844899768</v>
      </c>
      <c r="DY834" s="607">
        <f t="shared" si="2151"/>
        <v>192526792.83136576</v>
      </c>
      <c r="DZ834" s="196">
        <f>'Detailed Budget'!$AC$198</f>
        <v>18732540018.380611</v>
      </c>
      <c r="EA834" s="269">
        <f t="shared" si="2186"/>
        <v>38697059.965437703</v>
      </c>
      <c r="EB834" s="196">
        <f>'Detailed Budget'!$AC$200</f>
        <v>4683135004.5951529</v>
      </c>
      <c r="EC834" s="269">
        <f t="shared" si="2187"/>
        <v>9674264.9913594257</v>
      </c>
      <c r="ED834" s="269">
        <f t="shared" si="2152"/>
        <v>48371324.95679713</v>
      </c>
      <c r="EE834" s="196">
        <f>'Detailed Budget'!$AC$161</f>
        <v>251147290106.36197</v>
      </c>
      <c r="EF834" s="269">
        <f t="shared" si="2188"/>
        <v>603021591.65690851</v>
      </c>
      <c r="EG834" s="196">
        <f>'Detailed Budget'!$AC$163</f>
        <v>15696705631.647623</v>
      </c>
      <c r="EH834" s="269">
        <f t="shared" si="2189"/>
        <v>37688849.478556782</v>
      </c>
      <c r="EI834" s="269">
        <f t="shared" si="2153"/>
        <v>640710441.13546526</v>
      </c>
      <c r="EJ834" s="196">
        <f>'Detailed Budget'!$AC$204</f>
        <v>45012172507.531975</v>
      </c>
      <c r="EK834" s="269">
        <f t="shared" si="2190"/>
        <v>102626761.60695536</v>
      </c>
      <c r="EL834" s="201">
        <f>'Detailed Budget'!$AC$206</f>
        <v>11253043126.882994</v>
      </c>
      <c r="EM834" s="269">
        <f t="shared" si="2191"/>
        <v>25656690.401738841</v>
      </c>
      <c r="EN834" s="269">
        <f t="shared" si="2154"/>
        <v>128283452.0086942</v>
      </c>
      <c r="EO834" s="140">
        <f>'Detailed Budget'!$AC$209</f>
        <v>135789361677.54817</v>
      </c>
      <c r="EP834" s="269">
        <f t="shared" si="2192"/>
        <v>363732559.08794129</v>
      </c>
      <c r="EQ834" s="196">
        <f>'Detailed Budget'!$AC$211</f>
        <v>33947340419.387043</v>
      </c>
      <c r="ER834" s="269">
        <f t="shared" si="2193"/>
        <v>90933139.771985322</v>
      </c>
      <c r="ES834" s="269">
        <f t="shared" si="2155"/>
        <v>454665698.85992658</v>
      </c>
      <c r="ET834" s="196">
        <f>'Detailed Budget'!$AC$214</f>
        <v>22239745544.201103</v>
      </c>
      <c r="EU834" s="269">
        <f t="shared" si="2194"/>
        <v>57855175.8172075</v>
      </c>
      <c r="EV834" s="140">
        <f>'Detailed Budget'!$AC$217</f>
        <v>5559936386.0502758</v>
      </c>
      <c r="EW834" s="269">
        <f t="shared" si="2195"/>
        <v>14463793.954301875</v>
      </c>
      <c r="EX834" s="269">
        <f t="shared" si="2156"/>
        <v>72318969.771509379</v>
      </c>
      <c r="EY834" s="196">
        <f>'Detailed Budget'!$AC$219</f>
        <v>372777004.58170313</v>
      </c>
      <c r="EZ834" s="269">
        <f t="shared" si="2196"/>
        <v>1015205.0686479982</v>
      </c>
      <c r="FA834" s="196">
        <f>'Detailed Budget'!$AC$222</f>
        <v>93194251.145425782</v>
      </c>
      <c r="FB834" s="269">
        <f t="shared" si="2197"/>
        <v>253801.26716199954</v>
      </c>
      <c r="FC834" s="269">
        <f t="shared" si="2157"/>
        <v>1269006.3358099977</v>
      </c>
      <c r="FD834" s="269"/>
      <c r="FE834" s="269">
        <f t="shared" si="2158"/>
        <v>656537126.97594011</v>
      </c>
      <c r="FF834" s="140">
        <f>'Detailed Budget'!$AC$165</f>
        <v>14927760000</v>
      </c>
      <c r="FG834" s="1087">
        <f t="shared" si="2043"/>
        <v>895560099.91753531</v>
      </c>
      <c r="FH834" s="269">
        <f t="shared" si="2198"/>
        <v>20353723.440518126</v>
      </c>
      <c r="FJ834" s="140">
        <f>'Detailed Budget'!$AC$235</f>
        <v>3623696172</v>
      </c>
      <c r="FK834" s="269">
        <f t="shared" si="2199"/>
        <v>4681778</v>
      </c>
      <c r="FL834" s="269">
        <f t="shared" si="2044"/>
        <v>4681778</v>
      </c>
      <c r="FR834" s="269">
        <f>'Detailed Budget'!$AC$257</f>
        <v>13636439388</v>
      </c>
      <c r="FS834" s="269">
        <f t="shared" si="2200"/>
        <v>12491700</v>
      </c>
      <c r="FT834" s="269">
        <f t="shared" si="2045"/>
        <v>12491700</v>
      </c>
      <c r="FU834" s="269"/>
      <c r="FV834" s="269"/>
      <c r="FW834" s="269"/>
      <c r="FX834" s="140">
        <f>'Detailed Budget'!$AC$278</f>
        <v>1114560000</v>
      </c>
      <c r="FY834" s="269">
        <f t="shared" si="2201"/>
        <v>1440000</v>
      </c>
      <c r="FZ834" s="269">
        <f t="shared" si="2216"/>
        <v>1440000</v>
      </c>
      <c r="GB834" s="269">
        <f t="shared" si="2094"/>
        <v>2806691151.7017255</v>
      </c>
      <c r="GC834" s="887">
        <f t="shared" si="2159"/>
        <v>1754181.9698135785</v>
      </c>
      <c r="GD834" s="1078">
        <f t="shared" si="2095"/>
        <v>1.5749227854064847E-3</v>
      </c>
    </row>
    <row r="835" spans="1:186" hidden="1" outlineLevel="1">
      <c r="A835" s="211" t="s">
        <v>1741</v>
      </c>
      <c r="B835" s="212" t="s">
        <v>1742</v>
      </c>
      <c r="C835" s="213" t="s">
        <v>215</v>
      </c>
      <c r="D835" s="214"/>
      <c r="E835" s="213"/>
      <c r="F835" s="213"/>
      <c r="G835" s="213" t="s">
        <v>215</v>
      </c>
      <c r="H835" s="213" t="s">
        <v>215</v>
      </c>
      <c r="I835" s="214" t="s">
        <v>215</v>
      </c>
      <c r="J835" s="214"/>
      <c r="K835" s="213"/>
      <c r="L835" s="213"/>
      <c r="M835" s="214"/>
      <c r="N835" s="213"/>
      <c r="O835" s="214" t="s">
        <v>215</v>
      </c>
      <c r="P835" s="213"/>
      <c r="Q835" s="214" t="s">
        <v>215</v>
      </c>
      <c r="R835" s="214"/>
      <c r="S835" s="214"/>
      <c r="T835" s="214"/>
      <c r="U835" s="215">
        <f t="shared" si="2099"/>
        <v>6</v>
      </c>
      <c r="V835" s="845" t="s">
        <v>1073</v>
      </c>
      <c r="W835" s="216">
        <v>308119</v>
      </c>
      <c r="X835" s="217">
        <v>3.35</v>
      </c>
      <c r="Y835" s="218">
        <f t="shared" si="2170"/>
        <v>1.0335000000000001</v>
      </c>
      <c r="Z835" s="196">
        <v>19</v>
      </c>
      <c r="AA835" s="218">
        <f t="shared" si="2171"/>
        <v>1.8702477386515275</v>
      </c>
      <c r="AB835" s="196">
        <f t="shared" si="2175"/>
        <v>576258.86298556998</v>
      </c>
      <c r="AC835">
        <v>12.8</v>
      </c>
      <c r="AD835" s="196">
        <f t="shared" si="2176"/>
        <v>73761.134462152957</v>
      </c>
      <c r="AE835" s="196">
        <f t="shared" si="2172"/>
        <v>70073.0777390453</v>
      </c>
      <c r="AF835" s="196">
        <f t="shared" si="2202"/>
        <v>0</v>
      </c>
      <c r="AG835" s="606"/>
      <c r="AH835" s="196">
        <f t="shared" si="2217"/>
        <v>28812.943149278501</v>
      </c>
      <c r="AI835" s="248">
        <f t="shared" si="2141"/>
        <v>2.2320950499015958E-3</v>
      </c>
      <c r="AJ835" s="196">
        <f t="shared" si="2142"/>
        <v>102574.07761143145</v>
      </c>
      <c r="AK835" s="196">
        <f t="shared" si="2173"/>
        <v>23050.354519422799</v>
      </c>
      <c r="AL835" s="196">
        <f t="shared" si="2174"/>
        <v>23050.354519422799</v>
      </c>
      <c r="AM835" s="196">
        <f t="shared" si="2143"/>
        <v>46100.709038845598</v>
      </c>
      <c r="AN835" s="627">
        <f t="shared" si="2144"/>
        <v>2.2320950499015954E-3</v>
      </c>
      <c r="AO835" s="196">
        <f t="shared" si="2145"/>
        <v>21897.836793451657</v>
      </c>
      <c r="AP835" s="589">
        <f t="shared" si="2163"/>
        <v>2.2320950499015954E-3</v>
      </c>
      <c r="AQ835" s="589"/>
      <c r="AR835" s="589"/>
      <c r="AS835">
        <v>1</v>
      </c>
      <c r="AT835" s="589">
        <f t="shared" si="2164"/>
        <v>1.2919896640826874E-3</v>
      </c>
      <c r="AU835" s="196">
        <v>12</v>
      </c>
      <c r="AV835" s="245">
        <f t="shared" si="2146"/>
        <v>1.3634814225656176E-3</v>
      </c>
      <c r="AX835" s="245"/>
      <c r="AY835" s="245"/>
      <c r="AZ835" s="196">
        <v>23</v>
      </c>
      <c r="BA835" s="589">
        <f t="shared" si="2073"/>
        <v>8.4276867831885966E-4</v>
      </c>
      <c r="BI835" s="196">
        <v>0</v>
      </c>
      <c r="BK835" s="246">
        <f t="shared" si="2074"/>
        <v>0</v>
      </c>
      <c r="BL835" s="246"/>
      <c r="BM835" s="246">
        <f t="shared" si="2075"/>
        <v>0</v>
      </c>
      <c r="BN835" s="196">
        <v>1</v>
      </c>
      <c r="BO835" s="196">
        <f t="shared" si="2203"/>
        <v>37065.204354559581</v>
      </c>
      <c r="BP835" s="196">
        <f t="shared" si="2147"/>
        <v>37065.204354559581</v>
      </c>
      <c r="BQ835" s="248">
        <f t="shared" si="2077"/>
        <v>3.467277264053114E-3</v>
      </c>
      <c r="BR835" s="248"/>
      <c r="BS835" s="248"/>
      <c r="BT835" s="276">
        <v>0</v>
      </c>
      <c r="BU835" s="196">
        <f t="shared" si="2218"/>
        <v>0</v>
      </c>
      <c r="BV835" s="264">
        <f t="shared" si="2079"/>
        <v>0</v>
      </c>
      <c r="BW835" s="196">
        <f t="shared" si="2219"/>
        <v>0</v>
      </c>
      <c r="BX835" s="247">
        <f t="shared" si="2081"/>
        <v>0</v>
      </c>
      <c r="BY835" s="196">
        <f t="shared" si="2204"/>
        <v>0</v>
      </c>
      <c r="BZ835" s="620">
        <v>1</v>
      </c>
      <c r="CA835" s="196">
        <f t="shared" si="2205"/>
        <v>176335.21207358441</v>
      </c>
      <c r="CB835" s="196">
        <f t="shared" si="2206"/>
        <v>352670.42414716881</v>
      </c>
      <c r="CC835" s="196">
        <f t="shared" si="2160"/>
        <v>529005.63622075319</v>
      </c>
      <c r="CD835" s="247">
        <f t="shared" si="2148"/>
        <v>2.2320950499015954E-3</v>
      </c>
      <c r="CE835" s="196">
        <f t="shared" si="2207"/>
        <v>44470.877961532831</v>
      </c>
      <c r="CF835" s="247">
        <f t="shared" si="2149"/>
        <v>1.9203908123931739E-3</v>
      </c>
      <c r="CG835" s="196">
        <f t="shared" si="2179"/>
        <v>87591.347173806629</v>
      </c>
      <c r="CH835" s="589">
        <f t="shared" si="2165"/>
        <v>2.2320950499015954E-3</v>
      </c>
      <c r="CI835" s="271">
        <f t="shared" si="2208"/>
        <v>128925.02440602977</v>
      </c>
      <c r="CJ835" s="248">
        <f t="shared" si="2166"/>
        <v>2.1195270739801492E-3</v>
      </c>
      <c r="CK835" s="271">
        <f t="shared" si="2209"/>
        <v>173225.04462206556</v>
      </c>
      <c r="CL835" s="589">
        <f t="shared" si="2167"/>
        <v>2.4901456473137235E-3</v>
      </c>
      <c r="CM835" s="271">
        <f t="shared" si="2210"/>
        <v>16781.17982089283</v>
      </c>
      <c r="CN835" s="589">
        <f t="shared" si="2168"/>
        <v>2.418358724443338E-3</v>
      </c>
      <c r="CO835" s="271">
        <f t="shared" si="2211"/>
        <v>1342.4767185983078</v>
      </c>
      <c r="CP835" s="589">
        <f t="shared" si="2169"/>
        <v>2.5317043117950382E-3</v>
      </c>
      <c r="CQ835" s="196">
        <f>'Detailed Budget'!$AC$12</f>
        <v>292876014141.44696</v>
      </c>
      <c r="CR835" s="269">
        <f t="shared" si="2177"/>
        <v>0</v>
      </c>
      <c r="CS835" s="269">
        <f>'Detailed Budget'!$AC$16</f>
        <v>10488008800.000002</v>
      </c>
      <c r="CT835" s="607">
        <f t="shared" si="2181"/>
        <v>0</v>
      </c>
      <c r="CU835" s="269">
        <f>'Detailed Budget'!$AC$24</f>
        <v>30624985696</v>
      </c>
      <c r="CV835" s="269">
        <f t="shared" si="2050"/>
        <v>0</v>
      </c>
      <c r="CW835" s="269"/>
      <c r="CX835" s="269">
        <f t="shared" si="2161"/>
        <v>0</v>
      </c>
      <c r="CY835" s="196">
        <f>'Detailed Budget'!$AC$97</f>
        <v>74629165494.837845</v>
      </c>
      <c r="CZ835" s="269">
        <f t="shared" si="2182"/>
        <v>258760008.75550842</v>
      </c>
      <c r="DA835" s="269">
        <f>'Detailed Budget'!$AC$100</f>
        <v>14925833098.967569</v>
      </c>
      <c r="DB835" s="269">
        <f t="shared" si="2183"/>
        <v>51752001.751101688</v>
      </c>
      <c r="DC835" s="269">
        <f t="shared" si="2150"/>
        <v>310512010.5066101</v>
      </c>
      <c r="DD835" s="207">
        <v>0</v>
      </c>
      <c r="DE835" s="606">
        <v>0</v>
      </c>
      <c r="DF835" s="269">
        <f>'Detailed Budget'!$AC$147</f>
        <v>5913600671000</v>
      </c>
      <c r="DG835" s="269">
        <f t="shared" si="2042"/>
        <v>0</v>
      </c>
      <c r="DH835" s="269"/>
      <c r="DI835" s="269"/>
      <c r="DJ835" s="269"/>
      <c r="DK835" s="269"/>
      <c r="DL835" s="269"/>
      <c r="DM835" s="196">
        <f>'Detailed Budget'!$AC$178</f>
        <v>5622683761.6229038</v>
      </c>
      <c r="DN835" s="269">
        <f t="shared" si="2212"/>
        <v>0</v>
      </c>
      <c r="DO835" s="196">
        <f>'Detailed Budget'!$AC$179</f>
        <v>26827890683.128094</v>
      </c>
      <c r="DP835" s="269">
        <f t="shared" si="2213"/>
        <v>0</v>
      </c>
      <c r="DQ835" s="269">
        <f t="shared" si="2220"/>
        <v>0</v>
      </c>
      <c r="DR835" s="269">
        <f>'Detailed Budget'!$AC$181</f>
        <v>50888946855.375237</v>
      </c>
      <c r="DS835" s="269">
        <f t="shared" si="2214"/>
        <v>0</v>
      </c>
      <c r="DT835" s="269">
        <f t="shared" si="2215"/>
        <v>0</v>
      </c>
      <c r="DU835" s="272">
        <f>'Detailed Budget'!$AC$192</f>
        <v>77498869683.252869</v>
      </c>
      <c r="DV835" s="269">
        <f t="shared" si="2184"/>
        <v>172984843.39295754</v>
      </c>
      <c r="DW835" s="140">
        <f>'Detailed Budget'!$AC$194</f>
        <v>2684962805.4134097</v>
      </c>
      <c r="DX835" s="269">
        <f t="shared" si="2185"/>
        <v>5993092.1871331725</v>
      </c>
      <c r="DY835" s="607">
        <f t="shared" si="2151"/>
        <v>178977935.5800907</v>
      </c>
      <c r="DZ835" s="196">
        <f>'Detailed Budget'!$AC$198</f>
        <v>18732540018.380611</v>
      </c>
      <c r="EA835" s="269">
        <f t="shared" si="2186"/>
        <v>35973797.74408558</v>
      </c>
      <c r="EB835" s="196">
        <f>'Detailed Budget'!$AC$200</f>
        <v>4683135004.5951529</v>
      </c>
      <c r="EC835" s="269">
        <f t="shared" si="2187"/>
        <v>8993449.436021395</v>
      </c>
      <c r="ED835" s="269">
        <f t="shared" si="2152"/>
        <v>44967247.180106975</v>
      </c>
      <c r="EE835" s="196">
        <f>'Detailed Budget'!$AC$161</f>
        <v>251147290106.36197</v>
      </c>
      <c r="EF835" s="269">
        <f t="shared" si="2188"/>
        <v>560584623.04261041</v>
      </c>
      <c r="EG835" s="196">
        <f>'Detailed Budget'!$AC$163</f>
        <v>15696705631.647623</v>
      </c>
      <c r="EH835" s="269">
        <f t="shared" si="2189"/>
        <v>35036538.94016315</v>
      </c>
      <c r="EI835" s="269">
        <f t="shared" si="2153"/>
        <v>595621161.98277354</v>
      </c>
      <c r="EJ835" s="196">
        <f>'Detailed Budget'!$AC$204</f>
        <v>45012172507.531975</v>
      </c>
      <c r="EK835" s="269">
        <f t="shared" si="2190"/>
        <v>95404518.288378969</v>
      </c>
      <c r="EL835" s="201">
        <f>'Detailed Budget'!$AC$206</f>
        <v>11253043126.882994</v>
      </c>
      <c r="EM835" s="269">
        <f t="shared" si="2191"/>
        <v>23851129.572094742</v>
      </c>
      <c r="EN835" s="269">
        <f t="shared" si="2154"/>
        <v>119255647.86047371</v>
      </c>
      <c r="EO835" s="140">
        <f>'Detailed Budget'!$AC$209</f>
        <v>135789361677.54817</v>
      </c>
      <c r="EP835" s="269">
        <f t="shared" si="2192"/>
        <v>338135287.93285549</v>
      </c>
      <c r="EQ835" s="196">
        <f>'Detailed Budget'!$AC$211</f>
        <v>33947340419.387043</v>
      </c>
      <c r="ER835" s="269">
        <f t="shared" si="2193"/>
        <v>84533821.983213872</v>
      </c>
      <c r="ES835" s="269">
        <f t="shared" si="2155"/>
        <v>422669109.91606939</v>
      </c>
      <c r="ET835" s="196">
        <f>'Detailed Budget'!$AC$214</f>
        <v>22239745544.201103</v>
      </c>
      <c r="EU835" s="269">
        <f t="shared" si="2194"/>
        <v>53783682.666218594</v>
      </c>
      <c r="EV835" s="140">
        <f>'Detailed Budget'!$AC$217</f>
        <v>5559936386.0502758</v>
      </c>
      <c r="EW835" s="269">
        <f t="shared" si="2195"/>
        <v>13445920.666554648</v>
      </c>
      <c r="EX835" s="269">
        <f t="shared" si="2156"/>
        <v>67229603.332773238</v>
      </c>
      <c r="EY835" s="196">
        <f>'Detailed Budget'!$AC$219</f>
        <v>372777004.58170313</v>
      </c>
      <c r="EZ835" s="269">
        <f t="shared" si="2196"/>
        <v>943761.1498375365</v>
      </c>
      <c r="FA835" s="196">
        <f>'Detailed Budget'!$AC$222</f>
        <v>93194251.145425782</v>
      </c>
      <c r="FB835" s="269">
        <f t="shared" si="2197"/>
        <v>235940.28745938413</v>
      </c>
      <c r="FC835" s="269">
        <f t="shared" si="2157"/>
        <v>1179701.4372969207</v>
      </c>
      <c r="FD835" s="269"/>
      <c r="FE835" s="269">
        <f t="shared" si="2158"/>
        <v>610334062.54661322</v>
      </c>
      <c r="FF835" s="140">
        <f>'Detailed Budget'!$AC$165</f>
        <v>14927760000</v>
      </c>
      <c r="FG835" s="1087">
        <f t="shared" si="2043"/>
        <v>832536061.67705858</v>
      </c>
      <c r="FH835" s="269">
        <f t="shared" si="2198"/>
        <v>20353723.440518126</v>
      </c>
      <c r="FJ835" s="140">
        <f>'Detailed Budget'!$AC$235</f>
        <v>3623696172</v>
      </c>
      <c r="FK835" s="269">
        <f t="shared" si="2199"/>
        <v>4681778</v>
      </c>
      <c r="FL835" s="269">
        <f t="shared" si="2044"/>
        <v>4681778</v>
      </c>
      <c r="FR835" s="269">
        <f>'Detailed Budget'!$AC$257</f>
        <v>13636439388</v>
      </c>
      <c r="FS835" s="269">
        <f t="shared" si="2200"/>
        <v>11492364</v>
      </c>
      <c r="FT835" s="269">
        <f t="shared" si="2045"/>
        <v>11492364</v>
      </c>
      <c r="FU835" s="269"/>
      <c r="FV835" s="269"/>
      <c r="FW835" s="269"/>
      <c r="FX835" s="140">
        <f>'Detailed Budget'!$AC$278</f>
        <v>1114560000</v>
      </c>
      <c r="FY835" s="269">
        <f t="shared" si="2201"/>
        <v>1440000</v>
      </c>
      <c r="FZ835" s="269">
        <f t="shared" si="2216"/>
        <v>1440000</v>
      </c>
      <c r="GB835" s="269">
        <f t="shared" si="2094"/>
        <v>2610916344.9137712</v>
      </c>
      <c r="GC835" s="887">
        <f t="shared" si="2159"/>
        <v>1631822.7155711069</v>
      </c>
      <c r="GD835" s="1078">
        <f t="shared" si="2095"/>
        <v>1.4650673765447162E-3</v>
      </c>
    </row>
    <row r="836" spans="1:186" hidden="1" outlineLevel="1">
      <c r="A836" s="211" t="s">
        <v>1743</v>
      </c>
      <c r="B836" s="212" t="s">
        <v>1744</v>
      </c>
      <c r="C836" s="213" t="s">
        <v>215</v>
      </c>
      <c r="D836" s="214"/>
      <c r="E836" s="213"/>
      <c r="F836" s="213"/>
      <c r="G836" s="213" t="s">
        <v>215</v>
      </c>
      <c r="H836" s="213" t="s">
        <v>215</v>
      </c>
      <c r="I836" s="214" t="s">
        <v>215</v>
      </c>
      <c r="J836" s="214"/>
      <c r="K836" s="213"/>
      <c r="L836" s="213"/>
      <c r="M836" s="214"/>
      <c r="N836" s="213"/>
      <c r="O836" s="214" t="s">
        <v>215</v>
      </c>
      <c r="P836" s="213"/>
      <c r="Q836" s="214" t="s">
        <v>215</v>
      </c>
      <c r="R836" s="214"/>
      <c r="S836" s="214"/>
      <c r="T836" s="214"/>
      <c r="U836" s="215">
        <f t="shared" si="2099"/>
        <v>6</v>
      </c>
      <c r="V836" s="845" t="s">
        <v>1073</v>
      </c>
      <c r="W836" s="216">
        <v>154029</v>
      </c>
      <c r="X836" s="217">
        <v>3.35</v>
      </c>
      <c r="Y836" s="218">
        <f t="shared" si="2170"/>
        <v>1.0335000000000001</v>
      </c>
      <c r="Z836" s="196">
        <v>19</v>
      </c>
      <c r="AA836" s="218">
        <f t="shared" si="2171"/>
        <v>1.8702477386515275</v>
      </c>
      <c r="AB836" s="196">
        <f t="shared" si="2175"/>
        <v>288072.38893675612</v>
      </c>
      <c r="AC836">
        <v>12.8</v>
      </c>
      <c r="AD836" s="196">
        <f t="shared" si="2176"/>
        <v>36873.26578390479</v>
      </c>
      <c r="AE836" s="196">
        <f t="shared" si="2172"/>
        <v>35029.60249470955</v>
      </c>
      <c r="AF836" s="196">
        <f t="shared" si="2202"/>
        <v>0</v>
      </c>
      <c r="AG836" s="606"/>
      <c r="AH836" s="196">
        <f t="shared" si="2217"/>
        <v>14403.619446837807</v>
      </c>
      <c r="AI836" s="248">
        <f t="shared" si="2141"/>
        <v>1.1158265749314157E-3</v>
      </c>
      <c r="AJ836" s="196">
        <f t="shared" si="2142"/>
        <v>51276.885230742599</v>
      </c>
      <c r="AK836" s="196">
        <f t="shared" si="2173"/>
        <v>11522.895557470245</v>
      </c>
      <c r="AL836" s="196">
        <f t="shared" si="2174"/>
        <v>11522.895557470245</v>
      </c>
      <c r="AM836" s="196">
        <f t="shared" si="2143"/>
        <v>23045.79111494049</v>
      </c>
      <c r="AN836" s="627">
        <f t="shared" si="2144"/>
        <v>1.1158265749314157E-3</v>
      </c>
      <c r="AO836" s="196">
        <f t="shared" si="2145"/>
        <v>10946.750779596732</v>
      </c>
      <c r="AP836" s="589">
        <f t="shared" si="2163"/>
        <v>1.1158265749314157E-3</v>
      </c>
      <c r="AQ836" s="589"/>
      <c r="AR836" s="589"/>
      <c r="AS836">
        <v>1</v>
      </c>
      <c r="AT836" s="589">
        <f t="shared" si="2164"/>
        <v>1.2919896640826874E-3</v>
      </c>
      <c r="AU836" s="196">
        <v>11</v>
      </c>
      <c r="AV836" s="245">
        <f t="shared" si="2146"/>
        <v>1.2498579706851495E-3</v>
      </c>
      <c r="AX836" s="245"/>
      <c r="AY836" s="245"/>
      <c r="AZ836" s="196">
        <v>16</v>
      </c>
      <c r="BA836" s="589">
        <f t="shared" si="2073"/>
        <v>5.8627386317833719E-4</v>
      </c>
      <c r="BI836" s="196">
        <v>0</v>
      </c>
      <c r="BK836" s="246">
        <f t="shared" si="2074"/>
        <v>0</v>
      </c>
      <c r="BL836" s="246"/>
      <c r="BM836" s="246">
        <f t="shared" si="2075"/>
        <v>0</v>
      </c>
      <c r="BN836" s="196">
        <v>1</v>
      </c>
      <c r="BO836" s="196">
        <f t="shared" si="2203"/>
        <v>18528.933176884446</v>
      </c>
      <c r="BP836" s="196">
        <f t="shared" si="2147"/>
        <v>18528.933176884446</v>
      </c>
      <c r="BQ836" s="248">
        <f t="shared" si="2077"/>
        <v>1.7332954141251826E-3</v>
      </c>
      <c r="BR836" s="248"/>
      <c r="BS836" s="248"/>
      <c r="BT836" s="276">
        <v>0</v>
      </c>
      <c r="BU836" s="196">
        <f t="shared" si="2218"/>
        <v>0</v>
      </c>
      <c r="BV836" s="264">
        <f t="shared" si="2079"/>
        <v>0</v>
      </c>
      <c r="BW836" s="196">
        <f t="shared" si="2219"/>
        <v>0</v>
      </c>
      <c r="BX836" s="247">
        <f t="shared" si="2081"/>
        <v>0</v>
      </c>
      <c r="BY836" s="196">
        <f t="shared" si="2204"/>
        <v>0</v>
      </c>
      <c r="BZ836" s="620">
        <v>1</v>
      </c>
      <c r="CA836" s="196">
        <f t="shared" si="2205"/>
        <v>88150.151014647388</v>
      </c>
      <c r="CB836" s="196">
        <f t="shared" si="2206"/>
        <v>176300.30202929478</v>
      </c>
      <c r="CC836" s="196">
        <f t="shared" si="2160"/>
        <v>264450.45304394217</v>
      </c>
      <c r="CD836" s="247">
        <f t="shared" si="2148"/>
        <v>1.1158265749314159E-3</v>
      </c>
      <c r="CE836" s="196">
        <f t="shared" si="2207"/>
        <v>22231.036909560724</v>
      </c>
      <c r="CF836" s="247">
        <f t="shared" si="2149"/>
        <v>9.6000531107172295E-4</v>
      </c>
      <c r="CG836" s="196">
        <f t="shared" si="2179"/>
        <v>43787.003118386929</v>
      </c>
      <c r="CH836" s="589">
        <f t="shared" si="2165"/>
        <v>1.1158265749314157E-3</v>
      </c>
      <c r="CI836" s="271">
        <f t="shared" si="2208"/>
        <v>64449.750207667697</v>
      </c>
      <c r="CJ836" s="248">
        <f t="shared" si="2166"/>
        <v>1.0595537298189611E-3</v>
      </c>
      <c r="CK836" s="271">
        <f t="shared" si="2209"/>
        <v>86595.375157300077</v>
      </c>
      <c r="CL836" s="589">
        <f t="shared" si="2167"/>
        <v>1.2448263297949352E-3</v>
      </c>
      <c r="CM836" s="271">
        <f t="shared" si="2210"/>
        <v>8388.9287795699147</v>
      </c>
      <c r="CN836" s="589">
        <f t="shared" si="2168"/>
        <v>1.2089399743841927E-3</v>
      </c>
      <c r="CO836" s="271">
        <f t="shared" si="2211"/>
        <v>671.10547057785732</v>
      </c>
      <c r="CP836" s="589">
        <f t="shared" si="2169"/>
        <v>1.2656015482377851E-3</v>
      </c>
      <c r="CQ836" s="196">
        <f>'Detailed Budget'!$AC$12</f>
        <v>292876014141.44696</v>
      </c>
      <c r="CR836" s="269">
        <f t="shared" si="2177"/>
        <v>0</v>
      </c>
      <c r="CS836" s="269">
        <f>'Detailed Budget'!$AC$16</f>
        <v>10488008800.000002</v>
      </c>
      <c r="CT836" s="607">
        <f t="shared" si="2181"/>
        <v>0</v>
      </c>
      <c r="CU836" s="269">
        <f>'Detailed Budget'!$AC$24</f>
        <v>30624985696</v>
      </c>
      <c r="CV836" s="269">
        <f t="shared" si="2050"/>
        <v>0</v>
      </c>
      <c r="CW836" s="269"/>
      <c r="CX836" s="269">
        <f t="shared" si="2161"/>
        <v>0</v>
      </c>
      <c r="CY836" s="196">
        <f>'Detailed Budget'!$AC$97</f>
        <v>74629165494.837845</v>
      </c>
      <c r="CZ836" s="269">
        <f t="shared" si="2182"/>
        <v>129354390.31219175</v>
      </c>
      <c r="DA836" s="269">
        <f>'Detailed Budget'!$AC$100</f>
        <v>14925833098.967569</v>
      </c>
      <c r="DB836" s="269">
        <f t="shared" si="2183"/>
        <v>25870878.06243835</v>
      </c>
      <c r="DC836" s="269">
        <f t="shared" si="2150"/>
        <v>155225268.37463009</v>
      </c>
      <c r="DD836" s="207">
        <v>0</v>
      </c>
      <c r="DE836" s="606">
        <v>0</v>
      </c>
      <c r="DF836" s="269">
        <f>'Detailed Budget'!$AC$147</f>
        <v>5913600671000</v>
      </c>
      <c r="DG836" s="269">
        <f t="shared" si="2042"/>
        <v>0</v>
      </c>
      <c r="DH836" s="269"/>
      <c r="DI836" s="269"/>
      <c r="DJ836" s="269"/>
      <c r="DK836" s="269"/>
      <c r="DL836" s="269"/>
      <c r="DM836" s="196">
        <f>'Detailed Budget'!$AC$178</f>
        <v>5622683761.6229038</v>
      </c>
      <c r="DN836" s="269">
        <f t="shared" si="2212"/>
        <v>0</v>
      </c>
      <c r="DO836" s="196">
        <f>'Detailed Budget'!$AC$179</f>
        <v>26827890683.128094</v>
      </c>
      <c r="DP836" s="269">
        <f t="shared" si="2213"/>
        <v>0</v>
      </c>
      <c r="DQ836" s="269">
        <f t="shared" si="2220"/>
        <v>0</v>
      </c>
      <c r="DR836" s="269">
        <f>'Detailed Budget'!$AC$181</f>
        <v>50888946855.375237</v>
      </c>
      <c r="DS836" s="269">
        <f t="shared" si="2214"/>
        <v>0</v>
      </c>
      <c r="DT836" s="269">
        <f t="shared" si="2215"/>
        <v>0</v>
      </c>
      <c r="DU836" s="272">
        <f>'Detailed Budget'!$AC$192</f>
        <v>77498869683.252869</v>
      </c>
      <c r="DV836" s="269">
        <f t="shared" si="2184"/>
        <v>86475298.319720194</v>
      </c>
      <c r="DW836" s="140">
        <f>'Detailed Budget'!$AC$194</f>
        <v>2684962805.4134097</v>
      </c>
      <c r="DX836" s="269">
        <f t="shared" si="2185"/>
        <v>2995952.8509826902</v>
      </c>
      <c r="DY836" s="607">
        <f t="shared" si="2151"/>
        <v>89471251.17070289</v>
      </c>
      <c r="DZ836" s="196">
        <f>'Detailed Budget'!$AC$198</f>
        <v>18732540018.380611</v>
      </c>
      <c r="EA836" s="269">
        <f t="shared" si="2186"/>
        <v>17983337.907508977</v>
      </c>
      <c r="EB836" s="196">
        <f>'Detailed Budget'!$AC$200</f>
        <v>4683135004.5951529</v>
      </c>
      <c r="EC836" s="269">
        <f t="shared" si="2187"/>
        <v>4495834.4768772442</v>
      </c>
      <c r="ED836" s="269">
        <f t="shared" si="2152"/>
        <v>22479172.384386219</v>
      </c>
      <c r="EE836" s="196">
        <f>'Detailed Budget'!$AC$161</f>
        <v>251147290106.36197</v>
      </c>
      <c r="EF836" s="269">
        <f t="shared" si="2188"/>
        <v>280236820.52268851</v>
      </c>
      <c r="EG836" s="196">
        <f>'Detailed Budget'!$AC$163</f>
        <v>15696705631.647623</v>
      </c>
      <c r="EH836" s="269">
        <f t="shared" si="2189"/>
        <v>17514801.282668032</v>
      </c>
      <c r="EI836" s="269">
        <f t="shared" si="2153"/>
        <v>297751621.80535656</v>
      </c>
      <c r="EJ836" s="196">
        <f>'Detailed Budget'!$AC$204</f>
        <v>45012172507.531975</v>
      </c>
      <c r="EK836" s="269">
        <f t="shared" si="2190"/>
        <v>47692815.267610006</v>
      </c>
      <c r="EL836" s="201">
        <f>'Detailed Budget'!$AC$206</f>
        <v>11253043126.882994</v>
      </c>
      <c r="EM836" s="269">
        <f t="shared" si="2191"/>
        <v>11923203.816902502</v>
      </c>
      <c r="EN836" s="269">
        <f t="shared" si="2154"/>
        <v>59616019.084512509</v>
      </c>
      <c r="EO836" s="140">
        <f>'Detailed Budget'!$AC$209</f>
        <v>135789361677.54817</v>
      </c>
      <c r="EP836" s="269">
        <f t="shared" si="2192"/>
        <v>169034172.72225931</v>
      </c>
      <c r="EQ836" s="196">
        <f>'Detailed Budget'!$AC$211</f>
        <v>33947340419.387043</v>
      </c>
      <c r="ER836" s="269">
        <f t="shared" si="2193"/>
        <v>42258543.180564828</v>
      </c>
      <c r="ES836" s="269">
        <f t="shared" si="2155"/>
        <v>211292715.90282413</v>
      </c>
      <c r="ET836" s="196">
        <f>'Detailed Budget'!$AC$214</f>
        <v>22239745544.201103</v>
      </c>
      <c r="EU836" s="269">
        <f t="shared" si="2194"/>
        <v>26886517.408517446</v>
      </c>
      <c r="EV836" s="140">
        <f>'Detailed Budget'!$AC$217</f>
        <v>5559936386.0502758</v>
      </c>
      <c r="EW836" s="269">
        <f t="shared" si="2195"/>
        <v>6721629.3521293616</v>
      </c>
      <c r="EX836" s="269">
        <f t="shared" si="2156"/>
        <v>33608146.760646805</v>
      </c>
      <c r="EY836" s="196">
        <f>'Detailed Budget'!$AC$219</f>
        <v>372777004.58170313</v>
      </c>
      <c r="EZ836" s="269">
        <f t="shared" si="2196"/>
        <v>471787.15414604743</v>
      </c>
      <c r="FA836" s="196">
        <f>'Detailed Budget'!$AC$222</f>
        <v>93194251.145425782</v>
      </c>
      <c r="FB836" s="269">
        <f t="shared" si="2197"/>
        <v>117946.78853651186</v>
      </c>
      <c r="FC836" s="269">
        <f t="shared" si="2157"/>
        <v>589733.94268255925</v>
      </c>
      <c r="FD836" s="269"/>
      <c r="FE836" s="269">
        <f t="shared" si="2158"/>
        <v>305106615.69066602</v>
      </c>
      <c r="FF836" s="140">
        <f>'Detailed Budget'!$AC$165</f>
        <v>14927760000</v>
      </c>
      <c r="FG836" s="1087">
        <f t="shared" si="2043"/>
        <v>416185619.9846673</v>
      </c>
      <c r="FH836" s="269">
        <f t="shared" si="2198"/>
        <v>18657579.820474949</v>
      </c>
      <c r="FJ836" s="140">
        <f>'Detailed Budget'!$AC$235</f>
        <v>3623696172</v>
      </c>
      <c r="FK836" s="269">
        <f t="shared" si="2199"/>
        <v>4681778</v>
      </c>
      <c r="FL836" s="269">
        <f t="shared" si="2044"/>
        <v>4681778</v>
      </c>
      <c r="FR836" s="269">
        <f>'Detailed Budget'!$AC$257</f>
        <v>13636439388</v>
      </c>
      <c r="FS836" s="269">
        <f t="shared" si="2200"/>
        <v>7994688</v>
      </c>
      <c r="FT836" s="269">
        <f t="shared" si="2045"/>
        <v>7994688</v>
      </c>
      <c r="FU836" s="269"/>
      <c r="FV836" s="269"/>
      <c r="FW836" s="269"/>
      <c r="FX836" s="140">
        <f>'Detailed Budget'!$AC$278</f>
        <v>1114560000</v>
      </c>
      <c r="FY836" s="269">
        <f t="shared" si="2201"/>
        <v>1440000</v>
      </c>
      <c r="FZ836" s="269">
        <f t="shared" si="2216"/>
        <v>1440000</v>
      </c>
      <c r="GB836" s="269">
        <f t="shared" si="2094"/>
        <v>1318993595.2308838</v>
      </c>
      <c r="GC836" s="887">
        <f t="shared" si="2159"/>
        <v>824370.99701930245</v>
      </c>
      <c r="GD836" s="1078">
        <f t="shared" si="2095"/>
        <v>7.4012884020916976E-4</v>
      </c>
    </row>
    <row r="837" spans="1:186" hidden="1" outlineLevel="1">
      <c r="A837" s="211" t="s">
        <v>1745</v>
      </c>
      <c r="B837" s="212" t="s">
        <v>1746</v>
      </c>
      <c r="C837" s="213" t="s">
        <v>215</v>
      </c>
      <c r="D837" s="214"/>
      <c r="E837" s="213"/>
      <c r="F837" s="213"/>
      <c r="G837" s="213" t="s">
        <v>215</v>
      </c>
      <c r="H837" s="213" t="s">
        <v>215</v>
      </c>
      <c r="I837" s="214" t="s">
        <v>215</v>
      </c>
      <c r="J837" s="214"/>
      <c r="K837" s="213"/>
      <c r="L837" s="213"/>
      <c r="M837" s="214"/>
      <c r="N837" s="213"/>
      <c r="O837" s="214" t="s">
        <v>215</v>
      </c>
      <c r="P837" s="213"/>
      <c r="Q837" s="214" t="s">
        <v>215</v>
      </c>
      <c r="R837" s="214"/>
      <c r="S837" s="214"/>
      <c r="T837" s="214"/>
      <c r="U837" s="215">
        <f t="shared" si="2099"/>
        <v>6</v>
      </c>
      <c r="V837" s="845" t="s">
        <v>1073</v>
      </c>
      <c r="W837" s="216">
        <v>266457</v>
      </c>
      <c r="X837" s="217">
        <v>3.35</v>
      </c>
      <c r="Y837" s="218">
        <f t="shared" si="2170"/>
        <v>1.0335000000000001</v>
      </c>
      <c r="Z837" s="196">
        <v>19</v>
      </c>
      <c r="AA837" s="218">
        <f t="shared" si="2171"/>
        <v>1.8702477386515275</v>
      </c>
      <c r="AB837" s="196">
        <f t="shared" si="2175"/>
        <v>498340.60169787006</v>
      </c>
      <c r="AC837">
        <v>12.8</v>
      </c>
      <c r="AD837" s="196">
        <f t="shared" si="2176"/>
        <v>63787.597017327367</v>
      </c>
      <c r="AE837" s="196">
        <f t="shared" si="2172"/>
        <v>60598.217166461</v>
      </c>
      <c r="AF837" s="196">
        <f t="shared" si="2202"/>
        <v>0</v>
      </c>
      <c r="AG837" s="606"/>
      <c r="AH837" s="196">
        <f t="shared" si="2217"/>
        <v>24917.030084893504</v>
      </c>
      <c r="AI837" s="248">
        <f t="shared" si="2141"/>
        <v>1.9302845676885537E-3</v>
      </c>
      <c r="AJ837" s="196">
        <f t="shared" si="2142"/>
        <v>88704.627102220868</v>
      </c>
      <c r="AK837" s="196">
        <f t="shared" si="2173"/>
        <v>19933.624067914803</v>
      </c>
      <c r="AL837" s="196">
        <f t="shared" si="2174"/>
        <v>19933.624067914803</v>
      </c>
      <c r="AM837" s="196">
        <f t="shared" si="2143"/>
        <v>39867.248135829606</v>
      </c>
      <c r="AN837" s="627">
        <f t="shared" si="2144"/>
        <v>1.9302845676885537E-3</v>
      </c>
      <c r="AO837" s="196">
        <f t="shared" si="2145"/>
        <v>18936.942864519064</v>
      </c>
      <c r="AP837" s="589">
        <f t="shared" si="2163"/>
        <v>1.9302845676885539E-3</v>
      </c>
      <c r="AQ837" s="589"/>
      <c r="AR837" s="589"/>
      <c r="AS837">
        <v>1</v>
      </c>
      <c r="AT837" s="589">
        <f t="shared" si="2164"/>
        <v>1.2919896640826874E-3</v>
      </c>
      <c r="AU837" s="196">
        <v>12</v>
      </c>
      <c r="AV837" s="245">
        <f t="shared" si="2146"/>
        <v>1.3634814225656176E-3</v>
      </c>
      <c r="AX837" s="245"/>
      <c r="AY837" s="245"/>
      <c r="AZ837" s="196">
        <v>19</v>
      </c>
      <c r="BA837" s="589">
        <f t="shared" si="2073"/>
        <v>6.9620021252427542E-4</v>
      </c>
      <c r="BI837" s="196">
        <v>0</v>
      </c>
      <c r="BK837" s="246">
        <f t="shared" si="2074"/>
        <v>0</v>
      </c>
      <c r="BL837" s="246"/>
      <c r="BM837" s="246">
        <f t="shared" si="2075"/>
        <v>0</v>
      </c>
      <c r="BN837" s="196">
        <v>1</v>
      </c>
      <c r="BO837" s="196">
        <f t="shared" si="2203"/>
        <v>32053.470109609865</v>
      </c>
      <c r="BP837" s="196">
        <f t="shared" si="2147"/>
        <v>32053.470109609865</v>
      </c>
      <c r="BQ837" s="248">
        <f t="shared" si="2077"/>
        <v>2.9984528638214475E-3</v>
      </c>
      <c r="BR837" s="248"/>
      <c r="BS837" s="248"/>
      <c r="BT837" s="276">
        <v>0</v>
      </c>
      <c r="BU837" s="196">
        <f t="shared" si="2218"/>
        <v>0</v>
      </c>
      <c r="BV837" s="264">
        <f t="shared" si="2079"/>
        <v>0</v>
      </c>
      <c r="BW837" s="196">
        <f t="shared" si="2219"/>
        <v>0</v>
      </c>
      <c r="BX837" s="247">
        <f t="shared" si="2081"/>
        <v>0</v>
      </c>
      <c r="BY837" s="196">
        <f t="shared" si="2204"/>
        <v>0</v>
      </c>
      <c r="BZ837" s="620">
        <v>1</v>
      </c>
      <c r="CA837" s="196">
        <f t="shared" si="2205"/>
        <v>152492.22411954822</v>
      </c>
      <c r="CB837" s="196">
        <f t="shared" si="2206"/>
        <v>304984.44823909644</v>
      </c>
      <c r="CC837" s="196">
        <f t="shared" si="2160"/>
        <v>457476.67235864466</v>
      </c>
      <c r="CD837" s="247">
        <f t="shared" si="2148"/>
        <v>1.9302845676885535E-3</v>
      </c>
      <c r="CE837" s="196">
        <f t="shared" si="2207"/>
        <v>38457.793024760416</v>
      </c>
      <c r="CF837" s="247">
        <f t="shared" si="2149"/>
        <v>1.6607271044559017E-3</v>
      </c>
      <c r="CG837" s="196">
        <f t="shared" si="2179"/>
        <v>75747.771458076255</v>
      </c>
      <c r="CH837" s="589">
        <f t="shared" si="2165"/>
        <v>1.9302845676885539E-3</v>
      </c>
      <c r="CI837" s="271">
        <f t="shared" si="2208"/>
        <v>111492.55718783155</v>
      </c>
      <c r="CJ837" s="248">
        <f t="shared" si="2166"/>
        <v>1.8329373571624229E-3</v>
      </c>
      <c r="CK837" s="271">
        <f t="shared" si="2209"/>
        <v>149802.59482492713</v>
      </c>
      <c r="CL837" s="589">
        <f t="shared" si="2167"/>
        <v>2.1534431136874805E-3</v>
      </c>
      <c r="CM837" s="271">
        <f t="shared" si="2210"/>
        <v>14512.129506897143</v>
      </c>
      <c r="CN837" s="589">
        <f t="shared" si="2168"/>
        <v>2.0913627872315519E-3</v>
      </c>
      <c r="CO837" s="271">
        <f t="shared" si="2211"/>
        <v>1160.9550823141362</v>
      </c>
      <c r="CP837" s="589">
        <f t="shared" si="2169"/>
        <v>2.1893824652422299E-3</v>
      </c>
      <c r="CQ837" s="196">
        <f>'Detailed Budget'!$AC$12</f>
        <v>292876014141.44696</v>
      </c>
      <c r="CR837" s="269">
        <f t="shared" si="2177"/>
        <v>0</v>
      </c>
      <c r="CS837" s="269">
        <f>'Detailed Budget'!$AC$16</f>
        <v>10488008800.000002</v>
      </c>
      <c r="CT837" s="607">
        <f t="shared" si="2181"/>
        <v>0</v>
      </c>
      <c r="CU837" s="269">
        <f>'Detailed Budget'!$AC$24</f>
        <v>30624985696</v>
      </c>
      <c r="CV837" s="269">
        <f t="shared" si="2050"/>
        <v>0</v>
      </c>
      <c r="CW837" s="269"/>
      <c r="CX837" s="269">
        <f t="shared" si="2161"/>
        <v>0</v>
      </c>
      <c r="CY837" s="196">
        <f>'Detailed Budget'!$AC$97</f>
        <v>74629165494.837845</v>
      </c>
      <c r="CZ837" s="269">
        <f t="shared" si="2182"/>
        <v>223772035.0026013</v>
      </c>
      <c r="DA837" s="269">
        <f>'Detailed Budget'!$AC$100</f>
        <v>14925833098.967569</v>
      </c>
      <c r="DB837" s="269">
        <f t="shared" si="2183"/>
        <v>44754407.000520259</v>
      </c>
      <c r="DC837" s="269">
        <f t="shared" si="2150"/>
        <v>268526442.00312155</v>
      </c>
      <c r="DD837" s="207">
        <v>0</v>
      </c>
      <c r="DE837" s="606">
        <v>0</v>
      </c>
      <c r="DF837" s="269">
        <f>'Detailed Budget'!$AC$147</f>
        <v>5913600671000</v>
      </c>
      <c r="DG837" s="269">
        <f t="shared" si="2042"/>
        <v>0</v>
      </c>
      <c r="DH837" s="269"/>
      <c r="DI837" s="269"/>
      <c r="DJ837" s="269"/>
      <c r="DK837" s="269"/>
      <c r="DL837" s="269"/>
      <c r="DM837" s="196">
        <f>'Detailed Budget'!$AC$178</f>
        <v>5622683761.6229038</v>
      </c>
      <c r="DN837" s="269">
        <f t="shared" si="2212"/>
        <v>0</v>
      </c>
      <c r="DO837" s="196">
        <f>'Detailed Budget'!$AC$179</f>
        <v>26827890683.128094</v>
      </c>
      <c r="DP837" s="269">
        <f t="shared" si="2213"/>
        <v>0</v>
      </c>
      <c r="DQ837" s="269">
        <f t="shared" si="2220"/>
        <v>0</v>
      </c>
      <c r="DR837" s="269">
        <f>'Detailed Budget'!$AC$181</f>
        <v>50888946855.375237</v>
      </c>
      <c r="DS837" s="269">
        <f t="shared" si="2214"/>
        <v>0</v>
      </c>
      <c r="DT837" s="269">
        <f t="shared" si="2215"/>
        <v>0</v>
      </c>
      <c r="DU837" s="272">
        <f>'Detailed Budget'!$AC$192</f>
        <v>77498869683.252869</v>
      </c>
      <c r="DV837" s="269">
        <f t="shared" si="2184"/>
        <v>149594872.1628893</v>
      </c>
      <c r="DW837" s="140">
        <f>'Detailed Budget'!$AC$194</f>
        <v>2684962805.4134097</v>
      </c>
      <c r="DX837" s="269">
        <f t="shared" si="2185"/>
        <v>5182742.2681072699</v>
      </c>
      <c r="DY837" s="607">
        <f t="shared" si="2151"/>
        <v>154777614.43099657</v>
      </c>
      <c r="DZ837" s="196">
        <f>'Detailed Budget'!$AC$198</f>
        <v>18732540018.380611</v>
      </c>
      <c r="EA837" s="269">
        <f t="shared" si="2186"/>
        <v>31109636.943829536</v>
      </c>
      <c r="EB837" s="196">
        <f>'Detailed Budget'!$AC$200</f>
        <v>4683135004.5951529</v>
      </c>
      <c r="EC837" s="269">
        <f t="shared" si="2187"/>
        <v>7777409.2359573841</v>
      </c>
      <c r="ED837" s="269">
        <f t="shared" si="2152"/>
        <v>38887046.179786921</v>
      </c>
      <c r="EE837" s="196">
        <f>'Detailed Budget'!$AC$161</f>
        <v>251147290106.36197</v>
      </c>
      <c r="EF837" s="269">
        <f t="shared" si="2188"/>
        <v>484785738.30911076</v>
      </c>
      <c r="EG837" s="196">
        <f>'Detailed Budget'!$AC$163</f>
        <v>15696705631.647623</v>
      </c>
      <c r="EH837" s="269">
        <f t="shared" si="2189"/>
        <v>30299108.644319423</v>
      </c>
      <c r="EI837" s="269">
        <f t="shared" si="2153"/>
        <v>515084846.95343018</v>
      </c>
      <c r="EJ837" s="196">
        <f>'Detailed Budget'!$AC$204</f>
        <v>45012172507.531975</v>
      </c>
      <c r="EK837" s="269">
        <f t="shared" si="2190"/>
        <v>82504492.516094729</v>
      </c>
      <c r="EL837" s="201">
        <f>'Detailed Budget'!$AC$206</f>
        <v>11253043126.882994</v>
      </c>
      <c r="EM837" s="269">
        <f t="shared" si="2191"/>
        <v>20626123.129023682</v>
      </c>
      <c r="EN837" s="269">
        <f t="shared" si="2154"/>
        <v>103130615.64511842</v>
      </c>
      <c r="EO837" s="140">
        <f>'Detailed Budget'!$AC$209</f>
        <v>135789361677.54817</v>
      </c>
      <c r="EP837" s="269">
        <f t="shared" si="2192"/>
        <v>292414665.81653476</v>
      </c>
      <c r="EQ837" s="196">
        <f>'Detailed Budget'!$AC$211</f>
        <v>33947340419.387043</v>
      </c>
      <c r="ER837" s="269">
        <f t="shared" si="2193"/>
        <v>73103666.454133689</v>
      </c>
      <c r="ES837" s="269">
        <f t="shared" si="2155"/>
        <v>365518332.27066845</v>
      </c>
      <c r="ET837" s="196">
        <f>'Detailed Budget'!$AC$214</f>
        <v>22239745544.201103</v>
      </c>
      <c r="EU837" s="269">
        <f t="shared" si="2194"/>
        <v>46511376.228640907</v>
      </c>
      <c r="EV837" s="140">
        <f>'Detailed Budget'!$AC$217</f>
        <v>5559936386.0502758</v>
      </c>
      <c r="EW837" s="269">
        <f t="shared" si="2195"/>
        <v>11627844.057160227</v>
      </c>
      <c r="EX837" s="269">
        <f t="shared" si="2156"/>
        <v>58139220.285801135</v>
      </c>
      <c r="EY837" s="196">
        <f>'Detailed Budget'!$AC$219</f>
        <v>372777004.58170313</v>
      </c>
      <c r="EZ837" s="269">
        <f t="shared" si="2196"/>
        <v>816151.43727670319</v>
      </c>
      <c r="FA837" s="196">
        <f>'Detailed Budget'!$AC$222</f>
        <v>93194251.145425782</v>
      </c>
      <c r="FB837" s="269">
        <f t="shared" si="2197"/>
        <v>204037.8593191758</v>
      </c>
      <c r="FC837" s="269">
        <f t="shared" si="2157"/>
        <v>1020189.296595879</v>
      </c>
      <c r="FD837" s="269"/>
      <c r="FE837" s="269">
        <f t="shared" si="2158"/>
        <v>527808357.49818385</v>
      </c>
      <c r="FF837" s="140">
        <f>'Detailed Budget'!$AC$165</f>
        <v>14927760000</v>
      </c>
      <c r="FG837" s="1087">
        <f t="shared" si="2043"/>
        <v>719965537.29657698</v>
      </c>
      <c r="FH837" s="269">
        <f t="shared" si="2198"/>
        <v>20353723.440518126</v>
      </c>
      <c r="FJ837" s="140">
        <f>'Detailed Budget'!$AC$235</f>
        <v>3623696172</v>
      </c>
      <c r="FK837" s="269">
        <f t="shared" si="2199"/>
        <v>4681778</v>
      </c>
      <c r="FL837" s="269">
        <f t="shared" si="2044"/>
        <v>4681778</v>
      </c>
      <c r="FR837" s="269">
        <f>'Detailed Budget'!$AC$257</f>
        <v>13636439388</v>
      </c>
      <c r="FS837" s="269">
        <f t="shared" si="2200"/>
        <v>9493692</v>
      </c>
      <c r="FT837" s="269">
        <f t="shared" si="2045"/>
        <v>9493692</v>
      </c>
      <c r="FU837" s="269"/>
      <c r="FV837" s="269"/>
      <c r="FW837" s="269"/>
      <c r="FX837" s="140">
        <f>'Detailed Budget'!$AC$278</f>
        <v>1114560000</v>
      </c>
      <c r="FY837" s="269">
        <f t="shared" si="2201"/>
        <v>1440000</v>
      </c>
      <c r="FZ837" s="269">
        <f t="shared" si="2216"/>
        <v>1440000</v>
      </c>
      <c r="GB837" s="269">
        <f t="shared" si="2094"/>
        <v>2261019037.8026137</v>
      </c>
      <c r="GC837" s="887">
        <f t="shared" si="2159"/>
        <v>1413136.8986266337</v>
      </c>
      <c r="GD837" s="1078">
        <f t="shared" si="2095"/>
        <v>1.2687289795723174E-3</v>
      </c>
    </row>
    <row r="838" spans="1:186" hidden="1" outlineLevel="1">
      <c r="A838" s="211" t="s">
        <v>1747</v>
      </c>
      <c r="B838" s="212" t="s">
        <v>1748</v>
      </c>
      <c r="C838" s="213" t="s">
        <v>215</v>
      </c>
      <c r="D838" s="214"/>
      <c r="E838" s="213"/>
      <c r="F838" s="213"/>
      <c r="G838" s="213" t="s">
        <v>215</v>
      </c>
      <c r="H838" s="213" t="s">
        <v>215</v>
      </c>
      <c r="I838" s="214" t="s">
        <v>215</v>
      </c>
      <c r="J838" s="214"/>
      <c r="K838" s="213"/>
      <c r="L838" s="213"/>
      <c r="M838" s="214"/>
      <c r="N838" s="213"/>
      <c r="O838" s="214" t="s">
        <v>215</v>
      </c>
      <c r="P838" s="213"/>
      <c r="Q838" s="214" t="s">
        <v>215</v>
      </c>
      <c r="R838" s="214"/>
      <c r="S838" s="214"/>
      <c r="T838" s="214"/>
      <c r="U838" s="215">
        <f t="shared" si="2099"/>
        <v>6</v>
      </c>
      <c r="V838" s="845" t="s">
        <v>1073</v>
      </c>
      <c r="W838" s="216">
        <v>283098</v>
      </c>
      <c r="X838" s="217">
        <v>3.35</v>
      </c>
      <c r="Y838" s="218">
        <f t="shared" si="2170"/>
        <v>1.0335000000000001</v>
      </c>
      <c r="Z838" s="196">
        <v>19</v>
      </c>
      <c r="AA838" s="218">
        <f t="shared" si="2171"/>
        <v>1.8702477386515275</v>
      </c>
      <c r="AB838" s="196">
        <f t="shared" si="2175"/>
        <v>529463.39431677014</v>
      </c>
      <c r="AC838">
        <v>12.8</v>
      </c>
      <c r="AD838" s="196">
        <f t="shared" si="2176"/>
        <v>67771.314472546583</v>
      </c>
      <c r="AE838" s="196">
        <f t="shared" si="2172"/>
        <v>64382.74874891925</v>
      </c>
      <c r="AF838" s="196">
        <f t="shared" si="2202"/>
        <v>0</v>
      </c>
      <c r="AG838" s="606"/>
      <c r="AH838" s="196">
        <f t="shared" si="2217"/>
        <v>26473.169715838507</v>
      </c>
      <c r="AI838" s="248">
        <f t="shared" si="2141"/>
        <v>2.0508363471160233E-3</v>
      </c>
      <c r="AJ838" s="196">
        <f t="shared" si="2142"/>
        <v>94244.48418838509</v>
      </c>
      <c r="AK838" s="196">
        <f t="shared" si="2173"/>
        <v>21178.535772670806</v>
      </c>
      <c r="AL838" s="196">
        <f t="shared" si="2174"/>
        <v>21178.535772670806</v>
      </c>
      <c r="AM838" s="196">
        <f t="shared" si="2143"/>
        <v>42357.071545341612</v>
      </c>
      <c r="AN838" s="627">
        <f t="shared" si="2144"/>
        <v>2.0508363471160233E-3</v>
      </c>
      <c r="AO838" s="196">
        <f t="shared" si="2145"/>
        <v>20119.608984037266</v>
      </c>
      <c r="AP838" s="589">
        <f t="shared" si="2163"/>
        <v>2.0508363471160233E-3</v>
      </c>
      <c r="AQ838" s="589"/>
      <c r="AR838" s="589"/>
      <c r="AS838">
        <v>1</v>
      </c>
      <c r="AT838" s="589">
        <f t="shared" si="2164"/>
        <v>1.2919896640826874E-3</v>
      </c>
      <c r="AU838" s="196">
        <v>12</v>
      </c>
      <c r="AV838" s="245">
        <f t="shared" si="2146"/>
        <v>1.3634814225656176E-3</v>
      </c>
      <c r="AX838" s="245"/>
      <c r="AY838" s="245"/>
      <c r="AZ838" s="196">
        <v>22</v>
      </c>
      <c r="BA838" s="589">
        <f t="shared" si="2073"/>
        <v>8.0612656187021366E-4</v>
      </c>
      <c r="BI838" s="196">
        <v>0</v>
      </c>
      <c r="BK838" s="246">
        <f t="shared" si="2074"/>
        <v>0</v>
      </c>
      <c r="BL838" s="246"/>
      <c r="BM838" s="246">
        <f t="shared" si="2075"/>
        <v>0</v>
      </c>
      <c r="BN838" s="196">
        <v>1</v>
      </c>
      <c r="BO838" s="196">
        <f t="shared" si="2203"/>
        <v>34055.300784330437</v>
      </c>
      <c r="BP838" s="196">
        <f t="shared" si="2147"/>
        <v>34055.300784330437</v>
      </c>
      <c r="BQ838" s="248">
        <f t="shared" si="2077"/>
        <v>3.1857148014205832E-3</v>
      </c>
      <c r="BR838" s="248"/>
      <c r="BS838" s="248"/>
      <c r="BT838" s="276">
        <v>0</v>
      </c>
      <c r="BU838" s="196">
        <f t="shared" si="2218"/>
        <v>0</v>
      </c>
      <c r="BV838" s="264">
        <f t="shared" si="2079"/>
        <v>0</v>
      </c>
      <c r="BW838" s="196">
        <f t="shared" si="2219"/>
        <v>0</v>
      </c>
      <c r="BX838" s="247">
        <f t="shared" si="2081"/>
        <v>0</v>
      </c>
      <c r="BY838" s="196">
        <f t="shared" si="2204"/>
        <v>0</v>
      </c>
      <c r="BZ838" s="620">
        <v>1</v>
      </c>
      <c r="CA838" s="196">
        <f t="shared" si="2205"/>
        <v>162015.79866093167</v>
      </c>
      <c r="CB838" s="196">
        <f t="shared" si="2206"/>
        <v>324031.59732186334</v>
      </c>
      <c r="CC838" s="196">
        <f t="shared" si="2160"/>
        <v>486047.39598279505</v>
      </c>
      <c r="CD838" s="247">
        <f t="shared" si="2148"/>
        <v>2.0508363471160233E-3</v>
      </c>
      <c r="CE838" s="196">
        <f t="shared" si="2207"/>
        <v>40859.591940626902</v>
      </c>
      <c r="CF838" s="247">
        <f t="shared" si="2149"/>
        <v>1.7644442511071459E-3</v>
      </c>
      <c r="CG838" s="196">
        <f t="shared" si="2179"/>
        <v>80478.435936149064</v>
      </c>
      <c r="CH838" s="589">
        <f t="shared" si="2165"/>
        <v>2.0508363471160233E-3</v>
      </c>
      <c r="CI838" s="271">
        <f t="shared" si="2208"/>
        <v>118455.58553447928</v>
      </c>
      <c r="CJ838" s="248">
        <f t="shared" si="2166"/>
        <v>1.9474095255068086E-3</v>
      </c>
      <c r="CK838" s="271">
        <f t="shared" si="2209"/>
        <v>159158.19434185338</v>
      </c>
      <c r="CL838" s="589">
        <f t="shared" si="2167"/>
        <v>2.2879317811080151E-3</v>
      </c>
      <c r="CM838" s="271">
        <f t="shared" si="2210"/>
        <v>15418.453405778673</v>
      </c>
      <c r="CN838" s="589">
        <f t="shared" si="2168"/>
        <v>2.2219743611152191E-3</v>
      </c>
      <c r="CO838" s="271">
        <f t="shared" si="2211"/>
        <v>1233.460040055121</v>
      </c>
      <c r="CP838" s="589">
        <f t="shared" si="2169"/>
        <v>2.3261156477223147E-3</v>
      </c>
      <c r="CQ838" s="196">
        <f>'Detailed Budget'!$AC$12</f>
        <v>292876014141.44696</v>
      </c>
      <c r="CR838" s="269">
        <f t="shared" si="2177"/>
        <v>0</v>
      </c>
      <c r="CS838" s="269">
        <f>'Detailed Budget'!$AC$16</f>
        <v>10488008800.000002</v>
      </c>
      <c r="CT838" s="607">
        <f t="shared" si="2181"/>
        <v>0</v>
      </c>
      <c r="CU838" s="269">
        <f>'Detailed Budget'!$AC$24</f>
        <v>30624985696</v>
      </c>
      <c r="CV838" s="269">
        <f t="shared" si="2050"/>
        <v>0</v>
      </c>
      <c r="CW838" s="269"/>
      <c r="CX838" s="269">
        <f t="shared" si="2161"/>
        <v>0</v>
      </c>
      <c r="CY838" s="196">
        <f>'Detailed Budget'!$AC$97</f>
        <v>74629165494.837845</v>
      </c>
      <c r="CZ838" s="269">
        <f t="shared" si="2182"/>
        <v>237747237.13457119</v>
      </c>
      <c r="DA838" s="269">
        <f>'Detailed Budget'!$AC$100</f>
        <v>14925833098.967569</v>
      </c>
      <c r="DB838" s="269">
        <f t="shared" si="2183"/>
        <v>47549447.426914237</v>
      </c>
      <c r="DC838" s="269">
        <f t="shared" si="2150"/>
        <v>285296684.56148541</v>
      </c>
      <c r="DD838" s="207">
        <v>0</v>
      </c>
      <c r="DE838" s="606">
        <v>0</v>
      </c>
      <c r="DF838" s="269">
        <f>'Detailed Budget'!$AC$147</f>
        <v>5913600671000</v>
      </c>
      <c r="DG838" s="269">
        <f t="shared" si="2042"/>
        <v>0</v>
      </c>
      <c r="DH838" s="269"/>
      <c r="DI838" s="269"/>
      <c r="DJ838" s="269"/>
      <c r="DK838" s="269"/>
      <c r="DL838" s="269"/>
      <c r="DM838" s="196">
        <f>'Detailed Budget'!$AC$178</f>
        <v>5622683761.6229038</v>
      </c>
      <c r="DN838" s="269">
        <f t="shared" si="2212"/>
        <v>0</v>
      </c>
      <c r="DO838" s="196">
        <f>'Detailed Budget'!$AC$179</f>
        <v>26827890683.128094</v>
      </c>
      <c r="DP838" s="269">
        <f t="shared" si="2213"/>
        <v>0</v>
      </c>
      <c r="DQ838" s="269">
        <f t="shared" si="2220"/>
        <v>0</v>
      </c>
      <c r="DR838" s="269">
        <f>'Detailed Budget'!$AC$181</f>
        <v>50888946855.375237</v>
      </c>
      <c r="DS838" s="269">
        <f t="shared" si="2214"/>
        <v>0</v>
      </c>
      <c r="DT838" s="269">
        <f t="shared" si="2215"/>
        <v>0</v>
      </c>
      <c r="DU838" s="272">
        <f>'Detailed Budget'!$AC$192</f>
        <v>77498869683.252869</v>
      </c>
      <c r="DV838" s="269">
        <f t="shared" si="2184"/>
        <v>158937498.80682305</v>
      </c>
      <c r="DW838" s="140">
        <f>'Detailed Budget'!$AC$194</f>
        <v>2684962805.4134097</v>
      </c>
      <c r="DX838" s="269">
        <f t="shared" si="2185"/>
        <v>5506419.3119964274</v>
      </c>
      <c r="DY838" s="607">
        <f t="shared" si="2151"/>
        <v>164443918.11881948</v>
      </c>
      <c r="DZ838" s="196">
        <f>'Detailed Budget'!$AC$198</f>
        <v>18732540018.380611</v>
      </c>
      <c r="EA838" s="269">
        <f t="shared" si="2186"/>
        <v>33052522.544066221</v>
      </c>
      <c r="EB838" s="196">
        <f>'Detailed Budget'!$AC$200</f>
        <v>4683135004.5951529</v>
      </c>
      <c r="EC838" s="269">
        <f t="shared" si="2187"/>
        <v>8263130.6360165551</v>
      </c>
      <c r="ED838" s="269">
        <f t="shared" si="2152"/>
        <v>41315653.180082776</v>
      </c>
      <c r="EE838" s="196">
        <f>'Detailed Budget'!$AC$161</f>
        <v>251147290106.36197</v>
      </c>
      <c r="EF838" s="269">
        <f t="shared" si="2188"/>
        <v>515061991.02981955</v>
      </c>
      <c r="EG838" s="196">
        <f>'Detailed Budget'!$AC$163</f>
        <v>15696705631.647623</v>
      </c>
      <c r="EH838" s="269">
        <f t="shared" si="2189"/>
        <v>32191374.439363722</v>
      </c>
      <c r="EI838" s="269">
        <f t="shared" si="2153"/>
        <v>547253365.46918333</v>
      </c>
      <c r="EJ838" s="196">
        <f>'Detailed Budget'!$AC$204</f>
        <v>45012172507.531975</v>
      </c>
      <c r="EK838" s="269">
        <f t="shared" si="2190"/>
        <v>87657133.504923463</v>
      </c>
      <c r="EL838" s="201">
        <f>'Detailed Budget'!$AC$206</f>
        <v>11253043126.882994</v>
      </c>
      <c r="EM838" s="269">
        <f t="shared" si="2191"/>
        <v>21914283.376230866</v>
      </c>
      <c r="EN838" s="269">
        <f t="shared" si="2154"/>
        <v>109571416.88115433</v>
      </c>
      <c r="EO838" s="140">
        <f>'Detailed Budget'!$AC$209</f>
        <v>135789361677.54817</v>
      </c>
      <c r="EP838" s="269">
        <f t="shared" si="2192"/>
        <v>310676796.11843324</v>
      </c>
      <c r="EQ838" s="196">
        <f>'Detailed Budget'!$AC$211</f>
        <v>33947340419.387043</v>
      </c>
      <c r="ER838" s="269">
        <f t="shared" si="2193"/>
        <v>77669199.029608309</v>
      </c>
      <c r="ES838" s="269">
        <f t="shared" si="2155"/>
        <v>388345995.14804155</v>
      </c>
      <c r="ET838" s="196">
        <f>'Detailed Budget'!$AC$214</f>
        <v>22239745544.201103</v>
      </c>
      <c r="EU838" s="269">
        <f t="shared" si="2194"/>
        <v>49416144.396941289</v>
      </c>
      <c r="EV838" s="140">
        <f>'Detailed Budget'!$AC$217</f>
        <v>5559936386.0502758</v>
      </c>
      <c r="EW838" s="269">
        <f t="shared" si="2195"/>
        <v>12354036.099235322</v>
      </c>
      <c r="EX838" s="269">
        <f t="shared" si="2156"/>
        <v>61770180.496176615</v>
      </c>
      <c r="EY838" s="196">
        <f>'Detailed Budget'!$AC$219</f>
        <v>372777004.58170313</v>
      </c>
      <c r="EZ838" s="269">
        <f t="shared" si="2196"/>
        <v>867122.42346855265</v>
      </c>
      <c r="FA838" s="196">
        <f>'Detailed Budget'!$AC$222</f>
        <v>93194251.145425782</v>
      </c>
      <c r="FB838" s="269">
        <f t="shared" si="2197"/>
        <v>216780.60586713816</v>
      </c>
      <c r="FC838" s="269">
        <f t="shared" si="2157"/>
        <v>1083903.0293356909</v>
      </c>
      <c r="FD838" s="269"/>
      <c r="FE838" s="269">
        <f t="shared" si="2158"/>
        <v>560771495.55470824</v>
      </c>
      <c r="FF838" s="140">
        <f>'Detailed Budget'!$AC$165</f>
        <v>14927760000</v>
      </c>
      <c r="FG838" s="1087">
        <f t="shared" si="2043"/>
        <v>764929439.56280529</v>
      </c>
      <c r="FH838" s="269">
        <f t="shared" si="2198"/>
        <v>20353723.440518126</v>
      </c>
      <c r="FJ838" s="140">
        <f>'Detailed Budget'!$AC$235</f>
        <v>3623696172</v>
      </c>
      <c r="FK838" s="269">
        <f t="shared" si="2199"/>
        <v>4681778</v>
      </c>
      <c r="FL838" s="269">
        <f t="shared" si="2044"/>
        <v>4681778</v>
      </c>
      <c r="FR838" s="269">
        <f>'Detailed Budget'!$AC$257</f>
        <v>13636439388</v>
      </c>
      <c r="FS838" s="269">
        <f t="shared" si="2200"/>
        <v>10992696</v>
      </c>
      <c r="FT838" s="269">
        <f t="shared" si="2045"/>
        <v>10992696</v>
      </c>
      <c r="FU838" s="269"/>
      <c r="FV838" s="269"/>
      <c r="FW838" s="269"/>
      <c r="FX838" s="140">
        <f>'Detailed Budget'!$AC$278</f>
        <v>1114560000</v>
      </c>
      <c r="FY838" s="269">
        <f t="shared" si="2201"/>
        <v>1440000</v>
      </c>
      <c r="FZ838" s="269">
        <f t="shared" si="2216"/>
        <v>1440000</v>
      </c>
      <c r="GB838" s="269">
        <f t="shared" si="2094"/>
        <v>2401478753.8876023</v>
      </c>
      <c r="GC838" s="887">
        <f t="shared" si="2159"/>
        <v>1500924.2211797514</v>
      </c>
      <c r="GD838" s="1078">
        <f t="shared" si="2095"/>
        <v>1.3475453492180658E-3</v>
      </c>
    </row>
    <row r="839" spans="1:186" hidden="1" outlineLevel="1">
      <c r="A839" s="211" t="s">
        <v>1749</v>
      </c>
      <c r="B839" s="212" t="s">
        <v>1750</v>
      </c>
      <c r="C839" s="213" t="s">
        <v>215</v>
      </c>
      <c r="D839" s="214"/>
      <c r="E839" s="213"/>
      <c r="F839" s="213"/>
      <c r="G839" s="213" t="s">
        <v>215</v>
      </c>
      <c r="H839" s="213" t="s">
        <v>215</v>
      </c>
      <c r="I839" s="214" t="s">
        <v>215</v>
      </c>
      <c r="J839" s="214"/>
      <c r="K839" s="213"/>
      <c r="L839" s="213"/>
      <c r="M839" s="214"/>
      <c r="N839" s="213" t="s">
        <v>215</v>
      </c>
      <c r="O839" s="214"/>
      <c r="P839" s="213"/>
      <c r="Q839" s="214"/>
      <c r="R839" s="214" t="s">
        <v>215</v>
      </c>
      <c r="S839" s="214"/>
      <c r="T839" s="214"/>
      <c r="U839" s="215">
        <f t="shared" si="2099"/>
        <v>6</v>
      </c>
      <c r="V839" s="845" t="s">
        <v>216</v>
      </c>
      <c r="W839" s="216">
        <v>103243</v>
      </c>
      <c r="X839" s="217">
        <v>3.35</v>
      </c>
      <c r="Y839" s="218">
        <f t="shared" si="2170"/>
        <v>1.0335000000000001</v>
      </c>
      <c r="Z839" s="196">
        <v>19</v>
      </c>
      <c r="AA839" s="218">
        <f t="shared" si="2171"/>
        <v>1.8702477386515275</v>
      </c>
      <c r="AB839" s="196">
        <f t="shared" si="2175"/>
        <v>193089.98728159966</v>
      </c>
      <c r="AC839">
        <v>12.8</v>
      </c>
      <c r="AD839" s="196">
        <f t="shared" si="2176"/>
        <v>24715.51837204476</v>
      </c>
      <c r="AE839" s="196">
        <f t="shared" si="2172"/>
        <v>23479.742453442523</v>
      </c>
      <c r="AF839" s="196">
        <f t="shared" si="2202"/>
        <v>0</v>
      </c>
      <c r="AG839" s="606"/>
      <c r="AH839" s="196">
        <f t="shared" si="2217"/>
        <v>9654.4993640799839</v>
      </c>
      <c r="AI839" s="248">
        <f t="shared" si="2141"/>
        <v>7.4791943773993316E-4</v>
      </c>
      <c r="AJ839" s="196">
        <f t="shared" si="2142"/>
        <v>34370.017736124748</v>
      </c>
      <c r="AK839" s="196">
        <f t="shared" si="2173"/>
        <v>7723.5994912639871</v>
      </c>
      <c r="AL839" s="196">
        <f t="shared" si="2174"/>
        <v>7723.5994912639871</v>
      </c>
      <c r="AM839" s="196">
        <f t="shared" si="2143"/>
        <v>15447.198982527974</v>
      </c>
      <c r="AN839" s="627">
        <f t="shared" si="2144"/>
        <v>7.4791943773993316E-4</v>
      </c>
      <c r="AO839" s="196">
        <f t="shared" si="2145"/>
        <v>7337.4195167007874</v>
      </c>
      <c r="AP839" s="589">
        <f t="shared" si="2163"/>
        <v>7.4791943773993316E-4</v>
      </c>
      <c r="AQ839" s="589"/>
      <c r="AR839" s="589"/>
      <c r="AS839">
        <v>1</v>
      </c>
      <c r="AT839" s="589">
        <f t="shared" si="2164"/>
        <v>1.2919896640826874E-3</v>
      </c>
      <c r="AU839" s="196">
        <v>10</v>
      </c>
      <c r="AV839" s="245">
        <f t="shared" si="2146"/>
        <v>1.1362345188046814E-3</v>
      </c>
      <c r="AX839" s="245"/>
      <c r="AY839" s="245"/>
      <c r="AZ839" s="196">
        <v>14</v>
      </c>
      <c r="BA839" s="589">
        <f t="shared" si="2073"/>
        <v>5.1298963028104507E-4</v>
      </c>
      <c r="BI839" s="196">
        <v>0</v>
      </c>
      <c r="BK839" s="246">
        <f t="shared" si="2074"/>
        <v>0</v>
      </c>
      <c r="BL839" s="246"/>
      <c r="BM839" s="246">
        <f t="shared" si="2075"/>
        <v>0</v>
      </c>
      <c r="BN839" s="196">
        <v>1</v>
      </c>
      <c r="BO839" s="196">
        <f t="shared" si="2203"/>
        <v>12419.626485798655</v>
      </c>
      <c r="BP839" s="196">
        <f t="shared" si="2147"/>
        <v>12419.626485798655</v>
      </c>
      <c r="BQ839" s="248">
        <f t="shared" si="2077"/>
        <v>1.1617982226757705E-3</v>
      </c>
      <c r="BR839" s="248"/>
      <c r="BS839" s="248"/>
      <c r="BT839" s="276">
        <v>0</v>
      </c>
      <c r="BU839" s="196">
        <f t="shared" si="2218"/>
        <v>0</v>
      </c>
      <c r="BV839" s="264">
        <f t="shared" si="2079"/>
        <v>0</v>
      </c>
      <c r="BW839" s="196">
        <f t="shared" si="2219"/>
        <v>0</v>
      </c>
      <c r="BX839" s="247">
        <f t="shared" si="2081"/>
        <v>0</v>
      </c>
      <c r="BY839" s="196">
        <f t="shared" si="2204"/>
        <v>0</v>
      </c>
      <c r="BZ839" s="620">
        <v>1</v>
      </c>
      <c r="CA839" s="196">
        <f t="shared" si="2205"/>
        <v>59085.536108169501</v>
      </c>
      <c r="CB839" s="196">
        <f t="shared" si="2206"/>
        <v>118171.072216339</v>
      </c>
      <c r="CC839" s="196">
        <f t="shared" si="2160"/>
        <v>177256.6083245085</v>
      </c>
      <c r="CD839" s="247">
        <f t="shared" si="2148"/>
        <v>7.4791943773993316E-4</v>
      </c>
      <c r="CE839" s="196">
        <f t="shared" si="2207"/>
        <v>14901.08319637067</v>
      </c>
      <c r="CF839" s="247">
        <f t="shared" si="2149"/>
        <v>6.4347511397839293E-4</v>
      </c>
      <c r="CG839" s="196">
        <f t="shared" si="2179"/>
        <v>29349.67806680315</v>
      </c>
      <c r="CH839" s="589">
        <f t="shared" si="2165"/>
        <v>7.4791943773993316E-4</v>
      </c>
      <c r="CI839" s="271">
        <f t="shared" si="2208"/>
        <v>43199.563463310384</v>
      </c>
      <c r="CJ839" s="248">
        <f t="shared" si="2166"/>
        <v>7.1020071368183251E-4</v>
      </c>
      <c r="CK839" s="271">
        <f t="shared" si="2209"/>
        <v>58043.396486149562</v>
      </c>
      <c r="CL839" s="589">
        <f t="shared" si="2167"/>
        <v>8.3438576350569355E-4</v>
      </c>
      <c r="CM839" s="271">
        <f t="shared" si="2210"/>
        <v>5622.9552486164075</v>
      </c>
      <c r="CN839" s="589">
        <f t="shared" si="2168"/>
        <v>8.1033175424983085E-4</v>
      </c>
      <c r="CO839" s="271">
        <f t="shared" si="2211"/>
        <v>449.83050009329224</v>
      </c>
      <c r="CP839" s="589">
        <f t="shared" si="2169"/>
        <v>8.4831103652373003E-4</v>
      </c>
      <c r="CQ839" s="196">
        <f>'Detailed Budget'!$AC$12</f>
        <v>292876014141.44696</v>
      </c>
      <c r="CR839" s="269">
        <f t="shared" si="2177"/>
        <v>0</v>
      </c>
      <c r="CS839" s="269">
        <f>'Detailed Budget'!$AC$16</f>
        <v>10488008800.000002</v>
      </c>
      <c r="CT839" s="607">
        <f t="shared" si="2181"/>
        <v>0</v>
      </c>
      <c r="CU839" s="269">
        <f>'Detailed Budget'!$AC$24</f>
        <v>30624985696</v>
      </c>
      <c r="CV839" s="269">
        <f t="shared" si="2050"/>
        <v>0</v>
      </c>
      <c r="CW839" s="269"/>
      <c r="CX839" s="269">
        <f t="shared" si="2161"/>
        <v>0</v>
      </c>
      <c r="CY839" s="196">
        <f>'Detailed Budget'!$AC$97</f>
        <v>74629165494.837845</v>
      </c>
      <c r="CZ839" s="269">
        <f t="shared" si="2182"/>
        <v>86704031.831678554</v>
      </c>
      <c r="DA839" s="269">
        <f>'Detailed Budget'!$AC$100</f>
        <v>14925833098.967569</v>
      </c>
      <c r="DB839" s="269">
        <f t="shared" si="2183"/>
        <v>17340806.366335709</v>
      </c>
      <c r="DC839" s="269">
        <f t="shared" si="2150"/>
        <v>104044838.19801426</v>
      </c>
      <c r="DD839" s="207">
        <v>0</v>
      </c>
      <c r="DE839" s="606">
        <v>0</v>
      </c>
      <c r="DF839" s="269">
        <f>'Detailed Budget'!$AC$147</f>
        <v>5913600671000</v>
      </c>
      <c r="DG839" s="269">
        <f t="shared" ref="DG839:DG861" si="2221">DE839*DF839</f>
        <v>0</v>
      </c>
      <c r="DH839" s="269"/>
      <c r="DI839" s="269"/>
      <c r="DJ839" s="269"/>
      <c r="DK839" s="269"/>
      <c r="DL839" s="269"/>
      <c r="DM839" s="196">
        <f>'Detailed Budget'!$AC$178</f>
        <v>5622683761.6229038</v>
      </c>
      <c r="DN839" s="269">
        <f t="shared" si="2212"/>
        <v>0</v>
      </c>
      <c r="DO839" s="196">
        <f>'Detailed Budget'!$AC$179</f>
        <v>26827890683.128094</v>
      </c>
      <c r="DP839" s="269">
        <f t="shared" si="2213"/>
        <v>0</v>
      </c>
      <c r="DQ839" s="269">
        <f t="shared" si="2220"/>
        <v>0</v>
      </c>
      <c r="DR839" s="269">
        <f>'Detailed Budget'!$AC$181</f>
        <v>50888946855.375237</v>
      </c>
      <c r="DS839" s="269">
        <f t="shared" si="2214"/>
        <v>0</v>
      </c>
      <c r="DT839" s="269">
        <f t="shared" si="2215"/>
        <v>0</v>
      </c>
      <c r="DU839" s="272">
        <f>'Detailed Budget'!$AC$192</f>
        <v>77498869683.252869</v>
      </c>
      <c r="DV839" s="269">
        <f t="shared" si="2184"/>
        <v>57962911.038978837</v>
      </c>
      <c r="DW839" s="140">
        <f>'Detailed Budget'!$AC$194</f>
        <v>2684962805.4134097</v>
      </c>
      <c r="DX839" s="269">
        <f t="shared" si="2185"/>
        <v>2008135.8717774309</v>
      </c>
      <c r="DY839" s="607">
        <f t="shared" si="2151"/>
        <v>59971046.910756268</v>
      </c>
      <c r="DZ839" s="196">
        <f>'Detailed Budget'!$AC$198</f>
        <v>18732540018.380611</v>
      </c>
      <c r="EA839" s="269">
        <f t="shared" si="2186"/>
        <v>12053923.32343227</v>
      </c>
      <c r="EB839" s="196">
        <f>'Detailed Budget'!$AC$200</f>
        <v>4683135004.5951529</v>
      </c>
      <c r="EC839" s="269">
        <f t="shared" si="2187"/>
        <v>3013480.8308580676</v>
      </c>
      <c r="ED839" s="269">
        <f t="shared" si="2152"/>
        <v>15067404.154290337</v>
      </c>
      <c r="EE839" s="196">
        <f>'Detailed Budget'!$AC$161</f>
        <v>251147290106.36197</v>
      </c>
      <c r="EF839" s="269">
        <f t="shared" si="2188"/>
        <v>187837940.00625813</v>
      </c>
      <c r="EG839" s="196">
        <f>'Detailed Budget'!$AC$163</f>
        <v>15696705631.647623</v>
      </c>
      <c r="EH839" s="269">
        <f t="shared" si="2189"/>
        <v>11739871.250391133</v>
      </c>
      <c r="EI839" s="269">
        <f t="shared" si="2153"/>
        <v>199577811.25664926</v>
      </c>
      <c r="EJ839" s="196">
        <f>'Detailed Budget'!$AC$204</f>
        <v>45012172507.531975</v>
      </c>
      <c r="EK839" s="269">
        <f t="shared" si="2190"/>
        <v>31967677.03921897</v>
      </c>
      <c r="EL839" s="201">
        <f>'Detailed Budget'!$AC$206</f>
        <v>11253043126.882994</v>
      </c>
      <c r="EM839" s="269">
        <f t="shared" si="2191"/>
        <v>7991919.2598047424</v>
      </c>
      <c r="EN839" s="269">
        <f t="shared" si="2154"/>
        <v>39959596.29902371</v>
      </c>
      <c r="EO839" s="140">
        <f>'Detailed Budget'!$AC$209</f>
        <v>135789361677.54817</v>
      </c>
      <c r="EP839" s="269">
        <f t="shared" si="2192"/>
        <v>113300710.21927179</v>
      </c>
      <c r="EQ839" s="196">
        <f>'Detailed Budget'!$AC$211</f>
        <v>33947340419.387043</v>
      </c>
      <c r="ER839" s="269">
        <f t="shared" si="2193"/>
        <v>28325177.554817948</v>
      </c>
      <c r="ES839" s="269">
        <f t="shared" si="2155"/>
        <v>141625887.77408975</v>
      </c>
      <c r="ET839" s="196">
        <f>'Detailed Budget'!$AC$214</f>
        <v>22239745544.201103</v>
      </c>
      <c r="EU839" s="269">
        <f t="shared" si="2194"/>
        <v>18021572.020902339</v>
      </c>
      <c r="EV839" s="140">
        <f>'Detailed Budget'!$AC$217</f>
        <v>5559936386.0502758</v>
      </c>
      <c r="EW839" s="269">
        <f t="shared" si="2195"/>
        <v>4505393.0052255848</v>
      </c>
      <c r="EX839" s="269">
        <f t="shared" si="2156"/>
        <v>22526965.026127923</v>
      </c>
      <c r="EY839" s="196">
        <f>'Detailed Budget'!$AC$219</f>
        <v>372777004.58170313</v>
      </c>
      <c r="EZ839" s="269">
        <f t="shared" si="2196"/>
        <v>316230.84714891581</v>
      </c>
      <c r="FA839" s="196">
        <f>'Detailed Budget'!$AC$222</f>
        <v>93194251.145425782</v>
      </c>
      <c r="FB839" s="269">
        <f t="shared" si="2197"/>
        <v>79057.711787228953</v>
      </c>
      <c r="FC839" s="269">
        <f t="shared" si="2157"/>
        <v>395288.55893614475</v>
      </c>
      <c r="FD839" s="269"/>
      <c r="FE839" s="269">
        <f t="shared" si="2158"/>
        <v>204507737.65817755</v>
      </c>
      <c r="FF839" s="140">
        <f>'Detailed Budget'!$AC$165</f>
        <v>14927760000</v>
      </c>
      <c r="FG839" s="1087">
        <f t="shared" ref="FG839:FG861" si="2222">FE839/0.423*0.577</f>
        <v>278962091.32096559</v>
      </c>
      <c r="FH839" s="269">
        <f t="shared" si="2198"/>
        <v>16961436.200431772</v>
      </c>
      <c r="FJ839" s="140">
        <f>'Detailed Budget'!$AC$235</f>
        <v>3623696172</v>
      </c>
      <c r="FK839" s="269">
        <f t="shared" si="2199"/>
        <v>4681778</v>
      </c>
      <c r="FL839" s="269">
        <f t="shared" ref="FL839:FL861" si="2223">FI839+FK839</f>
        <v>4681778</v>
      </c>
      <c r="FR839" s="269">
        <f>'Detailed Budget'!$AC$257</f>
        <v>13636439388</v>
      </c>
      <c r="FS839" s="269">
        <f t="shared" si="2200"/>
        <v>6995352</v>
      </c>
      <c r="FT839" s="269">
        <f t="shared" ref="FT839:FT861" si="2224">FM839+FO839+FQ839+FS839</f>
        <v>6995352</v>
      </c>
      <c r="FU839" s="269"/>
      <c r="FV839" s="269"/>
      <c r="FW839" s="269"/>
      <c r="FX839" s="140">
        <f>'Detailed Budget'!$AC$278</f>
        <v>1114560000</v>
      </c>
      <c r="FY839" s="269">
        <f t="shared" si="2201"/>
        <v>1440000</v>
      </c>
      <c r="FZ839" s="269">
        <f t="shared" si="2216"/>
        <v>1440000</v>
      </c>
      <c r="GB839" s="269">
        <f t="shared" si="2094"/>
        <v>892209495.69928503</v>
      </c>
      <c r="GC839" s="887">
        <f t="shared" si="2159"/>
        <v>557630.93481205311</v>
      </c>
      <c r="GD839" s="1078">
        <f t="shared" si="2095"/>
        <v>5.0064684291353876E-4</v>
      </c>
    </row>
    <row r="840" spans="1:186" hidden="1" outlineLevel="1">
      <c r="A840" s="211" t="s">
        <v>1751</v>
      </c>
      <c r="B840" s="212" t="s">
        <v>1752</v>
      </c>
      <c r="C840" s="213" t="s">
        <v>215</v>
      </c>
      <c r="D840" s="214"/>
      <c r="E840" s="213"/>
      <c r="F840" s="213"/>
      <c r="G840" s="213" t="s">
        <v>215</v>
      </c>
      <c r="H840" s="213" t="s">
        <v>215</v>
      </c>
      <c r="I840" s="214" t="s">
        <v>215</v>
      </c>
      <c r="J840" s="214"/>
      <c r="K840" s="213"/>
      <c r="L840" s="213"/>
      <c r="M840" s="214"/>
      <c r="N840" s="213"/>
      <c r="O840" s="214" t="s">
        <v>215</v>
      </c>
      <c r="P840" s="213"/>
      <c r="Q840" s="214"/>
      <c r="R840" s="214" t="s">
        <v>215</v>
      </c>
      <c r="S840" s="214"/>
      <c r="T840" s="214"/>
      <c r="U840" s="215">
        <f t="shared" si="2099"/>
        <v>6</v>
      </c>
      <c r="V840" s="845" t="s">
        <v>216</v>
      </c>
      <c r="W840" s="216">
        <v>117182</v>
      </c>
      <c r="X840" s="217">
        <v>3.35</v>
      </c>
      <c r="Y840" s="218">
        <f t="shared" si="2170"/>
        <v>1.0335000000000001</v>
      </c>
      <c r="Z840" s="196">
        <v>19</v>
      </c>
      <c r="AA840" s="218">
        <f t="shared" si="2171"/>
        <v>1.8702477386515275</v>
      </c>
      <c r="AB840" s="196">
        <f t="shared" si="2175"/>
        <v>219159.37051066328</v>
      </c>
      <c r="AC840">
        <v>12.8</v>
      </c>
      <c r="AD840" s="196">
        <f t="shared" si="2176"/>
        <v>28052.3994253649</v>
      </c>
      <c r="AE840" s="196">
        <f t="shared" si="2172"/>
        <v>26649.779454096653</v>
      </c>
      <c r="AF840" s="196">
        <f t="shared" si="2202"/>
        <v>0</v>
      </c>
      <c r="AG840" s="606"/>
      <c r="AH840" s="196">
        <f t="shared" si="2217"/>
        <v>10957.968525533164</v>
      </c>
      <c r="AI840" s="248">
        <f t="shared" si="2141"/>
        <v>8.4889721872902604E-4</v>
      </c>
      <c r="AJ840" s="196">
        <f t="shared" si="2142"/>
        <v>39010.367950898064</v>
      </c>
      <c r="AK840" s="196">
        <f t="shared" si="2173"/>
        <v>8766.3748204265321</v>
      </c>
      <c r="AL840" s="196">
        <f t="shared" si="2174"/>
        <v>8766.3748204265321</v>
      </c>
      <c r="AM840" s="196">
        <f t="shared" si="2143"/>
        <v>17532.749640853064</v>
      </c>
      <c r="AN840" s="627">
        <f t="shared" si="2144"/>
        <v>8.4889721872902614E-4</v>
      </c>
      <c r="AO840" s="196">
        <f t="shared" si="2145"/>
        <v>8328.0560794052053</v>
      </c>
      <c r="AP840" s="589">
        <f t="shared" si="2163"/>
        <v>8.4889721872902604E-4</v>
      </c>
      <c r="AQ840" s="589"/>
      <c r="AR840" s="589"/>
      <c r="AS840">
        <v>1</v>
      </c>
      <c r="AT840" s="589">
        <f t="shared" si="2164"/>
        <v>1.2919896640826874E-3</v>
      </c>
      <c r="AU840" s="196">
        <v>10</v>
      </c>
      <c r="AV840" s="245">
        <f t="shared" si="2146"/>
        <v>1.1362345188046814E-3</v>
      </c>
      <c r="AX840" s="245"/>
      <c r="AY840" s="245"/>
      <c r="AZ840" s="196">
        <v>24</v>
      </c>
      <c r="BA840" s="589">
        <f t="shared" si="2073"/>
        <v>8.7941079476750578E-4</v>
      </c>
      <c r="BI840" s="196">
        <v>0</v>
      </c>
      <c r="BK840" s="246">
        <f t="shared" si="2074"/>
        <v>0</v>
      </c>
      <c r="BL840" s="246"/>
      <c r="BM840" s="246">
        <f t="shared" si="2075"/>
        <v>0</v>
      </c>
      <c r="BN840" s="196">
        <v>1</v>
      </c>
      <c r="BO840" s="196">
        <f t="shared" si="2203"/>
        <v>14096.419814019911</v>
      </c>
      <c r="BP840" s="196">
        <f t="shared" si="2147"/>
        <v>14096.419814019911</v>
      </c>
      <c r="BQ840" s="248">
        <f t="shared" si="2077"/>
        <v>1.3186544301269057E-3</v>
      </c>
      <c r="BR840" s="248"/>
      <c r="BS840" s="248"/>
      <c r="BT840" s="276">
        <v>0</v>
      </c>
      <c r="BU840" s="196">
        <f t="shared" si="2218"/>
        <v>0</v>
      </c>
      <c r="BV840" s="264">
        <f t="shared" si="2079"/>
        <v>0</v>
      </c>
      <c r="BW840" s="196">
        <f t="shared" si="2219"/>
        <v>0</v>
      </c>
      <c r="BX840" s="247">
        <f t="shared" si="2081"/>
        <v>0</v>
      </c>
      <c r="BY840" s="196">
        <f t="shared" si="2204"/>
        <v>0</v>
      </c>
      <c r="BZ840" s="620">
        <v>1</v>
      </c>
      <c r="CA840" s="196">
        <f t="shared" si="2205"/>
        <v>67062.767376262971</v>
      </c>
      <c r="CB840" s="196">
        <f t="shared" si="2206"/>
        <v>134125.53475252594</v>
      </c>
      <c r="CC840" s="196">
        <f t="shared" si="2160"/>
        <v>201188.3021287889</v>
      </c>
      <c r="CD840" s="247">
        <f t="shared" si="2148"/>
        <v>8.4889721872902604E-4</v>
      </c>
      <c r="CE840" s="196">
        <f t="shared" si="2207"/>
        <v>16912.901902473848</v>
      </c>
      <c r="CF840" s="247">
        <f t="shared" si="2149"/>
        <v>7.3035170235479429E-4</v>
      </c>
      <c r="CG840" s="196">
        <f t="shared" si="2179"/>
        <v>33312.224317620821</v>
      </c>
      <c r="CH840" s="589">
        <f t="shared" si="2165"/>
        <v>8.4889721872902604E-4</v>
      </c>
      <c r="CI840" s="271">
        <f t="shared" si="2208"/>
        <v>49032.004550019243</v>
      </c>
      <c r="CJ840" s="248">
        <f t="shared" si="2166"/>
        <v>8.0608603034263327E-4</v>
      </c>
      <c r="CK840" s="271">
        <f t="shared" si="2209"/>
        <v>65879.926842885005</v>
      </c>
      <c r="CL840" s="589">
        <f t="shared" si="2167"/>
        <v>9.4703749928928989E-4</v>
      </c>
      <c r="CM840" s="271">
        <f t="shared" si="2210"/>
        <v>6382.1192908319954</v>
      </c>
      <c r="CN840" s="589">
        <f t="shared" si="2168"/>
        <v>9.1973592036751785E-4</v>
      </c>
      <c r="CO840" s="271">
        <f t="shared" si="2211"/>
        <v>510.56282422955707</v>
      </c>
      <c r="CP840" s="589">
        <f t="shared" si="2169"/>
        <v>9.6284284534470829E-4</v>
      </c>
      <c r="CQ840" s="196">
        <f>'Detailed Budget'!$AC$12</f>
        <v>292876014141.44696</v>
      </c>
      <c r="CR840" s="269">
        <f t="shared" si="2177"/>
        <v>0</v>
      </c>
      <c r="CS840" s="269">
        <f>'Detailed Budget'!$AC$16</f>
        <v>10488008800.000002</v>
      </c>
      <c r="CT840" s="607">
        <f t="shared" si="2181"/>
        <v>0</v>
      </c>
      <c r="CU840" s="269">
        <f>'Detailed Budget'!$AC$24</f>
        <v>30624985696</v>
      </c>
      <c r="CV840" s="269">
        <f t="shared" ref="CV840:CV861" si="2225">BK840*CU840</f>
        <v>0</v>
      </c>
      <c r="CW840" s="269"/>
      <c r="CX840" s="269">
        <f t="shared" si="2161"/>
        <v>0</v>
      </c>
      <c r="CY840" s="196">
        <f>'Detailed Budget'!$AC$97</f>
        <v>74629165494.837845</v>
      </c>
      <c r="CZ840" s="269">
        <f t="shared" si="2182"/>
        <v>98410079.696441934</v>
      </c>
      <c r="DA840" s="269">
        <f>'Detailed Budget'!$AC$100</f>
        <v>14925833098.967569</v>
      </c>
      <c r="DB840" s="269">
        <f t="shared" si="2183"/>
        <v>19682015.939288389</v>
      </c>
      <c r="DC840" s="269">
        <f t="shared" si="2150"/>
        <v>118092095.63573033</v>
      </c>
      <c r="DD840" s="207">
        <v>0</v>
      </c>
      <c r="DE840" s="606">
        <v>0</v>
      </c>
      <c r="DF840" s="269">
        <f>'Detailed Budget'!$AC$147</f>
        <v>5913600671000</v>
      </c>
      <c r="DG840" s="269">
        <f t="shared" si="2221"/>
        <v>0</v>
      </c>
      <c r="DH840" s="269"/>
      <c r="DI840" s="269"/>
      <c r="DJ840" s="269"/>
      <c r="DK840" s="269"/>
      <c r="DL840" s="269"/>
      <c r="DM840" s="196">
        <f>'Detailed Budget'!$AC$178</f>
        <v>5622683761.6229038</v>
      </c>
      <c r="DN840" s="269">
        <f t="shared" si="2212"/>
        <v>0</v>
      </c>
      <c r="DO840" s="196">
        <f>'Detailed Budget'!$AC$179</f>
        <v>26827890683.128094</v>
      </c>
      <c r="DP840" s="269">
        <f t="shared" si="2213"/>
        <v>0</v>
      </c>
      <c r="DQ840" s="269">
        <f t="shared" si="2220"/>
        <v>0</v>
      </c>
      <c r="DR840" s="269">
        <f>'Detailed Budget'!$AC$181</f>
        <v>50888946855.375237</v>
      </c>
      <c r="DS840" s="269">
        <f t="shared" si="2214"/>
        <v>0</v>
      </c>
      <c r="DT840" s="269">
        <f t="shared" si="2215"/>
        <v>0</v>
      </c>
      <c r="DU840" s="272">
        <f>'Detailed Budget'!$AC$192</f>
        <v>77498869683.252869</v>
      </c>
      <c r="DV840" s="269">
        <f t="shared" si="2184"/>
        <v>65788574.928756595</v>
      </c>
      <c r="DW840" s="140">
        <f>'Detailed Budget'!$AC$194</f>
        <v>2684962805.4134097</v>
      </c>
      <c r="DX840" s="269">
        <f t="shared" si="2185"/>
        <v>2279257.4579063267</v>
      </c>
      <c r="DY840" s="607">
        <f t="shared" si="2151"/>
        <v>68067832.386662915</v>
      </c>
      <c r="DZ840" s="196">
        <f>'Detailed Budget'!$AC$198</f>
        <v>18732540018.380611</v>
      </c>
      <c r="EA840" s="269">
        <f t="shared" si="2186"/>
        <v>13681342.491853589</v>
      </c>
      <c r="EB840" s="196">
        <f>'Detailed Budget'!$AC$200</f>
        <v>4683135004.5951529</v>
      </c>
      <c r="EC840" s="269">
        <f t="shared" si="2187"/>
        <v>3420335.6229633973</v>
      </c>
      <c r="ED840" s="269">
        <f t="shared" si="2152"/>
        <v>17101678.114816986</v>
      </c>
      <c r="EE840" s="196">
        <f>'Detailed Budget'!$AC$161</f>
        <v>251147290106.36197</v>
      </c>
      <c r="EF840" s="269">
        <f t="shared" si="2188"/>
        <v>213198236.06262252</v>
      </c>
      <c r="EG840" s="196">
        <f>'Detailed Budget'!$AC$163</f>
        <v>15696705631.647623</v>
      </c>
      <c r="EH840" s="269">
        <f t="shared" si="2189"/>
        <v>13324889.753913907</v>
      </c>
      <c r="EI840" s="269">
        <f t="shared" si="2153"/>
        <v>226523125.81653643</v>
      </c>
      <c r="EJ840" s="196">
        <f>'Detailed Budget'!$AC$204</f>
        <v>45012172507.531975</v>
      </c>
      <c r="EK840" s="269">
        <f t="shared" si="2190"/>
        <v>36283683.453694262</v>
      </c>
      <c r="EL840" s="201">
        <f>'Detailed Budget'!$AC$206</f>
        <v>11253043126.882994</v>
      </c>
      <c r="EM840" s="269">
        <f t="shared" si="2191"/>
        <v>9070920.8634235654</v>
      </c>
      <c r="EN840" s="269">
        <f t="shared" si="2154"/>
        <v>45354604.317117825</v>
      </c>
      <c r="EO840" s="140">
        <f>'Detailed Budget'!$AC$209</f>
        <v>135789361677.54817</v>
      </c>
      <c r="EP840" s="269">
        <f t="shared" si="2192"/>
        <v>128597617.51319416</v>
      </c>
      <c r="EQ840" s="196">
        <f>'Detailed Budget'!$AC$211</f>
        <v>33947340419.387043</v>
      </c>
      <c r="ER840" s="269">
        <f t="shared" si="2193"/>
        <v>32149404.37829854</v>
      </c>
      <c r="ES840" s="269">
        <f t="shared" si="2155"/>
        <v>160747021.89149269</v>
      </c>
      <c r="ET840" s="196">
        <f>'Detailed Budget'!$AC$214</f>
        <v>22239745544.201103</v>
      </c>
      <c r="EU840" s="269">
        <f t="shared" si="2194"/>
        <v>20454692.836835206</v>
      </c>
      <c r="EV840" s="140">
        <f>'Detailed Budget'!$AC$217</f>
        <v>5559936386.0502758</v>
      </c>
      <c r="EW840" s="269">
        <f t="shared" si="2195"/>
        <v>5113673.2092088014</v>
      </c>
      <c r="EX840" s="269">
        <f t="shared" si="2156"/>
        <v>25568366.046044007</v>
      </c>
      <c r="EY840" s="196">
        <f>'Detailed Budget'!$AC$219</f>
        <v>372777004.58170313</v>
      </c>
      <c r="EZ840" s="269">
        <f t="shared" si="2196"/>
        <v>358925.67177052441</v>
      </c>
      <c r="FA840" s="196">
        <f>'Detailed Budget'!$AC$222</f>
        <v>93194251.145425782</v>
      </c>
      <c r="FB840" s="269">
        <f t="shared" si="2197"/>
        <v>89731.417942631102</v>
      </c>
      <c r="FC840" s="269">
        <f t="shared" si="2157"/>
        <v>448657.08971315552</v>
      </c>
      <c r="FD840" s="269"/>
      <c r="FE840" s="269">
        <f t="shared" si="2158"/>
        <v>232118649.34436768</v>
      </c>
      <c r="FF840" s="140">
        <f>'Detailed Budget'!$AC$165</f>
        <v>14927760000</v>
      </c>
      <c r="FG840" s="1087">
        <f t="shared" si="2222"/>
        <v>316625202.53357011</v>
      </c>
      <c r="FH840" s="269">
        <f t="shared" si="2198"/>
        <v>16961436.200431772</v>
      </c>
      <c r="FJ840" s="140">
        <f>'Detailed Budget'!$AC$235</f>
        <v>3623696172</v>
      </c>
      <c r="FK840" s="269">
        <f t="shared" si="2199"/>
        <v>4681778</v>
      </c>
      <c r="FL840" s="269">
        <f t="shared" si="2223"/>
        <v>4681778</v>
      </c>
      <c r="FR840" s="269">
        <f>'Detailed Budget'!$AC$257</f>
        <v>13636439388</v>
      </c>
      <c r="FS840" s="269">
        <f t="shared" si="2200"/>
        <v>11992032</v>
      </c>
      <c r="FT840" s="269">
        <f t="shared" si="2224"/>
        <v>11992032</v>
      </c>
      <c r="FU840" s="269"/>
      <c r="FV840" s="269"/>
      <c r="FW840" s="269"/>
      <c r="FX840" s="140">
        <f>'Detailed Budget'!$AC$278</f>
        <v>1114560000</v>
      </c>
      <c r="FY840" s="269">
        <f t="shared" si="2201"/>
        <v>1440000</v>
      </c>
      <c r="FZ840" s="269">
        <f t="shared" si="2216"/>
        <v>1440000</v>
      </c>
      <c r="GB840" s="269">
        <f t="shared" si="2094"/>
        <v>1013603830.0321162</v>
      </c>
      <c r="GC840" s="887">
        <f t="shared" si="2159"/>
        <v>633502.39377007261</v>
      </c>
      <c r="GD840" s="1078">
        <f t="shared" si="2095"/>
        <v>5.6876502650638264E-4</v>
      </c>
    </row>
    <row r="841" spans="1:186" hidden="1" outlineLevel="1">
      <c r="A841" s="211" t="s">
        <v>1753</v>
      </c>
      <c r="B841" s="212" t="s">
        <v>1754</v>
      </c>
      <c r="C841" s="213" t="s">
        <v>215</v>
      </c>
      <c r="D841" s="214"/>
      <c r="E841" s="213"/>
      <c r="F841" s="213"/>
      <c r="G841" s="213" t="s">
        <v>215</v>
      </c>
      <c r="H841" s="213" t="s">
        <v>215</v>
      </c>
      <c r="I841" s="214" t="s">
        <v>215</v>
      </c>
      <c r="J841" s="214"/>
      <c r="K841" s="213"/>
      <c r="L841" s="213"/>
      <c r="M841" s="214" t="s">
        <v>215</v>
      </c>
      <c r="N841" s="213"/>
      <c r="O841" s="214"/>
      <c r="P841" s="213"/>
      <c r="Q841" s="214"/>
      <c r="R841" s="214" t="s">
        <v>215</v>
      </c>
      <c r="S841" s="214"/>
      <c r="T841" s="214"/>
      <c r="U841" s="215">
        <f t="shared" si="2099"/>
        <v>6</v>
      </c>
      <c r="V841" s="845" t="s">
        <v>216</v>
      </c>
      <c r="W841" s="216">
        <v>100293</v>
      </c>
      <c r="X841" s="217">
        <v>3.35</v>
      </c>
      <c r="Y841" s="218">
        <f t="shared" si="2170"/>
        <v>1.0335000000000001</v>
      </c>
      <c r="Z841" s="196">
        <v>19</v>
      </c>
      <c r="AA841" s="218">
        <f t="shared" si="2171"/>
        <v>1.8702477386515275</v>
      </c>
      <c r="AB841" s="196">
        <f t="shared" si="2175"/>
        <v>187572.75645257765</v>
      </c>
      <c r="AC841">
        <v>12.8</v>
      </c>
      <c r="AD841" s="196">
        <f t="shared" si="2176"/>
        <v>24009.312825929941</v>
      </c>
      <c r="AE841" s="196">
        <f t="shared" si="2172"/>
        <v>22808.847184633443</v>
      </c>
      <c r="AF841" s="196">
        <f t="shared" si="2202"/>
        <v>0</v>
      </c>
      <c r="AG841" s="606"/>
      <c r="AH841" s="196">
        <f t="shared" si="2217"/>
        <v>9378.6378226288834</v>
      </c>
      <c r="AI841" s="248">
        <f t="shared" si="2141"/>
        <v>7.2654886209477755E-4</v>
      </c>
      <c r="AJ841" s="196">
        <f t="shared" si="2142"/>
        <v>33387.950648558821</v>
      </c>
      <c r="AK841" s="196">
        <f t="shared" si="2173"/>
        <v>7502.9102581031066</v>
      </c>
      <c r="AL841" s="196">
        <f t="shared" si="2174"/>
        <v>7502.9102581031066</v>
      </c>
      <c r="AM841" s="196">
        <f t="shared" si="2143"/>
        <v>15005.820516206213</v>
      </c>
      <c r="AN841" s="627">
        <f t="shared" si="2144"/>
        <v>7.2654886209477755E-4</v>
      </c>
      <c r="AO841" s="196">
        <f t="shared" si="2145"/>
        <v>7127.764745197951</v>
      </c>
      <c r="AP841" s="589">
        <f t="shared" si="2163"/>
        <v>7.2654886209477755E-4</v>
      </c>
      <c r="AQ841" s="589"/>
      <c r="AR841" s="589"/>
      <c r="AS841">
        <v>1</v>
      </c>
      <c r="AT841" s="589">
        <f t="shared" si="2164"/>
        <v>1.2919896640826874E-3</v>
      </c>
      <c r="AU841" s="196">
        <v>10</v>
      </c>
      <c r="AV841" s="245">
        <f t="shared" si="2146"/>
        <v>1.1362345188046814E-3</v>
      </c>
      <c r="AX841" s="245"/>
      <c r="AY841" s="245"/>
      <c r="AZ841" s="196">
        <v>13</v>
      </c>
      <c r="BA841" s="589">
        <f t="shared" ref="BA841:BA861" si="2226">AZ841/27291</f>
        <v>4.7634751383239895E-4</v>
      </c>
      <c r="BI841" s="196">
        <v>0</v>
      </c>
      <c r="BK841" s="246">
        <f t="shared" ref="BK841:BK861" si="2227">BJ841/52440044</f>
        <v>0</v>
      </c>
      <c r="BL841" s="246"/>
      <c r="BM841" s="246">
        <f t="shared" ref="BM841:BM861" si="2228">BL841/1048801</f>
        <v>0</v>
      </c>
      <c r="BN841" s="196">
        <v>1</v>
      </c>
      <c r="BO841" s="196">
        <f t="shared" si="2203"/>
        <v>12064.755955756847</v>
      </c>
      <c r="BP841" s="196">
        <f t="shared" si="2147"/>
        <v>12064.755955756847</v>
      </c>
      <c r="BQ841" s="248">
        <f t="shared" ref="BQ841:BQ861" si="2229">BP841/10690003</f>
        <v>1.1286017371329874E-3</v>
      </c>
      <c r="BR841" s="248"/>
      <c r="BS841" s="248"/>
      <c r="BT841" s="276">
        <v>0</v>
      </c>
      <c r="BU841" s="196">
        <f t="shared" si="2218"/>
        <v>0</v>
      </c>
      <c r="BV841" s="264">
        <f t="shared" ref="BV841:BV861" si="2230">BU841/14417138</f>
        <v>0</v>
      </c>
      <c r="BW841" s="196">
        <f t="shared" si="2219"/>
        <v>0</v>
      </c>
      <c r="BX841" s="247">
        <f t="shared" ref="BX841:BX861" si="2231">BW841/61673312</f>
        <v>0</v>
      </c>
      <c r="BY841" s="196">
        <f t="shared" si="2204"/>
        <v>0</v>
      </c>
      <c r="BZ841" s="620">
        <v>1</v>
      </c>
      <c r="CA841" s="196">
        <f t="shared" si="2205"/>
        <v>57397.263474488762</v>
      </c>
      <c r="CB841" s="196">
        <f t="shared" si="2206"/>
        <v>114794.52694897752</v>
      </c>
      <c r="CC841" s="196">
        <f t="shared" si="2160"/>
        <v>172191.7904234663</v>
      </c>
      <c r="CD841" s="247">
        <f t="shared" si="2148"/>
        <v>7.2654886209477755E-4</v>
      </c>
      <c r="CE841" s="196">
        <f t="shared" si="2207"/>
        <v>14475.309096147957</v>
      </c>
      <c r="CF841" s="247">
        <f t="shared" si="2149"/>
        <v>6.2508886419645852E-4</v>
      </c>
      <c r="CG841" s="196">
        <f t="shared" si="2179"/>
        <v>28511.058980791804</v>
      </c>
      <c r="CH841" s="589">
        <f t="shared" si="2165"/>
        <v>7.2654886209477755E-4</v>
      </c>
      <c r="CI841" s="271">
        <f t="shared" si="2208"/>
        <v>41965.206536286125</v>
      </c>
      <c r="CJ841" s="248">
        <f t="shared" si="2166"/>
        <v>6.8990788893476588E-4</v>
      </c>
      <c r="CK841" s="271">
        <f t="shared" si="2209"/>
        <v>56384.901289050089</v>
      </c>
      <c r="CL841" s="589">
        <f t="shared" si="2167"/>
        <v>8.1054455390948074E-4</v>
      </c>
      <c r="CM841" s="271">
        <f t="shared" si="2210"/>
        <v>5462.2884917087385</v>
      </c>
      <c r="CN841" s="589">
        <f t="shared" si="2168"/>
        <v>7.8717784865780995E-4</v>
      </c>
      <c r="CO841" s="271">
        <f t="shared" si="2211"/>
        <v>436.97732868917564</v>
      </c>
      <c r="CP841" s="589">
        <f t="shared" si="2169"/>
        <v>8.240719350084215E-4</v>
      </c>
      <c r="CQ841" s="196">
        <f>'Detailed Budget'!$AC$12</f>
        <v>292876014141.44696</v>
      </c>
      <c r="CR841" s="269">
        <f t="shared" si="2177"/>
        <v>0</v>
      </c>
      <c r="CS841" s="269">
        <f>'Detailed Budget'!$AC$16</f>
        <v>10488008800.000002</v>
      </c>
      <c r="CT841" s="607">
        <f t="shared" si="2181"/>
        <v>0</v>
      </c>
      <c r="CU841" s="269">
        <f>'Detailed Budget'!$AC$24</f>
        <v>30624985696</v>
      </c>
      <c r="CV841" s="269">
        <f t="shared" si="2225"/>
        <v>0</v>
      </c>
      <c r="CW841" s="269"/>
      <c r="CX841" s="269">
        <f t="shared" si="2161"/>
        <v>0</v>
      </c>
      <c r="CY841" s="196">
        <f>'Detailed Budget'!$AC$97</f>
        <v>74629165494.837845</v>
      </c>
      <c r="CZ841" s="269">
        <f t="shared" si="2182"/>
        <v>84226605.818259194</v>
      </c>
      <c r="DA841" s="269">
        <f>'Detailed Budget'!$AC$100</f>
        <v>14925833098.967569</v>
      </c>
      <c r="DB841" s="269">
        <f t="shared" si="2183"/>
        <v>16845321.163651839</v>
      </c>
      <c r="DC841" s="269">
        <f t="shared" si="2150"/>
        <v>101071926.98191103</v>
      </c>
      <c r="DD841" s="207">
        <v>0</v>
      </c>
      <c r="DE841" s="606">
        <v>0</v>
      </c>
      <c r="DF841" s="269">
        <f>'Detailed Budget'!$AC$147</f>
        <v>5913600671000</v>
      </c>
      <c r="DG841" s="269">
        <f t="shared" si="2221"/>
        <v>0</v>
      </c>
      <c r="DH841" s="269"/>
      <c r="DI841" s="269"/>
      <c r="DJ841" s="269"/>
      <c r="DK841" s="269"/>
      <c r="DL841" s="269"/>
      <c r="DM841" s="196">
        <f>'Detailed Budget'!$AC$178</f>
        <v>5622683761.6229038</v>
      </c>
      <c r="DN841" s="269">
        <f t="shared" si="2212"/>
        <v>0</v>
      </c>
      <c r="DO841" s="196">
        <f>'Detailed Budget'!$AC$179</f>
        <v>26827890683.128094</v>
      </c>
      <c r="DP841" s="269">
        <f t="shared" si="2213"/>
        <v>0</v>
      </c>
      <c r="DQ841" s="269">
        <f t="shared" si="2220"/>
        <v>0</v>
      </c>
      <c r="DR841" s="269">
        <f>'Detailed Budget'!$AC$181</f>
        <v>50888946855.375237</v>
      </c>
      <c r="DS841" s="269">
        <f t="shared" si="2214"/>
        <v>0</v>
      </c>
      <c r="DT841" s="269">
        <f t="shared" si="2215"/>
        <v>0</v>
      </c>
      <c r="DU841" s="272">
        <f>'Detailed Budget'!$AC$192</f>
        <v>77498869683.252869</v>
      </c>
      <c r="DV841" s="269">
        <f t="shared" si="2184"/>
        <v>56306715.581998825</v>
      </c>
      <c r="DW841" s="140">
        <f>'Detailed Budget'!$AC$194</f>
        <v>2684962805.4134097</v>
      </c>
      <c r="DX841" s="269">
        <f t="shared" si="2185"/>
        <v>1950756.6710399145</v>
      </c>
      <c r="DY841" s="607">
        <f t="shared" si="2151"/>
        <v>58257472.253038742</v>
      </c>
      <c r="DZ841" s="196">
        <f>'Detailed Budget'!$AC$198</f>
        <v>18732540018.380611</v>
      </c>
      <c r="EA841" s="269">
        <f t="shared" si="2186"/>
        <v>11709502.163604243</v>
      </c>
      <c r="EB841" s="196">
        <f>'Detailed Budget'!$AC$200</f>
        <v>4683135004.5951529</v>
      </c>
      <c r="EC841" s="269">
        <f t="shared" si="2187"/>
        <v>2927375.5409010607</v>
      </c>
      <c r="ED841" s="269">
        <f t="shared" si="2152"/>
        <v>14636877.704505304</v>
      </c>
      <c r="EE841" s="196">
        <f>'Detailed Budget'!$AC$161</f>
        <v>251147290106.36197</v>
      </c>
      <c r="EF841" s="269">
        <f t="shared" si="2188"/>
        <v>182470777.84496427</v>
      </c>
      <c r="EG841" s="196">
        <f>'Detailed Budget'!$AC$163</f>
        <v>15696705631.647623</v>
      </c>
      <c r="EH841" s="269">
        <f t="shared" si="2189"/>
        <v>11404423.615310267</v>
      </c>
      <c r="EI841" s="269">
        <f t="shared" si="2153"/>
        <v>193875201.46027452</v>
      </c>
      <c r="EJ841" s="196">
        <f>'Detailed Budget'!$AC$204</f>
        <v>45012172507.531975</v>
      </c>
      <c r="EK841" s="269">
        <f t="shared" si="2190"/>
        <v>31054252.91103889</v>
      </c>
      <c r="EL841" s="201">
        <f>'Detailed Budget'!$AC$206</f>
        <v>11253043126.882994</v>
      </c>
      <c r="EM841" s="269">
        <f t="shared" si="2191"/>
        <v>7763563.2277597226</v>
      </c>
      <c r="EN841" s="269">
        <f t="shared" si="2154"/>
        <v>38817816.138798609</v>
      </c>
      <c r="EO841" s="140">
        <f>'Detailed Budget'!$AC$209</f>
        <v>135789361677.54817</v>
      </c>
      <c r="EP841" s="269">
        <f t="shared" si="2192"/>
        <v>110063327.58658142</v>
      </c>
      <c r="EQ841" s="196">
        <f>'Detailed Budget'!$AC$211</f>
        <v>33947340419.387043</v>
      </c>
      <c r="ER841" s="269">
        <f t="shared" si="2193"/>
        <v>27515831.896645356</v>
      </c>
      <c r="ES841" s="269">
        <f t="shared" si="2155"/>
        <v>137579159.48322678</v>
      </c>
      <c r="ET841" s="196">
        <f>'Detailed Budget'!$AC$214</f>
        <v>22239745544.201103</v>
      </c>
      <c r="EU841" s="269">
        <f t="shared" si="2194"/>
        <v>17506635.052181341</v>
      </c>
      <c r="EV841" s="140">
        <f>'Detailed Budget'!$AC$217</f>
        <v>5559936386.0502758</v>
      </c>
      <c r="EW841" s="269">
        <f t="shared" si="2195"/>
        <v>4376658.7630453352</v>
      </c>
      <c r="EX841" s="269">
        <f t="shared" si="2156"/>
        <v>21883293.815226674</v>
      </c>
      <c r="EY841" s="196">
        <f>'Detailed Budget'!$AC$219</f>
        <v>372777004.58170313</v>
      </c>
      <c r="EZ841" s="269">
        <f t="shared" si="2196"/>
        <v>307195.06749228731</v>
      </c>
      <c r="FA841" s="196">
        <f>'Detailed Budget'!$AC$222</f>
        <v>93194251.145425782</v>
      </c>
      <c r="FB841" s="269">
        <f t="shared" si="2197"/>
        <v>76798.766873071829</v>
      </c>
      <c r="FC841" s="269">
        <f t="shared" si="2157"/>
        <v>383993.83436535916</v>
      </c>
      <c r="FD841" s="269"/>
      <c r="FE841" s="269">
        <f t="shared" si="2158"/>
        <v>198664263.27161741</v>
      </c>
      <c r="FF841" s="140">
        <f>'Detailed Budget'!$AC$165</f>
        <v>14927760000</v>
      </c>
      <c r="FG841" s="1087">
        <f t="shared" si="2222"/>
        <v>270991205.45561051</v>
      </c>
      <c r="FH841" s="269">
        <f t="shared" si="2198"/>
        <v>16961436.200431772</v>
      </c>
      <c r="FJ841" s="140">
        <f>'Detailed Budget'!$AC$235</f>
        <v>3623696172</v>
      </c>
      <c r="FK841" s="269">
        <f t="shared" si="2199"/>
        <v>4681778</v>
      </c>
      <c r="FL841" s="269">
        <f t="shared" si="2223"/>
        <v>4681778</v>
      </c>
      <c r="FR841" s="269">
        <f>'Detailed Budget'!$AC$257</f>
        <v>13636439388</v>
      </c>
      <c r="FS841" s="269">
        <f t="shared" si="2200"/>
        <v>6495684</v>
      </c>
      <c r="FT841" s="269">
        <f t="shared" si="2224"/>
        <v>6495684</v>
      </c>
      <c r="FU841" s="269"/>
      <c r="FV841" s="269"/>
      <c r="FW841" s="269"/>
      <c r="FX841" s="140">
        <f>'Detailed Budget'!$AC$278</f>
        <v>1114560000</v>
      </c>
      <c r="FY841" s="269">
        <f t="shared" si="2201"/>
        <v>1440000</v>
      </c>
      <c r="FZ841" s="269">
        <f t="shared" si="2216"/>
        <v>1440000</v>
      </c>
      <c r="GB841" s="269">
        <f t="shared" ref="GB841:GB861" si="2232">SUM(CX841,DC841,DG841,DL841,DT841,DY841,ED841,EI841,FE841,FG841,FH841,FL841,FT841,FZ841,GA841)</f>
        <v>867075845.32738936</v>
      </c>
      <c r="GC841" s="887">
        <f t="shared" si="2159"/>
        <v>541922.40332961839</v>
      </c>
      <c r="GD841" s="1078">
        <f t="shared" ref="GD841:GD861" si="2233">GB841/1782113496426</f>
        <v>4.8654356025376388E-4</v>
      </c>
    </row>
    <row r="842" spans="1:186" hidden="1" outlineLevel="1">
      <c r="A842" s="211" t="s">
        <v>1755</v>
      </c>
      <c r="B842" s="212" t="s">
        <v>1756</v>
      </c>
      <c r="C842" s="213" t="s">
        <v>215</v>
      </c>
      <c r="D842" s="214"/>
      <c r="E842" s="213"/>
      <c r="F842" s="213"/>
      <c r="G842" s="213" t="s">
        <v>215</v>
      </c>
      <c r="H842" s="213" t="s">
        <v>215</v>
      </c>
      <c r="I842" s="214" t="s">
        <v>215</v>
      </c>
      <c r="J842" s="214"/>
      <c r="K842" s="213"/>
      <c r="L842" s="213"/>
      <c r="M842" s="214"/>
      <c r="N842" s="213"/>
      <c r="O842" s="214" t="s">
        <v>215</v>
      </c>
      <c r="P842" s="213"/>
      <c r="Q842" s="214"/>
      <c r="R842" s="214" t="s">
        <v>215</v>
      </c>
      <c r="S842" s="214"/>
      <c r="T842" s="214"/>
      <c r="U842" s="215">
        <f t="shared" si="2099"/>
        <v>6</v>
      </c>
      <c r="V842" s="845" t="s">
        <v>216</v>
      </c>
      <c r="W842" s="216">
        <v>104087</v>
      </c>
      <c r="X842" s="217">
        <v>3.35</v>
      </c>
      <c r="Y842" s="218">
        <f t="shared" si="2170"/>
        <v>1.0335000000000001</v>
      </c>
      <c r="Z842" s="196">
        <v>19</v>
      </c>
      <c r="AA842" s="218">
        <f t="shared" si="2171"/>
        <v>1.8702477386515275</v>
      </c>
      <c r="AB842" s="196">
        <f t="shared" si="2175"/>
        <v>194668.47637302155</v>
      </c>
      <c r="AC842">
        <v>12.8</v>
      </c>
      <c r="AD842" s="196">
        <f t="shared" si="2176"/>
        <v>24917.564975746758</v>
      </c>
      <c r="AE842" s="196">
        <f t="shared" si="2172"/>
        <v>23671.686726959419</v>
      </c>
      <c r="AF842" s="196">
        <f t="shared" si="2202"/>
        <v>0</v>
      </c>
      <c r="AG842" s="606"/>
      <c r="AH842" s="196">
        <f t="shared" si="2217"/>
        <v>9733.4238186510775</v>
      </c>
      <c r="AI842" s="248">
        <f t="shared" si="2141"/>
        <v>7.5403359565332677E-4</v>
      </c>
      <c r="AJ842" s="196">
        <f t="shared" si="2142"/>
        <v>34650.988794397839</v>
      </c>
      <c r="AK842" s="196">
        <f t="shared" si="2173"/>
        <v>7786.7390549208621</v>
      </c>
      <c r="AL842" s="196">
        <f t="shared" si="2174"/>
        <v>7786.7390549208621</v>
      </c>
      <c r="AM842" s="196">
        <f t="shared" si="2143"/>
        <v>15573.478109841724</v>
      </c>
      <c r="AN842" s="627">
        <f t="shared" si="2144"/>
        <v>7.5403359565332677E-4</v>
      </c>
      <c r="AO842" s="196">
        <f t="shared" si="2145"/>
        <v>7397.4021021748185</v>
      </c>
      <c r="AP842" s="589">
        <f t="shared" si="2163"/>
        <v>7.5403359565332677E-4</v>
      </c>
      <c r="AQ842" s="589"/>
      <c r="AR842" s="589"/>
      <c r="AS842">
        <v>1</v>
      </c>
      <c r="AT842" s="589">
        <f t="shared" si="2164"/>
        <v>1.2919896640826874E-3</v>
      </c>
      <c r="AU842" s="196">
        <v>10</v>
      </c>
      <c r="AV842" s="245">
        <f t="shared" si="2146"/>
        <v>1.1362345188046814E-3</v>
      </c>
      <c r="AX842" s="245"/>
      <c r="AY842" s="245"/>
      <c r="AZ842" s="196">
        <v>22</v>
      </c>
      <c r="BA842" s="589">
        <f t="shared" si="2226"/>
        <v>8.0612656187021366E-4</v>
      </c>
      <c r="BI842" s="196">
        <v>0</v>
      </c>
      <c r="BK842" s="246">
        <f t="shared" si="2227"/>
        <v>0</v>
      </c>
      <c r="BL842" s="246"/>
      <c r="BM842" s="246">
        <f t="shared" si="2228"/>
        <v>0</v>
      </c>
      <c r="BN842" s="196">
        <v>1</v>
      </c>
      <c r="BO842" s="196">
        <f t="shared" si="2203"/>
        <v>12521.155545919089</v>
      </c>
      <c r="BP842" s="196">
        <f t="shared" si="2147"/>
        <v>12521.155545919089</v>
      </c>
      <c r="BQ842" s="248">
        <f t="shared" si="2229"/>
        <v>1.1712957934547903E-3</v>
      </c>
      <c r="BR842" s="248"/>
      <c r="BS842" s="248"/>
      <c r="BT842" s="276">
        <v>0</v>
      </c>
      <c r="BU842" s="196">
        <f t="shared" si="2218"/>
        <v>0</v>
      </c>
      <c r="BV842" s="264">
        <f t="shared" si="2230"/>
        <v>0</v>
      </c>
      <c r="BW842" s="196">
        <f t="shared" si="2219"/>
        <v>0</v>
      </c>
      <c r="BX842" s="247">
        <f t="shared" si="2231"/>
        <v>0</v>
      </c>
      <c r="BY842" s="196">
        <f t="shared" si="2204"/>
        <v>0</v>
      </c>
      <c r="BZ842" s="620">
        <v>1</v>
      </c>
      <c r="CA842" s="196">
        <f t="shared" si="2205"/>
        <v>59568.553770144586</v>
      </c>
      <c r="CB842" s="196">
        <f t="shared" si="2206"/>
        <v>119137.10754028917</v>
      </c>
      <c r="CC842" s="196">
        <f t="shared" si="2160"/>
        <v>178705.66131043376</v>
      </c>
      <c r="CD842" s="247">
        <f t="shared" si="2148"/>
        <v>7.5403359565332667E-4</v>
      </c>
      <c r="CE842" s="196">
        <f t="shared" si="2207"/>
        <v>15022.897888095404</v>
      </c>
      <c r="CF842" s="247">
        <f t="shared" si="2149"/>
        <v>6.4873545120413959E-4</v>
      </c>
      <c r="CG842" s="196">
        <f t="shared" si="2179"/>
        <v>29589.608408699274</v>
      </c>
      <c r="CH842" s="589">
        <f t="shared" si="2165"/>
        <v>7.5403359565332677E-4</v>
      </c>
      <c r="CI842" s="271">
        <f t="shared" si="2208"/>
        <v>43552.715072262414</v>
      </c>
      <c r="CJ842" s="248">
        <f t="shared" si="2166"/>
        <v>7.1600652523658658E-4</v>
      </c>
      <c r="CK842" s="271">
        <f t="shared" si="2209"/>
        <v>58517.894773048531</v>
      </c>
      <c r="CL842" s="589">
        <f t="shared" si="2167"/>
        <v>8.4120677397999982E-4</v>
      </c>
      <c r="CM842" s="271">
        <f t="shared" si="2210"/>
        <v>5668.9222800842281</v>
      </c>
      <c r="CN842" s="589">
        <f t="shared" si="2168"/>
        <v>8.1695612588361568E-4</v>
      </c>
      <c r="CO842" s="271">
        <f t="shared" si="2211"/>
        <v>453.5078142170463</v>
      </c>
      <c r="CP842" s="589">
        <f t="shared" si="2169"/>
        <v>8.552458845504828E-4</v>
      </c>
      <c r="CQ842" s="196">
        <f>'Detailed Budget'!$AC$12</f>
        <v>292876014141.44696</v>
      </c>
      <c r="CR842" s="269">
        <f t="shared" si="2177"/>
        <v>0</v>
      </c>
      <c r="CS842" s="269">
        <f>'Detailed Budget'!$AC$16</f>
        <v>10488008800.000002</v>
      </c>
      <c r="CT842" s="607">
        <f t="shared" si="2181"/>
        <v>0</v>
      </c>
      <c r="CU842" s="269">
        <f>'Detailed Budget'!$AC$24</f>
        <v>30624985696</v>
      </c>
      <c r="CV842" s="269">
        <f t="shared" si="2225"/>
        <v>0</v>
      </c>
      <c r="CW842" s="269"/>
      <c r="CX842" s="269">
        <f t="shared" si="2161"/>
        <v>0</v>
      </c>
      <c r="CY842" s="196">
        <f>'Detailed Budget'!$AC$97</f>
        <v>74629165494.837845</v>
      </c>
      <c r="CZ842" s="269">
        <f t="shared" si="2182"/>
        <v>87412827.613144949</v>
      </c>
      <c r="DA842" s="269">
        <f>'Detailed Budget'!$AC$100</f>
        <v>14925833098.967569</v>
      </c>
      <c r="DB842" s="269">
        <f t="shared" si="2183"/>
        <v>17482565.522628989</v>
      </c>
      <c r="DC842" s="269">
        <f t="shared" si="2150"/>
        <v>104895393.13577394</v>
      </c>
      <c r="DD842" s="207">
        <v>0</v>
      </c>
      <c r="DE842" s="606">
        <v>0</v>
      </c>
      <c r="DF842" s="269">
        <f>'Detailed Budget'!$AC$147</f>
        <v>5913600671000</v>
      </c>
      <c r="DG842" s="269">
        <f t="shared" si="2221"/>
        <v>0</v>
      </c>
      <c r="DH842" s="269"/>
      <c r="DI842" s="269"/>
      <c r="DJ842" s="269"/>
      <c r="DK842" s="269"/>
      <c r="DL842" s="269"/>
      <c r="DM842" s="196">
        <f>'Detailed Budget'!$AC$178</f>
        <v>5622683761.6229038</v>
      </c>
      <c r="DN842" s="269">
        <f t="shared" si="2212"/>
        <v>0</v>
      </c>
      <c r="DO842" s="196">
        <f>'Detailed Budget'!$AC$179</f>
        <v>26827890683.128094</v>
      </c>
      <c r="DP842" s="269">
        <f t="shared" si="2213"/>
        <v>0</v>
      </c>
      <c r="DQ842" s="269">
        <f t="shared" si="2220"/>
        <v>0</v>
      </c>
      <c r="DR842" s="269">
        <f>'Detailed Budget'!$AC$181</f>
        <v>50888946855.375237</v>
      </c>
      <c r="DS842" s="269">
        <f t="shared" si="2214"/>
        <v>0</v>
      </c>
      <c r="DT842" s="269">
        <f t="shared" si="2215"/>
        <v>0</v>
      </c>
      <c r="DU842" s="272">
        <f>'Detailed Budget'!$AC$192</f>
        <v>77498869683.252869</v>
      </c>
      <c r="DV842" s="269">
        <f t="shared" si="2184"/>
        <v>58436751.366331749</v>
      </c>
      <c r="DW842" s="140">
        <f>'Detailed Budget'!$AC$194</f>
        <v>2684962805.4134097</v>
      </c>
      <c r="DX842" s="269">
        <f t="shared" si="2185"/>
        <v>2024552.1583613169</v>
      </c>
      <c r="DY842" s="607">
        <f t="shared" si="2151"/>
        <v>60461303.524693064</v>
      </c>
      <c r="DZ842" s="196">
        <f>'Detailed Budget'!$AC$198</f>
        <v>18732540018.380611</v>
      </c>
      <c r="EA842" s="269">
        <f t="shared" si="2186"/>
        <v>12152462.801023748</v>
      </c>
      <c r="EB842" s="196">
        <f>'Detailed Budget'!$AC$200</f>
        <v>4683135004.5951529</v>
      </c>
      <c r="EC842" s="269">
        <f t="shared" si="2187"/>
        <v>3038115.7002559369</v>
      </c>
      <c r="ED842" s="269">
        <f t="shared" si="2152"/>
        <v>15190578.501279686</v>
      </c>
      <c r="EE842" s="196">
        <f>'Detailed Budget'!$AC$161</f>
        <v>251147290106.36197</v>
      </c>
      <c r="EF842" s="269">
        <f t="shared" si="2188"/>
        <v>189373494.19748929</v>
      </c>
      <c r="EG842" s="196">
        <f>'Detailed Budget'!$AC$163</f>
        <v>15696705631.647623</v>
      </c>
      <c r="EH842" s="269">
        <f t="shared" si="2189"/>
        <v>11835843.387343081</v>
      </c>
      <c r="EI842" s="269">
        <f t="shared" si="2153"/>
        <v>201209337.58483237</v>
      </c>
      <c r="EJ842" s="196">
        <f>'Detailed Budget'!$AC$204</f>
        <v>45012172507.531975</v>
      </c>
      <c r="EK842" s="269">
        <f t="shared" si="2190"/>
        <v>32229009.230467781</v>
      </c>
      <c r="EL842" s="201">
        <f>'Detailed Budget'!$AC$206</f>
        <v>11253043126.882994</v>
      </c>
      <c r="EM842" s="269">
        <f t="shared" si="2191"/>
        <v>8057252.3076169454</v>
      </c>
      <c r="EN842" s="269">
        <f t="shared" si="2154"/>
        <v>40286261.538084731</v>
      </c>
      <c r="EO842" s="140">
        <f>'Detailed Budget'!$AC$209</f>
        <v>135789361677.54817</v>
      </c>
      <c r="EP842" s="269">
        <f t="shared" si="2192"/>
        <v>114226930.87757371</v>
      </c>
      <c r="EQ842" s="196">
        <f>'Detailed Budget'!$AC$211</f>
        <v>33947340419.387043</v>
      </c>
      <c r="ER842" s="269">
        <f t="shared" si="2193"/>
        <v>28556732.719393428</v>
      </c>
      <c r="ES842" s="269">
        <f t="shared" si="2155"/>
        <v>142783663.59696713</v>
      </c>
      <c r="ET842" s="196">
        <f>'Detailed Budget'!$AC$214</f>
        <v>22239745544.201103</v>
      </c>
      <c r="EU842" s="269">
        <f t="shared" si="2194"/>
        <v>18168896.360427938</v>
      </c>
      <c r="EV842" s="140">
        <f>'Detailed Budget'!$AC$217</f>
        <v>5559936386.0502758</v>
      </c>
      <c r="EW842" s="269">
        <f t="shared" si="2195"/>
        <v>4542224.0901069846</v>
      </c>
      <c r="EX842" s="269">
        <f t="shared" si="2156"/>
        <v>22711120.450534925</v>
      </c>
      <c r="EY842" s="196">
        <f>'Detailed Budget'!$AC$219</f>
        <v>372777004.58170313</v>
      </c>
      <c r="EZ842" s="269">
        <f t="shared" si="2196"/>
        <v>318815.99902355805</v>
      </c>
      <c r="FA842" s="196">
        <f>'Detailed Budget'!$AC$222</f>
        <v>93194251.145425782</v>
      </c>
      <c r="FB842" s="269">
        <f t="shared" si="2197"/>
        <v>79703.999755889512</v>
      </c>
      <c r="FC842" s="269">
        <f t="shared" si="2157"/>
        <v>398519.99877944757</v>
      </c>
      <c r="FD842" s="269"/>
      <c r="FE842" s="269">
        <f t="shared" si="2158"/>
        <v>206179565.58436623</v>
      </c>
      <c r="FF842" s="140">
        <f>'Detailed Budget'!$AC$165</f>
        <v>14927760000</v>
      </c>
      <c r="FG842" s="1087">
        <f t="shared" si="2222"/>
        <v>281242575.27701962</v>
      </c>
      <c r="FH842" s="269">
        <f t="shared" si="2198"/>
        <v>16961436.200431772</v>
      </c>
      <c r="FJ842" s="140">
        <f>'Detailed Budget'!$AC$235</f>
        <v>3623696172</v>
      </c>
      <c r="FK842" s="269">
        <f t="shared" si="2199"/>
        <v>4681778</v>
      </c>
      <c r="FL842" s="269">
        <f t="shared" si="2223"/>
        <v>4681778</v>
      </c>
      <c r="FR842" s="269">
        <f>'Detailed Budget'!$AC$257</f>
        <v>13636439388</v>
      </c>
      <c r="FS842" s="269">
        <f t="shared" si="2200"/>
        <v>10992696</v>
      </c>
      <c r="FT842" s="269">
        <f t="shared" si="2224"/>
        <v>10992696</v>
      </c>
      <c r="FU842" s="269"/>
      <c r="FV842" s="269"/>
      <c r="FW842" s="269"/>
      <c r="FX842" s="140">
        <f>'Detailed Budget'!$AC$278</f>
        <v>1114560000</v>
      </c>
      <c r="FY842" s="269">
        <f t="shared" si="2201"/>
        <v>1440000</v>
      </c>
      <c r="FZ842" s="269">
        <f t="shared" si="2216"/>
        <v>1440000</v>
      </c>
      <c r="GB842" s="269">
        <f t="shared" si="2232"/>
        <v>903254663.8083967</v>
      </c>
      <c r="GC842" s="887">
        <f t="shared" si="2159"/>
        <v>564534.1648802479</v>
      </c>
      <c r="GD842" s="1078">
        <f t="shared" si="2233"/>
        <v>5.0684463454199718E-4</v>
      </c>
    </row>
    <row r="843" spans="1:186" hidden="1" outlineLevel="1">
      <c r="A843" s="211" t="s">
        <v>1757</v>
      </c>
      <c r="B843" s="212" t="s">
        <v>1758</v>
      </c>
      <c r="C843" s="213" t="s">
        <v>215</v>
      </c>
      <c r="D843" s="214" t="s">
        <v>215</v>
      </c>
      <c r="E843" s="213"/>
      <c r="F843" s="213"/>
      <c r="G843" s="213"/>
      <c r="H843" s="213" t="s">
        <v>215</v>
      </c>
      <c r="I843" s="214" t="s">
        <v>215</v>
      </c>
      <c r="J843" s="214"/>
      <c r="K843" s="213"/>
      <c r="L843" s="213"/>
      <c r="M843" s="214" t="s">
        <v>215</v>
      </c>
      <c r="N843" s="213"/>
      <c r="O843" s="214"/>
      <c r="P843" s="213"/>
      <c r="Q843" s="214"/>
      <c r="R843" s="214" t="s">
        <v>215</v>
      </c>
      <c r="S843" s="214"/>
      <c r="T843" s="214"/>
      <c r="U843" s="215">
        <f t="shared" si="2099"/>
        <v>6</v>
      </c>
      <c r="V843" s="845" t="s">
        <v>219</v>
      </c>
      <c r="W843" s="216">
        <v>121240</v>
      </c>
      <c r="X843" s="217">
        <v>3.35</v>
      </c>
      <c r="Y843" s="218">
        <f t="shared" si="2170"/>
        <v>1.0335000000000001</v>
      </c>
      <c r="Z843" s="196">
        <v>19</v>
      </c>
      <c r="AA843" s="218">
        <f t="shared" si="2171"/>
        <v>1.8702477386515275</v>
      </c>
      <c r="AB843" s="196">
        <f t="shared" si="2175"/>
        <v>226748.8358341112</v>
      </c>
      <c r="AC843">
        <v>12.8</v>
      </c>
      <c r="AD843" s="196">
        <f t="shared" si="2176"/>
        <v>29023.850986766236</v>
      </c>
      <c r="AE843" s="196">
        <f t="shared" si="2172"/>
        <v>27572.658437427923</v>
      </c>
      <c r="AF843" s="196">
        <f t="shared" si="2202"/>
        <v>0</v>
      </c>
      <c r="AG843" s="606"/>
      <c r="AH843" s="196">
        <f t="shared" si="2217"/>
        <v>11337.441791705562</v>
      </c>
      <c r="AI843" s="248">
        <f t="shared" si="2141"/>
        <v>8.7829443770124369E-4</v>
      </c>
      <c r="AJ843" s="196">
        <f t="shared" si="2142"/>
        <v>40361.292778471798</v>
      </c>
      <c r="AK843" s="196">
        <f t="shared" si="2173"/>
        <v>9069.9534333644478</v>
      </c>
      <c r="AL843" s="196">
        <f t="shared" si="2174"/>
        <v>9069.9534333644478</v>
      </c>
      <c r="AM843" s="196">
        <f t="shared" si="2143"/>
        <v>18139.906866728896</v>
      </c>
      <c r="AN843" s="627">
        <f t="shared" si="2144"/>
        <v>8.7829443770124358E-4</v>
      </c>
      <c r="AO843" s="196">
        <f t="shared" si="2145"/>
        <v>8616.4557616962247</v>
      </c>
      <c r="AP843" s="589">
        <f t="shared" si="2163"/>
        <v>8.7829443770124347E-4</v>
      </c>
      <c r="AQ843" s="589"/>
      <c r="AR843" s="589"/>
      <c r="AS843">
        <v>1</v>
      </c>
      <c r="AT843" s="589">
        <f t="shared" si="2164"/>
        <v>1.2919896640826874E-3</v>
      </c>
      <c r="AU843" s="196">
        <v>10</v>
      </c>
      <c r="AV843" s="245">
        <f t="shared" si="2146"/>
        <v>1.1362345188046814E-3</v>
      </c>
      <c r="AX843" s="245"/>
      <c r="AY843" s="245"/>
      <c r="AZ843" s="196">
        <v>20</v>
      </c>
      <c r="BA843" s="589">
        <f t="shared" si="2226"/>
        <v>7.3284232897292143E-4</v>
      </c>
      <c r="BI843" s="196">
        <v>0</v>
      </c>
      <c r="BK843" s="246">
        <f t="shared" si="2227"/>
        <v>0</v>
      </c>
      <c r="BL843" s="246"/>
      <c r="BM843" s="246">
        <f t="shared" si="2228"/>
        <v>0</v>
      </c>
      <c r="BN843" s="196">
        <v>1</v>
      </c>
      <c r="BO843" s="196">
        <f t="shared" si="2203"/>
        <v>14584.577309243521</v>
      </c>
      <c r="BP843" s="196">
        <f t="shared" si="2147"/>
        <v>14584.577309243521</v>
      </c>
      <c r="BQ843" s="248">
        <f t="shared" si="2229"/>
        <v>1.3643192905786387E-3</v>
      </c>
      <c r="BR843" s="248"/>
      <c r="BS843" s="248"/>
      <c r="BT843" s="276">
        <v>0</v>
      </c>
      <c r="BU843" s="196">
        <f t="shared" si="2218"/>
        <v>0</v>
      </c>
      <c r="BV843" s="264">
        <f t="shared" si="2230"/>
        <v>0</v>
      </c>
      <c r="BW843" s="196">
        <f t="shared" si="2219"/>
        <v>0</v>
      </c>
      <c r="BX843" s="247">
        <f t="shared" si="2231"/>
        <v>0</v>
      </c>
      <c r="BY843" s="196">
        <f t="shared" si="2204"/>
        <v>0</v>
      </c>
      <c r="BZ843" s="620">
        <v>1</v>
      </c>
      <c r="CA843" s="196">
        <f t="shared" si="2205"/>
        <v>69385.143765238026</v>
      </c>
      <c r="CB843" s="196">
        <f t="shared" si="2206"/>
        <v>138770.28753047605</v>
      </c>
      <c r="CC843" s="196">
        <f t="shared" si="2160"/>
        <v>208155.43129571408</v>
      </c>
      <c r="CD843" s="247">
        <f t="shared" si="2148"/>
        <v>8.7829443770124358E-4</v>
      </c>
      <c r="CE843" s="196">
        <f t="shared" si="2207"/>
        <v>17498.593868136148</v>
      </c>
      <c r="CF843" s="247">
        <f t="shared" si="2149"/>
        <v>7.5564370290228278E-4</v>
      </c>
      <c r="CG843" s="196">
        <f t="shared" si="2179"/>
        <v>34465.823046784899</v>
      </c>
      <c r="CH843" s="589">
        <f t="shared" si="2165"/>
        <v>8.7829443770124347E-4</v>
      </c>
      <c r="CI843" s="271">
        <f t="shared" si="2208"/>
        <v>50729.977570312287</v>
      </c>
      <c r="CJ843" s="248">
        <f t="shared" si="2166"/>
        <v>8.3400070248622555E-4</v>
      </c>
      <c r="CK843" s="271">
        <f t="shared" si="2209"/>
        <v>68161.341591979828</v>
      </c>
      <c r="CL843" s="589">
        <f t="shared" si="2167"/>
        <v>9.7983330557452125E-4</v>
      </c>
      <c r="CM843" s="271">
        <f t="shared" si="2210"/>
        <v>6603.1313923680373</v>
      </c>
      <c r="CN843" s="589">
        <f t="shared" si="2168"/>
        <v>9.5158627592427077E-4</v>
      </c>
      <c r="CO843" s="271">
        <f t="shared" si="2211"/>
        <v>528.2435596729149</v>
      </c>
      <c r="CP843" s="589">
        <f t="shared" si="2169"/>
        <v>9.9618598905627537E-4</v>
      </c>
      <c r="CQ843" s="196">
        <f>'Detailed Budget'!$AC$12</f>
        <v>292876014141.44696</v>
      </c>
      <c r="CR843" s="269">
        <f t="shared" si="2177"/>
        <v>0</v>
      </c>
      <c r="CS843" s="269">
        <f>'Detailed Budget'!$AC$16</f>
        <v>10488008800.000002</v>
      </c>
      <c r="CT843" s="607">
        <f t="shared" si="2181"/>
        <v>0</v>
      </c>
      <c r="CU843" s="269">
        <f>'Detailed Budget'!$AC$24</f>
        <v>30624985696</v>
      </c>
      <c r="CV843" s="269">
        <f t="shared" si="2225"/>
        <v>0</v>
      </c>
      <c r="CW843" s="269"/>
      <c r="CX843" s="269">
        <f t="shared" si="2161"/>
        <v>0</v>
      </c>
      <c r="CY843" s="196">
        <f>'Detailed Budget'!$AC$97</f>
        <v>74629165494.837845</v>
      </c>
      <c r="CZ843" s="269">
        <f t="shared" si="2182"/>
        <v>101818010.124393</v>
      </c>
      <c r="DA843" s="269">
        <f>'Detailed Budget'!$AC$100</f>
        <v>14925833098.967569</v>
      </c>
      <c r="DB843" s="269">
        <f t="shared" si="2183"/>
        <v>20363602.024878599</v>
      </c>
      <c r="DC843" s="269">
        <f t="shared" si="2150"/>
        <v>122181612.14927161</v>
      </c>
      <c r="DD843" s="207">
        <v>0</v>
      </c>
      <c r="DE843" s="606">
        <v>0</v>
      </c>
      <c r="DF843" s="269">
        <f>'Detailed Budget'!$AC$147</f>
        <v>5913600671000</v>
      </c>
      <c r="DG843" s="269">
        <f t="shared" si="2221"/>
        <v>0</v>
      </c>
      <c r="DH843" s="269"/>
      <c r="DI843" s="269"/>
      <c r="DJ843" s="269"/>
      <c r="DK843" s="269"/>
      <c r="DL843" s="269"/>
      <c r="DM843" s="196">
        <f>'Detailed Budget'!$AC$178</f>
        <v>5622683761.6229038</v>
      </c>
      <c r="DN843" s="269">
        <f t="shared" si="2212"/>
        <v>0</v>
      </c>
      <c r="DO843" s="196">
        <f>'Detailed Budget'!$AC$179</f>
        <v>26827890683.128094</v>
      </c>
      <c r="DP843" s="269">
        <f t="shared" si="2213"/>
        <v>0</v>
      </c>
      <c r="DQ843" s="269">
        <f t="shared" si="2220"/>
        <v>0</v>
      </c>
      <c r="DR843" s="269">
        <f>'Detailed Budget'!$AC$181</f>
        <v>50888946855.375237</v>
      </c>
      <c r="DS843" s="269">
        <f t="shared" si="2214"/>
        <v>0</v>
      </c>
      <c r="DT843" s="269">
        <f t="shared" si="2215"/>
        <v>0</v>
      </c>
      <c r="DU843" s="272">
        <f>'Detailed Budget'!$AC$192</f>
        <v>77498869683.252869</v>
      </c>
      <c r="DV843" s="269">
        <f t="shared" si="2184"/>
        <v>68066826.170934528</v>
      </c>
      <c r="DW843" s="140">
        <f>'Detailed Budget'!$AC$194</f>
        <v>2684962805.4134097</v>
      </c>
      <c r="DX843" s="269">
        <f t="shared" si="2185"/>
        <v>2358187.8974293242</v>
      </c>
      <c r="DY843" s="607">
        <f t="shared" si="2151"/>
        <v>70425014.068363845</v>
      </c>
      <c r="DZ843" s="196">
        <f>'Detailed Budget'!$AC$198</f>
        <v>18732540018.380611</v>
      </c>
      <c r="EA843" s="269">
        <f t="shared" si="2186"/>
        <v>14155125.904254321</v>
      </c>
      <c r="EB843" s="196">
        <f>'Detailed Budget'!$AC$200</f>
        <v>4683135004.5951529</v>
      </c>
      <c r="EC843" s="269">
        <f t="shared" si="2187"/>
        <v>3538781.4760635803</v>
      </c>
      <c r="ED843" s="269">
        <f t="shared" si="2152"/>
        <v>17693907.3803179</v>
      </c>
      <c r="EE843" s="196">
        <f>'Detailed Budget'!$AC$161</f>
        <v>251147290106.36197</v>
      </c>
      <c r="EF843" s="269">
        <f t="shared" si="2188"/>
        <v>220581267.94415826</v>
      </c>
      <c r="EG843" s="196">
        <f>'Detailed Budget'!$AC$163</f>
        <v>15696705631.647623</v>
      </c>
      <c r="EH843" s="269">
        <f t="shared" si="2189"/>
        <v>13786329.246509891</v>
      </c>
      <c r="EI843" s="269">
        <f t="shared" si="2153"/>
        <v>234367597.19066814</v>
      </c>
      <c r="EJ843" s="196">
        <f>'Detailed Budget'!$AC$204</f>
        <v>45012172507.531975</v>
      </c>
      <c r="EK843" s="269">
        <f t="shared" si="2190"/>
        <v>37540183.491712838</v>
      </c>
      <c r="EL843" s="201">
        <f>'Detailed Budget'!$AC$206</f>
        <v>11253043126.882994</v>
      </c>
      <c r="EM843" s="269">
        <f t="shared" si="2191"/>
        <v>9385045.8729282096</v>
      </c>
      <c r="EN843" s="269">
        <f t="shared" si="2154"/>
        <v>46925229.364641048</v>
      </c>
      <c r="EO843" s="140">
        <f>'Detailed Budget'!$AC$209</f>
        <v>135789361677.54817</v>
      </c>
      <c r="EP843" s="269">
        <f t="shared" si="2192"/>
        <v>133050939.11436625</v>
      </c>
      <c r="EQ843" s="196">
        <f>'Detailed Budget'!$AC$211</f>
        <v>33947340419.387043</v>
      </c>
      <c r="ER843" s="269">
        <f t="shared" si="2193"/>
        <v>33262734.778591562</v>
      </c>
      <c r="ES843" s="269">
        <f t="shared" si="2155"/>
        <v>166313673.89295781</v>
      </c>
      <c r="ET843" s="196">
        <f>'Detailed Budget'!$AC$214</f>
        <v>22239745544.201103</v>
      </c>
      <c r="EU843" s="269">
        <f t="shared" si="2194"/>
        <v>21163036.639909722</v>
      </c>
      <c r="EV843" s="140">
        <f>'Detailed Budget'!$AC$217</f>
        <v>5559936386.0502758</v>
      </c>
      <c r="EW843" s="269">
        <f t="shared" si="2195"/>
        <v>5290759.1599774305</v>
      </c>
      <c r="EX843" s="269">
        <f t="shared" si="2156"/>
        <v>26453795.799887151</v>
      </c>
      <c r="EY843" s="196">
        <f>'Detailed Budget'!$AC$219</f>
        <v>372777004.58170313</v>
      </c>
      <c r="EZ843" s="269">
        <f t="shared" si="2196"/>
        <v>371355.22900665965</v>
      </c>
      <c r="FA843" s="196">
        <f>'Detailed Budget'!$AC$222</f>
        <v>93194251.145425782</v>
      </c>
      <c r="FB843" s="269">
        <f t="shared" si="2197"/>
        <v>92838.807251664912</v>
      </c>
      <c r="FC843" s="269">
        <f t="shared" si="2157"/>
        <v>464194.03625832457</v>
      </c>
      <c r="FD843" s="269"/>
      <c r="FE843" s="269">
        <f t="shared" si="2158"/>
        <v>240156893.09374431</v>
      </c>
      <c r="FF843" s="140">
        <f>'Detailed Budget'!$AC$165</f>
        <v>14927760000</v>
      </c>
      <c r="FG843" s="1087">
        <f t="shared" si="2222"/>
        <v>327589899.09004837</v>
      </c>
      <c r="FH843" s="269">
        <f t="shared" si="2198"/>
        <v>16961436.200431772</v>
      </c>
      <c r="FJ843" s="140">
        <f>'Detailed Budget'!$AC$235</f>
        <v>3623696172</v>
      </c>
      <c r="FK843" s="269">
        <f t="shared" si="2199"/>
        <v>4681778</v>
      </c>
      <c r="FL843" s="269">
        <f t="shared" si="2223"/>
        <v>4681778</v>
      </c>
      <c r="FR843" s="269">
        <f>'Detailed Budget'!$AC$257</f>
        <v>13636439388</v>
      </c>
      <c r="FS843" s="269">
        <f t="shared" si="2200"/>
        <v>9993360</v>
      </c>
      <c r="FT843" s="269">
        <f t="shared" si="2224"/>
        <v>9993360</v>
      </c>
      <c r="FU843" s="269"/>
      <c r="FV843" s="269"/>
      <c r="FW843" s="269"/>
      <c r="FX843" s="140">
        <f>'Detailed Budget'!$AC$278</f>
        <v>1114560000</v>
      </c>
      <c r="FY843" s="269">
        <f t="shared" si="2201"/>
        <v>1440000</v>
      </c>
      <c r="FZ843" s="269">
        <f t="shared" si="2216"/>
        <v>1440000</v>
      </c>
      <c r="GB843" s="269">
        <f t="shared" si="2232"/>
        <v>1045491497.1728461</v>
      </c>
      <c r="GC843" s="887">
        <f t="shared" si="2159"/>
        <v>653432.1857330288</v>
      </c>
      <c r="GD843" s="1078">
        <f t="shared" si="2233"/>
        <v>5.8665820065307986E-4</v>
      </c>
    </row>
    <row r="844" spans="1:186" hidden="1" outlineLevel="1">
      <c r="A844" s="211" t="s">
        <v>1759</v>
      </c>
      <c r="B844" s="212" t="s">
        <v>1760</v>
      </c>
      <c r="C844" s="213" t="s">
        <v>215</v>
      </c>
      <c r="D844" s="214"/>
      <c r="E844" s="213"/>
      <c r="F844" s="213"/>
      <c r="G844" s="213" t="s">
        <v>215</v>
      </c>
      <c r="H844" s="213" t="s">
        <v>215</v>
      </c>
      <c r="I844" s="214" t="s">
        <v>215</v>
      </c>
      <c r="J844" s="214"/>
      <c r="K844" s="213"/>
      <c r="L844" s="213"/>
      <c r="M844" s="214"/>
      <c r="N844" s="213"/>
      <c r="O844" s="214" t="s">
        <v>215</v>
      </c>
      <c r="P844" s="213"/>
      <c r="Q844" s="214"/>
      <c r="R844" s="214" t="s">
        <v>215</v>
      </c>
      <c r="S844" s="214"/>
      <c r="T844" s="214"/>
      <c r="U844" s="215">
        <f t="shared" si="2099"/>
        <v>6</v>
      </c>
      <c r="V844" s="845" t="s">
        <v>216</v>
      </c>
      <c r="W844" s="216">
        <v>255619</v>
      </c>
      <c r="X844" s="217">
        <v>3.35</v>
      </c>
      <c r="Y844" s="218">
        <f t="shared" si="2170"/>
        <v>1.0335000000000001</v>
      </c>
      <c r="Z844" s="196">
        <v>19</v>
      </c>
      <c r="AA844" s="218">
        <f t="shared" si="2171"/>
        <v>1.8702477386515275</v>
      </c>
      <c r="AB844" s="196">
        <f t="shared" si="2175"/>
        <v>478070.85670636478</v>
      </c>
      <c r="AC844">
        <v>12.8</v>
      </c>
      <c r="AD844" s="196">
        <f t="shared" si="2176"/>
        <v>61193.069658414694</v>
      </c>
      <c r="AE844" s="196">
        <f t="shared" si="2172"/>
        <v>58133.416175493956</v>
      </c>
      <c r="AF844" s="196">
        <f t="shared" si="2202"/>
        <v>0</v>
      </c>
      <c r="AG844" s="606"/>
      <c r="AH844" s="196">
        <f t="shared" si="2217"/>
        <v>23903.54283531824</v>
      </c>
      <c r="AI844" s="248">
        <f t="shared" si="2141"/>
        <v>1.8517712460471311E-3</v>
      </c>
      <c r="AJ844" s="196">
        <f t="shared" si="2142"/>
        <v>85096.61249373293</v>
      </c>
      <c r="AK844" s="196">
        <f t="shared" si="2173"/>
        <v>19122.834268254592</v>
      </c>
      <c r="AL844" s="196">
        <f t="shared" si="2174"/>
        <v>19122.834268254592</v>
      </c>
      <c r="AM844" s="196">
        <f t="shared" si="2143"/>
        <v>38245.668536509183</v>
      </c>
      <c r="AN844" s="627">
        <f t="shared" si="2144"/>
        <v>1.8517712460471311E-3</v>
      </c>
      <c r="AO844" s="196">
        <f t="shared" si="2145"/>
        <v>18166.692554841862</v>
      </c>
      <c r="AP844" s="589">
        <f t="shared" si="2163"/>
        <v>1.8517712460471311E-3</v>
      </c>
      <c r="AQ844" s="589"/>
      <c r="AR844" s="589"/>
      <c r="AS844">
        <v>1</v>
      </c>
      <c r="AT844" s="589">
        <f t="shared" si="2164"/>
        <v>1.2919896640826874E-3</v>
      </c>
      <c r="AU844" s="196">
        <v>11</v>
      </c>
      <c r="AV844" s="245">
        <f t="shared" si="2146"/>
        <v>1.2498579706851495E-3</v>
      </c>
      <c r="AX844" s="245"/>
      <c r="AY844" s="245"/>
      <c r="AZ844" s="196">
        <v>24</v>
      </c>
      <c r="BA844" s="589">
        <f t="shared" si="2226"/>
        <v>8.7941079476750578E-4</v>
      </c>
      <c r="BI844" s="196">
        <v>0</v>
      </c>
      <c r="BK844" s="246">
        <f t="shared" si="2227"/>
        <v>0</v>
      </c>
      <c r="BL844" s="246"/>
      <c r="BM844" s="246">
        <f t="shared" si="2228"/>
        <v>0</v>
      </c>
      <c r="BN844" s="196">
        <v>1</v>
      </c>
      <c r="BO844" s="196">
        <f t="shared" si="2203"/>
        <v>30749.711870764753</v>
      </c>
      <c r="BP844" s="196">
        <f t="shared" si="2147"/>
        <v>30749.711870764753</v>
      </c>
      <c r="BQ844" s="248">
        <f t="shared" si="2229"/>
        <v>2.8764923518510475E-3</v>
      </c>
      <c r="BR844" s="248"/>
      <c r="BS844" s="248"/>
      <c r="BT844" s="276">
        <v>0</v>
      </c>
      <c r="BU844" s="196">
        <f t="shared" si="2218"/>
        <v>0</v>
      </c>
      <c r="BV844" s="264">
        <f t="shared" si="2230"/>
        <v>0</v>
      </c>
      <c r="BW844" s="196">
        <f t="shared" si="2219"/>
        <v>0</v>
      </c>
      <c r="BX844" s="247">
        <f t="shared" si="2231"/>
        <v>0</v>
      </c>
      <c r="BY844" s="196">
        <f t="shared" si="2204"/>
        <v>0</v>
      </c>
      <c r="BZ844" s="620">
        <v>1</v>
      </c>
      <c r="CA844" s="196">
        <f t="shared" si="2205"/>
        <v>146289.68215214764</v>
      </c>
      <c r="CB844" s="196">
        <f t="shared" si="2206"/>
        <v>292579.36430429528</v>
      </c>
      <c r="CC844" s="196">
        <f t="shared" si="2160"/>
        <v>438869.04645644291</v>
      </c>
      <c r="CD844" s="247">
        <f t="shared" si="2148"/>
        <v>1.8517712460471311E-3</v>
      </c>
      <c r="CE844" s="196">
        <f t="shared" si="2207"/>
        <v>36893.542279603207</v>
      </c>
      <c r="CF844" s="247">
        <f t="shared" si="2149"/>
        <v>1.5931778925451878E-3</v>
      </c>
      <c r="CG844" s="196">
        <f t="shared" si="2179"/>
        <v>72666.770219367449</v>
      </c>
      <c r="CH844" s="589">
        <f t="shared" si="2165"/>
        <v>1.8517712460471311E-3</v>
      </c>
      <c r="CI844" s="271">
        <f t="shared" si="2208"/>
        <v>106957.65536576752</v>
      </c>
      <c r="CJ844" s="248">
        <f t="shared" si="2166"/>
        <v>1.758383582718793E-3</v>
      </c>
      <c r="CK844" s="271">
        <f t="shared" si="2209"/>
        <v>143709.45213131219</v>
      </c>
      <c r="CL844" s="589">
        <f t="shared" si="2167"/>
        <v>2.0658529341607843E-3</v>
      </c>
      <c r="CM844" s="271">
        <f t="shared" si="2210"/>
        <v>13921.856181010598</v>
      </c>
      <c r="CN844" s="589">
        <f t="shared" si="2168"/>
        <v>2.0062976927209346E-3</v>
      </c>
      <c r="CO844" s="271">
        <f t="shared" si="2211"/>
        <v>1113.7338376775886</v>
      </c>
      <c r="CP844" s="589">
        <f t="shared" si="2169"/>
        <v>2.1003304712683608E-3</v>
      </c>
      <c r="CQ844" s="196">
        <f>'Detailed Budget'!$AC$12</f>
        <v>292876014141.44696</v>
      </c>
      <c r="CR844" s="269">
        <f t="shared" si="2177"/>
        <v>0</v>
      </c>
      <c r="CS844" s="269">
        <f>'Detailed Budget'!$AC$16</f>
        <v>10488008800.000002</v>
      </c>
      <c r="CT844" s="607">
        <f t="shared" si="2181"/>
        <v>0</v>
      </c>
      <c r="CU844" s="269">
        <f>'Detailed Budget'!$AC$24</f>
        <v>30624985696</v>
      </c>
      <c r="CV844" s="269">
        <f t="shared" si="2225"/>
        <v>0</v>
      </c>
      <c r="CW844" s="269"/>
      <c r="CX844" s="269">
        <f t="shared" si="2161"/>
        <v>0</v>
      </c>
      <c r="CY844" s="196">
        <f>'Detailed Budget'!$AC$97</f>
        <v>74629165494.837845</v>
      </c>
      <c r="CZ844" s="269">
        <f t="shared" si="2182"/>
        <v>214670223.77092716</v>
      </c>
      <c r="DA844" s="269">
        <f>'Detailed Budget'!$AC$100</f>
        <v>14925833098.967569</v>
      </c>
      <c r="DB844" s="269">
        <f t="shared" si="2183"/>
        <v>42934044.754185431</v>
      </c>
      <c r="DC844" s="269">
        <f t="shared" si="2150"/>
        <v>257604268.5251126</v>
      </c>
      <c r="DD844" s="207">
        <v>0</v>
      </c>
      <c r="DE844" s="606">
        <v>0</v>
      </c>
      <c r="DF844" s="269">
        <f>'Detailed Budget'!$AC$147</f>
        <v>5913600671000</v>
      </c>
      <c r="DG844" s="269">
        <f t="shared" si="2221"/>
        <v>0</v>
      </c>
      <c r="DH844" s="269"/>
      <c r="DI844" s="269"/>
      <c r="DJ844" s="269"/>
      <c r="DK844" s="269"/>
      <c r="DL844" s="269"/>
      <c r="DM844" s="196">
        <f>'Detailed Budget'!$AC$178</f>
        <v>5622683761.6229038</v>
      </c>
      <c r="DN844" s="269">
        <f t="shared" si="2212"/>
        <v>0</v>
      </c>
      <c r="DO844" s="196">
        <f>'Detailed Budget'!$AC$179</f>
        <v>26827890683.128094</v>
      </c>
      <c r="DP844" s="269">
        <f t="shared" si="2213"/>
        <v>0</v>
      </c>
      <c r="DQ844" s="269">
        <f t="shared" si="2220"/>
        <v>0</v>
      </c>
      <c r="DR844" s="269">
        <f>'Detailed Budget'!$AC$181</f>
        <v>50888946855.375237</v>
      </c>
      <c r="DS844" s="269">
        <f t="shared" si="2214"/>
        <v>0</v>
      </c>
      <c r="DT844" s="269">
        <f t="shared" si="2215"/>
        <v>0</v>
      </c>
      <c r="DU844" s="272">
        <f>'Detailed Budget'!$AC$192</f>
        <v>77498869683.252869</v>
      </c>
      <c r="DV844" s="269">
        <f t="shared" si="2184"/>
        <v>143510178.4806014</v>
      </c>
      <c r="DW844" s="140">
        <f>'Detailed Budget'!$AC$194</f>
        <v>2684962805.4134097</v>
      </c>
      <c r="DX844" s="269">
        <f t="shared" si="2185"/>
        <v>4971936.919770591</v>
      </c>
      <c r="DY844" s="607">
        <f t="shared" si="2151"/>
        <v>148482115.400372</v>
      </c>
      <c r="DZ844" s="196">
        <f>'Detailed Budget'!$AC$198</f>
        <v>18732540018.380611</v>
      </c>
      <c r="EA844" s="269">
        <f t="shared" si="2186"/>
        <v>29844268.628502015</v>
      </c>
      <c r="EB844" s="196">
        <f>'Detailed Budget'!$AC$200</f>
        <v>4683135004.5951529</v>
      </c>
      <c r="EC844" s="269">
        <f t="shared" si="2187"/>
        <v>7461067.1571255038</v>
      </c>
      <c r="ED844" s="269">
        <f t="shared" si="2152"/>
        <v>37305335.785627522</v>
      </c>
      <c r="EE844" s="196">
        <f>'Detailed Budget'!$AC$161</f>
        <v>251147290106.36197</v>
      </c>
      <c r="EF844" s="269">
        <f t="shared" si="2188"/>
        <v>465067330.34161824</v>
      </c>
      <c r="EG844" s="196">
        <f>'Detailed Budget'!$AC$163</f>
        <v>15696705631.647623</v>
      </c>
      <c r="EH844" s="269">
        <f t="shared" si="2189"/>
        <v>29066708.14635114</v>
      </c>
      <c r="EI844" s="269">
        <f t="shared" si="2153"/>
        <v>494134038.4879694</v>
      </c>
      <c r="EJ844" s="196">
        <f>'Detailed Budget'!$AC$204</f>
        <v>45012172507.531975</v>
      </c>
      <c r="EK844" s="269">
        <f t="shared" si="2190"/>
        <v>79148665.159750432</v>
      </c>
      <c r="EL844" s="201">
        <f>'Detailed Budget'!$AC$206</f>
        <v>11253043126.882994</v>
      </c>
      <c r="EM844" s="269">
        <f t="shared" si="2191"/>
        <v>19787166.289937608</v>
      </c>
      <c r="EN844" s="269">
        <f t="shared" si="2154"/>
        <v>98935831.449688047</v>
      </c>
      <c r="EO844" s="140">
        <f>'Detailed Budget'!$AC$209</f>
        <v>135789361677.54817</v>
      </c>
      <c r="EP844" s="269">
        <f t="shared" si="2192"/>
        <v>280520851.24938285</v>
      </c>
      <c r="EQ844" s="196">
        <f>'Detailed Budget'!$AC$211</f>
        <v>33947340419.387043</v>
      </c>
      <c r="ER844" s="269">
        <f t="shared" si="2193"/>
        <v>70130212.812345713</v>
      </c>
      <c r="ES844" s="269">
        <f t="shared" si="2155"/>
        <v>350651064.0617286</v>
      </c>
      <c r="ET844" s="196">
        <f>'Detailed Budget'!$AC$214</f>
        <v>22239745544.201103</v>
      </c>
      <c r="EU844" s="269">
        <f t="shared" si="2194"/>
        <v>44619550.172031358</v>
      </c>
      <c r="EV844" s="140">
        <f>'Detailed Budget'!$AC$217</f>
        <v>5559936386.0502758</v>
      </c>
      <c r="EW844" s="269">
        <f t="shared" si="2195"/>
        <v>11154887.543007839</v>
      </c>
      <c r="EX844" s="269">
        <f t="shared" si="2156"/>
        <v>55774437.715039194</v>
      </c>
      <c r="EY844" s="196">
        <f>'Detailed Budget'!$AC$219</f>
        <v>372777004.58170313</v>
      </c>
      <c r="EZ844" s="269">
        <f t="shared" si="2196"/>
        <v>782954.90171109641</v>
      </c>
      <c r="FA844" s="196">
        <f>'Detailed Budget'!$AC$222</f>
        <v>93194251.145425782</v>
      </c>
      <c r="FB844" s="269">
        <f t="shared" si="2197"/>
        <v>195738.7254277741</v>
      </c>
      <c r="FC844" s="269">
        <f t="shared" si="2157"/>
        <v>978693.62713887054</v>
      </c>
      <c r="FD844" s="269"/>
      <c r="FE844" s="269">
        <f t="shared" si="2158"/>
        <v>506340026.85359472</v>
      </c>
      <c r="FF844" s="140">
        <f>'Detailed Budget'!$AC$165</f>
        <v>14927760000</v>
      </c>
      <c r="FG844" s="1087">
        <f t="shared" si="2222"/>
        <v>690681313.22582531</v>
      </c>
      <c r="FH844" s="269">
        <f t="shared" si="2198"/>
        <v>18657579.820474949</v>
      </c>
      <c r="FJ844" s="140">
        <f>'Detailed Budget'!$AC$235</f>
        <v>3623696172</v>
      </c>
      <c r="FK844" s="269">
        <f t="shared" si="2199"/>
        <v>4681778</v>
      </c>
      <c r="FL844" s="269">
        <f t="shared" si="2223"/>
        <v>4681778</v>
      </c>
      <c r="FR844" s="269">
        <f>'Detailed Budget'!$AC$257</f>
        <v>13636439388</v>
      </c>
      <c r="FS844" s="269">
        <f t="shared" si="2200"/>
        <v>11992032</v>
      </c>
      <c r="FT844" s="269">
        <f t="shared" si="2224"/>
        <v>11992032</v>
      </c>
      <c r="FU844" s="269"/>
      <c r="FV844" s="269"/>
      <c r="FW844" s="269"/>
      <c r="FX844" s="140">
        <f>'Detailed Budget'!$AC$278</f>
        <v>1114560000</v>
      </c>
      <c r="FY844" s="269">
        <f t="shared" si="2201"/>
        <v>1440000</v>
      </c>
      <c r="FZ844" s="269">
        <f t="shared" si="2216"/>
        <v>1440000</v>
      </c>
      <c r="GB844" s="269">
        <f t="shared" si="2232"/>
        <v>2171318488.0989766</v>
      </c>
      <c r="GC844" s="887">
        <f t="shared" si="2159"/>
        <v>1357074.0550618605</v>
      </c>
      <c r="GD844" s="1078">
        <f t="shared" si="2233"/>
        <v>1.2183951765437618E-3</v>
      </c>
    </row>
    <row r="845" spans="1:186" hidden="1" outlineLevel="1">
      <c r="A845" s="211" t="s">
        <v>1761</v>
      </c>
      <c r="B845" s="212" t="s">
        <v>1762</v>
      </c>
      <c r="C845" s="213" t="s">
        <v>215</v>
      </c>
      <c r="D845" s="214"/>
      <c r="E845" s="213"/>
      <c r="F845" s="213"/>
      <c r="G845" s="213" t="s">
        <v>215</v>
      </c>
      <c r="H845" s="213" t="s">
        <v>215</v>
      </c>
      <c r="I845" s="214" t="s">
        <v>215</v>
      </c>
      <c r="J845" s="214"/>
      <c r="K845" s="213"/>
      <c r="L845" s="213"/>
      <c r="M845" s="214"/>
      <c r="N845" s="213" t="s">
        <v>215</v>
      </c>
      <c r="O845" s="214"/>
      <c r="P845" s="213"/>
      <c r="Q845" s="214"/>
      <c r="R845" s="214" t="s">
        <v>215</v>
      </c>
      <c r="S845" s="214"/>
      <c r="T845" s="214"/>
      <c r="U845" s="215">
        <f t="shared" si="2099"/>
        <v>6</v>
      </c>
      <c r="V845" s="845" t="s">
        <v>216</v>
      </c>
      <c r="W845" s="216">
        <v>127391</v>
      </c>
      <c r="X845" s="217">
        <v>3.35</v>
      </c>
      <c r="Y845" s="218">
        <f t="shared" si="2170"/>
        <v>1.0335000000000001</v>
      </c>
      <c r="Z845" s="196">
        <v>19</v>
      </c>
      <c r="AA845" s="218">
        <f t="shared" si="2171"/>
        <v>1.8702477386515275</v>
      </c>
      <c r="AB845" s="196">
        <f t="shared" si="2175"/>
        <v>238252.72967455673</v>
      </c>
      <c r="AC845">
        <v>12.8</v>
      </c>
      <c r="AD845" s="196">
        <f t="shared" si="2176"/>
        <v>30496.349398343264</v>
      </c>
      <c r="AE845" s="196">
        <f t="shared" si="2172"/>
        <v>28971.531928426099</v>
      </c>
      <c r="AF845" s="196">
        <f t="shared" si="2202"/>
        <v>0</v>
      </c>
      <c r="AG845" s="606"/>
      <c r="AH845" s="196">
        <f t="shared" si="2217"/>
        <v>11912.636483727838</v>
      </c>
      <c r="AI845" s="248">
        <f t="shared" si="2141"/>
        <v>9.2285389898712569E-4</v>
      </c>
      <c r="AJ845" s="196">
        <f t="shared" si="2142"/>
        <v>42408.985882071102</v>
      </c>
      <c r="AK845" s="196">
        <f t="shared" si="2173"/>
        <v>9530.1091869822685</v>
      </c>
      <c r="AL845" s="196">
        <f t="shared" si="2174"/>
        <v>9530.1091869822685</v>
      </c>
      <c r="AM845" s="196">
        <f t="shared" si="2143"/>
        <v>19060.218373964537</v>
      </c>
      <c r="AN845" s="627">
        <f t="shared" si="2144"/>
        <v>9.2285389898712558E-4</v>
      </c>
      <c r="AO845" s="196">
        <f t="shared" si="2145"/>
        <v>9053.6037276331554</v>
      </c>
      <c r="AP845" s="589">
        <f t="shared" si="2163"/>
        <v>9.2285389898712558E-4</v>
      </c>
      <c r="AQ845" s="589"/>
      <c r="AR845" s="589"/>
      <c r="AS845">
        <v>1</v>
      </c>
      <c r="AT845" s="589">
        <f t="shared" si="2164"/>
        <v>1.2919896640826874E-3</v>
      </c>
      <c r="AU845" s="196">
        <v>10</v>
      </c>
      <c r="AV845" s="245">
        <f t="shared" si="2146"/>
        <v>1.1362345188046814E-3</v>
      </c>
      <c r="AX845" s="245"/>
      <c r="AY845" s="245"/>
      <c r="AZ845" s="196">
        <v>20</v>
      </c>
      <c r="BA845" s="589">
        <f t="shared" si="2226"/>
        <v>7.3284232897292143E-4</v>
      </c>
      <c r="BI845" s="196">
        <v>0</v>
      </c>
      <c r="BK845" s="246">
        <f t="shared" si="2227"/>
        <v>0</v>
      </c>
      <c r="BL845" s="246"/>
      <c r="BM845" s="246">
        <f t="shared" si="2228"/>
        <v>0</v>
      </c>
      <c r="BN845" s="196">
        <v>1</v>
      </c>
      <c r="BO845" s="196">
        <f t="shared" si="2203"/>
        <v>15324.512438154414</v>
      </c>
      <c r="BP845" s="196">
        <f t="shared" si="2147"/>
        <v>15324.512438154414</v>
      </c>
      <c r="BQ845" s="248">
        <f t="shared" si="2229"/>
        <v>1.4335367761968275E-3</v>
      </c>
      <c r="BR845" s="248"/>
      <c r="BS845" s="248"/>
      <c r="BT845" s="276">
        <v>0</v>
      </c>
      <c r="BU845" s="196">
        <f t="shared" si="2218"/>
        <v>0</v>
      </c>
      <c r="BV845" s="264">
        <f t="shared" si="2230"/>
        <v>0</v>
      </c>
      <c r="BW845" s="196">
        <f t="shared" si="2219"/>
        <v>0</v>
      </c>
      <c r="BX845" s="247">
        <f t="shared" si="2231"/>
        <v>0</v>
      </c>
      <c r="BY845" s="196">
        <f t="shared" si="2204"/>
        <v>0</v>
      </c>
      <c r="BZ845" s="620">
        <v>1</v>
      </c>
      <c r="CA845" s="196">
        <f t="shared" si="2205"/>
        <v>72905.335280414351</v>
      </c>
      <c r="CB845" s="196">
        <f t="shared" si="2206"/>
        <v>145810.6705608287</v>
      </c>
      <c r="CC845" s="196">
        <f t="shared" si="2160"/>
        <v>218716.00584124305</v>
      </c>
      <c r="CD845" s="247">
        <f t="shared" si="2148"/>
        <v>9.2285389898712547E-4</v>
      </c>
      <c r="CE845" s="196">
        <f t="shared" si="2207"/>
        <v>18386.368949651365</v>
      </c>
      <c r="CF845" s="247">
        <f t="shared" si="2149"/>
        <v>7.9398059185437715E-4</v>
      </c>
      <c r="CG845" s="196">
        <f t="shared" si="2179"/>
        <v>36214.414910532621</v>
      </c>
      <c r="CH845" s="589">
        <f t="shared" si="2165"/>
        <v>9.2285389898712558E-4</v>
      </c>
      <c r="CI845" s="271">
        <f t="shared" si="2208"/>
        <v>53303.716369677102</v>
      </c>
      <c r="CJ845" s="248">
        <f t="shared" si="2166"/>
        <v>8.7631296181477027E-4</v>
      </c>
      <c r="CK845" s="271">
        <f t="shared" si="2209"/>
        <v>71619.444628372657</v>
      </c>
      <c r="CL845" s="589">
        <f t="shared" si="2167"/>
        <v>1.0295442480241159E-3</v>
      </c>
      <c r="CM845" s="271">
        <f t="shared" si="2210"/>
        <v>6938.1351963473808</v>
      </c>
      <c r="CN845" s="589">
        <f t="shared" si="2168"/>
        <v>9.9986413127902307E-4</v>
      </c>
      <c r="CO845" s="271">
        <f t="shared" si="2211"/>
        <v>555.04351130231191</v>
      </c>
      <c r="CP845" s="589">
        <f t="shared" si="2169"/>
        <v>1.0467265698768391E-3</v>
      </c>
      <c r="CQ845" s="196">
        <f>'Detailed Budget'!$AC$12</f>
        <v>292876014141.44696</v>
      </c>
      <c r="CR845" s="269">
        <f t="shared" si="2177"/>
        <v>0</v>
      </c>
      <c r="CS845" s="269">
        <f>'Detailed Budget'!$AC$16</f>
        <v>10488008800.000002</v>
      </c>
      <c r="CT845" s="607">
        <f t="shared" si="2181"/>
        <v>0</v>
      </c>
      <c r="CU845" s="269">
        <f>'Detailed Budget'!$AC$24</f>
        <v>30624985696</v>
      </c>
      <c r="CV845" s="269">
        <f t="shared" si="2225"/>
        <v>0</v>
      </c>
      <c r="CW845" s="269"/>
      <c r="CX845" s="269">
        <f t="shared" si="2161"/>
        <v>0</v>
      </c>
      <c r="CY845" s="196">
        <f>'Detailed Budget'!$AC$97</f>
        <v>74629165494.837845</v>
      </c>
      <c r="CZ845" s="269">
        <f t="shared" si="2182"/>
        <v>106983653.31372936</v>
      </c>
      <c r="DA845" s="269">
        <f>'Detailed Budget'!$AC$100</f>
        <v>14925833098.967569</v>
      </c>
      <c r="DB845" s="269">
        <f t="shared" si="2183"/>
        <v>21396730.662745874</v>
      </c>
      <c r="DC845" s="269">
        <f t="shared" si="2150"/>
        <v>128380383.97647524</v>
      </c>
      <c r="DD845" s="207">
        <v>0</v>
      </c>
      <c r="DE845" s="606">
        <v>0</v>
      </c>
      <c r="DF845" s="269">
        <f>'Detailed Budget'!$AC$147</f>
        <v>5913600671000</v>
      </c>
      <c r="DG845" s="269">
        <f t="shared" si="2221"/>
        <v>0</v>
      </c>
      <c r="DH845" s="269"/>
      <c r="DI845" s="269"/>
      <c r="DJ845" s="269"/>
      <c r="DK845" s="269"/>
      <c r="DL845" s="269"/>
      <c r="DM845" s="196">
        <f>'Detailed Budget'!$AC$178</f>
        <v>5622683761.6229038</v>
      </c>
      <c r="DN845" s="269">
        <f t="shared" si="2212"/>
        <v>0</v>
      </c>
      <c r="DO845" s="196">
        <f>'Detailed Budget'!$AC$179</f>
        <v>26827890683.128094</v>
      </c>
      <c r="DP845" s="269">
        <f t="shared" si="2213"/>
        <v>0</v>
      </c>
      <c r="DQ845" s="269">
        <f t="shared" si="2220"/>
        <v>0</v>
      </c>
      <c r="DR845" s="269">
        <f>'Detailed Budget'!$AC$181</f>
        <v>50888946855.375237</v>
      </c>
      <c r="DS845" s="269">
        <f t="shared" si="2214"/>
        <v>0</v>
      </c>
      <c r="DT845" s="269">
        <f t="shared" si="2215"/>
        <v>0</v>
      </c>
      <c r="DU845" s="272">
        <f>'Detailed Budget'!$AC$192</f>
        <v>77498869683.252869</v>
      </c>
      <c r="DV845" s="269">
        <f t="shared" si="2184"/>
        <v>71520134.054285049</v>
      </c>
      <c r="DW845" s="140">
        <f>'Detailed Budget'!$AC$194</f>
        <v>2684962805.4134097</v>
      </c>
      <c r="DX845" s="269">
        <f t="shared" si="2185"/>
        <v>2477828.3936111759</v>
      </c>
      <c r="DY845" s="607">
        <f t="shared" si="2151"/>
        <v>73997962.447896227</v>
      </c>
      <c r="DZ845" s="196">
        <f>'Detailed Budget'!$AC$198</f>
        <v>18732540018.380611</v>
      </c>
      <c r="EA845" s="269">
        <f t="shared" si="2186"/>
        <v>14873273.210729644</v>
      </c>
      <c r="EB845" s="196">
        <f>'Detailed Budget'!$AC$200</f>
        <v>4683135004.5951529</v>
      </c>
      <c r="EC845" s="269">
        <f t="shared" si="2187"/>
        <v>3718318.3026824109</v>
      </c>
      <c r="ED845" s="269">
        <f t="shared" si="2152"/>
        <v>18591591.513412055</v>
      </c>
      <c r="EE845" s="196">
        <f>'Detailed Budget'!$AC$161</f>
        <v>251147290106.36197</v>
      </c>
      <c r="EF845" s="269">
        <f t="shared" si="2188"/>
        <v>231772255.8947069</v>
      </c>
      <c r="EG845" s="196">
        <f>'Detailed Budget'!$AC$163</f>
        <v>15696705631.647623</v>
      </c>
      <c r="EH845" s="269">
        <f t="shared" si="2189"/>
        <v>14485765.993419182</v>
      </c>
      <c r="EI845" s="269">
        <f t="shared" si="2153"/>
        <v>246258021.88812608</v>
      </c>
      <c r="EJ845" s="196">
        <f>'Detailed Budget'!$AC$204</f>
        <v>45012172507.531975</v>
      </c>
      <c r="EK845" s="269">
        <f t="shared" si="2190"/>
        <v>39444750.207792722</v>
      </c>
      <c r="EL845" s="201">
        <f>'Detailed Budget'!$AC$206</f>
        <v>11253043126.882994</v>
      </c>
      <c r="EM845" s="269">
        <f t="shared" si="2191"/>
        <v>9861187.5519481804</v>
      </c>
      <c r="EN845" s="269">
        <f t="shared" si="2154"/>
        <v>49305937.759740904</v>
      </c>
      <c r="EO845" s="140">
        <f>'Detailed Budget'!$AC$209</f>
        <v>135789361677.54817</v>
      </c>
      <c r="EP845" s="269">
        <f t="shared" si="2192"/>
        <v>139801156.25798604</v>
      </c>
      <c r="EQ845" s="196">
        <f>'Detailed Budget'!$AC$211</f>
        <v>33947340419.387043</v>
      </c>
      <c r="ER845" s="269">
        <f t="shared" si="2193"/>
        <v>34950289.06449651</v>
      </c>
      <c r="ES845" s="269">
        <f t="shared" si="2155"/>
        <v>174751445.32248256</v>
      </c>
      <c r="ET845" s="196">
        <f>'Detailed Budget'!$AC$214</f>
        <v>22239745544.201103</v>
      </c>
      <c r="EU845" s="269">
        <f t="shared" si="2194"/>
        <v>22236723.858419161</v>
      </c>
      <c r="EV845" s="140">
        <f>'Detailed Budget'!$AC$217</f>
        <v>5559936386.0502758</v>
      </c>
      <c r="EW845" s="269">
        <f t="shared" si="2195"/>
        <v>5559180.9646047903</v>
      </c>
      <c r="EX845" s="269">
        <f t="shared" si="2156"/>
        <v>27795904.823023953</v>
      </c>
      <c r="EY845" s="196">
        <f>'Detailed Budget'!$AC$219</f>
        <v>372777004.58170313</v>
      </c>
      <c r="EZ845" s="269">
        <f t="shared" si="2196"/>
        <v>390195.59533476882</v>
      </c>
      <c r="FA845" s="196">
        <f>'Detailed Budget'!$AC$222</f>
        <v>93194251.145425782</v>
      </c>
      <c r="FB845" s="269">
        <f t="shared" si="2197"/>
        <v>97548.898833692205</v>
      </c>
      <c r="FC845" s="269">
        <f t="shared" si="2157"/>
        <v>487744.49416846101</v>
      </c>
      <c r="FD845" s="269"/>
      <c r="FE845" s="269">
        <f t="shared" si="2158"/>
        <v>252341032.39941588</v>
      </c>
      <c r="FF845" s="140">
        <f>'Detailed Budget'!$AC$165</f>
        <v>14927760000</v>
      </c>
      <c r="FG845" s="1087">
        <f t="shared" si="2222"/>
        <v>344209871.61811572</v>
      </c>
      <c r="FH845" s="269">
        <f t="shared" si="2198"/>
        <v>16961436.200431772</v>
      </c>
      <c r="FJ845" s="140">
        <f>'Detailed Budget'!$AC$235</f>
        <v>3623696172</v>
      </c>
      <c r="FK845" s="269">
        <f t="shared" si="2199"/>
        <v>4681778</v>
      </c>
      <c r="FL845" s="269">
        <f t="shared" si="2223"/>
        <v>4681778</v>
      </c>
      <c r="FR845" s="269">
        <f>'Detailed Budget'!$AC$257</f>
        <v>13636439388</v>
      </c>
      <c r="FS845" s="269">
        <f t="shared" si="2200"/>
        <v>9993360</v>
      </c>
      <c r="FT845" s="269">
        <f t="shared" si="2224"/>
        <v>9993360</v>
      </c>
      <c r="FU845" s="269"/>
      <c r="FV845" s="269"/>
      <c r="FW845" s="269"/>
      <c r="FX845" s="140">
        <f>'Detailed Budget'!$AC$278</f>
        <v>1114560000</v>
      </c>
      <c r="FY845" s="269">
        <f t="shared" si="2201"/>
        <v>1440000</v>
      </c>
      <c r="FZ845" s="269">
        <f t="shared" si="2216"/>
        <v>1440000</v>
      </c>
      <c r="GB845" s="269">
        <f t="shared" si="2232"/>
        <v>1096855438.0438731</v>
      </c>
      <c r="GC845" s="887">
        <f t="shared" si="2159"/>
        <v>685534.64877742063</v>
      </c>
      <c r="GD845" s="1078">
        <f t="shared" si="2233"/>
        <v>6.1548012528023558E-4</v>
      </c>
    </row>
    <row r="846" spans="1:186" hidden="1" outlineLevel="1">
      <c r="A846" s="211" t="s">
        <v>1763</v>
      </c>
      <c r="B846" s="212" t="s">
        <v>1764</v>
      </c>
      <c r="C846" s="213" t="s">
        <v>215</v>
      </c>
      <c r="D846" s="214"/>
      <c r="E846" s="213"/>
      <c r="F846" s="213"/>
      <c r="G846" s="213" t="s">
        <v>215</v>
      </c>
      <c r="H846" s="213" t="s">
        <v>215</v>
      </c>
      <c r="I846" s="214" t="s">
        <v>215</v>
      </c>
      <c r="J846" s="214"/>
      <c r="K846" s="213"/>
      <c r="L846" s="213"/>
      <c r="M846" s="214" t="s">
        <v>215</v>
      </c>
      <c r="N846" s="213"/>
      <c r="O846" s="214"/>
      <c r="P846" s="213"/>
      <c r="Q846" s="214"/>
      <c r="R846" s="214" t="s">
        <v>215</v>
      </c>
      <c r="S846" s="214"/>
      <c r="T846" s="214"/>
      <c r="U846" s="215">
        <f t="shared" si="2099"/>
        <v>6</v>
      </c>
      <c r="V846" s="845" t="s">
        <v>216</v>
      </c>
      <c r="W846" s="216">
        <v>102847</v>
      </c>
      <c r="X846" s="217">
        <v>3.35</v>
      </c>
      <c r="Y846" s="218">
        <f t="shared" si="2170"/>
        <v>1.0335000000000001</v>
      </c>
      <c r="Z846" s="196">
        <v>19</v>
      </c>
      <c r="AA846" s="218">
        <f t="shared" si="2171"/>
        <v>1.8702477386515275</v>
      </c>
      <c r="AB846" s="196">
        <f t="shared" si="2175"/>
        <v>192349.36917709364</v>
      </c>
      <c r="AC846">
        <v>12.8</v>
      </c>
      <c r="AD846" s="196">
        <f t="shared" si="2176"/>
        <v>24620.719254667987</v>
      </c>
      <c r="AE846" s="196">
        <f t="shared" si="2172"/>
        <v>23389.683291934587</v>
      </c>
      <c r="AF846" s="196">
        <f t="shared" si="2202"/>
        <v>0</v>
      </c>
      <c r="AG846" s="606"/>
      <c r="AH846" s="196">
        <f t="shared" si="2217"/>
        <v>9617.4684588546825</v>
      </c>
      <c r="AI846" s="248">
        <f t="shared" si="2141"/>
        <v>7.4505070961943085E-4</v>
      </c>
      <c r="AJ846" s="196">
        <f t="shared" si="2142"/>
        <v>34238.187713522668</v>
      </c>
      <c r="AK846" s="196">
        <f t="shared" si="2173"/>
        <v>7693.974767083746</v>
      </c>
      <c r="AL846" s="196">
        <f t="shared" si="2174"/>
        <v>7693.974767083746</v>
      </c>
      <c r="AM846" s="196">
        <f t="shared" si="2143"/>
        <v>15387.949534167492</v>
      </c>
      <c r="AN846" s="627">
        <f t="shared" si="2144"/>
        <v>7.4505070961943085E-4</v>
      </c>
      <c r="AO846" s="196">
        <f t="shared" si="2145"/>
        <v>7309.2760287295578</v>
      </c>
      <c r="AP846" s="589">
        <f t="shared" si="2163"/>
        <v>7.4505070961943074E-4</v>
      </c>
      <c r="AQ846" s="589"/>
      <c r="AR846" s="589"/>
      <c r="AS846">
        <v>1</v>
      </c>
      <c r="AT846" s="589">
        <f t="shared" si="2164"/>
        <v>1.2919896640826874E-3</v>
      </c>
      <c r="AU846" s="196">
        <v>10</v>
      </c>
      <c r="AV846" s="245">
        <f t="shared" si="2146"/>
        <v>1.1362345188046814E-3</v>
      </c>
      <c r="AX846" s="245"/>
      <c r="AY846" s="245"/>
      <c r="AZ846" s="196">
        <v>26</v>
      </c>
      <c r="BA846" s="589">
        <f t="shared" si="2226"/>
        <v>9.526950276647979E-4</v>
      </c>
      <c r="BI846" s="196">
        <v>0</v>
      </c>
      <c r="BK846" s="246">
        <f t="shared" si="2227"/>
        <v>0</v>
      </c>
      <c r="BL846" s="246"/>
      <c r="BM846" s="246">
        <f t="shared" si="2228"/>
        <v>0</v>
      </c>
      <c r="BN846" s="196">
        <v>1</v>
      </c>
      <c r="BO846" s="196">
        <f t="shared" si="2203"/>
        <v>12371.9896282066</v>
      </c>
      <c r="BP846" s="196">
        <f t="shared" si="2147"/>
        <v>12371.9896282066</v>
      </c>
      <c r="BQ846" s="248">
        <f t="shared" si="2229"/>
        <v>1.1573420164808746E-3</v>
      </c>
      <c r="BR846" s="248"/>
      <c r="BS846" s="248"/>
      <c r="BT846" s="276">
        <v>0</v>
      </c>
      <c r="BU846" s="196">
        <f t="shared" si="2218"/>
        <v>0</v>
      </c>
      <c r="BV846" s="264">
        <f t="shared" si="2230"/>
        <v>0</v>
      </c>
      <c r="BW846" s="196">
        <f t="shared" si="2219"/>
        <v>0</v>
      </c>
      <c r="BX846" s="247">
        <f t="shared" si="2231"/>
        <v>0</v>
      </c>
      <c r="BY846" s="196">
        <f t="shared" si="2204"/>
        <v>0</v>
      </c>
      <c r="BZ846" s="620">
        <v>1</v>
      </c>
      <c r="CA846" s="196">
        <f t="shared" si="2205"/>
        <v>58858.906968190662</v>
      </c>
      <c r="CB846" s="196">
        <f t="shared" si="2206"/>
        <v>117717.81393638132</v>
      </c>
      <c r="CC846" s="196">
        <f t="shared" si="2160"/>
        <v>176576.72090457199</v>
      </c>
      <c r="CD846" s="247">
        <f t="shared" si="2148"/>
        <v>7.4505070961943096E-4</v>
      </c>
      <c r="CE846" s="196">
        <f t="shared" si="2207"/>
        <v>14843.9284357984</v>
      </c>
      <c r="CF846" s="247">
        <f t="shared" si="2149"/>
        <v>6.4100699366868245E-4</v>
      </c>
      <c r="CG846" s="196">
        <f t="shared" si="2179"/>
        <v>29237.104114918231</v>
      </c>
      <c r="CH846" s="589">
        <f t="shared" si="2165"/>
        <v>7.4505070961943074E-4</v>
      </c>
      <c r="CI846" s="271">
        <f t="shared" si="2208"/>
        <v>43033.866736835262</v>
      </c>
      <c r="CJ846" s="248">
        <f t="shared" si="2166"/>
        <v>7.0747665991917536E-4</v>
      </c>
      <c r="CK846" s="271">
        <f t="shared" si="2209"/>
        <v>57820.764588505015</v>
      </c>
      <c r="CL846" s="589">
        <f t="shared" si="2167"/>
        <v>8.3118538418362558E-4</v>
      </c>
      <c r="CM846" s="271">
        <f t="shared" si="2210"/>
        <v>5601.3877788755808</v>
      </c>
      <c r="CN846" s="589">
        <f t="shared" si="2168"/>
        <v>8.0722363675341034E-4</v>
      </c>
      <c r="CO846" s="271">
        <f t="shared" si="2211"/>
        <v>448.10512522006167</v>
      </c>
      <c r="CP846" s="589">
        <f t="shared" si="2169"/>
        <v>8.4505724526947169E-4</v>
      </c>
      <c r="CQ846" s="196">
        <f>'Detailed Budget'!$AC$12</f>
        <v>292876014141.44696</v>
      </c>
      <c r="CR846" s="269">
        <f t="shared" si="2177"/>
        <v>0</v>
      </c>
      <c r="CS846" s="269">
        <f>'Detailed Budget'!$AC$16</f>
        <v>10488008800.000002</v>
      </c>
      <c r="CT846" s="607">
        <f t="shared" si="2181"/>
        <v>0</v>
      </c>
      <c r="CU846" s="269">
        <f>'Detailed Budget'!$AC$24</f>
        <v>30624985696</v>
      </c>
      <c r="CV846" s="269">
        <f t="shared" si="2225"/>
        <v>0</v>
      </c>
      <c r="CW846" s="269"/>
      <c r="CX846" s="269">
        <f t="shared" si="2161"/>
        <v>0</v>
      </c>
      <c r="CY846" s="196">
        <f>'Detailed Budget'!$AC$97</f>
        <v>74629165494.837845</v>
      </c>
      <c r="CZ846" s="269">
        <f t="shared" si="2182"/>
        <v>86371468.88208054</v>
      </c>
      <c r="DA846" s="269">
        <f>'Detailed Budget'!$AC$100</f>
        <v>14925833098.967569</v>
      </c>
      <c r="DB846" s="269">
        <f t="shared" si="2183"/>
        <v>17274293.776416108</v>
      </c>
      <c r="DC846" s="269">
        <f t="shared" si="2150"/>
        <v>103645762.65849665</v>
      </c>
      <c r="DD846" s="207">
        <v>0</v>
      </c>
      <c r="DE846" s="606">
        <v>0</v>
      </c>
      <c r="DF846" s="269">
        <f>'Detailed Budget'!$AC$147</f>
        <v>5913600671000</v>
      </c>
      <c r="DG846" s="269">
        <f t="shared" si="2221"/>
        <v>0</v>
      </c>
      <c r="DH846" s="269"/>
      <c r="DI846" s="269"/>
      <c r="DJ846" s="269"/>
      <c r="DK846" s="269"/>
      <c r="DL846" s="269"/>
      <c r="DM846" s="196">
        <f>'Detailed Budget'!$AC$178</f>
        <v>5622683761.6229038</v>
      </c>
      <c r="DN846" s="269">
        <f t="shared" si="2212"/>
        <v>0</v>
      </c>
      <c r="DO846" s="196">
        <f>'Detailed Budget'!$AC$179</f>
        <v>26827890683.128094</v>
      </c>
      <c r="DP846" s="269">
        <f t="shared" si="2213"/>
        <v>0</v>
      </c>
      <c r="DQ846" s="269">
        <f t="shared" si="2220"/>
        <v>0</v>
      </c>
      <c r="DR846" s="269">
        <f>'Detailed Budget'!$AC$181</f>
        <v>50888946855.375237</v>
      </c>
      <c r="DS846" s="269">
        <f t="shared" si="2214"/>
        <v>0</v>
      </c>
      <c r="DT846" s="269">
        <f t="shared" si="2215"/>
        <v>0</v>
      </c>
      <c r="DU846" s="272">
        <f>'Detailed Budget'!$AC$192</f>
        <v>77498869683.252869</v>
      </c>
      <c r="DV846" s="269">
        <f t="shared" si="2184"/>
        <v>57740587.852211356</v>
      </c>
      <c r="DW846" s="140">
        <f>'Detailed Budget'!$AC$194</f>
        <v>2684962805.4134097</v>
      </c>
      <c r="DX846" s="269">
        <f t="shared" si="2185"/>
        <v>2000433.4434750387</v>
      </c>
      <c r="DY846" s="607">
        <f t="shared" si="2151"/>
        <v>59741021.295686394</v>
      </c>
      <c r="DZ846" s="196">
        <f>'Detailed Budget'!$AC$198</f>
        <v>18732540018.380611</v>
      </c>
      <c r="EA846" s="269">
        <f t="shared" si="2186"/>
        <v>12007689.160960441</v>
      </c>
      <c r="EB846" s="196">
        <f>'Detailed Budget'!$AC$200</f>
        <v>4683135004.5951529</v>
      </c>
      <c r="EC846" s="269">
        <f t="shared" si="2187"/>
        <v>3001922.2902401104</v>
      </c>
      <c r="ED846" s="269">
        <f t="shared" si="2152"/>
        <v>15009611.451200552</v>
      </c>
      <c r="EE846" s="196">
        <f>'Detailed Budget'!$AC$161</f>
        <v>251147290106.36197</v>
      </c>
      <c r="EF846" s="269">
        <f t="shared" si="2188"/>
        <v>187117466.71274203</v>
      </c>
      <c r="EG846" s="196">
        <f>'Detailed Budget'!$AC$163</f>
        <v>15696705631.647623</v>
      </c>
      <c r="EH846" s="269">
        <f t="shared" si="2189"/>
        <v>11694841.669546377</v>
      </c>
      <c r="EI846" s="269">
        <f t="shared" si="2153"/>
        <v>198812308.3822884</v>
      </c>
      <c r="EJ846" s="196">
        <f>'Detailed Budget'!$AC$204</f>
        <v>45012172507.531975</v>
      </c>
      <c r="EK846" s="269">
        <f t="shared" si="2190"/>
        <v>31845061.461334452</v>
      </c>
      <c r="EL846" s="201">
        <f>'Detailed Budget'!$AC$206</f>
        <v>11253043126.882994</v>
      </c>
      <c r="EM846" s="269">
        <f t="shared" si="2191"/>
        <v>7961265.365333613</v>
      </c>
      <c r="EN846" s="269">
        <f t="shared" si="2154"/>
        <v>39806326.826668069</v>
      </c>
      <c r="EO846" s="140">
        <f>'Detailed Budget'!$AC$209</f>
        <v>135789361677.54817</v>
      </c>
      <c r="EP846" s="269">
        <f t="shared" si="2192"/>
        <v>112866132.75400217</v>
      </c>
      <c r="EQ846" s="196">
        <f>'Detailed Budget'!$AC$211</f>
        <v>33947340419.387043</v>
      </c>
      <c r="ER846" s="269">
        <f t="shared" si="2193"/>
        <v>28216533.188500542</v>
      </c>
      <c r="ES846" s="269">
        <f t="shared" si="2155"/>
        <v>141082665.94250271</v>
      </c>
      <c r="ET846" s="196">
        <f>'Detailed Budget'!$AC$214</f>
        <v>22239745544.201103</v>
      </c>
      <c r="EU846" s="269">
        <f t="shared" si="2194"/>
        <v>17952448.278660469</v>
      </c>
      <c r="EV846" s="140">
        <f>'Detailed Budget'!$AC$217</f>
        <v>5559936386.0502758</v>
      </c>
      <c r="EW846" s="269">
        <f t="shared" si="2195"/>
        <v>4488112.0696651172</v>
      </c>
      <c r="EX846" s="269">
        <f t="shared" si="2156"/>
        <v>22440560.348325588</v>
      </c>
      <c r="EY846" s="196">
        <f>'Detailed Budget'!$AC$219</f>
        <v>372777004.58170313</v>
      </c>
      <c r="EZ846" s="269">
        <f t="shared" si="2196"/>
        <v>315017.90859161929</v>
      </c>
      <c r="FA846" s="196">
        <f>'Detailed Budget'!$AC$222</f>
        <v>93194251.145425782</v>
      </c>
      <c r="FB846" s="269">
        <f t="shared" si="2197"/>
        <v>78754.477147904821</v>
      </c>
      <c r="FC846" s="269">
        <f t="shared" si="2157"/>
        <v>393772.38573952409</v>
      </c>
      <c r="FD846" s="269"/>
      <c r="FE846" s="269">
        <f t="shared" si="2158"/>
        <v>203723325.50323588</v>
      </c>
      <c r="FF846" s="140">
        <f>'Detailed Budget'!$AC$165</f>
        <v>14927760000</v>
      </c>
      <c r="FG846" s="1087">
        <f t="shared" si="2222"/>
        <v>277892101.21836191</v>
      </c>
      <c r="FH846" s="269">
        <f t="shared" si="2198"/>
        <v>16961436.200431772</v>
      </c>
      <c r="FJ846" s="140">
        <f>'Detailed Budget'!$AC$235</f>
        <v>3623696172</v>
      </c>
      <c r="FK846" s="269">
        <f t="shared" si="2199"/>
        <v>4681778</v>
      </c>
      <c r="FL846" s="269">
        <f t="shared" si="2223"/>
        <v>4681778</v>
      </c>
      <c r="FR846" s="269">
        <f>'Detailed Budget'!$AC$257</f>
        <v>13636439388</v>
      </c>
      <c r="FS846" s="269">
        <f t="shared" si="2200"/>
        <v>12991368</v>
      </c>
      <c r="FT846" s="269">
        <f t="shared" si="2224"/>
        <v>12991368</v>
      </c>
      <c r="FU846" s="269"/>
      <c r="FV846" s="269"/>
      <c r="FW846" s="269"/>
      <c r="FX846" s="140">
        <f>'Detailed Budget'!$AC$278</f>
        <v>1114560000</v>
      </c>
      <c r="FY846" s="269">
        <f t="shared" si="2201"/>
        <v>1440000</v>
      </c>
      <c r="FZ846" s="269">
        <f t="shared" si="2216"/>
        <v>1440000</v>
      </c>
      <c r="GB846" s="269">
        <f t="shared" si="2232"/>
        <v>894898712.70970154</v>
      </c>
      <c r="GC846" s="887">
        <f t="shared" si="2159"/>
        <v>559311.69544356351</v>
      </c>
      <c r="GD846" s="1078">
        <f t="shared" si="2233"/>
        <v>5.0215584725911487E-4</v>
      </c>
    </row>
    <row r="847" spans="1:186" hidden="1" outlineLevel="1">
      <c r="A847" s="211" t="s">
        <v>1765</v>
      </c>
      <c r="B847" s="212" t="s">
        <v>1766</v>
      </c>
      <c r="C847" s="213" t="s">
        <v>215</v>
      </c>
      <c r="D847" s="214"/>
      <c r="E847" s="213"/>
      <c r="F847" s="213"/>
      <c r="G847" s="213" t="s">
        <v>215</v>
      </c>
      <c r="H847" s="213" t="s">
        <v>215</v>
      </c>
      <c r="I847" s="214" t="s">
        <v>215</v>
      </c>
      <c r="J847" s="214"/>
      <c r="K847" s="213"/>
      <c r="L847" s="213"/>
      <c r="M847" s="214"/>
      <c r="N847" s="213" t="s">
        <v>215</v>
      </c>
      <c r="O847" s="214"/>
      <c r="P847" s="213"/>
      <c r="Q847" s="214"/>
      <c r="R847" s="214" t="s">
        <v>215</v>
      </c>
      <c r="S847" s="214"/>
      <c r="T847" s="214"/>
      <c r="U847" s="215">
        <f t="shared" si="2099"/>
        <v>6</v>
      </c>
      <c r="V847" s="845" t="s">
        <v>216</v>
      </c>
      <c r="W847" s="216">
        <v>200528</v>
      </c>
      <c r="X847" s="217">
        <v>3.35</v>
      </c>
      <c r="Y847" s="218">
        <f t="shared" si="2170"/>
        <v>1.0335000000000001</v>
      </c>
      <c r="Z847" s="196">
        <v>19</v>
      </c>
      <c r="AA847" s="218">
        <f t="shared" si="2171"/>
        <v>1.8702477386515275</v>
      </c>
      <c r="AB847" s="196">
        <f t="shared" ref="AB847:AB861" si="2234">W847*AA847</f>
        <v>375037.03853631351</v>
      </c>
      <c r="AC847">
        <v>12.8</v>
      </c>
      <c r="AD847" s="196">
        <f t="shared" ref="AD847:AD861" si="2235">AB847*AC847/100</f>
        <v>48004.740932648136</v>
      </c>
      <c r="AE847" s="196">
        <f t="shared" si="2172"/>
        <v>45604.503886015729</v>
      </c>
      <c r="AF847" s="196">
        <f t="shared" si="2202"/>
        <v>0</v>
      </c>
      <c r="AG847" s="606"/>
      <c r="AH847" s="196">
        <f t="shared" si="2217"/>
        <v>18751.851926815678</v>
      </c>
      <c r="AI847" s="248">
        <f t="shared" si="2141"/>
        <v>1.4526775569395827E-3</v>
      </c>
      <c r="AJ847" s="196">
        <f t="shared" si="2142"/>
        <v>66756.59285946381</v>
      </c>
      <c r="AK847" s="196">
        <f t="shared" si="2173"/>
        <v>15001.48154145254</v>
      </c>
      <c r="AL847" s="196">
        <f t="shared" si="2174"/>
        <v>15001.48154145254</v>
      </c>
      <c r="AM847" s="196">
        <f t="shared" si="2143"/>
        <v>30002.96308290508</v>
      </c>
      <c r="AN847" s="627">
        <f t="shared" si="2144"/>
        <v>1.4526775569395824E-3</v>
      </c>
      <c r="AO847" s="196">
        <f t="shared" si="2145"/>
        <v>14251.407464379914</v>
      </c>
      <c r="AP847" s="589">
        <f t="shared" si="2163"/>
        <v>1.4526775569395824E-3</v>
      </c>
      <c r="AQ847" s="589"/>
      <c r="AR847" s="589"/>
      <c r="AS847">
        <v>1</v>
      </c>
      <c r="AT847" s="589">
        <f t="shared" si="2164"/>
        <v>1.2919896640826874E-3</v>
      </c>
      <c r="AU847" s="196">
        <v>11</v>
      </c>
      <c r="AV847" s="245">
        <f t="shared" si="2146"/>
        <v>1.2498579706851495E-3</v>
      </c>
      <c r="AX847" s="245"/>
      <c r="AY847" s="245"/>
      <c r="AZ847" s="196">
        <v>18</v>
      </c>
      <c r="BA847" s="589">
        <f t="shared" si="2226"/>
        <v>6.5955809607562931E-4</v>
      </c>
      <c r="BI847" s="196">
        <v>0</v>
      </c>
      <c r="BK847" s="246">
        <f t="shared" si="2227"/>
        <v>0</v>
      </c>
      <c r="BL847" s="246"/>
      <c r="BM847" s="246">
        <f t="shared" si="2228"/>
        <v>0</v>
      </c>
      <c r="BN847" s="196">
        <v>1</v>
      </c>
      <c r="BO847" s="196">
        <f t="shared" si="2203"/>
        <v>24122.534796007792</v>
      </c>
      <c r="BP847" s="196">
        <f t="shared" si="2147"/>
        <v>24122.534796007792</v>
      </c>
      <c r="BQ847" s="248">
        <f t="shared" si="2229"/>
        <v>2.2565507976010663E-3</v>
      </c>
      <c r="BR847" s="248"/>
      <c r="BS847" s="248"/>
      <c r="BT847" s="276">
        <v>0</v>
      </c>
      <c r="BU847" s="196">
        <f t="shared" si="2218"/>
        <v>0</v>
      </c>
      <c r="BV847" s="264">
        <f t="shared" si="2230"/>
        <v>0</v>
      </c>
      <c r="BW847" s="196">
        <f t="shared" si="2219"/>
        <v>0</v>
      </c>
      <c r="BX847" s="247">
        <f t="shared" si="2231"/>
        <v>0</v>
      </c>
      <c r="BY847" s="196">
        <f t="shared" si="2204"/>
        <v>0</v>
      </c>
      <c r="BZ847" s="620">
        <v>1</v>
      </c>
      <c r="CA847" s="196">
        <f t="shared" si="2205"/>
        <v>114761.33379211192</v>
      </c>
      <c r="CB847" s="196">
        <f t="shared" si="2206"/>
        <v>229522.66758422385</v>
      </c>
      <c r="CC847" s="196">
        <f t="shared" si="2160"/>
        <v>344284.00137633574</v>
      </c>
      <c r="CD847" s="247">
        <f t="shared" si="2148"/>
        <v>1.4526775569395822E-3</v>
      </c>
      <c r="CE847" s="196">
        <f t="shared" si="2207"/>
        <v>28942.247040494927</v>
      </c>
      <c r="CF847" s="247">
        <f t="shared" si="2149"/>
        <v>1.2498162360243231E-3</v>
      </c>
      <c r="CG847" s="196">
        <f t="shared" si="2179"/>
        <v>57005.629857519656</v>
      </c>
      <c r="CH847" s="589">
        <f t="shared" si="2165"/>
        <v>1.4526775569395824E-3</v>
      </c>
      <c r="CI847" s="271">
        <f t="shared" si="2208"/>
        <v>83906.144360108723</v>
      </c>
      <c r="CJ847" s="248">
        <f t="shared" si="2166"/>
        <v>1.3794168002982333E-3</v>
      </c>
      <c r="CK847" s="271">
        <f t="shared" si="2209"/>
        <v>112737.19487591991</v>
      </c>
      <c r="CL847" s="589">
        <f t="shared" si="2167"/>
        <v>1.620620365393002E-3</v>
      </c>
      <c r="CM847" s="271">
        <f t="shared" si="2210"/>
        <v>10921.41811158675</v>
      </c>
      <c r="CN847" s="589">
        <f t="shared" si="2168"/>
        <v>1.5739004679853361E-3</v>
      </c>
      <c r="CO847" s="271">
        <f t="shared" si="2211"/>
        <v>873.70195095752467</v>
      </c>
      <c r="CP847" s="589">
        <f t="shared" si="2169"/>
        <v>1.6476673046311185E-3</v>
      </c>
      <c r="CQ847" s="196">
        <f>'Detailed Budget'!$AC$12</f>
        <v>292876014141.44696</v>
      </c>
      <c r="CR847" s="269">
        <f t="shared" si="2177"/>
        <v>0</v>
      </c>
      <c r="CS847" s="269">
        <f>'Detailed Budget'!$AC$16</f>
        <v>10488008800.000002</v>
      </c>
      <c r="CT847" s="607">
        <f t="shared" si="2181"/>
        <v>0</v>
      </c>
      <c r="CU847" s="269">
        <f>'Detailed Budget'!$AC$24</f>
        <v>30624985696</v>
      </c>
      <c r="CV847" s="269">
        <f t="shared" si="2225"/>
        <v>0</v>
      </c>
      <c r="CW847" s="269"/>
      <c r="CX847" s="269">
        <f t="shared" si="2161"/>
        <v>0</v>
      </c>
      <c r="CY847" s="196">
        <f>'Detailed Budget'!$AC$97</f>
        <v>74629165494.837845</v>
      </c>
      <c r="CZ847" s="269">
        <f t="shared" si="2182"/>
        <v>168404502.9216783</v>
      </c>
      <c r="DA847" s="269">
        <f>'Detailed Budget'!$AC$100</f>
        <v>14925833098.967569</v>
      </c>
      <c r="DB847" s="269">
        <f t="shared" si="2183"/>
        <v>33680900.584335662</v>
      </c>
      <c r="DC847" s="269">
        <f t="shared" si="2150"/>
        <v>202085403.50601396</v>
      </c>
      <c r="DD847" s="207">
        <v>0</v>
      </c>
      <c r="DE847" s="606">
        <v>0</v>
      </c>
      <c r="DF847" s="269">
        <f>'Detailed Budget'!$AC$147</f>
        <v>5913600671000</v>
      </c>
      <c r="DG847" s="269">
        <f t="shared" si="2221"/>
        <v>0</v>
      </c>
      <c r="DH847" s="269"/>
      <c r="DI847" s="269"/>
      <c r="DJ847" s="269"/>
      <c r="DK847" s="269"/>
      <c r="DL847" s="269"/>
      <c r="DM847" s="196">
        <f>'Detailed Budget'!$AC$178</f>
        <v>5622683761.6229038</v>
      </c>
      <c r="DN847" s="269">
        <f t="shared" si="2212"/>
        <v>0</v>
      </c>
      <c r="DO847" s="196">
        <f>'Detailed Budget'!$AC$179</f>
        <v>26827890683.128094</v>
      </c>
      <c r="DP847" s="269">
        <f t="shared" si="2213"/>
        <v>0</v>
      </c>
      <c r="DQ847" s="269">
        <f t="shared" si="2220"/>
        <v>0</v>
      </c>
      <c r="DR847" s="269">
        <f>'Detailed Budget'!$AC$181</f>
        <v>50888946855.375237</v>
      </c>
      <c r="DS847" s="269">
        <f t="shared" si="2214"/>
        <v>0</v>
      </c>
      <c r="DT847" s="269">
        <f t="shared" si="2215"/>
        <v>0</v>
      </c>
      <c r="DU847" s="272">
        <f>'Detailed Budget'!$AC$192</f>
        <v>77498869683.252869</v>
      </c>
      <c r="DV847" s="269">
        <f t="shared" si="2184"/>
        <v>112580868.67704684</v>
      </c>
      <c r="DW847" s="140">
        <f>'Detailed Budget'!$AC$194</f>
        <v>2684962805.4134097</v>
      </c>
      <c r="DX847" s="269">
        <f t="shared" si="2185"/>
        <v>3900385.2086415994</v>
      </c>
      <c r="DY847" s="607">
        <f t="shared" si="2151"/>
        <v>116481253.88568844</v>
      </c>
      <c r="DZ847" s="196">
        <f>'Detailed Budget'!$AC$198</f>
        <v>18732540018.380611</v>
      </c>
      <c r="EA847" s="269">
        <f t="shared" si="2186"/>
        <v>23412232.65694746</v>
      </c>
      <c r="EB847" s="196">
        <f>'Detailed Budget'!$AC$200</f>
        <v>4683135004.5951529</v>
      </c>
      <c r="EC847" s="269">
        <f t="shared" si="2187"/>
        <v>5853058.164236865</v>
      </c>
      <c r="ED847" s="269">
        <f t="shared" si="2152"/>
        <v>29265290.821184326</v>
      </c>
      <c r="EE847" s="196">
        <f>'Detailed Budget'!$AC$161</f>
        <v>251147290106.36197</v>
      </c>
      <c r="EF847" s="269">
        <f t="shared" si="2188"/>
        <v>364836031.82370645</v>
      </c>
      <c r="EG847" s="196">
        <f>'Detailed Budget'!$AC$163</f>
        <v>15696705631.647623</v>
      </c>
      <c r="EH847" s="269">
        <f t="shared" si="2189"/>
        <v>22802251.988981653</v>
      </c>
      <c r="EI847" s="269">
        <f t="shared" si="2153"/>
        <v>387638283.81268811</v>
      </c>
      <c r="EJ847" s="196">
        <f>'Detailed Budget'!$AC$204</f>
        <v>45012172507.531975</v>
      </c>
      <c r="EK847" s="269">
        <f t="shared" si="2190"/>
        <v>62090546.974811867</v>
      </c>
      <c r="EL847" s="201">
        <f>'Detailed Budget'!$AC$206</f>
        <v>11253043126.882994</v>
      </c>
      <c r="EM847" s="269">
        <f t="shared" si="2191"/>
        <v>15522636.743702967</v>
      </c>
      <c r="EN847" s="269">
        <f t="shared" si="2154"/>
        <v>77613183.71851483</v>
      </c>
      <c r="EO847" s="140">
        <f>'Detailed Budget'!$AC$209</f>
        <v>135789361677.54817</v>
      </c>
      <c r="EP847" s="269">
        <f t="shared" si="2192"/>
        <v>220063004.93835062</v>
      </c>
      <c r="EQ847" s="196">
        <f>'Detailed Budget'!$AC$211</f>
        <v>33947340419.387043</v>
      </c>
      <c r="ER847" s="269">
        <f t="shared" si="2193"/>
        <v>55015751.234587654</v>
      </c>
      <c r="ES847" s="269">
        <f t="shared" si="2155"/>
        <v>275078756.17293829</v>
      </c>
      <c r="ET847" s="196">
        <f>'Detailed Budget'!$AC$214</f>
        <v>22239745544.201103</v>
      </c>
      <c r="EU847" s="269">
        <f t="shared" si="2194"/>
        <v>35003145.919892907</v>
      </c>
      <c r="EV847" s="140">
        <f>'Detailed Budget'!$AC$217</f>
        <v>5559936386.0502758</v>
      </c>
      <c r="EW847" s="269">
        <f t="shared" si="2195"/>
        <v>8750786.4799732268</v>
      </c>
      <c r="EX847" s="269">
        <f t="shared" si="2156"/>
        <v>43753932.399866134</v>
      </c>
      <c r="EY847" s="196">
        <f>'Detailed Budget'!$AC$219</f>
        <v>372777004.58170313</v>
      </c>
      <c r="EZ847" s="269">
        <f t="shared" si="2196"/>
        <v>614212.48236759694</v>
      </c>
      <c r="FA847" s="196">
        <f>'Detailed Budget'!$AC$222</f>
        <v>93194251.145425782</v>
      </c>
      <c r="FB847" s="269">
        <f t="shared" si="2197"/>
        <v>153553.12059189923</v>
      </c>
      <c r="FC847" s="269">
        <f t="shared" si="2157"/>
        <v>767765.6029594962</v>
      </c>
      <c r="FD847" s="269"/>
      <c r="FE847" s="269">
        <f t="shared" si="2158"/>
        <v>397213637.89427876</v>
      </c>
      <c r="FF847" s="140">
        <f>'Detailed Budget'!$AC$165</f>
        <v>14927760000</v>
      </c>
      <c r="FG847" s="1087">
        <f t="shared" si="2222"/>
        <v>541825695.18912256</v>
      </c>
      <c r="FH847" s="269">
        <f t="shared" si="2198"/>
        <v>18657579.820474949</v>
      </c>
      <c r="FJ847" s="140">
        <f>'Detailed Budget'!$AC$235</f>
        <v>3623696172</v>
      </c>
      <c r="FK847" s="269">
        <f t="shared" si="2199"/>
        <v>4681778</v>
      </c>
      <c r="FL847" s="269">
        <f t="shared" si="2223"/>
        <v>4681778</v>
      </c>
      <c r="FR847" s="269">
        <f>'Detailed Budget'!$AC$257</f>
        <v>13636439388</v>
      </c>
      <c r="FS847" s="269">
        <f t="shared" si="2200"/>
        <v>8994024</v>
      </c>
      <c r="FT847" s="269">
        <f t="shared" si="2224"/>
        <v>8994024</v>
      </c>
      <c r="FU847" s="269"/>
      <c r="FV847" s="269"/>
      <c r="FW847" s="269"/>
      <c r="FX847" s="140">
        <f>'Detailed Budget'!$AC$278</f>
        <v>1114560000</v>
      </c>
      <c r="FY847" s="269">
        <f t="shared" si="2201"/>
        <v>1440000</v>
      </c>
      <c r="FZ847" s="269">
        <f t="shared" si="2216"/>
        <v>1440000</v>
      </c>
      <c r="GB847" s="269">
        <f t="shared" si="2232"/>
        <v>1708282946.9294512</v>
      </c>
      <c r="GC847" s="887">
        <f t="shared" si="2159"/>
        <v>1067676.8418309069</v>
      </c>
      <c r="GD847" s="1078">
        <f t="shared" si="2233"/>
        <v>9.5857135381971199E-4</v>
      </c>
    </row>
    <row r="848" spans="1:186" hidden="1" outlineLevel="1">
      <c r="A848" s="211" t="s">
        <v>1767</v>
      </c>
      <c r="B848" s="212" t="s">
        <v>1768</v>
      </c>
      <c r="C848" s="213" t="s">
        <v>215</v>
      </c>
      <c r="D848" s="214"/>
      <c r="E848" s="213"/>
      <c r="F848" s="213"/>
      <c r="G848" s="213" t="s">
        <v>215</v>
      </c>
      <c r="H848" s="213" t="s">
        <v>215</v>
      </c>
      <c r="I848" s="214" t="s">
        <v>215</v>
      </c>
      <c r="J848" s="214"/>
      <c r="K848" s="213"/>
      <c r="L848" s="213"/>
      <c r="M848" s="214"/>
      <c r="N848" s="213"/>
      <c r="O848" s="214" t="s">
        <v>215</v>
      </c>
      <c r="P848" s="213"/>
      <c r="Q848" s="214"/>
      <c r="R848" s="214" t="s">
        <v>215</v>
      </c>
      <c r="S848" s="214"/>
      <c r="T848" s="214"/>
      <c r="U848" s="215">
        <f t="shared" ref="U848:U861" si="2236">COUNTA(C848:T848)</f>
        <v>6</v>
      </c>
      <c r="V848" s="845" t="s">
        <v>216</v>
      </c>
      <c r="W848" s="216">
        <v>148133</v>
      </c>
      <c r="X848" s="217">
        <v>3.35</v>
      </c>
      <c r="Y848" s="218">
        <f t="shared" si="2170"/>
        <v>1.0335000000000001</v>
      </c>
      <c r="Z848" s="196">
        <v>19</v>
      </c>
      <c r="AA848" s="218">
        <f t="shared" si="2171"/>
        <v>1.8702477386515275</v>
      </c>
      <c r="AB848" s="196">
        <f t="shared" si="2234"/>
        <v>277045.40826966672</v>
      </c>
      <c r="AC848">
        <v>12.8</v>
      </c>
      <c r="AD848" s="196">
        <f t="shared" si="2235"/>
        <v>35461.812258517341</v>
      </c>
      <c r="AE848" s="196">
        <f t="shared" si="2172"/>
        <v>33688.721645591475</v>
      </c>
      <c r="AF848" s="196">
        <f t="shared" si="2202"/>
        <v>0</v>
      </c>
      <c r="AG848" s="606"/>
      <c r="AH848" s="196">
        <f t="shared" si="2217"/>
        <v>13852.270413483337</v>
      </c>
      <c r="AI848" s="248">
        <f t="shared" si="2141"/>
        <v>1.0731144006928268E-3</v>
      </c>
      <c r="AJ848" s="196">
        <f t="shared" si="2142"/>
        <v>49314.082672000673</v>
      </c>
      <c r="AK848" s="196">
        <f t="shared" si="2173"/>
        <v>11081.816330786669</v>
      </c>
      <c r="AL848" s="196">
        <f t="shared" si="2174"/>
        <v>11081.816330786669</v>
      </c>
      <c r="AM848" s="196">
        <f t="shared" si="2143"/>
        <v>22163.632661573338</v>
      </c>
      <c r="AN848" s="627">
        <f t="shared" si="2144"/>
        <v>1.0731144006928268E-3</v>
      </c>
      <c r="AO848" s="196">
        <f t="shared" si="2145"/>
        <v>10527.725514247335</v>
      </c>
      <c r="AP848" s="589">
        <f t="shared" si="2163"/>
        <v>1.0731144006928266E-3</v>
      </c>
      <c r="AQ848" s="589"/>
      <c r="AR848" s="589"/>
      <c r="AS848">
        <v>1</v>
      </c>
      <c r="AT848" s="589">
        <f t="shared" si="2164"/>
        <v>1.2919896640826874E-3</v>
      </c>
      <c r="AU848" s="196">
        <v>14</v>
      </c>
      <c r="AV848" s="245">
        <f t="shared" si="2146"/>
        <v>1.5907283263265539E-3</v>
      </c>
      <c r="AX848" s="245"/>
      <c r="AY848" s="245"/>
      <c r="AZ848" s="196">
        <v>26</v>
      </c>
      <c r="BA848" s="589">
        <f t="shared" si="2226"/>
        <v>9.526950276647979E-4</v>
      </c>
      <c r="BI848" s="196">
        <v>0</v>
      </c>
      <c r="BK848" s="246">
        <f t="shared" si="2227"/>
        <v>0</v>
      </c>
      <c r="BL848" s="246"/>
      <c r="BM848" s="246">
        <f t="shared" si="2228"/>
        <v>0</v>
      </c>
      <c r="BN848" s="196">
        <v>1</v>
      </c>
      <c r="BO848" s="196">
        <f t="shared" si="2203"/>
        <v>17819.67329718055</v>
      </c>
      <c r="BP848" s="196">
        <f t="shared" si="2147"/>
        <v>17819.67329718055</v>
      </c>
      <c r="BQ848" s="248">
        <f t="shared" si="2229"/>
        <v>1.6669474552234037E-3</v>
      </c>
      <c r="BR848" s="248"/>
      <c r="BS848" s="248"/>
      <c r="BT848" s="276">
        <v>0</v>
      </c>
      <c r="BU848" s="196">
        <f t="shared" si="2218"/>
        <v>0</v>
      </c>
      <c r="BV848" s="264">
        <f t="shared" si="2230"/>
        <v>0</v>
      </c>
      <c r="BW848" s="196">
        <f t="shared" si="2219"/>
        <v>0</v>
      </c>
      <c r="BX848" s="247">
        <f t="shared" si="2231"/>
        <v>0</v>
      </c>
      <c r="BY848" s="196">
        <f t="shared" si="2204"/>
        <v>0</v>
      </c>
      <c r="BZ848" s="620">
        <v>1</v>
      </c>
      <c r="CA848" s="196">
        <f t="shared" si="2205"/>
        <v>84775.894930518029</v>
      </c>
      <c r="CB848" s="196">
        <f t="shared" si="2206"/>
        <v>169551.78986103606</v>
      </c>
      <c r="CC848" s="196">
        <f t="shared" si="2160"/>
        <v>254327.68479155409</v>
      </c>
      <c r="CD848" s="247">
        <f t="shared" si="2148"/>
        <v>1.0731144006928268E-3</v>
      </c>
      <c r="CE848" s="196">
        <f t="shared" si="2207"/>
        <v>21380.066029929159</v>
      </c>
      <c r="CF848" s="247">
        <f t="shared" si="2149"/>
        <v>9.2325774201603285E-4</v>
      </c>
      <c r="CG848" s="196">
        <f t="shared" si="2179"/>
        <v>42110.90205698934</v>
      </c>
      <c r="CH848" s="589">
        <f t="shared" si="2165"/>
        <v>1.0731144006928266E-3</v>
      </c>
      <c r="CI848" s="271">
        <f t="shared" si="2208"/>
        <v>61982.710057926997</v>
      </c>
      <c r="CJ848" s="248">
        <f t="shared" si="2166"/>
        <v>1.0189955960193998E-3</v>
      </c>
      <c r="CK848" s="271">
        <f t="shared" si="2209"/>
        <v>83280.633570148028</v>
      </c>
      <c r="CL848" s="589">
        <f t="shared" si="2167"/>
        <v>1.1971762376663687E-3</v>
      </c>
      <c r="CM848" s="271">
        <f t="shared" si="2210"/>
        <v>8067.8131189842816</v>
      </c>
      <c r="CN848" s="589">
        <f t="shared" si="2168"/>
        <v>1.1626635583263773E-3</v>
      </c>
      <c r="CO848" s="271">
        <f t="shared" si="2211"/>
        <v>645.41655579864653</v>
      </c>
      <c r="CP848" s="589">
        <f t="shared" si="2169"/>
        <v>1.2171562117854935E-3</v>
      </c>
      <c r="CQ848" s="196">
        <f>'Detailed Budget'!$AC$12</f>
        <v>292876014141.44696</v>
      </c>
      <c r="CR848" s="269">
        <f t="shared" si="2177"/>
        <v>0</v>
      </c>
      <c r="CS848" s="269">
        <f>'Detailed Budget'!$AC$16</f>
        <v>10488008800.000002</v>
      </c>
      <c r="CT848" s="607">
        <f t="shared" si="2181"/>
        <v>0</v>
      </c>
      <c r="CU848" s="269">
        <f>'Detailed Budget'!$AC$24</f>
        <v>30624985696</v>
      </c>
      <c r="CV848" s="269">
        <f t="shared" si="2225"/>
        <v>0</v>
      </c>
      <c r="CW848" s="269"/>
      <c r="CX848" s="269">
        <f t="shared" si="2161"/>
        <v>0</v>
      </c>
      <c r="CY848" s="196">
        <f>'Detailed Budget'!$AC$97</f>
        <v>74629165494.837845</v>
      </c>
      <c r="CZ848" s="269">
        <f t="shared" si="2182"/>
        <v>124402897.50706619</v>
      </c>
      <c r="DA848" s="269">
        <f>'Detailed Budget'!$AC$100</f>
        <v>14925833098.967569</v>
      </c>
      <c r="DB848" s="269">
        <f t="shared" si="2183"/>
        <v>24880579.501413237</v>
      </c>
      <c r="DC848" s="269">
        <f t="shared" si="2150"/>
        <v>149283477.00847942</v>
      </c>
      <c r="DD848" s="207">
        <v>0</v>
      </c>
      <c r="DE848" s="606">
        <v>0</v>
      </c>
      <c r="DF848" s="269">
        <f>'Detailed Budget'!$AC$147</f>
        <v>5913600671000</v>
      </c>
      <c r="DG848" s="269">
        <f t="shared" si="2221"/>
        <v>0</v>
      </c>
      <c r="DH848" s="269"/>
      <c r="DI848" s="269"/>
      <c r="DJ848" s="269"/>
      <c r="DK848" s="269"/>
      <c r="DL848" s="269"/>
      <c r="DM848" s="196">
        <f>'Detailed Budget'!$AC$178</f>
        <v>5622683761.6229038</v>
      </c>
      <c r="DN848" s="269">
        <f t="shared" si="2212"/>
        <v>0</v>
      </c>
      <c r="DO848" s="196">
        <f>'Detailed Budget'!$AC$179</f>
        <v>26827890683.128094</v>
      </c>
      <c r="DP848" s="269">
        <f t="shared" si="2213"/>
        <v>0</v>
      </c>
      <c r="DQ848" s="269">
        <f t="shared" si="2220"/>
        <v>0</v>
      </c>
      <c r="DR848" s="269">
        <f>'Detailed Budget'!$AC$181</f>
        <v>50888946855.375237</v>
      </c>
      <c r="DS848" s="269">
        <f t="shared" si="2214"/>
        <v>0</v>
      </c>
      <c r="DT848" s="269">
        <f t="shared" si="2215"/>
        <v>0</v>
      </c>
      <c r="DU848" s="272">
        <f>'Detailed Budget'!$AC$192</f>
        <v>77498869683.252869</v>
      </c>
      <c r="DV848" s="269">
        <f t="shared" si="2184"/>
        <v>83165153.094515383</v>
      </c>
      <c r="DW848" s="140">
        <f>'Detailed Budget'!$AC$194</f>
        <v>2684962805.4134097</v>
      </c>
      <c r="DX848" s="269">
        <f t="shared" si="2185"/>
        <v>2881272.2518137423</v>
      </c>
      <c r="DY848" s="607">
        <f t="shared" si="2151"/>
        <v>86046425.346329123</v>
      </c>
      <c r="DZ848" s="196">
        <f>'Detailed Budget'!$AC$198</f>
        <v>18732540018.380611</v>
      </c>
      <c r="EA848" s="269">
        <f t="shared" si="2186"/>
        <v>17294962.599595059</v>
      </c>
      <c r="EB848" s="196">
        <f>'Detailed Budget'!$AC$200</f>
        <v>4683135004.5951529</v>
      </c>
      <c r="EC848" s="269">
        <f t="shared" si="2187"/>
        <v>4323740.6498987647</v>
      </c>
      <c r="ED848" s="269">
        <f t="shared" si="2152"/>
        <v>21618703.249493822</v>
      </c>
      <c r="EE848" s="196">
        <f>'Detailed Budget'!$AC$161</f>
        <v>251147290106.36197</v>
      </c>
      <c r="EF848" s="269">
        <f t="shared" si="2188"/>
        <v>269509773.70811605</v>
      </c>
      <c r="EG848" s="196">
        <f>'Detailed Budget'!$AC$163</f>
        <v>15696705631.647623</v>
      </c>
      <c r="EH848" s="269">
        <f t="shared" si="2189"/>
        <v>16844360.856757253</v>
      </c>
      <c r="EI848" s="269">
        <f t="shared" si="2153"/>
        <v>286354134.56487334</v>
      </c>
      <c r="EJ848" s="196">
        <f>'Detailed Budget'!$AC$204</f>
        <v>45012172507.531975</v>
      </c>
      <c r="EK848" s="269">
        <f t="shared" si="2190"/>
        <v>45867205.552440584</v>
      </c>
      <c r="EL848" s="201">
        <f>'Detailed Budget'!$AC$206</f>
        <v>11253043126.882994</v>
      </c>
      <c r="EM848" s="269">
        <f t="shared" si="2191"/>
        <v>11466801.388110146</v>
      </c>
      <c r="EN848" s="269">
        <f t="shared" si="2154"/>
        <v>57334006.94055073</v>
      </c>
      <c r="EO848" s="140">
        <f>'Detailed Budget'!$AC$209</f>
        <v>135789361677.54817</v>
      </c>
      <c r="EP848" s="269">
        <f t="shared" si="2192"/>
        <v>162563797.12824491</v>
      </c>
      <c r="EQ848" s="196">
        <f>'Detailed Budget'!$AC$211</f>
        <v>33947340419.387043</v>
      </c>
      <c r="ER848" s="269">
        <f t="shared" si="2193"/>
        <v>40640949.282061227</v>
      </c>
      <c r="ES848" s="269">
        <f t="shared" si="2155"/>
        <v>203204746.41030613</v>
      </c>
      <c r="ET848" s="196">
        <f>'Detailed Budget'!$AC$214</f>
        <v>22239745544.201103</v>
      </c>
      <c r="EU848" s="269">
        <f t="shared" si="2194"/>
        <v>25857341.690694049</v>
      </c>
      <c r="EV848" s="140">
        <f>'Detailed Budget'!$AC$217</f>
        <v>5559936386.0502758</v>
      </c>
      <c r="EW848" s="269">
        <f t="shared" si="2195"/>
        <v>6464335.4226735123</v>
      </c>
      <c r="EX848" s="269">
        <f t="shared" si="2156"/>
        <v>32321677.113367561</v>
      </c>
      <c r="EY848" s="196">
        <f>'Detailed Budget'!$AC$219</f>
        <v>372777004.58170313</v>
      </c>
      <c r="EZ848" s="269">
        <f t="shared" si="2196"/>
        <v>453727.8467374093</v>
      </c>
      <c r="FA848" s="196">
        <f>'Detailed Budget'!$AC$222</f>
        <v>93194251.145425782</v>
      </c>
      <c r="FB848" s="269">
        <f t="shared" si="2197"/>
        <v>113431.96168435233</v>
      </c>
      <c r="FC848" s="269">
        <f t="shared" si="2157"/>
        <v>567159.80842176161</v>
      </c>
      <c r="FD848" s="269"/>
      <c r="FE848" s="269">
        <f t="shared" si="2158"/>
        <v>293427590.27264619</v>
      </c>
      <c r="FF848" s="140">
        <f>'Detailed Budget'!$AC$165</f>
        <v>14927760000</v>
      </c>
      <c r="FG848" s="1087">
        <f t="shared" si="2222"/>
        <v>400254656.23479158</v>
      </c>
      <c r="FH848" s="269">
        <f t="shared" si="2198"/>
        <v>23746010.68060448</v>
      </c>
      <c r="FJ848" s="140">
        <f>'Detailed Budget'!$AC$235</f>
        <v>3623696172</v>
      </c>
      <c r="FK848" s="269">
        <f t="shared" si="2199"/>
        <v>4681778</v>
      </c>
      <c r="FL848" s="269">
        <f t="shared" si="2223"/>
        <v>4681778</v>
      </c>
      <c r="FR848" s="269">
        <f>'Detailed Budget'!$AC$257</f>
        <v>13636439388</v>
      </c>
      <c r="FS848" s="269">
        <f t="shared" si="2200"/>
        <v>12991368</v>
      </c>
      <c r="FT848" s="269">
        <f t="shared" si="2224"/>
        <v>12991368</v>
      </c>
      <c r="FU848" s="269"/>
      <c r="FV848" s="269"/>
      <c r="FW848" s="269"/>
      <c r="FX848" s="140">
        <f>'Detailed Budget'!$AC$278</f>
        <v>1114560000</v>
      </c>
      <c r="FY848" s="269">
        <f t="shared" si="2201"/>
        <v>1440000</v>
      </c>
      <c r="FZ848" s="269">
        <f t="shared" si="2216"/>
        <v>1440000</v>
      </c>
      <c r="GB848" s="269">
        <f t="shared" si="2232"/>
        <v>1279844143.3572178</v>
      </c>
      <c r="GC848" s="887">
        <f t="shared" si="2159"/>
        <v>799902.58959826117</v>
      </c>
      <c r="GD848" s="1078">
        <f t="shared" si="2233"/>
        <v>7.1816084998173498E-4</v>
      </c>
    </row>
    <row r="849" spans="1:186" hidden="1" outlineLevel="1">
      <c r="A849" s="211" t="s">
        <v>1769</v>
      </c>
      <c r="B849" s="212" t="s">
        <v>1770</v>
      </c>
      <c r="C849" s="213" t="s">
        <v>215</v>
      </c>
      <c r="D849" s="214" t="s">
        <v>215</v>
      </c>
      <c r="E849" s="213"/>
      <c r="F849" s="213"/>
      <c r="G849" s="213"/>
      <c r="H849" s="213" t="s">
        <v>215</v>
      </c>
      <c r="I849" s="214" t="s">
        <v>215</v>
      </c>
      <c r="J849" s="214"/>
      <c r="K849" s="213"/>
      <c r="L849" s="213"/>
      <c r="M849" s="214"/>
      <c r="N849" s="213"/>
      <c r="O849" s="214" t="s">
        <v>215</v>
      </c>
      <c r="P849" s="213"/>
      <c r="Q849" s="214" t="s">
        <v>215</v>
      </c>
      <c r="R849" s="214"/>
      <c r="S849" s="214"/>
      <c r="T849" s="214"/>
      <c r="U849" s="215">
        <f t="shared" si="2236"/>
        <v>6</v>
      </c>
      <c r="V849" s="845" t="s">
        <v>265</v>
      </c>
      <c r="W849" s="216">
        <v>198859</v>
      </c>
      <c r="X849" s="217">
        <v>3.35</v>
      </c>
      <c r="Y849" s="218">
        <f t="shared" si="2170"/>
        <v>1.0335000000000001</v>
      </c>
      <c r="Z849" s="196">
        <v>19</v>
      </c>
      <c r="AA849" s="218">
        <f t="shared" si="2171"/>
        <v>1.8702477386515275</v>
      </c>
      <c r="AB849" s="196">
        <f t="shared" si="2234"/>
        <v>371915.5950605041</v>
      </c>
      <c r="AC849">
        <v>12.8</v>
      </c>
      <c r="AD849" s="196">
        <f t="shared" si="2235"/>
        <v>47605.196167744529</v>
      </c>
      <c r="AE849" s="196">
        <f t="shared" si="2172"/>
        <v>45224.9363593573</v>
      </c>
      <c r="AF849" s="196">
        <f t="shared" si="2202"/>
        <v>45224.9363593573</v>
      </c>
      <c r="AG849" s="606"/>
      <c r="AH849" s="196">
        <f t="shared" si="2217"/>
        <v>18595.779753025206</v>
      </c>
      <c r="AI849" s="248">
        <f t="shared" si="2141"/>
        <v>1.4405868821084757E-3</v>
      </c>
      <c r="AJ849" s="196">
        <f t="shared" si="2142"/>
        <v>66200.975920769735</v>
      </c>
      <c r="AK849" s="196">
        <f t="shared" si="2173"/>
        <v>14876.623802420165</v>
      </c>
      <c r="AL849" s="196">
        <f t="shared" si="2174"/>
        <v>14876.623802420165</v>
      </c>
      <c r="AM849" s="196">
        <f t="shared" si="2143"/>
        <v>29753.24760484033</v>
      </c>
      <c r="AN849" s="627">
        <f t="shared" si="2144"/>
        <v>1.4405868821084757E-3</v>
      </c>
      <c r="AO849" s="196">
        <f t="shared" si="2145"/>
        <v>14132.792612299156</v>
      </c>
      <c r="AP849" s="589">
        <f t="shared" si="2163"/>
        <v>1.4405868821084757E-3</v>
      </c>
      <c r="AQ849" s="589"/>
      <c r="AR849" s="589"/>
      <c r="AS849">
        <v>1</v>
      </c>
      <c r="AT849" s="589">
        <f t="shared" si="2164"/>
        <v>1.2919896640826874E-3</v>
      </c>
      <c r="AU849" s="196">
        <v>10</v>
      </c>
      <c r="AV849" s="245">
        <f t="shared" si="2146"/>
        <v>1.1362345188046814E-3</v>
      </c>
      <c r="AX849" s="245"/>
      <c r="AY849" s="245"/>
      <c r="AZ849" s="196">
        <v>19</v>
      </c>
      <c r="BA849" s="589">
        <f t="shared" si="2226"/>
        <v>6.9620021252427542E-4</v>
      </c>
      <c r="BI849" s="196">
        <v>0</v>
      </c>
      <c r="BK849" s="246">
        <f t="shared" si="2227"/>
        <v>0</v>
      </c>
      <c r="BL849" s="246"/>
      <c r="BM849" s="246">
        <f t="shared" si="2228"/>
        <v>0</v>
      </c>
      <c r="BN849" s="196">
        <v>1</v>
      </c>
      <c r="BO849" s="196">
        <f t="shared" si="2203"/>
        <v>23921.76228257058</v>
      </c>
      <c r="BP849" s="196">
        <f t="shared" si="2147"/>
        <v>23921.76228257058</v>
      </c>
      <c r="BQ849" s="248">
        <f t="shared" si="2229"/>
        <v>2.2377694639160138E-3</v>
      </c>
      <c r="BR849" s="248"/>
      <c r="BS849" s="248"/>
      <c r="BT849" s="276">
        <v>1</v>
      </c>
      <c r="BU849" s="196">
        <f t="shared" si="2218"/>
        <v>37703.315364853668</v>
      </c>
      <c r="BV849" s="264">
        <f t="shared" si="2230"/>
        <v>2.6151733696974854E-3</v>
      </c>
      <c r="BW849" s="196">
        <f t="shared" si="2219"/>
        <v>161286.40461631847</v>
      </c>
      <c r="BX849" s="247">
        <f t="shared" si="2231"/>
        <v>2.6151733932550675E-3</v>
      </c>
      <c r="BY849" s="196">
        <f t="shared" si="2204"/>
        <v>198989.71998117212</v>
      </c>
      <c r="BZ849" s="620">
        <v>0</v>
      </c>
      <c r="CA849" s="196">
        <f t="shared" si="2205"/>
        <v>113806.17208851426</v>
      </c>
      <c r="CB849" s="196">
        <f t="shared" si="2206"/>
        <v>227612.34417702851</v>
      </c>
      <c r="CC849" s="196">
        <f t="shared" si="2160"/>
        <v>341418.51626554277</v>
      </c>
      <c r="CD849" s="247">
        <f t="shared" si="2148"/>
        <v>1.4405868821084757E-3</v>
      </c>
      <c r="CE849" s="196">
        <f t="shared" si="2207"/>
        <v>28701.359930911294</v>
      </c>
      <c r="CF849" s="247">
        <f t="shared" si="2149"/>
        <v>1.2394139814866794E-3</v>
      </c>
      <c r="CG849" s="196">
        <f t="shared" si="2179"/>
        <v>56531.170449196623</v>
      </c>
      <c r="CH849" s="589">
        <f t="shared" si="2165"/>
        <v>1.4405868821084757E-3</v>
      </c>
      <c r="CI849" s="271">
        <f t="shared" si="2208"/>
        <v>83207.791237666868</v>
      </c>
      <c r="CJ849" s="248">
        <f t="shared" si="2166"/>
        <v>1.367935876737944E-3</v>
      </c>
      <c r="CK849" s="271">
        <f t="shared" si="2209"/>
        <v>111798.88013559481</v>
      </c>
      <c r="CL849" s="589">
        <f t="shared" si="2167"/>
        <v>1.6071318979977208E-3</v>
      </c>
      <c r="CM849" s="271">
        <f t="shared" si="2210"/>
        <v>10830.518851492208</v>
      </c>
      <c r="CN849" s="589">
        <f t="shared" si="2168"/>
        <v>1.560800851567342E-3</v>
      </c>
      <c r="CO849" s="271">
        <f t="shared" si="2211"/>
        <v>866.43010584787351</v>
      </c>
      <c r="CP849" s="589">
        <f t="shared" si="2169"/>
        <v>1.6339537248246606E-3</v>
      </c>
      <c r="CQ849" s="196">
        <f>'Detailed Budget'!$AC$12</f>
        <v>292876014141.44696</v>
      </c>
      <c r="CR849" s="269">
        <f t="shared" si="2177"/>
        <v>0</v>
      </c>
      <c r="CS849" s="269">
        <f>'Detailed Budget'!$AC$16</f>
        <v>10488008800.000002</v>
      </c>
      <c r="CT849" s="607">
        <f t="shared" si="2181"/>
        <v>0</v>
      </c>
      <c r="CU849" s="269">
        <f>'Detailed Budget'!$AC$24</f>
        <v>30624985696</v>
      </c>
      <c r="CV849" s="269">
        <f t="shared" si="2225"/>
        <v>0</v>
      </c>
      <c r="CW849" s="269"/>
      <c r="CX849" s="269">
        <f t="shared" si="2161"/>
        <v>0</v>
      </c>
      <c r="CY849" s="196">
        <f>'Detailed Budget'!$AC$97</f>
        <v>74629165494.837845</v>
      </c>
      <c r="CZ849" s="269">
        <f t="shared" si="2182"/>
        <v>167002867.66188276</v>
      </c>
      <c r="DA849" s="269">
        <f>'Detailed Budget'!$AC$100</f>
        <v>14925833098.967569</v>
      </c>
      <c r="DB849" s="269">
        <f t="shared" si="2183"/>
        <v>33400573.532376554</v>
      </c>
      <c r="DC849" s="269">
        <f t="shared" si="2150"/>
        <v>200403441.19425932</v>
      </c>
      <c r="DD849" s="207">
        <v>0</v>
      </c>
      <c r="DE849" s="606">
        <v>0</v>
      </c>
      <c r="DF849" s="269">
        <f>'Detailed Budget'!$AC$147</f>
        <v>5913600671000</v>
      </c>
      <c r="DG849" s="269">
        <f t="shared" si="2221"/>
        <v>0</v>
      </c>
      <c r="DH849" s="269"/>
      <c r="DI849" s="269"/>
      <c r="DJ849" s="269"/>
      <c r="DK849" s="269"/>
      <c r="DL849" s="269"/>
      <c r="DM849" s="196">
        <f>'Detailed Budget'!$AC$178</f>
        <v>5622683761.6229038</v>
      </c>
      <c r="DN849" s="269">
        <f t="shared" si="2212"/>
        <v>14704292.839626702</v>
      </c>
      <c r="DO849" s="196">
        <f>'Detailed Budget'!$AC$179</f>
        <v>26827890683.128094</v>
      </c>
      <c r="DP849" s="269">
        <f t="shared" si="2213"/>
        <v>70159585.911672115</v>
      </c>
      <c r="DQ849" s="269">
        <f t="shared" si="2220"/>
        <v>84863878.751298815</v>
      </c>
      <c r="DR849" s="269">
        <f>'Detailed Budget'!$AC$181</f>
        <v>50888946855.375237</v>
      </c>
      <c r="DS849" s="269">
        <f t="shared" si="2214"/>
        <v>0</v>
      </c>
      <c r="DT849" s="269">
        <f t="shared" si="2215"/>
        <v>84863878.751298815</v>
      </c>
      <c r="DU849" s="272">
        <f>'Detailed Budget'!$AC$192</f>
        <v>77498869683.252869</v>
      </c>
      <c r="DV849" s="269">
        <f t="shared" si="2184"/>
        <v>0</v>
      </c>
      <c r="DW849" s="140">
        <f>'Detailed Budget'!$AC$194</f>
        <v>2684962805.4134097</v>
      </c>
      <c r="DX849" s="269">
        <f t="shared" si="2185"/>
        <v>0</v>
      </c>
      <c r="DY849" s="607">
        <f t="shared" si="2151"/>
        <v>0</v>
      </c>
      <c r="DZ849" s="196">
        <f>'Detailed Budget'!$AC$198</f>
        <v>18732540018.380611</v>
      </c>
      <c r="EA849" s="269">
        <f t="shared" si="2186"/>
        <v>23217372.007539667</v>
      </c>
      <c r="EB849" s="196">
        <f>'Detailed Budget'!$AC$200</f>
        <v>4683135004.5951529</v>
      </c>
      <c r="EC849" s="269">
        <f t="shared" si="2187"/>
        <v>5804343.0018849168</v>
      </c>
      <c r="ED849" s="269">
        <f t="shared" si="2152"/>
        <v>29021715.009424582</v>
      </c>
      <c r="EE849" s="196">
        <f>'Detailed Budget'!$AC$161</f>
        <v>251147290106.36197</v>
      </c>
      <c r="EF849" s="269">
        <f t="shared" si="2188"/>
        <v>361799491.60431683</v>
      </c>
      <c r="EG849" s="196">
        <f>'Detailed Budget'!$AC$163</f>
        <v>15696705631.647623</v>
      </c>
      <c r="EH849" s="269">
        <f t="shared" si="2189"/>
        <v>22612468.225269802</v>
      </c>
      <c r="EI849" s="269">
        <f t="shared" si="2153"/>
        <v>384411959.82958663</v>
      </c>
      <c r="EJ849" s="196">
        <f>'Detailed Budget'!$AC$204</f>
        <v>45012172507.531975</v>
      </c>
      <c r="EK849" s="269">
        <f t="shared" si="2190"/>
        <v>61573765.662970334</v>
      </c>
      <c r="EL849" s="201">
        <f>'Detailed Budget'!$AC$206</f>
        <v>11253043126.882994</v>
      </c>
      <c r="EM849" s="269">
        <f t="shared" si="2191"/>
        <v>15393441.415742584</v>
      </c>
      <c r="EN849" s="269">
        <f t="shared" si="2154"/>
        <v>76967207.07871291</v>
      </c>
      <c r="EO849" s="140">
        <f>'Detailed Budget'!$AC$209</f>
        <v>135789361677.54817</v>
      </c>
      <c r="EP849" s="269">
        <f t="shared" si="2192"/>
        <v>218231414.56073695</v>
      </c>
      <c r="EQ849" s="196">
        <f>'Detailed Budget'!$AC$211</f>
        <v>33947340419.387043</v>
      </c>
      <c r="ER849" s="269">
        <f t="shared" si="2193"/>
        <v>54557853.640184239</v>
      </c>
      <c r="ES849" s="269">
        <f t="shared" si="2155"/>
        <v>272789268.20092118</v>
      </c>
      <c r="ET849" s="196">
        <f>'Detailed Budget'!$AC$214</f>
        <v>22239745544.201103</v>
      </c>
      <c r="EU849" s="269">
        <f t="shared" si="2194"/>
        <v>34711813.78403008</v>
      </c>
      <c r="EV849" s="140">
        <f>'Detailed Budget'!$AC$217</f>
        <v>5559936386.0502758</v>
      </c>
      <c r="EW849" s="269">
        <f t="shared" si="2195"/>
        <v>8677953.44600752</v>
      </c>
      <c r="EX849" s="269">
        <f t="shared" si="2156"/>
        <v>43389767.2300376</v>
      </c>
      <c r="EY849" s="196">
        <f>'Detailed Budget'!$AC$219</f>
        <v>372777004.58170313</v>
      </c>
      <c r="EZ849" s="269">
        <f t="shared" si="2196"/>
        <v>609100.37516525341</v>
      </c>
      <c r="FA849" s="196">
        <f>'Detailed Budget'!$AC$222</f>
        <v>93194251.145425782</v>
      </c>
      <c r="FB849" s="269">
        <f t="shared" si="2197"/>
        <v>152275.09379131335</v>
      </c>
      <c r="FC849" s="269">
        <f t="shared" si="2157"/>
        <v>761375.46895656676</v>
      </c>
      <c r="FD849" s="269"/>
      <c r="FE849" s="269">
        <f t="shared" si="2158"/>
        <v>393907617.97862828</v>
      </c>
      <c r="FF849" s="140">
        <f>'Detailed Budget'!$AC$165</f>
        <v>14927760000</v>
      </c>
      <c r="FG849" s="1087">
        <f t="shared" si="2222"/>
        <v>537316065.18597758</v>
      </c>
      <c r="FH849" s="269">
        <f t="shared" si="2198"/>
        <v>16961436.200431772</v>
      </c>
      <c r="FJ849" s="140">
        <f>'Detailed Budget'!$AC$235</f>
        <v>3623696172</v>
      </c>
      <c r="FK849" s="269">
        <f t="shared" si="2199"/>
        <v>4681778</v>
      </c>
      <c r="FL849" s="269">
        <f t="shared" si="2223"/>
        <v>4681778</v>
      </c>
      <c r="FR849" s="269">
        <f>'Detailed Budget'!$AC$257</f>
        <v>13636439388</v>
      </c>
      <c r="FS849" s="269">
        <f t="shared" si="2200"/>
        <v>9493692</v>
      </c>
      <c r="FT849" s="269">
        <f t="shared" si="2224"/>
        <v>9493692</v>
      </c>
      <c r="FU849" s="269"/>
      <c r="FV849" s="269"/>
      <c r="FW849" s="269"/>
      <c r="FX849" s="140">
        <f>'Detailed Budget'!$AC$278</f>
        <v>1114560000</v>
      </c>
      <c r="FY849" s="269">
        <f t="shared" si="2201"/>
        <v>1440000</v>
      </c>
      <c r="FZ849" s="269">
        <f t="shared" si="2216"/>
        <v>1440000</v>
      </c>
      <c r="GB849" s="269">
        <f t="shared" si="2232"/>
        <v>1662501584.1496067</v>
      </c>
      <c r="GC849" s="887">
        <f t="shared" si="2159"/>
        <v>1039063.4900935042</v>
      </c>
      <c r="GD849" s="1078">
        <f t="shared" si="2233"/>
        <v>9.3288198954989503E-4</v>
      </c>
    </row>
    <row r="850" spans="1:186" hidden="1" outlineLevel="1">
      <c r="A850" s="211" t="s">
        <v>1771</v>
      </c>
      <c r="B850" s="212" t="s">
        <v>1772</v>
      </c>
      <c r="C850" s="213" t="s">
        <v>215</v>
      </c>
      <c r="D850" s="214"/>
      <c r="E850" s="213"/>
      <c r="F850" s="213"/>
      <c r="G850" s="213" t="s">
        <v>215</v>
      </c>
      <c r="H850" s="213" t="s">
        <v>215</v>
      </c>
      <c r="I850" s="214" t="s">
        <v>215</v>
      </c>
      <c r="J850" s="214"/>
      <c r="K850" s="213"/>
      <c r="L850" s="213"/>
      <c r="M850" s="214"/>
      <c r="N850" s="213" t="s">
        <v>215</v>
      </c>
      <c r="O850" s="214"/>
      <c r="P850" s="213"/>
      <c r="Q850" s="214" t="s">
        <v>215</v>
      </c>
      <c r="R850" s="214"/>
      <c r="S850" s="214"/>
      <c r="T850" s="214"/>
      <c r="U850" s="215">
        <f t="shared" si="2236"/>
        <v>6</v>
      </c>
      <c r="V850" s="845" t="s">
        <v>1073</v>
      </c>
      <c r="W850" s="216">
        <v>100379</v>
      </c>
      <c r="X850" s="217">
        <v>3.35</v>
      </c>
      <c r="Y850" s="218">
        <f t="shared" si="2170"/>
        <v>1.0335000000000001</v>
      </c>
      <c r="Z850" s="196">
        <v>19</v>
      </c>
      <c r="AA850" s="218">
        <f t="shared" si="2171"/>
        <v>1.8702477386515275</v>
      </c>
      <c r="AB850" s="196">
        <f t="shared" si="2234"/>
        <v>187733.59775810168</v>
      </c>
      <c r="AC850">
        <v>12.8</v>
      </c>
      <c r="AD850" s="196">
        <f t="shared" si="2235"/>
        <v>24029.900513037013</v>
      </c>
      <c r="AE850" s="196">
        <f t="shared" si="2172"/>
        <v>22828.40548738516</v>
      </c>
      <c r="AF850" s="196">
        <f t="shared" si="2202"/>
        <v>0</v>
      </c>
      <c r="AG850" s="606"/>
      <c r="AH850" s="196">
        <f t="shared" si="2217"/>
        <v>9386.6798879050839</v>
      </c>
      <c r="AI850" s="248">
        <f t="shared" si="2141"/>
        <v>7.2717186870680569E-4</v>
      </c>
      <c r="AJ850" s="196">
        <f t="shared" si="2142"/>
        <v>33416.580400942097</v>
      </c>
      <c r="AK850" s="196">
        <f t="shared" si="2173"/>
        <v>7509.3439103240671</v>
      </c>
      <c r="AL850" s="196">
        <f t="shared" si="2174"/>
        <v>7509.3439103240671</v>
      </c>
      <c r="AM850" s="196">
        <f t="shared" si="2143"/>
        <v>15018.687820648134</v>
      </c>
      <c r="AN850" s="627">
        <f t="shared" si="2144"/>
        <v>7.2717186870680569E-4</v>
      </c>
      <c r="AO850" s="196">
        <f t="shared" si="2145"/>
        <v>7133.8767148078632</v>
      </c>
      <c r="AP850" s="589">
        <f t="shared" si="2163"/>
        <v>7.2717186870680569E-4</v>
      </c>
      <c r="AQ850" s="589"/>
      <c r="AR850" s="589"/>
      <c r="AS850">
        <v>1</v>
      </c>
      <c r="AT850" s="589">
        <f t="shared" si="2164"/>
        <v>1.2919896640826874E-3</v>
      </c>
      <c r="AU850" s="196">
        <v>10</v>
      </c>
      <c r="AV850" s="245">
        <f t="shared" si="2146"/>
        <v>1.1362345188046814E-3</v>
      </c>
      <c r="AX850" s="245"/>
      <c r="AY850" s="245"/>
      <c r="AZ850" s="196">
        <v>19</v>
      </c>
      <c r="BA850" s="589">
        <f t="shared" si="2226"/>
        <v>6.9620021252427542E-4</v>
      </c>
      <c r="BI850" s="196">
        <v>0</v>
      </c>
      <c r="BK850" s="246">
        <f t="shared" si="2227"/>
        <v>0</v>
      </c>
      <c r="BL850" s="246"/>
      <c r="BM850" s="246">
        <f t="shared" si="2228"/>
        <v>0</v>
      </c>
      <c r="BN850" s="196">
        <v>1</v>
      </c>
      <c r="BO850" s="196">
        <f t="shared" si="2203"/>
        <v>12075.101333920777</v>
      </c>
      <c r="BP850" s="196">
        <f t="shared" si="2147"/>
        <v>12075.101333920777</v>
      </c>
      <c r="BQ850" s="248">
        <f t="shared" si="2229"/>
        <v>1.129569499084404E-3</v>
      </c>
      <c r="BR850" s="248"/>
      <c r="BS850" s="248"/>
      <c r="BT850" s="276">
        <v>0</v>
      </c>
      <c r="BU850" s="196">
        <f t="shared" si="2218"/>
        <v>0</v>
      </c>
      <c r="BV850" s="264">
        <f t="shared" si="2230"/>
        <v>0</v>
      </c>
      <c r="BW850" s="196">
        <f t="shared" si="2219"/>
        <v>0</v>
      </c>
      <c r="BX850" s="247">
        <f t="shared" si="2231"/>
        <v>0</v>
      </c>
      <c r="BY850" s="196">
        <f t="shared" si="2204"/>
        <v>0</v>
      </c>
      <c r="BZ850" s="620">
        <v>1</v>
      </c>
      <c r="CA850" s="196">
        <f t="shared" si="2205"/>
        <v>57446.480913979118</v>
      </c>
      <c r="CB850" s="196">
        <f t="shared" si="2206"/>
        <v>114892.96182795824</v>
      </c>
      <c r="CC850" s="196">
        <f t="shared" si="2160"/>
        <v>172339.44274193735</v>
      </c>
      <c r="CD850" s="247">
        <f t="shared" si="2148"/>
        <v>7.271718687068058E-4</v>
      </c>
      <c r="CE850" s="196">
        <f t="shared" si="2207"/>
        <v>14487.721493645975</v>
      </c>
      <c r="CF850" s="247">
        <f t="shared" si="2149"/>
        <v>6.2562487012230469E-4</v>
      </c>
      <c r="CG850" s="196">
        <f t="shared" si="2179"/>
        <v>28535.506859231453</v>
      </c>
      <c r="CH850" s="589">
        <f t="shared" si="2165"/>
        <v>7.2717186870680569E-4</v>
      </c>
      <c r="CI850" s="271">
        <f t="shared" si="2208"/>
        <v>42001.191178904453</v>
      </c>
      <c r="CJ850" s="248">
        <f t="shared" si="2166"/>
        <v>6.9049947636807012E-4</v>
      </c>
      <c r="CK850" s="271">
        <f t="shared" si="2209"/>
        <v>56433.250640558741</v>
      </c>
      <c r="CL850" s="589">
        <f t="shared" si="2167"/>
        <v>8.1123958578245494E-4</v>
      </c>
      <c r="CM850" s="271">
        <f t="shared" si="2210"/>
        <v>5466.9723361474016</v>
      </c>
      <c r="CN850" s="589">
        <f t="shared" si="2168"/>
        <v>7.8785284387167883E-4</v>
      </c>
      <c r="CO850" s="271">
        <f t="shared" si="2211"/>
        <v>437.35203131315996</v>
      </c>
      <c r="CP850" s="589">
        <f t="shared" si="2169"/>
        <v>8.247785664424269E-4</v>
      </c>
      <c r="CQ850" s="196">
        <f>'Detailed Budget'!$AC$12</f>
        <v>292876014141.44696</v>
      </c>
      <c r="CR850" s="269">
        <f t="shared" si="2177"/>
        <v>0</v>
      </c>
      <c r="CS850" s="269">
        <f>'Detailed Budget'!$AC$16</f>
        <v>10488008800.000002</v>
      </c>
      <c r="CT850" s="607">
        <f t="shared" si="2181"/>
        <v>0</v>
      </c>
      <c r="CU850" s="269">
        <f>'Detailed Budget'!$AC$24</f>
        <v>30624985696</v>
      </c>
      <c r="CV850" s="269">
        <f t="shared" si="2225"/>
        <v>0</v>
      </c>
      <c r="CW850" s="269"/>
      <c r="CX850" s="269">
        <f t="shared" si="2161"/>
        <v>0</v>
      </c>
      <c r="CY850" s="196">
        <f>'Detailed Budget'!$AC$97</f>
        <v>74629165494.837845</v>
      </c>
      <c r="CZ850" s="269">
        <f t="shared" si="2182"/>
        <v>84298829.085091069</v>
      </c>
      <c r="DA850" s="269">
        <f>'Detailed Budget'!$AC$100</f>
        <v>14925833098.967569</v>
      </c>
      <c r="DB850" s="269">
        <f t="shared" si="2183"/>
        <v>16859765.817018215</v>
      </c>
      <c r="DC850" s="269">
        <f t="shared" si="2150"/>
        <v>101158594.90210928</v>
      </c>
      <c r="DD850" s="207">
        <v>0</v>
      </c>
      <c r="DE850" s="606">
        <v>0</v>
      </c>
      <c r="DF850" s="269">
        <f>'Detailed Budget'!$AC$147</f>
        <v>5913600671000</v>
      </c>
      <c r="DG850" s="269">
        <f t="shared" si="2221"/>
        <v>0</v>
      </c>
      <c r="DH850" s="269"/>
      <c r="DI850" s="269"/>
      <c r="DJ850" s="269"/>
      <c r="DK850" s="269"/>
      <c r="DL850" s="269"/>
      <c r="DM850" s="196">
        <f>'Detailed Budget'!$AC$178</f>
        <v>5622683761.6229038</v>
      </c>
      <c r="DN850" s="269">
        <f t="shared" si="2212"/>
        <v>0</v>
      </c>
      <c r="DO850" s="196">
        <f>'Detailed Budget'!$AC$179</f>
        <v>26827890683.128094</v>
      </c>
      <c r="DP850" s="269">
        <f t="shared" si="2213"/>
        <v>0</v>
      </c>
      <c r="DQ850" s="269">
        <f t="shared" si="2220"/>
        <v>0</v>
      </c>
      <c r="DR850" s="269">
        <f>'Detailed Budget'!$AC$181</f>
        <v>50888946855.375237</v>
      </c>
      <c r="DS850" s="269">
        <f t="shared" si="2214"/>
        <v>0</v>
      </c>
      <c r="DT850" s="269">
        <f t="shared" si="2215"/>
        <v>0</v>
      </c>
      <c r="DU850" s="272">
        <f>'Detailed Budget'!$AC$192</f>
        <v>77498869683.252869</v>
      </c>
      <c r="DV850" s="269">
        <f t="shared" si="2184"/>
        <v>56354997.890236206</v>
      </c>
      <c r="DW850" s="140">
        <f>'Detailed Budget'!$AC$194</f>
        <v>2684962805.4134097</v>
      </c>
      <c r="DX850" s="269">
        <f t="shared" si="2185"/>
        <v>1952429.4206207367</v>
      </c>
      <c r="DY850" s="607">
        <f t="shared" si="2151"/>
        <v>58307427.310856946</v>
      </c>
      <c r="DZ850" s="196">
        <f>'Detailed Budget'!$AC$198</f>
        <v>18732540018.380611</v>
      </c>
      <c r="EA850" s="269">
        <f t="shared" si="2186"/>
        <v>11719542.916060245</v>
      </c>
      <c r="EB850" s="196">
        <f>'Detailed Budget'!$AC$200</f>
        <v>4683135004.5951529</v>
      </c>
      <c r="EC850" s="269">
        <f t="shared" si="2187"/>
        <v>2929885.7290150612</v>
      </c>
      <c r="ED850" s="269">
        <f t="shared" si="2152"/>
        <v>14649428.645075306</v>
      </c>
      <c r="EE850" s="196">
        <f>'Detailed Budget'!$AC$161</f>
        <v>251147290106.36197</v>
      </c>
      <c r="EF850" s="269">
        <f t="shared" si="2188"/>
        <v>182627244.26729348</v>
      </c>
      <c r="EG850" s="196">
        <f>'Detailed Budget'!$AC$163</f>
        <v>15696705631.647623</v>
      </c>
      <c r="EH850" s="269">
        <f t="shared" si="2189"/>
        <v>11414202.766705843</v>
      </c>
      <c r="EI850" s="269">
        <f t="shared" si="2153"/>
        <v>194041447.03399932</v>
      </c>
      <c r="EJ850" s="196">
        <f>'Detailed Budget'!$AC$204</f>
        <v>45012172507.531975</v>
      </c>
      <c r="EK850" s="269">
        <f t="shared" si="2190"/>
        <v>31080881.546640072</v>
      </c>
      <c r="EL850" s="201">
        <f>'Detailed Budget'!$AC$206</f>
        <v>11253043126.882994</v>
      </c>
      <c r="EM850" s="269">
        <f t="shared" si="2191"/>
        <v>7770220.386660018</v>
      </c>
      <c r="EN850" s="269">
        <f t="shared" si="2154"/>
        <v>38851101.933300093</v>
      </c>
      <c r="EO850" s="140">
        <f>'Detailed Budget'!$AC$209</f>
        <v>135789361677.54817</v>
      </c>
      <c r="EP850" s="269">
        <f t="shared" si="2192"/>
        <v>110157705.52095814</v>
      </c>
      <c r="EQ850" s="196">
        <f>'Detailed Budget'!$AC$211</f>
        <v>33947340419.387043</v>
      </c>
      <c r="ER850" s="269">
        <f t="shared" si="2193"/>
        <v>27539426.380239535</v>
      </c>
      <c r="ES850" s="269">
        <f t="shared" si="2155"/>
        <v>137697131.90119767</v>
      </c>
      <c r="ET850" s="196">
        <f>'Detailed Budget'!$AC$214</f>
        <v>22239745544.201103</v>
      </c>
      <c r="EU850" s="269">
        <f t="shared" si="2194"/>
        <v>17521646.773981337</v>
      </c>
      <c r="EV850" s="140">
        <f>'Detailed Budget'!$AC$217</f>
        <v>5559936386.0502758</v>
      </c>
      <c r="EW850" s="269">
        <f t="shared" si="2195"/>
        <v>4380411.6934953341</v>
      </c>
      <c r="EX850" s="269">
        <f t="shared" si="2156"/>
        <v>21902058.46747667</v>
      </c>
      <c r="EY850" s="196">
        <f>'Detailed Budget'!$AC$219</f>
        <v>372777004.58170313</v>
      </c>
      <c r="EZ850" s="269">
        <f t="shared" si="2196"/>
        <v>307458.48344159912</v>
      </c>
      <c r="FA850" s="196">
        <f>'Detailed Budget'!$AC$222</f>
        <v>93194251.145425782</v>
      </c>
      <c r="FB850" s="269">
        <f t="shared" si="2197"/>
        <v>76864.62086039978</v>
      </c>
      <c r="FC850" s="269">
        <f t="shared" si="2157"/>
        <v>384323.10430199892</v>
      </c>
      <c r="FD850" s="269"/>
      <c r="FE850" s="269">
        <f t="shared" si="2158"/>
        <v>198834615.4062764</v>
      </c>
      <c r="FF850" s="140">
        <f>'Detailed Budget'!$AC$165</f>
        <v>14927760000</v>
      </c>
      <c r="FG850" s="1087">
        <f t="shared" si="2222"/>
        <v>271223577.0435496</v>
      </c>
      <c r="FH850" s="269">
        <f t="shared" si="2198"/>
        <v>16961436.200431772</v>
      </c>
      <c r="FJ850" s="140">
        <f>'Detailed Budget'!$AC$235</f>
        <v>3623696172</v>
      </c>
      <c r="FK850" s="269">
        <f t="shared" si="2199"/>
        <v>4681778</v>
      </c>
      <c r="FL850" s="269">
        <f t="shared" si="2223"/>
        <v>4681778</v>
      </c>
      <c r="FR850" s="269">
        <f>'Detailed Budget'!$AC$257</f>
        <v>13636439388</v>
      </c>
      <c r="FS850" s="269">
        <f t="shared" si="2200"/>
        <v>9493692</v>
      </c>
      <c r="FT850" s="269">
        <f t="shared" si="2224"/>
        <v>9493692</v>
      </c>
      <c r="FU850" s="269"/>
      <c r="FV850" s="269"/>
      <c r="FW850" s="269"/>
      <c r="FX850" s="140">
        <f>'Detailed Budget'!$AC$278</f>
        <v>1114560000</v>
      </c>
      <c r="FY850" s="269">
        <f t="shared" si="2201"/>
        <v>1440000</v>
      </c>
      <c r="FZ850" s="269">
        <f t="shared" si="2216"/>
        <v>1440000</v>
      </c>
      <c r="GB850" s="269">
        <f t="shared" si="2232"/>
        <v>870791996.54229856</v>
      </c>
      <c r="GC850" s="887">
        <f t="shared" si="2159"/>
        <v>544244.99783893663</v>
      </c>
      <c r="GD850" s="1078">
        <f t="shared" si="2233"/>
        <v>4.886288097187176E-4</v>
      </c>
    </row>
    <row r="851" spans="1:186" hidden="1" outlineLevel="1">
      <c r="A851" s="211" t="s">
        <v>1773</v>
      </c>
      <c r="B851" s="212" t="s">
        <v>1774</v>
      </c>
      <c r="C851" s="213" t="s">
        <v>215</v>
      </c>
      <c r="D851" s="214"/>
      <c r="E851" s="213"/>
      <c r="F851" s="213"/>
      <c r="G851" s="213" t="s">
        <v>215</v>
      </c>
      <c r="H851" s="213" t="s">
        <v>215</v>
      </c>
      <c r="I851" s="214" t="s">
        <v>215</v>
      </c>
      <c r="J851" s="214"/>
      <c r="K851" s="213"/>
      <c r="L851" s="213"/>
      <c r="M851" s="214"/>
      <c r="N851" s="213" t="s">
        <v>215</v>
      </c>
      <c r="O851" s="214"/>
      <c r="P851" s="213"/>
      <c r="Q851" s="214"/>
      <c r="R851" s="214" t="s">
        <v>215</v>
      </c>
      <c r="S851" s="214"/>
      <c r="T851" s="214"/>
      <c r="U851" s="215">
        <f t="shared" si="2236"/>
        <v>6</v>
      </c>
      <c r="V851" s="845" t="s">
        <v>216</v>
      </c>
      <c r="W851" s="216">
        <v>65198</v>
      </c>
      <c r="X851" s="217">
        <v>3.35</v>
      </c>
      <c r="Y851" s="218">
        <f t="shared" si="2170"/>
        <v>1.0335000000000001</v>
      </c>
      <c r="Z851" s="196">
        <v>19</v>
      </c>
      <c r="AA851" s="218">
        <f t="shared" si="2171"/>
        <v>1.8702477386515275</v>
      </c>
      <c r="AB851" s="196">
        <f t="shared" si="2234"/>
        <v>121936.41206460229</v>
      </c>
      <c r="AC851">
        <v>12.8</v>
      </c>
      <c r="AD851" s="196">
        <f t="shared" si="2235"/>
        <v>15607.860744269094</v>
      </c>
      <c r="AE851" s="196">
        <f t="shared" si="2172"/>
        <v>14827.467707055639</v>
      </c>
      <c r="AF851" s="196">
        <f t="shared" si="2202"/>
        <v>0</v>
      </c>
      <c r="AG851" s="606"/>
      <c r="AH851" s="196">
        <f t="shared" si="2217"/>
        <v>6096.820603230115</v>
      </c>
      <c r="AI851" s="248">
        <f t="shared" si="2141"/>
        <v>4.7231145454673114E-4</v>
      </c>
      <c r="AJ851" s="196">
        <f t="shared" si="2142"/>
        <v>21704.681347499209</v>
      </c>
      <c r="AK851" s="196">
        <f t="shared" si="2173"/>
        <v>4877.4564825840916</v>
      </c>
      <c r="AL851" s="196">
        <f t="shared" si="2174"/>
        <v>4877.4564825840916</v>
      </c>
      <c r="AM851" s="196">
        <f t="shared" si="2143"/>
        <v>9754.9129651681833</v>
      </c>
      <c r="AN851" s="627">
        <f t="shared" si="2144"/>
        <v>4.7231145454673109E-4</v>
      </c>
      <c r="AO851" s="196">
        <f t="shared" si="2145"/>
        <v>4633.583658454887</v>
      </c>
      <c r="AP851" s="589">
        <f t="shared" si="2163"/>
        <v>4.7231145454673109E-4</v>
      </c>
      <c r="AQ851" s="589"/>
      <c r="AR851" s="589"/>
      <c r="AS851">
        <v>1</v>
      </c>
      <c r="AT851" s="589">
        <f t="shared" si="2164"/>
        <v>1.2919896640826874E-3</v>
      </c>
      <c r="AU851" s="196">
        <v>10</v>
      </c>
      <c r="AV851" s="245">
        <f t="shared" si="2146"/>
        <v>1.1362345188046814E-3</v>
      </c>
      <c r="AX851" s="245"/>
      <c r="AY851" s="245"/>
      <c r="AZ851" s="196">
        <v>28</v>
      </c>
      <c r="BA851" s="589">
        <f t="shared" si="2226"/>
        <v>1.0259792605620901E-3</v>
      </c>
      <c r="BI851" s="196">
        <v>0</v>
      </c>
      <c r="BK851" s="246">
        <f t="shared" si="2227"/>
        <v>0</v>
      </c>
      <c r="BL851" s="246"/>
      <c r="BM851" s="246">
        <f t="shared" si="2228"/>
        <v>0</v>
      </c>
      <c r="BN851" s="196">
        <v>1</v>
      </c>
      <c r="BO851" s="196">
        <f t="shared" si="2203"/>
        <v>7842.9995992086688</v>
      </c>
      <c r="BP851" s="196">
        <f t="shared" si="2147"/>
        <v>7842.9995992086688</v>
      </c>
      <c r="BQ851" s="248">
        <f t="shared" si="2229"/>
        <v>7.3367608963333954E-4</v>
      </c>
      <c r="BR851" s="248"/>
      <c r="BS851" s="248"/>
      <c r="BT851" s="276">
        <v>0</v>
      </c>
      <c r="BU851" s="196">
        <f t="shared" si="2218"/>
        <v>0</v>
      </c>
      <c r="BV851" s="264">
        <f t="shared" si="2230"/>
        <v>0</v>
      </c>
      <c r="BW851" s="196">
        <f t="shared" si="2219"/>
        <v>0</v>
      </c>
      <c r="BX851" s="247">
        <f t="shared" si="2231"/>
        <v>0</v>
      </c>
      <c r="BY851" s="196">
        <f t="shared" si="2204"/>
        <v>0</v>
      </c>
      <c r="BZ851" s="620">
        <v>1</v>
      </c>
      <c r="CA851" s="196">
        <f t="shared" si="2205"/>
        <v>37312.5420917683</v>
      </c>
      <c r="CB851" s="196">
        <f t="shared" si="2206"/>
        <v>74625.084183536601</v>
      </c>
      <c r="CC851" s="196">
        <f t="shared" si="2160"/>
        <v>111937.62627530491</v>
      </c>
      <c r="CD851" s="247">
        <f t="shared" si="2148"/>
        <v>4.7231145454673109E-4</v>
      </c>
      <c r="CE851" s="196">
        <f t="shared" si="2207"/>
        <v>9410.0406055323347</v>
      </c>
      <c r="CF851" s="247">
        <f t="shared" si="2149"/>
        <v>4.0635481806188564E-4</v>
      </c>
      <c r="CG851" s="196">
        <f t="shared" si="2179"/>
        <v>18534.334633819548</v>
      </c>
      <c r="CH851" s="589">
        <f t="shared" si="2165"/>
        <v>4.7231145454673109E-4</v>
      </c>
      <c r="CI851" s="271">
        <f t="shared" si="2208"/>
        <v>27280.543365467009</v>
      </c>
      <c r="CJ851" s="248">
        <f t="shared" si="2166"/>
        <v>4.4849206368110297E-4</v>
      </c>
      <c r="CK851" s="271">
        <f t="shared" si="2209"/>
        <v>36654.430461183605</v>
      </c>
      <c r="CL851" s="589">
        <f t="shared" si="2167"/>
        <v>5.2691497737419684E-4</v>
      </c>
      <c r="CM851" s="271">
        <f t="shared" si="2210"/>
        <v>3550.8987175817488</v>
      </c>
      <c r="CN851" s="589">
        <f t="shared" si="2168"/>
        <v>5.1172485992832892E-4</v>
      </c>
      <c r="CO851" s="271">
        <f t="shared" si="2211"/>
        <v>284.06815905274419</v>
      </c>
      <c r="CP851" s="589">
        <f t="shared" si="2169"/>
        <v>5.3570879342206403E-4</v>
      </c>
      <c r="CQ851" s="196">
        <f>'Detailed Budget'!$AC$12</f>
        <v>292876014141.44696</v>
      </c>
      <c r="CR851" s="269">
        <f t="shared" si="2177"/>
        <v>0</v>
      </c>
      <c r="CS851" s="269">
        <f>'Detailed Budget'!$AC$16</f>
        <v>10488008800.000002</v>
      </c>
      <c r="CT851" s="607">
        <f t="shared" si="2181"/>
        <v>0</v>
      </c>
      <c r="CU851" s="269">
        <f>'Detailed Budget'!$AC$24</f>
        <v>30624985696</v>
      </c>
      <c r="CV851" s="269">
        <f t="shared" si="2225"/>
        <v>0</v>
      </c>
      <c r="CW851" s="269"/>
      <c r="CX851" s="269">
        <f t="shared" si="2161"/>
        <v>0</v>
      </c>
      <c r="CY851" s="196">
        <f>'Detailed Budget'!$AC$97</f>
        <v>74629165494.837845</v>
      </c>
      <c r="CZ851" s="269">
        <f t="shared" si="2182"/>
        <v>54753634.31285198</v>
      </c>
      <c r="DA851" s="269">
        <f>'Detailed Budget'!$AC$100</f>
        <v>14925833098.967569</v>
      </c>
      <c r="DB851" s="269">
        <f t="shared" si="2183"/>
        <v>10950726.862570396</v>
      </c>
      <c r="DC851" s="269">
        <f t="shared" si="2150"/>
        <v>65704361.175422378</v>
      </c>
      <c r="DD851" s="207">
        <v>0</v>
      </c>
      <c r="DE851" s="606">
        <v>0</v>
      </c>
      <c r="DF851" s="269">
        <f>'Detailed Budget'!$AC$147</f>
        <v>5913600671000</v>
      </c>
      <c r="DG851" s="269">
        <f t="shared" si="2221"/>
        <v>0</v>
      </c>
      <c r="DH851" s="269"/>
      <c r="DI851" s="269"/>
      <c r="DJ851" s="269"/>
      <c r="DK851" s="269"/>
      <c r="DL851" s="269"/>
      <c r="DM851" s="196">
        <f>'Detailed Budget'!$AC$178</f>
        <v>5622683761.6229038</v>
      </c>
      <c r="DN851" s="269">
        <f t="shared" si="2212"/>
        <v>0</v>
      </c>
      <c r="DO851" s="196">
        <f>'Detailed Budget'!$AC$179</f>
        <v>26827890683.128094</v>
      </c>
      <c r="DP851" s="269">
        <f t="shared" si="2213"/>
        <v>0</v>
      </c>
      <c r="DQ851" s="269">
        <f t="shared" si="2220"/>
        <v>0</v>
      </c>
      <c r="DR851" s="269">
        <f>'Detailed Budget'!$AC$181</f>
        <v>50888946855.375237</v>
      </c>
      <c r="DS851" s="269">
        <f t="shared" si="2214"/>
        <v>0</v>
      </c>
      <c r="DT851" s="269">
        <f t="shared" si="2215"/>
        <v>0</v>
      </c>
      <c r="DU851" s="272">
        <f>'Detailed Budget'!$AC$192</f>
        <v>77498869683.252869</v>
      </c>
      <c r="DV851" s="269">
        <f t="shared" si="2184"/>
        <v>36603603.865824722</v>
      </c>
      <c r="DW851" s="140">
        <f>'Detailed Budget'!$AC$194</f>
        <v>2684962805.4134097</v>
      </c>
      <c r="DX851" s="269">
        <f t="shared" si="2185"/>
        <v>1268138.6880286792</v>
      </c>
      <c r="DY851" s="607">
        <f t="shared" si="2151"/>
        <v>37871742.5538534</v>
      </c>
      <c r="DZ851" s="196">
        <f>'Detailed Budget'!$AC$198</f>
        <v>18732540018.380611</v>
      </c>
      <c r="EA851" s="269">
        <f t="shared" si="2186"/>
        <v>7612057.891006045</v>
      </c>
      <c r="EB851" s="196">
        <f>'Detailed Budget'!$AC$200</f>
        <v>4683135004.5951529</v>
      </c>
      <c r="EC851" s="269">
        <f t="shared" si="2187"/>
        <v>1903014.4727515113</v>
      </c>
      <c r="ED851" s="269">
        <f t="shared" si="2152"/>
        <v>9515072.3637575563</v>
      </c>
      <c r="EE851" s="196">
        <f>'Detailed Budget'!$AC$161</f>
        <v>251147290106.36197</v>
      </c>
      <c r="EF851" s="269">
        <f t="shared" si="2188"/>
        <v>118619741.89560567</v>
      </c>
      <c r="EG851" s="196">
        <f>'Detailed Budget'!$AC$163</f>
        <v>15696705631.647623</v>
      </c>
      <c r="EH851" s="269">
        <f t="shared" si="2189"/>
        <v>7413733.8684753543</v>
      </c>
      <c r="EI851" s="269">
        <f t="shared" si="2153"/>
        <v>126033475.76408102</v>
      </c>
      <c r="EJ851" s="196">
        <f>'Detailed Budget'!$AC$204</f>
        <v>45012172507.531975</v>
      </c>
      <c r="EK851" s="269">
        <f t="shared" si="2190"/>
        <v>20187602.138672821</v>
      </c>
      <c r="EL851" s="201">
        <f>'Detailed Budget'!$AC$206</f>
        <v>11253043126.882994</v>
      </c>
      <c r="EM851" s="269">
        <f t="shared" si="2191"/>
        <v>5046900.5346682053</v>
      </c>
      <c r="EN851" s="269">
        <f t="shared" si="2154"/>
        <v>25234502.673341028</v>
      </c>
      <c r="EO851" s="140">
        <f>'Detailed Budget'!$AC$209</f>
        <v>135789361677.54817</v>
      </c>
      <c r="EP851" s="269">
        <f t="shared" si="2192"/>
        <v>71549448.435981929</v>
      </c>
      <c r="EQ851" s="196">
        <f>'Detailed Budget'!$AC$211</f>
        <v>33947340419.387043</v>
      </c>
      <c r="ER851" s="269">
        <f t="shared" si="2193"/>
        <v>17887362.108995482</v>
      </c>
      <c r="ES851" s="269">
        <f t="shared" si="2155"/>
        <v>89436810.544977412</v>
      </c>
      <c r="ET851" s="196">
        <f>'Detailed Budget'!$AC$214</f>
        <v>22239745544.201103</v>
      </c>
      <c r="EU851" s="269">
        <f t="shared" si="2194"/>
        <v>11380630.673447987</v>
      </c>
      <c r="EV851" s="140">
        <f>'Detailed Budget'!$AC$217</f>
        <v>5559936386.0502758</v>
      </c>
      <c r="EW851" s="269">
        <f t="shared" si="2195"/>
        <v>2845157.6683619968</v>
      </c>
      <c r="EX851" s="269">
        <f t="shared" si="2156"/>
        <v>14225788.341809984</v>
      </c>
      <c r="EY851" s="196">
        <f>'Detailed Budget'!$AC$219</f>
        <v>372777004.58170313</v>
      </c>
      <c r="EZ851" s="269">
        <f t="shared" si="2196"/>
        <v>199699.91933995541</v>
      </c>
      <c r="FA851" s="196">
        <f>'Detailed Budget'!$AC$222</f>
        <v>93194251.145425782</v>
      </c>
      <c r="FB851" s="269">
        <f t="shared" si="2197"/>
        <v>49924.979834988852</v>
      </c>
      <c r="FC851" s="269">
        <f t="shared" si="2157"/>
        <v>249624.89917494426</v>
      </c>
      <c r="FD851" s="269"/>
      <c r="FE851" s="269">
        <f t="shared" si="2158"/>
        <v>129146726.45930336</v>
      </c>
      <c r="FF851" s="140">
        <f>'Detailed Budget'!$AC$165</f>
        <v>14927760000</v>
      </c>
      <c r="FG851" s="1087">
        <f t="shared" si="2222"/>
        <v>176164683.6099717</v>
      </c>
      <c r="FH851" s="269">
        <f t="shared" si="2198"/>
        <v>16961436.200431772</v>
      </c>
      <c r="FJ851" s="140">
        <f>'Detailed Budget'!$AC$235</f>
        <v>3623696172</v>
      </c>
      <c r="FK851" s="269">
        <f t="shared" si="2199"/>
        <v>4681778</v>
      </c>
      <c r="FL851" s="269">
        <f t="shared" si="2223"/>
        <v>4681778</v>
      </c>
      <c r="FR851" s="269">
        <f>'Detailed Budget'!$AC$257</f>
        <v>13636439388</v>
      </c>
      <c r="FS851" s="269">
        <f t="shared" si="2200"/>
        <v>13990704</v>
      </c>
      <c r="FT851" s="269">
        <f t="shared" si="2224"/>
        <v>13990704</v>
      </c>
      <c r="FU851" s="269"/>
      <c r="FV851" s="269"/>
      <c r="FW851" s="269"/>
      <c r="FX851" s="140">
        <f>'Detailed Budget'!$AC$278</f>
        <v>1114560000</v>
      </c>
      <c r="FY851" s="269">
        <f t="shared" si="2201"/>
        <v>1440000</v>
      </c>
      <c r="FZ851" s="269">
        <f t="shared" si="2216"/>
        <v>1440000</v>
      </c>
      <c r="GB851" s="269">
        <f t="shared" si="2232"/>
        <v>581509980.12682128</v>
      </c>
      <c r="GC851" s="887">
        <f t="shared" si="2159"/>
        <v>363443.73757926328</v>
      </c>
      <c r="GD851" s="1078">
        <f t="shared" si="2233"/>
        <v>3.2630356107679463E-4</v>
      </c>
    </row>
    <row r="852" spans="1:186" hidden="1" outlineLevel="1">
      <c r="A852" s="211" t="s">
        <v>1775</v>
      </c>
      <c r="B852" s="212" t="s">
        <v>1776</v>
      </c>
      <c r="C852" s="213" t="s">
        <v>215</v>
      </c>
      <c r="D852" s="214" t="s">
        <v>215</v>
      </c>
      <c r="E852" s="213"/>
      <c r="F852" s="213"/>
      <c r="G852" s="213"/>
      <c r="H852" s="213" t="s">
        <v>215</v>
      </c>
      <c r="I852" s="214" t="s">
        <v>215</v>
      </c>
      <c r="J852" s="214"/>
      <c r="K852" s="213"/>
      <c r="L852" s="213"/>
      <c r="M852" s="214" t="s">
        <v>215</v>
      </c>
      <c r="N852" s="213"/>
      <c r="O852" s="214"/>
      <c r="P852" s="213"/>
      <c r="Q852" s="214"/>
      <c r="R852" s="214" t="s">
        <v>215</v>
      </c>
      <c r="S852" s="214"/>
      <c r="T852" s="214"/>
      <c r="U852" s="215">
        <f t="shared" si="2236"/>
        <v>6</v>
      </c>
      <c r="V852" s="845" t="s">
        <v>219</v>
      </c>
      <c r="W852" s="216">
        <v>81339</v>
      </c>
      <c r="X852" s="217">
        <v>3.35</v>
      </c>
      <c r="Y852" s="218">
        <f t="shared" si="2170"/>
        <v>1.0335000000000001</v>
      </c>
      <c r="Z852" s="196">
        <v>19</v>
      </c>
      <c r="AA852" s="218">
        <f t="shared" si="2171"/>
        <v>1.8702477386515275</v>
      </c>
      <c r="AB852" s="196">
        <f t="shared" si="2234"/>
        <v>152124.08081417659</v>
      </c>
      <c r="AC852">
        <v>12.8</v>
      </c>
      <c r="AD852" s="196">
        <f t="shared" si="2235"/>
        <v>19471.882344214606</v>
      </c>
      <c r="AE852" s="196">
        <f t="shared" si="2172"/>
        <v>18498.288227003875</v>
      </c>
      <c r="AF852" s="196">
        <f t="shared" si="2202"/>
        <v>18498.288227003875</v>
      </c>
      <c r="AG852" s="606"/>
      <c r="AH852" s="196">
        <f t="shared" si="2217"/>
        <v>7606.2040407088298</v>
      </c>
      <c r="AI852" s="248">
        <f t="shared" si="2141"/>
        <v>5.8924110250891987E-4</v>
      </c>
      <c r="AJ852" s="196">
        <f t="shared" si="2142"/>
        <v>27078.086384923437</v>
      </c>
      <c r="AK852" s="196">
        <f t="shared" si="2173"/>
        <v>6084.9632325670636</v>
      </c>
      <c r="AL852" s="196">
        <f t="shared" si="2174"/>
        <v>6084.9632325670636</v>
      </c>
      <c r="AM852" s="196">
        <f t="shared" si="2143"/>
        <v>12169.926465134127</v>
      </c>
      <c r="AN852" s="627">
        <f t="shared" si="2144"/>
        <v>5.8924110250891987E-4</v>
      </c>
      <c r="AO852" s="196">
        <f t="shared" si="2145"/>
        <v>5780.7150709387106</v>
      </c>
      <c r="AP852" s="589">
        <f t="shared" si="2163"/>
        <v>5.8924110250891987E-4</v>
      </c>
      <c r="AQ852" s="589"/>
      <c r="AR852" s="589"/>
      <c r="AS852">
        <v>1</v>
      </c>
      <c r="AT852" s="589">
        <f t="shared" si="2164"/>
        <v>1.2919896640826874E-3</v>
      </c>
      <c r="AU852" s="196">
        <v>10</v>
      </c>
      <c r="AV852" s="245">
        <f t="shared" si="2146"/>
        <v>1.1362345188046814E-3</v>
      </c>
      <c r="AX852" s="245"/>
      <c r="AY852" s="245"/>
      <c r="AZ852" s="196">
        <v>19</v>
      </c>
      <c r="BA852" s="589">
        <f t="shared" si="2226"/>
        <v>6.9620021252427542E-4</v>
      </c>
      <c r="BI852" s="196">
        <v>0</v>
      </c>
      <c r="BK852" s="246">
        <f t="shared" si="2227"/>
        <v>0</v>
      </c>
      <c r="BL852" s="246"/>
      <c r="BM852" s="246">
        <f t="shared" si="2228"/>
        <v>0</v>
      </c>
      <c r="BN852" s="196">
        <v>1</v>
      </c>
      <c r="BO852" s="196">
        <f t="shared" si="2203"/>
        <v>9784.6827264645235</v>
      </c>
      <c r="BP852" s="196">
        <f t="shared" si="2147"/>
        <v>9784.6827264645235</v>
      </c>
      <c r="BQ852" s="248">
        <f t="shared" si="2229"/>
        <v>9.1531150425912169E-4</v>
      </c>
      <c r="BR852" s="248"/>
      <c r="BS852" s="248"/>
      <c r="BT852" s="276">
        <v>1</v>
      </c>
      <c r="BU852" s="196">
        <f t="shared" si="2218"/>
        <v>15421.730816617968</v>
      </c>
      <c r="BV852" s="264">
        <f t="shared" si="2230"/>
        <v>1.0696804606169386E-3</v>
      </c>
      <c r="BW852" s="196">
        <f t="shared" si="2219"/>
        <v>65970.737382199091</v>
      </c>
      <c r="BX852" s="247">
        <f t="shared" si="2231"/>
        <v>1.0696804702526612E-3</v>
      </c>
      <c r="BY852" s="196">
        <f t="shared" si="2204"/>
        <v>81392.468198817063</v>
      </c>
      <c r="BZ852" s="620">
        <v>0</v>
      </c>
      <c r="CA852" s="196">
        <f t="shared" si="2205"/>
        <v>46549.968729138032</v>
      </c>
      <c r="CB852" s="196">
        <f t="shared" si="2206"/>
        <v>93099.937458276065</v>
      </c>
      <c r="CC852" s="196">
        <f t="shared" si="2160"/>
        <v>139649.9061874141</v>
      </c>
      <c r="CD852" s="247">
        <f t="shared" si="2148"/>
        <v>5.8924110250891987E-4</v>
      </c>
      <c r="CE852" s="196">
        <f t="shared" si="2207"/>
        <v>11739.674419666164</v>
      </c>
      <c r="CF852" s="247">
        <f t="shared" si="2149"/>
        <v>5.0695565119076842E-4</v>
      </c>
      <c r="CG852" s="196">
        <f t="shared" si="2179"/>
        <v>23122.860283754842</v>
      </c>
      <c r="CH852" s="589">
        <f t="shared" si="2165"/>
        <v>5.8924110250891987E-4</v>
      </c>
      <c r="CI852" s="271">
        <f t="shared" si="2208"/>
        <v>34034.358673636016</v>
      </c>
      <c r="CJ852" s="248">
        <f t="shared" si="2166"/>
        <v>5.5952477020395155E-4</v>
      </c>
      <c r="CK852" s="271">
        <f t="shared" si="2209"/>
        <v>45728.92909724552</v>
      </c>
      <c r="CL852" s="589">
        <f t="shared" si="2167"/>
        <v>6.5736276181232241E-4</v>
      </c>
      <c r="CM852" s="271">
        <f t="shared" si="2210"/>
        <v>4429.9909627501129</v>
      </c>
      <c r="CN852" s="589">
        <f t="shared" si="2168"/>
        <v>6.3841204303368728E-4</v>
      </c>
      <c r="CO852" s="271">
        <f t="shared" si="2211"/>
        <v>354.39461316591246</v>
      </c>
      <c r="CP852" s="589">
        <f t="shared" si="2169"/>
        <v>6.6833365361141858E-4</v>
      </c>
      <c r="CQ852" s="196">
        <f>'Detailed Budget'!$AC$12</f>
        <v>292876014141.44696</v>
      </c>
      <c r="CR852" s="269">
        <f t="shared" si="2177"/>
        <v>0</v>
      </c>
      <c r="CS852" s="269">
        <f>'Detailed Budget'!$AC$16</f>
        <v>10488008800.000002</v>
      </c>
      <c r="CT852" s="607">
        <f t="shared" si="2181"/>
        <v>0</v>
      </c>
      <c r="CU852" s="269">
        <f>'Detailed Budget'!$AC$24</f>
        <v>30624985696</v>
      </c>
      <c r="CV852" s="269">
        <f t="shared" si="2225"/>
        <v>0</v>
      </c>
      <c r="CW852" s="269"/>
      <c r="CX852" s="269">
        <f t="shared" si="2161"/>
        <v>0</v>
      </c>
      <c r="CY852" s="196">
        <f>'Detailed Budget'!$AC$97</f>
        <v>74629165494.837845</v>
      </c>
      <c r="CZ852" s="269">
        <f t="shared" si="2182"/>
        <v>68308933.730682969</v>
      </c>
      <c r="DA852" s="269">
        <f>'Detailed Budget'!$AC$100</f>
        <v>14925833098.967569</v>
      </c>
      <c r="DB852" s="269">
        <f t="shared" si="2183"/>
        <v>13661786.746136595</v>
      </c>
      <c r="DC852" s="269">
        <f t="shared" si="2150"/>
        <v>81970720.47681956</v>
      </c>
      <c r="DD852" s="207">
        <v>0</v>
      </c>
      <c r="DE852" s="606">
        <v>0</v>
      </c>
      <c r="DF852" s="269">
        <f>'Detailed Budget'!$AC$147</f>
        <v>5913600671000</v>
      </c>
      <c r="DG852" s="269">
        <f t="shared" si="2221"/>
        <v>0</v>
      </c>
      <c r="DH852" s="269"/>
      <c r="DI852" s="269"/>
      <c r="DJ852" s="269"/>
      <c r="DK852" s="269"/>
      <c r="DL852" s="269"/>
      <c r="DM852" s="196">
        <f>'Detailed Budget'!$AC$178</f>
        <v>5622683761.6229038</v>
      </c>
      <c r="DN852" s="269">
        <f t="shared" si="2212"/>
        <v>6014474.9560361691</v>
      </c>
      <c r="DO852" s="196">
        <f>'Detailed Budget'!$AC$179</f>
        <v>26827890683.128094</v>
      </c>
      <c r="DP852" s="269">
        <f t="shared" si="2213"/>
        <v>28697270.721815448</v>
      </c>
      <c r="DQ852" s="269">
        <f t="shared" si="2220"/>
        <v>34711745.677851617</v>
      </c>
      <c r="DR852" s="269">
        <f>'Detailed Budget'!$AC$181</f>
        <v>50888946855.375237</v>
      </c>
      <c r="DS852" s="269">
        <f t="shared" si="2214"/>
        <v>0</v>
      </c>
      <c r="DT852" s="269">
        <f t="shared" si="2215"/>
        <v>34711745.677851617</v>
      </c>
      <c r="DU852" s="272">
        <f>'Detailed Budget'!$AC$192</f>
        <v>77498869683.252869</v>
      </c>
      <c r="DV852" s="269">
        <f t="shared" si="2184"/>
        <v>0</v>
      </c>
      <c r="DW852" s="140">
        <f>'Detailed Budget'!$AC$194</f>
        <v>2684962805.4134097</v>
      </c>
      <c r="DX852" s="269">
        <f t="shared" si="2185"/>
        <v>0</v>
      </c>
      <c r="DY852" s="607">
        <f t="shared" si="2151"/>
        <v>0</v>
      </c>
      <c r="DZ852" s="196">
        <f>'Detailed Budget'!$AC$198</f>
        <v>18732540018.380611</v>
      </c>
      <c r="EA852" s="269">
        <f t="shared" si="2186"/>
        <v>9496567.0234752726</v>
      </c>
      <c r="EB852" s="196">
        <f>'Detailed Budget'!$AC$200</f>
        <v>4683135004.5951529</v>
      </c>
      <c r="EC852" s="269">
        <f t="shared" si="2187"/>
        <v>2374141.7558688181</v>
      </c>
      <c r="ED852" s="269">
        <f t="shared" si="2152"/>
        <v>11870708.779344091</v>
      </c>
      <c r="EE852" s="196">
        <f>'Detailed Budget'!$AC$161</f>
        <v>251147290106.36197</v>
      </c>
      <c r="EF852" s="269">
        <f t="shared" si="2188"/>
        <v>147986306.11440027</v>
      </c>
      <c r="EG852" s="196">
        <f>'Detailed Budget'!$AC$163</f>
        <v>15696705631.647623</v>
      </c>
      <c r="EH852" s="269">
        <f t="shared" si="2189"/>
        <v>9249144.1321500167</v>
      </c>
      <c r="EI852" s="269">
        <f t="shared" si="2153"/>
        <v>157235450.24655029</v>
      </c>
      <c r="EJ852" s="196">
        <f>'Detailed Budget'!$AC$204</f>
        <v>45012172507.531975</v>
      </c>
      <c r="EK852" s="269">
        <f t="shared" si="2190"/>
        <v>25185425.478657454</v>
      </c>
      <c r="EL852" s="201">
        <f>'Detailed Budget'!$AC$206</f>
        <v>11253043126.882994</v>
      </c>
      <c r="EM852" s="269">
        <f t="shared" si="2191"/>
        <v>6296356.3696643636</v>
      </c>
      <c r="EN852" s="269">
        <f t="shared" si="2154"/>
        <v>31481781.848321818</v>
      </c>
      <c r="EO852" s="140">
        <f>'Detailed Budget'!$AC$209</f>
        <v>135789361677.54817</v>
      </c>
      <c r="EP852" s="269">
        <f t="shared" si="2192"/>
        <v>89262869.8170854</v>
      </c>
      <c r="EQ852" s="196">
        <f>'Detailed Budget'!$AC$211</f>
        <v>33947340419.387043</v>
      </c>
      <c r="ER852" s="269">
        <f t="shared" si="2193"/>
        <v>22315717.45427135</v>
      </c>
      <c r="ES852" s="269">
        <f t="shared" si="2155"/>
        <v>111578587.27135675</v>
      </c>
      <c r="ET852" s="196">
        <f>'Detailed Budget'!$AC$214</f>
        <v>22239745544.201103</v>
      </c>
      <c r="EU852" s="269">
        <f t="shared" si="2194"/>
        <v>14198121.389422769</v>
      </c>
      <c r="EV852" s="140">
        <f>'Detailed Budget'!$AC$217</f>
        <v>5559936386.0502758</v>
      </c>
      <c r="EW852" s="269">
        <f t="shared" si="2195"/>
        <v>3549530.3473556922</v>
      </c>
      <c r="EX852" s="269">
        <f t="shared" si="2156"/>
        <v>17747651.73677846</v>
      </c>
      <c r="EY852" s="196">
        <f>'Detailed Budget'!$AC$219</f>
        <v>372777004.58170313</v>
      </c>
      <c r="EZ852" s="269">
        <f t="shared" si="2196"/>
        <v>249139.41745441017</v>
      </c>
      <c r="FA852" s="196">
        <f>'Detailed Budget'!$AC$222</f>
        <v>93194251.145425782</v>
      </c>
      <c r="FB852" s="269">
        <f t="shared" si="2197"/>
        <v>62284.854363602542</v>
      </c>
      <c r="FC852" s="269">
        <f t="shared" si="2157"/>
        <v>311424.2718180127</v>
      </c>
      <c r="FD852" s="269"/>
      <c r="FE852" s="269">
        <f t="shared" si="2158"/>
        <v>161119445.12827504</v>
      </c>
      <c r="FF852" s="140">
        <f>'Detailed Budget'!$AC$165</f>
        <v>14927760000</v>
      </c>
      <c r="FG852" s="1087">
        <f t="shared" si="2222"/>
        <v>219777588.27190235</v>
      </c>
      <c r="FH852" s="269">
        <f t="shared" si="2198"/>
        <v>16961436.200431772</v>
      </c>
      <c r="FJ852" s="140">
        <f>'Detailed Budget'!$AC$235</f>
        <v>3623696172</v>
      </c>
      <c r="FK852" s="269">
        <f t="shared" si="2199"/>
        <v>4681778</v>
      </c>
      <c r="FL852" s="269">
        <f t="shared" si="2223"/>
        <v>4681778</v>
      </c>
      <c r="FR852" s="269">
        <f>'Detailed Budget'!$AC$257</f>
        <v>13636439388</v>
      </c>
      <c r="FS852" s="269">
        <f t="shared" si="2200"/>
        <v>9493692</v>
      </c>
      <c r="FT852" s="269">
        <f t="shared" si="2224"/>
        <v>9493692</v>
      </c>
      <c r="FU852" s="269"/>
      <c r="FV852" s="269"/>
      <c r="FW852" s="269"/>
      <c r="FX852" s="140">
        <f>'Detailed Budget'!$AC$278</f>
        <v>1114560000</v>
      </c>
      <c r="FY852" s="269">
        <f t="shared" si="2201"/>
        <v>1440000</v>
      </c>
      <c r="FZ852" s="269">
        <f t="shared" si="2216"/>
        <v>1440000</v>
      </c>
      <c r="GB852" s="269">
        <f t="shared" si="2232"/>
        <v>699262564.78117478</v>
      </c>
      <c r="GC852" s="887">
        <f t="shared" si="2159"/>
        <v>437039.10298823426</v>
      </c>
      <c r="GD852" s="1078">
        <f t="shared" si="2233"/>
        <v>3.9237824424961411E-4</v>
      </c>
    </row>
    <row r="853" spans="1:186" hidden="1" outlineLevel="1">
      <c r="A853" s="211" t="s">
        <v>1777</v>
      </c>
      <c r="B853" s="212" t="s">
        <v>1778</v>
      </c>
      <c r="C853" s="213" t="s">
        <v>215</v>
      </c>
      <c r="D853" s="214"/>
      <c r="E853" s="213"/>
      <c r="F853" s="213"/>
      <c r="G853" s="213" t="s">
        <v>215</v>
      </c>
      <c r="H853" s="213" t="s">
        <v>215</v>
      </c>
      <c r="I853" s="214" t="s">
        <v>215</v>
      </c>
      <c r="J853" s="214"/>
      <c r="K853" s="213"/>
      <c r="L853" s="213"/>
      <c r="M853" s="214"/>
      <c r="N853" s="213"/>
      <c r="O853" s="214" t="s">
        <v>215</v>
      </c>
      <c r="P853" s="213"/>
      <c r="Q853" s="214"/>
      <c r="R853" s="214" t="s">
        <v>215</v>
      </c>
      <c r="S853" s="214"/>
      <c r="T853" s="214"/>
      <c r="U853" s="215">
        <f t="shared" si="2236"/>
        <v>6</v>
      </c>
      <c r="V853" s="845" t="s">
        <v>216</v>
      </c>
      <c r="W853" s="216">
        <v>203461</v>
      </c>
      <c r="X853" s="217">
        <v>3.35</v>
      </c>
      <c r="Y853" s="218">
        <f t="shared" si="2170"/>
        <v>1.0335000000000001</v>
      </c>
      <c r="Z853" s="196">
        <v>19</v>
      </c>
      <c r="AA853" s="218">
        <f t="shared" si="2171"/>
        <v>1.8702477386515275</v>
      </c>
      <c r="AB853" s="196">
        <f t="shared" si="2234"/>
        <v>380522.47515377845</v>
      </c>
      <c r="AC853">
        <v>12.8</v>
      </c>
      <c r="AD853" s="196">
        <f t="shared" si="2235"/>
        <v>48706.876819683639</v>
      </c>
      <c r="AE853" s="196">
        <f t="shared" si="2172"/>
        <v>46271.532978699455</v>
      </c>
      <c r="AF853" s="196">
        <f t="shared" si="2202"/>
        <v>0</v>
      </c>
      <c r="AG853" s="606"/>
      <c r="AH853" s="196">
        <f t="shared" si="2217"/>
        <v>19026.123757688922</v>
      </c>
      <c r="AI853" s="248">
        <f t="shared" si="2141"/>
        <v>1.4739249801149184E-3</v>
      </c>
      <c r="AJ853" s="196">
        <f t="shared" si="2142"/>
        <v>67733.000577372557</v>
      </c>
      <c r="AK853" s="196">
        <f t="shared" si="2173"/>
        <v>15220.899006151138</v>
      </c>
      <c r="AL853" s="196">
        <f t="shared" si="2174"/>
        <v>15220.899006151138</v>
      </c>
      <c r="AM853" s="196">
        <f t="shared" si="2143"/>
        <v>30441.798012302275</v>
      </c>
      <c r="AN853" s="627">
        <f t="shared" si="2144"/>
        <v>1.4739249801149184E-3</v>
      </c>
      <c r="AO853" s="196">
        <f t="shared" si="2145"/>
        <v>14459.85405584358</v>
      </c>
      <c r="AP853" s="589">
        <f t="shared" si="2163"/>
        <v>1.4739249801149184E-3</v>
      </c>
      <c r="AQ853" s="589"/>
      <c r="AR853" s="589"/>
      <c r="AS853">
        <v>1</v>
      </c>
      <c r="AT853" s="589">
        <f t="shared" si="2164"/>
        <v>1.2919896640826874E-3</v>
      </c>
      <c r="AU853" s="196">
        <v>10</v>
      </c>
      <c r="AV853" s="245">
        <f t="shared" si="2146"/>
        <v>1.1362345188046814E-3</v>
      </c>
      <c r="AX853" s="245"/>
      <c r="AY853" s="245"/>
      <c r="AZ853" s="196">
        <v>36</v>
      </c>
      <c r="BA853" s="589">
        <f t="shared" si="2226"/>
        <v>1.3191161921512586E-3</v>
      </c>
      <c r="BI853" s="196">
        <v>0</v>
      </c>
      <c r="BK853" s="246">
        <f t="shared" si="2227"/>
        <v>0</v>
      </c>
      <c r="BL853" s="246"/>
      <c r="BM853" s="246">
        <f t="shared" si="2228"/>
        <v>0</v>
      </c>
      <c r="BN853" s="196">
        <v>1</v>
      </c>
      <c r="BO853" s="196">
        <f t="shared" si="2203"/>
        <v>24475.360309435793</v>
      </c>
      <c r="BP853" s="196">
        <f t="shared" si="2147"/>
        <v>24475.360309435793</v>
      </c>
      <c r="BQ853" s="248">
        <f t="shared" si="2229"/>
        <v>2.2895559813627549E-3</v>
      </c>
      <c r="BR853" s="248"/>
      <c r="BS853" s="248"/>
      <c r="BT853" s="276">
        <v>0</v>
      </c>
      <c r="BU853" s="196">
        <f t="shared" si="2218"/>
        <v>0</v>
      </c>
      <c r="BV853" s="264">
        <f t="shared" si="2230"/>
        <v>0</v>
      </c>
      <c r="BW853" s="196">
        <f t="shared" si="2219"/>
        <v>0</v>
      </c>
      <c r="BX853" s="247">
        <f t="shared" si="2231"/>
        <v>0</v>
      </c>
      <c r="BY853" s="196">
        <f t="shared" si="2204"/>
        <v>0</v>
      </c>
      <c r="BZ853" s="620">
        <v>1</v>
      </c>
      <c r="CA853" s="196">
        <f t="shared" si="2205"/>
        <v>116439.8773970562</v>
      </c>
      <c r="CB853" s="196">
        <f t="shared" si="2206"/>
        <v>232879.75479411241</v>
      </c>
      <c r="CC853" s="196">
        <f t="shared" si="2160"/>
        <v>349319.63219116861</v>
      </c>
      <c r="CD853" s="247">
        <f t="shared" si="2148"/>
        <v>1.4739249801149184E-3</v>
      </c>
      <c r="CE853" s="196">
        <f t="shared" si="2207"/>
        <v>29365.567527258721</v>
      </c>
      <c r="CF853" s="247">
        <f t="shared" si="2149"/>
        <v>1.268096531146497E-3</v>
      </c>
      <c r="CG853" s="196">
        <f t="shared" si="2179"/>
        <v>57839.416223374319</v>
      </c>
      <c r="CH853" s="589">
        <f t="shared" si="2165"/>
        <v>1.4739249801149184E-3</v>
      </c>
      <c r="CI853" s="271">
        <f t="shared" si="2208"/>
        <v>85133.3880438247</v>
      </c>
      <c r="CJ853" s="248">
        <f t="shared" si="2166"/>
        <v>1.3995926833433679E-3</v>
      </c>
      <c r="CK853" s="271">
        <f t="shared" si="2209"/>
        <v>114386.13264306998</v>
      </c>
      <c r="CL853" s="589">
        <f t="shared" si="2167"/>
        <v>1.6443241849678127E-3</v>
      </c>
      <c r="CM853" s="271">
        <f t="shared" si="2210"/>
        <v>11081.158992268169</v>
      </c>
      <c r="CN853" s="589">
        <f t="shared" si="2168"/>
        <v>1.5969209442908941E-3</v>
      </c>
      <c r="CO853" s="271">
        <f t="shared" si="2211"/>
        <v>886.48105323829532</v>
      </c>
      <c r="CP853" s="589">
        <f t="shared" si="2169"/>
        <v>1.6717667231885419E-3</v>
      </c>
      <c r="CQ853" s="196">
        <f>'Detailed Budget'!$AC$12</f>
        <v>292876014141.44696</v>
      </c>
      <c r="CR853" s="269">
        <f t="shared" si="2177"/>
        <v>0</v>
      </c>
      <c r="CS853" s="269">
        <f>'Detailed Budget'!$AC$16</f>
        <v>10488008800.000002</v>
      </c>
      <c r="CT853" s="607">
        <f t="shared" si="2181"/>
        <v>0</v>
      </c>
      <c r="CU853" s="269">
        <f>'Detailed Budget'!$AC$24</f>
        <v>30624985696</v>
      </c>
      <c r="CV853" s="269">
        <f t="shared" si="2225"/>
        <v>0</v>
      </c>
      <c r="CW853" s="269"/>
      <c r="CX853" s="269">
        <f t="shared" si="2161"/>
        <v>0</v>
      </c>
      <c r="CY853" s="196">
        <f>'Detailed Budget'!$AC$97</f>
        <v>74629165494.837845</v>
      </c>
      <c r="CZ853" s="269">
        <f t="shared" si="2182"/>
        <v>170867652.2428169</v>
      </c>
      <c r="DA853" s="269">
        <f>'Detailed Budget'!$AC$100</f>
        <v>14925833098.967569</v>
      </c>
      <c r="DB853" s="269">
        <f t="shared" si="2183"/>
        <v>34173530.448563382</v>
      </c>
      <c r="DC853" s="269">
        <f t="shared" si="2150"/>
        <v>205041182.69138026</v>
      </c>
      <c r="DD853" s="207">
        <v>0</v>
      </c>
      <c r="DE853" s="606">
        <v>0</v>
      </c>
      <c r="DF853" s="269">
        <f>'Detailed Budget'!$AC$147</f>
        <v>5913600671000</v>
      </c>
      <c r="DG853" s="269">
        <f t="shared" si="2221"/>
        <v>0</v>
      </c>
      <c r="DH853" s="269"/>
      <c r="DI853" s="269"/>
      <c r="DJ853" s="269"/>
      <c r="DK853" s="269"/>
      <c r="DL853" s="269"/>
      <c r="DM853" s="196">
        <f>'Detailed Budget'!$AC$178</f>
        <v>5622683761.6229038</v>
      </c>
      <c r="DN853" s="269">
        <f t="shared" si="2212"/>
        <v>0</v>
      </c>
      <c r="DO853" s="196">
        <f>'Detailed Budget'!$AC$179</f>
        <v>26827890683.128094</v>
      </c>
      <c r="DP853" s="269">
        <f t="shared" si="2213"/>
        <v>0</v>
      </c>
      <c r="DQ853" s="269">
        <f t="shared" si="2220"/>
        <v>0</v>
      </c>
      <c r="DR853" s="269">
        <f>'Detailed Budget'!$AC$181</f>
        <v>50888946855.375237</v>
      </c>
      <c r="DS853" s="269">
        <f t="shared" si="2214"/>
        <v>0</v>
      </c>
      <c r="DT853" s="269">
        <f t="shared" si="2215"/>
        <v>0</v>
      </c>
      <c r="DU853" s="272">
        <f>'Detailed Budget'!$AC$192</f>
        <v>77498869683.252869</v>
      </c>
      <c r="DV853" s="269">
        <f t="shared" si="2184"/>
        <v>114227519.95681714</v>
      </c>
      <c r="DW853" s="140">
        <f>'Detailed Budget'!$AC$194</f>
        <v>2684962805.4134097</v>
      </c>
      <c r="DX853" s="269">
        <f t="shared" si="2185"/>
        <v>3957433.7495782557</v>
      </c>
      <c r="DY853" s="607">
        <f t="shared" si="2151"/>
        <v>118184953.70639539</v>
      </c>
      <c r="DZ853" s="196">
        <f>'Detailed Budget'!$AC$198</f>
        <v>18732540018.380611</v>
      </c>
      <c r="EA853" s="269">
        <f t="shared" si="2186"/>
        <v>23754669.016871393</v>
      </c>
      <c r="EB853" s="196">
        <f>'Detailed Budget'!$AC$200</f>
        <v>4683135004.5951529</v>
      </c>
      <c r="EC853" s="269">
        <f t="shared" si="2187"/>
        <v>5938667.2542178482</v>
      </c>
      <c r="ED853" s="269">
        <f t="shared" si="2152"/>
        <v>29693336.271089241</v>
      </c>
      <c r="EE853" s="196">
        <f>'Detailed Budget'!$AC$161</f>
        <v>251147290106.36197</v>
      </c>
      <c r="EF853" s="269">
        <f t="shared" si="2188"/>
        <v>370172264.57593518</v>
      </c>
      <c r="EG853" s="196">
        <f>'Detailed Budget'!$AC$163</f>
        <v>15696705631.647623</v>
      </c>
      <c r="EH853" s="269">
        <f t="shared" si="2189"/>
        <v>23135766.535995949</v>
      </c>
      <c r="EI853" s="269">
        <f t="shared" si="2153"/>
        <v>393308031.11193115</v>
      </c>
      <c r="EJ853" s="196">
        <f>'Detailed Budget'!$AC$204</f>
        <v>45012172507.531975</v>
      </c>
      <c r="EK853" s="269">
        <f t="shared" si="2190"/>
        <v>62998707.302931249</v>
      </c>
      <c r="EL853" s="201">
        <f>'Detailed Budget'!$AC$206</f>
        <v>11253043126.882994</v>
      </c>
      <c r="EM853" s="269">
        <f t="shared" si="2191"/>
        <v>15749676.825732812</v>
      </c>
      <c r="EN853" s="269">
        <f t="shared" si="2154"/>
        <v>78748384.128664061</v>
      </c>
      <c r="EO853" s="140">
        <f>'Detailed Budget'!$AC$209</f>
        <v>135789361677.54817</v>
      </c>
      <c r="EP853" s="269">
        <f t="shared" si="2192"/>
        <v>223281731.46773395</v>
      </c>
      <c r="EQ853" s="196">
        <f>'Detailed Budget'!$AC$211</f>
        <v>33947340419.387043</v>
      </c>
      <c r="ER853" s="269">
        <f t="shared" si="2193"/>
        <v>55820432.866933487</v>
      </c>
      <c r="ES853" s="269">
        <f t="shared" si="2155"/>
        <v>279102164.33466744</v>
      </c>
      <c r="ET853" s="196">
        <f>'Detailed Budget'!$AC$214</f>
        <v>22239745544.201103</v>
      </c>
      <c r="EU853" s="269">
        <f t="shared" si="2194"/>
        <v>35515115.455234833</v>
      </c>
      <c r="EV853" s="140">
        <f>'Detailed Budget'!$AC$217</f>
        <v>5559936386.0502758</v>
      </c>
      <c r="EW853" s="269">
        <f t="shared" si="2195"/>
        <v>8878778.8638087083</v>
      </c>
      <c r="EX853" s="269">
        <f t="shared" si="2156"/>
        <v>44393894.319043539</v>
      </c>
      <c r="EY853" s="196">
        <f>'Detailed Budget'!$AC$219</f>
        <v>372777004.58170313</v>
      </c>
      <c r="EZ853" s="269">
        <f t="shared" si="2196"/>
        <v>623196.19142959395</v>
      </c>
      <c r="FA853" s="196">
        <f>'Detailed Budget'!$AC$222</f>
        <v>93194251.145425782</v>
      </c>
      <c r="FB853" s="269">
        <f t="shared" si="2197"/>
        <v>155799.04785739849</v>
      </c>
      <c r="FC853" s="269">
        <f t="shared" si="2157"/>
        <v>778995.23928699247</v>
      </c>
      <c r="FD853" s="269"/>
      <c r="FE853" s="269">
        <f t="shared" si="2158"/>
        <v>403023438.02166206</v>
      </c>
      <c r="FF853" s="140">
        <f>'Detailed Budget'!$AC$165</f>
        <v>14927760000</v>
      </c>
      <c r="FG853" s="1087">
        <f t="shared" si="2222"/>
        <v>549750647.13593137</v>
      </c>
      <c r="FH853" s="269">
        <f t="shared" si="2198"/>
        <v>16961436.200431772</v>
      </c>
      <c r="FJ853" s="140">
        <f>'Detailed Budget'!$AC$235</f>
        <v>3623696172</v>
      </c>
      <c r="FK853" s="269">
        <f t="shared" si="2199"/>
        <v>4681778</v>
      </c>
      <c r="FL853" s="269">
        <f t="shared" si="2223"/>
        <v>4681778</v>
      </c>
      <c r="FR853" s="269">
        <f>'Detailed Budget'!$AC$257</f>
        <v>13636439388</v>
      </c>
      <c r="FS853" s="269">
        <f t="shared" si="2200"/>
        <v>17988048</v>
      </c>
      <c r="FT853" s="269">
        <f t="shared" si="2224"/>
        <v>17988048</v>
      </c>
      <c r="FU853" s="269"/>
      <c r="FV853" s="269"/>
      <c r="FW853" s="269"/>
      <c r="FX853" s="140">
        <f>'Detailed Budget'!$AC$278</f>
        <v>1114560000</v>
      </c>
      <c r="FY853" s="269">
        <f t="shared" si="2201"/>
        <v>1440000</v>
      </c>
      <c r="FZ853" s="269">
        <f t="shared" si="2216"/>
        <v>1440000</v>
      </c>
      <c r="GB853" s="269">
        <f t="shared" si="2232"/>
        <v>1740072851.1388211</v>
      </c>
      <c r="GC853" s="887">
        <f t="shared" si="2159"/>
        <v>1087545.5319617633</v>
      </c>
      <c r="GD853" s="1078">
        <f t="shared" si="2233"/>
        <v>9.7640967010715609E-4</v>
      </c>
    </row>
    <row r="854" spans="1:186" hidden="1" outlineLevel="1">
      <c r="A854" s="211" t="s">
        <v>1779</v>
      </c>
      <c r="B854" s="212" t="s">
        <v>1780</v>
      </c>
      <c r="C854" s="213" t="s">
        <v>215</v>
      </c>
      <c r="D854" s="214"/>
      <c r="E854" s="213"/>
      <c r="F854" s="213"/>
      <c r="G854" s="213" t="s">
        <v>215</v>
      </c>
      <c r="H854" s="213" t="s">
        <v>215</v>
      </c>
      <c r="I854" s="214" t="s">
        <v>215</v>
      </c>
      <c r="J854" s="214"/>
      <c r="K854" s="213"/>
      <c r="L854" s="213"/>
      <c r="M854" s="214"/>
      <c r="N854" s="213"/>
      <c r="O854" s="214" t="s">
        <v>215</v>
      </c>
      <c r="P854" s="213"/>
      <c r="Q854" s="214"/>
      <c r="R854" s="214" t="s">
        <v>215</v>
      </c>
      <c r="S854" s="214"/>
      <c r="T854" s="214"/>
      <c r="U854" s="215">
        <f t="shared" si="2236"/>
        <v>6</v>
      </c>
      <c r="V854" s="845" t="s">
        <v>216</v>
      </c>
      <c r="W854" s="216">
        <v>265571</v>
      </c>
      <c r="X854" s="217">
        <v>3.35</v>
      </c>
      <c r="Y854" s="218">
        <f t="shared" si="2170"/>
        <v>1.0335000000000001</v>
      </c>
      <c r="Z854" s="196">
        <v>19</v>
      </c>
      <c r="AA854" s="218">
        <f t="shared" si="2171"/>
        <v>1.8702477386515275</v>
      </c>
      <c r="AB854" s="196">
        <f t="shared" si="2234"/>
        <v>496683.56220142479</v>
      </c>
      <c r="AC854">
        <v>12.8</v>
      </c>
      <c r="AD854" s="196">
        <f t="shared" si="2235"/>
        <v>63575.495961782377</v>
      </c>
      <c r="AE854" s="196">
        <f t="shared" si="2172"/>
        <v>60396.721163693255</v>
      </c>
      <c r="AF854" s="196">
        <f t="shared" si="2202"/>
        <v>0</v>
      </c>
      <c r="AG854" s="606"/>
      <c r="AH854" s="196">
        <f t="shared" si="2217"/>
        <v>24834.17811007124</v>
      </c>
      <c r="AI854" s="248">
        <f t="shared" si="2141"/>
        <v>1.9238661507320763E-3</v>
      </c>
      <c r="AJ854" s="196">
        <f t="shared" si="2142"/>
        <v>88409.674071853617</v>
      </c>
      <c r="AK854" s="196">
        <f t="shared" si="2173"/>
        <v>19867.342488056991</v>
      </c>
      <c r="AL854" s="196">
        <f t="shared" si="2174"/>
        <v>19867.342488056991</v>
      </c>
      <c r="AM854" s="196">
        <f t="shared" si="2143"/>
        <v>39734.684976113982</v>
      </c>
      <c r="AN854" s="627">
        <f t="shared" si="2144"/>
        <v>1.9238661507320763E-3</v>
      </c>
      <c r="AO854" s="196">
        <f t="shared" si="2145"/>
        <v>18873.975363654143</v>
      </c>
      <c r="AP854" s="589">
        <f t="shared" si="2163"/>
        <v>1.9238661507320763E-3</v>
      </c>
      <c r="AQ854" s="589"/>
      <c r="AR854" s="589"/>
      <c r="AS854">
        <v>1</v>
      </c>
      <c r="AT854" s="589">
        <f t="shared" si="2164"/>
        <v>1.2919896640826874E-3</v>
      </c>
      <c r="AU854" s="196">
        <v>11</v>
      </c>
      <c r="AV854" s="245">
        <f t="shared" si="2146"/>
        <v>1.2498579706851495E-3</v>
      </c>
      <c r="AX854" s="245"/>
      <c r="AY854" s="245"/>
      <c r="AZ854" s="196">
        <v>32</v>
      </c>
      <c r="BA854" s="589">
        <f t="shared" si="2226"/>
        <v>1.1725477263566744E-3</v>
      </c>
      <c r="BI854" s="196">
        <v>0</v>
      </c>
      <c r="BK854" s="246">
        <f t="shared" si="2227"/>
        <v>0</v>
      </c>
      <c r="BL854" s="246"/>
      <c r="BM854" s="246">
        <f t="shared" si="2228"/>
        <v>0</v>
      </c>
      <c r="BN854" s="196">
        <v>1</v>
      </c>
      <c r="BO854" s="196">
        <f t="shared" si="2203"/>
        <v>31946.888655502396</v>
      </c>
      <c r="BP854" s="196">
        <f t="shared" si="2147"/>
        <v>31946.888655502396</v>
      </c>
      <c r="BQ854" s="248">
        <f t="shared" si="2229"/>
        <v>2.9884826651126661E-3</v>
      </c>
      <c r="BR854" s="248"/>
      <c r="BS854" s="248"/>
      <c r="BT854" s="276">
        <v>0</v>
      </c>
      <c r="BU854" s="196">
        <f t="shared" si="2218"/>
        <v>0</v>
      </c>
      <c r="BV854" s="264">
        <f t="shared" si="2230"/>
        <v>0</v>
      </c>
      <c r="BW854" s="196">
        <f t="shared" si="2219"/>
        <v>0</v>
      </c>
      <c r="BX854" s="247">
        <f t="shared" si="2231"/>
        <v>0</v>
      </c>
      <c r="BY854" s="196">
        <f t="shared" si="2204"/>
        <v>0</v>
      </c>
      <c r="BZ854" s="620">
        <v>1</v>
      </c>
      <c r="CA854" s="196">
        <f t="shared" si="2205"/>
        <v>151985.17003363598</v>
      </c>
      <c r="CB854" s="196">
        <f t="shared" si="2206"/>
        <v>303970.34006727196</v>
      </c>
      <c r="CC854" s="196">
        <f t="shared" si="2160"/>
        <v>455955.51010090794</v>
      </c>
      <c r="CD854" s="247">
        <f t="shared" si="2148"/>
        <v>1.9238661507320763E-3</v>
      </c>
      <c r="CE854" s="196">
        <f t="shared" si="2207"/>
        <v>38329.916464490132</v>
      </c>
      <c r="CF854" s="247">
        <f t="shared" si="2149"/>
        <v>1.6552049968942765E-3</v>
      </c>
      <c r="CG854" s="196">
        <f t="shared" si="2179"/>
        <v>75495.901454616571</v>
      </c>
      <c r="CH854" s="589">
        <f t="shared" si="2165"/>
        <v>1.9238661507320763E-3</v>
      </c>
      <c r="CI854" s="271">
        <f t="shared" si="2208"/>
        <v>111121.83168364732</v>
      </c>
      <c r="CJ854" s="248">
        <f t="shared" si="2166"/>
        <v>1.8268426308146598E-3</v>
      </c>
      <c r="CK854" s="271">
        <f t="shared" si="2209"/>
        <v>149304.48406403555</v>
      </c>
      <c r="CL854" s="589">
        <f t="shared" si="2167"/>
        <v>2.1462826690426518E-3</v>
      </c>
      <c r="CM854" s="271">
        <f t="shared" si="2210"/>
        <v>14463.875016517417</v>
      </c>
      <c r="CN854" s="589">
        <f t="shared" si="2168"/>
        <v>2.0844087667723893E-3</v>
      </c>
      <c r="CO854" s="271">
        <f t="shared" si="2211"/>
        <v>1157.0947738856455</v>
      </c>
      <c r="CP854" s="589">
        <f t="shared" si="2169"/>
        <v>2.1821025181430554E-3</v>
      </c>
      <c r="CQ854" s="196">
        <f>'Detailed Budget'!$AC$12</f>
        <v>292876014141.44696</v>
      </c>
      <c r="CR854" s="269">
        <f t="shared" si="2177"/>
        <v>0</v>
      </c>
      <c r="CS854" s="269">
        <f>'Detailed Budget'!$AC$16</f>
        <v>10488008800.000002</v>
      </c>
      <c r="CT854" s="607">
        <f t="shared" si="2181"/>
        <v>0</v>
      </c>
      <c r="CU854" s="269">
        <f>'Detailed Budget'!$AC$24</f>
        <v>30624985696</v>
      </c>
      <c r="CV854" s="269">
        <f t="shared" si="2225"/>
        <v>0</v>
      </c>
      <c r="CW854" s="269"/>
      <c r="CX854" s="269">
        <f t="shared" si="2161"/>
        <v>0</v>
      </c>
      <c r="CY854" s="196">
        <f>'Detailed Budget'!$AC$97</f>
        <v>74629165494.837845</v>
      </c>
      <c r="CZ854" s="269">
        <f t="shared" si="2182"/>
        <v>223027967.39314723</v>
      </c>
      <c r="DA854" s="269">
        <f>'Detailed Budget'!$AC$100</f>
        <v>14925833098.967569</v>
      </c>
      <c r="DB854" s="269">
        <f t="shared" si="2183"/>
        <v>44605593.478629448</v>
      </c>
      <c r="DC854" s="269">
        <f t="shared" si="2150"/>
        <v>267633560.87177667</v>
      </c>
      <c r="DD854" s="207">
        <v>0</v>
      </c>
      <c r="DE854" s="606">
        <v>0</v>
      </c>
      <c r="DF854" s="269">
        <f>'Detailed Budget'!$AC$147</f>
        <v>5913600671000</v>
      </c>
      <c r="DG854" s="269">
        <f t="shared" si="2221"/>
        <v>0</v>
      </c>
      <c r="DH854" s="269"/>
      <c r="DI854" s="269"/>
      <c r="DJ854" s="269"/>
      <c r="DK854" s="269"/>
      <c r="DL854" s="269"/>
      <c r="DM854" s="196">
        <f>'Detailed Budget'!$AC$178</f>
        <v>5622683761.6229038</v>
      </c>
      <c r="DN854" s="269">
        <f t="shared" si="2212"/>
        <v>0</v>
      </c>
      <c r="DO854" s="196">
        <f>'Detailed Budget'!$AC$179</f>
        <v>26827890683.128094</v>
      </c>
      <c r="DP854" s="269">
        <f t="shared" si="2213"/>
        <v>0</v>
      </c>
      <c r="DQ854" s="269">
        <f t="shared" si="2220"/>
        <v>0</v>
      </c>
      <c r="DR854" s="269">
        <f>'Detailed Budget'!$AC$181</f>
        <v>50888946855.375237</v>
      </c>
      <c r="DS854" s="269">
        <f t="shared" si="2214"/>
        <v>0</v>
      </c>
      <c r="DT854" s="269">
        <f t="shared" si="2215"/>
        <v>0</v>
      </c>
      <c r="DU854" s="272">
        <f>'Detailed Budget'!$AC$192</f>
        <v>77498869683.252869</v>
      </c>
      <c r="DV854" s="269">
        <f t="shared" si="2184"/>
        <v>149097452.10360649</v>
      </c>
      <c r="DW854" s="140">
        <f>'Detailed Budget'!$AC$194</f>
        <v>2684962805.4134097</v>
      </c>
      <c r="DX854" s="269">
        <f t="shared" si="2185"/>
        <v>5165509.0573094934</v>
      </c>
      <c r="DY854" s="607">
        <f t="shared" si="2151"/>
        <v>154262961.16091597</v>
      </c>
      <c r="DZ854" s="196">
        <f>'Detailed Budget'!$AC$198</f>
        <v>18732540018.380611</v>
      </c>
      <c r="EA854" s="269">
        <f t="shared" si="2186"/>
        <v>31006193.842945591</v>
      </c>
      <c r="EB854" s="196">
        <f>'Detailed Budget'!$AC$200</f>
        <v>4683135004.5951529</v>
      </c>
      <c r="EC854" s="269">
        <f t="shared" si="2187"/>
        <v>7751548.4607363977</v>
      </c>
      <c r="ED854" s="269">
        <f t="shared" si="2152"/>
        <v>38757742.303681985</v>
      </c>
      <c r="EE854" s="196">
        <f>'Detailed Budget'!$AC$161</f>
        <v>251147290106.36197</v>
      </c>
      <c r="EF854" s="269">
        <f t="shared" si="2188"/>
        <v>483173770.28371871</v>
      </c>
      <c r="EG854" s="196">
        <f>'Detailed Budget'!$AC$163</f>
        <v>15696705631.647623</v>
      </c>
      <c r="EH854" s="269">
        <f t="shared" si="2189"/>
        <v>30198360.642732419</v>
      </c>
      <c r="EI854" s="269">
        <f t="shared" si="2153"/>
        <v>513372130.92645115</v>
      </c>
      <c r="EJ854" s="196">
        <f>'Detailed Budget'!$AC$204</f>
        <v>45012172507.531975</v>
      </c>
      <c r="EK854" s="269">
        <f t="shared" si="2190"/>
        <v>82230155.642343014</v>
      </c>
      <c r="EL854" s="201">
        <f>'Detailed Budget'!$AC$206</f>
        <v>11253043126.882994</v>
      </c>
      <c r="EM854" s="269">
        <f t="shared" si="2191"/>
        <v>20557538.910585754</v>
      </c>
      <c r="EN854" s="269">
        <f t="shared" si="2154"/>
        <v>102787694.55292878</v>
      </c>
      <c r="EO854" s="140">
        <f>'Detailed Budget'!$AC$209</f>
        <v>135789361677.54817</v>
      </c>
      <c r="EP854" s="269">
        <f t="shared" si="2192"/>
        <v>291442353.60888606</v>
      </c>
      <c r="EQ854" s="196">
        <f>'Detailed Budget'!$AC$211</f>
        <v>33947340419.387043</v>
      </c>
      <c r="ER854" s="269">
        <f t="shared" si="2193"/>
        <v>72860588.402221516</v>
      </c>
      <c r="ES854" s="269">
        <f t="shared" si="2155"/>
        <v>364302942.01110756</v>
      </c>
      <c r="ET854" s="196">
        <f>'Detailed Budget'!$AC$214</f>
        <v>22239745544.201103</v>
      </c>
      <c r="EU854" s="269">
        <f t="shared" si="2194"/>
        <v>46356720.583119966</v>
      </c>
      <c r="EV854" s="140">
        <f>'Detailed Budget'!$AC$217</f>
        <v>5559936386.0502758</v>
      </c>
      <c r="EW854" s="269">
        <f t="shared" si="2195"/>
        <v>11589180.145779992</v>
      </c>
      <c r="EX854" s="269">
        <f t="shared" si="2156"/>
        <v>57945900.728899956</v>
      </c>
      <c r="EY854" s="196">
        <f>'Detailed Budget'!$AC$219</f>
        <v>372777004.58170313</v>
      </c>
      <c r="EZ854" s="269">
        <f t="shared" si="2196"/>
        <v>813437.64040355966</v>
      </c>
      <c r="FA854" s="196">
        <f>'Detailed Budget'!$AC$222</f>
        <v>93194251.145425782</v>
      </c>
      <c r="FB854" s="269">
        <f t="shared" si="2197"/>
        <v>203359.41010088992</v>
      </c>
      <c r="FC854" s="269">
        <f t="shared" si="2157"/>
        <v>1016797.0505044495</v>
      </c>
      <c r="FD854" s="269"/>
      <c r="FE854" s="269">
        <f t="shared" si="2158"/>
        <v>526053334.34344077</v>
      </c>
      <c r="FF854" s="140">
        <f>'Detailed Budget'!$AC$165</f>
        <v>14927760000</v>
      </c>
      <c r="FG854" s="1087">
        <f t="shared" si="2222"/>
        <v>717571569.54176199</v>
      </c>
      <c r="FH854" s="269">
        <f t="shared" si="2198"/>
        <v>18657579.820474949</v>
      </c>
      <c r="FJ854" s="140">
        <f>'Detailed Budget'!$AC$235</f>
        <v>3623696172</v>
      </c>
      <c r="FK854" s="269">
        <f t="shared" si="2199"/>
        <v>4681778</v>
      </c>
      <c r="FL854" s="269">
        <f t="shared" si="2223"/>
        <v>4681778</v>
      </c>
      <c r="FR854" s="269">
        <f>'Detailed Budget'!$AC$257</f>
        <v>13636439388</v>
      </c>
      <c r="FS854" s="269">
        <f t="shared" si="2200"/>
        <v>15989376</v>
      </c>
      <c r="FT854" s="269">
        <f t="shared" si="2224"/>
        <v>15989376</v>
      </c>
      <c r="FU854" s="269"/>
      <c r="FV854" s="269"/>
      <c r="FW854" s="269"/>
      <c r="FX854" s="140">
        <f>'Detailed Budget'!$AC$278</f>
        <v>1114560000</v>
      </c>
      <c r="FY854" s="269">
        <f t="shared" si="2201"/>
        <v>1440000</v>
      </c>
      <c r="FZ854" s="269">
        <f t="shared" si="2216"/>
        <v>1440000</v>
      </c>
      <c r="GB854" s="269">
        <f t="shared" si="2232"/>
        <v>2258420032.9685035</v>
      </c>
      <c r="GC854" s="887">
        <f t="shared" si="2159"/>
        <v>1411512.5206053148</v>
      </c>
      <c r="GD854" s="1078">
        <f t="shared" si="2233"/>
        <v>1.2672705961195674E-3</v>
      </c>
    </row>
    <row r="855" spans="1:186" hidden="1" outlineLevel="1">
      <c r="A855" s="211" t="s">
        <v>1781</v>
      </c>
      <c r="B855" s="212" t="s">
        <v>1782</v>
      </c>
      <c r="C855" s="213" t="s">
        <v>215</v>
      </c>
      <c r="D855" s="214"/>
      <c r="E855" s="213"/>
      <c r="F855" s="213"/>
      <c r="G855" s="213" t="s">
        <v>215</v>
      </c>
      <c r="H855" s="213" t="s">
        <v>215</v>
      </c>
      <c r="I855" s="214" t="s">
        <v>215</v>
      </c>
      <c r="J855" s="214"/>
      <c r="K855" s="213"/>
      <c r="L855" s="213"/>
      <c r="M855" s="214" t="s">
        <v>215</v>
      </c>
      <c r="N855" s="213"/>
      <c r="O855" s="214"/>
      <c r="P855" s="213"/>
      <c r="Q855" s="214"/>
      <c r="R855" s="214" t="s">
        <v>215</v>
      </c>
      <c r="S855" s="214"/>
      <c r="T855" s="214"/>
      <c r="U855" s="215">
        <f t="shared" si="2236"/>
        <v>6</v>
      </c>
      <c r="V855" s="845" t="s">
        <v>216</v>
      </c>
      <c r="W855" s="216">
        <v>104004</v>
      </c>
      <c r="X855" s="217">
        <v>3.35</v>
      </c>
      <c r="Y855" s="218">
        <f t="shared" si="2170"/>
        <v>1.0335000000000001</v>
      </c>
      <c r="Z855" s="196">
        <v>19</v>
      </c>
      <c r="AA855" s="218">
        <f t="shared" si="2171"/>
        <v>1.8702477386515275</v>
      </c>
      <c r="AB855" s="196">
        <f t="shared" si="2234"/>
        <v>194513.24581071347</v>
      </c>
      <c r="AC855">
        <v>12.8</v>
      </c>
      <c r="AD855" s="196">
        <f t="shared" si="2235"/>
        <v>24897.695463771328</v>
      </c>
      <c r="AE855" s="196">
        <f t="shared" si="2172"/>
        <v>23652.810690582759</v>
      </c>
      <c r="AF855" s="196">
        <f t="shared" si="2202"/>
        <v>0</v>
      </c>
      <c r="AG855" s="606"/>
      <c r="AH855" s="196">
        <f t="shared" si="2217"/>
        <v>9725.6622905356744</v>
      </c>
      <c r="AI855" s="248">
        <f t="shared" si="2141"/>
        <v>7.5343232183009031E-4</v>
      </c>
      <c r="AJ855" s="196">
        <f t="shared" si="2142"/>
        <v>34623.357754306999</v>
      </c>
      <c r="AK855" s="196">
        <f t="shared" si="2173"/>
        <v>7780.5298324285395</v>
      </c>
      <c r="AL855" s="196">
        <f t="shared" si="2174"/>
        <v>7780.5298324285395</v>
      </c>
      <c r="AM855" s="196">
        <f t="shared" si="2143"/>
        <v>15561.059664857079</v>
      </c>
      <c r="AN855" s="627">
        <f t="shared" si="2144"/>
        <v>7.5343232183009031E-4</v>
      </c>
      <c r="AO855" s="196">
        <f t="shared" si="2145"/>
        <v>7391.5033408071122</v>
      </c>
      <c r="AP855" s="589">
        <f t="shared" si="2163"/>
        <v>7.534323218300902E-4</v>
      </c>
      <c r="AQ855" s="589"/>
      <c r="AR855" s="589"/>
      <c r="AS855">
        <v>1</v>
      </c>
      <c r="AT855" s="589">
        <f t="shared" si="2164"/>
        <v>1.2919896640826874E-3</v>
      </c>
      <c r="AU855" s="196">
        <v>10</v>
      </c>
      <c r="AV855" s="245">
        <f t="shared" si="2146"/>
        <v>1.1362345188046814E-3</v>
      </c>
      <c r="AX855" s="245"/>
      <c r="AY855" s="245"/>
      <c r="AZ855" s="196">
        <v>16</v>
      </c>
      <c r="BA855" s="589">
        <f t="shared" si="2226"/>
        <v>5.8627386317833719E-4</v>
      </c>
      <c r="BI855" s="196">
        <v>0</v>
      </c>
      <c r="BK855" s="246">
        <f t="shared" si="2227"/>
        <v>0</v>
      </c>
      <c r="BL855" s="246"/>
      <c r="BM855" s="246">
        <f t="shared" si="2228"/>
        <v>0</v>
      </c>
      <c r="BN855" s="196">
        <v>1</v>
      </c>
      <c r="BO855" s="196">
        <f t="shared" si="2203"/>
        <v>12511.171053039945</v>
      </c>
      <c r="BP855" s="196">
        <f t="shared" si="2147"/>
        <v>12511.171053039945</v>
      </c>
      <c r="BQ855" s="248">
        <f t="shared" si="2229"/>
        <v>1.1703617906412135E-3</v>
      </c>
      <c r="BR855" s="248"/>
      <c r="BS855" s="248"/>
      <c r="BT855" s="276">
        <v>0</v>
      </c>
      <c r="BU855" s="196">
        <f t="shared" si="2218"/>
        <v>0</v>
      </c>
      <c r="BV855" s="264">
        <f t="shared" si="2230"/>
        <v>0</v>
      </c>
      <c r="BW855" s="196">
        <f t="shared" si="2219"/>
        <v>0</v>
      </c>
      <c r="BX855" s="247">
        <f t="shared" si="2231"/>
        <v>0</v>
      </c>
      <c r="BY855" s="196">
        <f t="shared" si="2204"/>
        <v>0</v>
      </c>
      <c r="BZ855" s="620">
        <v>1</v>
      </c>
      <c r="CA855" s="196">
        <f t="shared" si="2205"/>
        <v>59521.053218078319</v>
      </c>
      <c r="CB855" s="196">
        <f t="shared" si="2206"/>
        <v>119042.10643615664</v>
      </c>
      <c r="CC855" s="196">
        <f t="shared" si="2160"/>
        <v>178563.15965423494</v>
      </c>
      <c r="CD855" s="247">
        <f t="shared" si="2148"/>
        <v>7.5343232183009009E-4</v>
      </c>
      <c r="CE855" s="196">
        <f t="shared" si="2207"/>
        <v>15010.918481207782</v>
      </c>
      <c r="CF855" s="247">
        <f t="shared" si="2149"/>
        <v>6.4821814315942756E-4</v>
      </c>
      <c r="CG855" s="196">
        <f t="shared" si="2179"/>
        <v>29566.013363228449</v>
      </c>
      <c r="CH855" s="589">
        <f t="shared" si="2165"/>
        <v>7.534323218300902E-4</v>
      </c>
      <c r="CI855" s="271">
        <f t="shared" si="2208"/>
        <v>43517.985707874956</v>
      </c>
      <c r="CJ855" s="248">
        <f t="shared" si="2166"/>
        <v>7.154355745742115E-4</v>
      </c>
      <c r="CK855" s="271">
        <f t="shared" si="2209"/>
        <v>58471.232026825062</v>
      </c>
      <c r="CL855" s="589">
        <f t="shared" si="2167"/>
        <v>8.4053598740492009E-4</v>
      </c>
      <c r="CM855" s="271">
        <f t="shared" si="2210"/>
        <v>5664.4018255678429</v>
      </c>
      <c r="CN855" s="589">
        <f t="shared" si="2168"/>
        <v>8.1630467701441643E-4</v>
      </c>
      <c r="CO855" s="271">
        <f t="shared" si="2211"/>
        <v>453.14618261482883</v>
      </c>
      <c r="CP855" s="589">
        <f t="shared" si="2169"/>
        <v>8.5456390305022165E-4</v>
      </c>
      <c r="CQ855" s="196">
        <f>'Detailed Budget'!$AC$12</f>
        <v>292876014141.44696</v>
      </c>
      <c r="CR855" s="269">
        <f t="shared" si="2177"/>
        <v>0</v>
      </c>
      <c r="CS855" s="269">
        <f>'Detailed Budget'!$AC$16</f>
        <v>10488008800.000002</v>
      </c>
      <c r="CT855" s="607">
        <f t="shared" si="2181"/>
        <v>0</v>
      </c>
      <c r="CU855" s="269">
        <f>'Detailed Budget'!$AC$24</f>
        <v>30624985696</v>
      </c>
      <c r="CV855" s="269">
        <f t="shared" si="2225"/>
        <v>0</v>
      </c>
      <c r="CW855" s="269"/>
      <c r="CX855" s="269">
        <f t="shared" si="2161"/>
        <v>0</v>
      </c>
      <c r="CY855" s="196">
        <f>'Detailed Budget'!$AC$97</f>
        <v>74629165494.837845</v>
      </c>
      <c r="CZ855" s="269">
        <f t="shared" si="2182"/>
        <v>87343123.762597889</v>
      </c>
      <c r="DA855" s="269">
        <f>'Detailed Budget'!$AC$100</f>
        <v>14925833098.967569</v>
      </c>
      <c r="DB855" s="269">
        <f t="shared" si="2183"/>
        <v>17468624.752519578</v>
      </c>
      <c r="DC855" s="269">
        <f t="shared" si="2150"/>
        <v>104811748.51511747</v>
      </c>
      <c r="DD855" s="207">
        <v>0</v>
      </c>
      <c r="DE855" s="606">
        <v>0</v>
      </c>
      <c r="DF855" s="269">
        <f>'Detailed Budget'!$AC$147</f>
        <v>5913600671000</v>
      </c>
      <c r="DG855" s="269">
        <f t="shared" si="2221"/>
        <v>0</v>
      </c>
      <c r="DH855" s="269"/>
      <c r="DI855" s="269"/>
      <c r="DJ855" s="269"/>
      <c r="DK855" s="269"/>
      <c r="DL855" s="269"/>
      <c r="DM855" s="196">
        <f>'Detailed Budget'!$AC$178</f>
        <v>5622683761.6229038</v>
      </c>
      <c r="DN855" s="269">
        <f t="shared" si="2212"/>
        <v>0</v>
      </c>
      <c r="DO855" s="196">
        <f>'Detailed Budget'!$AC$179</f>
        <v>26827890683.128094</v>
      </c>
      <c r="DP855" s="269">
        <f t="shared" si="2213"/>
        <v>0</v>
      </c>
      <c r="DQ855" s="269">
        <f t="shared" si="2220"/>
        <v>0</v>
      </c>
      <c r="DR855" s="269">
        <f>'Detailed Budget'!$AC$181</f>
        <v>50888946855.375237</v>
      </c>
      <c r="DS855" s="269">
        <f t="shared" si="2214"/>
        <v>0</v>
      </c>
      <c r="DT855" s="269">
        <f t="shared" si="2215"/>
        <v>0</v>
      </c>
      <c r="DU855" s="272">
        <f>'Detailed Budget'!$AC$192</f>
        <v>77498869683.252869</v>
      </c>
      <c r="DV855" s="269">
        <f t="shared" si="2184"/>
        <v>58390153.324660785</v>
      </c>
      <c r="DW855" s="140">
        <f>'Detailed Budget'!$AC$194</f>
        <v>2684962805.4134097</v>
      </c>
      <c r="DX855" s="269">
        <f t="shared" si="2185"/>
        <v>2022937.7605100581</v>
      </c>
      <c r="DY855" s="607">
        <f t="shared" si="2151"/>
        <v>60413091.085170843</v>
      </c>
      <c r="DZ855" s="196">
        <f>'Detailed Budget'!$AC$198</f>
        <v>18732540018.380611</v>
      </c>
      <c r="EA855" s="269">
        <f t="shared" si="2186"/>
        <v>12142772.307374349</v>
      </c>
      <c r="EB855" s="196">
        <f>'Detailed Budget'!$AC$200</f>
        <v>4683135004.5951529</v>
      </c>
      <c r="EC855" s="269">
        <f t="shared" si="2187"/>
        <v>3035693.0768435872</v>
      </c>
      <c r="ED855" s="269">
        <f t="shared" si="2152"/>
        <v>15178465.384217937</v>
      </c>
      <c r="EE855" s="196">
        <f>'Detailed Budget'!$AC$161</f>
        <v>251147290106.36197</v>
      </c>
      <c r="EF855" s="269">
        <f t="shared" si="2188"/>
        <v>189222485.90617153</v>
      </c>
      <c r="EG855" s="196">
        <f>'Detailed Budget'!$AC$163</f>
        <v>15696705631.647623</v>
      </c>
      <c r="EH855" s="269">
        <f t="shared" si="2189"/>
        <v>11826405.369135721</v>
      </c>
      <c r="EI855" s="269">
        <f t="shared" si="2153"/>
        <v>201048891.27530724</v>
      </c>
      <c r="EJ855" s="196">
        <f>'Detailed Budget'!$AC$204</f>
        <v>45012172507.531975</v>
      </c>
      <c r="EK855" s="269">
        <f t="shared" si="2190"/>
        <v>32203309.500759665</v>
      </c>
      <c r="EL855" s="201">
        <f>'Detailed Budget'!$AC$206</f>
        <v>11253043126.882994</v>
      </c>
      <c r="EM855" s="269">
        <f t="shared" si="2191"/>
        <v>8050827.3751899162</v>
      </c>
      <c r="EN855" s="269">
        <f t="shared" si="2154"/>
        <v>40254136.875949584</v>
      </c>
      <c r="EO855" s="140">
        <f>'Detailed Budget'!$AC$209</f>
        <v>135789361677.54817</v>
      </c>
      <c r="EP855" s="269">
        <f t="shared" si="2192"/>
        <v>114135845.19672176</v>
      </c>
      <c r="EQ855" s="196">
        <f>'Detailed Budget'!$AC$211</f>
        <v>33947340419.387043</v>
      </c>
      <c r="ER855" s="269">
        <f t="shared" si="2193"/>
        <v>28533961.299180441</v>
      </c>
      <c r="ES855" s="269">
        <f t="shared" si="2155"/>
        <v>142669806.49590221</v>
      </c>
      <c r="ET855" s="196">
        <f>'Detailed Budget'!$AC$214</f>
        <v>22239745544.201103</v>
      </c>
      <c r="EU855" s="269">
        <f t="shared" si="2194"/>
        <v>18154408.303341888</v>
      </c>
      <c r="EV855" s="140">
        <f>'Detailed Budget'!$AC$217</f>
        <v>5559936386.0502758</v>
      </c>
      <c r="EW855" s="269">
        <f t="shared" si="2195"/>
        <v>4538602.075835472</v>
      </c>
      <c r="EX855" s="269">
        <f t="shared" si="2156"/>
        <v>22693010.379177362</v>
      </c>
      <c r="EY855" s="196">
        <f>'Detailed Budget'!$AC$219</f>
        <v>372777004.58170313</v>
      </c>
      <c r="EZ855" s="269">
        <f t="shared" si="2196"/>
        <v>318561.77200271055</v>
      </c>
      <c r="FA855" s="196">
        <f>'Detailed Budget'!$AC$222</f>
        <v>93194251.145425782</v>
      </c>
      <c r="FB855" s="269">
        <f t="shared" si="2197"/>
        <v>79640.443000677638</v>
      </c>
      <c r="FC855" s="269">
        <f t="shared" si="2157"/>
        <v>398202.21500338818</v>
      </c>
      <c r="FD855" s="269"/>
      <c r="FE855" s="269">
        <f t="shared" si="2158"/>
        <v>206015155.96603256</v>
      </c>
      <c r="FF855" s="140">
        <f>'Detailed Budget'!$AC$165</f>
        <v>14927760000</v>
      </c>
      <c r="FG855" s="1087">
        <f t="shared" si="2222"/>
        <v>281018309.67470634</v>
      </c>
      <c r="FH855" s="269">
        <f t="shared" si="2198"/>
        <v>16961436.200431772</v>
      </c>
      <c r="FJ855" s="140">
        <f>'Detailed Budget'!$AC$235</f>
        <v>3623696172</v>
      </c>
      <c r="FK855" s="269">
        <f t="shared" si="2199"/>
        <v>4681778</v>
      </c>
      <c r="FL855" s="269">
        <f t="shared" si="2223"/>
        <v>4681778</v>
      </c>
      <c r="FR855" s="269">
        <f>'Detailed Budget'!$AC$257</f>
        <v>13636439388</v>
      </c>
      <c r="FS855" s="269">
        <f t="shared" si="2200"/>
        <v>7994688</v>
      </c>
      <c r="FT855" s="269">
        <f t="shared" si="2224"/>
        <v>7994688</v>
      </c>
      <c r="FU855" s="269"/>
      <c r="FV855" s="269"/>
      <c r="FW855" s="269"/>
      <c r="FX855" s="140">
        <f>'Detailed Budget'!$AC$278</f>
        <v>1114560000</v>
      </c>
      <c r="FY855" s="269">
        <f t="shared" si="2201"/>
        <v>1440000</v>
      </c>
      <c r="FZ855" s="269">
        <f t="shared" si="2216"/>
        <v>1440000</v>
      </c>
      <c r="GB855" s="269">
        <f t="shared" si="2232"/>
        <v>899563564.10098422</v>
      </c>
      <c r="GC855" s="887">
        <f t="shared" si="2159"/>
        <v>562227.22756311519</v>
      </c>
      <c r="GD855" s="1078">
        <f t="shared" si="2233"/>
        <v>5.0477344226674929E-4</v>
      </c>
    </row>
    <row r="856" spans="1:186" hidden="1" outlineLevel="1">
      <c r="A856" s="211" t="s">
        <v>1783</v>
      </c>
      <c r="B856" s="212" t="s">
        <v>1784</v>
      </c>
      <c r="C856" s="213" t="s">
        <v>215</v>
      </c>
      <c r="D856" s="214"/>
      <c r="E856" s="213"/>
      <c r="F856" s="213"/>
      <c r="G856" s="213" t="s">
        <v>215</v>
      </c>
      <c r="H856" s="213" t="s">
        <v>215</v>
      </c>
      <c r="I856" s="214" t="s">
        <v>215</v>
      </c>
      <c r="J856" s="214"/>
      <c r="K856" s="213"/>
      <c r="L856" s="213"/>
      <c r="M856" s="214"/>
      <c r="N856" s="213" t="s">
        <v>215</v>
      </c>
      <c r="O856" s="214"/>
      <c r="P856" s="213"/>
      <c r="Q856" s="214"/>
      <c r="R856" s="214" t="s">
        <v>215</v>
      </c>
      <c r="S856" s="214"/>
      <c r="T856" s="214"/>
      <c r="U856" s="215">
        <f t="shared" si="2236"/>
        <v>6</v>
      </c>
      <c r="V856" s="845" t="s">
        <v>216</v>
      </c>
      <c r="W856" s="216">
        <v>149408</v>
      </c>
      <c r="X856" s="217">
        <v>3.35</v>
      </c>
      <c r="Y856" s="218">
        <f t="shared" si="2170"/>
        <v>1.0335000000000001</v>
      </c>
      <c r="Z856" s="196">
        <v>19</v>
      </c>
      <c r="AA856" s="218">
        <f t="shared" si="2171"/>
        <v>1.8702477386515275</v>
      </c>
      <c r="AB856" s="196">
        <f t="shared" si="2234"/>
        <v>279429.97413644742</v>
      </c>
      <c r="AC856">
        <v>12.8</v>
      </c>
      <c r="AD856" s="196">
        <f t="shared" si="2235"/>
        <v>35767.036689465269</v>
      </c>
      <c r="AE856" s="196">
        <f t="shared" si="2172"/>
        <v>33978.684854992003</v>
      </c>
      <c r="AF856" s="196">
        <f t="shared" si="2202"/>
        <v>0</v>
      </c>
      <c r="AG856" s="606"/>
      <c r="AH856" s="196">
        <f t="shared" si="2217"/>
        <v>13971.498706822371</v>
      </c>
      <c r="AI856" s="248">
        <f t="shared" si="2141"/>
        <v>1.0823508359292923E-3</v>
      </c>
      <c r="AJ856" s="196">
        <f t="shared" si="2142"/>
        <v>49738.53539628764</v>
      </c>
      <c r="AK856" s="196">
        <f t="shared" si="2173"/>
        <v>11177.198965457897</v>
      </c>
      <c r="AL856" s="196">
        <f t="shared" si="2174"/>
        <v>11177.198965457897</v>
      </c>
      <c r="AM856" s="196">
        <f t="shared" si="2143"/>
        <v>22354.397930915795</v>
      </c>
      <c r="AN856" s="627">
        <f t="shared" si="2144"/>
        <v>1.0823508359292923E-3</v>
      </c>
      <c r="AO856" s="196">
        <f t="shared" si="2145"/>
        <v>10618.339017185002</v>
      </c>
      <c r="AP856" s="589">
        <f t="shared" si="2163"/>
        <v>1.0823508359292923E-3</v>
      </c>
      <c r="AQ856" s="589"/>
      <c r="AR856" s="589"/>
      <c r="AS856">
        <v>1</v>
      </c>
      <c r="AT856" s="589">
        <f t="shared" si="2164"/>
        <v>1.2919896640826874E-3</v>
      </c>
      <c r="AU856" s="196">
        <v>10</v>
      </c>
      <c r="AV856" s="245">
        <f t="shared" si="2146"/>
        <v>1.1362345188046814E-3</v>
      </c>
      <c r="AX856" s="245"/>
      <c r="AY856" s="245"/>
      <c r="AZ856" s="196">
        <v>27</v>
      </c>
      <c r="BA856" s="589">
        <f t="shared" si="2226"/>
        <v>9.8933714411344391E-4</v>
      </c>
      <c r="BI856" s="196">
        <v>0</v>
      </c>
      <c r="BK856" s="246">
        <f t="shared" si="2227"/>
        <v>0</v>
      </c>
      <c r="BL856" s="246"/>
      <c r="BM856" s="246">
        <f t="shared" si="2228"/>
        <v>0</v>
      </c>
      <c r="BN856" s="196">
        <v>1</v>
      </c>
      <c r="BO856" s="196">
        <f t="shared" si="2203"/>
        <v>17973.049543215569</v>
      </c>
      <c r="BP856" s="196">
        <f t="shared" si="2147"/>
        <v>17973.049543215569</v>
      </c>
      <c r="BQ856" s="248">
        <f t="shared" si="2229"/>
        <v>1.6812950888054541E-3</v>
      </c>
      <c r="BR856" s="248"/>
      <c r="BS856" s="248"/>
      <c r="BT856" s="276">
        <v>0</v>
      </c>
      <c r="BU856" s="196">
        <f t="shared" si="2218"/>
        <v>0</v>
      </c>
      <c r="BV856" s="264">
        <f t="shared" si="2230"/>
        <v>0</v>
      </c>
      <c r="BW856" s="196">
        <f t="shared" si="2219"/>
        <v>0</v>
      </c>
      <c r="BX856" s="247">
        <f t="shared" si="2231"/>
        <v>0</v>
      </c>
      <c r="BY856" s="196">
        <f t="shared" si="2204"/>
        <v>0</v>
      </c>
      <c r="BZ856" s="620">
        <v>1</v>
      </c>
      <c r="CA856" s="196">
        <f t="shared" si="2205"/>
        <v>85505.572085752909</v>
      </c>
      <c r="CB856" s="196">
        <f t="shared" si="2206"/>
        <v>171011.14417150582</v>
      </c>
      <c r="CC856" s="196">
        <f t="shared" si="2160"/>
        <v>256516.71625725873</v>
      </c>
      <c r="CD856" s="247">
        <f t="shared" si="2148"/>
        <v>1.0823508359292923E-3</v>
      </c>
      <c r="CE856" s="196">
        <f t="shared" si="2207"/>
        <v>21564.087039347451</v>
      </c>
      <c r="CF856" s="247">
        <f t="shared" si="2149"/>
        <v>9.3120434149805535E-4</v>
      </c>
      <c r="CG856" s="196">
        <f t="shared" si="2179"/>
        <v>42473.35606874001</v>
      </c>
      <c r="CH856" s="589">
        <f t="shared" si="2165"/>
        <v>1.0823508359292923E-3</v>
      </c>
      <c r="CI856" s="271">
        <f t="shared" si="2208"/>
        <v>62516.203306047653</v>
      </c>
      <c r="CJ856" s="248">
        <f t="shared" si="2166"/>
        <v>1.0277662236643185E-3</v>
      </c>
      <c r="CK856" s="271">
        <f t="shared" si="2209"/>
        <v>83997.440816352027</v>
      </c>
      <c r="CL856" s="589">
        <f t="shared" si="2167"/>
        <v>1.2074804892715113E-3</v>
      </c>
      <c r="CM856" s="271">
        <f t="shared" si="2210"/>
        <v>8137.2538359528498</v>
      </c>
      <c r="CN856" s="589">
        <f t="shared" si="2168"/>
        <v>1.1726707548110641E-3</v>
      </c>
      <c r="CO856" s="271">
        <f t="shared" si="2211"/>
        <v>650.97174004957822</v>
      </c>
      <c r="CP856" s="589">
        <f t="shared" si="2169"/>
        <v>1.2276324336268555E-3</v>
      </c>
      <c r="CQ856" s="196">
        <f>'Detailed Budget'!$AC$12</f>
        <v>292876014141.44696</v>
      </c>
      <c r="CR856" s="269">
        <f t="shared" si="2177"/>
        <v>0</v>
      </c>
      <c r="CS856" s="269">
        <f>'Detailed Budget'!$AC$16</f>
        <v>10488008800.000002</v>
      </c>
      <c r="CT856" s="607">
        <f t="shared" si="2181"/>
        <v>0</v>
      </c>
      <c r="CU856" s="269">
        <f>'Detailed Budget'!$AC$24</f>
        <v>30624985696</v>
      </c>
      <c r="CV856" s="269">
        <f t="shared" si="2225"/>
        <v>0</v>
      </c>
      <c r="CW856" s="269"/>
      <c r="CX856" s="269">
        <f t="shared" si="2161"/>
        <v>0</v>
      </c>
      <c r="CY856" s="196">
        <f>'Detailed Budget'!$AC$97</f>
        <v>74629165494.837845</v>
      </c>
      <c r="CZ856" s="269">
        <f t="shared" si="2182"/>
        <v>125473649.42812032</v>
      </c>
      <c r="DA856" s="269">
        <f>'Detailed Budget'!$AC$100</f>
        <v>14925833098.967569</v>
      </c>
      <c r="DB856" s="269">
        <f t="shared" si="2183"/>
        <v>25094729.885624066</v>
      </c>
      <c r="DC856" s="269">
        <f t="shared" si="2150"/>
        <v>150568379.31374437</v>
      </c>
      <c r="DD856" s="207">
        <v>0</v>
      </c>
      <c r="DE856" s="606">
        <v>0</v>
      </c>
      <c r="DF856" s="269">
        <f>'Detailed Budget'!$AC$147</f>
        <v>5913600671000</v>
      </c>
      <c r="DG856" s="269">
        <f t="shared" si="2221"/>
        <v>0</v>
      </c>
      <c r="DH856" s="269"/>
      <c r="DI856" s="269"/>
      <c r="DJ856" s="269"/>
      <c r="DK856" s="269"/>
      <c r="DL856" s="269"/>
      <c r="DM856" s="196">
        <f>'Detailed Budget'!$AC$178</f>
        <v>5622683761.6229038</v>
      </c>
      <c r="DN856" s="269">
        <f t="shared" si="2212"/>
        <v>0</v>
      </c>
      <c r="DO856" s="196">
        <f>'Detailed Budget'!$AC$179</f>
        <v>26827890683.128094</v>
      </c>
      <c r="DP856" s="269">
        <f t="shared" si="2213"/>
        <v>0</v>
      </c>
      <c r="DQ856" s="269">
        <f t="shared" si="2220"/>
        <v>0</v>
      </c>
      <c r="DR856" s="269">
        <f>'Detailed Budget'!$AC$181</f>
        <v>50888946855.375237</v>
      </c>
      <c r="DS856" s="269">
        <f t="shared" si="2214"/>
        <v>0</v>
      </c>
      <c r="DT856" s="269">
        <f t="shared" si="2215"/>
        <v>0</v>
      </c>
      <c r="DU856" s="272">
        <f>'Detailed Budget'!$AC$192</f>
        <v>77498869683.252869</v>
      </c>
      <c r="DV856" s="269">
        <f t="shared" si="2184"/>
        <v>83880966.385244027</v>
      </c>
      <c r="DW856" s="140">
        <f>'Detailed Budget'!$AC$194</f>
        <v>2684962805.4134097</v>
      </c>
      <c r="DX856" s="269">
        <f t="shared" si="2185"/>
        <v>2906071.7368782619</v>
      </c>
      <c r="DY856" s="607">
        <f t="shared" si="2151"/>
        <v>86787038.122122288</v>
      </c>
      <c r="DZ856" s="196">
        <f>'Detailed Budget'!$AC$198</f>
        <v>18732540018.380611</v>
      </c>
      <c r="EA856" s="269">
        <f t="shared" si="2186"/>
        <v>17443822.592402086</v>
      </c>
      <c r="EB856" s="196">
        <f>'Detailed Budget'!$AC$200</f>
        <v>4683135004.5951529</v>
      </c>
      <c r="EC856" s="269">
        <f t="shared" si="2187"/>
        <v>4360955.6481005214</v>
      </c>
      <c r="ED856" s="269">
        <f t="shared" si="2152"/>
        <v>21804778.240502607</v>
      </c>
      <c r="EE856" s="196">
        <f>'Detailed Budget'!$AC$161</f>
        <v>251147290106.36197</v>
      </c>
      <c r="EF856" s="269">
        <f t="shared" si="2188"/>
        <v>271829479.38799739</v>
      </c>
      <c r="EG856" s="196">
        <f>'Detailed Budget'!$AC$163</f>
        <v>15696705631.647623</v>
      </c>
      <c r="EH856" s="269">
        <f t="shared" si="2189"/>
        <v>16989342.461749837</v>
      </c>
      <c r="EI856" s="269">
        <f t="shared" si="2153"/>
        <v>288818821.84974724</v>
      </c>
      <c r="EJ856" s="196">
        <f>'Detailed Budget'!$AC$204</f>
        <v>45012172507.531975</v>
      </c>
      <c r="EK856" s="269">
        <f t="shared" si="2190"/>
        <v>46261990.556992993</v>
      </c>
      <c r="EL856" s="201">
        <f>'Detailed Budget'!$AC$206</f>
        <v>11253043126.882994</v>
      </c>
      <c r="EM856" s="269">
        <f t="shared" si="2191"/>
        <v>11565497.639248248</v>
      </c>
      <c r="EN856" s="269">
        <f t="shared" si="2154"/>
        <v>57827488.196241245</v>
      </c>
      <c r="EO856" s="140">
        <f>'Detailed Budget'!$AC$209</f>
        <v>135789361677.54817</v>
      </c>
      <c r="EP856" s="269">
        <f t="shared" si="2192"/>
        <v>163963004.87627205</v>
      </c>
      <c r="EQ856" s="196">
        <f>'Detailed Budget'!$AC$211</f>
        <v>33947340419.387043</v>
      </c>
      <c r="ER856" s="269">
        <f t="shared" si="2193"/>
        <v>40990751.219068013</v>
      </c>
      <c r="ES856" s="269">
        <f t="shared" si="2155"/>
        <v>204953756.09534007</v>
      </c>
      <c r="ET856" s="196">
        <f>'Detailed Budget'!$AC$214</f>
        <v>22239745544.201103</v>
      </c>
      <c r="EU856" s="269">
        <f t="shared" si="2194"/>
        <v>26079899.194124307</v>
      </c>
      <c r="EV856" s="140">
        <f>'Detailed Budget'!$AC$217</f>
        <v>5559936386.0502758</v>
      </c>
      <c r="EW856" s="269">
        <f t="shared" si="2195"/>
        <v>6519974.7985310769</v>
      </c>
      <c r="EX856" s="269">
        <f t="shared" si="2156"/>
        <v>32599873.992655385</v>
      </c>
      <c r="EY856" s="196">
        <f>'Detailed Budget'!$AC$219</f>
        <v>372777004.58170313</v>
      </c>
      <c r="EZ856" s="269">
        <f t="shared" si="2196"/>
        <v>457633.14133476571</v>
      </c>
      <c r="FA856" s="196">
        <f>'Detailed Budget'!$AC$222</f>
        <v>93194251.145425782</v>
      </c>
      <c r="FB856" s="269">
        <f t="shared" si="2197"/>
        <v>114408.28533369143</v>
      </c>
      <c r="FC856" s="269">
        <f t="shared" si="2157"/>
        <v>572041.4266684571</v>
      </c>
      <c r="FD856" s="269"/>
      <c r="FE856" s="269">
        <f t="shared" si="2158"/>
        <v>295953159.71090519</v>
      </c>
      <c r="FF856" s="140">
        <f>'Detailed Budget'!$AC$165</f>
        <v>14927760000</v>
      </c>
      <c r="FG856" s="1087">
        <f t="shared" si="2222"/>
        <v>403699700.12575012</v>
      </c>
      <c r="FH856" s="269">
        <f t="shared" si="2198"/>
        <v>16961436.200431772</v>
      </c>
      <c r="FJ856" s="140">
        <f>'Detailed Budget'!$AC$235</f>
        <v>3623696172</v>
      </c>
      <c r="FK856" s="269">
        <f t="shared" si="2199"/>
        <v>4681778</v>
      </c>
      <c r="FL856" s="269">
        <f t="shared" si="2223"/>
        <v>4681778</v>
      </c>
      <c r="FR856" s="269">
        <f>'Detailed Budget'!$AC$257</f>
        <v>13636439388</v>
      </c>
      <c r="FS856" s="269">
        <f t="shared" si="2200"/>
        <v>13491035.999999998</v>
      </c>
      <c r="FT856" s="269">
        <f t="shared" si="2224"/>
        <v>13491035.999999998</v>
      </c>
      <c r="FU856" s="269"/>
      <c r="FV856" s="269"/>
      <c r="FW856" s="269"/>
      <c r="FX856" s="140">
        <f>'Detailed Budget'!$AC$278</f>
        <v>1114560000</v>
      </c>
      <c r="FY856" s="269">
        <f t="shared" si="2201"/>
        <v>1440000</v>
      </c>
      <c r="FZ856" s="269">
        <f t="shared" si="2216"/>
        <v>1440000</v>
      </c>
      <c r="GB856" s="269">
        <f t="shared" si="2232"/>
        <v>1284206127.5632036</v>
      </c>
      <c r="GC856" s="887">
        <f t="shared" si="2159"/>
        <v>802628.82972700219</v>
      </c>
      <c r="GD856" s="1078">
        <f t="shared" si="2233"/>
        <v>7.2060849667468334E-4</v>
      </c>
    </row>
    <row r="857" spans="1:186" hidden="1" outlineLevel="1">
      <c r="A857" s="211" t="s">
        <v>1785</v>
      </c>
      <c r="B857" s="212" t="s">
        <v>1786</v>
      </c>
      <c r="C857" s="213" t="s">
        <v>215</v>
      </c>
      <c r="D857" s="214"/>
      <c r="E857" s="213"/>
      <c r="F857" s="213"/>
      <c r="G857" s="213" t="s">
        <v>215</v>
      </c>
      <c r="H857" s="213" t="s">
        <v>215</v>
      </c>
      <c r="I857" s="214" t="s">
        <v>215</v>
      </c>
      <c r="J857" s="214"/>
      <c r="K857" s="213"/>
      <c r="L857" s="213"/>
      <c r="M857" s="214"/>
      <c r="N857" s="213"/>
      <c r="O857" s="214" t="s">
        <v>215</v>
      </c>
      <c r="P857" s="213"/>
      <c r="Q857" s="214"/>
      <c r="R857" s="214" t="s">
        <v>215</v>
      </c>
      <c r="S857" s="214"/>
      <c r="T857" s="214"/>
      <c r="U857" s="215">
        <f t="shared" si="2236"/>
        <v>6</v>
      </c>
      <c r="V857" s="845" t="s">
        <v>216</v>
      </c>
      <c r="W857" s="216">
        <v>124095</v>
      </c>
      <c r="X857" s="217">
        <v>3.35</v>
      </c>
      <c r="Y857" s="218">
        <f t="shared" si="2170"/>
        <v>1.0335000000000001</v>
      </c>
      <c r="Z857" s="196">
        <v>19</v>
      </c>
      <c r="AA857" s="218">
        <f t="shared" si="2171"/>
        <v>1.8702477386515275</v>
      </c>
      <c r="AB857" s="196">
        <f t="shared" si="2234"/>
        <v>232088.39312796132</v>
      </c>
      <c r="AC857">
        <v>12.8</v>
      </c>
      <c r="AD857" s="196">
        <f t="shared" si="2235"/>
        <v>29707.31432037905</v>
      </c>
      <c r="AE857" s="196">
        <f t="shared" si="2172"/>
        <v>28221.948604360095</v>
      </c>
      <c r="AF857" s="196">
        <f t="shared" si="2202"/>
        <v>0</v>
      </c>
      <c r="AG857" s="606"/>
      <c r="AH857" s="196">
        <f t="shared" si="2217"/>
        <v>11604.419656398066</v>
      </c>
      <c r="AI857" s="248">
        <f t="shared" si="2141"/>
        <v>8.9897680836799592E-4</v>
      </c>
      <c r="AJ857" s="196">
        <f t="shared" si="2142"/>
        <v>41311.733976777119</v>
      </c>
      <c r="AK857" s="196">
        <f t="shared" si="2173"/>
        <v>9283.5357251184523</v>
      </c>
      <c r="AL857" s="196">
        <f t="shared" si="2174"/>
        <v>9283.5357251184523</v>
      </c>
      <c r="AM857" s="196">
        <f t="shared" si="2143"/>
        <v>18567.071450236905</v>
      </c>
      <c r="AN857" s="627">
        <f t="shared" si="2144"/>
        <v>8.9897680836799581E-4</v>
      </c>
      <c r="AO857" s="196">
        <f t="shared" si="2145"/>
        <v>8819.3589388625296</v>
      </c>
      <c r="AP857" s="589">
        <f t="shared" si="2163"/>
        <v>8.9897680836799581E-4</v>
      </c>
      <c r="AQ857" s="589"/>
      <c r="AR857" s="589"/>
      <c r="AS857">
        <v>1</v>
      </c>
      <c r="AT857" s="589">
        <f t="shared" si="2164"/>
        <v>1.2919896640826874E-3</v>
      </c>
      <c r="AU857" s="196">
        <v>10</v>
      </c>
      <c r="AV857" s="245">
        <f t="shared" si="2146"/>
        <v>1.1362345188046814E-3</v>
      </c>
      <c r="AX857" s="245"/>
      <c r="AY857" s="245"/>
      <c r="AZ857" s="196">
        <v>26</v>
      </c>
      <c r="BA857" s="589">
        <f t="shared" si="2226"/>
        <v>9.526950276647979E-4</v>
      </c>
      <c r="BI857" s="196">
        <v>0</v>
      </c>
      <c r="BK857" s="246">
        <f t="shared" si="2227"/>
        <v>0</v>
      </c>
      <c r="BL857" s="246"/>
      <c r="BM857" s="246">
        <f t="shared" si="2228"/>
        <v>0</v>
      </c>
      <c r="BN857" s="196">
        <v>1</v>
      </c>
      <c r="BO857" s="196">
        <f t="shared" si="2203"/>
        <v>14928.019805267031</v>
      </c>
      <c r="BP857" s="196">
        <f t="shared" si="2147"/>
        <v>14928.019805267031</v>
      </c>
      <c r="BQ857" s="248">
        <f t="shared" si="2229"/>
        <v>1.3964467367564846E-3</v>
      </c>
      <c r="BR857" s="248"/>
      <c r="BS857" s="248"/>
      <c r="BT857" s="276">
        <v>0</v>
      </c>
      <c r="BU857" s="196">
        <f t="shared" si="2218"/>
        <v>0</v>
      </c>
      <c r="BV857" s="264">
        <f t="shared" si="2230"/>
        <v>0</v>
      </c>
      <c r="BW857" s="196">
        <f t="shared" si="2219"/>
        <v>0</v>
      </c>
      <c r="BX857" s="247">
        <f t="shared" si="2231"/>
        <v>0</v>
      </c>
      <c r="BY857" s="196">
        <f t="shared" si="2204"/>
        <v>0</v>
      </c>
      <c r="BZ857" s="620">
        <v>1</v>
      </c>
      <c r="CA857" s="196">
        <f t="shared" si="2205"/>
        <v>71019.048297156158</v>
      </c>
      <c r="CB857" s="196">
        <f t="shared" si="2206"/>
        <v>142038.09659431232</v>
      </c>
      <c r="CC857" s="196">
        <f t="shared" si="2160"/>
        <v>213057.14489146846</v>
      </c>
      <c r="CD857" s="247">
        <f t="shared" si="2148"/>
        <v>8.9897680836799581E-4</v>
      </c>
      <c r="CE857" s="196">
        <f t="shared" si="2207"/>
        <v>17910.656599029651</v>
      </c>
      <c r="CF857" s="247">
        <f t="shared" si="2149"/>
        <v>7.734378531149684E-4</v>
      </c>
      <c r="CG857" s="196">
        <f t="shared" si="2179"/>
        <v>35277.435755450118</v>
      </c>
      <c r="CH857" s="589">
        <f t="shared" si="2165"/>
        <v>8.9897680836799581E-4</v>
      </c>
      <c r="CI857" s="271">
        <f t="shared" si="2208"/>
        <v>51924.584020025592</v>
      </c>
      <c r="CJ857" s="248">
        <f t="shared" si="2166"/>
        <v>8.5364002948720014E-4</v>
      </c>
      <c r="CK857" s="271">
        <f t="shared" si="2209"/>
        <v>69766.427621715076</v>
      </c>
      <c r="CL857" s="589">
        <f t="shared" si="2167"/>
        <v>1.0029067474040762E-3</v>
      </c>
      <c r="CM857" s="271">
        <f t="shared" si="2210"/>
        <v>6758.6241350702039</v>
      </c>
      <c r="CN857" s="589">
        <f t="shared" si="2168"/>
        <v>9.7399454726841293E-4</v>
      </c>
      <c r="CO857" s="271">
        <f t="shared" si="2211"/>
        <v>540.68281538774636</v>
      </c>
      <c r="CP857" s="589">
        <f t="shared" si="2169"/>
        <v>1.0196445093363451E-3</v>
      </c>
      <c r="CQ857" s="196">
        <f>'Detailed Budget'!$AC$12</f>
        <v>292876014141.44696</v>
      </c>
      <c r="CR857" s="269">
        <f t="shared" si="2177"/>
        <v>0</v>
      </c>
      <c r="CS857" s="269">
        <f>'Detailed Budget'!$AC$16</f>
        <v>10488008800.000002</v>
      </c>
      <c r="CT857" s="607">
        <f t="shared" si="2181"/>
        <v>0</v>
      </c>
      <c r="CU857" s="269">
        <f>'Detailed Budget'!$AC$24</f>
        <v>30624985696</v>
      </c>
      <c r="CV857" s="269">
        <f t="shared" si="2225"/>
        <v>0</v>
      </c>
      <c r="CW857" s="269"/>
      <c r="CX857" s="269">
        <f t="shared" si="2161"/>
        <v>0</v>
      </c>
      <c r="CY857" s="196">
        <f>'Detailed Budget'!$AC$97</f>
        <v>74629165494.837845</v>
      </c>
      <c r="CZ857" s="269">
        <f t="shared" si="2182"/>
        <v>104215654.62212594</v>
      </c>
      <c r="DA857" s="269">
        <f>'Detailed Budget'!$AC$100</f>
        <v>14925833098.967569</v>
      </c>
      <c r="DB857" s="269">
        <f t="shared" si="2183"/>
        <v>20843130.924425188</v>
      </c>
      <c r="DC857" s="269">
        <f t="shared" si="2150"/>
        <v>125058785.54655112</v>
      </c>
      <c r="DD857" s="207">
        <v>0</v>
      </c>
      <c r="DE857" s="606">
        <v>0</v>
      </c>
      <c r="DF857" s="269">
        <f>'Detailed Budget'!$AC$147</f>
        <v>5913600671000</v>
      </c>
      <c r="DG857" s="269">
        <f t="shared" si="2221"/>
        <v>0</v>
      </c>
      <c r="DH857" s="269"/>
      <c r="DI857" s="269"/>
      <c r="DJ857" s="269"/>
      <c r="DK857" s="269"/>
      <c r="DL857" s="269"/>
      <c r="DM857" s="196">
        <f>'Detailed Budget'!$AC$178</f>
        <v>5622683761.6229038</v>
      </c>
      <c r="DN857" s="269">
        <f t="shared" si="2212"/>
        <v>0</v>
      </c>
      <c r="DO857" s="196">
        <f>'Detailed Budget'!$AC$179</f>
        <v>26827890683.128094</v>
      </c>
      <c r="DP857" s="269">
        <f t="shared" si="2213"/>
        <v>0</v>
      </c>
      <c r="DQ857" s="269">
        <f t="shared" si="2220"/>
        <v>0</v>
      </c>
      <c r="DR857" s="269">
        <f>'Detailed Budget'!$AC$181</f>
        <v>50888946855.375237</v>
      </c>
      <c r="DS857" s="269">
        <f t="shared" si="2214"/>
        <v>0</v>
      </c>
      <c r="DT857" s="269">
        <f t="shared" si="2215"/>
        <v>0</v>
      </c>
      <c r="DU857" s="272">
        <f>'Detailed Budget'!$AC$192</f>
        <v>77498869683.252869</v>
      </c>
      <c r="DV857" s="269">
        <f t="shared" si="2184"/>
        <v>69669686.519977897</v>
      </c>
      <c r="DW857" s="140">
        <f>'Detailed Budget'!$AC$194</f>
        <v>2684962805.4134097</v>
      </c>
      <c r="DX857" s="269">
        <f t="shared" si="2185"/>
        <v>2413719.2933973274</v>
      </c>
      <c r="DY857" s="607">
        <f t="shared" si="2151"/>
        <v>72083405.81337522</v>
      </c>
      <c r="DZ857" s="196">
        <f>'Detailed Budget'!$AC$198</f>
        <v>18732540018.380611</v>
      </c>
      <c r="EA857" s="269">
        <f t="shared" si="2186"/>
        <v>14488455.53520653</v>
      </c>
      <c r="EB857" s="196">
        <f>'Detailed Budget'!$AC$200</f>
        <v>4683135004.5951529</v>
      </c>
      <c r="EC857" s="269">
        <f t="shared" si="2187"/>
        <v>3622113.8838016326</v>
      </c>
      <c r="ED857" s="269">
        <f t="shared" si="2152"/>
        <v>18110569.419008162</v>
      </c>
      <c r="EE857" s="196">
        <f>'Detailed Budget'!$AC$161</f>
        <v>251147290106.36197</v>
      </c>
      <c r="EF857" s="269">
        <f t="shared" si="2188"/>
        <v>225775589.29008842</v>
      </c>
      <c r="EG857" s="196">
        <f>'Detailed Budget'!$AC$163</f>
        <v>15696705631.647623</v>
      </c>
      <c r="EH857" s="269">
        <f t="shared" si="2189"/>
        <v>14110974.330630526</v>
      </c>
      <c r="EI857" s="269">
        <f t="shared" si="2153"/>
        <v>239886563.62071896</v>
      </c>
      <c r="EJ857" s="196">
        <f>'Detailed Budget'!$AC$204</f>
        <v>45012172507.531975</v>
      </c>
      <c r="EK857" s="269">
        <f t="shared" si="2190"/>
        <v>38424192.266612537</v>
      </c>
      <c r="EL857" s="201">
        <f>'Detailed Budget'!$AC$206</f>
        <v>11253043126.882994</v>
      </c>
      <c r="EM857" s="269">
        <f t="shared" si="2191"/>
        <v>9606048.0666531343</v>
      </c>
      <c r="EN857" s="269">
        <f t="shared" si="2154"/>
        <v>48030240.33326567</v>
      </c>
      <c r="EO857" s="140">
        <f>'Detailed Budget'!$AC$209</f>
        <v>135789361677.54817</v>
      </c>
      <c r="EP857" s="269">
        <f t="shared" si="2192"/>
        <v>136184067.05210555</v>
      </c>
      <c r="EQ857" s="196">
        <f>'Detailed Budget'!$AC$211</f>
        <v>33947340419.387043</v>
      </c>
      <c r="ER857" s="269">
        <f t="shared" si="2193"/>
        <v>34046016.763026386</v>
      </c>
      <c r="ES857" s="269">
        <f t="shared" si="2155"/>
        <v>170230083.81513193</v>
      </c>
      <c r="ET857" s="196">
        <f>'Detailed Budget'!$AC$214</f>
        <v>22239745544.201103</v>
      </c>
      <c r="EU857" s="269">
        <f t="shared" si="2194"/>
        <v>21661390.892688856</v>
      </c>
      <c r="EV857" s="140">
        <f>'Detailed Budget'!$AC$217</f>
        <v>5559936386.0502758</v>
      </c>
      <c r="EW857" s="269">
        <f t="shared" si="2195"/>
        <v>5415347.7231722139</v>
      </c>
      <c r="EX857" s="269">
        <f t="shared" si="2156"/>
        <v>27076738.615861069</v>
      </c>
      <c r="EY857" s="196">
        <f>'Detailed Budget'!$AC$219</f>
        <v>372777004.58170313</v>
      </c>
      <c r="EZ857" s="269">
        <f t="shared" si="2196"/>
        <v>380100.02592858317</v>
      </c>
      <c r="FA857" s="196">
        <f>'Detailed Budget'!$AC$222</f>
        <v>93194251.145425782</v>
      </c>
      <c r="FB857" s="269">
        <f t="shared" si="2197"/>
        <v>95025.006482145793</v>
      </c>
      <c r="FC857" s="269">
        <f t="shared" si="2157"/>
        <v>475125.03241072898</v>
      </c>
      <c r="FD857" s="269"/>
      <c r="FE857" s="269">
        <f t="shared" si="2158"/>
        <v>245812187.79666939</v>
      </c>
      <c r="FF857" s="140">
        <f>'Detailed Budget'!$AC$165</f>
        <v>14927760000</v>
      </c>
      <c r="FG857" s="1087">
        <f t="shared" si="2222"/>
        <v>335304095.41058689</v>
      </c>
      <c r="FH857" s="269">
        <f t="shared" si="2198"/>
        <v>16961436.200431772</v>
      </c>
      <c r="FJ857" s="140">
        <f>'Detailed Budget'!$AC$235</f>
        <v>3623696172</v>
      </c>
      <c r="FK857" s="269">
        <f t="shared" si="2199"/>
        <v>4681778</v>
      </c>
      <c r="FL857" s="269">
        <f t="shared" si="2223"/>
        <v>4681778</v>
      </c>
      <c r="FR857" s="269">
        <f>'Detailed Budget'!$AC$257</f>
        <v>13636439388</v>
      </c>
      <c r="FS857" s="269">
        <f t="shared" si="2200"/>
        <v>12991368</v>
      </c>
      <c r="FT857" s="269">
        <f t="shared" si="2224"/>
        <v>12991368</v>
      </c>
      <c r="FU857" s="269"/>
      <c r="FV857" s="269"/>
      <c r="FW857" s="269"/>
      <c r="FX857" s="140">
        <f>'Detailed Budget'!$AC$278</f>
        <v>1114560000</v>
      </c>
      <c r="FY857" s="269">
        <f t="shared" si="2201"/>
        <v>1440000</v>
      </c>
      <c r="FZ857" s="269">
        <f t="shared" si="2216"/>
        <v>1440000</v>
      </c>
      <c r="GB857" s="269">
        <f t="shared" si="2232"/>
        <v>1072330189.8073416</v>
      </c>
      <c r="GC857" s="887">
        <f t="shared" si="2159"/>
        <v>670206.36862958851</v>
      </c>
      <c r="GD857" s="1078">
        <f t="shared" si="2233"/>
        <v>6.0171823621665095E-4</v>
      </c>
    </row>
    <row r="858" spans="1:186" hidden="1" outlineLevel="1">
      <c r="A858" s="211" t="s">
        <v>1787</v>
      </c>
      <c r="B858" s="212" t="s">
        <v>1788</v>
      </c>
      <c r="C858" s="213" t="s">
        <v>215</v>
      </c>
      <c r="D858" s="214"/>
      <c r="E858" s="213"/>
      <c r="F858" s="213"/>
      <c r="G858" s="213" t="s">
        <v>215</v>
      </c>
      <c r="H858" s="213" t="s">
        <v>215</v>
      </c>
      <c r="I858" s="214" t="s">
        <v>215</v>
      </c>
      <c r="J858" s="214"/>
      <c r="K858" s="213"/>
      <c r="L858" s="213"/>
      <c r="M858" s="214"/>
      <c r="N858" s="213"/>
      <c r="O858" s="214" t="s">
        <v>215</v>
      </c>
      <c r="P858" s="213"/>
      <c r="Q858" s="214"/>
      <c r="R858" s="214" t="s">
        <v>215</v>
      </c>
      <c r="S858" s="214"/>
      <c r="T858" s="214"/>
      <c r="U858" s="215">
        <f t="shared" si="2236"/>
        <v>6</v>
      </c>
      <c r="V858" s="845" t="s">
        <v>216</v>
      </c>
      <c r="W858" s="216">
        <v>136457</v>
      </c>
      <c r="X858" s="217">
        <v>3.35</v>
      </c>
      <c r="Y858" s="218">
        <f t="shared" si="2170"/>
        <v>1.0335000000000001</v>
      </c>
      <c r="Z858" s="196">
        <v>19</v>
      </c>
      <c r="AA858" s="218">
        <f t="shared" si="2171"/>
        <v>1.8702477386515275</v>
      </c>
      <c r="AB858" s="196">
        <f t="shared" si="2234"/>
        <v>255208.3956731715</v>
      </c>
      <c r="AC858">
        <v>12.8</v>
      </c>
      <c r="AD858" s="196">
        <f t="shared" si="2235"/>
        <v>32666.674646165953</v>
      </c>
      <c r="AE858" s="196">
        <f t="shared" si="2172"/>
        <v>31033.340913857654</v>
      </c>
      <c r="AF858" s="196">
        <f t="shared" si="2202"/>
        <v>0</v>
      </c>
      <c r="AG858" s="606"/>
      <c r="AH858" s="196">
        <f t="shared" si="2217"/>
        <v>12760.419783658575</v>
      </c>
      <c r="AI858" s="248">
        <f t="shared" si="2141"/>
        <v>9.8853038671559384E-4</v>
      </c>
      <c r="AJ858" s="196">
        <f t="shared" si="2142"/>
        <v>45427.09442982453</v>
      </c>
      <c r="AK858" s="196">
        <f t="shared" si="2173"/>
        <v>10208.335826926861</v>
      </c>
      <c r="AL858" s="196">
        <f t="shared" si="2174"/>
        <v>10208.335826926861</v>
      </c>
      <c r="AM858" s="196">
        <f t="shared" si="2143"/>
        <v>20416.671653853722</v>
      </c>
      <c r="AN858" s="627">
        <f t="shared" si="2144"/>
        <v>9.8853038671559384E-4</v>
      </c>
      <c r="AO858" s="196">
        <f t="shared" si="2145"/>
        <v>9697.9190355805167</v>
      </c>
      <c r="AP858" s="589">
        <f t="shared" si="2163"/>
        <v>9.8853038671559384E-4</v>
      </c>
      <c r="AQ858" s="589"/>
      <c r="AR858" s="589"/>
      <c r="AS858">
        <v>1</v>
      </c>
      <c r="AT858" s="589">
        <f t="shared" si="2164"/>
        <v>1.2919896640826874E-3</v>
      </c>
      <c r="AU858" s="196">
        <v>10</v>
      </c>
      <c r="AV858" s="245">
        <f t="shared" si="2146"/>
        <v>1.1362345188046814E-3</v>
      </c>
      <c r="AX858" s="245"/>
      <c r="AY858" s="245"/>
      <c r="AZ858" s="196">
        <v>20</v>
      </c>
      <c r="BA858" s="589">
        <f t="shared" si="2226"/>
        <v>7.3284232897292143E-4</v>
      </c>
      <c r="BI858" s="196">
        <v>0</v>
      </c>
      <c r="BK858" s="246">
        <f t="shared" si="2227"/>
        <v>0</v>
      </c>
      <c r="BL858" s="246"/>
      <c r="BM858" s="246">
        <f t="shared" si="2228"/>
        <v>0</v>
      </c>
      <c r="BN858" s="196">
        <v>1</v>
      </c>
      <c r="BO858" s="196">
        <f t="shared" si="2203"/>
        <v>16415.107768784583</v>
      </c>
      <c r="BP858" s="196">
        <f t="shared" si="2147"/>
        <v>16415.107768784583</v>
      </c>
      <c r="BQ858" s="248">
        <f t="shared" si="2229"/>
        <v>1.5355568907496641E-3</v>
      </c>
      <c r="BR858" s="248"/>
      <c r="BS858" s="248"/>
      <c r="BT858" s="276">
        <v>0</v>
      </c>
      <c r="BU858" s="196">
        <f t="shared" si="2218"/>
        <v>0</v>
      </c>
      <c r="BV858" s="264">
        <f t="shared" si="2230"/>
        <v>0</v>
      </c>
      <c r="BW858" s="196">
        <f t="shared" si="2219"/>
        <v>0</v>
      </c>
      <c r="BX858" s="247">
        <f t="shared" si="2231"/>
        <v>0</v>
      </c>
      <c r="BY858" s="196">
        <f t="shared" si="2204"/>
        <v>0</v>
      </c>
      <c r="BZ858" s="620">
        <v>1</v>
      </c>
      <c r="CA858" s="196">
        <f t="shared" si="2205"/>
        <v>78093.76907599048</v>
      </c>
      <c r="CB858" s="196">
        <f t="shared" si="2206"/>
        <v>156187.53815198096</v>
      </c>
      <c r="CC858" s="196">
        <f t="shared" si="2160"/>
        <v>234281.30722797144</v>
      </c>
      <c r="CD858" s="247">
        <f t="shared" si="2148"/>
        <v>9.8853038671559384E-4</v>
      </c>
      <c r="CE858" s="196">
        <f t="shared" si="2207"/>
        <v>19694.866574268013</v>
      </c>
      <c r="CF858" s="247">
        <f t="shared" si="2149"/>
        <v>8.5048558864184078E-4</v>
      </c>
      <c r="CG858" s="196">
        <f t="shared" si="2179"/>
        <v>38791.676142322067</v>
      </c>
      <c r="CH858" s="589">
        <f t="shared" si="2165"/>
        <v>9.8853038671559384E-4</v>
      </c>
      <c r="CI858" s="271">
        <f t="shared" si="2208"/>
        <v>57097.16718337268</v>
      </c>
      <c r="CJ858" s="248">
        <f t="shared" si="2166"/>
        <v>9.3867728356287431E-4</v>
      </c>
      <c r="CK858" s="271">
        <f t="shared" si="2209"/>
        <v>76716.365800204483</v>
      </c>
      <c r="CL858" s="589">
        <f t="shared" si="2167"/>
        <v>1.1028135382611551E-3</v>
      </c>
      <c r="CM858" s="271">
        <f t="shared" si="2210"/>
        <v>7431.8995414744732</v>
      </c>
      <c r="CN858" s="589">
        <f t="shared" si="2168"/>
        <v>1.0710211848713148E-3</v>
      </c>
      <c r="CO858" s="271">
        <f t="shared" si="2211"/>
        <v>594.54413908187848</v>
      </c>
      <c r="CP858" s="589">
        <f t="shared" si="2169"/>
        <v>1.1212186696523603E-3</v>
      </c>
      <c r="CQ858" s="196">
        <f>'Detailed Budget'!$AC$12</f>
        <v>292876014141.44696</v>
      </c>
      <c r="CR858" s="269">
        <f t="shared" si="2177"/>
        <v>0</v>
      </c>
      <c r="CS858" s="269">
        <f>'Detailed Budget'!$AC$16</f>
        <v>10488008800.000002</v>
      </c>
      <c r="CT858" s="607">
        <f t="shared" si="2181"/>
        <v>0</v>
      </c>
      <c r="CU858" s="269">
        <f>'Detailed Budget'!$AC$24</f>
        <v>30624985696</v>
      </c>
      <c r="CV858" s="269">
        <f t="shared" si="2225"/>
        <v>0</v>
      </c>
      <c r="CW858" s="269"/>
      <c r="CX858" s="269">
        <f t="shared" si="2161"/>
        <v>0</v>
      </c>
      <c r="CY858" s="196">
        <f>'Detailed Budget'!$AC$97</f>
        <v>74629165494.837845</v>
      </c>
      <c r="CZ858" s="269">
        <f t="shared" si="2182"/>
        <v>114597329.32649532</v>
      </c>
      <c r="DA858" s="269">
        <f>'Detailed Budget'!$AC$100</f>
        <v>14925833098.967569</v>
      </c>
      <c r="DB858" s="269">
        <f t="shared" si="2183"/>
        <v>22919465.865299065</v>
      </c>
      <c r="DC858" s="269">
        <f t="shared" si="2150"/>
        <v>137516795.1917944</v>
      </c>
      <c r="DD858" s="207">
        <v>0</v>
      </c>
      <c r="DE858" s="606">
        <v>0</v>
      </c>
      <c r="DF858" s="269">
        <f>'Detailed Budget'!$AC$147</f>
        <v>5913600671000</v>
      </c>
      <c r="DG858" s="269">
        <f t="shared" si="2221"/>
        <v>0</v>
      </c>
      <c r="DH858" s="269"/>
      <c r="DI858" s="269"/>
      <c r="DJ858" s="269"/>
      <c r="DK858" s="269"/>
      <c r="DL858" s="269"/>
      <c r="DM858" s="196">
        <f>'Detailed Budget'!$AC$178</f>
        <v>5622683761.6229038</v>
      </c>
      <c r="DN858" s="269">
        <f t="shared" si="2212"/>
        <v>0</v>
      </c>
      <c r="DO858" s="196">
        <f>'Detailed Budget'!$AC$179</f>
        <v>26827890683.128094</v>
      </c>
      <c r="DP858" s="269">
        <f t="shared" si="2213"/>
        <v>0</v>
      </c>
      <c r="DQ858" s="269">
        <f t="shared" si="2220"/>
        <v>0</v>
      </c>
      <c r="DR858" s="269">
        <f>'Detailed Budget'!$AC$181</f>
        <v>50888946855.375237</v>
      </c>
      <c r="DS858" s="269">
        <f t="shared" si="2214"/>
        <v>0</v>
      </c>
      <c r="DT858" s="269">
        <f t="shared" si="2215"/>
        <v>0</v>
      </c>
      <c r="DU858" s="272">
        <f>'Detailed Budget'!$AC$192</f>
        <v>77498869683.252869</v>
      </c>
      <c r="DV858" s="269">
        <f t="shared" si="2184"/>
        <v>76609987.618007377</v>
      </c>
      <c r="DW858" s="140">
        <f>'Detailed Budget'!$AC$194</f>
        <v>2684962805.4134097</v>
      </c>
      <c r="DX858" s="269">
        <f t="shared" si="2185"/>
        <v>2654167.3203523038</v>
      </c>
      <c r="DY858" s="607">
        <f t="shared" si="2151"/>
        <v>79264154.938359678</v>
      </c>
      <c r="DZ858" s="196">
        <f>'Detailed Budget'!$AC$198</f>
        <v>18732540018.380611</v>
      </c>
      <c r="EA858" s="269">
        <f t="shared" si="2186"/>
        <v>15931755.324289273</v>
      </c>
      <c r="EB858" s="196">
        <f>'Detailed Budget'!$AC$200</f>
        <v>4683135004.5951529</v>
      </c>
      <c r="EC858" s="269">
        <f t="shared" si="2187"/>
        <v>3982938.8310723184</v>
      </c>
      <c r="ED858" s="269">
        <f t="shared" si="2152"/>
        <v>19914694.155361593</v>
      </c>
      <c r="EE858" s="196">
        <f>'Detailed Budget'!$AC$161</f>
        <v>251147290106.36197</v>
      </c>
      <c r="EF858" s="269">
        <f t="shared" si="2188"/>
        <v>248266727.81141543</v>
      </c>
      <c r="EG858" s="196">
        <f>'Detailed Budget'!$AC$163</f>
        <v>15696705631.647623</v>
      </c>
      <c r="EH858" s="269">
        <f t="shared" si="2189"/>
        <v>15516670.488213465</v>
      </c>
      <c r="EI858" s="269">
        <f t="shared" si="2153"/>
        <v>263783398.29962891</v>
      </c>
      <c r="EJ858" s="196">
        <f>'Detailed Budget'!$AC$204</f>
        <v>45012172507.531975</v>
      </c>
      <c r="EK858" s="269">
        <f t="shared" si="2190"/>
        <v>42251903.816633604</v>
      </c>
      <c r="EL858" s="201">
        <f>'Detailed Budget'!$AC$206</f>
        <v>11253043126.882994</v>
      </c>
      <c r="EM858" s="269">
        <f t="shared" si="2191"/>
        <v>10562975.954158401</v>
      </c>
      <c r="EN858" s="269">
        <f t="shared" si="2154"/>
        <v>52814879.770792007</v>
      </c>
      <c r="EO858" s="140">
        <f>'Detailed Budget'!$AC$209</f>
        <v>135789361677.54817</v>
      </c>
      <c r="EP858" s="269">
        <f t="shared" si="2192"/>
        <v>149750346.40984058</v>
      </c>
      <c r="EQ858" s="196">
        <f>'Detailed Budget'!$AC$211</f>
        <v>33947340419.387043</v>
      </c>
      <c r="ER858" s="269">
        <f t="shared" si="2193"/>
        <v>37437586.602460146</v>
      </c>
      <c r="ES858" s="269">
        <f t="shared" si="2155"/>
        <v>187187933.01230073</v>
      </c>
      <c r="ET858" s="196">
        <f>'Detailed Budget'!$AC$214</f>
        <v>22239745544.201103</v>
      </c>
      <c r="EU858" s="269">
        <f t="shared" si="2194"/>
        <v>23819238.62398681</v>
      </c>
      <c r="EV858" s="140">
        <f>'Detailed Budget'!$AC$217</f>
        <v>5559936386.0502758</v>
      </c>
      <c r="EW858" s="269">
        <f t="shared" si="2195"/>
        <v>5954809.6559967026</v>
      </c>
      <c r="EX858" s="269">
        <f t="shared" si="2156"/>
        <v>29774048.279983513</v>
      </c>
      <c r="EY858" s="196">
        <f>'Detailed Budget'!$AC$219</f>
        <v>372777004.58170313</v>
      </c>
      <c r="EZ858" s="269">
        <f t="shared" si="2196"/>
        <v>417964.53715408896</v>
      </c>
      <c r="FA858" s="196">
        <f>'Detailed Budget'!$AC$222</f>
        <v>93194251.145425782</v>
      </c>
      <c r="FB858" s="269">
        <f t="shared" si="2197"/>
        <v>104491.13428852224</v>
      </c>
      <c r="FC858" s="269">
        <f t="shared" si="2157"/>
        <v>522455.6714426112</v>
      </c>
      <c r="FD858" s="269"/>
      <c r="FE858" s="269">
        <f t="shared" si="2158"/>
        <v>270299316.73451889</v>
      </c>
      <c r="FF858" s="140">
        <f>'Detailed Budget'!$AC$165</f>
        <v>14927760000</v>
      </c>
      <c r="FG858" s="1087">
        <f t="shared" si="2222"/>
        <v>368706160.17923731</v>
      </c>
      <c r="FH858" s="269">
        <f t="shared" si="2198"/>
        <v>16961436.200431772</v>
      </c>
      <c r="FJ858" s="140">
        <f>'Detailed Budget'!$AC$235</f>
        <v>3623696172</v>
      </c>
      <c r="FK858" s="269">
        <f t="shared" si="2199"/>
        <v>4681778</v>
      </c>
      <c r="FL858" s="269">
        <f t="shared" si="2223"/>
        <v>4681778</v>
      </c>
      <c r="FR858" s="269">
        <f>'Detailed Budget'!$AC$257</f>
        <v>13636439388</v>
      </c>
      <c r="FS858" s="269">
        <f t="shared" si="2200"/>
        <v>9993360</v>
      </c>
      <c r="FT858" s="269">
        <f t="shared" si="2224"/>
        <v>9993360</v>
      </c>
      <c r="FU858" s="269"/>
      <c r="FV858" s="269"/>
      <c r="FW858" s="269"/>
      <c r="FX858" s="140">
        <f>'Detailed Budget'!$AC$278</f>
        <v>1114560000</v>
      </c>
      <c r="FY858" s="269">
        <f t="shared" si="2201"/>
        <v>1440000</v>
      </c>
      <c r="FZ858" s="269">
        <f t="shared" si="2216"/>
        <v>1440000</v>
      </c>
      <c r="GB858" s="269">
        <f t="shared" si="2232"/>
        <v>1172561093.6993327</v>
      </c>
      <c r="GC858" s="887">
        <f t="shared" si="2159"/>
        <v>732850.68356208294</v>
      </c>
      <c r="GD858" s="1078">
        <f t="shared" si="2233"/>
        <v>6.5796095257169933E-4</v>
      </c>
    </row>
    <row r="859" spans="1:186" hidden="1" outlineLevel="1">
      <c r="A859" s="211" t="s">
        <v>1789</v>
      </c>
      <c r="B859" s="212" t="s">
        <v>1790</v>
      </c>
      <c r="C859" s="213" t="s">
        <v>215</v>
      </c>
      <c r="D859" s="214" t="s">
        <v>215</v>
      </c>
      <c r="E859" s="213"/>
      <c r="F859" s="213"/>
      <c r="G859" s="213"/>
      <c r="H859" s="213" t="s">
        <v>215</v>
      </c>
      <c r="I859" s="214" t="s">
        <v>215</v>
      </c>
      <c r="J859" s="214"/>
      <c r="K859" s="213"/>
      <c r="L859" s="213"/>
      <c r="M859" s="214" t="s">
        <v>215</v>
      </c>
      <c r="N859" s="213"/>
      <c r="O859" s="214"/>
      <c r="P859" s="213"/>
      <c r="Q859" s="214"/>
      <c r="R859" s="214" t="s">
        <v>215</v>
      </c>
      <c r="S859" s="214"/>
      <c r="T859" s="214"/>
      <c r="U859" s="215">
        <f t="shared" si="2236"/>
        <v>6</v>
      </c>
      <c r="V859" s="845" t="s">
        <v>219</v>
      </c>
      <c r="W859" s="216">
        <v>108957</v>
      </c>
      <c r="X859" s="217">
        <v>3.35</v>
      </c>
      <c r="Y859" s="218">
        <f t="shared" si="2170"/>
        <v>1.0335000000000001</v>
      </c>
      <c r="Z859" s="196">
        <v>19</v>
      </c>
      <c r="AA859" s="218">
        <f t="shared" si="2171"/>
        <v>1.8702477386515275</v>
      </c>
      <c r="AB859" s="196">
        <f t="shared" si="2234"/>
        <v>203776.58286025448</v>
      </c>
      <c r="AC859">
        <v>12.8</v>
      </c>
      <c r="AD859" s="196">
        <f t="shared" si="2235"/>
        <v>26083.402606112577</v>
      </c>
      <c r="AE859" s="196">
        <f t="shared" si="2172"/>
        <v>24779.232475806948</v>
      </c>
      <c r="AF859" s="196">
        <f t="shared" si="2202"/>
        <v>24779.232475806948</v>
      </c>
      <c r="AG859" s="606"/>
      <c r="AH859" s="196">
        <f t="shared" si="2217"/>
        <v>10188.829143012725</v>
      </c>
      <c r="AI859" s="248">
        <f t="shared" si="2141"/>
        <v>7.8931315612516004E-4</v>
      </c>
      <c r="AJ859" s="196">
        <f t="shared" si="2142"/>
        <v>36272.231749125305</v>
      </c>
      <c r="AK859" s="196">
        <f t="shared" si="2173"/>
        <v>8151.0633144101794</v>
      </c>
      <c r="AL859" s="196">
        <f t="shared" si="2174"/>
        <v>8151.0633144101794</v>
      </c>
      <c r="AM859" s="196">
        <f t="shared" si="2143"/>
        <v>16302.126628820359</v>
      </c>
      <c r="AN859" s="627">
        <f t="shared" si="2144"/>
        <v>7.8931315612515993E-4</v>
      </c>
      <c r="AO859" s="196">
        <f t="shared" si="2145"/>
        <v>7743.5101486896701</v>
      </c>
      <c r="AP859" s="589">
        <f t="shared" si="2163"/>
        <v>7.8931315612515993E-4</v>
      </c>
      <c r="AQ859" s="589"/>
      <c r="AR859" s="589"/>
      <c r="AS859">
        <v>1</v>
      </c>
      <c r="AT859" s="589">
        <f t="shared" si="2164"/>
        <v>1.2919896640826874E-3</v>
      </c>
      <c r="AU859" s="196">
        <v>11</v>
      </c>
      <c r="AV859" s="245">
        <f t="shared" si="2146"/>
        <v>1.2498579706851495E-3</v>
      </c>
      <c r="AX859" s="245"/>
      <c r="AY859" s="245"/>
      <c r="AZ859" s="196">
        <v>18</v>
      </c>
      <c r="BA859" s="589">
        <f t="shared" si="2226"/>
        <v>6.5955809607562931E-4</v>
      </c>
      <c r="BI859" s="196">
        <v>0</v>
      </c>
      <c r="BK859" s="246">
        <f t="shared" si="2227"/>
        <v>0</v>
      </c>
      <c r="BL859" s="246"/>
      <c r="BM859" s="246">
        <f t="shared" si="2228"/>
        <v>0</v>
      </c>
      <c r="BN859" s="196">
        <v>1</v>
      </c>
      <c r="BO859" s="196">
        <f t="shared" si="2203"/>
        <v>13106.992658225392</v>
      </c>
      <c r="BP859" s="196">
        <f t="shared" si="2147"/>
        <v>13106.992658225392</v>
      </c>
      <c r="BQ859" s="248">
        <f t="shared" si="2229"/>
        <v>1.2260981272152489E-3</v>
      </c>
      <c r="BR859" s="248"/>
      <c r="BS859" s="248"/>
      <c r="BT859" s="276">
        <v>1</v>
      </c>
      <c r="BU859" s="196">
        <f t="shared" si="2218"/>
        <v>20658.054864041162</v>
      </c>
      <c r="BV859" s="264">
        <f t="shared" si="2230"/>
        <v>1.4328818149650202E-3</v>
      </c>
      <c r="BW859" s="196">
        <f t="shared" si="2219"/>
        <v>88370.568029509421</v>
      </c>
      <c r="BX859" s="247">
        <f t="shared" si="2231"/>
        <v>1.4328818278724746E-3</v>
      </c>
      <c r="BY859" s="196">
        <f t="shared" si="2204"/>
        <v>109028.62289355058</v>
      </c>
      <c r="BZ859" s="620">
        <v>0</v>
      </c>
      <c r="CA859" s="196">
        <f t="shared" si="2205"/>
        <v>62355.634355237868</v>
      </c>
      <c r="CB859" s="196">
        <f t="shared" si="2206"/>
        <v>124711.26871047574</v>
      </c>
      <c r="CC859" s="196">
        <f t="shared" si="2160"/>
        <v>187066.90306571359</v>
      </c>
      <c r="CD859" s="247">
        <f t="shared" si="2148"/>
        <v>7.8931315612515982E-4</v>
      </c>
      <c r="CE859" s="196">
        <f t="shared" si="2207"/>
        <v>15725.785978971544</v>
      </c>
      <c r="CF859" s="247">
        <f t="shared" si="2149"/>
        <v>6.790883449119433E-4</v>
      </c>
      <c r="CG859" s="196">
        <f t="shared" si="2179"/>
        <v>30974.040594758681</v>
      </c>
      <c r="CH859" s="589">
        <f t="shared" si="2165"/>
        <v>7.8931315612515993E-4</v>
      </c>
      <c r="CI859" s="271">
        <f t="shared" si="2208"/>
        <v>45590.450067044832</v>
      </c>
      <c r="CJ859" s="248">
        <f t="shared" si="2166"/>
        <v>7.4950688337835423E-4</v>
      </c>
      <c r="CK859" s="271">
        <f t="shared" si="2209"/>
        <v>61255.817352666993</v>
      </c>
      <c r="CL859" s="589">
        <f t="shared" si="2167"/>
        <v>8.8056497422866304E-4</v>
      </c>
      <c r="CM859" s="271">
        <f t="shared" si="2210"/>
        <v>5934.1585872504465</v>
      </c>
      <c r="CN859" s="589">
        <f t="shared" si="2168"/>
        <v>8.5517969206434145E-4</v>
      </c>
      <c r="CO859" s="271">
        <f t="shared" si="2211"/>
        <v>474.72643955197782</v>
      </c>
      <c r="CP859" s="589">
        <f t="shared" si="2169"/>
        <v>8.9526094366219563E-4</v>
      </c>
      <c r="CQ859" s="196">
        <f>'Detailed Budget'!$AC$12</f>
        <v>292876014141.44696</v>
      </c>
      <c r="CR859" s="269">
        <f t="shared" si="2177"/>
        <v>0</v>
      </c>
      <c r="CS859" s="269">
        <f>'Detailed Budget'!$AC$16</f>
        <v>10488008800.000002</v>
      </c>
      <c r="CT859" s="607">
        <f t="shared" si="2181"/>
        <v>0</v>
      </c>
      <c r="CU859" s="269">
        <f>'Detailed Budget'!$AC$24</f>
        <v>30624985696</v>
      </c>
      <c r="CV859" s="269">
        <f t="shared" si="2225"/>
        <v>0</v>
      </c>
      <c r="CW859" s="269"/>
      <c r="CX859" s="269">
        <f t="shared" si="2161"/>
        <v>0</v>
      </c>
      <c r="CY859" s="196">
        <f>'Detailed Budget'!$AC$97</f>
        <v>74629165494.837845</v>
      </c>
      <c r="CZ859" s="269">
        <f t="shared" si="2182"/>
        <v>91502680.048857555</v>
      </c>
      <c r="DA859" s="269">
        <f>'Detailed Budget'!$AC$100</f>
        <v>14925833098.967569</v>
      </c>
      <c r="DB859" s="269">
        <f t="shared" si="2183"/>
        <v>18300536.009771511</v>
      </c>
      <c r="DC859" s="269">
        <f t="shared" si="2150"/>
        <v>109803216.05862907</v>
      </c>
      <c r="DD859" s="207">
        <v>0</v>
      </c>
      <c r="DE859" s="606">
        <v>0</v>
      </c>
      <c r="DF859" s="269">
        <f>'Detailed Budget'!$AC$147</f>
        <v>5913600671000</v>
      </c>
      <c r="DG859" s="269">
        <f t="shared" si="2221"/>
        <v>0</v>
      </c>
      <c r="DH859" s="269"/>
      <c r="DI859" s="269"/>
      <c r="DJ859" s="269"/>
      <c r="DK859" s="269"/>
      <c r="DL859" s="269"/>
      <c r="DM859" s="196">
        <f>'Detailed Budget'!$AC$178</f>
        <v>5622683761.6229038</v>
      </c>
      <c r="DN859" s="269">
        <f t="shared" si="2212"/>
        <v>8056641.3133285735</v>
      </c>
      <c r="DO859" s="196">
        <f>'Detailed Budget'!$AC$179</f>
        <v>26827890683.128094</v>
      </c>
      <c r="DP859" s="269">
        <f t="shared" si="2213"/>
        <v>38441197.040003516</v>
      </c>
      <c r="DQ859" s="269">
        <f t="shared" si="2220"/>
        <v>46497838.353332087</v>
      </c>
      <c r="DR859" s="269">
        <f>'Detailed Budget'!$AC$181</f>
        <v>50888946855.375237</v>
      </c>
      <c r="DS859" s="269">
        <f t="shared" si="2214"/>
        <v>0</v>
      </c>
      <c r="DT859" s="269">
        <f t="shared" si="2215"/>
        <v>46497838.353332087</v>
      </c>
      <c r="DU859" s="272">
        <f>'Detailed Budget'!$AC$192</f>
        <v>77498869683.252869</v>
      </c>
      <c r="DV859" s="269">
        <f t="shared" si="2184"/>
        <v>0</v>
      </c>
      <c r="DW859" s="140">
        <f>'Detailed Budget'!$AC$194</f>
        <v>2684962805.4134097</v>
      </c>
      <c r="DX859" s="269">
        <f t="shared" si="2185"/>
        <v>0</v>
      </c>
      <c r="DY859" s="607">
        <f t="shared" si="2151"/>
        <v>0</v>
      </c>
      <c r="DZ859" s="196">
        <f>'Detailed Budget'!$AC$198</f>
        <v>18732540018.380611</v>
      </c>
      <c r="EA859" s="269">
        <f t="shared" si="2186"/>
        <v>12721049.597078834</v>
      </c>
      <c r="EB859" s="196">
        <f>'Detailed Budget'!$AC$200</f>
        <v>4683135004.5951529</v>
      </c>
      <c r="EC859" s="269">
        <f t="shared" si="2187"/>
        <v>3180262.3992697084</v>
      </c>
      <c r="ED859" s="269">
        <f t="shared" si="2152"/>
        <v>15901311.996348541</v>
      </c>
      <c r="EE859" s="196">
        <f>'Detailed Budget'!$AC$161</f>
        <v>251147290106.36197</v>
      </c>
      <c r="EF859" s="269">
        <f t="shared" si="2188"/>
        <v>198233860.20613372</v>
      </c>
      <c r="EG859" s="196">
        <f>'Detailed Budget'!$AC$163</f>
        <v>15696705631.647623</v>
      </c>
      <c r="EH859" s="269">
        <f t="shared" si="2189"/>
        <v>12389616.262883358</v>
      </c>
      <c r="EI859" s="269">
        <f t="shared" si="2153"/>
        <v>210623476.46901709</v>
      </c>
      <c r="EJ859" s="196">
        <f>'Detailed Budget'!$AC$204</f>
        <v>45012172507.531975</v>
      </c>
      <c r="EK859" s="269">
        <f t="shared" si="2190"/>
        <v>33736933.130209133</v>
      </c>
      <c r="EL859" s="201">
        <f>'Detailed Budget'!$AC$206</f>
        <v>11253043126.882994</v>
      </c>
      <c r="EM859" s="269">
        <f t="shared" si="2191"/>
        <v>8434233.2825522833</v>
      </c>
      <c r="EN859" s="269">
        <f t="shared" si="2154"/>
        <v>42171166.41276142</v>
      </c>
      <c r="EO859" s="140">
        <f>'Detailed Budget'!$AC$209</f>
        <v>135789361677.54817</v>
      </c>
      <c r="EP859" s="269">
        <f t="shared" si="2192"/>
        <v>119571355.76611681</v>
      </c>
      <c r="EQ859" s="196">
        <f>'Detailed Budget'!$AC$211</f>
        <v>33947340419.387043</v>
      </c>
      <c r="ER859" s="269">
        <f t="shared" si="2193"/>
        <v>29892838.941529203</v>
      </c>
      <c r="ES859" s="269">
        <f t="shared" si="2155"/>
        <v>149464194.70764601</v>
      </c>
      <c r="ET859" s="196">
        <f>'Detailed Budget'!$AC$214</f>
        <v>22239745544.201103</v>
      </c>
      <c r="EU859" s="269">
        <f t="shared" si="2194"/>
        <v>19018978.74607921</v>
      </c>
      <c r="EV859" s="140">
        <f>'Detailed Budget'!$AC$217</f>
        <v>5559936386.0502758</v>
      </c>
      <c r="EW859" s="269">
        <f t="shared" si="2195"/>
        <v>4754744.6865198025</v>
      </c>
      <c r="EX859" s="269">
        <f t="shared" si="2156"/>
        <v>23773723.432599012</v>
      </c>
      <c r="EY859" s="196">
        <f>'Detailed Budget'!$AC$219</f>
        <v>372777004.58170313</v>
      </c>
      <c r="EZ859" s="269">
        <f t="shared" si="2196"/>
        <v>333732.69289738219</v>
      </c>
      <c r="FA859" s="196">
        <f>'Detailed Budget'!$AC$222</f>
        <v>93194251.145425782</v>
      </c>
      <c r="FB859" s="269">
        <f t="shared" si="2197"/>
        <v>83433.173224345548</v>
      </c>
      <c r="FC859" s="269">
        <f t="shared" si="2157"/>
        <v>417165.86612172774</v>
      </c>
      <c r="FD859" s="269"/>
      <c r="FE859" s="269">
        <f t="shared" si="2158"/>
        <v>215826250.41912818</v>
      </c>
      <c r="FF859" s="140">
        <f>'Detailed Budget'!$AC$165</f>
        <v>14927760000</v>
      </c>
      <c r="FG859" s="1087">
        <f t="shared" si="2222"/>
        <v>294401291.94287694</v>
      </c>
      <c r="FH859" s="269">
        <f t="shared" si="2198"/>
        <v>18657579.820474949</v>
      </c>
      <c r="FJ859" s="140">
        <f>'Detailed Budget'!$AC$235</f>
        <v>3623696172</v>
      </c>
      <c r="FK859" s="269">
        <f t="shared" si="2199"/>
        <v>4681778</v>
      </c>
      <c r="FL859" s="269">
        <f t="shared" si="2223"/>
        <v>4681778</v>
      </c>
      <c r="FR859" s="269">
        <f>'Detailed Budget'!$AC$257</f>
        <v>13636439388</v>
      </c>
      <c r="FS859" s="269">
        <f t="shared" si="2200"/>
        <v>8994024</v>
      </c>
      <c r="FT859" s="269">
        <f t="shared" si="2224"/>
        <v>8994024</v>
      </c>
      <c r="FU859" s="269"/>
      <c r="FV859" s="269"/>
      <c r="FW859" s="269"/>
      <c r="FX859" s="140">
        <f>'Detailed Budget'!$AC$278</f>
        <v>1114560000</v>
      </c>
      <c r="FY859" s="269">
        <f t="shared" si="2201"/>
        <v>1440000</v>
      </c>
      <c r="FZ859" s="269">
        <f t="shared" si="2216"/>
        <v>1440000</v>
      </c>
      <c r="GB859" s="269">
        <f t="shared" si="2232"/>
        <v>926826767.05980682</v>
      </c>
      <c r="GC859" s="887">
        <f t="shared" si="2159"/>
        <v>579266.72941237921</v>
      </c>
      <c r="GD859" s="1078">
        <f t="shared" si="2233"/>
        <v>5.2007168394074962E-4</v>
      </c>
    </row>
    <row r="860" spans="1:186" hidden="1" outlineLevel="1">
      <c r="A860" s="211" t="s">
        <v>1791</v>
      </c>
      <c r="B860" s="212" t="s">
        <v>1792</v>
      </c>
      <c r="C860" s="213" t="s">
        <v>215</v>
      </c>
      <c r="D860" s="214" t="s">
        <v>215</v>
      </c>
      <c r="E860" s="213"/>
      <c r="F860" s="213"/>
      <c r="G860" s="213"/>
      <c r="H860" s="213" t="s">
        <v>215</v>
      </c>
      <c r="I860" s="214" t="s">
        <v>215</v>
      </c>
      <c r="J860" s="214"/>
      <c r="K860" s="213"/>
      <c r="L860" s="213"/>
      <c r="M860" s="214" t="s">
        <v>215</v>
      </c>
      <c r="N860" s="213"/>
      <c r="O860" s="214"/>
      <c r="P860" s="213"/>
      <c r="Q860" s="214"/>
      <c r="R860" s="214" t="s">
        <v>215</v>
      </c>
      <c r="S860" s="214"/>
      <c r="T860" s="214"/>
      <c r="U860" s="215">
        <f t="shared" si="2236"/>
        <v>6</v>
      </c>
      <c r="V860" s="845" t="s">
        <v>219</v>
      </c>
      <c r="W860" s="216">
        <v>273268</v>
      </c>
      <c r="X860" s="217">
        <v>3.35</v>
      </c>
      <c r="Y860" s="218">
        <f t="shared" si="2170"/>
        <v>1.0335000000000001</v>
      </c>
      <c r="Z860" s="196">
        <v>19</v>
      </c>
      <c r="AA860" s="218">
        <f t="shared" si="2171"/>
        <v>1.8702477386515275</v>
      </c>
      <c r="AB860" s="196">
        <f t="shared" si="2234"/>
        <v>511078.85904582561</v>
      </c>
      <c r="AC860">
        <v>12.8</v>
      </c>
      <c r="AD860" s="196">
        <f t="shared" si="2235"/>
        <v>65418.093957865683</v>
      </c>
      <c r="AE860" s="196">
        <f t="shared" si="2172"/>
        <v>62147.189259972394</v>
      </c>
      <c r="AF860" s="196">
        <f t="shared" si="2202"/>
        <v>62147.189259972394</v>
      </c>
      <c r="AG860" s="606"/>
      <c r="AH860" s="196">
        <f t="shared" si="2217"/>
        <v>25553.942952291283</v>
      </c>
      <c r="AI860" s="248">
        <f t="shared" si="2141"/>
        <v>1.9796252425086066E-3</v>
      </c>
      <c r="AJ860" s="196">
        <f t="shared" si="2142"/>
        <v>90972.036910156967</v>
      </c>
      <c r="AK860" s="196">
        <f t="shared" si="2173"/>
        <v>20443.154361833025</v>
      </c>
      <c r="AL860" s="196">
        <f t="shared" si="2174"/>
        <v>20443.154361833025</v>
      </c>
      <c r="AM860" s="196">
        <f t="shared" si="2143"/>
        <v>40886.30872366605</v>
      </c>
      <c r="AN860" s="627">
        <f t="shared" si="2144"/>
        <v>1.9796252425086061E-3</v>
      </c>
      <c r="AO860" s="196">
        <f t="shared" si="2145"/>
        <v>19420.996643741371</v>
      </c>
      <c r="AP860" s="589">
        <f t="shared" si="2163"/>
        <v>1.9796252425086061E-3</v>
      </c>
      <c r="AQ860" s="589"/>
      <c r="AR860" s="589"/>
      <c r="AS860">
        <v>1</v>
      </c>
      <c r="AT860" s="589">
        <f t="shared" si="2164"/>
        <v>1.2919896640826874E-3</v>
      </c>
      <c r="AU860" s="196">
        <v>11</v>
      </c>
      <c r="AV860" s="245">
        <f t="shared" si="2146"/>
        <v>1.2498579706851495E-3</v>
      </c>
      <c r="AX860" s="245"/>
      <c r="AY860" s="245"/>
      <c r="AZ860" s="196">
        <v>38</v>
      </c>
      <c r="BA860" s="589">
        <f t="shared" si="2226"/>
        <v>1.3924004250485508E-3</v>
      </c>
      <c r="BI860" s="196">
        <v>0</v>
      </c>
      <c r="BK860" s="246">
        <f t="shared" si="2227"/>
        <v>0</v>
      </c>
      <c r="BL860" s="246"/>
      <c r="BM860" s="246">
        <f t="shared" si="2228"/>
        <v>0</v>
      </c>
      <c r="BN860" s="196">
        <v>1</v>
      </c>
      <c r="BO860" s="196">
        <f t="shared" si="2203"/>
        <v>32872.800001174182</v>
      </c>
      <c r="BP860" s="196">
        <f t="shared" si="2147"/>
        <v>32872.800001174182</v>
      </c>
      <c r="BQ860" s="248">
        <f t="shared" si="2229"/>
        <v>3.0750973597644623E-3</v>
      </c>
      <c r="BR860" s="248"/>
      <c r="BS860" s="248"/>
      <c r="BT860" s="276">
        <v>1</v>
      </c>
      <c r="BU860" s="196">
        <f t="shared" si="2218"/>
        <v>51811.130414629617</v>
      </c>
      <c r="BV860" s="264">
        <f t="shared" si="2230"/>
        <v>3.5937181439637754E-3</v>
      </c>
      <c r="BW860" s="196">
        <f t="shared" si="2219"/>
        <v>221636.50232924896</v>
      </c>
      <c r="BX860" s="247">
        <f t="shared" si="2231"/>
        <v>3.5937181763361268E-3</v>
      </c>
      <c r="BY860" s="196">
        <f t="shared" si="2204"/>
        <v>273447.63274387858</v>
      </c>
      <c r="BZ860" s="620">
        <v>0</v>
      </c>
      <c r="CA860" s="196">
        <f t="shared" si="2205"/>
        <v>156390.13086802265</v>
      </c>
      <c r="CB860" s="196">
        <f t="shared" si="2206"/>
        <v>312780.2617360453</v>
      </c>
      <c r="CC860" s="196">
        <f t="shared" si="2160"/>
        <v>469170.39260406792</v>
      </c>
      <c r="CD860" s="247">
        <f t="shared" si="2148"/>
        <v>1.9796252425086061E-3</v>
      </c>
      <c r="CE860" s="196">
        <f t="shared" si="2207"/>
        <v>39440.826040562752</v>
      </c>
      <c r="CF860" s="247">
        <f t="shared" si="2149"/>
        <v>1.7031775272575136E-3</v>
      </c>
      <c r="CG860" s="196">
        <f t="shared" si="2179"/>
        <v>77683.986574965485</v>
      </c>
      <c r="CH860" s="589">
        <f t="shared" si="2165"/>
        <v>1.9796252425086061E-3</v>
      </c>
      <c r="CI860" s="271">
        <f t="shared" si="2208"/>
        <v>114342.45719798826</v>
      </c>
      <c r="CJ860" s="248">
        <f t="shared" si="2166"/>
        <v>1.8797897060953963E-3</v>
      </c>
      <c r="CK860" s="271">
        <f t="shared" si="2209"/>
        <v>153631.75102406088</v>
      </c>
      <c r="CL860" s="589">
        <f t="shared" si="2167"/>
        <v>2.2084880216738552E-3</v>
      </c>
      <c r="CM860" s="271">
        <f t="shared" si="2210"/>
        <v>14883.079093777866</v>
      </c>
      <c r="CN860" s="589">
        <f t="shared" si="2168"/>
        <v>2.1448208384136718E-3</v>
      </c>
      <c r="CO860" s="271">
        <f t="shared" si="2211"/>
        <v>1190.6306587322508</v>
      </c>
      <c r="CP860" s="589">
        <f t="shared" si="2169"/>
        <v>2.2453460314865573E-3</v>
      </c>
      <c r="CQ860" s="196">
        <f>'Detailed Budget'!$AC$12</f>
        <v>292876014141.44696</v>
      </c>
      <c r="CR860" s="269">
        <f t="shared" si="2177"/>
        <v>0</v>
      </c>
      <c r="CS860" s="269">
        <f>'Detailed Budget'!$AC$16</f>
        <v>10488008800.000002</v>
      </c>
      <c r="CT860" s="607">
        <f t="shared" si="2181"/>
        <v>0</v>
      </c>
      <c r="CU860" s="269">
        <f>'Detailed Budget'!$AC$24</f>
        <v>30624985696</v>
      </c>
      <c r="CV860" s="269">
        <f t="shared" si="2225"/>
        <v>0</v>
      </c>
      <c r="CW860" s="269"/>
      <c r="CX860" s="269">
        <f t="shared" si="2161"/>
        <v>0</v>
      </c>
      <c r="CY860" s="196">
        <f>'Detailed Budget'!$AC$97</f>
        <v>74629165494.837845</v>
      </c>
      <c r="CZ860" s="269">
        <f t="shared" si="2182"/>
        <v>229491949.77460098</v>
      </c>
      <c r="DA860" s="269">
        <f>'Detailed Budget'!$AC$100</f>
        <v>14925833098.967569</v>
      </c>
      <c r="DB860" s="269">
        <f t="shared" si="2183"/>
        <v>45898389.954920195</v>
      </c>
      <c r="DC860" s="269">
        <f t="shared" si="2150"/>
        <v>275390339.72952116</v>
      </c>
      <c r="DD860" s="207">
        <v>0</v>
      </c>
      <c r="DE860" s="606">
        <v>0</v>
      </c>
      <c r="DF860" s="269">
        <f>'Detailed Budget'!$AC$147</f>
        <v>5913600671000</v>
      </c>
      <c r="DG860" s="269">
        <f t="shared" si="2221"/>
        <v>0</v>
      </c>
      <c r="DH860" s="269"/>
      <c r="DI860" s="269"/>
      <c r="DJ860" s="269"/>
      <c r="DK860" s="269"/>
      <c r="DL860" s="269"/>
      <c r="DM860" s="196">
        <f>'Detailed Budget'!$AC$178</f>
        <v>5622683761.6229038</v>
      </c>
      <c r="DN860" s="269">
        <f t="shared" si="2212"/>
        <v>20206340.651914719</v>
      </c>
      <c r="DO860" s="196">
        <f>'Detailed Budget'!$AC$179</f>
        <v>26827890683.128094</v>
      </c>
      <c r="DP860" s="269">
        <f t="shared" si="2213"/>
        <v>96411878.380716056</v>
      </c>
      <c r="DQ860" s="269">
        <f t="shared" si="2220"/>
        <v>116618219.03263077</v>
      </c>
      <c r="DR860" s="269">
        <f>'Detailed Budget'!$AC$181</f>
        <v>50888946855.375237</v>
      </c>
      <c r="DS860" s="269">
        <f t="shared" si="2214"/>
        <v>0</v>
      </c>
      <c r="DT860" s="269">
        <f t="shared" si="2215"/>
        <v>116618219.03263077</v>
      </c>
      <c r="DU860" s="272">
        <f>'Detailed Budget'!$AC$192</f>
        <v>77498869683.252869</v>
      </c>
      <c r="DV860" s="269">
        <f t="shared" si="2184"/>
        <v>0</v>
      </c>
      <c r="DW860" s="140">
        <f>'Detailed Budget'!$AC$194</f>
        <v>2684962805.4134097</v>
      </c>
      <c r="DX860" s="269">
        <f t="shared" si="2185"/>
        <v>0</v>
      </c>
      <c r="DY860" s="607">
        <f t="shared" si="2151"/>
        <v>0</v>
      </c>
      <c r="DZ860" s="196">
        <f>'Detailed Budget'!$AC$198</f>
        <v>18732540018.380611</v>
      </c>
      <c r="EA860" s="269">
        <f t="shared" si="2186"/>
        <v>31904841.187757909</v>
      </c>
      <c r="EB860" s="196">
        <f>'Detailed Budget'!$AC$200</f>
        <v>4683135004.5951529</v>
      </c>
      <c r="EC860" s="269">
        <f t="shared" si="2187"/>
        <v>7976210.2969394773</v>
      </c>
      <c r="ED860" s="269">
        <f t="shared" si="2152"/>
        <v>39881051.484697387</v>
      </c>
      <c r="EE860" s="196">
        <f>'Detailed Budget'!$AC$161</f>
        <v>251147290106.36197</v>
      </c>
      <c r="EF860" s="269">
        <f t="shared" si="2188"/>
        <v>497177515.08218604</v>
      </c>
      <c r="EG860" s="196">
        <f>'Detailed Budget'!$AC$163</f>
        <v>15696705631.647623</v>
      </c>
      <c r="EH860" s="269">
        <f t="shared" si="2189"/>
        <v>31073594.692636628</v>
      </c>
      <c r="EI860" s="269">
        <f t="shared" si="2153"/>
        <v>528251109.77482265</v>
      </c>
      <c r="EJ860" s="196">
        <f>'Detailed Budget'!$AC$204</f>
        <v>45012172507.531975</v>
      </c>
      <c r="EK860" s="269">
        <f t="shared" si="2190"/>
        <v>84613418.528648809</v>
      </c>
      <c r="EL860" s="201">
        <f>'Detailed Budget'!$AC$206</f>
        <v>11253043126.882994</v>
      </c>
      <c r="EM860" s="269">
        <f t="shared" si="2191"/>
        <v>21153354.632162202</v>
      </c>
      <c r="EN860" s="269">
        <f t="shared" si="2154"/>
        <v>105766773.16081101</v>
      </c>
      <c r="EO860" s="140">
        <f>'Detailed Budget'!$AC$209</f>
        <v>135789361677.54817</v>
      </c>
      <c r="EP860" s="269">
        <f t="shared" si="2192"/>
        <v>299889178.73560399</v>
      </c>
      <c r="EQ860" s="196">
        <f>'Detailed Budget'!$AC$211</f>
        <v>33947340419.387043</v>
      </c>
      <c r="ER860" s="269">
        <f t="shared" si="2193"/>
        <v>74972294.683900997</v>
      </c>
      <c r="ES860" s="269">
        <f t="shared" si="2155"/>
        <v>374861473.419505</v>
      </c>
      <c r="ET860" s="196">
        <f>'Detailed Budget'!$AC$214</f>
        <v>22239745544.201103</v>
      </c>
      <c r="EU860" s="269">
        <f t="shared" si="2194"/>
        <v>47700269.684220135</v>
      </c>
      <c r="EV860" s="140">
        <f>'Detailed Budget'!$AC$217</f>
        <v>5559936386.0502758</v>
      </c>
      <c r="EW860" s="269">
        <f t="shared" si="2195"/>
        <v>11925067.421055034</v>
      </c>
      <c r="EX860" s="269">
        <f t="shared" si="2156"/>
        <v>59625337.105275169</v>
      </c>
      <c r="EY860" s="196">
        <f>'Detailed Budget'!$AC$219</f>
        <v>372777004.58170313</v>
      </c>
      <c r="EZ860" s="269">
        <f t="shared" si="2196"/>
        <v>837013.36786697328</v>
      </c>
      <c r="FA860" s="196">
        <f>'Detailed Budget'!$AC$222</f>
        <v>93194251.145425782</v>
      </c>
      <c r="FB860" s="269">
        <f t="shared" si="2197"/>
        <v>209253.34196674332</v>
      </c>
      <c r="FC860" s="269">
        <f t="shared" si="2157"/>
        <v>1046266.7098337166</v>
      </c>
      <c r="FD860" s="269"/>
      <c r="FE860" s="269">
        <f t="shared" si="2158"/>
        <v>541299850.39542496</v>
      </c>
      <c r="FF860" s="140">
        <f>'Detailed Budget'!$AC$165</f>
        <v>14927760000</v>
      </c>
      <c r="FG860" s="1087">
        <f t="shared" si="2222"/>
        <v>738368826.66231728</v>
      </c>
      <c r="FH860" s="269">
        <f t="shared" si="2198"/>
        <v>18657579.820474949</v>
      </c>
      <c r="FJ860" s="140">
        <f>'Detailed Budget'!$AC$235</f>
        <v>3623696172</v>
      </c>
      <c r="FK860" s="269">
        <f t="shared" si="2199"/>
        <v>4681778</v>
      </c>
      <c r="FL860" s="269">
        <f t="shared" si="2223"/>
        <v>4681778</v>
      </c>
      <c r="FR860" s="269">
        <f>'Detailed Budget'!$AC$257</f>
        <v>13636439388</v>
      </c>
      <c r="FS860" s="269">
        <f t="shared" si="2200"/>
        <v>18987384</v>
      </c>
      <c r="FT860" s="269">
        <f t="shared" si="2224"/>
        <v>18987384</v>
      </c>
      <c r="FU860" s="269"/>
      <c r="FV860" s="269"/>
      <c r="FW860" s="269"/>
      <c r="FX860" s="140">
        <f>'Detailed Budget'!$AC$278</f>
        <v>1114560000</v>
      </c>
      <c r="FY860" s="269">
        <f t="shared" si="2201"/>
        <v>1440000</v>
      </c>
      <c r="FZ860" s="269">
        <f t="shared" si="2216"/>
        <v>1440000</v>
      </c>
      <c r="GB860" s="269">
        <f t="shared" si="2232"/>
        <v>2283576138.8998895</v>
      </c>
      <c r="GC860" s="887">
        <f t="shared" si="2159"/>
        <v>1427235.086812431</v>
      </c>
      <c r="GD860" s="1078">
        <f t="shared" si="2233"/>
        <v>1.2813864793008777E-3</v>
      </c>
    </row>
    <row r="861" spans="1:186" hidden="1" outlineLevel="1">
      <c r="A861" s="211" t="s">
        <v>1793</v>
      </c>
      <c r="B861" s="212" t="s">
        <v>1794</v>
      </c>
      <c r="C861" s="213" t="s">
        <v>215</v>
      </c>
      <c r="D861" s="214"/>
      <c r="E861" s="213"/>
      <c r="F861" s="213"/>
      <c r="G861" s="213" t="s">
        <v>215</v>
      </c>
      <c r="H861" s="213" t="s">
        <v>215</v>
      </c>
      <c r="I861" s="214" t="s">
        <v>215</v>
      </c>
      <c r="J861" s="214"/>
      <c r="K861" s="213"/>
      <c r="L861" s="213"/>
      <c r="M861" s="214"/>
      <c r="N861" s="213" t="s">
        <v>215</v>
      </c>
      <c r="O861" s="214"/>
      <c r="P861" s="213"/>
      <c r="Q861" s="214"/>
      <c r="R861" s="214" t="s">
        <v>215</v>
      </c>
      <c r="S861" s="214"/>
      <c r="T861" s="214"/>
      <c r="U861" s="215">
        <f t="shared" si="2236"/>
        <v>6</v>
      </c>
      <c r="V861" s="845" t="s">
        <v>467</v>
      </c>
      <c r="W861" s="216">
        <v>140339</v>
      </c>
      <c r="X861" s="217">
        <v>3.35</v>
      </c>
      <c r="Y861" s="218">
        <f t="shared" si="2170"/>
        <v>1.0335000000000001</v>
      </c>
      <c r="Z861" s="196">
        <v>19</v>
      </c>
      <c r="AA861" s="218">
        <f t="shared" si="2171"/>
        <v>1.8702477386515275</v>
      </c>
      <c r="AB861" s="196">
        <f t="shared" si="2234"/>
        <v>262468.69739461673</v>
      </c>
      <c r="AC861">
        <v>12.8</v>
      </c>
      <c r="AD861" s="196">
        <f t="shared" si="2235"/>
        <v>33595.993266510945</v>
      </c>
      <c r="AE861" s="196">
        <f t="shared" si="2172"/>
        <v>31916.193603185395</v>
      </c>
      <c r="AF861" s="196">
        <f t="shared" si="2202"/>
        <v>0</v>
      </c>
      <c r="AG861" s="606"/>
      <c r="AH861" s="196">
        <f t="shared" si="2217"/>
        <v>13123.434869730838</v>
      </c>
      <c r="AI861" s="248">
        <f t="shared" si="2141"/>
        <v>1.0166526154120326E-3</v>
      </c>
      <c r="AJ861" s="196">
        <f t="shared" si="2142"/>
        <v>46719.428136241782</v>
      </c>
      <c r="AK861" s="196">
        <f t="shared" si="2173"/>
        <v>10498.747895784669</v>
      </c>
      <c r="AL861" s="196">
        <f t="shared" si="2174"/>
        <v>10498.747895784669</v>
      </c>
      <c r="AM861" s="196">
        <f t="shared" si="2143"/>
        <v>20997.495791569338</v>
      </c>
      <c r="AN861" s="627">
        <f t="shared" si="2144"/>
        <v>1.0166526154120326E-3</v>
      </c>
      <c r="AO861" s="196">
        <f t="shared" si="2145"/>
        <v>9973.8105009954361</v>
      </c>
      <c r="AP861" s="589">
        <f t="shared" si="2163"/>
        <v>1.0166526154120326E-3</v>
      </c>
      <c r="AQ861" s="589"/>
      <c r="AR861" s="589"/>
      <c r="AS861">
        <v>1</v>
      </c>
      <c r="AT861" s="589">
        <f t="shared" si="2164"/>
        <v>1.2919896640826874E-3</v>
      </c>
      <c r="AU861" s="196">
        <v>10</v>
      </c>
      <c r="AV861" s="245">
        <f t="shared" si="2146"/>
        <v>1.1362345188046814E-3</v>
      </c>
      <c r="AX861" s="245"/>
      <c r="AY861" s="245"/>
      <c r="AZ861" s="196">
        <v>37</v>
      </c>
      <c r="BA861" s="589">
        <f t="shared" si="2226"/>
        <v>1.3557583085999048E-3</v>
      </c>
      <c r="BI861" s="196">
        <v>0</v>
      </c>
      <c r="BK861" s="246">
        <f t="shared" si="2227"/>
        <v>0</v>
      </c>
      <c r="BL861" s="246"/>
      <c r="BM861" s="246">
        <f t="shared" si="2228"/>
        <v>0</v>
      </c>
      <c r="BN861" s="196">
        <v>1</v>
      </c>
      <c r="BO861" s="196">
        <f t="shared" si="2203"/>
        <v>16882.093327300612</v>
      </c>
      <c r="BP861" s="196">
        <f t="shared" si="2147"/>
        <v>16882.093327300612</v>
      </c>
      <c r="BQ861" s="248">
        <f t="shared" si="2229"/>
        <v>1.579241215114777E-3</v>
      </c>
      <c r="BR861" s="248"/>
      <c r="BS861" s="248"/>
      <c r="BT861" s="276">
        <v>0</v>
      </c>
      <c r="BU861" s="196">
        <f t="shared" si="2218"/>
        <v>0</v>
      </c>
      <c r="BV861" s="264">
        <f t="shared" si="2230"/>
        <v>0</v>
      </c>
      <c r="BW861" s="196">
        <f t="shared" si="2219"/>
        <v>0</v>
      </c>
      <c r="BX861" s="247">
        <f t="shared" si="2231"/>
        <v>0</v>
      </c>
      <c r="BY861" s="196">
        <f t="shared" si="2204"/>
        <v>0</v>
      </c>
      <c r="BZ861" s="620">
        <v>1</v>
      </c>
      <c r="CA861" s="196">
        <f t="shared" si="2205"/>
        <v>80315.42140275272</v>
      </c>
      <c r="CB861" s="196">
        <f t="shared" si="2206"/>
        <v>160630.84280550544</v>
      </c>
      <c r="CC861" s="196">
        <f t="shared" si="2160"/>
        <v>240946.26420825816</v>
      </c>
      <c r="CD861" s="247">
        <f t="shared" si="2148"/>
        <v>1.0166526154120326E-3</v>
      </c>
      <c r="CE861" s="196">
        <f t="shared" si="2207"/>
        <v>20255.156424120411</v>
      </c>
      <c r="CF861" s="247">
        <f t="shared" si="2149"/>
        <v>8.7468064682945769E-4</v>
      </c>
      <c r="CG861" s="196">
        <f t="shared" si="2179"/>
        <v>39895.242003981744</v>
      </c>
      <c r="CH861" s="589">
        <f t="shared" si="2165"/>
        <v>1.0166526154120326E-3</v>
      </c>
      <c r="CI861" s="271">
        <f t="shared" si="2208"/>
        <v>58721.49721412122</v>
      </c>
      <c r="CJ861" s="248">
        <f t="shared" si="2166"/>
        <v>9.6538126514528557E-4</v>
      </c>
      <c r="CK861" s="271">
        <f t="shared" si="2209"/>
        <v>78898.833039235047</v>
      </c>
      <c r="CL861" s="589">
        <f t="shared" si="2167"/>
        <v>1.1341869537365781E-3</v>
      </c>
      <c r="CM861" s="271">
        <f t="shared" si="2210"/>
        <v>7643.3261009034804</v>
      </c>
      <c r="CN861" s="589">
        <f t="shared" si="2168"/>
        <v>1.101490154874103E-3</v>
      </c>
      <c r="CO861" s="271">
        <f t="shared" si="2211"/>
        <v>611.45804124824485</v>
      </c>
      <c r="CP861" s="589">
        <f t="shared" si="2169"/>
        <v>1.1531156839175902E-3</v>
      </c>
      <c r="CQ861" s="196">
        <f>'Detailed Budget'!$AC$12</f>
        <v>292876014141.44696</v>
      </c>
      <c r="CR861" s="269">
        <f t="shared" si="2177"/>
        <v>0</v>
      </c>
      <c r="CS861" s="269">
        <f>'Detailed Budget'!$AC$16</f>
        <v>10488008800.000002</v>
      </c>
      <c r="CT861" s="607">
        <f t="shared" si="2181"/>
        <v>0</v>
      </c>
      <c r="CU861" s="269">
        <f>'Detailed Budget'!$AC$24</f>
        <v>30624985696</v>
      </c>
      <c r="CV861" s="269">
        <f t="shared" si="2225"/>
        <v>0</v>
      </c>
      <c r="CW861" s="269"/>
      <c r="CX861" s="269">
        <f t="shared" si="2161"/>
        <v>0</v>
      </c>
      <c r="CY861" s="196">
        <f>'Detailed Budget'!$AC$97</f>
        <v>74629165494.837845</v>
      </c>
      <c r="CZ861" s="269">
        <f t="shared" si="2182"/>
        <v>117857453.99906951</v>
      </c>
      <c r="DA861" s="269">
        <f>'Detailed Budget'!$AC$100</f>
        <v>14925833098.967569</v>
      </c>
      <c r="DB861" s="269">
        <f t="shared" si="2183"/>
        <v>23571490.7998139</v>
      </c>
      <c r="DC861" s="269">
        <f t="shared" si="2150"/>
        <v>141428944.79888341</v>
      </c>
      <c r="DD861" s="207">
        <v>0</v>
      </c>
      <c r="DE861" s="606">
        <v>0</v>
      </c>
      <c r="DF861" s="269">
        <f>'Detailed Budget'!$AC$147</f>
        <v>5913600671000</v>
      </c>
      <c r="DG861" s="269">
        <f t="shared" si="2221"/>
        <v>0</v>
      </c>
      <c r="DH861" s="269"/>
      <c r="DI861" s="269"/>
      <c r="DJ861" s="269"/>
      <c r="DK861" s="269"/>
      <c r="DL861" s="269"/>
      <c r="DM861" s="196">
        <f>'Detailed Budget'!$AC$178</f>
        <v>5622683761.6229038</v>
      </c>
      <c r="DN861" s="269">
        <f t="shared" si="2212"/>
        <v>0</v>
      </c>
      <c r="DO861" s="196">
        <f>'Detailed Budget'!$AC$179</f>
        <v>26827890683.128094</v>
      </c>
      <c r="DP861" s="269">
        <f t="shared" si="2213"/>
        <v>0</v>
      </c>
      <c r="DQ861" s="269">
        <f t="shared" si="2220"/>
        <v>0</v>
      </c>
      <c r="DR861" s="269">
        <f>'Detailed Budget'!$AC$181</f>
        <v>50888946855.375237</v>
      </c>
      <c r="DS861" s="269">
        <f t="shared" si="2214"/>
        <v>0</v>
      </c>
      <c r="DT861" s="269">
        <f t="shared" si="2215"/>
        <v>0</v>
      </c>
      <c r="DU861" s="272">
        <f>'Detailed Budget'!$AC$192</f>
        <v>77498869683.252869</v>
      </c>
      <c r="DV861" s="269">
        <f t="shared" si="2184"/>
        <v>78789428.554955304</v>
      </c>
      <c r="DW861" s="140">
        <f>'Detailed Budget'!$AC$194</f>
        <v>2684962805.4134097</v>
      </c>
      <c r="DX861" s="269">
        <f t="shared" si="2185"/>
        <v>2729674.4584075711</v>
      </c>
      <c r="DY861" s="607">
        <f t="shared" si="2151"/>
        <v>81519103.01336287</v>
      </c>
      <c r="DZ861" s="196">
        <f>'Detailed Budget'!$AC$198</f>
        <v>18732540018.380611</v>
      </c>
      <c r="EA861" s="269">
        <f t="shared" si="2186"/>
        <v>16384990.220035855</v>
      </c>
      <c r="EB861" s="196">
        <f>'Detailed Budget'!$AC$200</f>
        <v>4683135004.5951529</v>
      </c>
      <c r="EC861" s="269">
        <f t="shared" si="2187"/>
        <v>4096247.5550089637</v>
      </c>
      <c r="ED861" s="269">
        <f t="shared" si="2152"/>
        <v>20481237.775044817</v>
      </c>
      <c r="EE861" s="196">
        <f>'Detailed Budget'!$AC$161</f>
        <v>251147290106.36197</v>
      </c>
      <c r="EF861" s="269">
        <f t="shared" si="2188"/>
        <v>255329549.3402774</v>
      </c>
      <c r="EG861" s="196">
        <f>'Detailed Budget'!$AC$163</f>
        <v>15696705631.647623</v>
      </c>
      <c r="EH861" s="269">
        <f t="shared" si="2189"/>
        <v>15958096.833767338</v>
      </c>
      <c r="EI861" s="269">
        <f t="shared" si="2153"/>
        <v>271287646.17404473</v>
      </c>
      <c r="EJ861" s="196">
        <f>'Detailed Budget'!$AC$204</f>
        <v>45012172507.531975</v>
      </c>
      <c r="EK861" s="269">
        <f t="shared" si="2190"/>
        <v>43453908.04225906</v>
      </c>
      <c r="EL861" s="201">
        <f>'Detailed Budget'!$AC$206</f>
        <v>11253043126.882994</v>
      </c>
      <c r="EM861" s="269">
        <f t="shared" si="2191"/>
        <v>10863477.010564765</v>
      </c>
      <c r="EN861" s="269">
        <f t="shared" si="2154"/>
        <v>54317385.052823827</v>
      </c>
      <c r="EO861" s="140">
        <f>'Detailed Budget'!$AC$209</f>
        <v>135789361677.54817</v>
      </c>
      <c r="EP861" s="269">
        <f t="shared" si="2192"/>
        <v>154010522.47089282</v>
      </c>
      <c r="EQ861" s="196">
        <f>'Detailed Budget'!$AC$211</f>
        <v>33947340419.387043</v>
      </c>
      <c r="ER861" s="269">
        <f t="shared" si="2193"/>
        <v>38502630.617723204</v>
      </c>
      <c r="ES861" s="269">
        <f t="shared" si="2155"/>
        <v>192513153.08861601</v>
      </c>
      <c r="ET861" s="196">
        <f>'Detailed Budget'!$AC$214</f>
        <v>22239745544.201103</v>
      </c>
      <c r="EU861" s="269">
        <f t="shared" si="2194"/>
        <v>24496860.763842717</v>
      </c>
      <c r="EV861" s="140">
        <f>'Detailed Budget'!$AC$217</f>
        <v>5559936386.0502758</v>
      </c>
      <c r="EW861" s="269">
        <f t="shared" si="2195"/>
        <v>6124215.1909606792</v>
      </c>
      <c r="EX861" s="269">
        <f t="shared" si="2156"/>
        <v>30621075.954803396</v>
      </c>
      <c r="EY861" s="196">
        <f>'Detailed Budget'!$AC$219</f>
        <v>372777004.58170313</v>
      </c>
      <c r="EZ861" s="269">
        <f t="shared" si="2196"/>
        <v>429855.01058698125</v>
      </c>
      <c r="FA861" s="196">
        <f>'Detailed Budget'!$AC$222</f>
        <v>93194251.145425782</v>
      </c>
      <c r="FB861" s="269">
        <f t="shared" si="2197"/>
        <v>107463.75264674531</v>
      </c>
      <c r="FC861" s="269">
        <f t="shared" si="2157"/>
        <v>537318.76323372661</v>
      </c>
      <c r="FD861" s="269"/>
      <c r="FE861" s="269">
        <f t="shared" si="2158"/>
        <v>277988932.85947698</v>
      </c>
      <c r="FF861" s="140">
        <f>'Detailed Budget'!$AC$165</f>
        <v>14927760000</v>
      </c>
      <c r="FG861" s="1087">
        <f t="shared" si="2222"/>
        <v>379195305.57900286</v>
      </c>
      <c r="FH861" s="269">
        <f t="shared" si="2198"/>
        <v>16961436.200431772</v>
      </c>
      <c r="FJ861" s="140">
        <f>'Detailed Budget'!$AC$235</f>
        <v>3623696172</v>
      </c>
      <c r="FK861" s="269">
        <f t="shared" si="2199"/>
        <v>4681778</v>
      </c>
      <c r="FL861" s="269">
        <f t="shared" si="2223"/>
        <v>4681778</v>
      </c>
      <c r="FR861" s="269">
        <f>'Detailed Budget'!$AC$257</f>
        <v>13636439388</v>
      </c>
      <c r="FS861" s="269">
        <f t="shared" si="2200"/>
        <v>18487716</v>
      </c>
      <c r="FT861" s="269">
        <f t="shared" si="2224"/>
        <v>18487716</v>
      </c>
      <c r="FU861" s="269"/>
      <c r="FV861" s="269"/>
      <c r="FW861" s="269"/>
      <c r="FX861" s="140">
        <f>'Detailed Budget'!$AC$278</f>
        <v>1114560000</v>
      </c>
      <c r="FY861" s="269">
        <f t="shared" si="2201"/>
        <v>1440000</v>
      </c>
      <c r="FZ861" s="269">
        <f t="shared" si="2216"/>
        <v>1440000</v>
      </c>
      <c r="GB861" s="269">
        <f t="shared" si="2232"/>
        <v>1213472100.4002476</v>
      </c>
      <c r="GC861" s="887">
        <f t="shared" si="2159"/>
        <v>758420.06275015476</v>
      </c>
      <c r="GD861" s="1078">
        <f t="shared" si="2233"/>
        <v>6.8091740668248485E-4</v>
      </c>
    </row>
    <row r="862" spans="1:186" collapsed="1">
      <c r="U862" s="244"/>
      <c r="V862" s="244"/>
      <c r="W862" s="196"/>
      <c r="X862" s="196"/>
      <c r="Y862" s="196"/>
      <c r="Z862" s="196"/>
      <c r="AA862" s="196"/>
      <c r="AG862" s="606"/>
      <c r="FL862" s="607"/>
      <c r="GB862" s="269"/>
    </row>
    <row r="863" spans="1:186">
      <c r="W863" s="196"/>
      <c r="X863" s="196"/>
      <c r="Y863" s="196"/>
      <c r="Z863" s="196"/>
      <c r="AA863" s="196"/>
      <c r="AG863" s="606"/>
      <c r="BY863" s="196"/>
      <c r="BZ863" s="196"/>
      <c r="CA863" s="196"/>
      <c r="CB863" s="196"/>
      <c r="DQ863" s="196"/>
      <c r="DR863" s="196"/>
    </row>
    <row r="864" spans="1:186">
      <c r="AG864" s="606"/>
      <c r="BY864" s="196"/>
      <c r="BZ864" s="196"/>
      <c r="CA864" s="196"/>
      <c r="CB864" s="196"/>
    </row>
  </sheetData>
  <mergeCells count="29">
    <mergeCell ref="A1:GB1"/>
    <mergeCell ref="CI4:CO4"/>
    <mergeCell ref="A4:A5"/>
    <mergeCell ref="B4:B5"/>
    <mergeCell ref="C4:C5"/>
    <mergeCell ref="D4:Q4"/>
    <mergeCell ref="S4:T4"/>
    <mergeCell ref="U4:U5"/>
    <mergeCell ref="A2:GB2"/>
    <mergeCell ref="BJ3:CO3"/>
    <mergeCell ref="EK4:FE4"/>
    <mergeCell ref="DN4:DT4"/>
    <mergeCell ref="DV4:DY4"/>
    <mergeCell ref="V3:V5"/>
    <mergeCell ref="DI4:DL4"/>
    <mergeCell ref="W3:AN4"/>
    <mergeCell ref="EA4:ED4"/>
    <mergeCell ref="AQ3:AV4"/>
    <mergeCell ref="BR4:BS4"/>
    <mergeCell ref="BH3:BH5"/>
    <mergeCell ref="CR3:GD3"/>
    <mergeCell ref="CR4:CX4"/>
    <mergeCell ref="EF4:EI4"/>
    <mergeCell ref="GB4:GC4"/>
    <mergeCell ref="BT4:BY4"/>
    <mergeCell ref="CZ4:DC4"/>
    <mergeCell ref="BI4:BP4"/>
    <mergeCell ref="CA4:CD4"/>
    <mergeCell ref="AZ3:BF4"/>
  </mergeCells>
  <phoneticPr fontId="51" type="noConversion"/>
  <conditionalFormatting sqref="C6:C9 C34 C42 C65 C83 C98 C125">
    <cfRule type="cellIs" dxfId="55" priority="75" operator="greaterThan">
      <formula>0</formula>
    </cfRule>
  </conditionalFormatting>
  <conditionalFormatting sqref="C144:C145 C168 C190 C219 C232 C251 C270:C271 C300 C325 C371 C407 C430 C455 C471:C472 C491 C514 C529 C548 C577:C578 C611 C621 C641 C668 C688 C713:C714 C732 C754 C776 C796 C828">
    <cfRule type="cellIs" dxfId="54" priority="90" operator="greaterThan">
      <formula>0</formula>
    </cfRule>
  </conditionalFormatting>
  <conditionalFormatting sqref="D6:D9 D34 D42 D65 D83 D98 D125">
    <cfRule type="cellIs" dxfId="53" priority="74" operator="greaterThan">
      <formula>0</formula>
    </cfRule>
  </conditionalFormatting>
  <conditionalFormatting sqref="D144:D145 D168 D190 D219 D232 D251 D270:D271 D300 D325 D371 D407 D430 D455 D471:D472 D491 D514 D529 D548 D577:D578 D611 D621 D641 D668 D688 D713:D714 D732 D754 D776 D796 D828">
    <cfRule type="cellIs" dxfId="52" priority="89" operator="greaterThan">
      <formula>0</formula>
    </cfRule>
  </conditionalFormatting>
  <conditionalFormatting sqref="E6:E9 G6:G9 E34 E42 E65 E83 E98 E125">
    <cfRule type="cellIs" dxfId="51" priority="73" operator="greaterThan">
      <formula>0</formula>
    </cfRule>
  </conditionalFormatting>
  <conditionalFormatting sqref="E144:E145 E168 E190 E219 E232 E251 E270:E271 E300 E325 E371 E407 E430 E455 E471:E472 E491 E514 E529 E548 E577:E578 E611 E621 E641 E668 E688 E713:E714 E732 E754 E776 E796 E828">
    <cfRule type="cellIs" dxfId="50" priority="88" operator="greaterThan">
      <formula>0</formula>
    </cfRule>
  </conditionalFormatting>
  <conditionalFormatting sqref="F6:F9 K6:L9 N6:N9 P6:P9 F34 F42 F65 F83 F98 F125">
    <cfRule type="cellIs" dxfId="49" priority="72" operator="greaterThan">
      <formula>0</formula>
    </cfRule>
  </conditionalFormatting>
  <conditionalFormatting sqref="F144:F145 F168 F190 F219 F232 F251 F270:F271 F300 F325 F371 F407 F430 F455 F471:F472 F491 F514 F529 F548 F577:F578 F611 F621 F641 F668 F688 F713:F714 F732 F754 F776 F796 F828">
    <cfRule type="cellIs" dxfId="48" priority="87" operator="greaterThan">
      <formula>0</formula>
    </cfRule>
  </conditionalFormatting>
  <conditionalFormatting sqref="G34 G42 G65 G83 G98 G125">
    <cfRule type="cellIs" dxfId="47" priority="66" operator="greaterThan">
      <formula>0</formula>
    </cfRule>
  </conditionalFormatting>
  <conditionalFormatting sqref="G144:G145 G168 G190 G219 G232 G251 G270:G271 G300 G325 G371 G407 G430 G455 G471:G472 G491 G514 G529 G548 G577:G578 G611 G621 G641 G668 G688 G713:G714 G732 G754 G776 G796 G828">
    <cfRule type="cellIs" dxfId="46" priority="81" operator="greaterThan">
      <formula>0</formula>
    </cfRule>
  </conditionalFormatting>
  <conditionalFormatting sqref="H6:H9 H34 H42 H65 H83 H98 H125">
    <cfRule type="cellIs" dxfId="45" priority="71" operator="greaterThan">
      <formula>0</formula>
    </cfRule>
  </conditionalFormatting>
  <conditionalFormatting sqref="H144:H145 H168 H190 H219 H232 H251 H270:H271 H300 H325 H371 H407 H430 H455 H471:H472 H491 H514 H529 H548 H577:H578 H611 H621 H641 H668 H688 H713:H714 H732 H754 H776 H796 H828">
    <cfRule type="cellIs" dxfId="44" priority="86" operator="greaterThan">
      <formula>0</formula>
    </cfRule>
  </conditionalFormatting>
  <conditionalFormatting sqref="I6:J9 M6:M9 O6:O9 I34:J34 I42:J42 I65:J65 I83:J83 I98:J98 I125:J125">
    <cfRule type="cellIs" dxfId="43" priority="70" operator="greaterThan">
      <formula>0</formula>
    </cfRule>
  </conditionalFormatting>
  <conditionalFormatting sqref="I144:J145 I168:J168 I190:J190 I219:J219 I232:J232 I251:J251 I270:J271 I300:J300 I325:J325 I371:J371 I407:J407 I430:J430 I455:J455 I471:J472 I491:J491 I514:J514 I529:J529 I548:J548 I577:J578 I611:J611 I621:J621 I641:J641 I668:J668 I688:J688 I713:J714 I732:J732 I754:J754 I776:J776 I796:J796 I828:J828">
    <cfRule type="cellIs" dxfId="42" priority="85" operator="greaterThan">
      <formula>0</formula>
    </cfRule>
  </conditionalFormatting>
  <conditionalFormatting sqref="K34:L34 K42:L42 K65:L65 K83:L83 K98:L98 K125:L125">
    <cfRule type="cellIs" dxfId="41" priority="65" operator="greaterThan">
      <formula>0</formula>
    </cfRule>
  </conditionalFormatting>
  <conditionalFormatting sqref="K144:L145 K168:L168 K190:L190 K219:L219 K232:L232 K251:L251 K270:L271 K300:L300 K325:L325 K371:L371 K407:L407 K430:L430 K455:L455 K471:L472 K491:L491 K514:L514 K529:L529 K548:L548 K577:L578 K611:L611 K621:L621 K641:L641 K668:L668 K688:L688 K713:L714 K732:L732 K754:L754 K776:L776 K796:L796 K828:L828">
    <cfRule type="cellIs" dxfId="40" priority="80" operator="greaterThan">
      <formula>0</formula>
    </cfRule>
  </conditionalFormatting>
  <conditionalFormatting sqref="M34 M42 M65 M83 M98 M125">
    <cfRule type="cellIs" dxfId="39" priority="64" operator="greaterThan">
      <formula>0</formula>
    </cfRule>
  </conditionalFormatting>
  <conditionalFormatting sqref="M144:M145 M168 M190 M219 M232 M251 M270:M271 M300 M325 M371 M407 M430 M455 M471:M472 M491 M514 M529 M548 M577:M578 M611 M621 M641 M668 M688 M713:M714 M732 M754 M776 M796 M828">
    <cfRule type="cellIs" dxfId="38" priority="79" operator="greaterThan">
      <formula>0</formula>
    </cfRule>
  </conditionalFormatting>
  <conditionalFormatting sqref="N34 N42 N65 N83 N98 N125">
    <cfRule type="cellIs" dxfId="37" priority="63" operator="greaterThan">
      <formula>0</formula>
    </cfRule>
  </conditionalFormatting>
  <conditionalFormatting sqref="N144:N145 N168 N190 N219 N232 N251 N270:N271 N300 N325 N371 N407 N430 N455 N471:N472 N491 N514 N529 N548 N577:N578 N611 N621 N641 N668 N688 N713:N714 N732 N754 N776 N796 N828">
    <cfRule type="cellIs" dxfId="36" priority="78" operator="greaterThan">
      <formula>0</formula>
    </cfRule>
  </conditionalFormatting>
  <conditionalFormatting sqref="O34 O42 O65 O83 O98 O125">
    <cfRule type="cellIs" dxfId="35" priority="62" operator="greaterThan">
      <formula>0</formula>
    </cfRule>
  </conditionalFormatting>
  <conditionalFormatting sqref="O144:O145 O168 O190 O219 O232 O251 O270:O271 O300 O325 O371 O407 O430 O455 O471:O472 O491 O514 O529 O548 O577:O578 O611 O621 O641 O668 O688 O713:O714 O732 O754 O776 O796 O828">
    <cfRule type="cellIs" dxfId="34" priority="77" operator="greaterThan">
      <formula>0</formula>
    </cfRule>
  </conditionalFormatting>
  <conditionalFormatting sqref="P34 P42 P65 P83 P98 P125">
    <cfRule type="cellIs" dxfId="33" priority="61" operator="greaterThan">
      <formula>0</formula>
    </cfRule>
  </conditionalFormatting>
  <conditionalFormatting sqref="P144:P145 P168 P190 P219 P232 P251 P270:P271 P300 P325 P371 P407 P430 P455 P471:P472 P491 P514 P529 P548 P577:P578 P611 P621 P641 P668 P688 P713:P714 P732 P754 P776 P796 P828">
    <cfRule type="cellIs" dxfId="32" priority="76" operator="greaterThan">
      <formula>0</formula>
    </cfRule>
  </conditionalFormatting>
  <conditionalFormatting sqref="Q6:R9 Q34:R34 Q42:R42 Q65:R65 Q83:R83 Q98:R98 Q125:R125">
    <cfRule type="cellIs" dxfId="31" priority="69" operator="greaterThan">
      <formula>0</formula>
    </cfRule>
  </conditionalFormatting>
  <conditionalFormatting sqref="Q144:R145 Q168:R168 Q190:R190 Q219:R219 Q232:R232 Q251:R251 Q270:R271 Q300:R300 Q325:R325 Q371:R371 Q407:R407 Q430:R430 Q455:R455 Q471:R472 Q491:R491 Q514:R514 Q529:R529 Q548:R548 Q577:R578 Q611:R611 Q621:R621 Q641:R641 Q668:R668 Q688:R688 Q713:R714 Q732:R732 Q754:R754 Q776:R776 Q796:R796 Q828:R828">
    <cfRule type="cellIs" dxfId="30" priority="84" operator="greaterThan">
      <formula>0</formula>
    </cfRule>
  </conditionalFormatting>
  <conditionalFormatting sqref="S6:S9 S34 S42 S65 S83 S98 S125">
    <cfRule type="cellIs" dxfId="29" priority="68" operator="greaterThan">
      <formula>0</formula>
    </cfRule>
  </conditionalFormatting>
  <conditionalFormatting sqref="S144:S145 S168 S190 S219 S232 S251 S270:S271 S300 S325 S371 S407 S430 S455 S471:S472 S491 S514 S529 S548 S577:S578 S611 S621 S641 S668 S688 S713:S714 S732 S754 S776 S796 S828">
    <cfRule type="cellIs" dxfId="28" priority="83" operator="greaterThan">
      <formula>0</formula>
    </cfRule>
  </conditionalFormatting>
  <conditionalFormatting sqref="T6:T9 T34 T42 T65 T83 T98 T125">
    <cfRule type="cellIs" dxfId="27" priority="67" operator="greaterThan">
      <formula>0</formula>
    </cfRule>
  </conditionalFormatting>
  <conditionalFormatting sqref="T144:T145 T168 T190 T219 T232 T251 T270:T271 T300 T325 T371 T407 T430 T455 T471:T472 T491 T514 T529 T548 T577:T578 T611 T621 T641 T668 T688 T713:T714 T732 T754 T776 T796 T828">
    <cfRule type="cellIs" dxfId="26" priority="82" operator="greaterThan">
      <formula>0</formula>
    </cfRule>
  </conditionalFormatting>
  <conditionalFormatting sqref="CW6 FF6:FG6 FM6:FM7 DW6:DW861 EO6:EO861 EV6:EV861 FJ6:FJ861 FX6:FX861 FF7 FF8:FG861">
    <cfRule type="expression" dxfId="25" priority="37">
      <formula>$B6=LvlTopHdr</formula>
    </cfRule>
    <cfRule type="expression" dxfId="24" priority="42">
      <formula>$B6=LvlBottomHdr</formula>
    </cfRule>
    <cfRule type="expression" dxfId="23" priority="41">
      <formula>$B6=Lvl4Hdr</formula>
    </cfRule>
    <cfRule type="expression" dxfId="22" priority="40">
      <formula>$B6=Lvl3Hdr</formula>
    </cfRule>
    <cfRule type="expression" dxfId="21" priority="39">
      <formula>$B6=Lvl2Hdr</formula>
    </cfRule>
    <cfRule type="expression" dxfId="20" priority="38">
      <formula>$B6=Lvl1Hdr</formula>
    </cfRule>
  </conditionalFormatting>
  <conditionalFormatting sqref="FI6">
    <cfRule type="expression" dxfId="19" priority="2">
      <formula>$B6=Lvl1Hdr</formula>
    </cfRule>
    <cfRule type="expression" dxfId="18" priority="1">
      <formula>$B6=LvlTopHdr</formula>
    </cfRule>
    <cfRule type="expression" dxfId="17" priority="6">
      <formula>$B6=LvlBottomHdr</formula>
    </cfRule>
    <cfRule type="expression" dxfId="16" priority="5">
      <formula>$B6=Lvl4Hdr</formula>
    </cfRule>
    <cfRule type="expression" dxfId="15" priority="4">
      <formula>$B6=Lvl3Hdr</formula>
    </cfRule>
    <cfRule type="expression" dxfId="14" priority="3">
      <formula>$B6=Lvl2Hdr</formula>
    </cfRule>
  </conditionalFormatting>
  <conditionalFormatting sqref="FU6:FU7">
    <cfRule type="expression" dxfId="13" priority="13">
      <formula>$B6=LvlTopHdr</formula>
    </cfRule>
    <cfRule type="expression" dxfId="12" priority="18">
      <formula>$B6=LvlBottomHdr</formula>
    </cfRule>
    <cfRule type="expression" dxfId="11" priority="17">
      <formula>$B6=Lvl4Hdr</formula>
    </cfRule>
    <cfRule type="expression" dxfId="10" priority="16">
      <formula>$B6=Lvl3Hdr</formula>
    </cfRule>
    <cfRule type="expression" dxfId="9" priority="15">
      <formula>$B6=Lvl2Hdr</formula>
    </cfRule>
    <cfRule type="expression" dxfId="8" priority="14">
      <formula>$B6=Lvl1Hdr</formula>
    </cfRule>
  </conditionalFormatting>
  <dataValidations count="2">
    <dataValidation type="list" allowBlank="1" showInputMessage="1" showErrorMessage="1" sqref="C797:T827 C777:T795 C669:T687 C146:T167 C169:T189 C191:T218 C431:T454 C515:T528 C579:T610 C642:T667 C220:T231 C612:T620 C530:T547 C408:T429 C733:T753 C622:T640 C301:T324 C326:T370 C689:T711 C252:T268 C233:T250 C492:T513 C456:T469 C99:T124 C66:T82 C126:T142 C43:T64 C35:T41 C10:T33 C473:T490 C715:T731 C829:T861 C372:T406 C549:T575 C84:T97 C755:T775 C272:T299" xr:uid="{0E6D1D71-1438-40E6-9116-2EF1FBC51D42}">
      <formula1>"X"</formula1>
    </dataValidation>
    <dataValidation type="list" allowBlank="1" showInputMessage="1" showErrorMessage="1" sqref="DU6:DU861 BT5:BT861" xr:uid="{8F67A97C-58D7-4D94-950B-95BE3C8E3DDA}">
      <formula1>"0,1"</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2F304-28C1-4277-B88F-E1EB584E32E4}">
  <dimension ref="A1:L64"/>
  <sheetViews>
    <sheetView topLeftCell="C52" zoomScale="88" workbookViewId="0">
      <selection activeCell="O77" sqref="O77"/>
    </sheetView>
  </sheetViews>
  <sheetFormatPr defaultColWidth="8.42578125" defaultRowHeight="15"/>
  <cols>
    <col min="1" max="1" width="6.42578125" customWidth="1"/>
    <col min="4" max="4" width="75.5703125" customWidth="1"/>
    <col min="5" max="5" width="22.42578125" customWidth="1"/>
    <col min="6" max="6" width="23.85546875" style="667" customWidth="1"/>
    <col min="7" max="7" width="18.85546875" style="667" customWidth="1"/>
    <col min="8" max="8" width="15" bestFit="1" customWidth="1"/>
    <col min="9" max="9" width="18.85546875" bestFit="1" customWidth="1"/>
    <col min="10" max="10" width="44" hidden="1" customWidth="1"/>
    <col min="11" max="12" width="17.140625" hidden="1" customWidth="1"/>
    <col min="15" max="15" width="10.28515625" bestFit="1" customWidth="1"/>
  </cols>
  <sheetData>
    <row r="1" spans="1:12" s="592" customFormat="1" ht="25.5" customHeight="1">
      <c r="A1" s="591"/>
      <c r="B1" s="1154" t="s">
        <v>2309</v>
      </c>
      <c r="C1" s="1155"/>
      <c r="D1" s="1155"/>
      <c r="E1" s="1155"/>
      <c r="F1" s="1155"/>
      <c r="G1" s="1155"/>
    </row>
    <row r="2" spans="1:12" s="592" customFormat="1" ht="31.5" customHeight="1">
      <c r="A2" s="591"/>
      <c r="B2" s="1154" t="s">
        <v>2199</v>
      </c>
      <c r="C2" s="1155"/>
      <c r="D2" s="1155"/>
      <c r="E2" s="635" t="s">
        <v>2310</v>
      </c>
      <c r="F2" s="636" t="s">
        <v>2311</v>
      </c>
      <c r="G2" s="636" t="s">
        <v>209</v>
      </c>
      <c r="H2" s="637" t="s">
        <v>2312</v>
      </c>
      <c r="J2" s="638" t="s">
        <v>2313</v>
      </c>
      <c r="K2" s="592" t="s">
        <v>2314</v>
      </c>
      <c r="L2" s="592" t="s">
        <v>2315</v>
      </c>
    </row>
    <row r="3" spans="1:12" s="594" customFormat="1" ht="14.25">
      <c r="A3" s="593">
        <f>'[3]Kano Budget'!A2</f>
        <v>1</v>
      </c>
      <c r="B3" s="1156" t="str">
        <f>'[4]Kwara Budget'!B4</f>
        <v xml:space="preserve"> COORDINATION AND PLANNING</v>
      </c>
      <c r="C3" s="1156"/>
      <c r="D3" s="1156"/>
      <c r="E3" s="1156"/>
      <c r="F3" s="640"/>
      <c r="G3" s="640"/>
    </row>
    <row r="4" spans="1:12" s="594" customFormat="1" ht="16.5" customHeight="1">
      <c r="A4" s="593"/>
      <c r="B4" s="641" t="s">
        <v>2316</v>
      </c>
      <c r="C4" s="639"/>
      <c r="D4" s="639"/>
      <c r="E4" s="639"/>
      <c r="F4" s="640">
        <v>775200</v>
      </c>
      <c r="G4" s="642">
        <f>SUM(E4:F4)</f>
        <v>775200</v>
      </c>
      <c r="J4" s="1157" t="s">
        <v>2317</v>
      </c>
    </row>
    <row r="5" spans="1:12" s="594" customFormat="1" ht="16.5" customHeight="1">
      <c r="A5" s="593"/>
      <c r="B5" s="641" t="s">
        <v>2318</v>
      </c>
      <c r="C5" s="639"/>
      <c r="D5" s="639"/>
      <c r="E5" s="639"/>
      <c r="F5" s="640">
        <v>888700</v>
      </c>
      <c r="G5" s="642">
        <f>SUM(E5:F5)</f>
        <v>888700</v>
      </c>
      <c r="J5" s="1157"/>
    </row>
    <row r="6" spans="1:12" s="594" customFormat="1" ht="16.5" customHeight="1">
      <c r="A6" s="593"/>
      <c r="B6" s="641" t="s">
        <v>2319</v>
      </c>
      <c r="C6" s="639"/>
      <c r="D6" s="639"/>
      <c r="E6" s="639"/>
      <c r="F6" s="640">
        <v>10738000</v>
      </c>
      <c r="G6" s="642">
        <f>SUM(E6:F6)</f>
        <v>10738000</v>
      </c>
      <c r="J6" s="1157"/>
    </row>
    <row r="7" spans="1:12" s="594" customFormat="1" ht="16.5" customHeight="1">
      <c r="A7" s="593"/>
      <c r="B7" s="641" t="s">
        <v>2320</v>
      </c>
      <c r="C7" s="639"/>
      <c r="D7" s="639"/>
      <c r="E7" s="639"/>
      <c r="F7" s="640">
        <v>3806400</v>
      </c>
      <c r="G7" s="642">
        <f>SUM(E7:F7)</f>
        <v>3806400</v>
      </c>
      <c r="J7" s="1157"/>
    </row>
    <row r="8" spans="1:12" s="594" customFormat="1" ht="16.5" customHeight="1">
      <c r="A8" s="593"/>
      <c r="B8" s="641" t="s">
        <v>2321</v>
      </c>
      <c r="C8" s="639"/>
      <c r="D8" s="639"/>
      <c r="E8" s="639"/>
      <c r="F8" s="640">
        <v>161200</v>
      </c>
      <c r="G8" s="642">
        <f>SUM(E8:F8)</f>
        <v>161200</v>
      </c>
      <c r="J8" s="1157"/>
    </row>
    <row r="9" spans="1:12" s="594" customFormat="1" ht="16.5" customHeight="1">
      <c r="A9" s="593"/>
      <c r="B9" s="1158" t="s">
        <v>209</v>
      </c>
      <c r="C9" s="1158"/>
      <c r="D9" s="1158"/>
      <c r="E9" s="600">
        <f>SUM(E4:E8)</f>
        <v>0</v>
      </c>
      <c r="F9" s="600">
        <f>SUM(F4:F8)</f>
        <v>16369500</v>
      </c>
      <c r="G9" s="600">
        <f>SUM(G4:G8)</f>
        <v>16369500</v>
      </c>
      <c r="H9" s="643">
        <v>30.009</v>
      </c>
      <c r="I9" s="644">
        <f>G9/$G$59</f>
        <v>1.8865623942254002E-2</v>
      </c>
    </row>
    <row r="10" spans="1:12" s="598" customFormat="1" ht="16.5" customHeight="1">
      <c r="A10" s="595"/>
      <c r="B10" s="1153"/>
      <c r="C10" s="1153"/>
      <c r="D10" s="1153"/>
      <c r="E10" s="1153"/>
      <c r="F10" s="642"/>
      <c r="G10" s="642"/>
    </row>
    <row r="11" spans="1:12" s="591" customFormat="1" ht="16.5" customHeight="1">
      <c r="A11" s="595">
        <f>'[3]Kano Budget'!A116</f>
        <v>2</v>
      </c>
      <c r="B11" s="1160" t="str">
        <f>'[4]Kwara Budget'!B8</f>
        <v>PROCUREMENT (NON-SMC DRUGS)</v>
      </c>
      <c r="C11" s="1160"/>
      <c r="D11" s="1160"/>
      <c r="E11" s="1160"/>
      <c r="F11" s="646"/>
      <c r="G11" s="646"/>
    </row>
    <row r="12" spans="1:12" s="598" customFormat="1" ht="16.5" customHeight="1">
      <c r="A12" s="595"/>
      <c r="B12" s="1161" t="str">
        <f>'[4]Kwara Budget'!B9:C9</f>
        <v>2.1  Printing of SMC training and implementation tools</v>
      </c>
      <c r="C12" s="1161"/>
      <c r="D12" s="1161"/>
      <c r="E12" s="596"/>
      <c r="F12" s="647">
        <f>'[4]Kwara Budget'!F16</f>
        <v>24333061.927479453</v>
      </c>
      <c r="G12" s="642">
        <f>SUM(E12:F12)</f>
        <v>24333061.927479453</v>
      </c>
      <c r="J12" s="598" t="s">
        <v>2322</v>
      </c>
    </row>
    <row r="13" spans="1:12" s="598" customFormat="1" ht="16.5" customHeight="1">
      <c r="A13" s="595"/>
      <c r="B13" s="1161" t="str">
        <f>'[4]Kwara Budget'!B18:C18</f>
        <v>2.2 Production of visibility materials</v>
      </c>
      <c r="C13" s="1161"/>
      <c r="D13" s="1161"/>
      <c r="E13" s="596"/>
      <c r="F13" s="647">
        <f>'[4]Kwara Budget'!F25</f>
        <v>16474804.239287673</v>
      </c>
      <c r="G13" s="642">
        <f>SUM(E13:F13)</f>
        <v>16474804.239287673</v>
      </c>
      <c r="J13" s="598" t="s">
        <v>2322</v>
      </c>
    </row>
    <row r="14" spans="1:12" s="598" customFormat="1" ht="16.5" customHeight="1">
      <c r="A14" s="595"/>
      <c r="B14" s="1161" t="str">
        <f>'[4]Kwara Budget'!B27:C27</f>
        <v>2.3  Procurement of PPEs</v>
      </c>
      <c r="C14" s="1161"/>
      <c r="D14" s="1161"/>
      <c r="E14" s="596"/>
      <c r="F14" s="647">
        <f>'[4]Kwara Budget'!F30</f>
        <v>0</v>
      </c>
      <c r="G14" s="642">
        <f>SUM(E14:F14)</f>
        <v>0</v>
      </c>
    </row>
    <row r="15" spans="1:12" s="598" customFormat="1" ht="16.5" customHeight="1">
      <c r="A15" s="595"/>
      <c r="B15" s="624" t="s">
        <v>2323</v>
      </c>
      <c r="C15" s="624"/>
      <c r="D15" s="624"/>
      <c r="E15" s="596"/>
      <c r="F15" s="647">
        <f>'[4]Kwara Budget'!F42</f>
        <v>1108000</v>
      </c>
      <c r="G15" s="642">
        <f>SUM(E15:F15)</f>
        <v>1108000</v>
      </c>
      <c r="J15" s="598" t="s">
        <v>2322</v>
      </c>
    </row>
    <row r="16" spans="1:12" s="591" customFormat="1" ht="16.5" customHeight="1">
      <c r="A16" s="595"/>
      <c r="B16" s="1158" t="s">
        <v>209</v>
      </c>
      <c r="C16" s="1158"/>
      <c r="D16" s="1158"/>
      <c r="E16" s="600">
        <f>SUM(E12:E15)</f>
        <v>0</v>
      </c>
      <c r="F16" s="600">
        <f>SUM(F12:F15)</f>
        <v>41915866.166767128</v>
      </c>
      <c r="G16" s="600">
        <f>SUM(G12:G15)</f>
        <v>41915866.166767128</v>
      </c>
      <c r="H16" s="591">
        <v>30.012</v>
      </c>
      <c r="I16" s="644">
        <f>G16/$G$59</f>
        <v>4.8307460112775369E-2</v>
      </c>
    </row>
    <row r="17" spans="1:10" s="598" customFormat="1" ht="16.5" customHeight="1">
      <c r="A17" s="595"/>
      <c r="B17" s="1162"/>
      <c r="C17" s="1162"/>
      <c r="D17" s="1162"/>
      <c r="E17" s="1162"/>
      <c r="F17" s="642"/>
      <c r="G17" s="642"/>
    </row>
    <row r="18" spans="1:10" s="591" customFormat="1" ht="16.5" customHeight="1">
      <c r="A18" s="595">
        <f>'[3]Kano Budget'!A149</f>
        <v>3</v>
      </c>
      <c r="B18" s="1158" t="str">
        <f>'[4]Kwara Budget'!B46:D46</f>
        <v>TRAINING FOR SMC DELIVERY</v>
      </c>
      <c r="C18" s="1158"/>
      <c r="D18" s="1158"/>
      <c r="E18" s="1158"/>
      <c r="F18" s="646"/>
      <c r="G18" s="646"/>
    </row>
    <row r="19" spans="1:10" s="598" customFormat="1" ht="27" customHeight="1">
      <c r="A19" s="595"/>
      <c r="B19" s="1163" t="str">
        <f>'[4]Kwara Budget'!B48</f>
        <v>3.1 Conduct training of State trainers/supervisors (5/LGA) - 3days non-residential/Residential for far LGAs with one day arrival</v>
      </c>
      <c r="C19" s="1163"/>
      <c r="D19" s="1163"/>
      <c r="E19" s="602">
        <f>'[4]Kwara Budget'!F66</f>
        <v>8115200</v>
      </c>
      <c r="F19" s="642"/>
      <c r="G19" s="642">
        <f t="shared" ref="G19:G24" si="0">SUM(E19:F19)</f>
        <v>8115200</v>
      </c>
      <c r="J19" s="598" t="s">
        <v>2322</v>
      </c>
    </row>
    <row r="20" spans="1:10" s="598" customFormat="1" ht="16.5" customHeight="1">
      <c r="A20" s="595"/>
      <c r="B20" s="1159" t="str">
        <f>'[4]Kwara Budget'!B68</f>
        <v>3.2 Training of Health Facility Workers</v>
      </c>
      <c r="C20" s="1159"/>
      <c r="D20" s="1159"/>
      <c r="E20" s="596">
        <f>'[4]Kwara Budget'!F96</f>
        <v>19123448</v>
      </c>
      <c r="F20" s="642"/>
      <c r="G20" s="642">
        <f t="shared" si="0"/>
        <v>19123448</v>
      </c>
      <c r="J20" s="598" t="s">
        <v>2322</v>
      </c>
    </row>
    <row r="21" spans="1:10" s="598" customFormat="1" ht="16.5" customHeight="1">
      <c r="A21" s="595"/>
      <c r="B21" s="1159" t="str">
        <f>'[4]Kwara Budget'!B98</f>
        <v>3.3 Training of Participants - Community Drug Distributors (CDDs)</v>
      </c>
      <c r="C21" s="1159"/>
      <c r="D21" s="1159"/>
      <c r="E21" s="596">
        <f>'[4]Kwara Budget'!F128</f>
        <v>69000814.246575356</v>
      </c>
      <c r="F21" s="642"/>
      <c r="G21" s="642">
        <f t="shared" si="0"/>
        <v>69000814.246575356</v>
      </c>
      <c r="J21" s="598" t="s">
        <v>2322</v>
      </c>
    </row>
    <row r="22" spans="1:10" s="598" customFormat="1" ht="16.5" customHeight="1">
      <c r="A22" s="595"/>
      <c r="B22" s="1159" t="str">
        <f>'[4]Kwara Budget'!B130</f>
        <v>3.4 Training of Health Educators on SMC SBC</v>
      </c>
      <c r="C22" s="1159"/>
      <c r="D22" s="1159"/>
      <c r="E22" s="596">
        <f>'[4]Kwara Budget'!F148</f>
        <v>1734400</v>
      </c>
      <c r="F22" s="642"/>
      <c r="G22" s="642">
        <f t="shared" si="0"/>
        <v>1734400</v>
      </c>
      <c r="J22" s="598" t="s">
        <v>2322</v>
      </c>
    </row>
    <row r="23" spans="1:10" s="598" customFormat="1" ht="16.5" customHeight="1">
      <c r="A23" s="595"/>
      <c r="B23" s="1159" t="str">
        <f>'[4]Kwara Budget'!B151</f>
        <v>3.5 1-day orientation for Town Announcers</v>
      </c>
      <c r="C23" s="1159"/>
      <c r="D23" s="1159"/>
      <c r="E23" s="596">
        <f>'[4]Kwara Budget'!F161</f>
        <v>4318500</v>
      </c>
      <c r="F23" s="642"/>
      <c r="G23" s="642">
        <f t="shared" si="0"/>
        <v>4318500</v>
      </c>
      <c r="J23" s="598" t="s">
        <v>2322</v>
      </c>
    </row>
    <row r="24" spans="1:10" s="598" customFormat="1" ht="16.5" customHeight="1">
      <c r="A24" s="595"/>
      <c r="B24" s="1159" t="str">
        <f>'[4]Kwara Budget'!B163</f>
        <v>3.6 1-day orientation for Lead Mothers</v>
      </c>
      <c r="C24" s="1159"/>
      <c r="D24" s="1159"/>
      <c r="E24" s="648">
        <f>'[4]Kwara Budget'!F168</f>
        <v>0</v>
      </c>
      <c r="F24" s="642"/>
      <c r="G24" s="649">
        <f t="shared" si="0"/>
        <v>0</v>
      </c>
      <c r="J24" s="598" t="s">
        <v>2322</v>
      </c>
    </row>
    <row r="25" spans="1:10" s="591" customFormat="1" ht="16.5" customHeight="1">
      <c r="A25" s="595"/>
      <c r="B25" s="1158" t="s">
        <v>209</v>
      </c>
      <c r="C25" s="1158"/>
      <c r="D25" s="1158"/>
      <c r="E25" s="600">
        <f>SUM(E19:E24)</f>
        <v>102292362.24657536</v>
      </c>
      <c r="F25" s="600">
        <f>SUM(F19:F24)</f>
        <v>0</v>
      </c>
      <c r="G25" s="600">
        <f>SUM(G19:G24)</f>
        <v>102292362.24657536</v>
      </c>
      <c r="H25" s="591">
        <v>30.007999999999999</v>
      </c>
      <c r="I25" s="644">
        <f>G25/$G$59</f>
        <v>0.11789054267440736</v>
      </c>
    </row>
    <row r="26" spans="1:10" s="598" customFormat="1" ht="16.5" customHeight="1">
      <c r="A26" s="595"/>
      <c r="B26" s="1162"/>
      <c r="C26" s="1162"/>
      <c r="D26" s="1162"/>
      <c r="E26" s="1162"/>
      <c r="F26" s="642"/>
      <c r="G26" s="642"/>
    </row>
    <row r="27" spans="1:10" s="591" customFormat="1" ht="16.5" customHeight="1">
      <c r="A27" s="595">
        <f>'[3]Kano Budget'!A284</f>
        <v>4</v>
      </c>
      <c r="B27" s="1164" t="str">
        <f>'[4]Kwara Budget'!B171</f>
        <v>LOGISTICS (OTHER PSM COST)</v>
      </c>
      <c r="C27" s="1164"/>
      <c r="D27" s="1164"/>
      <c r="E27" s="1164"/>
      <c r="F27" s="646"/>
      <c r="G27" s="646"/>
    </row>
    <row r="28" spans="1:10" s="598" customFormat="1" ht="16.5" customHeight="1">
      <c r="A28" s="595"/>
      <c r="B28" s="1165" t="str">
        <f>'[4]Kwara Budget'!B172</f>
        <v>4.1 Support Commodity Management Review Meetings to develop and review distribution plan for each cycle</v>
      </c>
      <c r="C28" s="1165"/>
      <c r="D28" s="1165"/>
      <c r="E28" s="602">
        <f>'[4]Kwara Budget'!F185</f>
        <v>1726800</v>
      </c>
      <c r="F28" s="642"/>
      <c r="G28" s="642">
        <f>SUM(E28:F28)</f>
        <v>1726800</v>
      </c>
      <c r="J28" s="598" t="s">
        <v>2322</v>
      </c>
    </row>
    <row r="29" spans="1:10" s="598" customFormat="1" ht="16.5" customHeight="1">
      <c r="A29" s="595"/>
      <c r="B29" s="1159" t="str">
        <f>'[4]Kwara Budget'!B187</f>
        <v>4.2 Packaging materials</v>
      </c>
      <c r="C29" s="1159"/>
      <c r="D29" s="1159"/>
      <c r="E29" s="602">
        <f>'[4]Kwara Budget'!F189</f>
        <v>0</v>
      </c>
      <c r="F29" s="642"/>
      <c r="G29" s="642">
        <f>SUM(E29:F29)</f>
        <v>0</v>
      </c>
      <c r="J29" s="598" t="s">
        <v>2322</v>
      </c>
    </row>
    <row r="30" spans="1:10" s="598" customFormat="1" ht="16.5" customHeight="1">
      <c r="A30" s="595"/>
      <c r="B30" s="1161" t="str">
        <f>'[4]Kwara Budget'!B191</f>
        <v>4.3 Last Mile Distribution</v>
      </c>
      <c r="C30" s="1161"/>
      <c r="D30" s="1161"/>
      <c r="E30" s="602">
        <f>'[4]Kwara Budget'!F194</f>
        <v>0</v>
      </c>
      <c r="F30" s="642"/>
      <c r="G30" s="642">
        <f>SUM(E30:F30)</f>
        <v>0</v>
      </c>
      <c r="J30" s="598" t="s">
        <v>2322</v>
      </c>
    </row>
    <row r="31" spans="1:10" s="598" customFormat="1" ht="16.5" customHeight="1">
      <c r="A31" s="595"/>
      <c r="B31" s="1161" t="str">
        <f>'[4]Kwara Budget'!B196</f>
        <v>4.4 Reverse logistics</v>
      </c>
      <c r="C31" s="1161"/>
      <c r="D31" s="1161"/>
      <c r="E31" s="602">
        <f>'[4]Kwara Budget'!F199</f>
        <v>0</v>
      </c>
      <c r="F31" s="642"/>
      <c r="G31" s="642">
        <f>SUM(E31:F31)</f>
        <v>0</v>
      </c>
      <c r="J31" s="598" t="s">
        <v>2322</v>
      </c>
    </row>
    <row r="32" spans="1:10" s="591" customFormat="1" ht="16.5" customHeight="1">
      <c r="A32" s="595"/>
      <c r="B32" s="1158" t="s">
        <v>209</v>
      </c>
      <c r="C32" s="1158"/>
      <c r="D32" s="1158"/>
      <c r="E32" s="600">
        <f>SUM(E28:E31)</f>
        <v>1726800</v>
      </c>
      <c r="F32" s="600">
        <f>SUM(F28:F31)</f>
        <v>0</v>
      </c>
      <c r="G32" s="600">
        <f>SUM(G28:G31)</f>
        <v>1726800</v>
      </c>
      <c r="H32" s="591">
        <v>30.009</v>
      </c>
      <c r="I32" s="644">
        <f>G32/$G$59</f>
        <v>1.9901132852856965E-3</v>
      </c>
    </row>
    <row r="33" spans="1:12" s="598" customFormat="1" ht="16.5" customHeight="1">
      <c r="A33" s="595"/>
      <c r="B33" s="1153"/>
      <c r="C33" s="1153"/>
      <c r="D33" s="1153"/>
      <c r="E33" s="1153"/>
      <c r="F33" s="642"/>
      <c r="G33" s="642"/>
    </row>
    <row r="34" spans="1:12" s="591" customFormat="1" ht="16.5" customHeight="1">
      <c r="A34" s="595">
        <f>'[3]Kano Budget'!A324</f>
        <v>5</v>
      </c>
      <c r="B34" s="1166" t="str">
        <f>'[4]Kwara Budget'!B201:F201</f>
        <v>ADMINISTRATION OF SPAQ TO ELIGIBLE CHILDREN (SMC CAMPAIGN PERSONNEL)</v>
      </c>
      <c r="C34" s="1166"/>
      <c r="D34" s="1166"/>
      <c r="E34" s="601"/>
      <c r="F34" s="646"/>
      <c r="G34" s="646"/>
    </row>
    <row r="35" spans="1:12" s="598" customFormat="1" ht="16.5" customHeight="1">
      <c r="A35" s="595"/>
      <c r="B35" s="625" t="str">
        <f>'[4]Kwara Budget'!B203</f>
        <v>5.1 Distribution Allowance for CDDs</v>
      </c>
      <c r="C35" s="625"/>
      <c r="D35" s="625"/>
      <c r="E35" s="599">
        <f>'[4]Kwara Budget'!F207</f>
        <v>446946575.34246582</v>
      </c>
      <c r="F35" s="642"/>
      <c r="G35" s="642">
        <f t="shared" ref="G35:G42" si="1">SUM(E35:F35)</f>
        <v>446946575.34246582</v>
      </c>
      <c r="J35" s="598" t="s">
        <v>2322</v>
      </c>
    </row>
    <row r="36" spans="1:12" s="598" customFormat="1" ht="16.5" customHeight="1">
      <c r="A36" s="595"/>
      <c r="B36" s="625" t="str">
        <f>'[4]Kwara Budget'!B208</f>
        <v>5.2 Transport Allowance for  CDD Recorder Provisioning and Reconciliation days</v>
      </c>
      <c r="C36" s="625"/>
      <c r="D36" s="625"/>
      <c r="E36" s="599">
        <f>'[4]Kwara Budget'!F212</f>
        <v>26816794.520547949</v>
      </c>
      <c r="F36" s="642"/>
      <c r="G36" s="642">
        <f t="shared" si="1"/>
        <v>26816794.520547949</v>
      </c>
      <c r="J36" s="598" t="s">
        <v>2322</v>
      </c>
    </row>
    <row r="37" spans="1:12" s="598" customFormat="1" ht="16.5" customHeight="1">
      <c r="A37" s="595"/>
      <c r="B37" s="625" t="str">
        <f>'[4]Kwara Budget'!B215</f>
        <v xml:space="preserve">5.3 Distribution Allowances for Town Announcers </v>
      </c>
      <c r="C37" s="625"/>
      <c r="D37" s="625"/>
      <c r="E37" s="599">
        <f>'[4]Kwara Budget'!F218</f>
        <v>66624000</v>
      </c>
      <c r="F37" s="642"/>
      <c r="G37" s="642">
        <f t="shared" si="1"/>
        <v>66624000</v>
      </c>
    </row>
    <row r="38" spans="1:12" s="598" customFormat="1" ht="16.5" customHeight="1">
      <c r="A38" s="595"/>
      <c r="B38" s="625" t="str">
        <f>'[4]Kwara Budget'!B221</f>
        <v>5.4 Distribution Allowances for Lead Mothers</v>
      </c>
      <c r="C38" s="625"/>
      <c r="D38" s="625"/>
      <c r="E38" s="599">
        <f>'[4]Kwara Budget'!F224</f>
        <v>0</v>
      </c>
      <c r="F38" s="642"/>
      <c r="G38" s="642">
        <f t="shared" si="1"/>
        <v>0</v>
      </c>
    </row>
    <row r="39" spans="1:12" s="598" customFormat="1" ht="16.5" customHeight="1">
      <c r="A39" s="595"/>
      <c r="B39" s="625" t="str">
        <f>'[4]Kwara Budget'!B227</f>
        <v>5.5 Distribution/Monitoring Allowance for health facility workers</v>
      </c>
      <c r="C39" s="625"/>
      <c r="D39" s="625"/>
      <c r="E39" s="599">
        <f>'[4]Kwara Budget'!F234</f>
        <v>114916000</v>
      </c>
      <c r="F39" s="642"/>
      <c r="G39" s="642">
        <f t="shared" si="1"/>
        <v>114916000</v>
      </c>
      <c r="J39" s="598" t="s">
        <v>2324</v>
      </c>
    </row>
    <row r="40" spans="1:12" s="598" customFormat="1" ht="16.5" customHeight="1">
      <c r="A40" s="595"/>
      <c r="B40" s="625" t="str">
        <f>'[4]Kwara Budget'!B237</f>
        <v>5.6 Distribution/Monitoring Allowance for LGA team</v>
      </c>
      <c r="C40" s="625"/>
      <c r="D40" s="625"/>
      <c r="E40" s="599">
        <f>'[4]Kwara Budget'!F242</f>
        <v>13992000</v>
      </c>
      <c r="F40" s="642"/>
      <c r="G40" s="642">
        <f t="shared" si="1"/>
        <v>13992000</v>
      </c>
      <c r="J40" s="598" t="s">
        <v>2324</v>
      </c>
    </row>
    <row r="41" spans="1:12" s="598" customFormat="1" ht="16.5" customHeight="1">
      <c r="A41" s="595"/>
      <c r="B41" s="625" t="str">
        <f>'[4]Kwara Budget'!B244</f>
        <v>5.7 Allowance for State team</v>
      </c>
      <c r="C41" s="625"/>
      <c r="D41" s="625"/>
      <c r="E41" s="599">
        <f>'[4]Kwara Budget'!F252</f>
        <v>8968000</v>
      </c>
      <c r="F41" s="642"/>
      <c r="G41" s="642">
        <f t="shared" si="1"/>
        <v>8968000</v>
      </c>
      <c r="J41" s="598" t="s">
        <v>2324</v>
      </c>
    </row>
    <row r="42" spans="1:12" s="598" customFormat="1" ht="16.5" customHeight="1">
      <c r="A42" s="595"/>
      <c r="B42" s="625" t="str">
        <f>'[4]Kwara Budget'!B254:C254</f>
        <v>5.8 Allowance LGA TAs  (10-days per cycle) to provide compliance oversight functions during campaign and  conduct post review after the campaign</v>
      </c>
      <c r="C42" s="625"/>
      <c r="D42" s="625"/>
      <c r="E42" s="599">
        <f>'[4]Kwara Budget'!F257</f>
        <v>11000000</v>
      </c>
      <c r="F42" s="642"/>
      <c r="G42" s="642">
        <f t="shared" si="1"/>
        <v>11000000</v>
      </c>
      <c r="J42" s="598" t="s">
        <v>2324</v>
      </c>
    </row>
    <row r="43" spans="1:12" s="591" customFormat="1" ht="16.5" customHeight="1">
      <c r="A43" s="595"/>
      <c r="B43" s="1158" t="s">
        <v>2325</v>
      </c>
      <c r="C43" s="1158"/>
      <c r="D43" s="1158"/>
      <c r="E43" s="600">
        <f>SUM(E35:E42)</f>
        <v>689263369.86301374</v>
      </c>
      <c r="F43" s="600">
        <f>SUM(F35:F42)</f>
        <v>0</v>
      </c>
      <c r="G43" s="600">
        <f>SUM(G35:G42)</f>
        <v>689263369.86301374</v>
      </c>
      <c r="H43" s="591">
        <v>30.010999999999999</v>
      </c>
      <c r="I43" s="650">
        <f>G43/$G$59</f>
        <v>0.79436656788578441</v>
      </c>
      <c r="L43" s="651"/>
    </row>
    <row r="44" spans="1:12" s="598" customFormat="1" ht="16.5" customHeight="1">
      <c r="A44" s="595"/>
      <c r="B44" s="1153"/>
      <c r="C44" s="1153"/>
      <c r="D44" s="1153"/>
      <c r="E44" s="1153"/>
      <c r="F44" s="642"/>
      <c r="G44" s="642"/>
    </row>
    <row r="45" spans="1:12" s="591" customFormat="1" ht="16.5" customHeight="1">
      <c r="A45" s="595">
        <f>'[3]Kano Budget'!A374</f>
        <v>6</v>
      </c>
      <c r="B45" s="1160" t="str">
        <f>'[4]Kwara Budget'!B259</f>
        <v>NON-SMC PERSONNEL COST</v>
      </c>
      <c r="C45" s="1160"/>
      <c r="D45" s="1160"/>
      <c r="E45" s="1160"/>
      <c r="F45" s="646"/>
      <c r="G45" s="646"/>
    </row>
    <row r="46" spans="1:12" s="598" customFormat="1" ht="16.5" customHeight="1">
      <c r="A46" s="595"/>
      <c r="B46" s="1159"/>
      <c r="C46" s="1159"/>
      <c r="D46" s="1159"/>
      <c r="E46" s="599">
        <v>0</v>
      </c>
      <c r="F46" s="642"/>
      <c r="G46" s="642"/>
    </row>
    <row r="47" spans="1:12" s="598" customFormat="1" ht="16.5" customHeight="1">
      <c r="A47" s="595"/>
      <c r="B47" s="1171" t="str">
        <f>'[4]Kwara Budget'!B260</f>
        <v>6.1 Biodata capturing  for SMC Personnel</v>
      </c>
      <c r="C47" s="1171"/>
      <c r="D47" s="1171"/>
      <c r="E47" s="596">
        <f>'[4]Kwara Budget'!F265</f>
        <v>0</v>
      </c>
      <c r="F47" s="642"/>
      <c r="G47" s="642">
        <f>SUM(E47:F47)</f>
        <v>0</v>
      </c>
      <c r="J47" s="598" t="s">
        <v>2324</v>
      </c>
    </row>
    <row r="48" spans="1:12" s="598" customFormat="1" ht="16.5" customHeight="1">
      <c r="A48" s="595"/>
      <c r="B48" s="1159" t="str">
        <f>'[4]Kwara Budget'!B268:C268</f>
        <v>6.2 End of Cycle Review Meetings at state level (4cycles)</v>
      </c>
      <c r="C48" s="1159"/>
      <c r="D48" s="1159"/>
      <c r="E48" s="599">
        <f>'[4]Kwara Budget'!F277</f>
        <v>4923200</v>
      </c>
      <c r="F48" s="642"/>
      <c r="G48" s="642">
        <f>SUM(E48:F48)</f>
        <v>4923200</v>
      </c>
      <c r="J48" s="598" t="s">
        <v>2324</v>
      </c>
    </row>
    <row r="49" spans="1:12" s="598" customFormat="1" ht="16.5" customHeight="1">
      <c r="A49" s="595"/>
      <c r="B49" s="1171" t="str">
        <f>'[4]Kwara Budget'!B280:C280</f>
        <v>6.3 Allowance for SMEP personnels and TAs</v>
      </c>
      <c r="C49" s="1171"/>
      <c r="D49" s="1171"/>
      <c r="E49" s="599">
        <f>'[4]Kwara Budget'!F291</f>
        <v>11198200</v>
      </c>
      <c r="F49" s="642"/>
      <c r="G49" s="642">
        <f>SUM(E49:F49)</f>
        <v>11198200</v>
      </c>
      <c r="J49" s="598" t="s">
        <v>2324</v>
      </c>
    </row>
    <row r="50" spans="1:12" s="598" customFormat="1" ht="16.5" customHeight="1">
      <c r="A50" s="595"/>
      <c r="B50" s="1159"/>
      <c r="C50" s="1159"/>
      <c r="D50" s="1159"/>
      <c r="E50" s="599"/>
      <c r="F50" s="642"/>
      <c r="G50" s="642">
        <f>SUM(E50:F50)</f>
        <v>0</v>
      </c>
    </row>
    <row r="51" spans="1:12" s="591" customFormat="1" ht="16.5" customHeight="1">
      <c r="B51" s="1158" t="s">
        <v>209</v>
      </c>
      <c r="C51" s="1158"/>
      <c r="D51" s="1158"/>
      <c r="E51" s="600">
        <f>SUM(E46:E50)</f>
        <v>16121400</v>
      </c>
      <c r="F51" s="600">
        <f>SUM(F46:F50)</f>
        <v>0</v>
      </c>
      <c r="G51" s="600">
        <f>SUM(G46:G50)</f>
        <v>16121400</v>
      </c>
      <c r="H51" s="591">
        <v>30.009</v>
      </c>
      <c r="I51" s="644">
        <f>G51/$G$59</f>
        <v>1.8579692099493183E-2</v>
      </c>
    </row>
    <row r="52" spans="1:12" s="591" customFormat="1" ht="16.5" customHeight="1">
      <c r="A52" s="652">
        <v>7</v>
      </c>
      <c r="B52" s="1167" t="s">
        <v>2326</v>
      </c>
      <c r="C52" s="1168"/>
      <c r="D52" s="1169"/>
      <c r="E52" s="600"/>
      <c r="F52" s="600"/>
      <c r="G52" s="600"/>
      <c r="I52" s="644"/>
    </row>
    <row r="53" spans="1:12" s="591" customFormat="1" ht="16.5" customHeight="1">
      <c r="A53" s="652"/>
      <c r="B53" s="624"/>
      <c r="C53" s="645"/>
      <c r="D53" s="645"/>
      <c r="E53" s="653"/>
      <c r="F53" s="654"/>
      <c r="G53" s="642">
        <f>SUM(E53:F53)</f>
        <v>0</v>
      </c>
      <c r="J53" s="598" t="s">
        <v>2327</v>
      </c>
    </row>
    <row r="54" spans="1:12" s="591" customFormat="1" ht="18.75" customHeight="1">
      <c r="A54" s="652"/>
      <c r="B54" s="624"/>
      <c r="C54" s="645"/>
      <c r="D54" s="645"/>
      <c r="E54" s="653"/>
      <c r="F54" s="654"/>
      <c r="G54" s="642">
        <f>SUM(E54:F54)</f>
        <v>0</v>
      </c>
      <c r="J54" s="598" t="s">
        <v>2327</v>
      </c>
    </row>
    <row r="55" spans="1:12" s="591" customFormat="1" ht="18.75" customHeight="1">
      <c r="B55" s="625"/>
      <c r="C55" s="626"/>
      <c r="D55" s="626"/>
      <c r="E55" s="653"/>
      <c r="F55" s="654"/>
      <c r="G55" s="642">
        <f>SUM(E55:F55)</f>
        <v>0</v>
      </c>
      <c r="J55" s="598" t="s">
        <v>2327</v>
      </c>
    </row>
    <row r="56" spans="1:12" s="591" customFormat="1" ht="46.35" customHeight="1">
      <c r="B56" s="626"/>
      <c r="C56" s="626"/>
      <c r="D56" s="626"/>
      <c r="E56" s="600">
        <f>SUM(E53:E55)</f>
        <v>0</v>
      </c>
      <c r="F56" s="600">
        <f>SUM(F54:F55)</f>
        <v>0</v>
      </c>
      <c r="G56" s="600">
        <f>SUM(G53:G55)</f>
        <v>0</v>
      </c>
      <c r="I56" s="644">
        <f>G56/$G$59</f>
        <v>0</v>
      </c>
      <c r="J56" s="655" t="s">
        <v>2328</v>
      </c>
      <c r="K56" s="591" t="s">
        <v>2329</v>
      </c>
      <c r="L56" s="591" t="s">
        <v>2330</v>
      </c>
    </row>
    <row r="57" spans="1:12" s="598" customFormat="1" ht="14.25">
      <c r="B57" s="1170"/>
      <c r="C57" s="1170"/>
      <c r="D57" s="1170"/>
      <c r="E57" s="1170"/>
      <c r="F57" s="642"/>
      <c r="G57" s="642"/>
    </row>
    <row r="58" spans="1:12" s="598" customFormat="1" ht="14.25">
      <c r="B58" s="597"/>
      <c r="C58" s="597"/>
      <c r="D58" s="656"/>
      <c r="E58" s="596"/>
      <c r="F58" s="642"/>
      <c r="G58" s="642"/>
    </row>
    <row r="59" spans="1:12" ht="20.25" customHeight="1">
      <c r="B59" s="3"/>
      <c r="C59" s="3"/>
      <c r="D59" s="657" t="s">
        <v>2331</v>
      </c>
      <c r="E59" s="658">
        <f>E9+E16+E25+E32+E43+E51+E56</f>
        <v>809403932.1095891</v>
      </c>
      <c r="F59" s="658">
        <f>F9+F16+F25+F32+F43+F51+F56</f>
        <v>58285366.166767128</v>
      </c>
      <c r="G59" s="658">
        <f>G9+G16+G25+G32+G43+G51+G56</f>
        <v>867689298.27635622</v>
      </c>
      <c r="H59" s="659"/>
      <c r="I59" s="644">
        <f>SUM(I3:I58)</f>
        <v>1</v>
      </c>
      <c r="J59" s="660"/>
      <c r="L59" s="598"/>
    </row>
    <row r="60" spans="1:12" ht="20.25" customHeight="1">
      <c r="B60" s="3"/>
      <c r="C60" s="3"/>
      <c r="D60" s="657" t="s">
        <v>2332</v>
      </c>
      <c r="E60" s="661">
        <f>E59/1000</f>
        <v>809403.93210958911</v>
      </c>
      <c r="F60" s="661">
        <f>F59/1000</f>
        <v>58285.366166767126</v>
      </c>
      <c r="G60" s="661">
        <f>G59/1000</f>
        <v>867689.29827635619</v>
      </c>
      <c r="H60" s="604"/>
    </row>
    <row r="61" spans="1:12" ht="20.25" customHeight="1">
      <c r="B61" s="3"/>
      <c r="C61" s="3"/>
      <c r="D61" s="657" t="s">
        <v>2333</v>
      </c>
      <c r="E61" s="661">
        <f>'[4]Quantifications_Personnel&amp;Tools'!C9</f>
        <v>652542</v>
      </c>
      <c r="F61" s="662">
        <f>'[4]Quantifications_Personnel&amp;Tools'!C9</f>
        <v>652542</v>
      </c>
      <c r="G61" s="662">
        <f>'[4]Quantifications_Personnel&amp;Tools'!C9</f>
        <v>652542</v>
      </c>
    </row>
    <row r="62" spans="1:12" ht="20.25" customHeight="1">
      <c r="B62" s="3"/>
      <c r="C62" s="3"/>
      <c r="D62" s="657" t="s">
        <v>2334</v>
      </c>
      <c r="E62" s="663"/>
      <c r="F62" s="663"/>
      <c r="G62" s="663">
        <f>G59/G61</f>
        <v>1329.7064377103025</v>
      </c>
      <c r="H62" s="664"/>
    </row>
    <row r="63" spans="1:12" ht="20.25" customHeight="1">
      <c r="B63" s="3"/>
      <c r="C63" s="3"/>
      <c r="D63" s="657" t="s">
        <v>2335</v>
      </c>
      <c r="E63" s="665"/>
      <c r="F63" s="665"/>
      <c r="G63" s="665">
        <f>G60/G61</f>
        <v>1.3297064377103025</v>
      </c>
      <c r="I63" s="604"/>
    </row>
    <row r="64" spans="1:12">
      <c r="D64" s="666" t="s">
        <v>2336</v>
      </c>
      <c r="G64" s="725">
        <f>G63*1600</f>
        <v>2127.5303003364838</v>
      </c>
      <c r="H64" s="724">
        <v>2128</v>
      </c>
    </row>
  </sheetData>
  <mergeCells count="40">
    <mergeCell ref="B50:D50"/>
    <mergeCell ref="B51:D51"/>
    <mergeCell ref="B52:D52"/>
    <mergeCell ref="B57:E57"/>
    <mergeCell ref="B44:E44"/>
    <mergeCell ref="B45:E45"/>
    <mergeCell ref="B46:D46"/>
    <mergeCell ref="B47:D47"/>
    <mergeCell ref="B48:D48"/>
    <mergeCell ref="B49:D49"/>
    <mergeCell ref="B43:D43"/>
    <mergeCell ref="B24:D24"/>
    <mergeCell ref="B25:D25"/>
    <mergeCell ref="B26:E26"/>
    <mergeCell ref="B27:E27"/>
    <mergeCell ref="B28:D28"/>
    <mergeCell ref="B29:D29"/>
    <mergeCell ref="B30:D30"/>
    <mergeCell ref="B31:D31"/>
    <mergeCell ref="B32:D32"/>
    <mergeCell ref="B33:E33"/>
    <mergeCell ref="B34:D34"/>
    <mergeCell ref="B23:D23"/>
    <mergeCell ref="B11:E11"/>
    <mergeCell ref="B12:D12"/>
    <mergeCell ref="B13:D13"/>
    <mergeCell ref="B14:D14"/>
    <mergeCell ref="B16:D16"/>
    <mergeCell ref="B17:E17"/>
    <mergeCell ref="B18:E18"/>
    <mergeCell ref="B19:D19"/>
    <mergeCell ref="B20:D20"/>
    <mergeCell ref="B21:D21"/>
    <mergeCell ref="B22:D22"/>
    <mergeCell ref="B10:E10"/>
    <mergeCell ref="B1:G1"/>
    <mergeCell ref="B2:D2"/>
    <mergeCell ref="B3:E3"/>
    <mergeCell ref="J4:J8"/>
    <mergeCell ref="B9:D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499984740745262"/>
    <pageSetUpPr autoPageBreaks="0"/>
  </sheetPr>
  <dimension ref="B2:B3"/>
  <sheetViews>
    <sheetView showRowColHeaders="0" zoomScale="60" zoomScaleNormal="60" workbookViewId="0"/>
  </sheetViews>
  <sheetFormatPr defaultColWidth="12.28515625" defaultRowHeight="15"/>
  <cols>
    <col min="1" max="16384" width="12.28515625" style="2"/>
  </cols>
  <sheetData>
    <row r="2" spans="2:2" ht="36">
      <c r="B2" s="1" t="s">
        <v>20</v>
      </c>
    </row>
    <row r="3" spans="2:2" ht="36">
      <c r="B3" s="1" t="s">
        <v>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AE49"/>
  <sheetViews>
    <sheetView showRowColHeaders="0" topLeftCell="W13" zoomScale="60" zoomScaleNormal="60" workbookViewId="0">
      <selection activeCell="X13" sqref="X13"/>
    </sheetView>
  </sheetViews>
  <sheetFormatPr defaultColWidth="9.140625" defaultRowHeight="15" outlineLevelCol="1"/>
  <cols>
    <col min="1" max="3" width="2.7109375" style="2" customWidth="1"/>
    <col min="4" max="4" width="15.85546875" style="2" customWidth="1"/>
    <col min="5" max="5" width="5.42578125" style="2" hidden="1" customWidth="1"/>
    <col min="6" max="6" width="73.140625" style="2" customWidth="1"/>
    <col min="7" max="7" width="15.7109375" style="2" customWidth="1"/>
    <col min="8" max="12" width="15.7109375" style="2" customWidth="1" outlineLevel="1"/>
    <col min="13" max="13" width="15.7109375" style="2" customWidth="1"/>
    <col min="14" max="18" width="15.7109375" style="2" customWidth="1" outlineLevel="1"/>
    <col min="19" max="21" width="2.7109375" style="2" customWidth="1"/>
    <col min="22" max="16384" width="9.140625" style="2"/>
  </cols>
  <sheetData>
    <row r="1" spans="1:31">
      <c r="A1" s="10"/>
      <c r="B1" s="10"/>
      <c r="C1" s="10"/>
      <c r="D1" s="10"/>
      <c r="E1" s="10"/>
      <c r="F1" s="10"/>
      <c r="G1" s="10"/>
      <c r="H1" s="10"/>
      <c r="I1" s="10"/>
      <c r="J1" s="10"/>
      <c r="K1" s="10"/>
      <c r="L1" s="10"/>
      <c r="M1" s="10"/>
      <c r="N1" s="10"/>
      <c r="O1" s="10"/>
      <c r="P1" s="10"/>
      <c r="Q1" s="10"/>
      <c r="R1" s="10"/>
      <c r="S1" s="10"/>
      <c r="T1" s="10"/>
      <c r="U1" s="10"/>
    </row>
    <row r="2" spans="1:31">
      <c r="A2" s="10"/>
      <c r="B2" s="12"/>
      <c r="C2" s="12"/>
      <c r="D2" s="12"/>
      <c r="E2" s="12"/>
      <c r="F2" s="12"/>
      <c r="G2" s="12"/>
      <c r="H2" s="12"/>
      <c r="I2" s="12"/>
      <c r="J2" s="12"/>
      <c r="K2" s="12"/>
      <c r="L2" s="12"/>
      <c r="M2" s="12"/>
      <c r="N2" s="12"/>
      <c r="O2" s="12"/>
      <c r="P2" s="12"/>
      <c r="Q2" s="12"/>
      <c r="R2" s="12"/>
      <c r="S2" s="12"/>
      <c r="T2" s="12"/>
      <c r="U2" s="10"/>
    </row>
    <row r="3" spans="1:31">
      <c r="A3" s="10"/>
      <c r="B3" s="12"/>
      <c r="T3" s="12"/>
      <c r="U3" s="10"/>
    </row>
    <row r="4" spans="1:31" ht="23.25">
      <c r="A4" s="10"/>
      <c r="B4" s="12"/>
      <c r="D4" s="65" t="s">
        <v>150</v>
      </c>
      <c r="E4" s="65"/>
      <c r="F4" s="66"/>
      <c r="G4" s="66"/>
      <c r="H4" s="66"/>
      <c r="I4" s="66"/>
      <c r="J4" s="66"/>
      <c r="K4" s="66"/>
      <c r="L4" s="66"/>
      <c r="M4" s="66"/>
      <c r="N4" s="66"/>
      <c r="O4" s="66"/>
      <c r="P4" s="66"/>
      <c r="Q4" s="66"/>
      <c r="R4" s="66"/>
      <c r="T4" s="12"/>
      <c r="U4" s="10"/>
    </row>
    <row r="5" spans="1:31" ht="15" customHeight="1">
      <c r="A5" s="10"/>
      <c r="B5" s="12"/>
      <c r="D5" s="64"/>
      <c r="E5" s="64"/>
      <c r="T5" s="12"/>
      <c r="U5" s="10"/>
    </row>
    <row r="6" spans="1:31" ht="30" customHeight="1">
      <c r="A6" s="10"/>
      <c r="B6" s="12"/>
      <c r="G6" s="67" t="str">
        <f>LCU</f>
        <v>NGN</v>
      </c>
      <c r="H6" s="68"/>
      <c r="I6" s="68"/>
      <c r="J6" s="68"/>
      <c r="K6" s="68"/>
      <c r="L6" s="69"/>
      <c r="M6" s="68" t="str">
        <f>ACU</f>
        <v>USD</v>
      </c>
      <c r="N6" s="68"/>
      <c r="O6" s="68"/>
      <c r="P6" s="68"/>
      <c r="Q6" s="68"/>
      <c r="R6" s="70"/>
      <c r="T6" s="12"/>
      <c r="U6" s="10"/>
    </row>
    <row r="7" spans="1:31" ht="30" customHeight="1">
      <c r="A7" s="10"/>
      <c r="B7" s="12"/>
      <c r="G7" s="159" t="s">
        <v>22</v>
      </c>
      <c r="H7" s="155" t="str">
        <f>LEFT(TblDetailBudget[[#Headers],[2021 Quant]], 4)</f>
        <v>2021</v>
      </c>
      <c r="I7" s="149">
        <f>H7+1</f>
        <v>2022</v>
      </c>
      <c r="J7" s="149">
        <f>I7+1</f>
        <v>2023</v>
      </c>
      <c r="K7" s="149">
        <f>J7+1</f>
        <v>2024</v>
      </c>
      <c r="L7" s="149">
        <f>K7+1</f>
        <v>2025</v>
      </c>
      <c r="M7" s="159" t="s">
        <v>22</v>
      </c>
      <c r="N7" s="155" t="str">
        <f>H7</f>
        <v>2021</v>
      </c>
      <c r="O7" s="155">
        <f>I7</f>
        <v>2022</v>
      </c>
      <c r="P7" s="155">
        <f>J7</f>
        <v>2023</v>
      </c>
      <c r="Q7" s="155">
        <f>K7</f>
        <v>2024</v>
      </c>
      <c r="R7" s="155">
        <f>L7</f>
        <v>2025</v>
      </c>
      <c r="T7" s="12"/>
      <c r="U7" s="10"/>
    </row>
    <row r="8" spans="1:31" ht="30" customHeight="1">
      <c r="A8" s="10"/>
      <c r="B8" s="12"/>
      <c r="G8" s="160">
        <f>SUMIFS(TblDetailBudget[Total Cost (LCU)], TblDetailBudget[Level], LvlBottomHdr)</f>
        <v>7333767706282.3906</v>
      </c>
      <c r="H8" s="156">
        <f>SUMIFS(TblDetailBudget[2021 Cost (LCU)], TblDetailBudget[Level], LvlBottomHdr)</f>
        <v>0</v>
      </c>
      <c r="I8" s="84">
        <f>SUMIFS(TblDetailBudget[2022 Cost (LCU)], TblDetailBudget[Level], LvlBottomHdr)</f>
        <v>0</v>
      </c>
      <c r="J8" s="84">
        <f>SUMIFS(TblDetailBudget[2023 Cost (LCU)], TblDetailBudget[Level], LvlBottomHdr)</f>
        <v>0</v>
      </c>
      <c r="K8" s="84">
        <f>SUMIFS(TblDetailBudget[2024 Cost (LCU)], TblDetailBudget[Level], LvlBottomHdr)</f>
        <v>0</v>
      </c>
      <c r="L8" s="150">
        <f>SUMIFS(TblDetailBudget[2025 Cost (LCU)], TblDetailBudget[Level], LvlBottomHdr)</f>
        <v>7333767706282.3906</v>
      </c>
      <c r="M8" s="160">
        <f>SUMIFS(TblDetailBudget[Total Cost (USD)], TblDetailBudget[Level], LvlBottomHdr)</f>
        <v>4583604816.4264965</v>
      </c>
      <c r="N8" s="156">
        <f>SUMIFS(TblDetailBudget[2021 Cost (USD)], TblDetailBudget[Level], LvlBottomHdr)</f>
        <v>0</v>
      </c>
      <c r="O8" s="84">
        <f>SUMIFS(TblDetailBudget[2022 Cost (USD)], TblDetailBudget[Level], LvlBottomHdr)</f>
        <v>0</v>
      </c>
      <c r="P8" s="84">
        <f>SUMIFS(TblDetailBudget[2023 Cost (USD)], TblDetailBudget[Level], LvlBottomHdr)</f>
        <v>0</v>
      </c>
      <c r="Q8" s="84">
        <f>SUMIFS(TblDetailBudget[2024 Cost (USD)], TblDetailBudget[Level], LvlBottomHdr)</f>
        <v>0</v>
      </c>
      <c r="R8" s="84">
        <f>SUMIFS(TblDetailBudget[2025 Cost (USD)], TblDetailBudget[Level], LvlBottomHdr)</f>
        <v>4583604816.4264965</v>
      </c>
      <c r="T8" s="12"/>
      <c r="U8" s="10"/>
      <c r="W8" s="77" t="str">
        <f t="shared" ref="W8:W13" si="0">D9</f>
        <v>Objective 1</v>
      </c>
      <c r="X8" s="77"/>
      <c r="Y8" s="77"/>
      <c r="Z8" s="77"/>
      <c r="AA8" s="78" t="e">
        <f t="shared" ref="AA8:AE12" si="1">H9/H$8</f>
        <v>#DIV/0!</v>
      </c>
      <c r="AB8" s="78" t="e">
        <f t="shared" si="1"/>
        <v>#DIV/0!</v>
      </c>
      <c r="AC8" s="78" t="e">
        <f t="shared" si="1"/>
        <v>#DIV/0!</v>
      </c>
      <c r="AD8" s="78" t="e">
        <f t="shared" si="1"/>
        <v>#DIV/0!</v>
      </c>
      <c r="AE8" s="78">
        <f t="shared" si="1"/>
        <v>0.93514547670706094</v>
      </c>
    </row>
    <row r="9" spans="1:31" ht="30" customHeight="1">
      <c r="A9" s="10"/>
      <c r="B9" s="12"/>
      <c r="D9" s="74" t="str">
        <f t="shared" ref="D9:D14" si="2">"Objective "&amp;$E9</f>
        <v>Objective 1</v>
      </c>
      <c r="E9" s="75">
        <v>1</v>
      </c>
      <c r="F9" s="153" t="str">
        <f>INDEX(TblDetailBudget[Row Title], MATCH(TEXT(E9, 0), TblDetailBudget[Numbering], 0))</f>
        <v>Improve access and utilization of vector control interventions to at least 80% of targeted population by 2025</v>
      </c>
      <c r="G9" s="161">
        <f>SUMIFS(TblDetailBudget[Total Cost (LCU)], TblDetailBudget[Level], LvlBottomHdr, TblDetailBudget[Lvl 1 Header], $E9)</f>
        <v>6858139697750.2949</v>
      </c>
      <c r="H9" s="157">
        <f>SUMIFS(TblDetailBudget[2021 Cost (LCU)], TblDetailBudget[Level], LvlBottomHdr, TblDetailBudget[Lvl 1 Header], $E9)</f>
        <v>0</v>
      </c>
      <c r="I9" s="80">
        <f>SUMIFS(TblDetailBudget[2022 Cost (LCU)], TblDetailBudget[Level], LvlBottomHdr, TblDetailBudget[Lvl 1 Header], $E9)</f>
        <v>0</v>
      </c>
      <c r="J9" s="80">
        <f>SUMIFS(TblDetailBudget[2023 Cost (LCU)], TblDetailBudget[Level], LvlBottomHdr, TblDetailBudget[Lvl 1 Header], $E9)</f>
        <v>0</v>
      </c>
      <c r="K9" s="80">
        <f>SUMIFS(TblDetailBudget[2024 Cost (LCU)], TblDetailBudget[Level], LvlBottomHdr, TblDetailBudget[Lvl 1 Header], $E9)</f>
        <v>0</v>
      </c>
      <c r="L9" s="151">
        <f>SUMIFS(TblDetailBudget[2025 Cost (LCU)], TblDetailBudget[Level], LvlBottomHdr, TblDetailBudget[Lvl 1 Header], $E9)</f>
        <v>6858139697750.2949</v>
      </c>
      <c r="M9" s="161">
        <f>SUMIFS(TblDetailBudget[Total Cost (USD)], TblDetailBudget[Level], LvlBottomHdr, TblDetailBudget[Lvl 1 Header], $E9)</f>
        <v>4286337311.0939341</v>
      </c>
      <c r="N9" s="157">
        <f>SUMIFS(TblDetailBudget[2021 Cost (USD)], TblDetailBudget[Level], LvlBottomHdr, TblDetailBudget[Lvl 1 Header], $E9)</f>
        <v>0</v>
      </c>
      <c r="O9" s="80">
        <f>SUMIFS(TblDetailBudget[2022 Cost (USD)], TblDetailBudget[Level], LvlBottomHdr, TblDetailBudget[Lvl 1 Header], $E9)</f>
        <v>0</v>
      </c>
      <c r="P9" s="80">
        <f>SUMIFS(TblDetailBudget[2023 Cost (USD)], TblDetailBudget[Level], LvlBottomHdr, TblDetailBudget[Lvl 1 Header], $E9)</f>
        <v>0</v>
      </c>
      <c r="Q9" s="80">
        <f>SUMIFS(TblDetailBudget[2024 Cost (USD)], TblDetailBudget[Level], LvlBottomHdr, TblDetailBudget[Lvl 1 Header], $E9)</f>
        <v>0</v>
      </c>
      <c r="R9" s="80">
        <f>SUMIFS(TblDetailBudget[2025 Cost (USD)], TblDetailBudget[Level], LvlBottomHdr, TblDetailBudget[Lvl 1 Header], $E9)</f>
        <v>4286337311.0939341</v>
      </c>
      <c r="T9" s="12"/>
      <c r="U9" s="10"/>
      <c r="W9" s="77" t="str">
        <f t="shared" si="0"/>
        <v>Objective 2</v>
      </c>
      <c r="X9" s="77"/>
      <c r="Y9" s="77"/>
      <c r="Z9" s="77"/>
      <c r="AA9" s="78" t="e">
        <f t="shared" si="1"/>
        <v>#DIV/0!</v>
      </c>
      <c r="AB9" s="78" t="e">
        <f t="shared" si="1"/>
        <v>#DIV/0!</v>
      </c>
      <c r="AC9" s="78" t="e">
        <f t="shared" si="1"/>
        <v>#DIV/0!</v>
      </c>
      <c r="AD9" s="78" t="e">
        <f t="shared" si="1"/>
        <v>#DIV/0!</v>
      </c>
      <c r="AE9" s="78">
        <f t="shared" si="1"/>
        <v>6.0179249023939972E-2</v>
      </c>
    </row>
    <row r="10" spans="1:31" ht="30" customHeight="1">
      <c r="A10" s="10"/>
      <c r="B10" s="12"/>
      <c r="D10" s="71" t="str">
        <f t="shared" si="2"/>
        <v>Objective 2</v>
      </c>
      <c r="E10" s="72">
        <v>2</v>
      </c>
      <c r="F10" s="154" t="str">
        <f>INDEX(TblDetailBudget[Row Title], MATCH(TEXT(E10, 0), TblDetailBudget[Numbering], 0))</f>
        <v>Ensure provision of chemoprevention, diagnosis and appropriate treatment for 80% of the target populations at risk by 2025</v>
      </c>
      <c r="G10" s="162">
        <f>SUMIFS(TblDetailBudget[Total Cost (LCU)], TblDetailBudget[Level], LvlBottomHdr, TblDetailBudget[Lvl 1 Header], $E10)</f>
        <v>441340633080.09705</v>
      </c>
      <c r="H10" s="158">
        <f>SUMIFS(TblDetailBudget[2021 Cost (LCU)], TblDetailBudget[Level], LvlBottomHdr, TblDetailBudget[Lvl 1 Header], $E10)</f>
        <v>0</v>
      </c>
      <c r="I10" s="81">
        <f>SUMIFS(TblDetailBudget[2022 Cost (LCU)], TblDetailBudget[Level], LvlBottomHdr, TblDetailBudget[Lvl 1 Header], $E10)</f>
        <v>0</v>
      </c>
      <c r="J10" s="81">
        <f>SUMIFS(TblDetailBudget[2023 Cost (LCU)], TblDetailBudget[Level], LvlBottomHdr, TblDetailBudget[Lvl 1 Header], $E10)</f>
        <v>0</v>
      </c>
      <c r="K10" s="81">
        <f>SUMIFS(TblDetailBudget[2024 Cost (LCU)], TblDetailBudget[Level], LvlBottomHdr, TblDetailBudget[Lvl 1 Header], $E10)</f>
        <v>0</v>
      </c>
      <c r="L10" s="152">
        <f>SUMIFS(TblDetailBudget[2025 Cost (LCU)], TblDetailBudget[Level], LvlBottomHdr, TblDetailBudget[Lvl 1 Header], $E10)</f>
        <v>441340633080.09705</v>
      </c>
      <c r="M10" s="162">
        <f>SUMIFS(TblDetailBudget[Total Cost (USD)], TblDetailBudget[Level], LvlBottomHdr, TblDetailBudget[Lvl 1 Header], $E10)</f>
        <v>275837895.67506069</v>
      </c>
      <c r="N10" s="158">
        <f>SUMIFS(TblDetailBudget[2021 Cost (USD)], TblDetailBudget[Level], LvlBottomHdr, TblDetailBudget[Lvl 1 Header], $E10)</f>
        <v>0</v>
      </c>
      <c r="O10" s="81">
        <f>SUMIFS(TblDetailBudget[2022 Cost (USD)], TblDetailBudget[Level], LvlBottomHdr, TblDetailBudget[Lvl 1 Header], $E10)</f>
        <v>0</v>
      </c>
      <c r="P10" s="81">
        <f>SUMIFS(TblDetailBudget[2023 Cost (USD)], TblDetailBudget[Level], LvlBottomHdr, TblDetailBudget[Lvl 1 Header], $E10)</f>
        <v>0</v>
      </c>
      <c r="Q10" s="81">
        <f>SUMIFS(TblDetailBudget[2024 Cost (USD)], TblDetailBudget[Level], LvlBottomHdr, TblDetailBudget[Lvl 1 Header], $E10)</f>
        <v>0</v>
      </c>
      <c r="R10" s="81">
        <f>SUMIFS(TblDetailBudget[2025 Cost (USD)], TblDetailBudget[Level], LvlBottomHdr, TblDetailBudget[Lvl 1 Header], $E10)</f>
        <v>275837895.67506069</v>
      </c>
      <c r="T10" s="12"/>
      <c r="U10" s="10"/>
      <c r="W10" s="77" t="str">
        <f t="shared" si="0"/>
        <v>Objective 3</v>
      </c>
      <c r="X10" s="77"/>
      <c r="Y10" s="77"/>
      <c r="Z10" s="77"/>
      <c r="AA10" s="78" t="e">
        <f t="shared" si="1"/>
        <v>#DIV/0!</v>
      </c>
      <c r="AB10" s="78" t="e">
        <f t="shared" si="1"/>
        <v>#DIV/0!</v>
      </c>
      <c r="AC10" s="78" t="e">
        <f t="shared" si="1"/>
        <v>#DIV/0!</v>
      </c>
      <c r="AD10" s="78" t="e">
        <f t="shared" si="1"/>
        <v>#DIV/0!</v>
      </c>
      <c r="AE10" s="78">
        <f t="shared" si="1"/>
        <v>1.2433094828172761E-3</v>
      </c>
    </row>
    <row r="11" spans="1:31" ht="30" customHeight="1">
      <c r="A11" s="10"/>
      <c r="B11" s="12"/>
      <c r="D11" s="74" t="str">
        <f t="shared" si="2"/>
        <v>Objective 3</v>
      </c>
      <c r="E11" s="75">
        <v>3</v>
      </c>
      <c r="F11" s="153" t="str">
        <f>INDEX(TblDetailBudget[Row Title], MATCH(TEXT(E11, 0), TblDetailBudget[Numbering], 0))</f>
        <v>To improve generation of evidence for decision making and impact through reporting of quality malaria data and information from at least 80% of health facilities (public and private) and other data sources including surveillance, surveys and operations research by 2025</v>
      </c>
      <c r="G11" s="161">
        <f>SUMIFS(TblDetailBudget[Total Cost (LCU)], TblDetailBudget[Level], LvlBottomHdr, TblDetailBudget[Lvl 1 Header], $E11)</f>
        <v>9118142934</v>
      </c>
      <c r="H11" s="157">
        <f>SUMIFS(TblDetailBudget[2021 Cost (LCU)], TblDetailBudget[Level], LvlBottomHdr, TblDetailBudget[Lvl 1 Header], $E11)</f>
        <v>0</v>
      </c>
      <c r="I11" s="80">
        <f>SUMIFS(TblDetailBudget[2022 Cost (LCU)], TblDetailBudget[Level], LvlBottomHdr, TblDetailBudget[Lvl 1 Header], $E11)</f>
        <v>0</v>
      </c>
      <c r="J11" s="80">
        <f>SUMIFS(TblDetailBudget[2023 Cost (LCU)], TblDetailBudget[Level], LvlBottomHdr, TblDetailBudget[Lvl 1 Header], $E11)</f>
        <v>0</v>
      </c>
      <c r="K11" s="80">
        <f>SUMIFS(TblDetailBudget[2024 Cost (LCU)], TblDetailBudget[Level], LvlBottomHdr, TblDetailBudget[Lvl 1 Header], $E11)</f>
        <v>0</v>
      </c>
      <c r="L11" s="151">
        <f>SUMIFS(TblDetailBudget[2025 Cost (LCU)], TblDetailBudget[Level], LvlBottomHdr, TblDetailBudget[Lvl 1 Header], $E11)</f>
        <v>9118142934</v>
      </c>
      <c r="M11" s="161">
        <f>SUMIFS(TblDetailBudget[Total Cost (USD)], TblDetailBudget[Level], LvlBottomHdr, TblDetailBudget[Lvl 1 Header], $E11)</f>
        <v>5698839.3337500002</v>
      </c>
      <c r="N11" s="157">
        <f>SUMIFS(TblDetailBudget[2021 Cost (USD)], TblDetailBudget[Level], LvlBottomHdr, TblDetailBudget[Lvl 1 Header], $E11)</f>
        <v>0</v>
      </c>
      <c r="O11" s="80">
        <f>SUMIFS(TblDetailBudget[2022 Cost (USD)], TblDetailBudget[Level], LvlBottomHdr, TblDetailBudget[Lvl 1 Header], $E11)</f>
        <v>0</v>
      </c>
      <c r="P11" s="80">
        <f>SUMIFS(TblDetailBudget[2023 Cost (USD)], TblDetailBudget[Level], LvlBottomHdr, TblDetailBudget[Lvl 1 Header], $E11)</f>
        <v>0</v>
      </c>
      <c r="Q11" s="80">
        <f>SUMIFS(TblDetailBudget[2024 Cost (USD)], TblDetailBudget[Level], LvlBottomHdr, TblDetailBudget[Lvl 1 Header], $E11)</f>
        <v>0</v>
      </c>
      <c r="R11" s="80">
        <f>SUMIFS(TblDetailBudget[2025 Cost (USD)], TblDetailBudget[Level], LvlBottomHdr, TblDetailBudget[Lvl 1 Header], $E11)</f>
        <v>5698839.3337500002</v>
      </c>
      <c r="T11" s="12"/>
      <c r="U11" s="10"/>
      <c r="W11" s="77" t="str">
        <f t="shared" si="0"/>
        <v>Objective 4</v>
      </c>
      <c r="X11" s="77"/>
      <c r="Y11" s="77"/>
      <c r="Z11" s="77"/>
      <c r="AA11" s="78" t="e">
        <f t="shared" si="1"/>
        <v>#DIV/0!</v>
      </c>
      <c r="AB11" s="78" t="e">
        <f t="shared" si="1"/>
        <v>#DIV/0!</v>
      </c>
      <c r="AC11" s="78" t="e">
        <f t="shared" si="1"/>
        <v>#DIV/0!</v>
      </c>
      <c r="AD11" s="78" t="e">
        <f t="shared" si="1"/>
        <v>#DIV/0!</v>
      </c>
      <c r="AE11" s="78">
        <f t="shared" si="1"/>
        <v>3.417586092415961E-3</v>
      </c>
    </row>
    <row r="12" spans="1:31" ht="30" customHeight="1">
      <c r="A12" s="10"/>
      <c r="B12" s="12"/>
      <c r="D12" s="71" t="str">
        <f t="shared" si="2"/>
        <v>Objective 4</v>
      </c>
      <c r="E12" s="72">
        <v>4</v>
      </c>
      <c r="F12" s="154" t="str">
        <f>INDEX(TblDetailBudget[Row Title], MATCH(TEXT(E12, 0), TblDetailBudget[Numbering], 0))</f>
        <v>Strengthen coordination, collaboration, and strategic partnership to promote efficiency and effectiveness of malaria control activities towards achieving at least 75% improvement from baseline using a standardized OCA tool</v>
      </c>
      <c r="G12" s="162">
        <f>SUMIFS(TblDetailBudget[Total Cost (LCU)], TblDetailBudget[Level], LvlBottomHdr, TblDetailBudget[Lvl 1 Header], $E12)</f>
        <v>25063782518</v>
      </c>
      <c r="H12" s="158">
        <f>SUMIFS(TblDetailBudget[2021 Cost (LCU)], TblDetailBudget[Level], LvlBottomHdr, TblDetailBudget[Lvl 1 Header], $E12)</f>
        <v>0</v>
      </c>
      <c r="I12" s="81">
        <f>SUMIFS(TblDetailBudget[2022 Cost (LCU)], TblDetailBudget[Level], LvlBottomHdr, TblDetailBudget[Lvl 1 Header], $E12)</f>
        <v>0</v>
      </c>
      <c r="J12" s="81">
        <f>SUMIFS(TblDetailBudget[2023 Cost (LCU)], TblDetailBudget[Level], LvlBottomHdr, TblDetailBudget[Lvl 1 Header], $E12)</f>
        <v>0</v>
      </c>
      <c r="K12" s="81">
        <f>SUMIFS(TblDetailBudget[2024 Cost (LCU)], TblDetailBudget[Level], LvlBottomHdr, TblDetailBudget[Lvl 1 Header], $E12)</f>
        <v>0</v>
      </c>
      <c r="L12" s="152">
        <f>SUMIFS(TblDetailBudget[2025 Cost (LCU)], TblDetailBudget[Level], LvlBottomHdr, TblDetailBudget[Lvl 1 Header], $E12)</f>
        <v>25063782518</v>
      </c>
      <c r="M12" s="162">
        <f>SUMIFS(TblDetailBudget[Total Cost (USD)], TblDetailBudget[Level], LvlBottomHdr, TblDetailBudget[Lvl 1 Header], $E12)</f>
        <v>15664864.073749999</v>
      </c>
      <c r="N12" s="158">
        <f>SUMIFS(TblDetailBudget[2021 Cost (USD)], TblDetailBudget[Level], LvlBottomHdr, TblDetailBudget[Lvl 1 Header], $E12)</f>
        <v>0</v>
      </c>
      <c r="O12" s="81">
        <f>SUMIFS(TblDetailBudget[2022 Cost (USD)], TblDetailBudget[Level], LvlBottomHdr, TblDetailBudget[Lvl 1 Header], $E12)</f>
        <v>0</v>
      </c>
      <c r="P12" s="81">
        <f>SUMIFS(TblDetailBudget[2023 Cost (USD)], TblDetailBudget[Level], LvlBottomHdr, TblDetailBudget[Lvl 1 Header], $E12)</f>
        <v>0</v>
      </c>
      <c r="Q12" s="81">
        <f>SUMIFS(TblDetailBudget[2024 Cost (USD)], TblDetailBudget[Level], LvlBottomHdr, TblDetailBudget[Lvl 1 Header], $E12)</f>
        <v>0</v>
      </c>
      <c r="R12" s="81">
        <f>SUMIFS(TblDetailBudget[2025 Cost (USD)], TblDetailBudget[Level], LvlBottomHdr, TblDetailBudget[Lvl 1 Header], $E12)</f>
        <v>15664864.073749999</v>
      </c>
      <c r="T12" s="12"/>
      <c r="U12" s="10"/>
      <c r="W12" s="77" t="str">
        <f t="shared" si="0"/>
        <v>Objective 5</v>
      </c>
      <c r="X12" s="77"/>
      <c r="Y12" s="77"/>
      <c r="Z12" s="77"/>
      <c r="AA12" s="78" t="e">
        <f t="shared" si="1"/>
        <v>#DIV/0!</v>
      </c>
      <c r="AB12" s="78" t="e">
        <f t="shared" si="1"/>
        <v>#DIV/0!</v>
      </c>
      <c r="AC12" s="78" t="e">
        <f t="shared" si="1"/>
        <v>#DIV/0!</v>
      </c>
      <c r="AD12" s="78" t="e">
        <f t="shared" si="1"/>
        <v>#DIV/0!</v>
      </c>
      <c r="AE12" s="78">
        <f t="shared" si="1"/>
        <v>1.4378693766052534E-5</v>
      </c>
    </row>
    <row r="13" spans="1:31" ht="30" customHeight="1">
      <c r="A13" s="10"/>
      <c r="B13" s="12"/>
      <c r="D13" s="74" t="str">
        <f t="shared" si="2"/>
        <v>Objective 5</v>
      </c>
      <c r="E13" s="75">
        <v>5</v>
      </c>
      <c r="F13" s="153" t="str">
        <f>INDEX(TblDetailBudget[Row Title], MATCH(TEXT(E13, 0), TblDetailBudget[Numbering], 0))</f>
        <v>Improve funding for malaria control by at least 25% annually through predictable and innovative sources to ensure sustainability at federal and sub-national levels</v>
      </c>
      <c r="G13" s="161">
        <f>SUMIFS(TblDetailBudget[Total Cost (LCU)], TblDetailBudget[Level], LvlBottomHdr, TblDetailBudget[Lvl 1 Header], $E13)</f>
        <v>105450000</v>
      </c>
      <c r="H13" s="157">
        <f>SUMIFS(TblDetailBudget[2021 Cost (LCU)], TblDetailBudget[Level], LvlBottomHdr, TblDetailBudget[Lvl 1 Header], $E13)</f>
        <v>0</v>
      </c>
      <c r="I13" s="80">
        <f>SUMIFS(TblDetailBudget[2022 Cost (LCU)], TblDetailBudget[Level], LvlBottomHdr, TblDetailBudget[Lvl 1 Header], $E13)</f>
        <v>0</v>
      </c>
      <c r="J13" s="80">
        <f>SUMIFS(TblDetailBudget[2023 Cost (LCU)], TblDetailBudget[Level], LvlBottomHdr, TblDetailBudget[Lvl 1 Header], $E13)</f>
        <v>0</v>
      </c>
      <c r="K13" s="80">
        <f>SUMIFS(TblDetailBudget[2024 Cost (LCU)], TblDetailBudget[Level], LvlBottomHdr, TblDetailBudget[Lvl 1 Header], $E13)</f>
        <v>0</v>
      </c>
      <c r="L13" s="151">
        <f>SUMIFS(TblDetailBudget[2025 Cost (LCU)], TblDetailBudget[Level], LvlBottomHdr, TblDetailBudget[Lvl 1 Header], $E13)</f>
        <v>105450000</v>
      </c>
      <c r="M13" s="161">
        <f>SUMIFS(TblDetailBudget[Total Cost (USD)], TblDetailBudget[Level], LvlBottomHdr, TblDetailBudget[Lvl 1 Header], $E13)</f>
        <v>65906.25</v>
      </c>
      <c r="N13" s="157">
        <f>SUMIFS(TblDetailBudget[2021 Cost (USD)], TblDetailBudget[Level], LvlBottomHdr, TblDetailBudget[Lvl 1 Header], $E13)</f>
        <v>0</v>
      </c>
      <c r="O13" s="80">
        <f>SUMIFS(TblDetailBudget[2022 Cost (USD)], TblDetailBudget[Level], LvlBottomHdr, TblDetailBudget[Lvl 1 Header], $E13)</f>
        <v>0</v>
      </c>
      <c r="P13" s="80">
        <f>SUMIFS(TblDetailBudget[2023 Cost (USD)], TblDetailBudget[Level], LvlBottomHdr, TblDetailBudget[Lvl 1 Header], $E13)</f>
        <v>0</v>
      </c>
      <c r="Q13" s="80">
        <f>SUMIFS(TblDetailBudget[2024 Cost (USD)], TblDetailBudget[Level], LvlBottomHdr, TblDetailBudget[Lvl 1 Header], $E13)</f>
        <v>0</v>
      </c>
      <c r="R13" s="80">
        <f>SUMIFS(TblDetailBudget[2025 Cost (USD)], TblDetailBudget[Level], LvlBottomHdr, TblDetailBudget[Lvl 1 Header], $E13)</f>
        <v>65906.25</v>
      </c>
      <c r="T13" s="12"/>
      <c r="U13" s="10"/>
      <c r="W13" s="77" t="str">
        <f t="shared" si="0"/>
        <v>Objective 6</v>
      </c>
      <c r="X13" s="77"/>
      <c r="Y13" s="77"/>
      <c r="Z13" s="77"/>
      <c r="AA13" s="78" t="e">
        <f>H14/H$8</f>
        <v>#DIV/0!</v>
      </c>
      <c r="AB13" s="78" t="e">
        <f>I14/I$8</f>
        <v>#DIV/0!</v>
      </c>
      <c r="AC13" s="78" t="e">
        <f>J14/J$8</f>
        <v>#DIV/0!</v>
      </c>
      <c r="AD13" s="78" t="e">
        <f>K14/K$8</f>
        <v>#DIV/0!</v>
      </c>
      <c r="AE13" s="78">
        <f>L14/L$8</f>
        <v>0</v>
      </c>
    </row>
    <row r="14" spans="1:31" ht="30" customHeight="1">
      <c r="A14" s="10"/>
      <c r="B14" s="12"/>
      <c r="D14" s="71" t="str">
        <f t="shared" si="2"/>
        <v>Objective 6</v>
      </c>
      <c r="E14" s="72">
        <v>6</v>
      </c>
      <c r="F14" s="154" t="e">
        <f>INDEX(TblDetailBudget[Row Title], MATCH(TEXT(E14, 0), TblDetailBudget[Numbering], 0))</f>
        <v>#N/A</v>
      </c>
      <c r="G14" s="162">
        <f>SUMIFS(TblDetailBudget[Total Cost (LCU)], TblDetailBudget[Level], LvlBottomHdr, TblDetailBudget[Lvl 1 Header], $E14)</f>
        <v>0</v>
      </c>
      <c r="H14" s="158">
        <f>SUMIFS(TblDetailBudget[2021 Cost (LCU)], TblDetailBudget[Level], LvlBottomHdr, TblDetailBudget[Lvl 1 Header], $E14)</f>
        <v>0</v>
      </c>
      <c r="I14" s="81">
        <f>SUMIFS(TblDetailBudget[2022 Cost (LCU)], TblDetailBudget[Level], LvlBottomHdr, TblDetailBudget[Lvl 1 Header], $E14)</f>
        <v>0</v>
      </c>
      <c r="J14" s="81">
        <f>SUMIFS(TblDetailBudget[2023 Cost (LCU)], TblDetailBudget[Level], LvlBottomHdr, TblDetailBudget[Lvl 1 Header], $E14)</f>
        <v>0</v>
      </c>
      <c r="K14" s="81">
        <f>SUMIFS(TblDetailBudget[2024 Cost (LCU)], TblDetailBudget[Level], LvlBottomHdr, TblDetailBudget[Lvl 1 Header], $E14)</f>
        <v>0</v>
      </c>
      <c r="L14" s="152">
        <f>SUMIFS(TblDetailBudget[2025 Cost (LCU)], TblDetailBudget[Level], LvlBottomHdr, TblDetailBudget[Lvl 1 Header], $E14)</f>
        <v>0</v>
      </c>
      <c r="M14" s="162">
        <f>SUMIFS(TblDetailBudget[Total Cost (USD)], TblDetailBudget[Level], LvlBottomHdr, TblDetailBudget[Lvl 1 Header], $E14)</f>
        <v>0</v>
      </c>
      <c r="N14" s="158">
        <f>SUMIFS(TblDetailBudget[2021 Cost (USD)], TblDetailBudget[Level], LvlBottomHdr, TblDetailBudget[Lvl 1 Header], $E14)</f>
        <v>0</v>
      </c>
      <c r="O14" s="81">
        <f>SUMIFS(TblDetailBudget[2022 Cost (USD)], TblDetailBudget[Level], LvlBottomHdr, TblDetailBudget[Lvl 1 Header], $E14)</f>
        <v>0</v>
      </c>
      <c r="P14" s="81">
        <f>SUMIFS(TblDetailBudget[2023 Cost (USD)], TblDetailBudget[Level], LvlBottomHdr, TblDetailBudget[Lvl 1 Header], $E14)</f>
        <v>0</v>
      </c>
      <c r="Q14" s="81">
        <f>SUMIFS(TblDetailBudget[2024 Cost (USD)], TblDetailBudget[Level], LvlBottomHdr, TblDetailBudget[Lvl 1 Header], $E14)</f>
        <v>0</v>
      </c>
      <c r="R14" s="81">
        <f>SUMIFS(TblDetailBudget[2025 Cost (USD)], TblDetailBudget[Level], LvlBottomHdr, TblDetailBudget[Lvl 1 Header], $E14)</f>
        <v>0</v>
      </c>
      <c r="T14" s="12"/>
      <c r="U14" s="10"/>
      <c r="W14" s="77"/>
      <c r="X14" s="77"/>
      <c r="Y14" s="77"/>
      <c r="Z14" s="77"/>
      <c r="AA14" s="78" t="e">
        <f>SUM(AA8:AA13)</f>
        <v>#DIV/0!</v>
      </c>
      <c r="AB14" s="78" t="e">
        <f>SUM(AB8:AB13)</f>
        <v>#DIV/0!</v>
      </c>
      <c r="AC14" s="78" t="e">
        <f>SUM(AC8:AC13)</f>
        <v>#DIV/0!</v>
      </c>
      <c r="AD14" s="78" t="e">
        <f>SUM(AD8:AD13)</f>
        <v>#DIV/0!</v>
      </c>
      <c r="AE14" s="78">
        <f>SUM(AE8:AE13)</f>
        <v>1.0000000000000002</v>
      </c>
    </row>
    <row r="15" spans="1:31">
      <c r="A15" s="10"/>
      <c r="B15" s="12"/>
      <c r="T15" s="12"/>
      <c r="U15" s="10"/>
    </row>
    <row r="16" spans="1:31">
      <c r="A16" s="10"/>
      <c r="B16" s="12"/>
      <c r="C16" s="12"/>
      <c r="D16" s="12"/>
      <c r="E16" s="12"/>
      <c r="F16" s="12"/>
      <c r="G16" s="12"/>
      <c r="H16" s="12"/>
      <c r="I16" s="12"/>
      <c r="J16" s="12"/>
      <c r="K16" s="12"/>
      <c r="L16" s="12"/>
      <c r="M16" s="12"/>
      <c r="N16" s="12"/>
      <c r="O16" s="12"/>
      <c r="P16" s="12"/>
      <c r="Q16" s="12"/>
      <c r="R16" s="12"/>
      <c r="S16" s="12"/>
      <c r="T16" s="12"/>
      <c r="U16" s="10"/>
    </row>
    <row r="17" spans="1:21" ht="15.75" thickBot="1">
      <c r="A17" s="10"/>
      <c r="B17" s="12"/>
      <c r="T17" s="12"/>
      <c r="U17" s="10"/>
    </row>
    <row r="18" spans="1:21" ht="15.75" thickBot="1">
      <c r="A18" s="10"/>
      <c r="B18" s="12"/>
      <c r="D18" s="1172" t="str">
        <f>H$7&amp;"-"&amp;L$7&amp;" Budget by Objective"</f>
        <v>2021-2025 Budget by Objective</v>
      </c>
      <c r="E18" s="1173"/>
      <c r="F18" s="1174"/>
      <c r="H18" s="1172" t="str">
        <f>H$7&amp;"-"&amp;L$7&amp;" Budget by Year ("&amp;G$6&amp;", millions)"</f>
        <v>2021-2025 Budget by Year (NGN, millions)</v>
      </c>
      <c r="I18" s="1173"/>
      <c r="J18" s="1173"/>
      <c r="K18" s="1173"/>
      <c r="L18" s="1174"/>
      <c r="N18" s="1172" t="str">
        <f>N$7&amp;"-"&amp;R$7&amp;" Budget by Objective and Year ("&amp;G$6&amp;", millions)"</f>
        <v>2021-2025 Budget by Objective and Year (NGN, millions)</v>
      </c>
      <c r="O18" s="1173"/>
      <c r="P18" s="1173"/>
      <c r="Q18" s="1173"/>
      <c r="R18" s="1174"/>
      <c r="T18" s="12"/>
      <c r="U18" s="10"/>
    </row>
    <row r="19" spans="1:21">
      <c r="A19" s="10"/>
      <c r="B19" s="12"/>
      <c r="T19" s="12"/>
      <c r="U19" s="10"/>
    </row>
    <row r="20" spans="1:21">
      <c r="A20" s="10"/>
      <c r="B20" s="12"/>
      <c r="T20" s="12"/>
      <c r="U20" s="10"/>
    </row>
    <row r="21" spans="1:21">
      <c r="A21" s="10"/>
      <c r="B21" s="12"/>
      <c r="T21" s="12"/>
      <c r="U21" s="10"/>
    </row>
    <row r="22" spans="1:21">
      <c r="A22" s="10"/>
      <c r="B22" s="12"/>
      <c r="T22" s="12"/>
      <c r="U22" s="10"/>
    </row>
    <row r="23" spans="1:21">
      <c r="A23" s="10"/>
      <c r="B23" s="12"/>
      <c r="T23" s="12"/>
      <c r="U23" s="10"/>
    </row>
    <row r="24" spans="1:21">
      <c r="A24" s="10"/>
      <c r="B24" s="12"/>
      <c r="T24" s="12"/>
      <c r="U24" s="10"/>
    </row>
    <row r="25" spans="1:21">
      <c r="A25" s="10"/>
      <c r="B25" s="12"/>
      <c r="T25" s="12"/>
      <c r="U25" s="10"/>
    </row>
    <row r="26" spans="1:21">
      <c r="A26" s="10"/>
      <c r="B26" s="12"/>
      <c r="T26" s="12"/>
      <c r="U26" s="10"/>
    </row>
    <row r="27" spans="1:21">
      <c r="A27" s="10"/>
      <c r="B27" s="12"/>
      <c r="T27" s="12"/>
      <c r="U27" s="10"/>
    </row>
    <row r="28" spans="1:21">
      <c r="A28" s="10"/>
      <c r="B28" s="12"/>
      <c r="T28" s="12"/>
      <c r="U28" s="10"/>
    </row>
    <row r="29" spans="1:21">
      <c r="A29" s="10"/>
      <c r="B29" s="12"/>
      <c r="T29" s="12"/>
      <c r="U29" s="10"/>
    </row>
    <row r="30" spans="1:21">
      <c r="A30" s="10"/>
      <c r="B30" s="12"/>
      <c r="T30" s="12"/>
      <c r="U30" s="10"/>
    </row>
    <row r="31" spans="1:21">
      <c r="A31" s="10"/>
      <c r="B31" s="12"/>
      <c r="T31" s="12"/>
      <c r="U31" s="10"/>
    </row>
    <row r="32" spans="1:21">
      <c r="A32" s="10"/>
      <c r="B32" s="12"/>
      <c r="T32" s="12"/>
      <c r="U32" s="10"/>
    </row>
    <row r="33" spans="1:21">
      <c r="A33" s="10"/>
      <c r="B33" s="12"/>
      <c r="T33" s="12"/>
      <c r="U33" s="10"/>
    </row>
    <row r="34" spans="1:21">
      <c r="A34" s="10"/>
      <c r="B34" s="12"/>
      <c r="T34" s="12"/>
      <c r="U34" s="10"/>
    </row>
    <row r="35" spans="1:21">
      <c r="A35" s="10"/>
      <c r="B35" s="12"/>
      <c r="C35" s="12"/>
      <c r="D35" s="12"/>
      <c r="E35" s="12"/>
      <c r="F35" s="12"/>
      <c r="G35" s="12"/>
      <c r="H35" s="12"/>
      <c r="I35" s="12"/>
      <c r="J35" s="12"/>
      <c r="K35" s="12"/>
      <c r="L35" s="12"/>
      <c r="M35" s="12"/>
      <c r="N35" s="12"/>
      <c r="O35" s="12"/>
      <c r="P35" s="12"/>
      <c r="Q35" s="12"/>
      <c r="R35" s="12"/>
      <c r="S35" s="12"/>
      <c r="T35" s="12"/>
      <c r="U35" s="10"/>
    </row>
    <row r="36" spans="1:21">
      <c r="A36" s="10"/>
      <c r="B36" s="12"/>
      <c r="T36" s="12"/>
      <c r="U36" s="10"/>
    </row>
    <row r="37" spans="1:21" ht="23.25">
      <c r="A37" s="10"/>
      <c r="B37" s="12"/>
      <c r="D37" s="65" t="str">
        <f>"National Strategy Plan Budget by Funder ("&amp;H7&amp;"-"&amp;L7&amp;") ("&amp;ACU&amp;")"</f>
        <v>National Strategy Plan Budget by Funder (2021-2025) (USD)</v>
      </c>
      <c r="E37" s="65"/>
      <c r="F37" s="66"/>
      <c r="G37" s="66"/>
      <c r="H37" s="66"/>
      <c r="I37" s="66"/>
      <c r="J37" s="66"/>
      <c r="K37" s="66"/>
      <c r="L37" s="66"/>
      <c r="M37" s="66"/>
      <c r="N37" s="66"/>
      <c r="T37" s="12"/>
      <c r="U37" s="10"/>
    </row>
    <row r="38" spans="1:21" ht="23.25">
      <c r="A38" s="10"/>
      <c r="B38" s="12"/>
      <c r="D38" s="64"/>
      <c r="E38" s="64"/>
      <c r="T38" s="12"/>
      <c r="U38" s="10"/>
    </row>
    <row r="39" spans="1:21" ht="30" customHeight="1">
      <c r="A39" s="10"/>
      <c r="B39" s="12"/>
      <c r="G39" s="146" t="s">
        <v>23</v>
      </c>
      <c r="H39" s="146" t="s">
        <v>24</v>
      </c>
      <c r="I39" s="147" t="s">
        <v>25</v>
      </c>
      <c r="J39" s="147" t="s">
        <v>26</v>
      </c>
      <c r="K39" s="147" t="s">
        <v>27</v>
      </c>
      <c r="L39" s="147" t="s">
        <v>28</v>
      </c>
      <c r="M39" s="147" t="s">
        <v>29</v>
      </c>
      <c r="N39" s="83" t="s">
        <v>30</v>
      </c>
      <c r="T39" s="12"/>
      <c r="U39" s="10"/>
    </row>
    <row r="40" spans="1:21" ht="30" customHeight="1">
      <c r="A40" s="10"/>
      <c r="B40" s="12"/>
      <c r="G40" s="84">
        <f>SUMIFS(TblDetailBudget[Total Cost (USD)], TblDetailBudget[Level], LvlBottomHdr)</f>
        <v>4583604816.4264965</v>
      </c>
      <c r="H40" s="84">
        <f>SUM(I40:M40)</f>
        <v>0</v>
      </c>
      <c r="I40" s="183"/>
      <c r="J40" s="183"/>
      <c r="K40" s="183"/>
      <c r="L40" s="183"/>
      <c r="M40" s="183"/>
      <c r="N40" s="84">
        <f t="shared" ref="N40:N46" si="3">G40-H40</f>
        <v>4583604816.4264965</v>
      </c>
      <c r="T40" s="12"/>
      <c r="U40" s="10"/>
    </row>
    <row r="41" spans="1:21" ht="30" customHeight="1">
      <c r="A41" s="10"/>
      <c r="B41" s="12"/>
      <c r="D41" s="74" t="str">
        <f t="shared" ref="D41:D46" si="4">"Objective "&amp;$E41</f>
        <v>Objective 1</v>
      </c>
      <c r="E41" s="75">
        <v>1</v>
      </c>
      <c r="F41" s="76" t="str">
        <f>INDEX(TblDetailBudget[Row Title], MATCH(TEXT(E41, 0), TblDetailBudget[Numbering], 0))</f>
        <v>Improve access and utilization of vector control interventions to at least 80% of targeted population by 2025</v>
      </c>
      <c r="G41" s="148">
        <f>SUMIFS(TblDetailBudget[Total Cost (USD)], TblDetailBudget[Level], LvlBottomHdr, TblDetailBudget[Lvl 1 Header], $E41)</f>
        <v>4286337311.0939341</v>
      </c>
      <c r="H41" s="148">
        <f t="shared" ref="H41:H46" si="5">SUM(I41:M41)</f>
        <v>0</v>
      </c>
      <c r="I41" s="184"/>
      <c r="J41" s="184"/>
      <c r="K41" s="184"/>
      <c r="L41" s="184"/>
      <c r="M41" s="184"/>
      <c r="N41" s="148">
        <f t="shared" si="3"/>
        <v>4286337311.0939341</v>
      </c>
      <c r="T41" s="12"/>
      <c r="U41" s="10"/>
    </row>
    <row r="42" spans="1:21" ht="30" customHeight="1">
      <c r="A42" s="10"/>
      <c r="B42" s="12"/>
      <c r="D42" s="71" t="str">
        <f t="shared" si="4"/>
        <v>Objective 2</v>
      </c>
      <c r="E42" s="72">
        <v>2</v>
      </c>
      <c r="F42" s="73" t="str">
        <f>INDEX(TblDetailBudget[Row Title], MATCH(TEXT(E42, 0), TblDetailBudget[Numbering], 0))</f>
        <v>Ensure provision of chemoprevention, diagnosis and appropriate treatment for 80% of the target populations at risk by 2025</v>
      </c>
      <c r="G42" s="84">
        <f>SUMIFS(TblDetailBudget[Total Cost (USD)], TblDetailBudget[Level], LvlBottomHdr, TblDetailBudget[Lvl 1 Header], $E42)</f>
        <v>275837895.67506069</v>
      </c>
      <c r="H42" s="84">
        <f t="shared" si="5"/>
        <v>0</v>
      </c>
      <c r="I42" s="183"/>
      <c r="J42" s="183"/>
      <c r="K42" s="183"/>
      <c r="L42" s="183"/>
      <c r="M42" s="183"/>
      <c r="N42" s="84">
        <f t="shared" si="3"/>
        <v>275837895.67506069</v>
      </c>
      <c r="T42" s="12"/>
      <c r="U42" s="10"/>
    </row>
    <row r="43" spans="1:21" ht="30" customHeight="1">
      <c r="A43" s="10"/>
      <c r="B43" s="12"/>
      <c r="D43" s="74" t="str">
        <f t="shared" si="4"/>
        <v>Objective 3</v>
      </c>
      <c r="E43" s="75">
        <v>3</v>
      </c>
      <c r="F43" s="76" t="str">
        <f>INDEX(TblDetailBudget[Row Title], MATCH(TEXT(E43, 0), TblDetailBudget[Numbering], 0))</f>
        <v>To improve generation of evidence for decision making and impact through reporting of quality malaria data and information from at least 80% of health facilities (public and private) and other data sources including surveillance, surveys and operations research by 2025</v>
      </c>
      <c r="G43" s="148">
        <f>SUMIFS(TblDetailBudget[Total Cost (USD)], TblDetailBudget[Level], LvlBottomHdr, TblDetailBudget[Lvl 1 Header], $E43)</f>
        <v>5698839.3337500002</v>
      </c>
      <c r="H43" s="148">
        <f t="shared" si="5"/>
        <v>0</v>
      </c>
      <c r="I43" s="184"/>
      <c r="J43" s="184"/>
      <c r="K43" s="184"/>
      <c r="L43" s="184"/>
      <c r="M43" s="184"/>
      <c r="N43" s="148">
        <f t="shared" si="3"/>
        <v>5698839.3337500002</v>
      </c>
      <c r="T43" s="12"/>
      <c r="U43" s="10"/>
    </row>
    <row r="44" spans="1:21" ht="30" customHeight="1">
      <c r="A44" s="10"/>
      <c r="B44" s="12"/>
      <c r="D44" s="71" t="str">
        <f t="shared" si="4"/>
        <v>Objective 4</v>
      </c>
      <c r="E44" s="72">
        <v>4</v>
      </c>
      <c r="F44" s="73" t="str">
        <f>INDEX(TblDetailBudget[Row Title], MATCH(TEXT(E44, 0), TblDetailBudget[Numbering], 0))</f>
        <v>Strengthen coordination, collaboration, and strategic partnership to promote efficiency and effectiveness of malaria control activities towards achieving at least 75% improvement from baseline using a standardized OCA tool</v>
      </c>
      <c r="G44" s="84">
        <f>SUMIFS(TblDetailBudget[Total Cost (USD)], TblDetailBudget[Level], LvlBottomHdr, TblDetailBudget[Lvl 1 Header], $E44)</f>
        <v>15664864.073749999</v>
      </c>
      <c r="H44" s="84">
        <f t="shared" si="5"/>
        <v>0</v>
      </c>
      <c r="I44" s="183"/>
      <c r="J44" s="183"/>
      <c r="K44" s="183"/>
      <c r="L44" s="183"/>
      <c r="M44" s="183"/>
      <c r="N44" s="84">
        <f t="shared" si="3"/>
        <v>15664864.073749999</v>
      </c>
      <c r="T44" s="12"/>
      <c r="U44" s="10"/>
    </row>
    <row r="45" spans="1:21" ht="30" customHeight="1">
      <c r="A45" s="10"/>
      <c r="B45" s="12"/>
      <c r="D45" s="74" t="str">
        <f t="shared" si="4"/>
        <v>Objective 5</v>
      </c>
      <c r="E45" s="75">
        <v>5</v>
      </c>
      <c r="F45" s="76" t="str">
        <f>INDEX(TblDetailBudget[Row Title], MATCH(TEXT(E45, 0), TblDetailBudget[Numbering], 0))</f>
        <v>Improve funding for malaria control by at least 25% annually through predictable and innovative sources to ensure sustainability at federal and sub-national levels</v>
      </c>
      <c r="G45" s="148">
        <f>SUMIFS(TblDetailBudget[Total Cost (USD)], TblDetailBudget[Level], LvlBottomHdr, TblDetailBudget[Lvl 1 Header], $E45)</f>
        <v>65906.25</v>
      </c>
      <c r="H45" s="148">
        <f t="shared" si="5"/>
        <v>0</v>
      </c>
      <c r="I45" s="184"/>
      <c r="J45" s="184"/>
      <c r="K45" s="184"/>
      <c r="L45" s="184"/>
      <c r="M45" s="184"/>
      <c r="N45" s="148">
        <f t="shared" si="3"/>
        <v>65906.25</v>
      </c>
      <c r="T45" s="12"/>
      <c r="U45" s="10"/>
    </row>
    <row r="46" spans="1:21" ht="30" customHeight="1">
      <c r="A46" s="10"/>
      <c r="B46" s="12"/>
      <c r="D46" s="71" t="str">
        <f t="shared" si="4"/>
        <v>Objective 6</v>
      </c>
      <c r="E46" s="72">
        <v>6</v>
      </c>
      <c r="F46" s="73" t="e">
        <f>INDEX(TblDetailBudget[Row Title], MATCH(TEXT(E46, 0), TblDetailBudget[Numbering], 0))</f>
        <v>#N/A</v>
      </c>
      <c r="G46" s="84">
        <f>SUMIFS(TblDetailBudget[Total Cost (USD)], TblDetailBudget[Level], LvlBottomHdr, TblDetailBudget[Lvl 1 Header], $E46)</f>
        <v>0</v>
      </c>
      <c r="H46" s="84">
        <f t="shared" si="5"/>
        <v>0</v>
      </c>
      <c r="I46" s="183"/>
      <c r="J46" s="183"/>
      <c r="K46" s="183"/>
      <c r="L46" s="183"/>
      <c r="M46" s="183"/>
      <c r="N46" s="84">
        <f t="shared" si="3"/>
        <v>0</v>
      </c>
      <c r="T46" s="12"/>
      <c r="U46" s="10"/>
    </row>
    <row r="47" spans="1:21">
      <c r="A47" s="10"/>
      <c r="B47" s="12"/>
      <c r="T47" s="12"/>
      <c r="U47" s="10"/>
    </row>
    <row r="48" spans="1:21">
      <c r="A48" s="10"/>
      <c r="B48" s="12"/>
      <c r="C48" s="12"/>
      <c r="D48" s="12"/>
      <c r="E48" s="12"/>
      <c r="F48" s="12"/>
      <c r="G48" s="12"/>
      <c r="H48" s="12"/>
      <c r="I48" s="12"/>
      <c r="J48" s="12"/>
      <c r="K48" s="12"/>
      <c r="L48" s="12"/>
      <c r="M48" s="12"/>
      <c r="N48" s="12"/>
      <c r="O48" s="12"/>
      <c r="P48" s="12"/>
      <c r="Q48" s="12"/>
      <c r="R48" s="12"/>
      <c r="S48" s="12"/>
      <c r="T48" s="12"/>
      <c r="U48" s="10"/>
    </row>
    <row r="49" spans="1:21">
      <c r="A49" s="10"/>
      <c r="B49" s="10"/>
      <c r="C49" s="10"/>
      <c r="D49" s="10"/>
      <c r="E49" s="10"/>
      <c r="F49" s="10"/>
      <c r="G49" s="10"/>
      <c r="H49" s="10"/>
      <c r="I49" s="10"/>
      <c r="J49" s="10"/>
      <c r="K49" s="10"/>
      <c r="L49" s="10"/>
      <c r="M49" s="10"/>
      <c r="N49" s="10"/>
      <c r="O49" s="10"/>
      <c r="P49" s="10"/>
      <c r="Q49" s="10"/>
      <c r="R49" s="10"/>
      <c r="S49" s="10"/>
      <c r="T49" s="10"/>
      <c r="U49" s="10"/>
    </row>
  </sheetData>
  <mergeCells count="3">
    <mergeCell ref="H18:L18"/>
    <mergeCell ref="N18:R18"/>
    <mergeCell ref="D18:F18"/>
  </mergeCells>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499984740745262"/>
    <pageSetUpPr autoPageBreaks="0"/>
  </sheetPr>
  <dimension ref="B2:B3"/>
  <sheetViews>
    <sheetView showRowColHeaders="0" topLeftCell="A37" zoomScale="60" zoomScaleNormal="60" workbookViewId="0">
      <selection activeCell="A38" sqref="A38"/>
    </sheetView>
  </sheetViews>
  <sheetFormatPr defaultColWidth="12.28515625" defaultRowHeight="15"/>
  <cols>
    <col min="1" max="16384" width="12.28515625" style="2"/>
  </cols>
  <sheetData>
    <row r="2" spans="2:2" ht="36">
      <c r="B2" s="1" t="s">
        <v>20</v>
      </c>
    </row>
    <row r="3" spans="2:2" ht="36">
      <c r="B3" s="1" t="s">
        <v>21</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499984740745262"/>
    <pageSetUpPr autoPageBreaks="0"/>
  </sheetPr>
  <dimension ref="B2:B3"/>
  <sheetViews>
    <sheetView showRowColHeaders="0" zoomScale="60" zoomScaleNormal="60" workbookViewId="0"/>
  </sheetViews>
  <sheetFormatPr defaultColWidth="12.28515625" defaultRowHeight="15"/>
  <cols>
    <col min="1" max="16384" width="12.28515625" style="2"/>
  </cols>
  <sheetData>
    <row r="2" spans="2:2" ht="36">
      <c r="B2" s="1" t="s">
        <v>20</v>
      </c>
    </row>
    <row r="3" spans="2:2" ht="36">
      <c r="B3" s="1" t="s">
        <v>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tint="0.499984740745262"/>
  </sheetPr>
  <dimension ref="A1:I16"/>
  <sheetViews>
    <sheetView zoomScale="60" zoomScaleNormal="60" zoomScalePageLayoutView="80" workbookViewId="0">
      <selection activeCell="H3" sqref="H3"/>
    </sheetView>
  </sheetViews>
  <sheetFormatPr defaultColWidth="10" defaultRowHeight="15"/>
  <cols>
    <col min="2" max="2" width="17.42578125" customWidth="1"/>
    <col min="3" max="3" width="36.140625" style="5" customWidth="1"/>
    <col min="5" max="5" width="15" customWidth="1"/>
    <col min="6" max="6" width="15" bestFit="1" customWidth="1"/>
    <col min="9" max="9" width="52.85546875" customWidth="1"/>
  </cols>
  <sheetData>
    <row r="1" spans="1:9" s="4" customFormat="1" ht="15" customHeight="1">
      <c r="A1" s="4" t="s">
        <v>90</v>
      </c>
      <c r="B1" s="4" t="s">
        <v>91</v>
      </c>
      <c r="C1" s="4" t="s">
        <v>92</v>
      </c>
      <c r="E1" s="1175" t="s">
        <v>93</v>
      </c>
      <c r="F1" s="1176"/>
      <c r="H1" s="4" t="s">
        <v>94</v>
      </c>
    </row>
    <row r="2" spans="1:9" ht="15" customHeight="1">
      <c r="A2" t="s">
        <v>31</v>
      </c>
      <c r="B2" t="s">
        <v>95</v>
      </c>
      <c r="C2" t="s">
        <v>95</v>
      </c>
      <c r="E2" s="3" t="s">
        <v>96</v>
      </c>
      <c r="F2" s="3" t="s">
        <v>65</v>
      </c>
      <c r="H2" t="str">
        <f>ACU</f>
        <v>USD</v>
      </c>
      <c r="I2" t="s">
        <v>97</v>
      </c>
    </row>
    <row r="3" spans="1:9" ht="15" customHeight="1">
      <c r="A3" t="s">
        <v>32</v>
      </c>
      <c r="B3" t="s">
        <v>98</v>
      </c>
      <c r="C3" t="s">
        <v>98</v>
      </c>
      <c r="E3" s="3" t="s">
        <v>99</v>
      </c>
      <c r="F3" s="3" t="s">
        <v>67</v>
      </c>
      <c r="H3" t="str">
        <f>LCU</f>
        <v>NGN</v>
      </c>
      <c r="I3" t="s">
        <v>75</v>
      </c>
    </row>
    <row r="4" spans="1:9" ht="15" customHeight="1">
      <c r="A4" t="s">
        <v>33</v>
      </c>
      <c r="C4"/>
      <c r="E4" s="3" t="s">
        <v>100</v>
      </c>
      <c r="F4" s="3" t="s">
        <v>68</v>
      </c>
    </row>
    <row r="5" spans="1:9" ht="15" customHeight="1">
      <c r="A5" t="s">
        <v>34</v>
      </c>
      <c r="C5"/>
      <c r="E5" s="3" t="s">
        <v>101</v>
      </c>
      <c r="F5" s="3" t="s">
        <v>69</v>
      </c>
    </row>
    <row r="6" spans="1:9" ht="15" customHeight="1">
      <c r="C6"/>
      <c r="E6" s="3" t="s">
        <v>102</v>
      </c>
      <c r="F6" s="3" t="s">
        <v>70</v>
      </c>
    </row>
    <row r="7" spans="1:9" ht="15" customHeight="1">
      <c r="C7"/>
      <c r="E7" s="3" t="s">
        <v>103</v>
      </c>
      <c r="F7" s="3" t="s">
        <v>71</v>
      </c>
    </row>
    <row r="8" spans="1:9" ht="15" customHeight="1">
      <c r="C8"/>
    </row>
    <row r="9" spans="1:9" ht="15" customHeight="1">
      <c r="C9"/>
    </row>
    <row r="10" spans="1:9" ht="15" customHeight="1">
      <c r="C10"/>
    </row>
    <row r="11" spans="1:9" ht="15" customHeight="1">
      <c r="C11"/>
    </row>
    <row r="12" spans="1:9" ht="15" customHeight="1">
      <c r="C12"/>
    </row>
    <row r="13" spans="1:9" ht="15" customHeight="1">
      <c r="C13"/>
    </row>
    <row r="14" spans="1:9" ht="15" customHeight="1"/>
    <row r="16" spans="1:9" ht="15" customHeight="1"/>
  </sheetData>
  <mergeCells count="1">
    <mergeCell ref="E1:F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3B43-6F38-4464-89B2-A9663E4BF3F4}">
  <dimension ref="A1:AD583"/>
  <sheetViews>
    <sheetView zoomScale="80" zoomScaleNormal="80" workbookViewId="0">
      <selection activeCell="E6" sqref="E6"/>
    </sheetView>
  </sheetViews>
  <sheetFormatPr defaultColWidth="9" defaultRowHeight="12"/>
  <cols>
    <col min="1" max="1" width="9.7109375" style="277" customWidth="1"/>
    <col min="2" max="2" width="47.28515625" style="277" customWidth="1"/>
    <col min="3" max="3" width="13.28515625" style="279" customWidth="1"/>
    <col min="4" max="4" width="26" style="279" customWidth="1"/>
    <col min="5" max="5" width="24" style="279" customWidth="1"/>
    <col min="6" max="6" width="17.28515625" style="277" customWidth="1"/>
    <col min="7" max="7" width="18.28515625" style="280" customWidth="1"/>
    <col min="8" max="8" width="19.42578125" style="281" customWidth="1"/>
    <col min="9" max="9" width="26.140625" style="277" customWidth="1"/>
    <col min="10" max="10" width="32" style="277" customWidth="1"/>
    <col min="11" max="11" width="30.28515625" style="281" customWidth="1"/>
    <col min="12" max="12" width="23.5703125" style="281" customWidth="1"/>
    <col min="13" max="13" width="22.7109375" style="277" customWidth="1"/>
    <col min="14" max="14" width="29" style="281" customWidth="1"/>
    <col min="15" max="15" width="25.5703125" style="277" customWidth="1"/>
    <col min="16" max="16" width="28.28515625" style="281" customWidth="1"/>
    <col min="17" max="17" width="17.7109375" style="277" customWidth="1"/>
    <col min="18" max="18" width="24.7109375" style="281" customWidth="1"/>
    <col min="19" max="19" width="26" style="277" customWidth="1"/>
    <col min="20" max="20" width="22.7109375" style="277" customWidth="1"/>
    <col min="21" max="21" width="40.28515625" style="277" customWidth="1"/>
    <col min="22" max="22" width="9" style="277"/>
    <col min="23" max="23" width="30.42578125" style="277" customWidth="1"/>
    <col min="24" max="26" width="9" style="277"/>
    <col min="27" max="27" width="21.42578125" style="277" customWidth="1"/>
    <col min="28" max="256" width="9" style="277"/>
    <col min="257" max="257" width="9.7109375" style="277" customWidth="1"/>
    <col min="258" max="258" width="47.28515625" style="277" customWidth="1"/>
    <col min="259" max="259" width="13.28515625" style="277" customWidth="1"/>
    <col min="260" max="260" width="26" style="277" customWidth="1"/>
    <col min="261" max="261" width="24" style="277" customWidth="1"/>
    <col min="262" max="262" width="17.28515625" style="277" customWidth="1"/>
    <col min="263" max="263" width="18.28515625" style="277" customWidth="1"/>
    <col min="264" max="264" width="19.42578125" style="277" customWidth="1"/>
    <col min="265" max="265" width="20.7109375" style="277" customWidth="1"/>
    <col min="266" max="266" width="32" style="277" customWidth="1"/>
    <col min="267" max="267" width="30.28515625" style="277" customWidth="1"/>
    <col min="268" max="268" width="23.5703125" style="277" customWidth="1"/>
    <col min="269" max="269" width="22.7109375" style="277" customWidth="1"/>
    <col min="270" max="270" width="29" style="277" customWidth="1"/>
    <col min="271" max="271" width="25.5703125" style="277" customWidth="1"/>
    <col min="272" max="272" width="28.28515625" style="277" customWidth="1"/>
    <col min="273" max="273" width="17.7109375" style="277" customWidth="1"/>
    <col min="274" max="274" width="24.7109375" style="277" customWidth="1"/>
    <col min="275" max="275" width="26" style="277" customWidth="1"/>
    <col min="276" max="276" width="22.7109375" style="277" customWidth="1"/>
    <col min="277" max="277" width="40.28515625" style="277" customWidth="1"/>
    <col min="278" max="278" width="9" style="277"/>
    <col min="279" max="279" width="30.42578125" style="277" customWidth="1"/>
    <col min="280" max="282" width="9" style="277"/>
    <col min="283" max="283" width="21.42578125" style="277" customWidth="1"/>
    <col min="284" max="512" width="9" style="277"/>
    <col min="513" max="513" width="9.7109375" style="277" customWidth="1"/>
    <col min="514" max="514" width="47.28515625" style="277" customWidth="1"/>
    <col min="515" max="515" width="13.28515625" style="277" customWidth="1"/>
    <col min="516" max="516" width="26" style="277" customWidth="1"/>
    <col min="517" max="517" width="24" style="277" customWidth="1"/>
    <col min="518" max="518" width="17.28515625" style="277" customWidth="1"/>
    <col min="519" max="519" width="18.28515625" style="277" customWidth="1"/>
    <col min="520" max="520" width="19.42578125" style="277" customWidth="1"/>
    <col min="521" max="521" width="20.7109375" style="277" customWidth="1"/>
    <col min="522" max="522" width="32" style="277" customWidth="1"/>
    <col min="523" max="523" width="30.28515625" style="277" customWidth="1"/>
    <col min="524" max="524" width="23.5703125" style="277" customWidth="1"/>
    <col min="525" max="525" width="22.7109375" style="277" customWidth="1"/>
    <col min="526" max="526" width="29" style="277" customWidth="1"/>
    <col min="527" max="527" width="25.5703125" style="277" customWidth="1"/>
    <col min="528" max="528" width="28.28515625" style="277" customWidth="1"/>
    <col min="529" max="529" width="17.7109375" style="277" customWidth="1"/>
    <col min="530" max="530" width="24.7109375" style="277" customWidth="1"/>
    <col min="531" max="531" width="26" style="277" customWidth="1"/>
    <col min="532" max="532" width="22.7109375" style="277" customWidth="1"/>
    <col min="533" max="533" width="40.28515625" style="277" customWidth="1"/>
    <col min="534" max="534" width="9" style="277"/>
    <col min="535" max="535" width="30.42578125" style="277" customWidth="1"/>
    <col min="536" max="538" width="9" style="277"/>
    <col min="539" max="539" width="21.42578125" style="277" customWidth="1"/>
    <col min="540" max="768" width="9" style="277"/>
    <col min="769" max="769" width="9.7109375" style="277" customWidth="1"/>
    <col min="770" max="770" width="47.28515625" style="277" customWidth="1"/>
    <col min="771" max="771" width="13.28515625" style="277" customWidth="1"/>
    <col min="772" max="772" width="26" style="277" customWidth="1"/>
    <col min="773" max="773" width="24" style="277" customWidth="1"/>
    <col min="774" max="774" width="17.28515625" style="277" customWidth="1"/>
    <col min="775" max="775" width="18.28515625" style="277" customWidth="1"/>
    <col min="776" max="776" width="19.42578125" style="277" customWidth="1"/>
    <col min="777" max="777" width="20.7109375" style="277" customWidth="1"/>
    <col min="778" max="778" width="32" style="277" customWidth="1"/>
    <col min="779" max="779" width="30.28515625" style="277" customWidth="1"/>
    <col min="780" max="780" width="23.5703125" style="277" customWidth="1"/>
    <col min="781" max="781" width="22.7109375" style="277" customWidth="1"/>
    <col min="782" max="782" width="29" style="277" customWidth="1"/>
    <col min="783" max="783" width="25.5703125" style="277" customWidth="1"/>
    <col min="784" max="784" width="28.28515625" style="277" customWidth="1"/>
    <col min="785" max="785" width="17.7109375" style="277" customWidth="1"/>
    <col min="786" max="786" width="24.7109375" style="277" customWidth="1"/>
    <col min="787" max="787" width="26" style="277" customWidth="1"/>
    <col min="788" max="788" width="22.7109375" style="277" customWidth="1"/>
    <col min="789" max="789" width="40.28515625" style="277" customWidth="1"/>
    <col min="790" max="790" width="9" style="277"/>
    <col min="791" max="791" width="30.42578125" style="277" customWidth="1"/>
    <col min="792" max="794" width="9" style="277"/>
    <col min="795" max="795" width="21.42578125" style="277" customWidth="1"/>
    <col min="796" max="1024" width="9" style="277"/>
    <col min="1025" max="1025" width="9.7109375" style="277" customWidth="1"/>
    <col min="1026" max="1026" width="47.28515625" style="277" customWidth="1"/>
    <col min="1027" max="1027" width="13.28515625" style="277" customWidth="1"/>
    <col min="1028" max="1028" width="26" style="277" customWidth="1"/>
    <col min="1029" max="1029" width="24" style="277" customWidth="1"/>
    <col min="1030" max="1030" width="17.28515625" style="277" customWidth="1"/>
    <col min="1031" max="1031" width="18.28515625" style="277" customWidth="1"/>
    <col min="1032" max="1032" width="19.42578125" style="277" customWidth="1"/>
    <col min="1033" max="1033" width="20.7109375" style="277" customWidth="1"/>
    <col min="1034" max="1034" width="32" style="277" customWidth="1"/>
    <col min="1035" max="1035" width="30.28515625" style="277" customWidth="1"/>
    <col min="1036" max="1036" width="23.5703125" style="277" customWidth="1"/>
    <col min="1037" max="1037" width="22.7109375" style="277" customWidth="1"/>
    <col min="1038" max="1038" width="29" style="277" customWidth="1"/>
    <col min="1039" max="1039" width="25.5703125" style="277" customWidth="1"/>
    <col min="1040" max="1040" width="28.28515625" style="277" customWidth="1"/>
    <col min="1041" max="1041" width="17.7109375" style="277" customWidth="1"/>
    <col min="1042" max="1042" width="24.7109375" style="277" customWidth="1"/>
    <col min="1043" max="1043" width="26" style="277" customWidth="1"/>
    <col min="1044" max="1044" width="22.7109375" style="277" customWidth="1"/>
    <col min="1045" max="1045" width="40.28515625" style="277" customWidth="1"/>
    <col min="1046" max="1046" width="9" style="277"/>
    <col min="1047" max="1047" width="30.42578125" style="277" customWidth="1"/>
    <col min="1048" max="1050" width="9" style="277"/>
    <col min="1051" max="1051" width="21.42578125" style="277" customWidth="1"/>
    <col min="1052" max="1280" width="9" style="277"/>
    <col min="1281" max="1281" width="9.7109375" style="277" customWidth="1"/>
    <col min="1282" max="1282" width="47.28515625" style="277" customWidth="1"/>
    <col min="1283" max="1283" width="13.28515625" style="277" customWidth="1"/>
    <col min="1284" max="1284" width="26" style="277" customWidth="1"/>
    <col min="1285" max="1285" width="24" style="277" customWidth="1"/>
    <col min="1286" max="1286" width="17.28515625" style="277" customWidth="1"/>
    <col min="1287" max="1287" width="18.28515625" style="277" customWidth="1"/>
    <col min="1288" max="1288" width="19.42578125" style="277" customWidth="1"/>
    <col min="1289" max="1289" width="20.7109375" style="277" customWidth="1"/>
    <col min="1290" max="1290" width="32" style="277" customWidth="1"/>
    <col min="1291" max="1291" width="30.28515625" style="277" customWidth="1"/>
    <col min="1292" max="1292" width="23.5703125" style="277" customWidth="1"/>
    <col min="1293" max="1293" width="22.7109375" style="277" customWidth="1"/>
    <col min="1294" max="1294" width="29" style="277" customWidth="1"/>
    <col min="1295" max="1295" width="25.5703125" style="277" customWidth="1"/>
    <col min="1296" max="1296" width="28.28515625" style="277" customWidth="1"/>
    <col min="1297" max="1297" width="17.7109375" style="277" customWidth="1"/>
    <col min="1298" max="1298" width="24.7109375" style="277" customWidth="1"/>
    <col min="1299" max="1299" width="26" style="277" customWidth="1"/>
    <col min="1300" max="1300" width="22.7109375" style="277" customWidth="1"/>
    <col min="1301" max="1301" width="40.28515625" style="277" customWidth="1"/>
    <col min="1302" max="1302" width="9" style="277"/>
    <col min="1303" max="1303" width="30.42578125" style="277" customWidth="1"/>
    <col min="1304" max="1306" width="9" style="277"/>
    <col min="1307" max="1307" width="21.42578125" style="277" customWidth="1"/>
    <col min="1308" max="1536" width="9" style="277"/>
    <col min="1537" max="1537" width="9.7109375" style="277" customWidth="1"/>
    <col min="1538" max="1538" width="47.28515625" style="277" customWidth="1"/>
    <col min="1539" max="1539" width="13.28515625" style="277" customWidth="1"/>
    <col min="1540" max="1540" width="26" style="277" customWidth="1"/>
    <col min="1541" max="1541" width="24" style="277" customWidth="1"/>
    <col min="1542" max="1542" width="17.28515625" style="277" customWidth="1"/>
    <col min="1543" max="1543" width="18.28515625" style="277" customWidth="1"/>
    <col min="1544" max="1544" width="19.42578125" style="277" customWidth="1"/>
    <col min="1545" max="1545" width="20.7109375" style="277" customWidth="1"/>
    <col min="1546" max="1546" width="32" style="277" customWidth="1"/>
    <col min="1547" max="1547" width="30.28515625" style="277" customWidth="1"/>
    <col min="1548" max="1548" width="23.5703125" style="277" customWidth="1"/>
    <col min="1549" max="1549" width="22.7109375" style="277" customWidth="1"/>
    <col min="1550" max="1550" width="29" style="277" customWidth="1"/>
    <col min="1551" max="1551" width="25.5703125" style="277" customWidth="1"/>
    <col min="1552" max="1552" width="28.28515625" style="277" customWidth="1"/>
    <col min="1553" max="1553" width="17.7109375" style="277" customWidth="1"/>
    <col min="1554" max="1554" width="24.7109375" style="277" customWidth="1"/>
    <col min="1555" max="1555" width="26" style="277" customWidth="1"/>
    <col min="1556" max="1556" width="22.7109375" style="277" customWidth="1"/>
    <col min="1557" max="1557" width="40.28515625" style="277" customWidth="1"/>
    <col min="1558" max="1558" width="9" style="277"/>
    <col min="1559" max="1559" width="30.42578125" style="277" customWidth="1"/>
    <col min="1560" max="1562" width="9" style="277"/>
    <col min="1563" max="1563" width="21.42578125" style="277" customWidth="1"/>
    <col min="1564" max="1792" width="9" style="277"/>
    <col min="1793" max="1793" width="9.7109375" style="277" customWidth="1"/>
    <col min="1794" max="1794" width="47.28515625" style="277" customWidth="1"/>
    <col min="1795" max="1795" width="13.28515625" style="277" customWidth="1"/>
    <col min="1796" max="1796" width="26" style="277" customWidth="1"/>
    <col min="1797" max="1797" width="24" style="277" customWidth="1"/>
    <col min="1798" max="1798" width="17.28515625" style="277" customWidth="1"/>
    <col min="1799" max="1799" width="18.28515625" style="277" customWidth="1"/>
    <col min="1800" max="1800" width="19.42578125" style="277" customWidth="1"/>
    <col min="1801" max="1801" width="20.7109375" style="277" customWidth="1"/>
    <col min="1802" max="1802" width="32" style="277" customWidth="1"/>
    <col min="1803" max="1803" width="30.28515625" style="277" customWidth="1"/>
    <col min="1804" max="1804" width="23.5703125" style="277" customWidth="1"/>
    <col min="1805" max="1805" width="22.7109375" style="277" customWidth="1"/>
    <col min="1806" max="1806" width="29" style="277" customWidth="1"/>
    <col min="1807" max="1807" width="25.5703125" style="277" customWidth="1"/>
    <col min="1808" max="1808" width="28.28515625" style="277" customWidth="1"/>
    <col min="1809" max="1809" width="17.7109375" style="277" customWidth="1"/>
    <col min="1810" max="1810" width="24.7109375" style="277" customWidth="1"/>
    <col min="1811" max="1811" width="26" style="277" customWidth="1"/>
    <col min="1812" max="1812" width="22.7109375" style="277" customWidth="1"/>
    <col min="1813" max="1813" width="40.28515625" style="277" customWidth="1"/>
    <col min="1814" max="1814" width="9" style="277"/>
    <col min="1815" max="1815" width="30.42578125" style="277" customWidth="1"/>
    <col min="1816" max="1818" width="9" style="277"/>
    <col min="1819" max="1819" width="21.42578125" style="277" customWidth="1"/>
    <col min="1820" max="2048" width="9" style="277"/>
    <col min="2049" max="2049" width="9.7109375" style="277" customWidth="1"/>
    <col min="2050" max="2050" width="47.28515625" style="277" customWidth="1"/>
    <col min="2051" max="2051" width="13.28515625" style="277" customWidth="1"/>
    <col min="2052" max="2052" width="26" style="277" customWidth="1"/>
    <col min="2053" max="2053" width="24" style="277" customWidth="1"/>
    <col min="2054" max="2054" width="17.28515625" style="277" customWidth="1"/>
    <col min="2055" max="2055" width="18.28515625" style="277" customWidth="1"/>
    <col min="2056" max="2056" width="19.42578125" style="277" customWidth="1"/>
    <col min="2057" max="2057" width="20.7109375" style="277" customWidth="1"/>
    <col min="2058" max="2058" width="32" style="277" customWidth="1"/>
    <col min="2059" max="2059" width="30.28515625" style="277" customWidth="1"/>
    <col min="2060" max="2060" width="23.5703125" style="277" customWidth="1"/>
    <col min="2061" max="2061" width="22.7109375" style="277" customWidth="1"/>
    <col min="2062" max="2062" width="29" style="277" customWidth="1"/>
    <col min="2063" max="2063" width="25.5703125" style="277" customWidth="1"/>
    <col min="2064" max="2064" width="28.28515625" style="277" customWidth="1"/>
    <col min="2065" max="2065" width="17.7109375" style="277" customWidth="1"/>
    <col min="2066" max="2066" width="24.7109375" style="277" customWidth="1"/>
    <col min="2067" max="2067" width="26" style="277" customWidth="1"/>
    <col min="2068" max="2068" width="22.7109375" style="277" customWidth="1"/>
    <col min="2069" max="2069" width="40.28515625" style="277" customWidth="1"/>
    <col min="2070" max="2070" width="9" style="277"/>
    <col min="2071" max="2071" width="30.42578125" style="277" customWidth="1"/>
    <col min="2072" max="2074" width="9" style="277"/>
    <col min="2075" max="2075" width="21.42578125" style="277" customWidth="1"/>
    <col min="2076" max="2304" width="9" style="277"/>
    <col min="2305" max="2305" width="9.7109375" style="277" customWidth="1"/>
    <col min="2306" max="2306" width="47.28515625" style="277" customWidth="1"/>
    <col min="2307" max="2307" width="13.28515625" style="277" customWidth="1"/>
    <col min="2308" max="2308" width="26" style="277" customWidth="1"/>
    <col min="2309" max="2309" width="24" style="277" customWidth="1"/>
    <col min="2310" max="2310" width="17.28515625" style="277" customWidth="1"/>
    <col min="2311" max="2311" width="18.28515625" style="277" customWidth="1"/>
    <col min="2312" max="2312" width="19.42578125" style="277" customWidth="1"/>
    <col min="2313" max="2313" width="20.7109375" style="277" customWidth="1"/>
    <col min="2314" max="2314" width="32" style="277" customWidth="1"/>
    <col min="2315" max="2315" width="30.28515625" style="277" customWidth="1"/>
    <col min="2316" max="2316" width="23.5703125" style="277" customWidth="1"/>
    <col min="2317" max="2317" width="22.7109375" style="277" customWidth="1"/>
    <col min="2318" max="2318" width="29" style="277" customWidth="1"/>
    <col min="2319" max="2319" width="25.5703125" style="277" customWidth="1"/>
    <col min="2320" max="2320" width="28.28515625" style="277" customWidth="1"/>
    <col min="2321" max="2321" width="17.7109375" style="277" customWidth="1"/>
    <col min="2322" max="2322" width="24.7109375" style="277" customWidth="1"/>
    <col min="2323" max="2323" width="26" style="277" customWidth="1"/>
    <col min="2324" max="2324" width="22.7109375" style="277" customWidth="1"/>
    <col min="2325" max="2325" width="40.28515625" style="277" customWidth="1"/>
    <col min="2326" max="2326" width="9" style="277"/>
    <col min="2327" max="2327" width="30.42578125" style="277" customWidth="1"/>
    <col min="2328" max="2330" width="9" style="277"/>
    <col min="2331" max="2331" width="21.42578125" style="277" customWidth="1"/>
    <col min="2332" max="2560" width="9" style="277"/>
    <col min="2561" max="2561" width="9.7109375" style="277" customWidth="1"/>
    <col min="2562" max="2562" width="47.28515625" style="277" customWidth="1"/>
    <col min="2563" max="2563" width="13.28515625" style="277" customWidth="1"/>
    <col min="2564" max="2564" width="26" style="277" customWidth="1"/>
    <col min="2565" max="2565" width="24" style="277" customWidth="1"/>
    <col min="2566" max="2566" width="17.28515625" style="277" customWidth="1"/>
    <col min="2567" max="2567" width="18.28515625" style="277" customWidth="1"/>
    <col min="2568" max="2568" width="19.42578125" style="277" customWidth="1"/>
    <col min="2569" max="2569" width="20.7109375" style="277" customWidth="1"/>
    <col min="2570" max="2570" width="32" style="277" customWidth="1"/>
    <col min="2571" max="2571" width="30.28515625" style="277" customWidth="1"/>
    <col min="2572" max="2572" width="23.5703125" style="277" customWidth="1"/>
    <col min="2573" max="2573" width="22.7109375" style="277" customWidth="1"/>
    <col min="2574" max="2574" width="29" style="277" customWidth="1"/>
    <col min="2575" max="2575" width="25.5703125" style="277" customWidth="1"/>
    <col min="2576" max="2576" width="28.28515625" style="277" customWidth="1"/>
    <col min="2577" max="2577" width="17.7109375" style="277" customWidth="1"/>
    <col min="2578" max="2578" width="24.7109375" style="277" customWidth="1"/>
    <col min="2579" max="2579" width="26" style="277" customWidth="1"/>
    <col min="2580" max="2580" width="22.7109375" style="277" customWidth="1"/>
    <col min="2581" max="2581" width="40.28515625" style="277" customWidth="1"/>
    <col min="2582" max="2582" width="9" style="277"/>
    <col min="2583" max="2583" width="30.42578125" style="277" customWidth="1"/>
    <col min="2584" max="2586" width="9" style="277"/>
    <col min="2587" max="2587" width="21.42578125" style="277" customWidth="1"/>
    <col min="2588" max="2816" width="9" style="277"/>
    <col min="2817" max="2817" width="9.7109375" style="277" customWidth="1"/>
    <col min="2818" max="2818" width="47.28515625" style="277" customWidth="1"/>
    <col min="2819" max="2819" width="13.28515625" style="277" customWidth="1"/>
    <col min="2820" max="2820" width="26" style="277" customWidth="1"/>
    <col min="2821" max="2821" width="24" style="277" customWidth="1"/>
    <col min="2822" max="2822" width="17.28515625" style="277" customWidth="1"/>
    <col min="2823" max="2823" width="18.28515625" style="277" customWidth="1"/>
    <col min="2824" max="2824" width="19.42578125" style="277" customWidth="1"/>
    <col min="2825" max="2825" width="20.7109375" style="277" customWidth="1"/>
    <col min="2826" max="2826" width="32" style="277" customWidth="1"/>
    <col min="2827" max="2827" width="30.28515625" style="277" customWidth="1"/>
    <col min="2828" max="2828" width="23.5703125" style="277" customWidth="1"/>
    <col min="2829" max="2829" width="22.7109375" style="277" customWidth="1"/>
    <col min="2830" max="2830" width="29" style="277" customWidth="1"/>
    <col min="2831" max="2831" width="25.5703125" style="277" customWidth="1"/>
    <col min="2832" max="2832" width="28.28515625" style="277" customWidth="1"/>
    <col min="2833" max="2833" width="17.7109375" style="277" customWidth="1"/>
    <col min="2834" max="2834" width="24.7109375" style="277" customWidth="1"/>
    <col min="2835" max="2835" width="26" style="277" customWidth="1"/>
    <col min="2836" max="2836" width="22.7109375" style="277" customWidth="1"/>
    <col min="2837" max="2837" width="40.28515625" style="277" customWidth="1"/>
    <col min="2838" max="2838" width="9" style="277"/>
    <col min="2839" max="2839" width="30.42578125" style="277" customWidth="1"/>
    <col min="2840" max="2842" width="9" style="277"/>
    <col min="2843" max="2843" width="21.42578125" style="277" customWidth="1"/>
    <col min="2844" max="3072" width="9" style="277"/>
    <col min="3073" max="3073" width="9.7109375" style="277" customWidth="1"/>
    <col min="3074" max="3074" width="47.28515625" style="277" customWidth="1"/>
    <col min="3075" max="3075" width="13.28515625" style="277" customWidth="1"/>
    <col min="3076" max="3076" width="26" style="277" customWidth="1"/>
    <col min="3077" max="3077" width="24" style="277" customWidth="1"/>
    <col min="3078" max="3078" width="17.28515625" style="277" customWidth="1"/>
    <col min="3079" max="3079" width="18.28515625" style="277" customWidth="1"/>
    <col min="3080" max="3080" width="19.42578125" style="277" customWidth="1"/>
    <col min="3081" max="3081" width="20.7109375" style="277" customWidth="1"/>
    <col min="3082" max="3082" width="32" style="277" customWidth="1"/>
    <col min="3083" max="3083" width="30.28515625" style="277" customWidth="1"/>
    <col min="3084" max="3084" width="23.5703125" style="277" customWidth="1"/>
    <col min="3085" max="3085" width="22.7109375" style="277" customWidth="1"/>
    <col min="3086" max="3086" width="29" style="277" customWidth="1"/>
    <col min="3087" max="3087" width="25.5703125" style="277" customWidth="1"/>
    <col min="3088" max="3088" width="28.28515625" style="277" customWidth="1"/>
    <col min="3089" max="3089" width="17.7109375" style="277" customWidth="1"/>
    <col min="3090" max="3090" width="24.7109375" style="277" customWidth="1"/>
    <col min="3091" max="3091" width="26" style="277" customWidth="1"/>
    <col min="3092" max="3092" width="22.7109375" style="277" customWidth="1"/>
    <col min="3093" max="3093" width="40.28515625" style="277" customWidth="1"/>
    <col min="3094" max="3094" width="9" style="277"/>
    <col min="3095" max="3095" width="30.42578125" style="277" customWidth="1"/>
    <col min="3096" max="3098" width="9" style="277"/>
    <col min="3099" max="3099" width="21.42578125" style="277" customWidth="1"/>
    <col min="3100" max="3328" width="9" style="277"/>
    <col min="3329" max="3329" width="9.7109375" style="277" customWidth="1"/>
    <col min="3330" max="3330" width="47.28515625" style="277" customWidth="1"/>
    <col min="3331" max="3331" width="13.28515625" style="277" customWidth="1"/>
    <col min="3332" max="3332" width="26" style="277" customWidth="1"/>
    <col min="3333" max="3333" width="24" style="277" customWidth="1"/>
    <col min="3334" max="3334" width="17.28515625" style="277" customWidth="1"/>
    <col min="3335" max="3335" width="18.28515625" style="277" customWidth="1"/>
    <col min="3336" max="3336" width="19.42578125" style="277" customWidth="1"/>
    <col min="3337" max="3337" width="20.7109375" style="277" customWidth="1"/>
    <col min="3338" max="3338" width="32" style="277" customWidth="1"/>
    <col min="3339" max="3339" width="30.28515625" style="277" customWidth="1"/>
    <col min="3340" max="3340" width="23.5703125" style="277" customWidth="1"/>
    <col min="3341" max="3341" width="22.7109375" style="277" customWidth="1"/>
    <col min="3342" max="3342" width="29" style="277" customWidth="1"/>
    <col min="3343" max="3343" width="25.5703125" style="277" customWidth="1"/>
    <col min="3344" max="3344" width="28.28515625" style="277" customWidth="1"/>
    <col min="3345" max="3345" width="17.7109375" style="277" customWidth="1"/>
    <col min="3346" max="3346" width="24.7109375" style="277" customWidth="1"/>
    <col min="3347" max="3347" width="26" style="277" customWidth="1"/>
    <col min="3348" max="3348" width="22.7109375" style="277" customWidth="1"/>
    <col min="3349" max="3349" width="40.28515625" style="277" customWidth="1"/>
    <col min="3350" max="3350" width="9" style="277"/>
    <col min="3351" max="3351" width="30.42578125" style="277" customWidth="1"/>
    <col min="3352" max="3354" width="9" style="277"/>
    <col min="3355" max="3355" width="21.42578125" style="277" customWidth="1"/>
    <col min="3356" max="3584" width="9" style="277"/>
    <col min="3585" max="3585" width="9.7109375" style="277" customWidth="1"/>
    <col min="3586" max="3586" width="47.28515625" style="277" customWidth="1"/>
    <col min="3587" max="3587" width="13.28515625" style="277" customWidth="1"/>
    <col min="3588" max="3588" width="26" style="277" customWidth="1"/>
    <col min="3589" max="3589" width="24" style="277" customWidth="1"/>
    <col min="3590" max="3590" width="17.28515625" style="277" customWidth="1"/>
    <col min="3591" max="3591" width="18.28515625" style="277" customWidth="1"/>
    <col min="3592" max="3592" width="19.42578125" style="277" customWidth="1"/>
    <col min="3593" max="3593" width="20.7109375" style="277" customWidth="1"/>
    <col min="3594" max="3594" width="32" style="277" customWidth="1"/>
    <col min="3595" max="3595" width="30.28515625" style="277" customWidth="1"/>
    <col min="3596" max="3596" width="23.5703125" style="277" customWidth="1"/>
    <col min="3597" max="3597" width="22.7109375" style="277" customWidth="1"/>
    <col min="3598" max="3598" width="29" style="277" customWidth="1"/>
    <col min="3599" max="3599" width="25.5703125" style="277" customWidth="1"/>
    <col min="3600" max="3600" width="28.28515625" style="277" customWidth="1"/>
    <col min="3601" max="3601" width="17.7109375" style="277" customWidth="1"/>
    <col min="3602" max="3602" width="24.7109375" style="277" customWidth="1"/>
    <col min="3603" max="3603" width="26" style="277" customWidth="1"/>
    <col min="3604" max="3604" width="22.7109375" style="277" customWidth="1"/>
    <col min="3605" max="3605" width="40.28515625" style="277" customWidth="1"/>
    <col min="3606" max="3606" width="9" style="277"/>
    <col min="3607" max="3607" width="30.42578125" style="277" customWidth="1"/>
    <col min="3608" max="3610" width="9" style="277"/>
    <col min="3611" max="3611" width="21.42578125" style="277" customWidth="1"/>
    <col min="3612" max="3840" width="9" style="277"/>
    <col min="3841" max="3841" width="9.7109375" style="277" customWidth="1"/>
    <col min="3842" max="3842" width="47.28515625" style="277" customWidth="1"/>
    <col min="3843" max="3843" width="13.28515625" style="277" customWidth="1"/>
    <col min="3844" max="3844" width="26" style="277" customWidth="1"/>
    <col min="3845" max="3845" width="24" style="277" customWidth="1"/>
    <col min="3846" max="3846" width="17.28515625" style="277" customWidth="1"/>
    <col min="3847" max="3847" width="18.28515625" style="277" customWidth="1"/>
    <col min="3848" max="3848" width="19.42578125" style="277" customWidth="1"/>
    <col min="3849" max="3849" width="20.7109375" style="277" customWidth="1"/>
    <col min="3850" max="3850" width="32" style="277" customWidth="1"/>
    <col min="3851" max="3851" width="30.28515625" style="277" customWidth="1"/>
    <col min="3852" max="3852" width="23.5703125" style="277" customWidth="1"/>
    <col min="3853" max="3853" width="22.7109375" style="277" customWidth="1"/>
    <col min="3854" max="3854" width="29" style="277" customWidth="1"/>
    <col min="3855" max="3855" width="25.5703125" style="277" customWidth="1"/>
    <col min="3856" max="3856" width="28.28515625" style="277" customWidth="1"/>
    <col min="3857" max="3857" width="17.7109375" style="277" customWidth="1"/>
    <col min="3858" max="3858" width="24.7109375" style="277" customWidth="1"/>
    <col min="3859" max="3859" width="26" style="277" customWidth="1"/>
    <col min="3860" max="3860" width="22.7109375" style="277" customWidth="1"/>
    <col min="3861" max="3861" width="40.28515625" style="277" customWidth="1"/>
    <col min="3862" max="3862" width="9" style="277"/>
    <col min="3863" max="3863" width="30.42578125" style="277" customWidth="1"/>
    <col min="3864" max="3866" width="9" style="277"/>
    <col min="3867" max="3867" width="21.42578125" style="277" customWidth="1"/>
    <col min="3868" max="4096" width="9" style="277"/>
    <col min="4097" max="4097" width="9.7109375" style="277" customWidth="1"/>
    <col min="4098" max="4098" width="47.28515625" style="277" customWidth="1"/>
    <col min="4099" max="4099" width="13.28515625" style="277" customWidth="1"/>
    <col min="4100" max="4100" width="26" style="277" customWidth="1"/>
    <col min="4101" max="4101" width="24" style="277" customWidth="1"/>
    <col min="4102" max="4102" width="17.28515625" style="277" customWidth="1"/>
    <col min="4103" max="4103" width="18.28515625" style="277" customWidth="1"/>
    <col min="4104" max="4104" width="19.42578125" style="277" customWidth="1"/>
    <col min="4105" max="4105" width="20.7109375" style="277" customWidth="1"/>
    <col min="4106" max="4106" width="32" style="277" customWidth="1"/>
    <col min="4107" max="4107" width="30.28515625" style="277" customWidth="1"/>
    <col min="4108" max="4108" width="23.5703125" style="277" customWidth="1"/>
    <col min="4109" max="4109" width="22.7109375" style="277" customWidth="1"/>
    <col min="4110" max="4110" width="29" style="277" customWidth="1"/>
    <col min="4111" max="4111" width="25.5703125" style="277" customWidth="1"/>
    <col min="4112" max="4112" width="28.28515625" style="277" customWidth="1"/>
    <col min="4113" max="4113" width="17.7109375" style="277" customWidth="1"/>
    <col min="4114" max="4114" width="24.7109375" style="277" customWidth="1"/>
    <col min="4115" max="4115" width="26" style="277" customWidth="1"/>
    <col min="4116" max="4116" width="22.7109375" style="277" customWidth="1"/>
    <col min="4117" max="4117" width="40.28515625" style="277" customWidth="1"/>
    <col min="4118" max="4118" width="9" style="277"/>
    <col min="4119" max="4119" width="30.42578125" style="277" customWidth="1"/>
    <col min="4120" max="4122" width="9" style="277"/>
    <col min="4123" max="4123" width="21.42578125" style="277" customWidth="1"/>
    <col min="4124" max="4352" width="9" style="277"/>
    <col min="4353" max="4353" width="9.7109375" style="277" customWidth="1"/>
    <col min="4354" max="4354" width="47.28515625" style="277" customWidth="1"/>
    <col min="4355" max="4355" width="13.28515625" style="277" customWidth="1"/>
    <col min="4356" max="4356" width="26" style="277" customWidth="1"/>
    <col min="4357" max="4357" width="24" style="277" customWidth="1"/>
    <col min="4358" max="4358" width="17.28515625" style="277" customWidth="1"/>
    <col min="4359" max="4359" width="18.28515625" style="277" customWidth="1"/>
    <col min="4360" max="4360" width="19.42578125" style="277" customWidth="1"/>
    <col min="4361" max="4361" width="20.7109375" style="277" customWidth="1"/>
    <col min="4362" max="4362" width="32" style="277" customWidth="1"/>
    <col min="4363" max="4363" width="30.28515625" style="277" customWidth="1"/>
    <col min="4364" max="4364" width="23.5703125" style="277" customWidth="1"/>
    <col min="4365" max="4365" width="22.7109375" style="277" customWidth="1"/>
    <col min="4366" max="4366" width="29" style="277" customWidth="1"/>
    <col min="4367" max="4367" width="25.5703125" style="277" customWidth="1"/>
    <col min="4368" max="4368" width="28.28515625" style="277" customWidth="1"/>
    <col min="4369" max="4369" width="17.7109375" style="277" customWidth="1"/>
    <col min="4370" max="4370" width="24.7109375" style="277" customWidth="1"/>
    <col min="4371" max="4371" width="26" style="277" customWidth="1"/>
    <col min="4372" max="4372" width="22.7109375" style="277" customWidth="1"/>
    <col min="4373" max="4373" width="40.28515625" style="277" customWidth="1"/>
    <col min="4374" max="4374" width="9" style="277"/>
    <col min="4375" max="4375" width="30.42578125" style="277" customWidth="1"/>
    <col min="4376" max="4378" width="9" style="277"/>
    <col min="4379" max="4379" width="21.42578125" style="277" customWidth="1"/>
    <col min="4380" max="4608" width="9" style="277"/>
    <col min="4609" max="4609" width="9.7109375" style="277" customWidth="1"/>
    <col min="4610" max="4610" width="47.28515625" style="277" customWidth="1"/>
    <col min="4611" max="4611" width="13.28515625" style="277" customWidth="1"/>
    <col min="4612" max="4612" width="26" style="277" customWidth="1"/>
    <col min="4613" max="4613" width="24" style="277" customWidth="1"/>
    <col min="4614" max="4614" width="17.28515625" style="277" customWidth="1"/>
    <col min="4615" max="4615" width="18.28515625" style="277" customWidth="1"/>
    <col min="4616" max="4616" width="19.42578125" style="277" customWidth="1"/>
    <col min="4617" max="4617" width="20.7109375" style="277" customWidth="1"/>
    <col min="4618" max="4618" width="32" style="277" customWidth="1"/>
    <col min="4619" max="4619" width="30.28515625" style="277" customWidth="1"/>
    <col min="4620" max="4620" width="23.5703125" style="277" customWidth="1"/>
    <col min="4621" max="4621" width="22.7109375" style="277" customWidth="1"/>
    <col min="4622" max="4622" width="29" style="277" customWidth="1"/>
    <col min="4623" max="4623" width="25.5703125" style="277" customWidth="1"/>
    <col min="4624" max="4624" width="28.28515625" style="277" customWidth="1"/>
    <col min="4625" max="4625" width="17.7109375" style="277" customWidth="1"/>
    <col min="4626" max="4626" width="24.7109375" style="277" customWidth="1"/>
    <col min="4627" max="4627" width="26" style="277" customWidth="1"/>
    <col min="4628" max="4628" width="22.7109375" style="277" customWidth="1"/>
    <col min="4629" max="4629" width="40.28515625" style="277" customWidth="1"/>
    <col min="4630" max="4630" width="9" style="277"/>
    <col min="4631" max="4631" width="30.42578125" style="277" customWidth="1"/>
    <col min="4632" max="4634" width="9" style="277"/>
    <col min="4635" max="4635" width="21.42578125" style="277" customWidth="1"/>
    <col min="4636" max="4864" width="9" style="277"/>
    <col min="4865" max="4865" width="9.7109375" style="277" customWidth="1"/>
    <col min="4866" max="4866" width="47.28515625" style="277" customWidth="1"/>
    <col min="4867" max="4867" width="13.28515625" style="277" customWidth="1"/>
    <col min="4868" max="4868" width="26" style="277" customWidth="1"/>
    <col min="4869" max="4869" width="24" style="277" customWidth="1"/>
    <col min="4870" max="4870" width="17.28515625" style="277" customWidth="1"/>
    <col min="4871" max="4871" width="18.28515625" style="277" customWidth="1"/>
    <col min="4872" max="4872" width="19.42578125" style="277" customWidth="1"/>
    <col min="4873" max="4873" width="20.7109375" style="277" customWidth="1"/>
    <col min="4874" max="4874" width="32" style="277" customWidth="1"/>
    <col min="4875" max="4875" width="30.28515625" style="277" customWidth="1"/>
    <col min="4876" max="4876" width="23.5703125" style="277" customWidth="1"/>
    <col min="4877" max="4877" width="22.7109375" style="277" customWidth="1"/>
    <col min="4878" max="4878" width="29" style="277" customWidth="1"/>
    <col min="4879" max="4879" width="25.5703125" style="277" customWidth="1"/>
    <col min="4880" max="4880" width="28.28515625" style="277" customWidth="1"/>
    <col min="4881" max="4881" width="17.7109375" style="277" customWidth="1"/>
    <col min="4882" max="4882" width="24.7109375" style="277" customWidth="1"/>
    <col min="4883" max="4883" width="26" style="277" customWidth="1"/>
    <col min="4884" max="4884" width="22.7109375" style="277" customWidth="1"/>
    <col min="4885" max="4885" width="40.28515625" style="277" customWidth="1"/>
    <col min="4886" max="4886" width="9" style="277"/>
    <col min="4887" max="4887" width="30.42578125" style="277" customWidth="1"/>
    <col min="4888" max="4890" width="9" style="277"/>
    <col min="4891" max="4891" width="21.42578125" style="277" customWidth="1"/>
    <col min="4892" max="5120" width="9" style="277"/>
    <col min="5121" max="5121" width="9.7109375" style="277" customWidth="1"/>
    <col min="5122" max="5122" width="47.28515625" style="277" customWidth="1"/>
    <col min="5123" max="5123" width="13.28515625" style="277" customWidth="1"/>
    <col min="5124" max="5124" width="26" style="277" customWidth="1"/>
    <col min="5125" max="5125" width="24" style="277" customWidth="1"/>
    <col min="5126" max="5126" width="17.28515625" style="277" customWidth="1"/>
    <col min="5127" max="5127" width="18.28515625" style="277" customWidth="1"/>
    <col min="5128" max="5128" width="19.42578125" style="277" customWidth="1"/>
    <col min="5129" max="5129" width="20.7109375" style="277" customWidth="1"/>
    <col min="5130" max="5130" width="32" style="277" customWidth="1"/>
    <col min="5131" max="5131" width="30.28515625" style="277" customWidth="1"/>
    <col min="5132" max="5132" width="23.5703125" style="277" customWidth="1"/>
    <col min="5133" max="5133" width="22.7109375" style="277" customWidth="1"/>
    <col min="5134" max="5134" width="29" style="277" customWidth="1"/>
    <col min="5135" max="5135" width="25.5703125" style="277" customWidth="1"/>
    <col min="5136" max="5136" width="28.28515625" style="277" customWidth="1"/>
    <col min="5137" max="5137" width="17.7109375" style="277" customWidth="1"/>
    <col min="5138" max="5138" width="24.7109375" style="277" customWidth="1"/>
    <col min="5139" max="5139" width="26" style="277" customWidth="1"/>
    <col min="5140" max="5140" width="22.7109375" style="277" customWidth="1"/>
    <col min="5141" max="5141" width="40.28515625" style="277" customWidth="1"/>
    <col min="5142" max="5142" width="9" style="277"/>
    <col min="5143" max="5143" width="30.42578125" style="277" customWidth="1"/>
    <col min="5144" max="5146" width="9" style="277"/>
    <col min="5147" max="5147" width="21.42578125" style="277" customWidth="1"/>
    <col min="5148" max="5376" width="9" style="277"/>
    <col min="5377" max="5377" width="9.7109375" style="277" customWidth="1"/>
    <col min="5378" max="5378" width="47.28515625" style="277" customWidth="1"/>
    <col min="5379" max="5379" width="13.28515625" style="277" customWidth="1"/>
    <col min="5380" max="5380" width="26" style="277" customWidth="1"/>
    <col min="5381" max="5381" width="24" style="277" customWidth="1"/>
    <col min="5382" max="5382" width="17.28515625" style="277" customWidth="1"/>
    <col min="5383" max="5383" width="18.28515625" style="277" customWidth="1"/>
    <col min="5384" max="5384" width="19.42578125" style="277" customWidth="1"/>
    <col min="5385" max="5385" width="20.7109375" style="277" customWidth="1"/>
    <col min="5386" max="5386" width="32" style="277" customWidth="1"/>
    <col min="5387" max="5387" width="30.28515625" style="277" customWidth="1"/>
    <col min="5388" max="5388" width="23.5703125" style="277" customWidth="1"/>
    <col min="5389" max="5389" width="22.7109375" style="277" customWidth="1"/>
    <col min="5390" max="5390" width="29" style="277" customWidth="1"/>
    <col min="5391" max="5391" width="25.5703125" style="277" customWidth="1"/>
    <col min="5392" max="5392" width="28.28515625" style="277" customWidth="1"/>
    <col min="5393" max="5393" width="17.7109375" style="277" customWidth="1"/>
    <col min="5394" max="5394" width="24.7109375" style="277" customWidth="1"/>
    <col min="5395" max="5395" width="26" style="277" customWidth="1"/>
    <col min="5396" max="5396" width="22.7109375" style="277" customWidth="1"/>
    <col min="5397" max="5397" width="40.28515625" style="277" customWidth="1"/>
    <col min="5398" max="5398" width="9" style="277"/>
    <col min="5399" max="5399" width="30.42578125" style="277" customWidth="1"/>
    <col min="5400" max="5402" width="9" style="277"/>
    <col min="5403" max="5403" width="21.42578125" style="277" customWidth="1"/>
    <col min="5404" max="5632" width="9" style="277"/>
    <col min="5633" max="5633" width="9.7109375" style="277" customWidth="1"/>
    <col min="5634" max="5634" width="47.28515625" style="277" customWidth="1"/>
    <col min="5635" max="5635" width="13.28515625" style="277" customWidth="1"/>
    <col min="5636" max="5636" width="26" style="277" customWidth="1"/>
    <col min="5637" max="5637" width="24" style="277" customWidth="1"/>
    <col min="5638" max="5638" width="17.28515625" style="277" customWidth="1"/>
    <col min="5639" max="5639" width="18.28515625" style="277" customWidth="1"/>
    <col min="5640" max="5640" width="19.42578125" style="277" customWidth="1"/>
    <col min="5641" max="5641" width="20.7109375" style="277" customWidth="1"/>
    <col min="5642" max="5642" width="32" style="277" customWidth="1"/>
    <col min="5643" max="5643" width="30.28515625" style="277" customWidth="1"/>
    <col min="5644" max="5644" width="23.5703125" style="277" customWidth="1"/>
    <col min="5645" max="5645" width="22.7109375" style="277" customWidth="1"/>
    <col min="5646" max="5646" width="29" style="277" customWidth="1"/>
    <col min="5647" max="5647" width="25.5703125" style="277" customWidth="1"/>
    <col min="5648" max="5648" width="28.28515625" style="277" customWidth="1"/>
    <col min="5649" max="5649" width="17.7109375" style="277" customWidth="1"/>
    <col min="5650" max="5650" width="24.7109375" style="277" customWidth="1"/>
    <col min="5651" max="5651" width="26" style="277" customWidth="1"/>
    <col min="5652" max="5652" width="22.7109375" style="277" customWidth="1"/>
    <col min="5653" max="5653" width="40.28515625" style="277" customWidth="1"/>
    <col min="5654" max="5654" width="9" style="277"/>
    <col min="5655" max="5655" width="30.42578125" style="277" customWidth="1"/>
    <col min="5656" max="5658" width="9" style="277"/>
    <col min="5659" max="5659" width="21.42578125" style="277" customWidth="1"/>
    <col min="5660" max="5888" width="9" style="277"/>
    <col min="5889" max="5889" width="9.7109375" style="277" customWidth="1"/>
    <col min="5890" max="5890" width="47.28515625" style="277" customWidth="1"/>
    <col min="5891" max="5891" width="13.28515625" style="277" customWidth="1"/>
    <col min="5892" max="5892" width="26" style="277" customWidth="1"/>
    <col min="5893" max="5893" width="24" style="277" customWidth="1"/>
    <col min="5894" max="5894" width="17.28515625" style="277" customWidth="1"/>
    <col min="5895" max="5895" width="18.28515625" style="277" customWidth="1"/>
    <col min="5896" max="5896" width="19.42578125" style="277" customWidth="1"/>
    <col min="5897" max="5897" width="20.7109375" style="277" customWidth="1"/>
    <col min="5898" max="5898" width="32" style="277" customWidth="1"/>
    <col min="5899" max="5899" width="30.28515625" style="277" customWidth="1"/>
    <col min="5900" max="5900" width="23.5703125" style="277" customWidth="1"/>
    <col min="5901" max="5901" width="22.7109375" style="277" customWidth="1"/>
    <col min="5902" max="5902" width="29" style="277" customWidth="1"/>
    <col min="5903" max="5903" width="25.5703125" style="277" customWidth="1"/>
    <col min="5904" max="5904" width="28.28515625" style="277" customWidth="1"/>
    <col min="5905" max="5905" width="17.7109375" style="277" customWidth="1"/>
    <col min="5906" max="5906" width="24.7109375" style="277" customWidth="1"/>
    <col min="5907" max="5907" width="26" style="277" customWidth="1"/>
    <col min="5908" max="5908" width="22.7109375" style="277" customWidth="1"/>
    <col min="5909" max="5909" width="40.28515625" style="277" customWidth="1"/>
    <col min="5910" max="5910" width="9" style="277"/>
    <col min="5911" max="5911" width="30.42578125" style="277" customWidth="1"/>
    <col min="5912" max="5914" width="9" style="277"/>
    <col min="5915" max="5915" width="21.42578125" style="277" customWidth="1"/>
    <col min="5916" max="6144" width="9" style="277"/>
    <col min="6145" max="6145" width="9.7109375" style="277" customWidth="1"/>
    <col min="6146" max="6146" width="47.28515625" style="277" customWidth="1"/>
    <col min="6147" max="6147" width="13.28515625" style="277" customWidth="1"/>
    <col min="6148" max="6148" width="26" style="277" customWidth="1"/>
    <col min="6149" max="6149" width="24" style="277" customWidth="1"/>
    <col min="6150" max="6150" width="17.28515625" style="277" customWidth="1"/>
    <col min="6151" max="6151" width="18.28515625" style="277" customWidth="1"/>
    <col min="6152" max="6152" width="19.42578125" style="277" customWidth="1"/>
    <col min="6153" max="6153" width="20.7109375" style="277" customWidth="1"/>
    <col min="6154" max="6154" width="32" style="277" customWidth="1"/>
    <col min="6155" max="6155" width="30.28515625" style="277" customWidth="1"/>
    <col min="6156" max="6156" width="23.5703125" style="277" customWidth="1"/>
    <col min="6157" max="6157" width="22.7109375" style="277" customWidth="1"/>
    <col min="6158" max="6158" width="29" style="277" customWidth="1"/>
    <col min="6159" max="6159" width="25.5703125" style="277" customWidth="1"/>
    <col min="6160" max="6160" width="28.28515625" style="277" customWidth="1"/>
    <col min="6161" max="6161" width="17.7109375" style="277" customWidth="1"/>
    <col min="6162" max="6162" width="24.7109375" style="277" customWidth="1"/>
    <col min="6163" max="6163" width="26" style="277" customWidth="1"/>
    <col min="6164" max="6164" width="22.7109375" style="277" customWidth="1"/>
    <col min="6165" max="6165" width="40.28515625" style="277" customWidth="1"/>
    <col min="6166" max="6166" width="9" style="277"/>
    <col min="6167" max="6167" width="30.42578125" style="277" customWidth="1"/>
    <col min="6168" max="6170" width="9" style="277"/>
    <col min="6171" max="6171" width="21.42578125" style="277" customWidth="1"/>
    <col min="6172" max="6400" width="9" style="277"/>
    <col min="6401" max="6401" width="9.7109375" style="277" customWidth="1"/>
    <col min="6402" max="6402" width="47.28515625" style="277" customWidth="1"/>
    <col min="6403" max="6403" width="13.28515625" style="277" customWidth="1"/>
    <col min="6404" max="6404" width="26" style="277" customWidth="1"/>
    <col min="6405" max="6405" width="24" style="277" customWidth="1"/>
    <col min="6406" max="6406" width="17.28515625" style="277" customWidth="1"/>
    <col min="6407" max="6407" width="18.28515625" style="277" customWidth="1"/>
    <col min="6408" max="6408" width="19.42578125" style="277" customWidth="1"/>
    <col min="6409" max="6409" width="20.7109375" style="277" customWidth="1"/>
    <col min="6410" max="6410" width="32" style="277" customWidth="1"/>
    <col min="6411" max="6411" width="30.28515625" style="277" customWidth="1"/>
    <col min="6412" max="6412" width="23.5703125" style="277" customWidth="1"/>
    <col min="6413" max="6413" width="22.7109375" style="277" customWidth="1"/>
    <col min="6414" max="6414" width="29" style="277" customWidth="1"/>
    <col min="6415" max="6415" width="25.5703125" style="277" customWidth="1"/>
    <col min="6416" max="6416" width="28.28515625" style="277" customWidth="1"/>
    <col min="6417" max="6417" width="17.7109375" style="277" customWidth="1"/>
    <col min="6418" max="6418" width="24.7109375" style="277" customWidth="1"/>
    <col min="6419" max="6419" width="26" style="277" customWidth="1"/>
    <col min="6420" max="6420" width="22.7109375" style="277" customWidth="1"/>
    <col min="6421" max="6421" width="40.28515625" style="277" customWidth="1"/>
    <col min="6422" max="6422" width="9" style="277"/>
    <col min="6423" max="6423" width="30.42578125" style="277" customWidth="1"/>
    <col min="6424" max="6426" width="9" style="277"/>
    <col min="6427" max="6427" width="21.42578125" style="277" customWidth="1"/>
    <col min="6428" max="6656" width="9" style="277"/>
    <col min="6657" max="6657" width="9.7109375" style="277" customWidth="1"/>
    <col min="6658" max="6658" width="47.28515625" style="277" customWidth="1"/>
    <col min="6659" max="6659" width="13.28515625" style="277" customWidth="1"/>
    <col min="6660" max="6660" width="26" style="277" customWidth="1"/>
    <col min="6661" max="6661" width="24" style="277" customWidth="1"/>
    <col min="6662" max="6662" width="17.28515625" style="277" customWidth="1"/>
    <col min="6663" max="6663" width="18.28515625" style="277" customWidth="1"/>
    <col min="6664" max="6664" width="19.42578125" style="277" customWidth="1"/>
    <col min="6665" max="6665" width="20.7109375" style="277" customWidth="1"/>
    <col min="6666" max="6666" width="32" style="277" customWidth="1"/>
    <col min="6667" max="6667" width="30.28515625" style="277" customWidth="1"/>
    <col min="6668" max="6668" width="23.5703125" style="277" customWidth="1"/>
    <col min="6669" max="6669" width="22.7109375" style="277" customWidth="1"/>
    <col min="6670" max="6670" width="29" style="277" customWidth="1"/>
    <col min="6671" max="6671" width="25.5703125" style="277" customWidth="1"/>
    <col min="6672" max="6672" width="28.28515625" style="277" customWidth="1"/>
    <col min="6673" max="6673" width="17.7109375" style="277" customWidth="1"/>
    <col min="6674" max="6674" width="24.7109375" style="277" customWidth="1"/>
    <col min="6675" max="6675" width="26" style="277" customWidth="1"/>
    <col min="6676" max="6676" width="22.7109375" style="277" customWidth="1"/>
    <col min="6677" max="6677" width="40.28515625" style="277" customWidth="1"/>
    <col min="6678" max="6678" width="9" style="277"/>
    <col min="6679" max="6679" width="30.42578125" style="277" customWidth="1"/>
    <col min="6680" max="6682" width="9" style="277"/>
    <col min="6683" max="6683" width="21.42578125" style="277" customWidth="1"/>
    <col min="6684" max="6912" width="9" style="277"/>
    <col min="6913" max="6913" width="9.7109375" style="277" customWidth="1"/>
    <col min="6914" max="6914" width="47.28515625" style="277" customWidth="1"/>
    <col min="6915" max="6915" width="13.28515625" style="277" customWidth="1"/>
    <col min="6916" max="6916" width="26" style="277" customWidth="1"/>
    <col min="6917" max="6917" width="24" style="277" customWidth="1"/>
    <col min="6918" max="6918" width="17.28515625" style="277" customWidth="1"/>
    <col min="6919" max="6919" width="18.28515625" style="277" customWidth="1"/>
    <col min="6920" max="6920" width="19.42578125" style="277" customWidth="1"/>
    <col min="6921" max="6921" width="20.7109375" style="277" customWidth="1"/>
    <col min="6922" max="6922" width="32" style="277" customWidth="1"/>
    <col min="6923" max="6923" width="30.28515625" style="277" customWidth="1"/>
    <col min="6924" max="6924" width="23.5703125" style="277" customWidth="1"/>
    <col min="6925" max="6925" width="22.7109375" style="277" customWidth="1"/>
    <col min="6926" max="6926" width="29" style="277" customWidth="1"/>
    <col min="6927" max="6927" width="25.5703125" style="277" customWidth="1"/>
    <col min="6928" max="6928" width="28.28515625" style="277" customWidth="1"/>
    <col min="6929" max="6929" width="17.7109375" style="277" customWidth="1"/>
    <col min="6930" max="6930" width="24.7109375" style="277" customWidth="1"/>
    <col min="6931" max="6931" width="26" style="277" customWidth="1"/>
    <col min="6932" max="6932" width="22.7109375" style="277" customWidth="1"/>
    <col min="6933" max="6933" width="40.28515625" style="277" customWidth="1"/>
    <col min="6934" max="6934" width="9" style="277"/>
    <col min="6935" max="6935" width="30.42578125" style="277" customWidth="1"/>
    <col min="6936" max="6938" width="9" style="277"/>
    <col min="6939" max="6939" width="21.42578125" style="277" customWidth="1"/>
    <col min="6940" max="7168" width="9" style="277"/>
    <col min="7169" max="7169" width="9.7109375" style="277" customWidth="1"/>
    <col min="7170" max="7170" width="47.28515625" style="277" customWidth="1"/>
    <col min="7171" max="7171" width="13.28515625" style="277" customWidth="1"/>
    <col min="7172" max="7172" width="26" style="277" customWidth="1"/>
    <col min="7173" max="7173" width="24" style="277" customWidth="1"/>
    <col min="7174" max="7174" width="17.28515625" style="277" customWidth="1"/>
    <col min="7175" max="7175" width="18.28515625" style="277" customWidth="1"/>
    <col min="7176" max="7176" width="19.42578125" style="277" customWidth="1"/>
    <col min="7177" max="7177" width="20.7109375" style="277" customWidth="1"/>
    <col min="7178" max="7178" width="32" style="277" customWidth="1"/>
    <col min="7179" max="7179" width="30.28515625" style="277" customWidth="1"/>
    <col min="7180" max="7180" width="23.5703125" style="277" customWidth="1"/>
    <col min="7181" max="7181" width="22.7109375" style="277" customWidth="1"/>
    <col min="7182" max="7182" width="29" style="277" customWidth="1"/>
    <col min="7183" max="7183" width="25.5703125" style="277" customWidth="1"/>
    <col min="7184" max="7184" width="28.28515625" style="277" customWidth="1"/>
    <col min="7185" max="7185" width="17.7109375" style="277" customWidth="1"/>
    <col min="7186" max="7186" width="24.7109375" style="277" customWidth="1"/>
    <col min="7187" max="7187" width="26" style="277" customWidth="1"/>
    <col min="7188" max="7188" width="22.7109375" style="277" customWidth="1"/>
    <col min="7189" max="7189" width="40.28515625" style="277" customWidth="1"/>
    <col min="7190" max="7190" width="9" style="277"/>
    <col min="7191" max="7191" width="30.42578125" style="277" customWidth="1"/>
    <col min="7192" max="7194" width="9" style="277"/>
    <col min="7195" max="7195" width="21.42578125" style="277" customWidth="1"/>
    <col min="7196" max="7424" width="9" style="277"/>
    <col min="7425" max="7425" width="9.7109375" style="277" customWidth="1"/>
    <col min="7426" max="7426" width="47.28515625" style="277" customWidth="1"/>
    <col min="7427" max="7427" width="13.28515625" style="277" customWidth="1"/>
    <col min="7428" max="7428" width="26" style="277" customWidth="1"/>
    <col min="7429" max="7429" width="24" style="277" customWidth="1"/>
    <col min="7430" max="7430" width="17.28515625" style="277" customWidth="1"/>
    <col min="7431" max="7431" width="18.28515625" style="277" customWidth="1"/>
    <col min="7432" max="7432" width="19.42578125" style="277" customWidth="1"/>
    <col min="7433" max="7433" width="20.7109375" style="277" customWidth="1"/>
    <col min="7434" max="7434" width="32" style="277" customWidth="1"/>
    <col min="7435" max="7435" width="30.28515625" style="277" customWidth="1"/>
    <col min="7436" max="7436" width="23.5703125" style="277" customWidth="1"/>
    <col min="7437" max="7437" width="22.7109375" style="277" customWidth="1"/>
    <col min="7438" max="7438" width="29" style="277" customWidth="1"/>
    <col min="7439" max="7439" width="25.5703125" style="277" customWidth="1"/>
    <col min="7440" max="7440" width="28.28515625" style="277" customWidth="1"/>
    <col min="7441" max="7441" width="17.7109375" style="277" customWidth="1"/>
    <col min="7442" max="7442" width="24.7109375" style="277" customWidth="1"/>
    <col min="7443" max="7443" width="26" style="277" customWidth="1"/>
    <col min="7444" max="7444" width="22.7109375" style="277" customWidth="1"/>
    <col min="7445" max="7445" width="40.28515625" style="277" customWidth="1"/>
    <col min="7446" max="7446" width="9" style="277"/>
    <col min="7447" max="7447" width="30.42578125" style="277" customWidth="1"/>
    <col min="7448" max="7450" width="9" style="277"/>
    <col min="7451" max="7451" width="21.42578125" style="277" customWidth="1"/>
    <col min="7452" max="7680" width="9" style="277"/>
    <col min="7681" max="7681" width="9.7109375" style="277" customWidth="1"/>
    <col min="7682" max="7682" width="47.28515625" style="277" customWidth="1"/>
    <col min="7683" max="7683" width="13.28515625" style="277" customWidth="1"/>
    <col min="7684" max="7684" width="26" style="277" customWidth="1"/>
    <col min="7685" max="7685" width="24" style="277" customWidth="1"/>
    <col min="7686" max="7686" width="17.28515625" style="277" customWidth="1"/>
    <col min="7687" max="7687" width="18.28515625" style="277" customWidth="1"/>
    <col min="7688" max="7688" width="19.42578125" style="277" customWidth="1"/>
    <col min="7689" max="7689" width="20.7109375" style="277" customWidth="1"/>
    <col min="7690" max="7690" width="32" style="277" customWidth="1"/>
    <col min="7691" max="7691" width="30.28515625" style="277" customWidth="1"/>
    <col min="7692" max="7692" width="23.5703125" style="277" customWidth="1"/>
    <col min="7693" max="7693" width="22.7109375" style="277" customWidth="1"/>
    <col min="7694" max="7694" width="29" style="277" customWidth="1"/>
    <col min="7695" max="7695" width="25.5703125" style="277" customWidth="1"/>
    <col min="7696" max="7696" width="28.28515625" style="277" customWidth="1"/>
    <col min="7697" max="7697" width="17.7109375" style="277" customWidth="1"/>
    <col min="7698" max="7698" width="24.7109375" style="277" customWidth="1"/>
    <col min="7699" max="7699" width="26" style="277" customWidth="1"/>
    <col min="7700" max="7700" width="22.7109375" style="277" customWidth="1"/>
    <col min="7701" max="7701" width="40.28515625" style="277" customWidth="1"/>
    <col min="7702" max="7702" width="9" style="277"/>
    <col min="7703" max="7703" width="30.42578125" style="277" customWidth="1"/>
    <col min="7704" max="7706" width="9" style="277"/>
    <col min="7707" max="7707" width="21.42578125" style="277" customWidth="1"/>
    <col min="7708" max="7936" width="9" style="277"/>
    <col min="7937" max="7937" width="9.7109375" style="277" customWidth="1"/>
    <col min="7938" max="7938" width="47.28515625" style="277" customWidth="1"/>
    <col min="7939" max="7939" width="13.28515625" style="277" customWidth="1"/>
    <col min="7940" max="7940" width="26" style="277" customWidth="1"/>
    <col min="7941" max="7941" width="24" style="277" customWidth="1"/>
    <col min="7942" max="7942" width="17.28515625" style="277" customWidth="1"/>
    <col min="7943" max="7943" width="18.28515625" style="277" customWidth="1"/>
    <col min="7944" max="7944" width="19.42578125" style="277" customWidth="1"/>
    <col min="7945" max="7945" width="20.7109375" style="277" customWidth="1"/>
    <col min="7946" max="7946" width="32" style="277" customWidth="1"/>
    <col min="7947" max="7947" width="30.28515625" style="277" customWidth="1"/>
    <col min="7948" max="7948" width="23.5703125" style="277" customWidth="1"/>
    <col min="7949" max="7949" width="22.7109375" style="277" customWidth="1"/>
    <col min="7950" max="7950" width="29" style="277" customWidth="1"/>
    <col min="7951" max="7951" width="25.5703125" style="277" customWidth="1"/>
    <col min="7952" max="7952" width="28.28515625" style="277" customWidth="1"/>
    <col min="7953" max="7953" width="17.7109375" style="277" customWidth="1"/>
    <col min="7954" max="7954" width="24.7109375" style="277" customWidth="1"/>
    <col min="7955" max="7955" width="26" style="277" customWidth="1"/>
    <col min="7956" max="7956" width="22.7109375" style="277" customWidth="1"/>
    <col min="7957" max="7957" width="40.28515625" style="277" customWidth="1"/>
    <col min="7958" max="7958" width="9" style="277"/>
    <col min="7959" max="7959" width="30.42578125" style="277" customWidth="1"/>
    <col min="7960" max="7962" width="9" style="277"/>
    <col min="7963" max="7963" width="21.42578125" style="277" customWidth="1"/>
    <col min="7964" max="8192" width="9" style="277"/>
    <col min="8193" max="8193" width="9.7109375" style="277" customWidth="1"/>
    <col min="8194" max="8194" width="47.28515625" style="277" customWidth="1"/>
    <col min="8195" max="8195" width="13.28515625" style="277" customWidth="1"/>
    <col min="8196" max="8196" width="26" style="277" customWidth="1"/>
    <col min="8197" max="8197" width="24" style="277" customWidth="1"/>
    <col min="8198" max="8198" width="17.28515625" style="277" customWidth="1"/>
    <col min="8199" max="8199" width="18.28515625" style="277" customWidth="1"/>
    <col min="8200" max="8200" width="19.42578125" style="277" customWidth="1"/>
    <col min="8201" max="8201" width="20.7109375" style="277" customWidth="1"/>
    <col min="8202" max="8202" width="32" style="277" customWidth="1"/>
    <col min="8203" max="8203" width="30.28515625" style="277" customWidth="1"/>
    <col min="8204" max="8204" width="23.5703125" style="277" customWidth="1"/>
    <col min="8205" max="8205" width="22.7109375" style="277" customWidth="1"/>
    <col min="8206" max="8206" width="29" style="277" customWidth="1"/>
    <col min="8207" max="8207" width="25.5703125" style="277" customWidth="1"/>
    <col min="8208" max="8208" width="28.28515625" style="277" customWidth="1"/>
    <col min="8209" max="8209" width="17.7109375" style="277" customWidth="1"/>
    <col min="8210" max="8210" width="24.7109375" style="277" customWidth="1"/>
    <col min="8211" max="8211" width="26" style="277" customWidth="1"/>
    <col min="8212" max="8212" width="22.7109375" style="277" customWidth="1"/>
    <col min="8213" max="8213" width="40.28515625" style="277" customWidth="1"/>
    <col min="8214" max="8214" width="9" style="277"/>
    <col min="8215" max="8215" width="30.42578125" style="277" customWidth="1"/>
    <col min="8216" max="8218" width="9" style="277"/>
    <col min="8219" max="8219" width="21.42578125" style="277" customWidth="1"/>
    <col min="8220" max="8448" width="9" style="277"/>
    <col min="8449" max="8449" width="9.7109375" style="277" customWidth="1"/>
    <col min="8450" max="8450" width="47.28515625" style="277" customWidth="1"/>
    <col min="8451" max="8451" width="13.28515625" style="277" customWidth="1"/>
    <col min="8452" max="8452" width="26" style="277" customWidth="1"/>
    <col min="8453" max="8453" width="24" style="277" customWidth="1"/>
    <col min="8454" max="8454" width="17.28515625" style="277" customWidth="1"/>
    <col min="8455" max="8455" width="18.28515625" style="277" customWidth="1"/>
    <col min="8456" max="8456" width="19.42578125" style="277" customWidth="1"/>
    <col min="8457" max="8457" width="20.7109375" style="277" customWidth="1"/>
    <col min="8458" max="8458" width="32" style="277" customWidth="1"/>
    <col min="8459" max="8459" width="30.28515625" style="277" customWidth="1"/>
    <col min="8460" max="8460" width="23.5703125" style="277" customWidth="1"/>
    <col min="8461" max="8461" width="22.7109375" style="277" customWidth="1"/>
    <col min="8462" max="8462" width="29" style="277" customWidth="1"/>
    <col min="8463" max="8463" width="25.5703125" style="277" customWidth="1"/>
    <col min="8464" max="8464" width="28.28515625" style="277" customWidth="1"/>
    <col min="8465" max="8465" width="17.7109375" style="277" customWidth="1"/>
    <col min="8466" max="8466" width="24.7109375" style="277" customWidth="1"/>
    <col min="8467" max="8467" width="26" style="277" customWidth="1"/>
    <col min="8468" max="8468" width="22.7109375" style="277" customWidth="1"/>
    <col min="8469" max="8469" width="40.28515625" style="277" customWidth="1"/>
    <col min="8470" max="8470" width="9" style="277"/>
    <col min="8471" max="8471" width="30.42578125" style="277" customWidth="1"/>
    <col min="8472" max="8474" width="9" style="277"/>
    <col min="8475" max="8475" width="21.42578125" style="277" customWidth="1"/>
    <col min="8476" max="8704" width="9" style="277"/>
    <col min="8705" max="8705" width="9.7109375" style="277" customWidth="1"/>
    <col min="8706" max="8706" width="47.28515625" style="277" customWidth="1"/>
    <col min="8707" max="8707" width="13.28515625" style="277" customWidth="1"/>
    <col min="8708" max="8708" width="26" style="277" customWidth="1"/>
    <col min="8709" max="8709" width="24" style="277" customWidth="1"/>
    <col min="8710" max="8710" width="17.28515625" style="277" customWidth="1"/>
    <col min="8711" max="8711" width="18.28515625" style="277" customWidth="1"/>
    <col min="8712" max="8712" width="19.42578125" style="277" customWidth="1"/>
    <col min="8713" max="8713" width="20.7109375" style="277" customWidth="1"/>
    <col min="8714" max="8714" width="32" style="277" customWidth="1"/>
    <col min="8715" max="8715" width="30.28515625" style="277" customWidth="1"/>
    <col min="8716" max="8716" width="23.5703125" style="277" customWidth="1"/>
    <col min="8717" max="8717" width="22.7109375" style="277" customWidth="1"/>
    <col min="8718" max="8718" width="29" style="277" customWidth="1"/>
    <col min="8719" max="8719" width="25.5703125" style="277" customWidth="1"/>
    <col min="8720" max="8720" width="28.28515625" style="277" customWidth="1"/>
    <col min="8721" max="8721" width="17.7109375" style="277" customWidth="1"/>
    <col min="8722" max="8722" width="24.7109375" style="277" customWidth="1"/>
    <col min="8723" max="8723" width="26" style="277" customWidth="1"/>
    <col min="8724" max="8724" width="22.7109375" style="277" customWidth="1"/>
    <col min="8725" max="8725" width="40.28515625" style="277" customWidth="1"/>
    <col min="8726" max="8726" width="9" style="277"/>
    <col min="8727" max="8727" width="30.42578125" style="277" customWidth="1"/>
    <col min="8728" max="8730" width="9" style="277"/>
    <col min="8731" max="8731" width="21.42578125" style="277" customWidth="1"/>
    <col min="8732" max="8960" width="9" style="277"/>
    <col min="8961" max="8961" width="9.7109375" style="277" customWidth="1"/>
    <col min="8962" max="8962" width="47.28515625" style="277" customWidth="1"/>
    <col min="8963" max="8963" width="13.28515625" style="277" customWidth="1"/>
    <col min="8964" max="8964" width="26" style="277" customWidth="1"/>
    <col min="8965" max="8965" width="24" style="277" customWidth="1"/>
    <col min="8966" max="8966" width="17.28515625" style="277" customWidth="1"/>
    <col min="8967" max="8967" width="18.28515625" style="277" customWidth="1"/>
    <col min="8968" max="8968" width="19.42578125" style="277" customWidth="1"/>
    <col min="8969" max="8969" width="20.7109375" style="277" customWidth="1"/>
    <col min="8970" max="8970" width="32" style="277" customWidth="1"/>
    <col min="8971" max="8971" width="30.28515625" style="277" customWidth="1"/>
    <col min="8972" max="8972" width="23.5703125" style="277" customWidth="1"/>
    <col min="8973" max="8973" width="22.7109375" style="277" customWidth="1"/>
    <col min="8974" max="8974" width="29" style="277" customWidth="1"/>
    <col min="8975" max="8975" width="25.5703125" style="277" customWidth="1"/>
    <col min="8976" max="8976" width="28.28515625" style="277" customWidth="1"/>
    <col min="8977" max="8977" width="17.7109375" style="277" customWidth="1"/>
    <col min="8978" max="8978" width="24.7109375" style="277" customWidth="1"/>
    <col min="8979" max="8979" width="26" style="277" customWidth="1"/>
    <col min="8980" max="8980" width="22.7109375" style="277" customWidth="1"/>
    <col min="8981" max="8981" width="40.28515625" style="277" customWidth="1"/>
    <col min="8982" max="8982" width="9" style="277"/>
    <col min="8983" max="8983" width="30.42578125" style="277" customWidth="1"/>
    <col min="8984" max="8986" width="9" style="277"/>
    <col min="8987" max="8987" width="21.42578125" style="277" customWidth="1"/>
    <col min="8988" max="9216" width="9" style="277"/>
    <col min="9217" max="9217" width="9.7109375" style="277" customWidth="1"/>
    <col min="9218" max="9218" width="47.28515625" style="277" customWidth="1"/>
    <col min="9219" max="9219" width="13.28515625" style="277" customWidth="1"/>
    <col min="9220" max="9220" width="26" style="277" customWidth="1"/>
    <col min="9221" max="9221" width="24" style="277" customWidth="1"/>
    <col min="9222" max="9222" width="17.28515625" style="277" customWidth="1"/>
    <col min="9223" max="9223" width="18.28515625" style="277" customWidth="1"/>
    <col min="9224" max="9224" width="19.42578125" style="277" customWidth="1"/>
    <col min="9225" max="9225" width="20.7109375" style="277" customWidth="1"/>
    <col min="9226" max="9226" width="32" style="277" customWidth="1"/>
    <col min="9227" max="9227" width="30.28515625" style="277" customWidth="1"/>
    <col min="9228" max="9228" width="23.5703125" style="277" customWidth="1"/>
    <col min="9229" max="9229" width="22.7109375" style="277" customWidth="1"/>
    <col min="9230" max="9230" width="29" style="277" customWidth="1"/>
    <col min="9231" max="9231" width="25.5703125" style="277" customWidth="1"/>
    <col min="9232" max="9232" width="28.28515625" style="277" customWidth="1"/>
    <col min="9233" max="9233" width="17.7109375" style="277" customWidth="1"/>
    <col min="9234" max="9234" width="24.7109375" style="277" customWidth="1"/>
    <col min="9235" max="9235" width="26" style="277" customWidth="1"/>
    <col min="9236" max="9236" width="22.7109375" style="277" customWidth="1"/>
    <col min="9237" max="9237" width="40.28515625" style="277" customWidth="1"/>
    <col min="9238" max="9238" width="9" style="277"/>
    <col min="9239" max="9239" width="30.42578125" style="277" customWidth="1"/>
    <col min="9240" max="9242" width="9" style="277"/>
    <col min="9243" max="9243" width="21.42578125" style="277" customWidth="1"/>
    <col min="9244" max="9472" width="9" style="277"/>
    <col min="9473" max="9473" width="9.7109375" style="277" customWidth="1"/>
    <col min="9474" max="9474" width="47.28515625" style="277" customWidth="1"/>
    <col min="9475" max="9475" width="13.28515625" style="277" customWidth="1"/>
    <col min="9476" max="9476" width="26" style="277" customWidth="1"/>
    <col min="9477" max="9477" width="24" style="277" customWidth="1"/>
    <col min="9478" max="9478" width="17.28515625" style="277" customWidth="1"/>
    <col min="9479" max="9479" width="18.28515625" style="277" customWidth="1"/>
    <col min="9480" max="9480" width="19.42578125" style="277" customWidth="1"/>
    <col min="9481" max="9481" width="20.7109375" style="277" customWidth="1"/>
    <col min="9482" max="9482" width="32" style="277" customWidth="1"/>
    <col min="9483" max="9483" width="30.28515625" style="277" customWidth="1"/>
    <col min="9484" max="9484" width="23.5703125" style="277" customWidth="1"/>
    <col min="9485" max="9485" width="22.7109375" style="277" customWidth="1"/>
    <col min="9486" max="9486" width="29" style="277" customWidth="1"/>
    <col min="9487" max="9487" width="25.5703125" style="277" customWidth="1"/>
    <col min="9488" max="9488" width="28.28515625" style="277" customWidth="1"/>
    <col min="9489" max="9489" width="17.7109375" style="277" customWidth="1"/>
    <col min="9490" max="9490" width="24.7109375" style="277" customWidth="1"/>
    <col min="9491" max="9491" width="26" style="277" customWidth="1"/>
    <col min="9492" max="9492" width="22.7109375" style="277" customWidth="1"/>
    <col min="9493" max="9493" width="40.28515625" style="277" customWidth="1"/>
    <col min="9494" max="9494" width="9" style="277"/>
    <col min="9495" max="9495" width="30.42578125" style="277" customWidth="1"/>
    <col min="9496" max="9498" width="9" style="277"/>
    <col min="9499" max="9499" width="21.42578125" style="277" customWidth="1"/>
    <col min="9500" max="9728" width="9" style="277"/>
    <col min="9729" max="9729" width="9.7109375" style="277" customWidth="1"/>
    <col min="9730" max="9730" width="47.28515625" style="277" customWidth="1"/>
    <col min="9731" max="9731" width="13.28515625" style="277" customWidth="1"/>
    <col min="9732" max="9732" width="26" style="277" customWidth="1"/>
    <col min="9733" max="9733" width="24" style="277" customWidth="1"/>
    <col min="9734" max="9734" width="17.28515625" style="277" customWidth="1"/>
    <col min="9735" max="9735" width="18.28515625" style="277" customWidth="1"/>
    <col min="9736" max="9736" width="19.42578125" style="277" customWidth="1"/>
    <col min="9737" max="9737" width="20.7109375" style="277" customWidth="1"/>
    <col min="9738" max="9738" width="32" style="277" customWidth="1"/>
    <col min="9739" max="9739" width="30.28515625" style="277" customWidth="1"/>
    <col min="9740" max="9740" width="23.5703125" style="277" customWidth="1"/>
    <col min="9741" max="9741" width="22.7109375" style="277" customWidth="1"/>
    <col min="9742" max="9742" width="29" style="277" customWidth="1"/>
    <col min="9743" max="9743" width="25.5703125" style="277" customWidth="1"/>
    <col min="9744" max="9744" width="28.28515625" style="277" customWidth="1"/>
    <col min="9745" max="9745" width="17.7109375" style="277" customWidth="1"/>
    <col min="9746" max="9746" width="24.7109375" style="277" customWidth="1"/>
    <col min="9747" max="9747" width="26" style="277" customWidth="1"/>
    <col min="9748" max="9748" width="22.7109375" style="277" customWidth="1"/>
    <col min="9749" max="9749" width="40.28515625" style="277" customWidth="1"/>
    <col min="9750" max="9750" width="9" style="277"/>
    <col min="9751" max="9751" width="30.42578125" style="277" customWidth="1"/>
    <col min="9752" max="9754" width="9" style="277"/>
    <col min="9755" max="9755" width="21.42578125" style="277" customWidth="1"/>
    <col min="9756" max="9984" width="9" style="277"/>
    <col min="9985" max="9985" width="9.7109375" style="277" customWidth="1"/>
    <col min="9986" max="9986" width="47.28515625" style="277" customWidth="1"/>
    <col min="9987" max="9987" width="13.28515625" style="277" customWidth="1"/>
    <col min="9988" max="9988" width="26" style="277" customWidth="1"/>
    <col min="9989" max="9989" width="24" style="277" customWidth="1"/>
    <col min="9990" max="9990" width="17.28515625" style="277" customWidth="1"/>
    <col min="9991" max="9991" width="18.28515625" style="277" customWidth="1"/>
    <col min="9992" max="9992" width="19.42578125" style="277" customWidth="1"/>
    <col min="9993" max="9993" width="20.7109375" style="277" customWidth="1"/>
    <col min="9994" max="9994" width="32" style="277" customWidth="1"/>
    <col min="9995" max="9995" width="30.28515625" style="277" customWidth="1"/>
    <col min="9996" max="9996" width="23.5703125" style="277" customWidth="1"/>
    <col min="9997" max="9997" width="22.7109375" style="277" customWidth="1"/>
    <col min="9998" max="9998" width="29" style="277" customWidth="1"/>
    <col min="9999" max="9999" width="25.5703125" style="277" customWidth="1"/>
    <col min="10000" max="10000" width="28.28515625" style="277" customWidth="1"/>
    <col min="10001" max="10001" width="17.7109375" style="277" customWidth="1"/>
    <col min="10002" max="10002" width="24.7109375" style="277" customWidth="1"/>
    <col min="10003" max="10003" width="26" style="277" customWidth="1"/>
    <col min="10004" max="10004" width="22.7109375" style="277" customWidth="1"/>
    <col min="10005" max="10005" width="40.28515625" style="277" customWidth="1"/>
    <col min="10006" max="10006" width="9" style="277"/>
    <col min="10007" max="10007" width="30.42578125" style="277" customWidth="1"/>
    <col min="10008" max="10010" width="9" style="277"/>
    <col min="10011" max="10011" width="21.42578125" style="277" customWidth="1"/>
    <col min="10012" max="10240" width="9" style="277"/>
    <col min="10241" max="10241" width="9.7109375" style="277" customWidth="1"/>
    <col min="10242" max="10242" width="47.28515625" style="277" customWidth="1"/>
    <col min="10243" max="10243" width="13.28515625" style="277" customWidth="1"/>
    <col min="10244" max="10244" width="26" style="277" customWidth="1"/>
    <col min="10245" max="10245" width="24" style="277" customWidth="1"/>
    <col min="10246" max="10246" width="17.28515625" style="277" customWidth="1"/>
    <col min="10247" max="10247" width="18.28515625" style="277" customWidth="1"/>
    <col min="10248" max="10248" width="19.42578125" style="277" customWidth="1"/>
    <col min="10249" max="10249" width="20.7109375" style="277" customWidth="1"/>
    <col min="10250" max="10250" width="32" style="277" customWidth="1"/>
    <col min="10251" max="10251" width="30.28515625" style="277" customWidth="1"/>
    <col min="10252" max="10252" width="23.5703125" style="277" customWidth="1"/>
    <col min="10253" max="10253" width="22.7109375" style="277" customWidth="1"/>
    <col min="10254" max="10254" width="29" style="277" customWidth="1"/>
    <col min="10255" max="10255" width="25.5703125" style="277" customWidth="1"/>
    <col min="10256" max="10256" width="28.28515625" style="277" customWidth="1"/>
    <col min="10257" max="10257" width="17.7109375" style="277" customWidth="1"/>
    <col min="10258" max="10258" width="24.7109375" style="277" customWidth="1"/>
    <col min="10259" max="10259" width="26" style="277" customWidth="1"/>
    <col min="10260" max="10260" width="22.7109375" style="277" customWidth="1"/>
    <col min="10261" max="10261" width="40.28515625" style="277" customWidth="1"/>
    <col min="10262" max="10262" width="9" style="277"/>
    <col min="10263" max="10263" width="30.42578125" style="277" customWidth="1"/>
    <col min="10264" max="10266" width="9" style="277"/>
    <col min="10267" max="10267" width="21.42578125" style="277" customWidth="1"/>
    <col min="10268" max="10496" width="9" style="277"/>
    <col min="10497" max="10497" width="9.7109375" style="277" customWidth="1"/>
    <col min="10498" max="10498" width="47.28515625" style="277" customWidth="1"/>
    <col min="10499" max="10499" width="13.28515625" style="277" customWidth="1"/>
    <col min="10500" max="10500" width="26" style="277" customWidth="1"/>
    <col min="10501" max="10501" width="24" style="277" customWidth="1"/>
    <col min="10502" max="10502" width="17.28515625" style="277" customWidth="1"/>
    <col min="10503" max="10503" width="18.28515625" style="277" customWidth="1"/>
    <col min="10504" max="10504" width="19.42578125" style="277" customWidth="1"/>
    <col min="10505" max="10505" width="20.7109375" style="277" customWidth="1"/>
    <col min="10506" max="10506" width="32" style="277" customWidth="1"/>
    <col min="10507" max="10507" width="30.28515625" style="277" customWidth="1"/>
    <col min="10508" max="10508" width="23.5703125" style="277" customWidth="1"/>
    <col min="10509" max="10509" width="22.7109375" style="277" customWidth="1"/>
    <col min="10510" max="10510" width="29" style="277" customWidth="1"/>
    <col min="10511" max="10511" width="25.5703125" style="277" customWidth="1"/>
    <col min="10512" max="10512" width="28.28515625" style="277" customWidth="1"/>
    <col min="10513" max="10513" width="17.7109375" style="277" customWidth="1"/>
    <col min="10514" max="10514" width="24.7109375" style="277" customWidth="1"/>
    <col min="10515" max="10515" width="26" style="277" customWidth="1"/>
    <col min="10516" max="10516" width="22.7109375" style="277" customWidth="1"/>
    <col min="10517" max="10517" width="40.28515625" style="277" customWidth="1"/>
    <col min="10518" max="10518" width="9" style="277"/>
    <col min="10519" max="10519" width="30.42578125" style="277" customWidth="1"/>
    <col min="10520" max="10522" width="9" style="277"/>
    <col min="10523" max="10523" width="21.42578125" style="277" customWidth="1"/>
    <col min="10524" max="10752" width="9" style="277"/>
    <col min="10753" max="10753" width="9.7109375" style="277" customWidth="1"/>
    <col min="10754" max="10754" width="47.28515625" style="277" customWidth="1"/>
    <col min="10755" max="10755" width="13.28515625" style="277" customWidth="1"/>
    <col min="10756" max="10756" width="26" style="277" customWidth="1"/>
    <col min="10757" max="10757" width="24" style="277" customWidth="1"/>
    <col min="10758" max="10758" width="17.28515625" style="277" customWidth="1"/>
    <col min="10759" max="10759" width="18.28515625" style="277" customWidth="1"/>
    <col min="10760" max="10760" width="19.42578125" style="277" customWidth="1"/>
    <col min="10761" max="10761" width="20.7109375" style="277" customWidth="1"/>
    <col min="10762" max="10762" width="32" style="277" customWidth="1"/>
    <col min="10763" max="10763" width="30.28515625" style="277" customWidth="1"/>
    <col min="10764" max="10764" width="23.5703125" style="277" customWidth="1"/>
    <col min="10765" max="10765" width="22.7109375" style="277" customWidth="1"/>
    <col min="10766" max="10766" width="29" style="277" customWidth="1"/>
    <col min="10767" max="10767" width="25.5703125" style="277" customWidth="1"/>
    <col min="10768" max="10768" width="28.28515625" style="277" customWidth="1"/>
    <col min="10769" max="10769" width="17.7109375" style="277" customWidth="1"/>
    <col min="10770" max="10770" width="24.7109375" style="277" customWidth="1"/>
    <col min="10771" max="10771" width="26" style="277" customWidth="1"/>
    <col min="10772" max="10772" width="22.7109375" style="277" customWidth="1"/>
    <col min="10773" max="10773" width="40.28515625" style="277" customWidth="1"/>
    <col min="10774" max="10774" width="9" style="277"/>
    <col min="10775" max="10775" width="30.42578125" style="277" customWidth="1"/>
    <col min="10776" max="10778" width="9" style="277"/>
    <col min="10779" max="10779" width="21.42578125" style="277" customWidth="1"/>
    <col min="10780" max="11008" width="9" style="277"/>
    <col min="11009" max="11009" width="9.7109375" style="277" customWidth="1"/>
    <col min="11010" max="11010" width="47.28515625" style="277" customWidth="1"/>
    <col min="11011" max="11011" width="13.28515625" style="277" customWidth="1"/>
    <col min="11012" max="11012" width="26" style="277" customWidth="1"/>
    <col min="11013" max="11013" width="24" style="277" customWidth="1"/>
    <col min="11014" max="11014" width="17.28515625" style="277" customWidth="1"/>
    <col min="11015" max="11015" width="18.28515625" style="277" customWidth="1"/>
    <col min="11016" max="11016" width="19.42578125" style="277" customWidth="1"/>
    <col min="11017" max="11017" width="20.7109375" style="277" customWidth="1"/>
    <col min="11018" max="11018" width="32" style="277" customWidth="1"/>
    <col min="11019" max="11019" width="30.28515625" style="277" customWidth="1"/>
    <col min="11020" max="11020" width="23.5703125" style="277" customWidth="1"/>
    <col min="11021" max="11021" width="22.7109375" style="277" customWidth="1"/>
    <col min="11022" max="11022" width="29" style="277" customWidth="1"/>
    <col min="11023" max="11023" width="25.5703125" style="277" customWidth="1"/>
    <col min="11024" max="11024" width="28.28515625" style="277" customWidth="1"/>
    <col min="11025" max="11025" width="17.7109375" style="277" customWidth="1"/>
    <col min="11026" max="11026" width="24.7109375" style="277" customWidth="1"/>
    <col min="11027" max="11027" width="26" style="277" customWidth="1"/>
    <col min="11028" max="11028" width="22.7109375" style="277" customWidth="1"/>
    <col min="11029" max="11029" width="40.28515625" style="277" customWidth="1"/>
    <col min="11030" max="11030" width="9" style="277"/>
    <col min="11031" max="11031" width="30.42578125" style="277" customWidth="1"/>
    <col min="11032" max="11034" width="9" style="277"/>
    <col min="11035" max="11035" width="21.42578125" style="277" customWidth="1"/>
    <col min="11036" max="11264" width="9" style="277"/>
    <col min="11265" max="11265" width="9.7109375" style="277" customWidth="1"/>
    <col min="11266" max="11266" width="47.28515625" style="277" customWidth="1"/>
    <col min="11267" max="11267" width="13.28515625" style="277" customWidth="1"/>
    <col min="11268" max="11268" width="26" style="277" customWidth="1"/>
    <col min="11269" max="11269" width="24" style="277" customWidth="1"/>
    <col min="11270" max="11270" width="17.28515625" style="277" customWidth="1"/>
    <col min="11271" max="11271" width="18.28515625" style="277" customWidth="1"/>
    <col min="11272" max="11272" width="19.42578125" style="277" customWidth="1"/>
    <col min="11273" max="11273" width="20.7109375" style="277" customWidth="1"/>
    <col min="11274" max="11274" width="32" style="277" customWidth="1"/>
    <col min="11275" max="11275" width="30.28515625" style="277" customWidth="1"/>
    <col min="11276" max="11276" width="23.5703125" style="277" customWidth="1"/>
    <col min="11277" max="11277" width="22.7109375" style="277" customWidth="1"/>
    <col min="11278" max="11278" width="29" style="277" customWidth="1"/>
    <col min="11279" max="11279" width="25.5703125" style="277" customWidth="1"/>
    <col min="11280" max="11280" width="28.28515625" style="277" customWidth="1"/>
    <col min="11281" max="11281" width="17.7109375" style="277" customWidth="1"/>
    <col min="11282" max="11282" width="24.7109375" style="277" customWidth="1"/>
    <col min="11283" max="11283" width="26" style="277" customWidth="1"/>
    <col min="11284" max="11284" width="22.7109375" style="277" customWidth="1"/>
    <col min="11285" max="11285" width="40.28515625" style="277" customWidth="1"/>
    <col min="11286" max="11286" width="9" style="277"/>
    <col min="11287" max="11287" width="30.42578125" style="277" customWidth="1"/>
    <col min="11288" max="11290" width="9" style="277"/>
    <col min="11291" max="11291" width="21.42578125" style="277" customWidth="1"/>
    <col min="11292" max="11520" width="9" style="277"/>
    <col min="11521" max="11521" width="9.7109375" style="277" customWidth="1"/>
    <col min="11522" max="11522" width="47.28515625" style="277" customWidth="1"/>
    <col min="11523" max="11523" width="13.28515625" style="277" customWidth="1"/>
    <col min="11524" max="11524" width="26" style="277" customWidth="1"/>
    <col min="11525" max="11525" width="24" style="277" customWidth="1"/>
    <col min="11526" max="11526" width="17.28515625" style="277" customWidth="1"/>
    <col min="11527" max="11527" width="18.28515625" style="277" customWidth="1"/>
    <col min="11528" max="11528" width="19.42578125" style="277" customWidth="1"/>
    <col min="11529" max="11529" width="20.7109375" style="277" customWidth="1"/>
    <col min="11530" max="11530" width="32" style="277" customWidth="1"/>
    <col min="11531" max="11531" width="30.28515625" style="277" customWidth="1"/>
    <col min="11532" max="11532" width="23.5703125" style="277" customWidth="1"/>
    <col min="11533" max="11533" width="22.7109375" style="277" customWidth="1"/>
    <col min="11534" max="11534" width="29" style="277" customWidth="1"/>
    <col min="11535" max="11535" width="25.5703125" style="277" customWidth="1"/>
    <col min="11536" max="11536" width="28.28515625" style="277" customWidth="1"/>
    <col min="11537" max="11537" width="17.7109375" style="277" customWidth="1"/>
    <col min="11538" max="11538" width="24.7109375" style="277" customWidth="1"/>
    <col min="11539" max="11539" width="26" style="277" customWidth="1"/>
    <col min="11540" max="11540" width="22.7109375" style="277" customWidth="1"/>
    <col min="11541" max="11541" width="40.28515625" style="277" customWidth="1"/>
    <col min="11542" max="11542" width="9" style="277"/>
    <col min="11543" max="11543" width="30.42578125" style="277" customWidth="1"/>
    <col min="11544" max="11546" width="9" style="277"/>
    <col min="11547" max="11547" width="21.42578125" style="277" customWidth="1"/>
    <col min="11548" max="11776" width="9" style="277"/>
    <col min="11777" max="11777" width="9.7109375" style="277" customWidth="1"/>
    <col min="11778" max="11778" width="47.28515625" style="277" customWidth="1"/>
    <col min="11779" max="11779" width="13.28515625" style="277" customWidth="1"/>
    <col min="11780" max="11780" width="26" style="277" customWidth="1"/>
    <col min="11781" max="11781" width="24" style="277" customWidth="1"/>
    <col min="11782" max="11782" width="17.28515625" style="277" customWidth="1"/>
    <col min="11783" max="11783" width="18.28515625" style="277" customWidth="1"/>
    <col min="11784" max="11784" width="19.42578125" style="277" customWidth="1"/>
    <col min="11785" max="11785" width="20.7109375" style="277" customWidth="1"/>
    <col min="11786" max="11786" width="32" style="277" customWidth="1"/>
    <col min="11787" max="11787" width="30.28515625" style="277" customWidth="1"/>
    <col min="11788" max="11788" width="23.5703125" style="277" customWidth="1"/>
    <col min="11789" max="11789" width="22.7109375" style="277" customWidth="1"/>
    <col min="11790" max="11790" width="29" style="277" customWidth="1"/>
    <col min="11791" max="11791" width="25.5703125" style="277" customWidth="1"/>
    <col min="11792" max="11792" width="28.28515625" style="277" customWidth="1"/>
    <col min="11793" max="11793" width="17.7109375" style="277" customWidth="1"/>
    <col min="11794" max="11794" width="24.7109375" style="277" customWidth="1"/>
    <col min="11795" max="11795" width="26" style="277" customWidth="1"/>
    <col min="11796" max="11796" width="22.7109375" style="277" customWidth="1"/>
    <col min="11797" max="11797" width="40.28515625" style="277" customWidth="1"/>
    <col min="11798" max="11798" width="9" style="277"/>
    <col min="11799" max="11799" width="30.42578125" style="277" customWidth="1"/>
    <col min="11800" max="11802" width="9" style="277"/>
    <col min="11803" max="11803" width="21.42578125" style="277" customWidth="1"/>
    <col min="11804" max="12032" width="9" style="277"/>
    <col min="12033" max="12033" width="9.7109375" style="277" customWidth="1"/>
    <col min="12034" max="12034" width="47.28515625" style="277" customWidth="1"/>
    <col min="12035" max="12035" width="13.28515625" style="277" customWidth="1"/>
    <col min="12036" max="12036" width="26" style="277" customWidth="1"/>
    <col min="12037" max="12037" width="24" style="277" customWidth="1"/>
    <col min="12038" max="12038" width="17.28515625" style="277" customWidth="1"/>
    <col min="12039" max="12039" width="18.28515625" style="277" customWidth="1"/>
    <col min="12040" max="12040" width="19.42578125" style="277" customWidth="1"/>
    <col min="12041" max="12041" width="20.7109375" style="277" customWidth="1"/>
    <col min="12042" max="12042" width="32" style="277" customWidth="1"/>
    <col min="12043" max="12043" width="30.28515625" style="277" customWidth="1"/>
    <col min="12044" max="12044" width="23.5703125" style="277" customWidth="1"/>
    <col min="12045" max="12045" width="22.7109375" style="277" customWidth="1"/>
    <col min="12046" max="12046" width="29" style="277" customWidth="1"/>
    <col min="12047" max="12047" width="25.5703125" style="277" customWidth="1"/>
    <col min="12048" max="12048" width="28.28515625" style="277" customWidth="1"/>
    <col min="12049" max="12049" width="17.7109375" style="277" customWidth="1"/>
    <col min="12050" max="12050" width="24.7109375" style="277" customWidth="1"/>
    <col min="12051" max="12051" width="26" style="277" customWidth="1"/>
    <col min="12052" max="12052" width="22.7109375" style="277" customWidth="1"/>
    <col min="12053" max="12053" width="40.28515625" style="277" customWidth="1"/>
    <col min="12054" max="12054" width="9" style="277"/>
    <col min="12055" max="12055" width="30.42578125" style="277" customWidth="1"/>
    <col min="12056" max="12058" width="9" style="277"/>
    <col min="12059" max="12059" width="21.42578125" style="277" customWidth="1"/>
    <col min="12060" max="12288" width="9" style="277"/>
    <col min="12289" max="12289" width="9.7109375" style="277" customWidth="1"/>
    <col min="12290" max="12290" width="47.28515625" style="277" customWidth="1"/>
    <col min="12291" max="12291" width="13.28515625" style="277" customWidth="1"/>
    <col min="12292" max="12292" width="26" style="277" customWidth="1"/>
    <col min="12293" max="12293" width="24" style="277" customWidth="1"/>
    <col min="12294" max="12294" width="17.28515625" style="277" customWidth="1"/>
    <col min="12295" max="12295" width="18.28515625" style="277" customWidth="1"/>
    <col min="12296" max="12296" width="19.42578125" style="277" customWidth="1"/>
    <col min="12297" max="12297" width="20.7109375" style="277" customWidth="1"/>
    <col min="12298" max="12298" width="32" style="277" customWidth="1"/>
    <col min="12299" max="12299" width="30.28515625" style="277" customWidth="1"/>
    <col min="12300" max="12300" width="23.5703125" style="277" customWidth="1"/>
    <col min="12301" max="12301" width="22.7109375" style="277" customWidth="1"/>
    <col min="12302" max="12302" width="29" style="277" customWidth="1"/>
    <col min="12303" max="12303" width="25.5703125" style="277" customWidth="1"/>
    <col min="12304" max="12304" width="28.28515625" style="277" customWidth="1"/>
    <col min="12305" max="12305" width="17.7109375" style="277" customWidth="1"/>
    <col min="12306" max="12306" width="24.7109375" style="277" customWidth="1"/>
    <col min="12307" max="12307" width="26" style="277" customWidth="1"/>
    <col min="12308" max="12308" width="22.7109375" style="277" customWidth="1"/>
    <col min="12309" max="12309" width="40.28515625" style="277" customWidth="1"/>
    <col min="12310" max="12310" width="9" style="277"/>
    <col min="12311" max="12311" width="30.42578125" style="277" customWidth="1"/>
    <col min="12312" max="12314" width="9" style="277"/>
    <col min="12315" max="12315" width="21.42578125" style="277" customWidth="1"/>
    <col min="12316" max="12544" width="9" style="277"/>
    <col min="12545" max="12545" width="9.7109375" style="277" customWidth="1"/>
    <col min="12546" max="12546" width="47.28515625" style="277" customWidth="1"/>
    <col min="12547" max="12547" width="13.28515625" style="277" customWidth="1"/>
    <col min="12548" max="12548" width="26" style="277" customWidth="1"/>
    <col min="12549" max="12549" width="24" style="277" customWidth="1"/>
    <col min="12550" max="12550" width="17.28515625" style="277" customWidth="1"/>
    <col min="12551" max="12551" width="18.28515625" style="277" customWidth="1"/>
    <col min="12552" max="12552" width="19.42578125" style="277" customWidth="1"/>
    <col min="12553" max="12553" width="20.7109375" style="277" customWidth="1"/>
    <col min="12554" max="12554" width="32" style="277" customWidth="1"/>
    <col min="12555" max="12555" width="30.28515625" style="277" customWidth="1"/>
    <col min="12556" max="12556" width="23.5703125" style="277" customWidth="1"/>
    <col min="12557" max="12557" width="22.7109375" style="277" customWidth="1"/>
    <col min="12558" max="12558" width="29" style="277" customWidth="1"/>
    <col min="12559" max="12559" width="25.5703125" style="277" customWidth="1"/>
    <col min="12560" max="12560" width="28.28515625" style="277" customWidth="1"/>
    <col min="12561" max="12561" width="17.7109375" style="277" customWidth="1"/>
    <col min="12562" max="12562" width="24.7109375" style="277" customWidth="1"/>
    <col min="12563" max="12563" width="26" style="277" customWidth="1"/>
    <col min="12564" max="12564" width="22.7109375" style="277" customWidth="1"/>
    <col min="12565" max="12565" width="40.28515625" style="277" customWidth="1"/>
    <col min="12566" max="12566" width="9" style="277"/>
    <col min="12567" max="12567" width="30.42578125" style="277" customWidth="1"/>
    <col min="12568" max="12570" width="9" style="277"/>
    <col min="12571" max="12571" width="21.42578125" style="277" customWidth="1"/>
    <col min="12572" max="12800" width="9" style="277"/>
    <col min="12801" max="12801" width="9.7109375" style="277" customWidth="1"/>
    <col min="12802" max="12802" width="47.28515625" style="277" customWidth="1"/>
    <col min="12803" max="12803" width="13.28515625" style="277" customWidth="1"/>
    <col min="12804" max="12804" width="26" style="277" customWidth="1"/>
    <col min="12805" max="12805" width="24" style="277" customWidth="1"/>
    <col min="12806" max="12806" width="17.28515625" style="277" customWidth="1"/>
    <col min="12807" max="12807" width="18.28515625" style="277" customWidth="1"/>
    <col min="12808" max="12808" width="19.42578125" style="277" customWidth="1"/>
    <col min="12809" max="12809" width="20.7109375" style="277" customWidth="1"/>
    <col min="12810" max="12810" width="32" style="277" customWidth="1"/>
    <col min="12811" max="12811" width="30.28515625" style="277" customWidth="1"/>
    <col min="12812" max="12812" width="23.5703125" style="277" customWidth="1"/>
    <col min="12813" max="12813" width="22.7109375" style="277" customWidth="1"/>
    <col min="12814" max="12814" width="29" style="277" customWidth="1"/>
    <col min="12815" max="12815" width="25.5703125" style="277" customWidth="1"/>
    <col min="12816" max="12816" width="28.28515625" style="277" customWidth="1"/>
    <col min="12817" max="12817" width="17.7109375" style="277" customWidth="1"/>
    <col min="12818" max="12818" width="24.7109375" style="277" customWidth="1"/>
    <col min="12819" max="12819" width="26" style="277" customWidth="1"/>
    <col min="12820" max="12820" width="22.7109375" style="277" customWidth="1"/>
    <col min="12821" max="12821" width="40.28515625" style="277" customWidth="1"/>
    <col min="12822" max="12822" width="9" style="277"/>
    <col min="12823" max="12823" width="30.42578125" style="277" customWidth="1"/>
    <col min="12824" max="12826" width="9" style="277"/>
    <col min="12827" max="12827" width="21.42578125" style="277" customWidth="1"/>
    <col min="12828" max="13056" width="9" style="277"/>
    <col min="13057" max="13057" width="9.7109375" style="277" customWidth="1"/>
    <col min="13058" max="13058" width="47.28515625" style="277" customWidth="1"/>
    <col min="13059" max="13059" width="13.28515625" style="277" customWidth="1"/>
    <col min="13060" max="13060" width="26" style="277" customWidth="1"/>
    <col min="13061" max="13061" width="24" style="277" customWidth="1"/>
    <col min="13062" max="13062" width="17.28515625" style="277" customWidth="1"/>
    <col min="13063" max="13063" width="18.28515625" style="277" customWidth="1"/>
    <col min="13064" max="13064" width="19.42578125" style="277" customWidth="1"/>
    <col min="13065" max="13065" width="20.7109375" style="277" customWidth="1"/>
    <col min="13066" max="13066" width="32" style="277" customWidth="1"/>
    <col min="13067" max="13067" width="30.28515625" style="277" customWidth="1"/>
    <col min="13068" max="13068" width="23.5703125" style="277" customWidth="1"/>
    <col min="13069" max="13069" width="22.7109375" style="277" customWidth="1"/>
    <col min="13070" max="13070" width="29" style="277" customWidth="1"/>
    <col min="13071" max="13071" width="25.5703125" style="277" customWidth="1"/>
    <col min="13072" max="13072" width="28.28515625" style="277" customWidth="1"/>
    <col min="13073" max="13073" width="17.7109375" style="277" customWidth="1"/>
    <col min="13074" max="13074" width="24.7109375" style="277" customWidth="1"/>
    <col min="13075" max="13075" width="26" style="277" customWidth="1"/>
    <col min="13076" max="13076" width="22.7109375" style="277" customWidth="1"/>
    <col min="13077" max="13077" width="40.28515625" style="277" customWidth="1"/>
    <col min="13078" max="13078" width="9" style="277"/>
    <col min="13079" max="13079" width="30.42578125" style="277" customWidth="1"/>
    <col min="13080" max="13082" width="9" style="277"/>
    <col min="13083" max="13083" width="21.42578125" style="277" customWidth="1"/>
    <col min="13084" max="13312" width="9" style="277"/>
    <col min="13313" max="13313" width="9.7109375" style="277" customWidth="1"/>
    <col min="13314" max="13314" width="47.28515625" style="277" customWidth="1"/>
    <col min="13315" max="13315" width="13.28515625" style="277" customWidth="1"/>
    <col min="13316" max="13316" width="26" style="277" customWidth="1"/>
    <col min="13317" max="13317" width="24" style="277" customWidth="1"/>
    <col min="13318" max="13318" width="17.28515625" style="277" customWidth="1"/>
    <col min="13319" max="13319" width="18.28515625" style="277" customWidth="1"/>
    <col min="13320" max="13320" width="19.42578125" style="277" customWidth="1"/>
    <col min="13321" max="13321" width="20.7109375" style="277" customWidth="1"/>
    <col min="13322" max="13322" width="32" style="277" customWidth="1"/>
    <col min="13323" max="13323" width="30.28515625" style="277" customWidth="1"/>
    <col min="13324" max="13324" width="23.5703125" style="277" customWidth="1"/>
    <col min="13325" max="13325" width="22.7109375" style="277" customWidth="1"/>
    <col min="13326" max="13326" width="29" style="277" customWidth="1"/>
    <col min="13327" max="13327" width="25.5703125" style="277" customWidth="1"/>
    <col min="13328" max="13328" width="28.28515625" style="277" customWidth="1"/>
    <col min="13329" max="13329" width="17.7109375" style="277" customWidth="1"/>
    <col min="13330" max="13330" width="24.7109375" style="277" customWidth="1"/>
    <col min="13331" max="13331" width="26" style="277" customWidth="1"/>
    <col min="13332" max="13332" width="22.7109375" style="277" customWidth="1"/>
    <col min="13333" max="13333" width="40.28515625" style="277" customWidth="1"/>
    <col min="13334" max="13334" width="9" style="277"/>
    <col min="13335" max="13335" width="30.42578125" style="277" customWidth="1"/>
    <col min="13336" max="13338" width="9" style="277"/>
    <col min="13339" max="13339" width="21.42578125" style="277" customWidth="1"/>
    <col min="13340" max="13568" width="9" style="277"/>
    <col min="13569" max="13569" width="9.7109375" style="277" customWidth="1"/>
    <col min="13570" max="13570" width="47.28515625" style="277" customWidth="1"/>
    <col min="13571" max="13571" width="13.28515625" style="277" customWidth="1"/>
    <col min="13572" max="13572" width="26" style="277" customWidth="1"/>
    <col min="13573" max="13573" width="24" style="277" customWidth="1"/>
    <col min="13574" max="13574" width="17.28515625" style="277" customWidth="1"/>
    <col min="13575" max="13575" width="18.28515625" style="277" customWidth="1"/>
    <col min="13576" max="13576" width="19.42578125" style="277" customWidth="1"/>
    <col min="13577" max="13577" width="20.7109375" style="277" customWidth="1"/>
    <col min="13578" max="13578" width="32" style="277" customWidth="1"/>
    <col min="13579" max="13579" width="30.28515625" style="277" customWidth="1"/>
    <col min="13580" max="13580" width="23.5703125" style="277" customWidth="1"/>
    <col min="13581" max="13581" width="22.7109375" style="277" customWidth="1"/>
    <col min="13582" max="13582" width="29" style="277" customWidth="1"/>
    <col min="13583" max="13583" width="25.5703125" style="277" customWidth="1"/>
    <col min="13584" max="13584" width="28.28515625" style="277" customWidth="1"/>
    <col min="13585" max="13585" width="17.7109375" style="277" customWidth="1"/>
    <col min="13586" max="13586" width="24.7109375" style="277" customWidth="1"/>
    <col min="13587" max="13587" width="26" style="277" customWidth="1"/>
    <col min="13588" max="13588" width="22.7109375" style="277" customWidth="1"/>
    <col min="13589" max="13589" width="40.28515625" style="277" customWidth="1"/>
    <col min="13590" max="13590" width="9" style="277"/>
    <col min="13591" max="13591" width="30.42578125" style="277" customWidth="1"/>
    <col min="13592" max="13594" width="9" style="277"/>
    <col min="13595" max="13595" width="21.42578125" style="277" customWidth="1"/>
    <col min="13596" max="13824" width="9" style="277"/>
    <col min="13825" max="13825" width="9.7109375" style="277" customWidth="1"/>
    <col min="13826" max="13826" width="47.28515625" style="277" customWidth="1"/>
    <col min="13827" max="13827" width="13.28515625" style="277" customWidth="1"/>
    <col min="13828" max="13828" width="26" style="277" customWidth="1"/>
    <col min="13829" max="13829" width="24" style="277" customWidth="1"/>
    <col min="13830" max="13830" width="17.28515625" style="277" customWidth="1"/>
    <col min="13831" max="13831" width="18.28515625" style="277" customWidth="1"/>
    <col min="13832" max="13832" width="19.42578125" style="277" customWidth="1"/>
    <col min="13833" max="13833" width="20.7109375" style="277" customWidth="1"/>
    <col min="13834" max="13834" width="32" style="277" customWidth="1"/>
    <col min="13835" max="13835" width="30.28515625" style="277" customWidth="1"/>
    <col min="13836" max="13836" width="23.5703125" style="277" customWidth="1"/>
    <col min="13837" max="13837" width="22.7109375" style="277" customWidth="1"/>
    <col min="13838" max="13838" width="29" style="277" customWidth="1"/>
    <col min="13839" max="13839" width="25.5703125" style="277" customWidth="1"/>
    <col min="13840" max="13840" width="28.28515625" style="277" customWidth="1"/>
    <col min="13841" max="13841" width="17.7109375" style="277" customWidth="1"/>
    <col min="13842" max="13842" width="24.7109375" style="277" customWidth="1"/>
    <col min="13843" max="13843" width="26" style="277" customWidth="1"/>
    <col min="13844" max="13844" width="22.7109375" style="277" customWidth="1"/>
    <col min="13845" max="13845" width="40.28515625" style="277" customWidth="1"/>
    <col min="13846" max="13846" width="9" style="277"/>
    <col min="13847" max="13847" width="30.42578125" style="277" customWidth="1"/>
    <col min="13848" max="13850" width="9" style="277"/>
    <col min="13851" max="13851" width="21.42578125" style="277" customWidth="1"/>
    <col min="13852" max="14080" width="9" style="277"/>
    <col min="14081" max="14081" width="9.7109375" style="277" customWidth="1"/>
    <col min="14082" max="14082" width="47.28515625" style="277" customWidth="1"/>
    <col min="14083" max="14083" width="13.28515625" style="277" customWidth="1"/>
    <col min="14084" max="14084" width="26" style="277" customWidth="1"/>
    <col min="14085" max="14085" width="24" style="277" customWidth="1"/>
    <col min="14086" max="14086" width="17.28515625" style="277" customWidth="1"/>
    <col min="14087" max="14087" width="18.28515625" style="277" customWidth="1"/>
    <col min="14088" max="14088" width="19.42578125" style="277" customWidth="1"/>
    <col min="14089" max="14089" width="20.7109375" style="277" customWidth="1"/>
    <col min="14090" max="14090" width="32" style="277" customWidth="1"/>
    <col min="14091" max="14091" width="30.28515625" style="277" customWidth="1"/>
    <col min="14092" max="14092" width="23.5703125" style="277" customWidth="1"/>
    <col min="14093" max="14093" width="22.7109375" style="277" customWidth="1"/>
    <col min="14094" max="14094" width="29" style="277" customWidth="1"/>
    <col min="14095" max="14095" width="25.5703125" style="277" customWidth="1"/>
    <col min="14096" max="14096" width="28.28515625" style="277" customWidth="1"/>
    <col min="14097" max="14097" width="17.7109375" style="277" customWidth="1"/>
    <col min="14098" max="14098" width="24.7109375" style="277" customWidth="1"/>
    <col min="14099" max="14099" width="26" style="277" customWidth="1"/>
    <col min="14100" max="14100" width="22.7109375" style="277" customWidth="1"/>
    <col min="14101" max="14101" width="40.28515625" style="277" customWidth="1"/>
    <col min="14102" max="14102" width="9" style="277"/>
    <col min="14103" max="14103" width="30.42578125" style="277" customWidth="1"/>
    <col min="14104" max="14106" width="9" style="277"/>
    <col min="14107" max="14107" width="21.42578125" style="277" customWidth="1"/>
    <col min="14108" max="14336" width="9" style="277"/>
    <col min="14337" max="14337" width="9.7109375" style="277" customWidth="1"/>
    <col min="14338" max="14338" width="47.28515625" style="277" customWidth="1"/>
    <col min="14339" max="14339" width="13.28515625" style="277" customWidth="1"/>
    <col min="14340" max="14340" width="26" style="277" customWidth="1"/>
    <col min="14341" max="14341" width="24" style="277" customWidth="1"/>
    <col min="14342" max="14342" width="17.28515625" style="277" customWidth="1"/>
    <col min="14343" max="14343" width="18.28515625" style="277" customWidth="1"/>
    <col min="14344" max="14344" width="19.42578125" style="277" customWidth="1"/>
    <col min="14345" max="14345" width="20.7109375" style="277" customWidth="1"/>
    <col min="14346" max="14346" width="32" style="277" customWidth="1"/>
    <col min="14347" max="14347" width="30.28515625" style="277" customWidth="1"/>
    <col min="14348" max="14348" width="23.5703125" style="277" customWidth="1"/>
    <col min="14349" max="14349" width="22.7109375" style="277" customWidth="1"/>
    <col min="14350" max="14350" width="29" style="277" customWidth="1"/>
    <col min="14351" max="14351" width="25.5703125" style="277" customWidth="1"/>
    <col min="14352" max="14352" width="28.28515625" style="277" customWidth="1"/>
    <col min="14353" max="14353" width="17.7109375" style="277" customWidth="1"/>
    <col min="14354" max="14354" width="24.7109375" style="277" customWidth="1"/>
    <col min="14355" max="14355" width="26" style="277" customWidth="1"/>
    <col min="14356" max="14356" width="22.7109375" style="277" customWidth="1"/>
    <col min="14357" max="14357" width="40.28515625" style="277" customWidth="1"/>
    <col min="14358" max="14358" width="9" style="277"/>
    <col min="14359" max="14359" width="30.42578125" style="277" customWidth="1"/>
    <col min="14360" max="14362" width="9" style="277"/>
    <col min="14363" max="14363" width="21.42578125" style="277" customWidth="1"/>
    <col min="14364" max="14592" width="9" style="277"/>
    <col min="14593" max="14593" width="9.7109375" style="277" customWidth="1"/>
    <col min="14594" max="14594" width="47.28515625" style="277" customWidth="1"/>
    <col min="14595" max="14595" width="13.28515625" style="277" customWidth="1"/>
    <col min="14596" max="14596" width="26" style="277" customWidth="1"/>
    <col min="14597" max="14597" width="24" style="277" customWidth="1"/>
    <col min="14598" max="14598" width="17.28515625" style="277" customWidth="1"/>
    <col min="14599" max="14599" width="18.28515625" style="277" customWidth="1"/>
    <col min="14600" max="14600" width="19.42578125" style="277" customWidth="1"/>
    <col min="14601" max="14601" width="20.7109375" style="277" customWidth="1"/>
    <col min="14602" max="14602" width="32" style="277" customWidth="1"/>
    <col min="14603" max="14603" width="30.28515625" style="277" customWidth="1"/>
    <col min="14604" max="14604" width="23.5703125" style="277" customWidth="1"/>
    <col min="14605" max="14605" width="22.7109375" style="277" customWidth="1"/>
    <col min="14606" max="14606" width="29" style="277" customWidth="1"/>
    <col min="14607" max="14607" width="25.5703125" style="277" customWidth="1"/>
    <col min="14608" max="14608" width="28.28515625" style="277" customWidth="1"/>
    <col min="14609" max="14609" width="17.7109375" style="277" customWidth="1"/>
    <col min="14610" max="14610" width="24.7109375" style="277" customWidth="1"/>
    <col min="14611" max="14611" width="26" style="277" customWidth="1"/>
    <col min="14612" max="14612" width="22.7109375" style="277" customWidth="1"/>
    <col min="14613" max="14613" width="40.28515625" style="277" customWidth="1"/>
    <col min="14614" max="14614" width="9" style="277"/>
    <col min="14615" max="14615" width="30.42578125" style="277" customWidth="1"/>
    <col min="14616" max="14618" width="9" style="277"/>
    <col min="14619" max="14619" width="21.42578125" style="277" customWidth="1"/>
    <col min="14620" max="14848" width="9" style="277"/>
    <col min="14849" max="14849" width="9.7109375" style="277" customWidth="1"/>
    <col min="14850" max="14850" width="47.28515625" style="277" customWidth="1"/>
    <col min="14851" max="14851" width="13.28515625" style="277" customWidth="1"/>
    <col min="14852" max="14852" width="26" style="277" customWidth="1"/>
    <col min="14853" max="14853" width="24" style="277" customWidth="1"/>
    <col min="14854" max="14854" width="17.28515625" style="277" customWidth="1"/>
    <col min="14855" max="14855" width="18.28515625" style="277" customWidth="1"/>
    <col min="14856" max="14856" width="19.42578125" style="277" customWidth="1"/>
    <col min="14857" max="14857" width="20.7109375" style="277" customWidth="1"/>
    <col min="14858" max="14858" width="32" style="277" customWidth="1"/>
    <col min="14859" max="14859" width="30.28515625" style="277" customWidth="1"/>
    <col min="14860" max="14860" width="23.5703125" style="277" customWidth="1"/>
    <col min="14861" max="14861" width="22.7109375" style="277" customWidth="1"/>
    <col min="14862" max="14862" width="29" style="277" customWidth="1"/>
    <col min="14863" max="14863" width="25.5703125" style="277" customWidth="1"/>
    <col min="14864" max="14864" width="28.28515625" style="277" customWidth="1"/>
    <col min="14865" max="14865" width="17.7109375" style="277" customWidth="1"/>
    <col min="14866" max="14866" width="24.7109375" style="277" customWidth="1"/>
    <col min="14867" max="14867" width="26" style="277" customWidth="1"/>
    <col min="14868" max="14868" width="22.7109375" style="277" customWidth="1"/>
    <col min="14869" max="14869" width="40.28515625" style="277" customWidth="1"/>
    <col min="14870" max="14870" width="9" style="277"/>
    <col min="14871" max="14871" width="30.42578125" style="277" customWidth="1"/>
    <col min="14872" max="14874" width="9" style="277"/>
    <col min="14875" max="14875" width="21.42578125" style="277" customWidth="1"/>
    <col min="14876" max="15104" width="9" style="277"/>
    <col min="15105" max="15105" width="9.7109375" style="277" customWidth="1"/>
    <col min="15106" max="15106" width="47.28515625" style="277" customWidth="1"/>
    <col min="15107" max="15107" width="13.28515625" style="277" customWidth="1"/>
    <col min="15108" max="15108" width="26" style="277" customWidth="1"/>
    <col min="15109" max="15109" width="24" style="277" customWidth="1"/>
    <col min="15110" max="15110" width="17.28515625" style="277" customWidth="1"/>
    <col min="15111" max="15111" width="18.28515625" style="277" customWidth="1"/>
    <col min="15112" max="15112" width="19.42578125" style="277" customWidth="1"/>
    <col min="15113" max="15113" width="20.7109375" style="277" customWidth="1"/>
    <col min="15114" max="15114" width="32" style="277" customWidth="1"/>
    <col min="15115" max="15115" width="30.28515625" style="277" customWidth="1"/>
    <col min="15116" max="15116" width="23.5703125" style="277" customWidth="1"/>
    <col min="15117" max="15117" width="22.7109375" style="277" customWidth="1"/>
    <col min="15118" max="15118" width="29" style="277" customWidth="1"/>
    <col min="15119" max="15119" width="25.5703125" style="277" customWidth="1"/>
    <col min="15120" max="15120" width="28.28515625" style="277" customWidth="1"/>
    <col min="15121" max="15121" width="17.7109375" style="277" customWidth="1"/>
    <col min="15122" max="15122" width="24.7109375" style="277" customWidth="1"/>
    <col min="15123" max="15123" width="26" style="277" customWidth="1"/>
    <col min="15124" max="15124" width="22.7109375" style="277" customWidth="1"/>
    <col min="15125" max="15125" width="40.28515625" style="277" customWidth="1"/>
    <col min="15126" max="15126" width="9" style="277"/>
    <col min="15127" max="15127" width="30.42578125" style="277" customWidth="1"/>
    <col min="15128" max="15130" width="9" style="277"/>
    <col min="15131" max="15131" width="21.42578125" style="277" customWidth="1"/>
    <col min="15132" max="15360" width="9" style="277"/>
    <col min="15361" max="15361" width="9.7109375" style="277" customWidth="1"/>
    <col min="15362" max="15362" width="47.28515625" style="277" customWidth="1"/>
    <col min="15363" max="15363" width="13.28515625" style="277" customWidth="1"/>
    <col min="15364" max="15364" width="26" style="277" customWidth="1"/>
    <col min="15365" max="15365" width="24" style="277" customWidth="1"/>
    <col min="15366" max="15366" width="17.28515625" style="277" customWidth="1"/>
    <col min="15367" max="15367" width="18.28515625" style="277" customWidth="1"/>
    <col min="15368" max="15368" width="19.42578125" style="277" customWidth="1"/>
    <col min="15369" max="15369" width="20.7109375" style="277" customWidth="1"/>
    <col min="15370" max="15370" width="32" style="277" customWidth="1"/>
    <col min="15371" max="15371" width="30.28515625" style="277" customWidth="1"/>
    <col min="15372" max="15372" width="23.5703125" style="277" customWidth="1"/>
    <col min="15373" max="15373" width="22.7109375" style="277" customWidth="1"/>
    <col min="15374" max="15374" width="29" style="277" customWidth="1"/>
    <col min="15375" max="15375" width="25.5703125" style="277" customWidth="1"/>
    <col min="15376" max="15376" width="28.28515625" style="277" customWidth="1"/>
    <col min="15377" max="15377" width="17.7109375" style="277" customWidth="1"/>
    <col min="15378" max="15378" width="24.7109375" style="277" customWidth="1"/>
    <col min="15379" max="15379" width="26" style="277" customWidth="1"/>
    <col min="15380" max="15380" width="22.7109375" style="277" customWidth="1"/>
    <col min="15381" max="15381" width="40.28515625" style="277" customWidth="1"/>
    <col min="15382" max="15382" width="9" style="277"/>
    <col min="15383" max="15383" width="30.42578125" style="277" customWidth="1"/>
    <col min="15384" max="15386" width="9" style="277"/>
    <col min="15387" max="15387" width="21.42578125" style="277" customWidth="1"/>
    <col min="15388" max="15616" width="9" style="277"/>
    <col min="15617" max="15617" width="9.7109375" style="277" customWidth="1"/>
    <col min="15618" max="15618" width="47.28515625" style="277" customWidth="1"/>
    <col min="15619" max="15619" width="13.28515625" style="277" customWidth="1"/>
    <col min="15620" max="15620" width="26" style="277" customWidth="1"/>
    <col min="15621" max="15621" width="24" style="277" customWidth="1"/>
    <col min="15622" max="15622" width="17.28515625" style="277" customWidth="1"/>
    <col min="15623" max="15623" width="18.28515625" style="277" customWidth="1"/>
    <col min="15624" max="15624" width="19.42578125" style="277" customWidth="1"/>
    <col min="15625" max="15625" width="20.7109375" style="277" customWidth="1"/>
    <col min="15626" max="15626" width="32" style="277" customWidth="1"/>
    <col min="15627" max="15627" width="30.28515625" style="277" customWidth="1"/>
    <col min="15628" max="15628" width="23.5703125" style="277" customWidth="1"/>
    <col min="15629" max="15629" width="22.7109375" style="277" customWidth="1"/>
    <col min="15630" max="15630" width="29" style="277" customWidth="1"/>
    <col min="15631" max="15631" width="25.5703125" style="277" customWidth="1"/>
    <col min="15632" max="15632" width="28.28515625" style="277" customWidth="1"/>
    <col min="15633" max="15633" width="17.7109375" style="277" customWidth="1"/>
    <col min="15634" max="15634" width="24.7109375" style="277" customWidth="1"/>
    <col min="15635" max="15635" width="26" style="277" customWidth="1"/>
    <col min="15636" max="15636" width="22.7109375" style="277" customWidth="1"/>
    <col min="15637" max="15637" width="40.28515625" style="277" customWidth="1"/>
    <col min="15638" max="15638" width="9" style="277"/>
    <col min="15639" max="15639" width="30.42578125" style="277" customWidth="1"/>
    <col min="15640" max="15642" width="9" style="277"/>
    <col min="15643" max="15643" width="21.42578125" style="277" customWidth="1"/>
    <col min="15644" max="15872" width="9" style="277"/>
    <col min="15873" max="15873" width="9.7109375" style="277" customWidth="1"/>
    <col min="15874" max="15874" width="47.28515625" style="277" customWidth="1"/>
    <col min="15875" max="15875" width="13.28515625" style="277" customWidth="1"/>
    <col min="15876" max="15876" width="26" style="277" customWidth="1"/>
    <col min="15877" max="15877" width="24" style="277" customWidth="1"/>
    <col min="15878" max="15878" width="17.28515625" style="277" customWidth="1"/>
    <col min="15879" max="15879" width="18.28515625" style="277" customWidth="1"/>
    <col min="15880" max="15880" width="19.42578125" style="277" customWidth="1"/>
    <col min="15881" max="15881" width="20.7109375" style="277" customWidth="1"/>
    <col min="15882" max="15882" width="32" style="277" customWidth="1"/>
    <col min="15883" max="15883" width="30.28515625" style="277" customWidth="1"/>
    <col min="15884" max="15884" width="23.5703125" style="277" customWidth="1"/>
    <col min="15885" max="15885" width="22.7109375" style="277" customWidth="1"/>
    <col min="15886" max="15886" width="29" style="277" customWidth="1"/>
    <col min="15887" max="15887" width="25.5703125" style="277" customWidth="1"/>
    <col min="15888" max="15888" width="28.28515625" style="277" customWidth="1"/>
    <col min="15889" max="15889" width="17.7109375" style="277" customWidth="1"/>
    <col min="15890" max="15890" width="24.7109375" style="277" customWidth="1"/>
    <col min="15891" max="15891" width="26" style="277" customWidth="1"/>
    <col min="15892" max="15892" width="22.7109375" style="277" customWidth="1"/>
    <col min="15893" max="15893" width="40.28515625" style="277" customWidth="1"/>
    <col min="15894" max="15894" width="9" style="277"/>
    <col min="15895" max="15895" width="30.42578125" style="277" customWidth="1"/>
    <col min="15896" max="15898" width="9" style="277"/>
    <col min="15899" max="15899" width="21.42578125" style="277" customWidth="1"/>
    <col min="15900" max="16128" width="9" style="277"/>
    <col min="16129" max="16129" width="9.7109375" style="277" customWidth="1"/>
    <col min="16130" max="16130" width="47.28515625" style="277" customWidth="1"/>
    <col min="16131" max="16131" width="13.28515625" style="277" customWidth="1"/>
    <col min="16132" max="16132" width="26" style="277" customWidth="1"/>
    <col min="16133" max="16133" width="24" style="277" customWidth="1"/>
    <col min="16134" max="16134" width="17.28515625" style="277" customWidth="1"/>
    <col min="16135" max="16135" width="18.28515625" style="277" customWidth="1"/>
    <col min="16136" max="16136" width="19.42578125" style="277" customWidth="1"/>
    <col min="16137" max="16137" width="20.7109375" style="277" customWidth="1"/>
    <col min="16138" max="16138" width="32" style="277" customWidth="1"/>
    <col min="16139" max="16139" width="30.28515625" style="277" customWidth="1"/>
    <col min="16140" max="16140" width="23.5703125" style="277" customWidth="1"/>
    <col min="16141" max="16141" width="22.7109375" style="277" customWidth="1"/>
    <col min="16142" max="16142" width="29" style="277" customWidth="1"/>
    <col min="16143" max="16143" width="25.5703125" style="277" customWidth="1"/>
    <col min="16144" max="16144" width="28.28515625" style="277" customWidth="1"/>
    <col min="16145" max="16145" width="17.7109375" style="277" customWidth="1"/>
    <col min="16146" max="16146" width="24.7109375" style="277" customWidth="1"/>
    <col min="16147" max="16147" width="26" style="277" customWidth="1"/>
    <col min="16148" max="16148" width="22.7109375" style="277" customWidth="1"/>
    <col min="16149" max="16149" width="40.28515625" style="277" customWidth="1"/>
    <col min="16150" max="16150" width="9" style="277"/>
    <col min="16151" max="16151" width="30.42578125" style="277" customWidth="1"/>
    <col min="16152" max="16154" width="9" style="277"/>
    <col min="16155" max="16155" width="21.42578125" style="277" customWidth="1"/>
    <col min="16156" max="16384" width="9" style="277"/>
  </cols>
  <sheetData>
    <row r="1" spans="1:7">
      <c r="B1" s="278" t="s">
        <v>1851</v>
      </c>
    </row>
    <row r="2" spans="1:7">
      <c r="B2" s="282" t="s">
        <v>1852</v>
      </c>
      <c r="C2" s="282" t="s">
        <v>1853</v>
      </c>
      <c r="D2" s="283" t="s">
        <v>1854</v>
      </c>
      <c r="E2" s="284"/>
      <c r="G2" s="277"/>
    </row>
    <row r="3" spans="1:7">
      <c r="B3" s="285" t="s">
        <v>1855</v>
      </c>
      <c r="C3" s="286">
        <v>23</v>
      </c>
      <c r="D3" s="287">
        <f t="shared" ref="D3:D36" si="0">SUM(C3:C3)</f>
        <v>23</v>
      </c>
      <c r="E3" s="288"/>
      <c r="G3" s="277"/>
    </row>
    <row r="4" spans="1:7">
      <c r="A4" s="289"/>
      <c r="B4" s="285" t="s">
        <v>1812</v>
      </c>
      <c r="C4" s="290">
        <f>'[5] Micro quantification'!C29</f>
        <v>9811519</v>
      </c>
      <c r="D4" s="287">
        <f t="shared" si="0"/>
        <v>9811519</v>
      </c>
      <c r="E4" s="291"/>
      <c r="G4" s="277"/>
    </row>
    <row r="5" spans="1:7">
      <c r="A5" s="289"/>
      <c r="B5" s="285" t="s">
        <v>1856</v>
      </c>
      <c r="C5" s="290">
        <f>C4/5</f>
        <v>1962303.8</v>
      </c>
      <c r="D5" s="287">
        <f t="shared" si="0"/>
        <v>1962303.8</v>
      </c>
      <c r="E5" s="291"/>
      <c r="G5" s="277"/>
    </row>
    <row r="6" spans="1:7">
      <c r="A6" s="289"/>
      <c r="B6" s="285" t="s">
        <v>1857</v>
      </c>
      <c r="C6" s="290">
        <f>'[5] Micro quantification'!E29</f>
        <v>5450843.888888889</v>
      </c>
      <c r="D6" s="287">
        <f t="shared" si="0"/>
        <v>5450843.888888889</v>
      </c>
      <c r="E6" s="291"/>
      <c r="G6" s="277"/>
    </row>
    <row r="7" spans="1:7">
      <c r="A7" s="289"/>
      <c r="B7" s="285" t="s">
        <v>1858</v>
      </c>
      <c r="C7" s="290">
        <f>C6/50</f>
        <v>109016.87777777779</v>
      </c>
      <c r="D7" s="287">
        <f t="shared" si="0"/>
        <v>109016.87777777779</v>
      </c>
      <c r="E7" s="291"/>
      <c r="G7" s="277"/>
    </row>
    <row r="8" spans="1:7">
      <c r="A8" s="289"/>
      <c r="B8" s="285" t="s">
        <v>1859</v>
      </c>
      <c r="C8" s="292">
        <f>'[5] Micro quantification'!G29</f>
        <v>255</v>
      </c>
      <c r="D8" s="287">
        <f t="shared" si="0"/>
        <v>255</v>
      </c>
      <c r="E8" s="291"/>
      <c r="G8" s="277"/>
    </row>
    <row r="9" spans="1:7">
      <c r="A9" s="289"/>
      <c r="B9" s="285" t="s">
        <v>1860</v>
      </c>
      <c r="C9" s="290">
        <f>'[5] Micro quantification'!H29</f>
        <v>2269</v>
      </c>
      <c r="D9" s="287">
        <f t="shared" si="0"/>
        <v>2269</v>
      </c>
      <c r="E9" s="291"/>
      <c r="G9" s="277"/>
    </row>
    <row r="10" spans="1:7">
      <c r="A10" s="289"/>
      <c r="B10" s="285" t="s">
        <v>1861</v>
      </c>
      <c r="C10" s="290">
        <v>6</v>
      </c>
      <c r="D10" s="287">
        <f t="shared" si="0"/>
        <v>6</v>
      </c>
      <c r="E10" s="291"/>
      <c r="G10" s="277"/>
    </row>
    <row r="11" spans="1:7">
      <c r="A11" s="289"/>
      <c r="B11" s="285" t="s">
        <v>1862</v>
      </c>
      <c r="C11" s="290">
        <v>4</v>
      </c>
      <c r="D11" s="287">
        <f t="shared" si="0"/>
        <v>4</v>
      </c>
      <c r="E11" s="291"/>
      <c r="G11" s="277"/>
    </row>
    <row r="12" spans="1:7">
      <c r="A12" s="289"/>
      <c r="B12" s="285" t="s">
        <v>1863</v>
      </c>
      <c r="C12" s="290">
        <v>1</v>
      </c>
      <c r="D12" s="287">
        <f t="shared" si="0"/>
        <v>1</v>
      </c>
      <c r="E12" s="291"/>
      <c r="G12" s="277"/>
    </row>
    <row r="13" spans="1:7" ht="24">
      <c r="A13" s="289"/>
      <c r="B13" s="285" t="s">
        <v>1864</v>
      </c>
      <c r="C13" s="290">
        <v>5</v>
      </c>
      <c r="D13" s="287">
        <f t="shared" si="0"/>
        <v>5</v>
      </c>
      <c r="E13" s="291"/>
      <c r="G13" s="277"/>
    </row>
    <row r="14" spans="1:7">
      <c r="A14" s="289"/>
      <c r="B14" s="285" t="s">
        <v>1865</v>
      </c>
      <c r="C14" s="290">
        <f>C3</f>
        <v>23</v>
      </c>
      <c r="D14" s="287">
        <f t="shared" si="0"/>
        <v>23</v>
      </c>
      <c r="E14" s="291"/>
      <c r="G14" s="277"/>
    </row>
    <row r="15" spans="1:7">
      <c r="A15" s="289"/>
      <c r="B15" s="285" t="s">
        <v>1866</v>
      </c>
      <c r="C15" s="290"/>
      <c r="D15" s="287">
        <f t="shared" si="0"/>
        <v>0</v>
      </c>
      <c r="E15" s="291"/>
      <c r="G15" s="277"/>
    </row>
    <row r="16" spans="1:7" ht="15" customHeight="1">
      <c r="A16" s="289"/>
      <c r="B16" s="285" t="s">
        <v>1867</v>
      </c>
      <c r="C16" s="290">
        <f>C3</f>
        <v>23</v>
      </c>
      <c r="D16" s="287">
        <f t="shared" si="0"/>
        <v>23</v>
      </c>
      <c r="E16" s="277"/>
      <c r="G16" s="277"/>
    </row>
    <row r="17" spans="1:8">
      <c r="A17" s="289"/>
      <c r="B17" s="285" t="s">
        <v>1868</v>
      </c>
      <c r="C17" s="290">
        <v>3</v>
      </c>
      <c r="D17" s="287">
        <f t="shared" si="0"/>
        <v>3</v>
      </c>
      <c r="E17" s="291"/>
      <c r="G17" s="277"/>
    </row>
    <row r="18" spans="1:8">
      <c r="A18" s="289"/>
      <c r="B18" s="285" t="s">
        <v>1869</v>
      </c>
      <c r="C18" s="290">
        <v>6</v>
      </c>
      <c r="D18" s="287">
        <f t="shared" si="0"/>
        <v>6</v>
      </c>
      <c r="E18" s="291"/>
      <c r="G18" s="277"/>
    </row>
    <row r="19" spans="1:8">
      <c r="A19" s="289"/>
      <c r="B19" s="285" t="s">
        <v>1870</v>
      </c>
      <c r="C19" s="290">
        <f>C3</f>
        <v>23</v>
      </c>
      <c r="D19" s="287">
        <f t="shared" si="0"/>
        <v>23</v>
      </c>
      <c r="E19" s="291"/>
      <c r="G19" s="277"/>
    </row>
    <row r="20" spans="1:8">
      <c r="A20" s="289"/>
      <c r="B20" s="293" t="s">
        <v>1871</v>
      </c>
      <c r="C20" s="290">
        <f>'[5] Micro quantification'!I29</f>
        <v>4538</v>
      </c>
      <c r="D20" s="287">
        <f t="shared" si="0"/>
        <v>4538</v>
      </c>
      <c r="E20" s="294"/>
      <c r="G20" s="277"/>
    </row>
    <row r="21" spans="1:8">
      <c r="A21" s="289"/>
      <c r="B21" s="293" t="s">
        <v>1872</v>
      </c>
      <c r="C21" s="290">
        <f>'[5] Micro quantification'!J29</f>
        <v>2269</v>
      </c>
      <c r="D21" s="287">
        <f t="shared" si="0"/>
        <v>2269</v>
      </c>
      <c r="E21" s="294"/>
      <c r="G21" s="277"/>
    </row>
    <row r="22" spans="1:8">
      <c r="A22" s="289"/>
      <c r="B22" s="285" t="s">
        <v>1873</v>
      </c>
      <c r="C22" s="295">
        <f>C3*4</f>
        <v>92</v>
      </c>
      <c r="D22" s="287">
        <f t="shared" si="0"/>
        <v>92</v>
      </c>
      <c r="E22" s="291"/>
      <c r="G22" s="277"/>
    </row>
    <row r="23" spans="1:8">
      <c r="A23" s="289"/>
      <c r="B23" s="285" t="s">
        <v>1874</v>
      </c>
      <c r="C23" s="295">
        <f>C3</f>
        <v>23</v>
      </c>
      <c r="D23" s="287">
        <f t="shared" si="0"/>
        <v>23</v>
      </c>
      <c r="E23" s="291"/>
      <c r="G23" s="277"/>
      <c r="H23" s="296"/>
    </row>
    <row r="24" spans="1:8">
      <c r="A24" s="289"/>
      <c r="B24" s="285" t="s">
        <v>1875</v>
      </c>
      <c r="C24" s="295">
        <f>C23*2</f>
        <v>46</v>
      </c>
      <c r="D24" s="287">
        <f t="shared" si="0"/>
        <v>46</v>
      </c>
      <c r="E24" s="291"/>
      <c r="G24" s="277"/>
    </row>
    <row r="25" spans="1:8">
      <c r="A25" s="289"/>
      <c r="B25" s="285" t="s">
        <v>1876</v>
      </c>
      <c r="C25" s="295">
        <f>C8</f>
        <v>255</v>
      </c>
      <c r="D25" s="287">
        <f t="shared" si="0"/>
        <v>255</v>
      </c>
      <c r="E25" s="291"/>
      <c r="G25" s="277"/>
    </row>
    <row r="26" spans="1:8">
      <c r="A26" s="289"/>
      <c r="B26" s="285" t="s">
        <v>1877</v>
      </c>
      <c r="C26" s="295">
        <f>'[5] Micro quantification'!U29</f>
        <v>1275</v>
      </c>
      <c r="D26" s="287">
        <f t="shared" si="0"/>
        <v>1275</v>
      </c>
      <c r="E26" s="291"/>
      <c r="G26" s="277"/>
    </row>
    <row r="27" spans="1:8">
      <c r="A27" s="289"/>
      <c r="B27" s="285" t="s">
        <v>1878</v>
      </c>
      <c r="C27" s="295"/>
      <c r="D27" s="287">
        <f t="shared" si="0"/>
        <v>0</v>
      </c>
      <c r="E27" s="291"/>
      <c r="G27" s="277"/>
    </row>
    <row r="28" spans="1:8">
      <c r="A28" s="289"/>
      <c r="B28" s="285" t="s">
        <v>1879</v>
      </c>
      <c r="C28" s="295"/>
      <c r="D28" s="287">
        <f t="shared" si="0"/>
        <v>0</v>
      </c>
      <c r="E28" s="291"/>
      <c r="G28" s="277"/>
    </row>
    <row r="29" spans="1:8">
      <c r="A29" s="289"/>
      <c r="B29" s="285" t="s">
        <v>1880</v>
      </c>
      <c r="C29" s="295">
        <f>C9</f>
        <v>2269</v>
      </c>
      <c r="D29" s="287">
        <v>2269</v>
      </c>
      <c r="E29" s="294"/>
      <c r="G29" s="277"/>
    </row>
    <row r="30" spans="1:8">
      <c r="A30" s="289"/>
      <c r="B30" s="285" t="s">
        <v>1881</v>
      </c>
      <c r="C30" s="295"/>
      <c r="D30" s="287">
        <f t="shared" si="0"/>
        <v>0</v>
      </c>
      <c r="E30" s="291"/>
      <c r="G30" s="277"/>
    </row>
    <row r="31" spans="1:8">
      <c r="A31" s="289"/>
      <c r="B31" s="285" t="s">
        <v>1882</v>
      </c>
      <c r="C31" s="295">
        <f>C20/2</f>
        <v>2269</v>
      </c>
      <c r="D31" s="287">
        <f t="shared" si="0"/>
        <v>2269</v>
      </c>
      <c r="E31" s="291"/>
      <c r="G31" s="277"/>
    </row>
    <row r="32" spans="1:8" ht="24">
      <c r="A32" s="289"/>
      <c r="B32" s="285" t="s">
        <v>1883</v>
      </c>
      <c r="C32" s="295">
        <f>C3*4</f>
        <v>92</v>
      </c>
      <c r="D32" s="287">
        <f t="shared" si="0"/>
        <v>92</v>
      </c>
      <c r="E32" s="291"/>
      <c r="G32" s="277"/>
    </row>
    <row r="33" spans="1:11">
      <c r="A33" s="289"/>
      <c r="B33" s="285" t="s">
        <v>1884</v>
      </c>
      <c r="C33" s="295">
        <f>'[5] Micro quantification'!M29</f>
        <v>792</v>
      </c>
      <c r="D33" s="287">
        <f t="shared" si="0"/>
        <v>792</v>
      </c>
      <c r="E33" s="294"/>
      <c r="G33" s="277"/>
    </row>
    <row r="34" spans="1:11" ht="15" customHeight="1">
      <c r="A34" s="289"/>
      <c r="B34" s="285" t="s">
        <v>1885</v>
      </c>
      <c r="C34" s="295"/>
      <c r="D34" s="287">
        <f>SUM(C34:C34)</f>
        <v>0</v>
      </c>
      <c r="E34" s="294"/>
      <c r="G34" s="277"/>
    </row>
    <row r="35" spans="1:11">
      <c r="A35" s="289"/>
      <c r="B35" s="285" t="s">
        <v>1886</v>
      </c>
      <c r="C35" s="295">
        <f>'[5] Micro quantification'!R29</f>
        <v>135</v>
      </c>
      <c r="D35" s="287">
        <f>SUM(C35:C35)</f>
        <v>135</v>
      </c>
      <c r="E35" s="277"/>
      <c r="G35" s="277"/>
    </row>
    <row r="36" spans="1:11">
      <c r="A36" s="289"/>
      <c r="B36" s="285" t="s">
        <v>1887</v>
      </c>
      <c r="C36" s="295">
        <f>C35+C34+C33+C32+C30+C29+C28+C27+C26+C25+C24+C23+C22+C21+C20+C19+C18+C17+C16+C15+C14+C13+C12+C11+C10</f>
        <v>11880</v>
      </c>
      <c r="D36" s="287">
        <f t="shared" si="0"/>
        <v>11880</v>
      </c>
      <c r="E36" s="294"/>
      <c r="G36" s="277"/>
    </row>
    <row r="37" spans="1:11">
      <c r="A37" s="289"/>
      <c r="B37" s="297" t="s">
        <v>1888</v>
      </c>
      <c r="C37" s="297"/>
      <c r="D37" s="297"/>
      <c r="E37" s="298"/>
      <c r="G37" s="277"/>
    </row>
    <row r="38" spans="1:11" ht="12.75" thickBot="1">
      <c r="A38" s="299"/>
      <c r="B38" s="300"/>
      <c r="C38" s="300"/>
      <c r="D38" s="300"/>
      <c r="E38" s="300"/>
      <c r="F38" s="301"/>
      <c r="G38" s="301"/>
      <c r="H38" s="302"/>
    </row>
    <row r="39" spans="1:11">
      <c r="A39" s="284">
        <v>1</v>
      </c>
      <c r="B39" s="1177" t="s">
        <v>1889</v>
      </c>
      <c r="C39" s="1178"/>
      <c r="D39" s="1179"/>
      <c r="E39" s="303" t="s">
        <v>1890</v>
      </c>
      <c r="F39" s="303" t="str">
        <f>C2</f>
        <v>KADUNA</v>
      </c>
      <c r="G39" s="304" t="str">
        <f>D2</f>
        <v xml:space="preserve">Total </v>
      </c>
      <c r="H39" s="305"/>
      <c r="I39" s="306"/>
      <c r="J39" s="306"/>
    </row>
    <row r="40" spans="1:11">
      <c r="A40" s="299"/>
      <c r="B40" s="1180" t="s">
        <v>1891</v>
      </c>
      <c r="C40" s="1181"/>
      <c r="D40" s="1182"/>
      <c r="E40" s="270"/>
      <c r="F40" s="298">
        <f>C13+C14+C16</f>
        <v>51</v>
      </c>
      <c r="G40" s="310">
        <f>SUM(F40:F40)</f>
        <v>51</v>
      </c>
      <c r="H40" s="296"/>
      <c r="I40" s="288"/>
      <c r="J40" s="288"/>
    </row>
    <row r="41" spans="1:11">
      <c r="A41" s="299"/>
      <c r="B41" s="1180" t="s">
        <v>1892</v>
      </c>
      <c r="C41" s="1181"/>
      <c r="D41" s="1182"/>
      <c r="E41" s="270"/>
      <c r="F41" s="291">
        <f>C32</f>
        <v>92</v>
      </c>
      <c r="G41" s="310">
        <f>SUM(F41:F41)</f>
        <v>92</v>
      </c>
      <c r="H41" s="302"/>
      <c r="I41" s="288"/>
      <c r="J41" s="288"/>
    </row>
    <row r="42" spans="1:11">
      <c r="A42" s="299"/>
      <c r="B42" s="1180" t="s">
        <v>1893</v>
      </c>
      <c r="C42" s="1181"/>
      <c r="D42" s="1182"/>
      <c r="E42" s="270"/>
      <c r="F42" s="311">
        <v>4</v>
      </c>
      <c r="G42" s="310">
        <f t="shared" ref="G42:G61" si="1">SUM(F42:F42)</f>
        <v>4</v>
      </c>
      <c r="H42" s="312"/>
      <c r="I42" s="313"/>
      <c r="J42" s="313"/>
    </row>
    <row r="43" spans="1:11">
      <c r="A43" s="299"/>
      <c r="B43" s="1183" t="s">
        <v>1894</v>
      </c>
      <c r="C43" s="1184"/>
      <c r="D43" s="1185"/>
      <c r="E43" s="270"/>
      <c r="F43" s="314">
        <f>C10+C11+2+2+2</f>
        <v>16</v>
      </c>
      <c r="G43" s="310">
        <f t="shared" si="1"/>
        <v>16</v>
      </c>
      <c r="H43" s="315"/>
      <c r="I43" s="288"/>
      <c r="J43" s="288"/>
    </row>
    <row r="44" spans="1:11">
      <c r="A44" s="299"/>
      <c r="B44" s="1180" t="s">
        <v>1895</v>
      </c>
      <c r="C44" s="1181"/>
      <c r="D44" s="1182"/>
      <c r="E44" s="270"/>
      <c r="F44" s="314">
        <f>3+14+4+1+2+2</f>
        <v>26</v>
      </c>
      <c r="G44" s="310">
        <f t="shared" si="1"/>
        <v>26</v>
      </c>
      <c r="I44" s="288"/>
      <c r="J44" s="288"/>
    </row>
    <row r="45" spans="1:11">
      <c r="A45" s="299"/>
      <c r="B45" s="307" t="s">
        <v>1896</v>
      </c>
      <c r="C45" s="308"/>
      <c r="D45" s="309"/>
      <c r="E45" s="270"/>
      <c r="F45" s="314">
        <v>4</v>
      </c>
      <c r="G45" s="310">
        <f t="shared" si="1"/>
        <v>4</v>
      </c>
      <c r="I45" s="288"/>
      <c r="J45" s="288"/>
    </row>
    <row r="46" spans="1:11">
      <c r="A46" s="299">
        <v>4.4000000000000004</v>
      </c>
      <c r="B46" s="1180" t="s">
        <v>1897</v>
      </c>
      <c r="C46" s="1181"/>
      <c r="D46" s="1182"/>
      <c r="E46" s="316">
        <v>2000</v>
      </c>
      <c r="F46" s="316">
        <f>(+$E$46*(F40+F41+F43+F44+F45)*F42*2)</f>
        <v>3024000</v>
      </c>
      <c r="G46" s="310">
        <f t="shared" si="1"/>
        <v>3024000</v>
      </c>
      <c r="H46" s="317"/>
      <c r="I46" s="317"/>
      <c r="J46" s="317"/>
    </row>
    <row r="47" spans="1:11">
      <c r="A47" s="299">
        <v>4.4000000000000004</v>
      </c>
      <c r="B47" s="1180" t="s">
        <v>1898</v>
      </c>
      <c r="C47" s="1181"/>
      <c r="D47" s="1182"/>
      <c r="E47" s="316">
        <v>4500</v>
      </c>
      <c r="F47" s="316">
        <f>(+$E$47*(F40+F41+F43+F44+F45)*F42)</f>
        <v>3402000</v>
      </c>
      <c r="G47" s="310">
        <f t="shared" si="1"/>
        <v>3402000</v>
      </c>
      <c r="H47" s="318"/>
      <c r="I47" s="318"/>
      <c r="J47" s="318"/>
      <c r="K47" s="296"/>
    </row>
    <row r="48" spans="1:11">
      <c r="A48" s="319">
        <v>4.4000000000000004</v>
      </c>
      <c r="B48" s="1180" t="s">
        <v>1899</v>
      </c>
      <c r="C48" s="1181"/>
      <c r="D48" s="1182"/>
      <c r="E48" s="316">
        <v>220000</v>
      </c>
      <c r="F48" s="316">
        <f>E48*4*(F42/2)+E48*2*(F42/2)</f>
        <v>2640000</v>
      </c>
      <c r="G48" s="310">
        <f t="shared" si="1"/>
        <v>2640000</v>
      </c>
      <c r="H48" s="320"/>
      <c r="I48" s="296"/>
      <c r="J48" s="296"/>
      <c r="K48" s="296"/>
    </row>
    <row r="49" spans="1:11">
      <c r="A49" s="319">
        <v>4.4000000000000004</v>
      </c>
      <c r="B49" s="1180" t="s">
        <v>1900</v>
      </c>
      <c r="C49" s="1181"/>
      <c r="D49" s="1182"/>
      <c r="E49" s="316">
        <v>120000</v>
      </c>
      <c r="F49" s="316">
        <f>((E49*(F42/2)*2))</f>
        <v>480000</v>
      </c>
      <c r="G49" s="310">
        <f t="shared" si="1"/>
        <v>480000</v>
      </c>
      <c r="H49" s="320"/>
      <c r="I49" s="288"/>
      <c r="J49" s="288"/>
      <c r="K49" s="296"/>
    </row>
    <row r="50" spans="1:11">
      <c r="A50" s="299">
        <v>4.4000000000000004</v>
      </c>
      <c r="B50" s="1180" t="s">
        <v>1901</v>
      </c>
      <c r="C50" s="1181"/>
      <c r="D50" s="1182"/>
      <c r="E50" s="316"/>
      <c r="F50" s="316"/>
      <c r="G50" s="310">
        <f t="shared" si="1"/>
        <v>0</v>
      </c>
      <c r="H50" s="321"/>
      <c r="I50" s="288"/>
      <c r="J50" s="288"/>
    </row>
    <row r="51" spans="1:11">
      <c r="A51" s="299">
        <v>4.4000000000000004</v>
      </c>
      <c r="B51" s="1180" t="s">
        <v>1902</v>
      </c>
      <c r="C51" s="1181"/>
      <c r="D51" s="1182"/>
      <c r="E51" s="316">
        <v>20000</v>
      </c>
      <c r="F51" s="316">
        <f>$E$51</f>
        <v>20000</v>
      </c>
      <c r="G51" s="310">
        <f t="shared" si="1"/>
        <v>20000</v>
      </c>
      <c r="H51" s="321"/>
      <c r="I51" s="288"/>
      <c r="J51" s="288"/>
    </row>
    <row r="52" spans="1:11">
      <c r="A52" s="299">
        <v>4.4000000000000004</v>
      </c>
      <c r="B52" s="1180" t="s">
        <v>1903</v>
      </c>
      <c r="C52" s="1181"/>
      <c r="D52" s="1182"/>
      <c r="E52" s="316">
        <v>5000</v>
      </c>
      <c r="F52" s="316">
        <f>($E$52*(F40+F41))</f>
        <v>715000</v>
      </c>
      <c r="G52" s="310">
        <f t="shared" si="1"/>
        <v>715000</v>
      </c>
      <c r="H52" s="320"/>
      <c r="I52" s="288"/>
      <c r="J52" s="288"/>
    </row>
    <row r="53" spans="1:11">
      <c r="A53" s="299">
        <v>4.3</v>
      </c>
      <c r="B53" s="1180" t="s">
        <v>1904</v>
      </c>
      <c r="C53" s="1181"/>
      <c r="D53" s="1182"/>
      <c r="E53" s="316">
        <v>5000</v>
      </c>
      <c r="F53" s="316">
        <f>($E$53*F45*F42)</f>
        <v>80000</v>
      </c>
      <c r="G53" s="310">
        <f t="shared" si="1"/>
        <v>80000</v>
      </c>
      <c r="H53" s="320"/>
      <c r="I53" s="288"/>
      <c r="J53" s="288"/>
    </row>
    <row r="54" spans="1:11">
      <c r="A54" s="299">
        <v>4.4000000000000004</v>
      </c>
      <c r="B54" s="1180" t="s">
        <v>1905</v>
      </c>
      <c r="C54" s="1181"/>
      <c r="D54" s="1182"/>
      <c r="E54" s="316">
        <v>21000</v>
      </c>
      <c r="F54" s="316">
        <f>$E$54*(F40+F41)*1</f>
        <v>3003000</v>
      </c>
      <c r="G54" s="310">
        <f t="shared" si="1"/>
        <v>3003000</v>
      </c>
      <c r="H54" s="321"/>
      <c r="I54" s="288"/>
      <c r="J54" s="288"/>
    </row>
    <row r="55" spans="1:11">
      <c r="A55" s="299">
        <v>4.4000000000000004</v>
      </c>
      <c r="B55" s="1180" t="s">
        <v>1906</v>
      </c>
      <c r="C55" s="1181"/>
      <c r="D55" s="1182"/>
      <c r="E55" s="316">
        <f>21000-4500</f>
        <v>16500</v>
      </c>
      <c r="F55" s="316">
        <f>$E$55*(F40+F41)*F42</f>
        <v>9438000</v>
      </c>
      <c r="G55" s="310">
        <f t="shared" si="1"/>
        <v>9438000</v>
      </c>
      <c r="H55" s="321"/>
      <c r="I55" s="288"/>
      <c r="J55" s="288"/>
    </row>
    <row r="56" spans="1:11">
      <c r="A56" s="299">
        <v>4.3</v>
      </c>
      <c r="B56" s="1180" t="s">
        <v>1907</v>
      </c>
      <c r="C56" s="1181"/>
      <c r="D56" s="1182"/>
      <c r="E56" s="316">
        <v>5000</v>
      </c>
      <c r="F56" s="316">
        <f>(+$E$56*F43*F42)</f>
        <v>320000</v>
      </c>
      <c r="G56" s="310">
        <f t="shared" si="1"/>
        <v>320000</v>
      </c>
      <c r="H56" s="321"/>
      <c r="I56" s="288"/>
      <c r="J56" s="288"/>
    </row>
    <row r="57" spans="1:11">
      <c r="A57" s="299">
        <v>4.3</v>
      </c>
      <c r="B57" s="1180" t="s">
        <v>1908</v>
      </c>
      <c r="C57" s="1181"/>
      <c r="D57" s="1182"/>
      <c r="E57" s="316">
        <v>5000</v>
      </c>
      <c r="F57" s="316">
        <f>(E57*F45*F42)</f>
        <v>80000</v>
      </c>
      <c r="G57" s="310">
        <f t="shared" si="1"/>
        <v>80000</v>
      </c>
      <c r="H57" s="320"/>
      <c r="I57" s="288"/>
      <c r="J57" s="288"/>
    </row>
    <row r="58" spans="1:11">
      <c r="A58" s="299">
        <v>4.3</v>
      </c>
      <c r="B58" s="1180" t="s">
        <v>1909</v>
      </c>
      <c r="C58" s="1181"/>
      <c r="D58" s="1182"/>
      <c r="E58" s="316">
        <v>15000</v>
      </c>
      <c r="F58" s="316">
        <f>($E$58*F42*(F43-4))</f>
        <v>720000</v>
      </c>
      <c r="G58" s="310">
        <f t="shared" si="1"/>
        <v>720000</v>
      </c>
      <c r="H58" s="322"/>
      <c r="I58" s="288"/>
      <c r="J58" s="288"/>
    </row>
    <row r="59" spans="1:11">
      <c r="A59" s="299">
        <v>4.3</v>
      </c>
      <c r="B59" s="1180" t="s">
        <v>1910</v>
      </c>
      <c r="C59" s="1181"/>
      <c r="D59" s="1182"/>
      <c r="E59" s="316">
        <v>15000</v>
      </c>
      <c r="F59" s="316">
        <f>($E$59*F42*4)</f>
        <v>240000</v>
      </c>
      <c r="G59" s="310">
        <f t="shared" si="1"/>
        <v>240000</v>
      </c>
      <c r="I59" s="288"/>
      <c r="J59" s="288"/>
    </row>
    <row r="60" spans="1:11">
      <c r="A60" s="299">
        <v>4.3</v>
      </c>
      <c r="B60" s="1180" t="s">
        <v>1911</v>
      </c>
      <c r="C60" s="1181"/>
      <c r="D60" s="1182"/>
      <c r="E60" s="316">
        <f>45000-4500</f>
        <v>40500</v>
      </c>
      <c r="F60" s="316">
        <f>($E$60*(F42)*F43)</f>
        <v>2592000</v>
      </c>
      <c r="G60" s="310">
        <f t="shared" si="1"/>
        <v>2592000</v>
      </c>
      <c r="H60" s="320"/>
      <c r="I60" s="288"/>
      <c r="J60" s="288"/>
    </row>
    <row r="61" spans="1:11" ht="12.75" thickBot="1">
      <c r="A61" s="299">
        <v>4.4000000000000004</v>
      </c>
      <c r="B61" s="1180" t="s">
        <v>1912</v>
      </c>
      <c r="C61" s="1181"/>
      <c r="D61" s="1182"/>
      <c r="E61" s="316">
        <v>1000</v>
      </c>
      <c r="F61" s="323">
        <f>+$E$61*(F40+F41+5)</f>
        <v>148000</v>
      </c>
      <c r="G61" s="310">
        <f t="shared" si="1"/>
        <v>148000</v>
      </c>
      <c r="H61" s="321"/>
      <c r="I61" s="288"/>
      <c r="J61" s="288"/>
    </row>
    <row r="62" spans="1:11" ht="12.75" thickBot="1">
      <c r="A62" s="299"/>
      <c r="B62" s="1186" t="s">
        <v>209</v>
      </c>
      <c r="C62" s="1187"/>
      <c r="D62" s="1187"/>
      <c r="E62" s="1188"/>
      <c r="F62" s="324">
        <f>SUM(F46:F61)</f>
        <v>26902000</v>
      </c>
      <c r="G62" s="325">
        <f>SUM(G46:G61)</f>
        <v>26902000</v>
      </c>
      <c r="H62" s="321"/>
      <c r="I62" s="326"/>
      <c r="J62" s="326"/>
    </row>
    <row r="63" spans="1:11">
      <c r="G63" s="296"/>
      <c r="H63" s="277"/>
      <c r="I63" s="281"/>
      <c r="J63" s="281"/>
    </row>
    <row r="64" spans="1:11">
      <c r="A64" s="284">
        <v>2</v>
      </c>
      <c r="B64" s="1189" t="s">
        <v>1913</v>
      </c>
      <c r="C64" s="1190"/>
      <c r="D64" s="1191"/>
      <c r="E64" s="282" t="s">
        <v>1890</v>
      </c>
      <c r="F64" s="282" t="str">
        <f>F39</f>
        <v>KADUNA</v>
      </c>
      <c r="G64" s="327" t="str">
        <f>G39</f>
        <v xml:space="preserve">Total </v>
      </c>
      <c r="H64" s="277"/>
      <c r="I64" s="281"/>
      <c r="J64" s="281"/>
    </row>
    <row r="65" spans="1:10">
      <c r="A65" s="299"/>
      <c r="B65" s="1180" t="s">
        <v>1914</v>
      </c>
      <c r="C65" s="1181"/>
      <c r="D65" s="1182"/>
      <c r="E65" s="270"/>
      <c r="F65" s="328">
        <f>C16</f>
        <v>23</v>
      </c>
      <c r="G65" s="329">
        <f>SUM(F65:F65)</f>
        <v>23</v>
      </c>
      <c r="H65" s="330"/>
      <c r="I65" s="281"/>
      <c r="J65" s="281"/>
    </row>
    <row r="66" spans="1:10">
      <c r="A66" s="299"/>
      <c r="B66" s="1180" t="s">
        <v>1893</v>
      </c>
      <c r="C66" s="1181"/>
      <c r="D66" s="1182"/>
      <c r="E66" s="270"/>
      <c r="F66" s="311">
        <v>1</v>
      </c>
      <c r="G66" s="329">
        <f t="shared" ref="G66:G72" si="2">SUM(F66:F66)</f>
        <v>1</v>
      </c>
      <c r="H66" s="277"/>
      <c r="I66" s="281"/>
      <c r="J66" s="281"/>
    </row>
    <row r="67" spans="1:10">
      <c r="A67" s="299"/>
      <c r="B67" s="1180" t="s">
        <v>1915</v>
      </c>
      <c r="C67" s="1181"/>
      <c r="D67" s="1182"/>
      <c r="E67" s="270"/>
      <c r="F67" s="277">
        <f>1+1+2</f>
        <v>4</v>
      </c>
      <c r="G67" s="329">
        <f t="shared" si="2"/>
        <v>4</v>
      </c>
      <c r="H67" s="330"/>
      <c r="I67" s="281"/>
      <c r="J67" s="281"/>
    </row>
    <row r="68" spans="1:10">
      <c r="A68" s="299"/>
      <c r="B68" s="1180" t="s">
        <v>1916</v>
      </c>
      <c r="C68" s="1181"/>
      <c r="D68" s="1182"/>
      <c r="E68" s="270"/>
      <c r="F68" s="277">
        <v>3</v>
      </c>
      <c r="G68" s="329">
        <f t="shared" si="2"/>
        <v>3</v>
      </c>
      <c r="H68" s="331"/>
      <c r="I68" s="281"/>
      <c r="J68" s="281"/>
    </row>
    <row r="69" spans="1:10">
      <c r="A69" s="299">
        <v>4.4000000000000004</v>
      </c>
      <c r="B69" s="1180" t="s">
        <v>1917</v>
      </c>
      <c r="C69" s="1181"/>
      <c r="D69" s="1182"/>
      <c r="E69" s="316">
        <v>2000</v>
      </c>
      <c r="F69" s="316">
        <f>(E69*(F65+F67+F68)*F66*2)</f>
        <v>120000</v>
      </c>
      <c r="G69" s="329">
        <f t="shared" si="2"/>
        <v>120000</v>
      </c>
      <c r="H69" s="277"/>
      <c r="I69" s="281"/>
      <c r="J69" s="281"/>
    </row>
    <row r="70" spans="1:10">
      <c r="A70" s="299">
        <v>4.4000000000000004</v>
      </c>
      <c r="B70" s="1180" t="s">
        <v>1898</v>
      </c>
      <c r="C70" s="1181"/>
      <c r="D70" s="1182"/>
      <c r="E70" s="316">
        <v>4500</v>
      </c>
      <c r="F70" s="316">
        <f>(E70*(F65+F67+F68)*F66)</f>
        <v>135000</v>
      </c>
      <c r="G70" s="329">
        <f>SUM(F70:F70)</f>
        <v>135000</v>
      </c>
      <c r="H70" s="277"/>
      <c r="I70" s="281"/>
      <c r="J70" s="281"/>
    </row>
    <row r="71" spans="1:10">
      <c r="A71" s="299">
        <v>4.4000000000000004</v>
      </c>
      <c r="B71" s="1180" t="s">
        <v>1918</v>
      </c>
      <c r="C71" s="1181"/>
      <c r="D71" s="1182"/>
      <c r="E71" s="332">
        <v>120000</v>
      </c>
      <c r="F71" s="316">
        <f>E71*F66</f>
        <v>120000</v>
      </c>
      <c r="G71" s="329">
        <f t="shared" si="2"/>
        <v>120000</v>
      </c>
      <c r="H71" s="315"/>
      <c r="I71" s="333"/>
      <c r="J71" s="333"/>
    </row>
    <row r="72" spans="1:10" ht="12.75" thickBot="1">
      <c r="A72" s="299">
        <v>4.4000000000000004</v>
      </c>
      <c r="B72" s="1180" t="s">
        <v>1919</v>
      </c>
      <c r="C72" s="1181"/>
      <c r="D72" s="1182"/>
      <c r="E72" s="316">
        <v>5000</v>
      </c>
      <c r="F72" s="316">
        <f>(E72*F66*(F65))</f>
        <v>115000</v>
      </c>
      <c r="G72" s="329">
        <f t="shared" si="2"/>
        <v>115000</v>
      </c>
      <c r="H72" s="277"/>
      <c r="I72" s="333"/>
      <c r="J72" s="333"/>
    </row>
    <row r="73" spans="1:10" ht="12.75" thickBot="1">
      <c r="A73" s="299"/>
      <c r="B73" s="1186" t="s">
        <v>209</v>
      </c>
      <c r="C73" s="1187"/>
      <c r="D73" s="1187"/>
      <c r="E73" s="1188"/>
      <c r="F73" s="324">
        <f>SUM(F69:F72)</f>
        <v>490000</v>
      </c>
      <c r="G73" s="325">
        <f>SUM(G69:G72)</f>
        <v>490000</v>
      </c>
      <c r="H73" s="277"/>
      <c r="I73" s="333"/>
      <c r="J73" s="333"/>
    </row>
    <row r="74" spans="1:10">
      <c r="A74" s="299"/>
      <c r="B74" s="334"/>
      <c r="C74" s="334"/>
      <c r="D74" s="334"/>
      <c r="E74" s="335"/>
      <c r="F74" s="336"/>
      <c r="G74" s="337"/>
      <c r="H74" s="277"/>
      <c r="I74" s="333"/>
      <c r="J74" s="333"/>
    </row>
    <row r="75" spans="1:10">
      <c r="A75" s="284">
        <v>3</v>
      </c>
      <c r="B75" s="1189" t="s">
        <v>1920</v>
      </c>
      <c r="C75" s="1190"/>
      <c r="D75" s="1191"/>
      <c r="E75" s="282" t="s">
        <v>1890</v>
      </c>
      <c r="F75" s="282" t="str">
        <f>F64</f>
        <v>KADUNA</v>
      </c>
      <c r="G75" s="327" t="str">
        <f>G64</f>
        <v xml:space="preserve">Total </v>
      </c>
      <c r="H75" s="277"/>
      <c r="I75" s="333"/>
      <c r="J75" s="333"/>
    </row>
    <row r="76" spans="1:10">
      <c r="A76" s="299"/>
      <c r="B76" s="1180" t="s">
        <v>1921</v>
      </c>
      <c r="C76" s="1181"/>
      <c r="D76" s="1182"/>
      <c r="E76" s="270"/>
      <c r="F76" s="328">
        <f>C35</f>
        <v>135</v>
      </c>
      <c r="G76" s="329">
        <f>SUM(F76:F76)</f>
        <v>135</v>
      </c>
      <c r="H76" s="277"/>
      <c r="I76" s="333"/>
      <c r="J76" s="333"/>
    </row>
    <row r="77" spans="1:10">
      <c r="A77" s="299"/>
      <c r="B77" s="1180" t="s">
        <v>1914</v>
      </c>
      <c r="C77" s="1181"/>
      <c r="D77" s="1182"/>
      <c r="E77" s="270"/>
      <c r="F77" s="328">
        <f>C16</f>
        <v>23</v>
      </c>
      <c r="G77" s="329">
        <f>SUM(F77:F77)</f>
        <v>23</v>
      </c>
      <c r="H77" s="277"/>
      <c r="I77" s="333"/>
      <c r="J77" s="333"/>
    </row>
    <row r="78" spans="1:10" ht="12.75" customHeight="1">
      <c r="A78" s="299"/>
      <c r="B78" s="1180" t="s">
        <v>1922</v>
      </c>
      <c r="C78" s="1181"/>
      <c r="D78" s="1182"/>
      <c r="E78" s="270"/>
      <c r="F78" s="328">
        <v>3</v>
      </c>
      <c r="G78" s="329">
        <f>SUM(F78:F78)</f>
        <v>3</v>
      </c>
      <c r="H78" s="277"/>
      <c r="I78" s="333"/>
      <c r="J78" s="333"/>
    </row>
    <row r="79" spans="1:10">
      <c r="A79" s="299"/>
      <c r="B79" s="1180" t="s">
        <v>1893</v>
      </c>
      <c r="C79" s="1181"/>
      <c r="D79" s="1182"/>
      <c r="E79" s="270"/>
      <c r="F79" s="311">
        <v>2</v>
      </c>
      <c r="G79" s="329">
        <f t="shared" ref="G79:G89" si="3">SUM(F79:F79)</f>
        <v>2</v>
      </c>
      <c r="H79" s="277"/>
      <c r="I79" s="333"/>
      <c r="J79" s="333"/>
    </row>
    <row r="80" spans="1:10">
      <c r="A80" s="299"/>
      <c r="B80" s="1180" t="s">
        <v>1923</v>
      </c>
      <c r="C80" s="1181"/>
      <c r="D80" s="1182"/>
      <c r="E80" s="270"/>
      <c r="F80" s="338">
        <f>4+2+4</f>
        <v>10</v>
      </c>
      <c r="G80" s="329">
        <f t="shared" si="3"/>
        <v>10</v>
      </c>
      <c r="H80" s="315"/>
      <c r="I80" s="333"/>
      <c r="J80" s="333"/>
    </row>
    <row r="81" spans="1:10">
      <c r="A81" s="299"/>
      <c r="B81" s="1180" t="s">
        <v>1924</v>
      </c>
      <c r="C81" s="1181"/>
      <c r="D81" s="1182"/>
      <c r="E81" s="270"/>
      <c r="F81" s="339">
        <f>2+3+2+1</f>
        <v>8</v>
      </c>
      <c r="G81" s="329">
        <f t="shared" si="3"/>
        <v>8</v>
      </c>
      <c r="H81" s="277"/>
      <c r="I81" s="333"/>
      <c r="J81" s="333"/>
    </row>
    <row r="82" spans="1:10">
      <c r="A82" s="299">
        <v>4.4000000000000004</v>
      </c>
      <c r="B82" s="1180" t="s">
        <v>1917</v>
      </c>
      <c r="C82" s="1181"/>
      <c r="D82" s="1182"/>
      <c r="E82" s="316">
        <v>2000</v>
      </c>
      <c r="F82" s="316">
        <f>(E82*2*(F76+F80+F81)*F79)+(E82*2*(F77)*1)</f>
        <v>1316000</v>
      </c>
      <c r="G82" s="329">
        <f t="shared" si="3"/>
        <v>1316000</v>
      </c>
      <c r="H82" s="333"/>
      <c r="I82" s="333"/>
      <c r="J82" s="333"/>
    </row>
    <row r="83" spans="1:10">
      <c r="A83" s="299">
        <v>4.4000000000000004</v>
      </c>
      <c r="B83" s="1180" t="s">
        <v>1898</v>
      </c>
      <c r="C83" s="1181"/>
      <c r="D83" s="1182"/>
      <c r="E83" s="316">
        <v>4500</v>
      </c>
      <c r="F83" s="316">
        <f>(E83*(F76+F80+F81)*F79)+(E83*(F77)*1)</f>
        <v>1480500</v>
      </c>
      <c r="G83" s="329">
        <f t="shared" si="3"/>
        <v>1480500</v>
      </c>
      <c r="H83" s="333"/>
      <c r="I83" s="333"/>
      <c r="J83" s="333"/>
    </row>
    <row r="84" spans="1:10">
      <c r="A84" s="299">
        <v>4.4000000000000004</v>
      </c>
      <c r="B84" s="1180" t="s">
        <v>1925</v>
      </c>
      <c r="C84" s="1181"/>
      <c r="D84" s="1182"/>
      <c r="E84" s="316">
        <v>220000</v>
      </c>
      <c r="F84" s="316">
        <f>(E84*F79*F78)</f>
        <v>1320000</v>
      </c>
      <c r="G84" s="329">
        <f t="shared" si="3"/>
        <v>1320000</v>
      </c>
      <c r="H84" s="277"/>
      <c r="I84" s="333"/>
      <c r="J84" s="333"/>
    </row>
    <row r="85" spans="1:10">
      <c r="A85" s="299">
        <v>4.3</v>
      </c>
      <c r="B85" s="1180" t="s">
        <v>1926</v>
      </c>
      <c r="C85" s="1181"/>
      <c r="D85" s="1182"/>
      <c r="E85" s="316">
        <f>45000-4500</f>
        <v>40500</v>
      </c>
      <c r="F85" s="316">
        <f>(E85*F79*(F80-6))</f>
        <v>324000</v>
      </c>
      <c r="G85" s="329">
        <f t="shared" si="3"/>
        <v>324000</v>
      </c>
      <c r="H85" s="330"/>
      <c r="I85" s="333"/>
      <c r="J85" s="333"/>
    </row>
    <row r="86" spans="1:10">
      <c r="A86" s="299">
        <v>4.4000000000000004</v>
      </c>
      <c r="B86" s="1180" t="s">
        <v>1919</v>
      </c>
      <c r="C86" s="1181"/>
      <c r="D86" s="1182"/>
      <c r="E86" s="316">
        <v>5000</v>
      </c>
      <c r="F86" s="316">
        <f>(E86*F79*(F76))+(E86*1*(F77))</f>
        <v>1465000</v>
      </c>
      <c r="G86" s="329">
        <f t="shared" si="3"/>
        <v>1465000</v>
      </c>
      <c r="H86" s="277"/>
      <c r="I86" s="333"/>
      <c r="J86" s="333"/>
    </row>
    <row r="87" spans="1:10">
      <c r="A87" s="299">
        <v>4.3</v>
      </c>
      <c r="B87" s="1180" t="s">
        <v>1927</v>
      </c>
      <c r="C87" s="1181"/>
      <c r="D87" s="1182"/>
      <c r="E87" s="316">
        <v>15000</v>
      </c>
      <c r="F87" s="316">
        <f>(E87*F79*(F80-6))</f>
        <v>120000</v>
      </c>
      <c r="G87" s="329">
        <f t="shared" si="3"/>
        <v>120000</v>
      </c>
      <c r="H87" s="277"/>
      <c r="I87" s="333"/>
      <c r="J87" s="333"/>
    </row>
    <row r="88" spans="1:10">
      <c r="A88" s="299">
        <v>4.3</v>
      </c>
      <c r="B88" s="1180" t="s">
        <v>1928</v>
      </c>
      <c r="C88" s="1181"/>
      <c r="D88" s="1182"/>
      <c r="E88" s="316">
        <v>5000</v>
      </c>
      <c r="F88" s="316">
        <f>(E88*(F80-6)*F79)</f>
        <v>40000</v>
      </c>
      <c r="G88" s="329">
        <f t="shared" si="3"/>
        <v>40000</v>
      </c>
      <c r="H88" s="277"/>
      <c r="I88" s="333"/>
      <c r="J88" s="333"/>
    </row>
    <row r="89" spans="1:10" ht="12.75" thickBot="1">
      <c r="A89" s="299">
        <v>4.4000000000000004</v>
      </c>
      <c r="B89" s="1180" t="s">
        <v>1912</v>
      </c>
      <c r="C89" s="1181"/>
      <c r="D89" s="1182"/>
      <c r="E89" s="316">
        <v>1000</v>
      </c>
      <c r="F89" s="316">
        <f>E89*F76</f>
        <v>135000</v>
      </c>
      <c r="G89" s="329">
        <f t="shared" si="3"/>
        <v>135000</v>
      </c>
      <c r="H89" s="277"/>
      <c r="I89" s="333"/>
      <c r="J89" s="333"/>
    </row>
    <row r="90" spans="1:10" ht="12.75" thickBot="1">
      <c r="A90" s="299"/>
      <c r="B90" s="1186" t="s">
        <v>209</v>
      </c>
      <c r="C90" s="1187"/>
      <c r="D90" s="1187"/>
      <c r="E90" s="1188"/>
      <c r="F90" s="324">
        <f>SUM(F82:F89)</f>
        <v>6200500</v>
      </c>
      <c r="G90" s="325">
        <f>SUM(G82:G89)</f>
        <v>6200500</v>
      </c>
      <c r="H90" s="277"/>
      <c r="I90" s="333"/>
      <c r="J90" s="333"/>
    </row>
    <row r="91" spans="1:10">
      <c r="G91" s="296"/>
      <c r="H91" s="277"/>
      <c r="I91" s="333"/>
      <c r="J91" s="333"/>
    </row>
    <row r="92" spans="1:10">
      <c r="A92" s="284">
        <v>4</v>
      </c>
      <c r="B92" s="1189" t="s">
        <v>1929</v>
      </c>
      <c r="C92" s="1190"/>
      <c r="D92" s="1191"/>
      <c r="E92" s="282" t="s">
        <v>1890</v>
      </c>
      <c r="F92" s="282" t="str">
        <f>F64</f>
        <v>KADUNA</v>
      </c>
      <c r="G92" s="327" t="str">
        <f>G64</f>
        <v xml:space="preserve">Total </v>
      </c>
      <c r="H92" s="277"/>
      <c r="I92" s="281"/>
      <c r="J92" s="281"/>
    </row>
    <row r="93" spans="1:10">
      <c r="A93" s="299"/>
      <c r="B93" s="1180" t="s">
        <v>1921</v>
      </c>
      <c r="C93" s="1181"/>
      <c r="D93" s="1182"/>
      <c r="E93" s="270"/>
      <c r="F93" s="328">
        <f>C35</f>
        <v>135</v>
      </c>
      <c r="G93" s="329">
        <f>SUM(F93:F93)</f>
        <v>135</v>
      </c>
      <c r="H93" s="340"/>
      <c r="I93" s="281"/>
      <c r="J93" s="281"/>
    </row>
    <row r="94" spans="1:10">
      <c r="A94" s="299"/>
      <c r="B94" s="1180" t="s">
        <v>1893</v>
      </c>
      <c r="C94" s="1181"/>
      <c r="D94" s="1182"/>
      <c r="E94" s="270"/>
      <c r="F94" s="311">
        <v>1</v>
      </c>
      <c r="G94" s="329">
        <f t="shared" ref="G94:G104" si="4">SUM(F94:F94)</f>
        <v>1</v>
      </c>
      <c r="H94" s="277"/>
      <c r="I94" s="281"/>
      <c r="J94" s="281"/>
    </row>
    <row r="95" spans="1:10">
      <c r="A95" s="299"/>
      <c r="B95" s="307" t="s">
        <v>1930</v>
      </c>
      <c r="C95" s="308"/>
      <c r="D95" s="309"/>
      <c r="E95" s="270"/>
      <c r="F95" s="311">
        <v>2</v>
      </c>
      <c r="G95" s="329">
        <f t="shared" si="4"/>
        <v>2</v>
      </c>
      <c r="H95" s="277"/>
      <c r="I95" s="281"/>
      <c r="J95" s="281"/>
    </row>
    <row r="96" spans="1:10">
      <c r="A96" s="299"/>
      <c r="B96" s="1180" t="s">
        <v>1931</v>
      </c>
      <c r="C96" s="1181"/>
      <c r="D96" s="1182"/>
      <c r="E96" s="270"/>
      <c r="F96" s="339">
        <f>4+2</f>
        <v>6</v>
      </c>
      <c r="G96" s="329">
        <f t="shared" si="4"/>
        <v>6</v>
      </c>
      <c r="H96" s="330"/>
      <c r="I96" s="281"/>
      <c r="J96" s="281"/>
    </row>
    <row r="97" spans="1:10">
      <c r="A97" s="299"/>
      <c r="B97" s="1180" t="s">
        <v>1932</v>
      </c>
      <c r="C97" s="1181"/>
      <c r="D97" s="1182"/>
      <c r="E97" s="270"/>
      <c r="F97" s="339">
        <f>4+1+2+1</f>
        <v>8</v>
      </c>
      <c r="G97" s="329">
        <f t="shared" si="4"/>
        <v>8</v>
      </c>
      <c r="H97" s="330"/>
      <c r="I97" s="281"/>
      <c r="J97" s="281"/>
    </row>
    <row r="98" spans="1:10">
      <c r="A98" s="299">
        <v>4.4000000000000004</v>
      </c>
      <c r="B98" s="1180" t="s">
        <v>1917</v>
      </c>
      <c r="C98" s="1181"/>
      <c r="D98" s="1182"/>
      <c r="E98" s="316">
        <v>2000</v>
      </c>
      <c r="F98" s="316">
        <f>E98*2*(F93+F96+F97)*F94</f>
        <v>596000</v>
      </c>
      <c r="G98" s="329">
        <f t="shared" si="4"/>
        <v>596000</v>
      </c>
      <c r="H98" s="277"/>
      <c r="I98" s="281"/>
      <c r="J98" s="281"/>
    </row>
    <row r="99" spans="1:10">
      <c r="A99" s="299">
        <v>4.4000000000000004</v>
      </c>
      <c r="B99" s="1180" t="s">
        <v>1898</v>
      </c>
      <c r="C99" s="1181"/>
      <c r="D99" s="1182"/>
      <c r="E99" s="316">
        <v>4500</v>
      </c>
      <c r="F99" s="316">
        <f>E99*(F93+F96+F97)*F94</f>
        <v>670500</v>
      </c>
      <c r="G99" s="329">
        <f t="shared" si="4"/>
        <v>670500</v>
      </c>
      <c r="H99" s="277"/>
      <c r="I99" s="281"/>
      <c r="J99" s="281"/>
    </row>
    <row r="100" spans="1:10">
      <c r="A100" s="299">
        <v>4.4000000000000004</v>
      </c>
      <c r="B100" s="1180" t="s">
        <v>1933</v>
      </c>
      <c r="C100" s="1181"/>
      <c r="D100" s="1182"/>
      <c r="E100" s="316">
        <v>220000</v>
      </c>
      <c r="F100" s="316">
        <f>E100*F94*F95</f>
        <v>440000</v>
      </c>
      <c r="G100" s="329">
        <f t="shared" si="4"/>
        <v>440000</v>
      </c>
      <c r="H100" s="277"/>
      <c r="I100" s="281"/>
      <c r="J100" s="281"/>
    </row>
    <row r="101" spans="1:10">
      <c r="A101" s="299">
        <v>4.3</v>
      </c>
      <c r="B101" s="1180" t="s">
        <v>1926</v>
      </c>
      <c r="C101" s="1181"/>
      <c r="D101" s="1182"/>
      <c r="E101" s="316">
        <f>45000-4500</f>
        <v>40500</v>
      </c>
      <c r="F101" s="316">
        <f>E101*F96*F94</f>
        <v>243000</v>
      </c>
      <c r="G101" s="329">
        <f t="shared" si="4"/>
        <v>243000</v>
      </c>
      <c r="H101" s="277"/>
      <c r="I101" s="281"/>
      <c r="J101" s="281"/>
    </row>
    <row r="102" spans="1:10">
      <c r="A102" s="299">
        <v>4.4000000000000004</v>
      </c>
      <c r="B102" s="1180" t="s">
        <v>1919</v>
      </c>
      <c r="C102" s="1181"/>
      <c r="D102" s="1182"/>
      <c r="E102" s="316">
        <v>5000</v>
      </c>
      <c r="F102" s="316">
        <f>E102*F93*F94</f>
        <v>675000</v>
      </c>
      <c r="G102" s="329">
        <f t="shared" si="4"/>
        <v>675000</v>
      </c>
      <c r="H102" s="277"/>
      <c r="I102" s="281"/>
      <c r="J102" s="281"/>
    </row>
    <row r="103" spans="1:10">
      <c r="A103" s="299">
        <v>4.3</v>
      </c>
      <c r="B103" s="1180" t="s">
        <v>1928</v>
      </c>
      <c r="C103" s="1181"/>
      <c r="D103" s="1182"/>
      <c r="E103" s="316">
        <v>5000</v>
      </c>
      <c r="F103" s="316">
        <f>E103*F96*F94</f>
        <v>30000</v>
      </c>
      <c r="G103" s="329">
        <f t="shared" si="4"/>
        <v>30000</v>
      </c>
      <c r="H103" s="277"/>
      <c r="I103" s="281"/>
      <c r="J103" s="281"/>
    </row>
    <row r="104" spans="1:10" ht="12.75" thickBot="1">
      <c r="A104" s="299">
        <v>4.3</v>
      </c>
      <c r="B104" s="1180" t="s">
        <v>1927</v>
      </c>
      <c r="C104" s="1181"/>
      <c r="D104" s="1182"/>
      <c r="E104" s="316">
        <v>15000</v>
      </c>
      <c r="F104" s="316">
        <f>E104*F96*F94</f>
        <v>90000</v>
      </c>
      <c r="G104" s="329">
        <f t="shared" si="4"/>
        <v>90000</v>
      </c>
      <c r="H104" s="277"/>
      <c r="I104" s="281"/>
      <c r="J104" s="281"/>
    </row>
    <row r="105" spans="1:10" ht="12.75" thickBot="1">
      <c r="A105" s="299"/>
      <c r="B105" s="1186" t="s">
        <v>209</v>
      </c>
      <c r="C105" s="1187"/>
      <c r="D105" s="1187"/>
      <c r="E105" s="1188"/>
      <c r="F105" s="324">
        <f>SUM(F98:F104)</f>
        <v>2744500</v>
      </c>
      <c r="G105" s="325">
        <f>SUM(G98:G104)</f>
        <v>2744500</v>
      </c>
      <c r="H105" s="277"/>
      <c r="I105" s="341"/>
      <c r="J105" s="333"/>
    </row>
    <row r="106" spans="1:10">
      <c r="G106" s="296"/>
      <c r="H106" s="277"/>
      <c r="I106" s="302"/>
      <c r="J106" s="302"/>
    </row>
    <row r="107" spans="1:10">
      <c r="A107" s="284">
        <v>5</v>
      </c>
      <c r="B107" s="1192" t="s">
        <v>1934</v>
      </c>
      <c r="C107" s="1193"/>
      <c r="D107" s="1194"/>
      <c r="E107" s="282" t="s">
        <v>1890</v>
      </c>
      <c r="F107" s="282" t="str">
        <f>F64</f>
        <v>KADUNA</v>
      </c>
      <c r="G107" s="342" t="str">
        <f>D2</f>
        <v xml:space="preserve">Total </v>
      </c>
      <c r="H107" s="277"/>
      <c r="I107" s="343"/>
      <c r="J107" s="343"/>
    </row>
    <row r="108" spans="1:10">
      <c r="A108" s="299"/>
      <c r="B108" s="1180" t="s">
        <v>1935</v>
      </c>
      <c r="C108" s="1181"/>
      <c r="D108" s="1182"/>
      <c r="E108" s="270"/>
      <c r="F108" s="339">
        <v>23</v>
      </c>
      <c r="G108" s="329">
        <f>SUM(F108:F108)</f>
        <v>23</v>
      </c>
      <c r="H108" s="340"/>
      <c r="I108" s="344"/>
      <c r="J108" s="344"/>
    </row>
    <row r="109" spans="1:10">
      <c r="A109" s="299"/>
      <c r="B109" s="1180" t="s">
        <v>1893</v>
      </c>
      <c r="C109" s="1181"/>
      <c r="D109" s="1182"/>
      <c r="E109" s="270"/>
      <c r="F109" s="345">
        <v>1</v>
      </c>
      <c r="G109" s="329">
        <f>F109</f>
        <v>1</v>
      </c>
      <c r="H109" s="330"/>
      <c r="I109" s="281"/>
      <c r="J109" s="281"/>
    </row>
    <row r="110" spans="1:10">
      <c r="A110" s="299"/>
      <c r="B110" s="307" t="s">
        <v>1930</v>
      </c>
      <c r="C110" s="308"/>
      <c r="D110" s="309"/>
      <c r="E110" s="270"/>
      <c r="F110" s="345">
        <v>1</v>
      </c>
      <c r="G110" s="329">
        <f>F110</f>
        <v>1</v>
      </c>
      <c r="H110" s="330"/>
      <c r="I110" s="281"/>
      <c r="J110" s="281"/>
    </row>
    <row r="111" spans="1:10">
      <c r="A111" s="299"/>
      <c r="B111" s="1180" t="s">
        <v>1936</v>
      </c>
      <c r="C111" s="1181"/>
      <c r="D111" s="1182"/>
      <c r="E111" s="270"/>
      <c r="F111" s="338">
        <v>2</v>
      </c>
      <c r="G111" s="329">
        <f t="shared" ref="G111:G122" si="5">SUM(F111:F111)</f>
        <v>2</v>
      </c>
      <c r="H111" s="315"/>
      <c r="I111" s="281"/>
      <c r="J111" s="281"/>
    </row>
    <row r="112" spans="1:10" ht="12" customHeight="1">
      <c r="A112" s="299"/>
      <c r="B112" s="1180" t="s">
        <v>1937</v>
      </c>
      <c r="C112" s="1181"/>
      <c r="D112" s="1182"/>
      <c r="E112" s="270"/>
      <c r="F112" s="339">
        <v>4</v>
      </c>
      <c r="G112" s="329">
        <f t="shared" si="5"/>
        <v>4</v>
      </c>
      <c r="H112" s="277"/>
      <c r="I112" s="281"/>
      <c r="J112" s="281"/>
    </row>
    <row r="113" spans="1:10">
      <c r="A113" s="299">
        <v>4.4000000000000004</v>
      </c>
      <c r="B113" s="1180" t="s">
        <v>1917</v>
      </c>
      <c r="C113" s="1181"/>
      <c r="D113" s="1182"/>
      <c r="E113" s="316">
        <v>2000</v>
      </c>
      <c r="F113" s="316">
        <f>E113*(F108+F111+F112)*F109*2</f>
        <v>116000</v>
      </c>
      <c r="G113" s="329">
        <f t="shared" si="5"/>
        <v>116000</v>
      </c>
      <c r="H113" s="277"/>
      <c r="I113" s="281"/>
      <c r="J113" s="281"/>
    </row>
    <row r="114" spans="1:10">
      <c r="A114" s="299">
        <v>4.4000000000000004</v>
      </c>
      <c r="B114" s="1180" t="s">
        <v>1898</v>
      </c>
      <c r="C114" s="1181"/>
      <c r="D114" s="1182"/>
      <c r="E114" s="316">
        <v>4500</v>
      </c>
      <c r="F114" s="316">
        <f>E114*(F108+F111+F112)*F109</f>
        <v>130500</v>
      </c>
      <c r="G114" s="329">
        <f t="shared" si="5"/>
        <v>130500</v>
      </c>
      <c r="H114" s="277"/>
      <c r="I114" s="281"/>
      <c r="J114" s="281"/>
    </row>
    <row r="115" spans="1:10">
      <c r="A115" s="299">
        <v>4.4000000000000004</v>
      </c>
      <c r="B115" s="1180" t="s">
        <v>1918</v>
      </c>
      <c r="C115" s="1181"/>
      <c r="D115" s="1182"/>
      <c r="E115" s="316">
        <v>120000</v>
      </c>
      <c r="F115" s="316">
        <f>E115*F109*F110</f>
        <v>120000</v>
      </c>
      <c r="G115" s="329">
        <f t="shared" si="5"/>
        <v>120000</v>
      </c>
      <c r="H115" s="277"/>
      <c r="I115" s="281"/>
      <c r="J115" s="281"/>
    </row>
    <row r="116" spans="1:10">
      <c r="A116" s="299">
        <v>4.4000000000000004</v>
      </c>
      <c r="B116" s="1180" t="s">
        <v>1938</v>
      </c>
      <c r="C116" s="1181"/>
      <c r="D116" s="1182"/>
      <c r="E116" s="316">
        <v>5000</v>
      </c>
      <c r="F116" s="316">
        <f>+E116*F108*F109</f>
        <v>115000</v>
      </c>
      <c r="G116" s="329">
        <f t="shared" si="5"/>
        <v>115000</v>
      </c>
      <c r="H116" s="277"/>
      <c r="I116" s="281"/>
      <c r="J116" s="281"/>
    </row>
    <row r="117" spans="1:10">
      <c r="A117" s="299">
        <v>4.3</v>
      </c>
      <c r="B117" s="1180" t="s">
        <v>1939</v>
      </c>
      <c r="C117" s="1181"/>
      <c r="D117" s="1182"/>
      <c r="E117" s="316">
        <v>5000</v>
      </c>
      <c r="F117" s="316">
        <f>E117*F111*F109</f>
        <v>10000</v>
      </c>
      <c r="G117" s="329">
        <f t="shared" si="5"/>
        <v>10000</v>
      </c>
      <c r="H117" s="277"/>
      <c r="I117" s="281"/>
      <c r="J117" s="281"/>
    </row>
    <row r="118" spans="1:10">
      <c r="A118" s="299">
        <v>4.3</v>
      </c>
      <c r="B118" s="1195" t="s">
        <v>1940</v>
      </c>
      <c r="C118" s="1196"/>
      <c r="D118" s="1197"/>
      <c r="E118" s="316">
        <v>5000</v>
      </c>
      <c r="F118" s="316">
        <f>E118*1</f>
        <v>5000</v>
      </c>
      <c r="G118" s="329">
        <f t="shared" si="5"/>
        <v>5000</v>
      </c>
      <c r="H118" s="277"/>
      <c r="I118" s="281"/>
      <c r="J118" s="281"/>
    </row>
    <row r="119" spans="1:10">
      <c r="A119" s="299">
        <v>4.3</v>
      </c>
      <c r="B119" s="1180" t="s">
        <v>1926</v>
      </c>
      <c r="C119" s="1181"/>
      <c r="D119" s="1182"/>
      <c r="E119" s="316">
        <f>45000-4500</f>
        <v>40500</v>
      </c>
      <c r="F119" s="316">
        <f>E119*F111*F109</f>
        <v>81000</v>
      </c>
      <c r="G119" s="329">
        <f t="shared" si="5"/>
        <v>81000</v>
      </c>
      <c r="H119" s="277"/>
      <c r="I119" s="281"/>
      <c r="J119" s="281"/>
    </row>
    <row r="120" spans="1:10">
      <c r="A120" s="299">
        <v>4.3</v>
      </c>
      <c r="B120" s="1180" t="s">
        <v>1941</v>
      </c>
      <c r="C120" s="1181"/>
      <c r="D120" s="1182"/>
      <c r="E120" s="316">
        <v>15000</v>
      </c>
      <c r="F120" s="316">
        <f>E120*F111*F109</f>
        <v>30000</v>
      </c>
      <c r="G120" s="329">
        <f t="shared" si="5"/>
        <v>30000</v>
      </c>
      <c r="H120" s="277"/>
      <c r="I120" s="281"/>
      <c r="J120" s="281"/>
    </row>
    <row r="121" spans="1:10">
      <c r="A121" s="299">
        <v>4.3</v>
      </c>
      <c r="B121" s="1195" t="s">
        <v>1942</v>
      </c>
      <c r="C121" s="1196"/>
      <c r="D121" s="1197"/>
      <c r="E121" s="316">
        <v>6000</v>
      </c>
      <c r="F121" s="316">
        <f>E121*1</f>
        <v>6000</v>
      </c>
      <c r="G121" s="329">
        <f t="shared" si="5"/>
        <v>6000</v>
      </c>
      <c r="H121" s="277"/>
      <c r="I121" s="281"/>
      <c r="J121" s="281"/>
    </row>
    <row r="122" spans="1:10" ht="12.75" thickBot="1">
      <c r="A122" s="299">
        <v>4.4000000000000004</v>
      </c>
      <c r="B122" s="1180" t="s">
        <v>1912</v>
      </c>
      <c r="C122" s="1181"/>
      <c r="D122" s="1182"/>
      <c r="E122" s="316">
        <v>1000</v>
      </c>
      <c r="F122" s="323">
        <f>E122*F108</f>
        <v>23000</v>
      </c>
      <c r="G122" s="329">
        <f t="shared" si="5"/>
        <v>23000</v>
      </c>
      <c r="H122" s="277"/>
      <c r="I122" s="281"/>
      <c r="J122" s="281"/>
    </row>
    <row r="123" spans="1:10" ht="12.75" thickBot="1">
      <c r="A123" s="299"/>
      <c r="B123" s="1186" t="s">
        <v>209</v>
      </c>
      <c r="C123" s="1187"/>
      <c r="D123" s="1187"/>
      <c r="E123" s="1188"/>
      <c r="F123" s="324">
        <f>SUM(F113:F122)</f>
        <v>636500</v>
      </c>
      <c r="G123" s="325">
        <f>SUM(G113:G122)</f>
        <v>636500</v>
      </c>
      <c r="H123" s="349"/>
      <c r="I123" s="281"/>
      <c r="J123" s="281"/>
    </row>
    <row r="124" spans="1:10">
      <c r="G124" s="296"/>
      <c r="H124" s="277"/>
      <c r="I124" s="281"/>
      <c r="J124" s="281"/>
    </row>
    <row r="125" spans="1:10">
      <c r="A125" s="284">
        <v>5</v>
      </c>
      <c r="B125" s="1192" t="s">
        <v>1943</v>
      </c>
      <c r="C125" s="1193"/>
      <c r="D125" s="1194"/>
      <c r="E125" s="282" t="s">
        <v>1890</v>
      </c>
      <c r="F125" s="282" t="str">
        <f>F107</f>
        <v>KADUNA</v>
      </c>
      <c r="G125" s="342" t="str">
        <f>G107</f>
        <v xml:space="preserve">Total </v>
      </c>
      <c r="H125" s="277"/>
      <c r="I125" s="281"/>
      <c r="J125" s="281"/>
    </row>
    <row r="126" spans="1:10">
      <c r="A126" s="299"/>
      <c r="B126" s="1180" t="s">
        <v>1944</v>
      </c>
      <c r="C126" s="1181"/>
      <c r="D126" s="1182"/>
      <c r="E126" s="270"/>
      <c r="F126" s="328">
        <f>C22</f>
        <v>92</v>
      </c>
      <c r="G126" s="329">
        <f>SUM(F126:F126)</f>
        <v>92</v>
      </c>
      <c r="H126" s="277"/>
      <c r="I126" s="281"/>
      <c r="J126" s="281"/>
    </row>
    <row r="127" spans="1:10">
      <c r="A127" s="299"/>
      <c r="B127" s="1180" t="s">
        <v>1893</v>
      </c>
      <c r="C127" s="1181"/>
      <c r="D127" s="1182"/>
      <c r="E127" s="270"/>
      <c r="F127" s="311">
        <v>1</v>
      </c>
      <c r="G127" s="329">
        <f>SUM(F127:F127)</f>
        <v>1</v>
      </c>
      <c r="H127" s="277"/>
      <c r="I127" s="281"/>
      <c r="J127" s="281"/>
    </row>
    <row r="128" spans="1:10" ht="12.75" customHeight="1">
      <c r="A128" s="299"/>
      <c r="B128" s="307" t="s">
        <v>1930</v>
      </c>
      <c r="C128" s="308"/>
      <c r="D128" s="309"/>
      <c r="E128" s="270"/>
      <c r="F128" s="311">
        <v>3</v>
      </c>
      <c r="G128" s="329">
        <f>SUM(F128:F128)</f>
        <v>3</v>
      </c>
      <c r="H128" s="277"/>
      <c r="I128" s="281"/>
      <c r="J128" s="281"/>
    </row>
    <row r="129" spans="1:12">
      <c r="A129" s="299"/>
      <c r="B129" s="1180" t="s">
        <v>1945</v>
      </c>
      <c r="C129" s="1181"/>
      <c r="D129" s="1182"/>
      <c r="E129" s="270"/>
      <c r="F129" s="339">
        <v>10</v>
      </c>
      <c r="G129" s="329">
        <f t="shared" ref="G129:G138" si="6">SUM(F129:F129)</f>
        <v>10</v>
      </c>
      <c r="H129" s="315"/>
      <c r="I129" s="281"/>
      <c r="J129" s="281"/>
    </row>
    <row r="130" spans="1:12" ht="11.65" customHeight="1">
      <c r="A130" s="299"/>
      <c r="B130" s="1180" t="s">
        <v>1946</v>
      </c>
      <c r="C130" s="1181"/>
      <c r="D130" s="1182"/>
      <c r="E130" s="270"/>
      <c r="F130" s="339">
        <f>1+3+1+1+2</f>
        <v>8</v>
      </c>
      <c r="G130" s="329">
        <f t="shared" si="6"/>
        <v>8</v>
      </c>
      <c r="H130" s="277"/>
      <c r="I130" s="281"/>
      <c r="J130" s="281"/>
    </row>
    <row r="131" spans="1:12">
      <c r="A131" s="299">
        <v>4.4000000000000004</v>
      </c>
      <c r="B131" s="1180" t="s">
        <v>1917</v>
      </c>
      <c r="C131" s="1181"/>
      <c r="D131" s="1182"/>
      <c r="E131" s="316">
        <v>2000</v>
      </c>
      <c r="F131" s="316">
        <f>(E131*(F126+F129+F130)*F127*2)</f>
        <v>440000</v>
      </c>
      <c r="G131" s="329">
        <f t="shared" si="6"/>
        <v>440000</v>
      </c>
      <c r="H131" s="277"/>
      <c r="I131" s="281"/>
      <c r="J131" s="281"/>
    </row>
    <row r="132" spans="1:12">
      <c r="A132" s="299">
        <v>4.4000000000000004</v>
      </c>
      <c r="B132" s="1180" t="s">
        <v>1898</v>
      </c>
      <c r="C132" s="1181"/>
      <c r="D132" s="1182"/>
      <c r="E132" s="316">
        <v>4500</v>
      </c>
      <c r="F132" s="316">
        <f>(E132*(F126+F129+F130)*F127)</f>
        <v>495000</v>
      </c>
      <c r="G132" s="329">
        <f t="shared" si="6"/>
        <v>495000</v>
      </c>
      <c r="H132" s="277"/>
      <c r="I132" s="281"/>
      <c r="J132" s="281"/>
    </row>
    <row r="133" spans="1:12">
      <c r="A133" s="319">
        <v>4.4000000000000004</v>
      </c>
      <c r="B133" s="1180" t="s">
        <v>1918</v>
      </c>
      <c r="C133" s="1181"/>
      <c r="D133" s="1182"/>
      <c r="E133" s="316">
        <v>120000</v>
      </c>
      <c r="F133" s="316">
        <f>E133*F127*F128</f>
        <v>360000</v>
      </c>
      <c r="G133" s="329">
        <f t="shared" si="6"/>
        <v>360000</v>
      </c>
      <c r="H133" s="277"/>
      <c r="I133" s="281"/>
      <c r="J133" s="281"/>
    </row>
    <row r="134" spans="1:12">
      <c r="A134" s="299">
        <v>4.4000000000000004</v>
      </c>
      <c r="B134" s="1180" t="s">
        <v>1938</v>
      </c>
      <c r="C134" s="1181"/>
      <c r="D134" s="1182"/>
      <c r="E134" s="316">
        <v>5000</v>
      </c>
      <c r="F134" s="316">
        <f>+E134*F126*F127</f>
        <v>460000</v>
      </c>
      <c r="G134" s="329">
        <f t="shared" si="6"/>
        <v>460000</v>
      </c>
      <c r="H134" s="277"/>
      <c r="I134" s="281"/>
      <c r="J134" s="281"/>
    </row>
    <row r="135" spans="1:12">
      <c r="A135" s="299">
        <v>4.3</v>
      </c>
      <c r="B135" s="1180" t="s">
        <v>1926</v>
      </c>
      <c r="C135" s="1181"/>
      <c r="D135" s="1182"/>
      <c r="E135" s="316">
        <f>45000-4500</f>
        <v>40500</v>
      </c>
      <c r="F135" s="316">
        <f>(E135*F129*F127)</f>
        <v>405000</v>
      </c>
      <c r="G135" s="329">
        <f t="shared" si="6"/>
        <v>405000</v>
      </c>
      <c r="H135" s="277"/>
      <c r="I135" s="281"/>
      <c r="J135" s="281"/>
    </row>
    <row r="136" spans="1:12" ht="12.75">
      <c r="A136" s="299">
        <v>4.4000000000000004</v>
      </c>
      <c r="B136" s="350" t="s">
        <v>1947</v>
      </c>
      <c r="C136" s="351"/>
      <c r="D136" s="352"/>
      <c r="E136" s="332">
        <v>20000</v>
      </c>
      <c r="F136" s="332">
        <f>E136*F127</f>
        <v>20000</v>
      </c>
      <c r="G136" s="329">
        <f t="shared" si="6"/>
        <v>20000</v>
      </c>
      <c r="H136" s="277"/>
      <c r="I136" s="281"/>
      <c r="J136" s="281"/>
    </row>
    <row r="137" spans="1:12">
      <c r="A137" s="299">
        <v>4.3</v>
      </c>
      <c r="B137" s="1180" t="s">
        <v>1939</v>
      </c>
      <c r="C137" s="1181"/>
      <c r="D137" s="1182"/>
      <c r="E137" s="316">
        <v>5000</v>
      </c>
      <c r="F137" s="316">
        <f>(E137*F127*F129)</f>
        <v>50000</v>
      </c>
      <c r="G137" s="329">
        <f t="shared" si="6"/>
        <v>50000</v>
      </c>
      <c r="H137" s="277"/>
      <c r="I137" s="281"/>
      <c r="J137" s="281"/>
    </row>
    <row r="138" spans="1:12" ht="12" customHeight="1">
      <c r="A138" s="299">
        <v>4.3</v>
      </c>
      <c r="B138" s="1180" t="s">
        <v>1948</v>
      </c>
      <c r="C138" s="1181"/>
      <c r="D138" s="1182"/>
      <c r="E138" s="316">
        <v>15000</v>
      </c>
      <c r="F138" s="316">
        <f>(E138*F129*F127)</f>
        <v>150000</v>
      </c>
      <c r="G138" s="329">
        <f t="shared" si="6"/>
        <v>150000</v>
      </c>
      <c r="H138" s="277"/>
      <c r="I138" s="281"/>
      <c r="J138" s="281"/>
    </row>
    <row r="139" spans="1:12" ht="12.75" thickBot="1">
      <c r="A139" s="299">
        <v>4.4000000000000004</v>
      </c>
      <c r="B139" s="1198" t="s">
        <v>1912</v>
      </c>
      <c r="C139" s="1199"/>
      <c r="D139" s="1200"/>
      <c r="E139" s="332">
        <v>1000</v>
      </c>
      <c r="F139" s="353">
        <f>E139*F126</f>
        <v>92000</v>
      </c>
      <c r="G139" s="329">
        <f>SUM(F139:F139)</f>
        <v>92000</v>
      </c>
      <c r="H139" s="277"/>
      <c r="I139" s="281"/>
      <c r="J139" s="281"/>
    </row>
    <row r="140" spans="1:12" s="279" customFormat="1" ht="12.75" thickBot="1">
      <c r="A140" s="299"/>
      <c r="B140" s="1186" t="s">
        <v>209</v>
      </c>
      <c r="C140" s="1187"/>
      <c r="D140" s="1187"/>
      <c r="E140" s="1188"/>
      <c r="F140" s="324">
        <f>SUM(F131:F139)</f>
        <v>2472000</v>
      </c>
      <c r="G140" s="325">
        <f>SUM(G131:G139)</f>
        <v>2472000</v>
      </c>
      <c r="H140" s="277"/>
      <c r="I140" s="281"/>
      <c r="J140" s="281"/>
      <c r="K140" s="281"/>
      <c r="L140" s="354"/>
    </row>
    <row r="141" spans="1:12" s="279" customFormat="1">
      <c r="A141" s="299"/>
      <c r="B141" s="334"/>
      <c r="C141" s="334"/>
      <c r="D141" s="334"/>
      <c r="E141" s="335"/>
      <c r="F141" s="336"/>
      <c r="G141" s="337"/>
      <c r="H141" s="277"/>
      <c r="I141" s="281"/>
      <c r="J141" s="281"/>
      <c r="K141" s="281"/>
      <c r="L141" s="354"/>
    </row>
    <row r="142" spans="1:12" s="279" customFormat="1">
      <c r="A142" s="284">
        <v>6</v>
      </c>
      <c r="B142" s="1192" t="s">
        <v>1949</v>
      </c>
      <c r="C142" s="1193"/>
      <c r="D142" s="1194"/>
      <c r="E142" s="282" t="s">
        <v>1890</v>
      </c>
      <c r="F142" s="282" t="str">
        <f>F125</f>
        <v>KADUNA</v>
      </c>
      <c r="G142" s="342" t="str">
        <f>G125</f>
        <v xml:space="preserve">Total </v>
      </c>
      <c r="H142" s="277"/>
      <c r="I142" s="355"/>
      <c r="J142" s="355"/>
      <c r="K142" s="281"/>
      <c r="L142" s="354"/>
    </row>
    <row r="143" spans="1:12" s="279" customFormat="1">
      <c r="A143" s="299"/>
      <c r="B143" s="1180" t="s">
        <v>1950</v>
      </c>
      <c r="C143" s="1181"/>
      <c r="D143" s="1182"/>
      <c r="E143" s="270"/>
      <c r="F143" s="328">
        <v>30</v>
      </c>
      <c r="G143" s="329">
        <f>SUM(F143:F143)</f>
        <v>30</v>
      </c>
      <c r="H143" s="277"/>
      <c r="I143" s="356"/>
      <c r="J143" s="356"/>
      <c r="K143" s="281"/>
      <c r="L143" s="354"/>
    </row>
    <row r="144" spans="1:12" s="279" customFormat="1">
      <c r="A144" s="299"/>
      <c r="B144" s="1180" t="s">
        <v>1893</v>
      </c>
      <c r="C144" s="1181"/>
      <c r="D144" s="1182"/>
      <c r="E144" s="270"/>
      <c r="F144" s="311">
        <v>1</v>
      </c>
      <c r="G144" s="329">
        <v>1</v>
      </c>
      <c r="H144" s="277"/>
      <c r="I144" s="281"/>
      <c r="J144" s="281"/>
      <c r="K144" s="281"/>
      <c r="L144" s="354"/>
    </row>
    <row r="145" spans="1:18" s="279" customFormat="1">
      <c r="A145" s="299"/>
      <c r="B145" s="1180" t="s">
        <v>1951</v>
      </c>
      <c r="C145" s="1181"/>
      <c r="D145" s="1182"/>
      <c r="E145" s="270"/>
      <c r="F145" s="328">
        <f>2+4+1</f>
        <v>7</v>
      </c>
      <c r="G145" s="329">
        <f t="shared" ref="G145:G154" si="7">SUM(F145:F145)</f>
        <v>7</v>
      </c>
      <c r="H145" s="315"/>
      <c r="I145" s="281"/>
      <c r="J145" s="281"/>
      <c r="K145" s="281"/>
      <c r="L145" s="354"/>
    </row>
    <row r="146" spans="1:18" s="279" customFormat="1">
      <c r="A146" s="299"/>
      <c r="B146" s="1180" t="s">
        <v>1952</v>
      </c>
      <c r="C146" s="1181"/>
      <c r="D146" s="1182"/>
      <c r="E146" s="270"/>
      <c r="F146" s="328">
        <v>4</v>
      </c>
      <c r="G146" s="329">
        <f t="shared" si="7"/>
        <v>4</v>
      </c>
      <c r="H146" s="277"/>
      <c r="I146" s="281"/>
      <c r="J146" s="281"/>
      <c r="K146" s="281"/>
      <c r="L146" s="354"/>
    </row>
    <row r="147" spans="1:18" s="279" customFormat="1">
      <c r="A147" s="299">
        <v>4.4000000000000004</v>
      </c>
      <c r="B147" s="1180" t="s">
        <v>1898</v>
      </c>
      <c r="C147" s="1181"/>
      <c r="D147" s="1182"/>
      <c r="E147" s="316">
        <v>4500</v>
      </c>
      <c r="F147" s="316">
        <f>$E$147*(F143+F145+F146)*F144</f>
        <v>184500</v>
      </c>
      <c r="G147" s="329">
        <f t="shared" si="7"/>
        <v>184500</v>
      </c>
      <c r="H147" s="277"/>
      <c r="I147" s="281"/>
      <c r="J147" s="281"/>
      <c r="K147" s="281"/>
      <c r="L147" s="354"/>
    </row>
    <row r="148" spans="1:18" s="279" customFormat="1">
      <c r="A148" s="299">
        <v>4.4000000000000004</v>
      </c>
      <c r="B148" s="1180" t="s">
        <v>1953</v>
      </c>
      <c r="C148" s="1181"/>
      <c r="D148" s="1182"/>
      <c r="E148" s="316">
        <v>120000</v>
      </c>
      <c r="F148" s="316">
        <f>$E$148*F144</f>
        <v>120000</v>
      </c>
      <c r="G148" s="329">
        <f t="shared" si="7"/>
        <v>120000</v>
      </c>
      <c r="H148" s="277"/>
      <c r="I148" s="277"/>
      <c r="J148" s="277"/>
      <c r="K148" s="281"/>
      <c r="L148" s="354"/>
    </row>
    <row r="149" spans="1:18" s="279" customFormat="1">
      <c r="A149" s="299">
        <v>4.4000000000000004</v>
      </c>
      <c r="B149" s="1180" t="s">
        <v>1903</v>
      </c>
      <c r="C149" s="1181"/>
      <c r="D149" s="1182"/>
      <c r="E149" s="316">
        <v>5000</v>
      </c>
      <c r="F149" s="316">
        <f>+$E$149*F143*F144</f>
        <v>150000</v>
      </c>
      <c r="G149" s="329">
        <f t="shared" si="7"/>
        <v>150000</v>
      </c>
      <c r="H149" s="277"/>
      <c r="I149" s="277"/>
      <c r="J149" s="277"/>
      <c r="K149" s="281"/>
      <c r="L149" s="354"/>
    </row>
    <row r="150" spans="1:18" s="279" customFormat="1">
      <c r="A150" s="299">
        <v>4.3</v>
      </c>
      <c r="B150" s="1180" t="s">
        <v>1926</v>
      </c>
      <c r="C150" s="1181"/>
      <c r="D150" s="1182"/>
      <c r="E150" s="316">
        <f>45000-4500</f>
        <v>40500</v>
      </c>
      <c r="F150" s="316">
        <f>$E$150*(F144)*F145</f>
        <v>283500</v>
      </c>
      <c r="G150" s="329">
        <f t="shared" si="7"/>
        <v>283500</v>
      </c>
      <c r="H150" s="277"/>
      <c r="I150" s="277"/>
      <c r="J150" s="277"/>
      <c r="K150" s="281"/>
      <c r="L150" s="354"/>
    </row>
    <row r="151" spans="1:18" s="279" customFormat="1">
      <c r="A151" s="299">
        <v>4.3</v>
      </c>
      <c r="B151" s="1180" t="s">
        <v>1954</v>
      </c>
      <c r="C151" s="1181"/>
      <c r="D151" s="1182"/>
      <c r="E151" s="316">
        <v>5000</v>
      </c>
      <c r="F151" s="316">
        <f>$E$151*F144*(F145)</f>
        <v>35000</v>
      </c>
      <c r="G151" s="329">
        <f t="shared" si="7"/>
        <v>35000</v>
      </c>
      <c r="H151" s="277"/>
      <c r="I151" s="277"/>
      <c r="J151" s="277"/>
      <c r="K151" s="281"/>
      <c r="L151" s="354"/>
    </row>
    <row r="152" spans="1:18" s="279" customFormat="1">
      <c r="A152" s="299">
        <v>4.3</v>
      </c>
      <c r="B152" s="1201" t="s">
        <v>1942</v>
      </c>
      <c r="C152" s="1202"/>
      <c r="D152" s="1203"/>
      <c r="E152" s="357">
        <v>6000</v>
      </c>
      <c r="F152" s="357">
        <f>E152*1</f>
        <v>6000</v>
      </c>
      <c r="G152" s="329">
        <f t="shared" si="7"/>
        <v>6000</v>
      </c>
      <c r="H152" s="277"/>
      <c r="I152" s="277"/>
      <c r="J152" s="277"/>
      <c r="K152" s="281"/>
      <c r="L152" s="354"/>
    </row>
    <row r="153" spans="1:18" s="279" customFormat="1">
      <c r="A153" s="299">
        <v>4.3</v>
      </c>
      <c r="B153" s="1180" t="s">
        <v>1955</v>
      </c>
      <c r="C153" s="1181"/>
      <c r="D153" s="1182"/>
      <c r="E153" s="316">
        <v>15000</v>
      </c>
      <c r="F153" s="316">
        <f>$E$153*F144*F145</f>
        <v>105000</v>
      </c>
      <c r="G153" s="329">
        <f t="shared" si="7"/>
        <v>105000</v>
      </c>
      <c r="H153" s="277"/>
      <c r="I153" s="277"/>
      <c r="J153" s="277"/>
      <c r="K153" s="281"/>
      <c r="L153" s="354"/>
    </row>
    <row r="154" spans="1:18" s="279" customFormat="1" ht="12.75" thickBot="1">
      <c r="A154" s="299">
        <v>4.4000000000000004</v>
      </c>
      <c r="B154" s="1180" t="s">
        <v>1912</v>
      </c>
      <c r="C154" s="1181"/>
      <c r="D154" s="1182"/>
      <c r="E154" s="316">
        <v>1000</v>
      </c>
      <c r="F154" s="316">
        <f>+$E$154*F143</f>
        <v>30000</v>
      </c>
      <c r="G154" s="329">
        <f t="shared" si="7"/>
        <v>30000</v>
      </c>
      <c r="H154" s="277"/>
      <c r="I154" s="277"/>
      <c r="J154" s="277"/>
      <c r="K154" s="281"/>
      <c r="L154" s="354"/>
    </row>
    <row r="155" spans="1:18" s="279" customFormat="1" ht="12.75" thickBot="1">
      <c r="A155" s="299"/>
      <c r="B155" s="1186" t="s">
        <v>209</v>
      </c>
      <c r="C155" s="1187"/>
      <c r="D155" s="1187"/>
      <c r="E155" s="1188"/>
      <c r="F155" s="324">
        <f>SUM(F147:F154)</f>
        <v>914000</v>
      </c>
      <c r="G155" s="325">
        <f>SUM(G147:G154)</f>
        <v>914000</v>
      </c>
      <c r="H155" s="349"/>
      <c r="I155" s="277"/>
      <c r="J155" s="277"/>
      <c r="K155" s="281"/>
      <c r="L155" s="354"/>
    </row>
    <row r="156" spans="1:18" s="289" customFormat="1">
      <c r="A156" s="277"/>
      <c r="B156" s="277"/>
      <c r="C156" s="279"/>
      <c r="D156" s="279"/>
      <c r="E156" s="279"/>
      <c r="F156" s="277"/>
      <c r="G156" s="277"/>
      <c r="H156" s="281"/>
      <c r="I156" s="277"/>
      <c r="J156" s="277"/>
      <c r="K156" s="281"/>
      <c r="L156" s="358"/>
      <c r="M156" s="291"/>
      <c r="N156" s="358"/>
      <c r="P156" s="359"/>
      <c r="R156" s="359"/>
    </row>
    <row r="157" spans="1:18" s="365" customFormat="1">
      <c r="A157" s="284">
        <v>7</v>
      </c>
      <c r="B157" s="1204" t="s">
        <v>1956</v>
      </c>
      <c r="C157" s="1205"/>
      <c r="D157" s="1206"/>
      <c r="E157" s="282" t="s">
        <v>1890</v>
      </c>
      <c r="F157" s="282" t="str">
        <f>F142</f>
        <v>KADUNA</v>
      </c>
      <c r="G157" s="342" t="s">
        <v>209</v>
      </c>
      <c r="H157" s="360"/>
      <c r="I157" s="277"/>
      <c r="J157" s="277"/>
      <c r="K157" s="281"/>
      <c r="L157" s="361"/>
      <c r="M157" s="362"/>
      <c r="N157" s="361"/>
      <c r="O157" s="362"/>
      <c r="P157" s="363"/>
      <c r="Q157" s="288"/>
      <c r="R157" s="364"/>
    </row>
    <row r="158" spans="1:18" s="279" customFormat="1" ht="12.75" customHeight="1">
      <c r="A158" s="277"/>
      <c r="B158" s="1195" t="s">
        <v>1957</v>
      </c>
      <c r="C158" s="1196"/>
      <c r="D158" s="1197"/>
      <c r="E158" s="270"/>
      <c r="F158" s="366">
        <f>C3</f>
        <v>23</v>
      </c>
      <c r="G158" s="367">
        <f>SUM(F158:F158)</f>
        <v>23</v>
      </c>
      <c r="H158" s="277"/>
      <c r="I158" s="277"/>
      <c r="J158" s="277"/>
      <c r="K158" s="281"/>
      <c r="L158" s="361"/>
    </row>
    <row r="159" spans="1:18" s="279" customFormat="1">
      <c r="A159" s="277"/>
      <c r="B159" s="1195" t="s">
        <v>1893</v>
      </c>
      <c r="C159" s="1196"/>
      <c r="D159" s="1197"/>
      <c r="E159" s="270"/>
      <c r="F159" s="270">
        <v>1</v>
      </c>
      <c r="G159" s="367">
        <v>1</v>
      </c>
      <c r="H159" s="277"/>
      <c r="I159" s="277"/>
      <c r="J159" s="277"/>
      <c r="K159" s="281"/>
      <c r="L159" s="368"/>
    </row>
    <row r="160" spans="1:18" s="279" customFormat="1">
      <c r="A160" s="277"/>
      <c r="B160" s="1195" t="s">
        <v>1958</v>
      </c>
      <c r="C160" s="1196"/>
      <c r="D160" s="1197"/>
      <c r="E160" s="270"/>
      <c r="F160" s="316">
        <v>2</v>
      </c>
      <c r="G160" s="367">
        <f t="shared" ref="G160:G169" si="8">SUM(F160:F160)</f>
        <v>2</v>
      </c>
      <c r="H160" s="277"/>
      <c r="I160" s="277"/>
      <c r="J160" s="277"/>
      <c r="K160" s="281"/>
      <c r="L160" s="368"/>
    </row>
    <row r="161" spans="1:18" s="279" customFormat="1">
      <c r="A161" s="277"/>
      <c r="B161" s="1195" t="s">
        <v>1959</v>
      </c>
      <c r="C161" s="1196"/>
      <c r="D161" s="1197"/>
      <c r="E161" s="270"/>
      <c r="F161" s="366">
        <v>1</v>
      </c>
      <c r="G161" s="367">
        <f t="shared" si="8"/>
        <v>1</v>
      </c>
      <c r="H161" s="277"/>
      <c r="I161" s="277"/>
      <c r="J161" s="277"/>
      <c r="K161" s="281"/>
      <c r="L161" s="368"/>
    </row>
    <row r="162" spans="1:18" s="279" customFormat="1">
      <c r="A162" s="277"/>
      <c r="B162" s="1195" t="s">
        <v>1960</v>
      </c>
      <c r="C162" s="1196"/>
      <c r="D162" s="1197"/>
      <c r="E162" s="270"/>
      <c r="F162" s="366">
        <v>3</v>
      </c>
      <c r="G162" s="367">
        <f t="shared" si="8"/>
        <v>3</v>
      </c>
      <c r="H162" s="277"/>
      <c r="I162" s="277"/>
      <c r="J162" s="277"/>
      <c r="K162" s="281"/>
      <c r="L162" s="361"/>
    </row>
    <row r="163" spans="1:18" s="279" customFormat="1">
      <c r="A163" s="299">
        <v>4.4000000000000004</v>
      </c>
      <c r="B163" s="1195" t="s">
        <v>1898</v>
      </c>
      <c r="C163" s="1196"/>
      <c r="D163" s="1197"/>
      <c r="E163" s="316">
        <v>4500</v>
      </c>
      <c r="F163" s="316">
        <f>+$E$163*(F158+F160+F161+F162)*F159</f>
        <v>130500</v>
      </c>
      <c r="G163" s="367">
        <f t="shared" si="8"/>
        <v>130500</v>
      </c>
      <c r="H163" s="277"/>
      <c r="I163" s="277"/>
      <c r="J163" s="277"/>
      <c r="K163" s="281"/>
      <c r="L163" s="368"/>
    </row>
    <row r="164" spans="1:18" s="279" customFormat="1">
      <c r="A164" s="299">
        <v>4.4000000000000004</v>
      </c>
      <c r="B164" s="1195" t="s">
        <v>1961</v>
      </c>
      <c r="C164" s="1196"/>
      <c r="D164" s="1197"/>
      <c r="E164" s="316">
        <v>5000</v>
      </c>
      <c r="F164" s="316">
        <f>+$E$164*F158*F159</f>
        <v>115000</v>
      </c>
      <c r="G164" s="367">
        <f t="shared" si="8"/>
        <v>115000</v>
      </c>
      <c r="H164" s="277"/>
      <c r="I164" s="277"/>
      <c r="J164" s="277"/>
      <c r="K164" s="281"/>
      <c r="L164" s="368"/>
    </row>
    <row r="165" spans="1:18" s="279" customFormat="1">
      <c r="A165" s="299">
        <v>4.3</v>
      </c>
      <c r="B165" s="1195" t="s">
        <v>1962</v>
      </c>
      <c r="C165" s="1196"/>
      <c r="D165" s="1197"/>
      <c r="E165" s="316">
        <v>5000</v>
      </c>
      <c r="F165" s="316">
        <f>$E$165*F161*F159</f>
        <v>5000</v>
      </c>
      <c r="G165" s="367">
        <f t="shared" si="8"/>
        <v>5000</v>
      </c>
      <c r="H165" s="277"/>
      <c r="I165" s="277"/>
      <c r="J165" s="277"/>
      <c r="K165" s="281"/>
      <c r="L165" s="368"/>
    </row>
    <row r="166" spans="1:18" s="279" customFormat="1">
      <c r="A166" s="299">
        <v>4.3</v>
      </c>
      <c r="B166" s="1195" t="s">
        <v>1963</v>
      </c>
      <c r="C166" s="1196"/>
      <c r="D166" s="1197"/>
      <c r="E166" s="316">
        <v>5000</v>
      </c>
      <c r="F166" s="316">
        <f>$E$166*F160*F159</f>
        <v>10000</v>
      </c>
      <c r="G166" s="367">
        <f t="shared" si="8"/>
        <v>10000</v>
      </c>
      <c r="H166" s="277"/>
      <c r="I166" s="277"/>
      <c r="J166" s="277"/>
      <c r="K166" s="281"/>
      <c r="L166" s="361"/>
    </row>
    <row r="167" spans="1:18">
      <c r="A167" s="299">
        <v>4.3</v>
      </c>
      <c r="B167" s="346" t="s">
        <v>1964</v>
      </c>
      <c r="C167" s="347"/>
      <c r="D167" s="348"/>
      <c r="E167" s="316">
        <f>45000-4500</f>
        <v>40500</v>
      </c>
      <c r="F167" s="316">
        <f>$E$167*F159*F160</f>
        <v>81000</v>
      </c>
      <c r="G167" s="367">
        <f t="shared" si="8"/>
        <v>81000</v>
      </c>
      <c r="H167" s="277"/>
      <c r="L167" s="361"/>
      <c r="N167" s="277"/>
      <c r="P167" s="277"/>
      <c r="R167" s="277"/>
    </row>
    <row r="168" spans="1:18">
      <c r="A168" s="299">
        <v>4.3</v>
      </c>
      <c r="B168" s="1195" t="s">
        <v>1965</v>
      </c>
      <c r="C168" s="1196"/>
      <c r="D168" s="1197"/>
      <c r="E168" s="316">
        <v>6000</v>
      </c>
      <c r="F168" s="316">
        <f>$E$168*F159*F161</f>
        <v>6000</v>
      </c>
      <c r="G168" s="367">
        <f t="shared" si="8"/>
        <v>6000</v>
      </c>
      <c r="H168" s="277"/>
      <c r="L168" s="361"/>
      <c r="N168" s="277"/>
      <c r="P168" s="277"/>
      <c r="R168" s="277"/>
    </row>
    <row r="169" spans="1:18" ht="11.65" customHeight="1" thickBot="1">
      <c r="A169" s="299">
        <v>4.3</v>
      </c>
      <c r="B169" s="1195" t="s">
        <v>1966</v>
      </c>
      <c r="C169" s="1196"/>
      <c r="D169" s="1197"/>
      <c r="E169" s="316">
        <v>15000</v>
      </c>
      <c r="F169" s="316">
        <f>$E$169*F159*F160</f>
        <v>30000</v>
      </c>
      <c r="G169" s="367">
        <f t="shared" si="8"/>
        <v>30000</v>
      </c>
      <c r="H169" s="277"/>
      <c r="L169" s="361"/>
      <c r="N169" s="277"/>
      <c r="P169" s="277"/>
      <c r="R169" s="277"/>
    </row>
    <row r="170" spans="1:18" ht="12.75" thickBot="1">
      <c r="B170" s="1207" t="s">
        <v>1967</v>
      </c>
      <c r="C170" s="1208"/>
      <c r="D170" s="1208"/>
      <c r="E170" s="1209"/>
      <c r="F170" s="324">
        <f>SUM(F163:F169)</f>
        <v>377500</v>
      </c>
      <c r="G170" s="369">
        <f>SUM(G163:G169)</f>
        <v>377500</v>
      </c>
      <c r="H170" s="296"/>
      <c r="L170" s="361"/>
      <c r="N170" s="277"/>
      <c r="P170" s="277"/>
      <c r="R170" s="277"/>
    </row>
    <row r="171" spans="1:18" ht="15.75" customHeight="1">
      <c r="G171" s="281"/>
      <c r="H171" s="277"/>
      <c r="I171" s="281"/>
      <c r="J171" s="281"/>
      <c r="L171" s="361"/>
      <c r="N171" s="277"/>
      <c r="P171" s="277"/>
      <c r="R171" s="277"/>
    </row>
    <row r="172" spans="1:18" ht="15.75" customHeight="1">
      <c r="A172" s="284">
        <v>8</v>
      </c>
      <c r="B172" s="1204" t="s">
        <v>1968</v>
      </c>
      <c r="C172" s="1205"/>
      <c r="D172" s="1206"/>
      <c r="E172" s="282" t="s">
        <v>1890</v>
      </c>
      <c r="F172" s="282" t="str">
        <f>F157</f>
        <v>KADUNA</v>
      </c>
      <c r="G172" s="342" t="s">
        <v>209</v>
      </c>
      <c r="H172" s="277"/>
      <c r="I172" s="281"/>
      <c r="J172" s="281"/>
      <c r="L172" s="361"/>
      <c r="N172" s="277"/>
      <c r="P172" s="277"/>
      <c r="R172" s="277"/>
    </row>
    <row r="173" spans="1:18" ht="12" customHeight="1">
      <c r="B173" s="1195" t="s">
        <v>1969</v>
      </c>
      <c r="C173" s="1196"/>
      <c r="D173" s="1197"/>
      <c r="E173" s="270"/>
      <c r="F173" s="366">
        <f>C17+C18</f>
        <v>9</v>
      </c>
      <c r="G173" s="367">
        <f>SUM(F173:F173)</f>
        <v>9</v>
      </c>
      <c r="H173" s="277"/>
      <c r="I173" s="281"/>
      <c r="J173" s="281"/>
      <c r="L173" s="361"/>
      <c r="N173" s="277"/>
      <c r="P173" s="277"/>
      <c r="R173" s="277"/>
    </row>
    <row r="174" spans="1:18" ht="12" customHeight="1">
      <c r="B174" s="1195" t="s">
        <v>1893</v>
      </c>
      <c r="C174" s="1196"/>
      <c r="D174" s="1197"/>
      <c r="E174" s="270"/>
      <c r="F174" s="270">
        <v>1</v>
      </c>
      <c r="G174" s="367">
        <v>1</v>
      </c>
      <c r="H174" s="277"/>
      <c r="I174" s="281"/>
      <c r="J174" s="281"/>
      <c r="L174" s="361"/>
      <c r="N174" s="277"/>
      <c r="P174" s="277"/>
      <c r="R174" s="277"/>
    </row>
    <row r="175" spans="1:18" ht="12" customHeight="1">
      <c r="B175" s="1195" t="s">
        <v>1958</v>
      </c>
      <c r="C175" s="1196"/>
      <c r="D175" s="1197"/>
      <c r="E175" s="270"/>
      <c r="F175" s="316">
        <v>2</v>
      </c>
      <c r="G175" s="367">
        <f t="shared" ref="G175:G185" si="9">SUM(F175:F175)</f>
        <v>2</v>
      </c>
      <c r="H175" s="277"/>
      <c r="I175" s="281"/>
      <c r="J175" s="281"/>
      <c r="L175" s="361"/>
      <c r="N175" s="277"/>
      <c r="P175" s="277"/>
      <c r="R175" s="277"/>
    </row>
    <row r="176" spans="1:18" ht="12" customHeight="1">
      <c r="B176" s="1195" t="s">
        <v>1959</v>
      </c>
      <c r="C176" s="1196"/>
      <c r="D176" s="1197"/>
      <c r="E176" s="270"/>
      <c r="F176" s="366">
        <v>1</v>
      </c>
      <c r="G176" s="367">
        <f t="shared" si="9"/>
        <v>1</v>
      </c>
      <c r="H176" s="277"/>
      <c r="I176" s="281"/>
      <c r="J176" s="281"/>
      <c r="L176" s="361"/>
      <c r="N176" s="277"/>
      <c r="P176" s="277"/>
      <c r="R176" s="277"/>
    </row>
    <row r="177" spans="1:18" ht="12" customHeight="1">
      <c r="B177" s="1195" t="s">
        <v>1970</v>
      </c>
      <c r="C177" s="1196"/>
      <c r="D177" s="1197"/>
      <c r="E177" s="270"/>
      <c r="F177" s="366">
        <f>1+1</f>
        <v>2</v>
      </c>
      <c r="G177" s="367">
        <f t="shared" si="9"/>
        <v>2</v>
      </c>
      <c r="H177" s="277"/>
      <c r="I177" s="281"/>
      <c r="J177" s="281"/>
      <c r="L177" s="361"/>
      <c r="N177" s="277"/>
      <c r="P177" s="277"/>
      <c r="R177" s="277"/>
    </row>
    <row r="178" spans="1:18" ht="12" customHeight="1">
      <c r="A178" s="299">
        <v>4.4000000000000004</v>
      </c>
      <c r="B178" s="1195" t="s">
        <v>1917</v>
      </c>
      <c r="C178" s="1196"/>
      <c r="D178" s="1197"/>
      <c r="E178" s="295">
        <v>2000</v>
      </c>
      <c r="F178" s="316">
        <f>E178*2*F174*(F173+F175+F176+F177)</f>
        <v>56000</v>
      </c>
      <c r="G178" s="367">
        <f t="shared" si="9"/>
        <v>56000</v>
      </c>
      <c r="H178" s="277"/>
      <c r="I178" s="281"/>
      <c r="J178" s="281"/>
      <c r="L178" s="361"/>
      <c r="N178" s="277"/>
      <c r="P178" s="277"/>
      <c r="R178" s="277"/>
    </row>
    <row r="179" spans="1:18" ht="12" customHeight="1">
      <c r="A179" s="299">
        <v>4.4000000000000004</v>
      </c>
      <c r="B179" s="1195" t="s">
        <v>1898</v>
      </c>
      <c r="C179" s="1196"/>
      <c r="D179" s="1197"/>
      <c r="E179" s="316">
        <v>4500</v>
      </c>
      <c r="F179" s="316">
        <f>E179*F174*(F173+F175+F176+F177)</f>
        <v>63000</v>
      </c>
      <c r="G179" s="367">
        <f t="shared" si="9"/>
        <v>63000</v>
      </c>
      <c r="H179" s="277"/>
      <c r="I179" s="281"/>
      <c r="J179" s="281"/>
      <c r="L179" s="361"/>
      <c r="N179" s="277"/>
      <c r="P179" s="277"/>
      <c r="R179" s="277"/>
    </row>
    <row r="180" spans="1:18" ht="12" customHeight="1">
      <c r="A180" s="299">
        <v>4.4000000000000004</v>
      </c>
      <c r="B180" s="1195" t="s">
        <v>1971</v>
      </c>
      <c r="C180" s="1196"/>
      <c r="D180" s="1197"/>
      <c r="E180" s="316">
        <v>5000</v>
      </c>
      <c r="F180" s="316">
        <f>E180*F173*F174</f>
        <v>45000</v>
      </c>
      <c r="G180" s="367">
        <f t="shared" si="9"/>
        <v>45000</v>
      </c>
      <c r="H180" s="277"/>
      <c r="I180" s="281"/>
      <c r="J180" s="281"/>
      <c r="L180" s="361"/>
      <c r="N180" s="277"/>
      <c r="P180" s="277"/>
      <c r="R180" s="277"/>
    </row>
    <row r="181" spans="1:18" ht="12" customHeight="1">
      <c r="A181" s="299">
        <v>4.3</v>
      </c>
      <c r="B181" s="1195" t="s">
        <v>1962</v>
      </c>
      <c r="C181" s="1196"/>
      <c r="D181" s="1197"/>
      <c r="E181" s="316">
        <v>5000</v>
      </c>
      <c r="F181" s="316">
        <f>E181*F174*F176</f>
        <v>5000</v>
      </c>
      <c r="G181" s="367">
        <f t="shared" si="9"/>
        <v>5000</v>
      </c>
      <c r="H181" s="277"/>
      <c r="I181" s="281"/>
      <c r="J181" s="281"/>
      <c r="L181" s="361"/>
      <c r="N181" s="277"/>
      <c r="P181" s="277"/>
      <c r="R181" s="277"/>
    </row>
    <row r="182" spans="1:18" ht="12" customHeight="1">
      <c r="A182" s="299">
        <v>4.3</v>
      </c>
      <c r="B182" s="1195" t="s">
        <v>1963</v>
      </c>
      <c r="C182" s="1196"/>
      <c r="D182" s="1197"/>
      <c r="E182" s="316">
        <v>5000</v>
      </c>
      <c r="F182" s="316">
        <f>E182*F175*F174</f>
        <v>10000</v>
      </c>
      <c r="G182" s="367">
        <f t="shared" si="9"/>
        <v>10000</v>
      </c>
      <c r="H182" s="277"/>
      <c r="I182" s="281"/>
      <c r="J182" s="281"/>
      <c r="L182" s="361"/>
      <c r="N182" s="277"/>
      <c r="P182" s="277"/>
      <c r="R182" s="277"/>
    </row>
    <row r="183" spans="1:18" ht="12" customHeight="1">
      <c r="A183" s="299">
        <v>4.3</v>
      </c>
      <c r="B183" s="346" t="s">
        <v>1964</v>
      </c>
      <c r="C183" s="347"/>
      <c r="D183" s="348"/>
      <c r="E183" s="316">
        <f>45000-4500</f>
        <v>40500</v>
      </c>
      <c r="F183" s="316">
        <f>E183*F175*F174</f>
        <v>81000</v>
      </c>
      <c r="G183" s="367">
        <f t="shared" si="9"/>
        <v>81000</v>
      </c>
      <c r="H183" s="277"/>
      <c r="I183" s="281"/>
      <c r="J183" s="281"/>
      <c r="L183" s="361"/>
      <c r="N183" s="277"/>
      <c r="P183" s="277"/>
      <c r="R183" s="277"/>
    </row>
    <row r="184" spans="1:18" ht="12" customHeight="1">
      <c r="A184" s="299">
        <v>4.3</v>
      </c>
      <c r="B184" s="1195" t="s">
        <v>1965</v>
      </c>
      <c r="C184" s="1196"/>
      <c r="D184" s="1197"/>
      <c r="E184" s="316">
        <v>6000</v>
      </c>
      <c r="F184" s="316">
        <f>E184*F174*F176</f>
        <v>6000</v>
      </c>
      <c r="G184" s="367">
        <f t="shared" si="9"/>
        <v>6000</v>
      </c>
      <c r="H184" s="277"/>
      <c r="I184" s="281"/>
      <c r="J184" s="281"/>
      <c r="L184" s="361"/>
      <c r="N184" s="277"/>
      <c r="P184" s="277"/>
      <c r="R184" s="277"/>
    </row>
    <row r="185" spans="1:18" ht="12" customHeight="1" thickBot="1">
      <c r="A185" s="299">
        <v>4.3</v>
      </c>
      <c r="B185" s="1195" t="s">
        <v>1966</v>
      </c>
      <c r="C185" s="1196"/>
      <c r="D185" s="1197"/>
      <c r="E185" s="316">
        <v>15000</v>
      </c>
      <c r="F185" s="316">
        <f>E185*F174*F175</f>
        <v>30000</v>
      </c>
      <c r="G185" s="367">
        <f t="shared" si="9"/>
        <v>30000</v>
      </c>
      <c r="H185" s="277"/>
      <c r="I185" s="281"/>
      <c r="J185" s="281"/>
      <c r="L185" s="361"/>
      <c r="N185" s="277"/>
      <c r="P185" s="277"/>
      <c r="R185" s="277"/>
    </row>
    <row r="186" spans="1:18" ht="12.75" thickBot="1">
      <c r="B186" s="1207" t="s">
        <v>1967</v>
      </c>
      <c r="C186" s="1208"/>
      <c r="D186" s="1208"/>
      <c r="E186" s="1209"/>
      <c r="F186" s="324">
        <f>SUM(F178:F185)</f>
        <v>296000</v>
      </c>
      <c r="G186" s="369">
        <f>SUM(G178:G185)</f>
        <v>296000</v>
      </c>
      <c r="H186" s="277"/>
      <c r="I186" s="281"/>
      <c r="J186" s="281"/>
      <c r="L186" s="361"/>
      <c r="N186" s="277"/>
      <c r="P186" s="277"/>
      <c r="R186" s="277"/>
    </row>
    <row r="187" spans="1:18">
      <c r="C187" s="277"/>
      <c r="D187" s="277"/>
      <c r="E187" s="277"/>
      <c r="G187" s="277"/>
      <c r="H187" s="277"/>
      <c r="I187" s="281"/>
      <c r="J187" s="281"/>
      <c r="L187" s="361"/>
      <c r="N187" s="277"/>
      <c r="P187" s="277"/>
      <c r="R187" s="277"/>
    </row>
    <row r="188" spans="1:18">
      <c r="A188" s="370">
        <v>9</v>
      </c>
      <c r="B188" s="1204" t="s">
        <v>1972</v>
      </c>
      <c r="C188" s="1205"/>
      <c r="D188" s="1206"/>
      <c r="E188" s="282" t="s">
        <v>1890</v>
      </c>
      <c r="F188" s="282" t="str">
        <f>F172</f>
        <v>KADUNA</v>
      </c>
      <c r="G188" s="342" t="s">
        <v>209</v>
      </c>
      <c r="H188" s="277"/>
      <c r="I188" s="281"/>
      <c r="J188" s="281"/>
      <c r="L188" s="361"/>
      <c r="N188" s="277"/>
      <c r="P188" s="277"/>
      <c r="R188" s="277"/>
    </row>
    <row r="189" spans="1:18">
      <c r="B189" s="1195" t="s">
        <v>1973</v>
      </c>
      <c r="C189" s="1196"/>
      <c r="D189" s="1197"/>
      <c r="E189" s="270"/>
      <c r="F189" s="366">
        <v>30</v>
      </c>
      <c r="G189" s="367">
        <f>SUM(F189:F189)</f>
        <v>30</v>
      </c>
      <c r="H189" s="277"/>
      <c r="I189" s="281"/>
      <c r="J189" s="281"/>
      <c r="L189" s="361"/>
      <c r="N189" s="277"/>
      <c r="P189" s="277"/>
      <c r="R189" s="277"/>
    </row>
    <row r="190" spans="1:18">
      <c r="B190" s="1195" t="s">
        <v>1893</v>
      </c>
      <c r="C190" s="1196"/>
      <c r="D190" s="1197"/>
      <c r="E190" s="270"/>
      <c r="F190" s="270">
        <v>1</v>
      </c>
      <c r="G190" s="367">
        <v>1</v>
      </c>
      <c r="H190" s="277"/>
      <c r="I190" s="281"/>
      <c r="J190" s="281"/>
      <c r="L190" s="361"/>
      <c r="N190" s="277"/>
      <c r="P190" s="277"/>
      <c r="R190" s="277"/>
    </row>
    <row r="191" spans="1:18">
      <c r="B191" s="1195" t="s">
        <v>1974</v>
      </c>
      <c r="C191" s="1196"/>
      <c r="D191" s="1197"/>
      <c r="E191" s="270"/>
      <c r="F191" s="371">
        <v>10</v>
      </c>
      <c r="G191" s="367">
        <f t="shared" ref="G191:G198" si="10">SUM(F191:F191)</f>
        <v>10</v>
      </c>
      <c r="H191" s="315"/>
      <c r="I191" s="281"/>
      <c r="J191" s="281"/>
      <c r="L191" s="361"/>
      <c r="N191" s="277"/>
      <c r="P191" s="277"/>
      <c r="R191" s="277"/>
    </row>
    <row r="192" spans="1:18">
      <c r="B192" s="1195" t="s">
        <v>1975</v>
      </c>
      <c r="C192" s="1196"/>
      <c r="D192" s="1197"/>
      <c r="E192" s="270"/>
      <c r="F192" s="366">
        <v>9</v>
      </c>
      <c r="G192" s="367">
        <f t="shared" si="10"/>
        <v>9</v>
      </c>
      <c r="H192" s="315"/>
      <c r="I192" s="281"/>
      <c r="J192" s="281"/>
      <c r="L192" s="361"/>
      <c r="N192" s="277"/>
      <c r="P192" s="277"/>
      <c r="R192" s="277"/>
    </row>
    <row r="193" spans="1:18">
      <c r="A193" s="299">
        <v>4.4000000000000004</v>
      </c>
      <c r="B193" s="346" t="s">
        <v>1917</v>
      </c>
      <c r="C193" s="347"/>
      <c r="D193" s="348"/>
      <c r="E193" s="295">
        <v>2000</v>
      </c>
      <c r="F193" s="316">
        <f>E193*(F189+F191+F192)*F190*2</f>
        <v>196000</v>
      </c>
      <c r="G193" s="367">
        <f t="shared" si="10"/>
        <v>196000</v>
      </c>
      <c r="H193" s="277"/>
      <c r="I193" s="281"/>
      <c r="J193" s="281"/>
      <c r="L193" s="361"/>
      <c r="N193" s="277"/>
      <c r="P193" s="277"/>
      <c r="R193" s="277"/>
    </row>
    <row r="194" spans="1:18">
      <c r="A194" s="299">
        <v>4.4000000000000004</v>
      </c>
      <c r="B194" s="1195" t="s">
        <v>1898</v>
      </c>
      <c r="C194" s="1196"/>
      <c r="D194" s="1197"/>
      <c r="E194" s="316">
        <v>4500</v>
      </c>
      <c r="F194" s="316">
        <f>+E163*(F189+F191+F192)*F190</f>
        <v>220500</v>
      </c>
      <c r="G194" s="367">
        <f t="shared" si="10"/>
        <v>220500</v>
      </c>
      <c r="H194" s="277"/>
      <c r="I194" s="281"/>
      <c r="J194" s="281"/>
      <c r="L194" s="361"/>
      <c r="N194" s="277"/>
      <c r="P194" s="277"/>
      <c r="R194" s="277"/>
    </row>
    <row r="195" spans="1:18">
      <c r="A195" s="299">
        <v>4.4000000000000004</v>
      </c>
      <c r="B195" s="1195" t="s">
        <v>1976</v>
      </c>
      <c r="C195" s="1196"/>
      <c r="D195" s="1197"/>
      <c r="E195" s="316">
        <v>5000</v>
      </c>
      <c r="F195" s="316">
        <f>+E164*F189*F190</f>
        <v>150000</v>
      </c>
      <c r="G195" s="367">
        <f t="shared" si="10"/>
        <v>150000</v>
      </c>
      <c r="H195" s="277"/>
      <c r="I195" s="281"/>
      <c r="J195" s="281"/>
      <c r="L195" s="361"/>
      <c r="N195" s="277"/>
      <c r="P195" s="277"/>
      <c r="R195" s="277"/>
    </row>
    <row r="196" spans="1:18">
      <c r="A196" s="299">
        <v>4.3</v>
      </c>
      <c r="B196" s="1195" t="s">
        <v>1963</v>
      </c>
      <c r="C196" s="1196"/>
      <c r="D196" s="1197"/>
      <c r="E196" s="316">
        <v>5000</v>
      </c>
      <c r="F196" s="316">
        <f>E196*F191*F190</f>
        <v>50000</v>
      </c>
      <c r="G196" s="367">
        <f t="shared" si="10"/>
        <v>50000</v>
      </c>
      <c r="H196" s="277"/>
      <c r="I196" s="281"/>
      <c r="J196" s="281"/>
      <c r="L196" s="361"/>
      <c r="N196" s="277"/>
      <c r="P196" s="277"/>
      <c r="R196" s="277"/>
    </row>
    <row r="197" spans="1:18">
      <c r="A197" s="299">
        <v>4.3</v>
      </c>
      <c r="B197" s="346" t="s">
        <v>1977</v>
      </c>
      <c r="C197" s="347"/>
      <c r="D197" s="348"/>
      <c r="E197" s="316">
        <f>45000-4500</f>
        <v>40500</v>
      </c>
      <c r="F197" s="316">
        <f>E197*F190*F191</f>
        <v>405000</v>
      </c>
      <c r="G197" s="367">
        <f t="shared" si="10"/>
        <v>405000</v>
      </c>
      <c r="H197" s="277"/>
      <c r="I197" s="281"/>
      <c r="J197" s="281"/>
      <c r="L197" s="361"/>
      <c r="N197" s="277"/>
      <c r="P197" s="277"/>
      <c r="R197" s="277"/>
    </row>
    <row r="198" spans="1:18" ht="12.75" thickBot="1">
      <c r="A198" s="299">
        <v>4.3</v>
      </c>
      <c r="B198" s="1195" t="s">
        <v>1966</v>
      </c>
      <c r="C198" s="1196"/>
      <c r="D198" s="1197"/>
      <c r="E198" s="316">
        <v>15000</v>
      </c>
      <c r="F198" s="316">
        <f>E198*F190*(F191)</f>
        <v>150000</v>
      </c>
      <c r="G198" s="367">
        <f t="shared" si="10"/>
        <v>150000</v>
      </c>
      <c r="H198" s="277"/>
      <c r="I198" s="281"/>
      <c r="J198" s="281"/>
      <c r="L198" s="361"/>
      <c r="N198" s="277"/>
      <c r="P198" s="277"/>
      <c r="R198" s="277"/>
    </row>
    <row r="199" spans="1:18" ht="12.75" thickBot="1">
      <c r="B199" s="1207" t="s">
        <v>1967</v>
      </c>
      <c r="C199" s="1208"/>
      <c r="D199" s="1208"/>
      <c r="E199" s="1209"/>
      <c r="F199" s="324">
        <f>SUM(F193:F198)</f>
        <v>1171500</v>
      </c>
      <c r="G199" s="369">
        <f>SUM(G193:G198)</f>
        <v>1171500</v>
      </c>
      <c r="H199" s="277"/>
      <c r="I199" s="281"/>
      <c r="J199" s="281"/>
      <c r="L199" s="368"/>
      <c r="N199" s="277"/>
      <c r="P199" s="277"/>
      <c r="R199" s="277"/>
    </row>
    <row r="200" spans="1:18">
      <c r="G200" s="281"/>
      <c r="H200" s="277"/>
      <c r="I200" s="281"/>
      <c r="J200" s="281"/>
      <c r="L200" s="277"/>
      <c r="M200" s="281"/>
      <c r="N200" s="277"/>
      <c r="P200" s="277"/>
      <c r="R200" s="277"/>
    </row>
    <row r="201" spans="1:18">
      <c r="A201" s="284">
        <v>10</v>
      </c>
      <c r="B201" s="1192" t="s">
        <v>1978</v>
      </c>
      <c r="C201" s="1193"/>
      <c r="D201" s="1194"/>
      <c r="E201" s="282" t="s">
        <v>1890</v>
      </c>
      <c r="F201" s="282" t="str">
        <f>F157</f>
        <v>KADUNA</v>
      </c>
      <c r="G201" s="372" t="str">
        <f>D2</f>
        <v xml:space="preserve">Total </v>
      </c>
      <c r="H201" s="361"/>
      <c r="I201" s="355"/>
      <c r="J201" s="355"/>
      <c r="L201" s="277"/>
      <c r="M201" s="281"/>
      <c r="N201" s="277"/>
      <c r="P201" s="277"/>
      <c r="R201" s="277"/>
    </row>
    <row r="202" spans="1:18">
      <c r="A202" s="299"/>
      <c r="B202" s="1180" t="s">
        <v>1979</v>
      </c>
      <c r="C202" s="1181"/>
      <c r="D202" s="1182"/>
      <c r="E202" s="270"/>
      <c r="F202" s="339">
        <f>C33</f>
        <v>792</v>
      </c>
      <c r="G202" s="329">
        <f>SUM(F202:F202)</f>
        <v>792</v>
      </c>
      <c r="H202" s="368"/>
      <c r="I202" s="356"/>
      <c r="J202" s="356"/>
      <c r="L202" s="277"/>
      <c r="M202" s="281"/>
      <c r="N202" s="277"/>
      <c r="P202" s="277"/>
      <c r="R202" s="277"/>
    </row>
    <row r="203" spans="1:18">
      <c r="A203" s="299"/>
      <c r="B203" s="1180" t="s">
        <v>1893</v>
      </c>
      <c r="C203" s="1181"/>
      <c r="D203" s="1182"/>
      <c r="E203" s="270"/>
      <c r="F203" s="311">
        <v>3</v>
      </c>
      <c r="G203" s="329">
        <v>3</v>
      </c>
      <c r="H203" s="361"/>
      <c r="I203" s="362"/>
      <c r="J203" s="362"/>
      <c r="L203" s="277"/>
      <c r="M203" s="281"/>
      <c r="N203" s="277"/>
      <c r="P203" s="277"/>
      <c r="R203" s="277"/>
    </row>
    <row r="204" spans="1:18">
      <c r="A204" s="299"/>
      <c r="B204" s="1180" t="s">
        <v>1980</v>
      </c>
      <c r="C204" s="1181"/>
      <c r="D204" s="1182"/>
      <c r="E204" s="270"/>
      <c r="F204" s="339">
        <f>C32</f>
        <v>92</v>
      </c>
      <c r="G204" s="329">
        <f t="shared" ref="G204:G219" si="11">SUM(F204:F204)</f>
        <v>92</v>
      </c>
      <c r="H204" s="368"/>
      <c r="I204" s="288"/>
      <c r="J204" s="288"/>
      <c r="L204" s="277"/>
      <c r="M204" s="281"/>
      <c r="N204" s="277"/>
      <c r="P204" s="277"/>
      <c r="R204" s="277"/>
    </row>
    <row r="205" spans="1:18">
      <c r="A205" s="299"/>
      <c r="B205" s="1180" t="s">
        <v>1981</v>
      </c>
      <c r="C205" s="1181"/>
      <c r="D205" s="1182"/>
      <c r="E205" s="270"/>
      <c r="F205" s="339">
        <f>C14</f>
        <v>23</v>
      </c>
      <c r="G205" s="329">
        <f t="shared" si="11"/>
        <v>23</v>
      </c>
      <c r="H205" s="368"/>
      <c r="I205" s="288"/>
      <c r="J205" s="288"/>
      <c r="L205" s="277"/>
      <c r="M205" s="281"/>
      <c r="N205" s="277"/>
      <c r="P205" s="277"/>
      <c r="R205" s="277"/>
    </row>
    <row r="206" spans="1:18">
      <c r="A206" s="299"/>
      <c r="B206" s="1180" t="s">
        <v>1982</v>
      </c>
      <c r="C206" s="1181"/>
      <c r="D206" s="1182"/>
      <c r="E206" s="270"/>
      <c r="F206" s="339">
        <f>'[5] Micro quantification'!L29</f>
        <v>44</v>
      </c>
      <c r="G206" s="329">
        <f t="shared" si="11"/>
        <v>44</v>
      </c>
      <c r="H206" s="288"/>
      <c r="I206" s="288"/>
      <c r="J206" s="288"/>
      <c r="L206" s="277"/>
      <c r="M206" s="281"/>
      <c r="N206" s="277"/>
      <c r="P206" s="277"/>
      <c r="R206" s="277"/>
    </row>
    <row r="207" spans="1:18">
      <c r="A207" s="299"/>
      <c r="B207" s="1180" t="s">
        <v>1983</v>
      </c>
      <c r="C207" s="1181"/>
      <c r="D207" s="1182"/>
      <c r="E207" s="270"/>
      <c r="F207" s="339">
        <f>C16</f>
        <v>23</v>
      </c>
      <c r="G207" s="329">
        <f t="shared" si="11"/>
        <v>23</v>
      </c>
      <c r="H207" s="368"/>
      <c r="I207" s="373"/>
      <c r="J207" s="373"/>
      <c r="L207" s="277"/>
      <c r="M207" s="281"/>
      <c r="N207" s="277"/>
      <c r="P207" s="277"/>
      <c r="R207" s="277"/>
    </row>
    <row r="208" spans="1:18">
      <c r="A208" s="299">
        <v>4.4000000000000004</v>
      </c>
      <c r="B208" s="1180" t="s">
        <v>1984</v>
      </c>
      <c r="C208" s="1181"/>
      <c r="D208" s="1182"/>
      <c r="E208" s="316">
        <v>600</v>
      </c>
      <c r="F208" s="316">
        <f>+E208*(F202+F204+F205+F206+F207)*F203</f>
        <v>1753200</v>
      </c>
      <c r="G208" s="329">
        <f t="shared" si="11"/>
        <v>1753200</v>
      </c>
      <c r="H208" s="368"/>
      <c r="I208" s="288"/>
      <c r="J208" s="288"/>
      <c r="L208" s="277"/>
      <c r="M208" s="281"/>
      <c r="N208" s="277"/>
      <c r="P208" s="277"/>
      <c r="R208" s="277"/>
    </row>
    <row r="209" spans="1:18">
      <c r="A209" s="299">
        <v>4.4000000000000004</v>
      </c>
      <c r="B209" s="1180" t="s">
        <v>1898</v>
      </c>
      <c r="C209" s="1181"/>
      <c r="D209" s="1182"/>
      <c r="E209" s="316">
        <v>1500</v>
      </c>
      <c r="F209" s="316">
        <f>+E209*(F202+F204+F205+F206+F207)*F203</f>
        <v>4383000</v>
      </c>
      <c r="G209" s="329">
        <f t="shared" si="11"/>
        <v>4383000</v>
      </c>
      <c r="H209" s="368"/>
      <c r="I209" s="288"/>
      <c r="J209" s="288"/>
      <c r="L209" s="277"/>
      <c r="M209" s="281"/>
      <c r="N209" s="277"/>
      <c r="P209" s="277"/>
      <c r="R209" s="277"/>
    </row>
    <row r="210" spans="1:18">
      <c r="A210" s="299">
        <v>4.4000000000000004</v>
      </c>
      <c r="B210" s="1180" t="s">
        <v>1985</v>
      </c>
      <c r="C210" s="1181"/>
      <c r="D210" s="1182"/>
      <c r="E210" s="316">
        <v>1200</v>
      </c>
      <c r="F210" s="316">
        <f>+E210*F202*F203</f>
        <v>2851200</v>
      </c>
      <c r="G210" s="329">
        <f t="shared" si="11"/>
        <v>2851200</v>
      </c>
      <c r="H210" s="368"/>
      <c r="I210" s="288"/>
      <c r="J210" s="288"/>
      <c r="L210" s="277"/>
      <c r="M210" s="281"/>
      <c r="N210" s="277"/>
      <c r="P210" s="277"/>
      <c r="R210" s="277"/>
    </row>
    <row r="211" spans="1:18">
      <c r="A211" s="299">
        <v>4.3</v>
      </c>
      <c r="B211" s="1180" t="s">
        <v>1986</v>
      </c>
      <c r="C211" s="1181"/>
      <c r="D211" s="1182"/>
      <c r="E211" s="316">
        <v>1500</v>
      </c>
      <c r="F211" s="316">
        <f>+E211*F203*(F204)</f>
        <v>414000</v>
      </c>
      <c r="G211" s="329">
        <f t="shared" si="11"/>
        <v>414000</v>
      </c>
      <c r="H211" s="368"/>
      <c r="I211" s="288"/>
      <c r="J211" s="288"/>
      <c r="L211" s="277"/>
      <c r="M211" s="281"/>
      <c r="N211" s="277"/>
      <c r="P211" s="277"/>
      <c r="R211" s="277"/>
    </row>
    <row r="212" spans="1:18">
      <c r="A212" s="299">
        <v>4.3</v>
      </c>
      <c r="B212" s="1180" t="s">
        <v>1987</v>
      </c>
      <c r="C212" s="1181"/>
      <c r="D212" s="1182"/>
      <c r="E212" s="316">
        <v>5000</v>
      </c>
      <c r="F212" s="316">
        <f>E212*F203*F205</f>
        <v>345000</v>
      </c>
      <c r="G212" s="329">
        <f t="shared" si="11"/>
        <v>345000</v>
      </c>
      <c r="H212" s="277"/>
      <c r="I212" s="288"/>
      <c r="J212" s="288"/>
      <c r="L212" s="277"/>
      <c r="M212" s="281"/>
      <c r="N212" s="277"/>
      <c r="P212" s="277"/>
      <c r="R212" s="277"/>
    </row>
    <row r="213" spans="1:18">
      <c r="A213" s="299">
        <v>4.3</v>
      </c>
      <c r="B213" s="1180" t="s">
        <v>1988</v>
      </c>
      <c r="C213" s="1181"/>
      <c r="D213" s="1182"/>
      <c r="E213" s="316">
        <v>4800</v>
      </c>
      <c r="F213" s="316">
        <f>E213*F203*F204</f>
        <v>1324800</v>
      </c>
      <c r="G213" s="329">
        <f t="shared" si="11"/>
        <v>1324800</v>
      </c>
      <c r="H213" s="368"/>
      <c r="I213" s="288"/>
      <c r="J213" s="288"/>
      <c r="L213" s="277"/>
      <c r="M213" s="281"/>
      <c r="N213" s="277"/>
      <c r="P213" s="277"/>
      <c r="R213" s="277"/>
    </row>
    <row r="214" spans="1:18">
      <c r="A214" s="299">
        <v>4.3</v>
      </c>
      <c r="B214" s="1180" t="s">
        <v>1989</v>
      </c>
      <c r="C214" s="1181"/>
      <c r="D214" s="1182"/>
      <c r="E214" s="316">
        <v>6000</v>
      </c>
      <c r="F214" s="316">
        <f>E214*F203*F205</f>
        <v>414000</v>
      </c>
      <c r="G214" s="329">
        <f t="shared" si="11"/>
        <v>414000</v>
      </c>
      <c r="H214" s="368"/>
      <c r="I214" s="288"/>
      <c r="J214" s="288"/>
      <c r="L214" s="277"/>
      <c r="M214" s="281"/>
      <c r="N214" s="277"/>
      <c r="P214" s="277"/>
      <c r="R214" s="277"/>
    </row>
    <row r="215" spans="1:18">
      <c r="A215" s="299">
        <v>4.3</v>
      </c>
      <c r="B215" s="1180" t="s">
        <v>1990</v>
      </c>
      <c r="C215" s="1181"/>
      <c r="D215" s="1182"/>
      <c r="E215" s="316">
        <v>10000</v>
      </c>
      <c r="F215" s="316">
        <f>E215*(F203+1)*F206</f>
        <v>1760000</v>
      </c>
      <c r="G215" s="329">
        <f t="shared" si="11"/>
        <v>1760000</v>
      </c>
      <c r="H215" s="368"/>
      <c r="I215" s="288"/>
      <c r="J215" s="288"/>
      <c r="L215" s="277"/>
      <c r="M215" s="281"/>
      <c r="N215" s="277"/>
      <c r="P215" s="277"/>
      <c r="R215" s="277"/>
    </row>
    <row r="216" spans="1:18">
      <c r="A216" s="299">
        <v>4.3</v>
      </c>
      <c r="B216" s="1180" t="s">
        <v>1991</v>
      </c>
      <c r="C216" s="1181"/>
      <c r="D216" s="1182"/>
      <c r="E216" s="316">
        <v>12000</v>
      </c>
      <c r="F216" s="316">
        <f>E216*(F203+1)*F206</f>
        <v>2112000</v>
      </c>
      <c r="G216" s="329">
        <f t="shared" si="11"/>
        <v>2112000</v>
      </c>
      <c r="H216" s="368"/>
      <c r="I216" s="288"/>
      <c r="J216" s="288"/>
      <c r="L216" s="277"/>
      <c r="M216" s="281"/>
      <c r="N216" s="277"/>
      <c r="P216" s="277"/>
      <c r="R216" s="277"/>
    </row>
    <row r="217" spans="1:18">
      <c r="A217" s="299">
        <v>4.3</v>
      </c>
      <c r="B217" s="1180" t="s">
        <v>1992</v>
      </c>
      <c r="C217" s="1181"/>
      <c r="D217" s="1182"/>
      <c r="E217" s="316">
        <v>5000</v>
      </c>
      <c r="F217" s="332">
        <f>E217*(F203+1)*F206</f>
        <v>880000</v>
      </c>
      <c r="G217" s="329">
        <f t="shared" si="11"/>
        <v>880000</v>
      </c>
      <c r="H217" s="277"/>
      <c r="I217" s="288"/>
      <c r="J217" s="288"/>
      <c r="L217" s="277"/>
      <c r="M217" s="281"/>
      <c r="N217" s="277"/>
      <c r="P217" s="277"/>
      <c r="R217" s="277"/>
    </row>
    <row r="218" spans="1:18">
      <c r="A218" s="299">
        <v>4.4000000000000004</v>
      </c>
      <c r="B218" s="1180" t="s">
        <v>1993</v>
      </c>
      <c r="C218" s="1181"/>
      <c r="D218" s="1182"/>
      <c r="E218" s="316">
        <v>20000</v>
      </c>
      <c r="F218" s="316">
        <f>E218*1</f>
        <v>20000</v>
      </c>
      <c r="G218" s="329">
        <f t="shared" si="11"/>
        <v>20000</v>
      </c>
      <c r="H218" s="368"/>
      <c r="I218" s="288"/>
      <c r="J218" s="288"/>
      <c r="L218" s="277"/>
      <c r="M218" s="281"/>
      <c r="N218" s="277"/>
      <c r="P218" s="277"/>
      <c r="R218" s="277"/>
    </row>
    <row r="219" spans="1:18" ht="12.75" thickBot="1">
      <c r="A219" s="299">
        <v>4.4000000000000004</v>
      </c>
      <c r="B219" s="1180" t="s">
        <v>1912</v>
      </c>
      <c r="C219" s="1181"/>
      <c r="D219" s="1182"/>
      <c r="E219" s="316">
        <v>1000</v>
      </c>
      <c r="F219" s="316">
        <f>+E219*F202</f>
        <v>792000</v>
      </c>
      <c r="G219" s="329">
        <f t="shared" si="11"/>
        <v>792000</v>
      </c>
      <c r="H219" s="368"/>
      <c r="I219" s="288"/>
      <c r="J219" s="288"/>
      <c r="L219" s="277"/>
      <c r="M219" s="281"/>
      <c r="N219" s="277"/>
      <c r="P219" s="277"/>
      <c r="R219" s="277"/>
    </row>
    <row r="220" spans="1:18" ht="12.75" thickBot="1">
      <c r="A220" s="299"/>
      <c r="B220" s="1186" t="s">
        <v>209</v>
      </c>
      <c r="C220" s="1187"/>
      <c r="D220" s="1187"/>
      <c r="E220" s="1188"/>
      <c r="F220" s="324">
        <f>SUM(F208:F219)</f>
        <v>17049200</v>
      </c>
      <c r="G220" s="325">
        <f>SUM(G208:G219)</f>
        <v>17049200</v>
      </c>
      <c r="H220" s="374"/>
      <c r="I220" s="326"/>
      <c r="J220" s="326"/>
      <c r="L220" s="277"/>
      <c r="M220" s="281"/>
      <c r="N220" s="277"/>
      <c r="P220" s="277"/>
      <c r="R220" s="277"/>
    </row>
    <row r="221" spans="1:18">
      <c r="G221" s="281"/>
      <c r="H221" s="277"/>
      <c r="I221" s="281"/>
      <c r="J221" s="281"/>
      <c r="L221" s="277"/>
      <c r="M221" s="281"/>
      <c r="N221" s="277"/>
      <c r="P221" s="277"/>
      <c r="R221" s="277"/>
    </row>
    <row r="222" spans="1:18">
      <c r="A222" s="284">
        <v>11</v>
      </c>
      <c r="B222" s="1210" t="s">
        <v>1994</v>
      </c>
      <c r="C222" s="1211"/>
      <c r="D222" s="1212"/>
      <c r="E222" s="375" t="s">
        <v>1890</v>
      </c>
      <c r="F222" s="375" t="str">
        <f>F325</f>
        <v>KADUNA</v>
      </c>
      <c r="G222" s="372" t="str">
        <f>G325</f>
        <v xml:space="preserve">Total </v>
      </c>
      <c r="H222" s="360"/>
      <c r="L222" s="277"/>
      <c r="M222" s="281"/>
      <c r="N222" s="277"/>
      <c r="P222" s="277"/>
      <c r="R222" s="277"/>
    </row>
    <row r="223" spans="1:18">
      <c r="A223" s="299"/>
      <c r="B223" s="1195" t="s">
        <v>1995</v>
      </c>
      <c r="C223" s="1196"/>
      <c r="D223" s="1197"/>
      <c r="E223" s="270"/>
      <c r="F223" s="366">
        <f>C26</f>
        <v>1275</v>
      </c>
      <c r="G223" s="367">
        <f>SUM(F223:F223)</f>
        <v>1275</v>
      </c>
      <c r="H223" s="376"/>
      <c r="L223" s="277"/>
      <c r="M223" s="281"/>
      <c r="N223" s="277"/>
      <c r="P223" s="277"/>
      <c r="R223" s="277"/>
    </row>
    <row r="224" spans="1:18">
      <c r="A224" s="299"/>
      <c r="B224" s="1195" t="s">
        <v>1893</v>
      </c>
      <c r="C224" s="1196"/>
      <c r="D224" s="1197"/>
      <c r="E224" s="270"/>
      <c r="F224" s="270">
        <v>1</v>
      </c>
      <c r="G224" s="367">
        <v>1</v>
      </c>
      <c r="L224" s="277"/>
      <c r="M224" s="281"/>
      <c r="N224" s="277"/>
      <c r="P224" s="277"/>
      <c r="R224" s="277"/>
    </row>
    <row r="225" spans="1:18">
      <c r="A225" s="299"/>
      <c r="B225" s="1195" t="s">
        <v>1996</v>
      </c>
      <c r="C225" s="1196"/>
      <c r="D225" s="1197"/>
      <c r="E225" s="270"/>
      <c r="F225" s="366">
        <f>C3*2</f>
        <v>46</v>
      </c>
      <c r="G225" s="367">
        <f t="shared" ref="G225:G235" si="12">SUM(F225:F225)</f>
        <v>46</v>
      </c>
      <c r="L225" s="277"/>
      <c r="M225" s="281"/>
      <c r="N225" s="277"/>
      <c r="P225" s="277"/>
      <c r="R225" s="277"/>
    </row>
    <row r="226" spans="1:18">
      <c r="A226" s="299"/>
      <c r="B226" s="1195" t="s">
        <v>1997</v>
      </c>
      <c r="C226" s="1196"/>
      <c r="D226" s="1197"/>
      <c r="E226" s="270"/>
      <c r="F226" s="366">
        <f>1*C3</f>
        <v>23</v>
      </c>
      <c r="G226" s="367">
        <f t="shared" si="12"/>
        <v>23</v>
      </c>
      <c r="L226" s="277"/>
      <c r="M226" s="281"/>
      <c r="N226" s="277"/>
      <c r="P226" s="277"/>
      <c r="R226" s="277"/>
    </row>
    <row r="227" spans="1:18">
      <c r="A227" s="299"/>
      <c r="B227" s="1195" t="s">
        <v>1998</v>
      </c>
      <c r="C227" s="1196"/>
      <c r="D227" s="1197"/>
      <c r="E227" s="270"/>
      <c r="F227" s="366">
        <f>C16</f>
        <v>23</v>
      </c>
      <c r="G227" s="367">
        <f t="shared" si="12"/>
        <v>23</v>
      </c>
      <c r="L227" s="277"/>
      <c r="M227" s="281"/>
      <c r="N227" s="277"/>
      <c r="P227" s="277"/>
      <c r="R227" s="277"/>
    </row>
    <row r="228" spans="1:18">
      <c r="A228" s="299">
        <v>4.4000000000000004</v>
      </c>
      <c r="B228" s="1195" t="s">
        <v>1984</v>
      </c>
      <c r="C228" s="1196"/>
      <c r="D228" s="1197"/>
      <c r="E228" s="316">
        <v>600</v>
      </c>
      <c r="F228" s="316">
        <f>+E228*(F223+F225+F226+F227)*F224</f>
        <v>820200</v>
      </c>
      <c r="G228" s="367">
        <f t="shared" si="12"/>
        <v>820200</v>
      </c>
      <c r="L228" s="277"/>
      <c r="M228" s="281"/>
      <c r="N228" s="277"/>
      <c r="P228" s="277"/>
      <c r="R228" s="277"/>
    </row>
    <row r="229" spans="1:18">
      <c r="A229" s="299">
        <v>4.4000000000000004</v>
      </c>
      <c r="B229" s="1195" t="s">
        <v>1898</v>
      </c>
      <c r="C229" s="1196"/>
      <c r="D229" s="1197"/>
      <c r="E229" s="316">
        <v>1500</v>
      </c>
      <c r="F229" s="316">
        <f>+E229*(F223+F225+F226+F227)*F224</f>
        <v>2050500</v>
      </c>
      <c r="G229" s="367">
        <f t="shared" si="12"/>
        <v>2050500</v>
      </c>
      <c r="L229" s="277"/>
      <c r="M229" s="281"/>
      <c r="N229" s="277"/>
      <c r="P229" s="277"/>
      <c r="R229" s="277"/>
    </row>
    <row r="230" spans="1:18">
      <c r="A230" s="299">
        <v>4.4000000000000004</v>
      </c>
      <c r="B230" s="1195" t="s">
        <v>1999</v>
      </c>
      <c r="C230" s="1196"/>
      <c r="D230" s="1197"/>
      <c r="E230" s="316">
        <v>600</v>
      </c>
      <c r="F230" s="316">
        <f>+E230*F224*F223</f>
        <v>765000</v>
      </c>
      <c r="G230" s="367">
        <f t="shared" si="12"/>
        <v>765000</v>
      </c>
      <c r="L230" s="277"/>
      <c r="M230" s="281"/>
      <c r="N230" s="277"/>
      <c r="P230" s="277"/>
      <c r="R230" s="277"/>
    </row>
    <row r="231" spans="1:18">
      <c r="A231" s="299">
        <v>4.3</v>
      </c>
      <c r="B231" s="1195" t="s">
        <v>2000</v>
      </c>
      <c r="C231" s="1196"/>
      <c r="D231" s="1197"/>
      <c r="E231" s="316">
        <v>1200</v>
      </c>
      <c r="F231" s="316">
        <f>+E231*F225*F224</f>
        <v>55200</v>
      </c>
      <c r="G231" s="367">
        <f t="shared" si="12"/>
        <v>55200</v>
      </c>
      <c r="L231" s="277"/>
      <c r="M231" s="281"/>
      <c r="N231" s="277"/>
      <c r="P231" s="277"/>
      <c r="R231" s="277"/>
    </row>
    <row r="232" spans="1:18">
      <c r="A232" s="299">
        <v>4.3</v>
      </c>
      <c r="B232" s="1195" t="s">
        <v>2001</v>
      </c>
      <c r="C232" s="1196"/>
      <c r="D232" s="1197"/>
      <c r="E232" s="316">
        <v>1500</v>
      </c>
      <c r="F232" s="316">
        <f>E232*F226*F224</f>
        <v>34500</v>
      </c>
      <c r="G232" s="367">
        <f t="shared" si="12"/>
        <v>34500</v>
      </c>
      <c r="L232" s="277"/>
      <c r="M232" s="281"/>
      <c r="N232" s="277"/>
      <c r="P232" s="277"/>
      <c r="R232" s="277"/>
    </row>
    <row r="233" spans="1:18">
      <c r="A233" s="299">
        <v>4.3</v>
      </c>
      <c r="B233" s="1195" t="s">
        <v>2002</v>
      </c>
      <c r="C233" s="1196"/>
      <c r="D233" s="1197"/>
      <c r="E233" s="316">
        <v>1800</v>
      </c>
      <c r="F233" s="316">
        <f>E233*F224*F225</f>
        <v>82800</v>
      </c>
      <c r="G233" s="367">
        <f t="shared" si="12"/>
        <v>82800</v>
      </c>
      <c r="L233" s="277"/>
      <c r="M233" s="281"/>
      <c r="N233" s="277"/>
      <c r="P233" s="277"/>
      <c r="R233" s="277"/>
    </row>
    <row r="234" spans="1:18">
      <c r="A234" s="299">
        <v>4.3</v>
      </c>
      <c r="B234" s="1195" t="s">
        <v>2003</v>
      </c>
      <c r="C234" s="1196"/>
      <c r="D234" s="1197"/>
      <c r="E234" s="316">
        <v>4800</v>
      </c>
      <c r="F234" s="316">
        <f>E234*F224*F226</f>
        <v>110400</v>
      </c>
      <c r="G234" s="367">
        <f t="shared" si="12"/>
        <v>110400</v>
      </c>
      <c r="L234" s="277"/>
      <c r="M234" s="281"/>
      <c r="N234" s="277"/>
      <c r="P234" s="277"/>
      <c r="R234" s="277"/>
    </row>
    <row r="235" spans="1:18" ht="12.75" thickBot="1">
      <c r="A235" s="299">
        <v>4.4000000000000004</v>
      </c>
      <c r="B235" s="1195" t="s">
        <v>2004</v>
      </c>
      <c r="C235" s="1196"/>
      <c r="D235" s="1197"/>
      <c r="E235" s="323">
        <v>50</v>
      </c>
      <c r="F235" s="316">
        <f>+E235*F223</f>
        <v>63750</v>
      </c>
      <c r="G235" s="367">
        <f t="shared" si="12"/>
        <v>63750</v>
      </c>
      <c r="L235" s="277"/>
      <c r="M235" s="281"/>
      <c r="N235" s="277"/>
      <c r="P235" s="277"/>
      <c r="R235" s="277"/>
    </row>
    <row r="236" spans="1:18" ht="12.75" thickBot="1">
      <c r="A236" s="299"/>
      <c r="B236" s="1207" t="s">
        <v>1967</v>
      </c>
      <c r="C236" s="1208"/>
      <c r="D236" s="1208"/>
      <c r="E236" s="1209"/>
      <c r="F236" s="324">
        <f>SUM(F228:F235)</f>
        <v>3982350</v>
      </c>
      <c r="G236" s="369">
        <f>SUM(G228:G235)</f>
        <v>3982350</v>
      </c>
      <c r="H236" s="296"/>
      <c r="L236" s="277"/>
      <c r="M236" s="281"/>
      <c r="N236" s="277"/>
      <c r="P236" s="277"/>
      <c r="R236" s="277"/>
    </row>
    <row r="237" spans="1:18">
      <c r="G237" s="281"/>
      <c r="H237" s="277"/>
      <c r="I237" s="333"/>
      <c r="J237" s="333"/>
      <c r="L237" s="277"/>
      <c r="M237" s="281"/>
      <c r="N237" s="277"/>
      <c r="P237" s="277"/>
      <c r="R237" s="277"/>
    </row>
    <row r="238" spans="1:18">
      <c r="A238" s="284">
        <v>12</v>
      </c>
      <c r="B238" s="1192" t="s">
        <v>2005</v>
      </c>
      <c r="C238" s="1193"/>
      <c r="D238" s="1194"/>
      <c r="E238" s="282" t="s">
        <v>1890</v>
      </c>
      <c r="F238" s="282" t="str">
        <f>F201</f>
        <v>KADUNA</v>
      </c>
      <c r="G238" s="377" t="str">
        <f>D2</f>
        <v xml:space="preserve">Total </v>
      </c>
      <c r="H238" s="360"/>
      <c r="I238" s="378"/>
      <c r="J238" s="378"/>
      <c r="L238" s="277"/>
      <c r="M238" s="281"/>
      <c r="N238" s="277"/>
      <c r="P238" s="277"/>
      <c r="R238" s="277"/>
    </row>
    <row r="239" spans="1:18">
      <c r="A239" s="299"/>
      <c r="B239" s="1195" t="s">
        <v>2006</v>
      </c>
      <c r="C239" s="1196"/>
      <c r="D239" s="1197"/>
      <c r="E239" s="270"/>
      <c r="F239" s="366">
        <f>C20</f>
        <v>4538</v>
      </c>
      <c r="G239" s="379">
        <f>SUM(F239:F239)</f>
        <v>4538</v>
      </c>
      <c r="H239" s="376"/>
      <c r="I239" s="288"/>
      <c r="J239" s="288"/>
      <c r="L239" s="277"/>
      <c r="M239" s="281"/>
      <c r="N239" s="277"/>
      <c r="P239" s="277"/>
      <c r="R239" s="277"/>
    </row>
    <row r="240" spans="1:18">
      <c r="A240" s="299"/>
      <c r="B240" s="1195" t="s">
        <v>1893</v>
      </c>
      <c r="C240" s="1196"/>
      <c r="D240" s="1197"/>
      <c r="E240" s="380"/>
      <c r="F240" s="270">
        <v>2</v>
      </c>
      <c r="G240" s="379">
        <v>2</v>
      </c>
      <c r="H240" s="361"/>
      <c r="I240" s="362"/>
      <c r="J240" s="362"/>
      <c r="L240" s="277"/>
      <c r="M240" s="281"/>
      <c r="N240" s="277"/>
      <c r="P240" s="277"/>
      <c r="R240" s="277"/>
    </row>
    <row r="241" spans="1:18" ht="15.75" customHeight="1">
      <c r="A241" s="299"/>
      <c r="B241" s="1213" t="s">
        <v>2007</v>
      </c>
      <c r="C241" s="1214"/>
      <c r="D241" s="1215"/>
      <c r="E241" s="380"/>
      <c r="F241" s="366">
        <f>C33</f>
        <v>792</v>
      </c>
      <c r="G241" s="379">
        <f t="shared" ref="G241:G255" si="13">SUM(F241:F241)</f>
        <v>792</v>
      </c>
      <c r="H241" s="361"/>
      <c r="I241" s="362"/>
      <c r="J241" s="362"/>
      <c r="L241" s="277"/>
      <c r="M241" s="281"/>
      <c r="N241" s="277"/>
      <c r="P241" s="277"/>
      <c r="R241" s="277"/>
    </row>
    <row r="242" spans="1:18">
      <c r="A242" s="299"/>
      <c r="B242" s="1213" t="s">
        <v>2008</v>
      </c>
      <c r="C242" s="1214"/>
      <c r="D242" s="1215"/>
      <c r="E242" s="270"/>
      <c r="F242" s="366">
        <f>C32</f>
        <v>92</v>
      </c>
      <c r="G242" s="379">
        <f t="shared" si="13"/>
        <v>92</v>
      </c>
      <c r="H242" s="368"/>
      <c r="I242" s="288"/>
      <c r="J242" s="288"/>
      <c r="L242" s="277"/>
      <c r="M242" s="281"/>
      <c r="N242" s="277"/>
      <c r="P242" s="277"/>
      <c r="R242" s="277"/>
    </row>
    <row r="243" spans="1:18">
      <c r="A243" s="381"/>
      <c r="B243" s="1213" t="s">
        <v>2009</v>
      </c>
      <c r="C243" s="1214"/>
      <c r="D243" s="1215"/>
      <c r="E243" s="270"/>
      <c r="F243" s="366">
        <f>C35</f>
        <v>135</v>
      </c>
      <c r="G243" s="379">
        <f t="shared" si="13"/>
        <v>135</v>
      </c>
      <c r="H243" s="368"/>
      <c r="I243" s="288"/>
      <c r="J243" s="288"/>
      <c r="L243" s="277"/>
      <c r="M243" s="281"/>
      <c r="N243" s="277"/>
      <c r="P243" s="277"/>
      <c r="R243" s="277"/>
    </row>
    <row r="244" spans="1:18">
      <c r="A244" s="299"/>
      <c r="B244" s="1213" t="s">
        <v>2010</v>
      </c>
      <c r="C244" s="1214"/>
      <c r="D244" s="1215"/>
      <c r="E244" s="270"/>
      <c r="F244" s="366">
        <f>C16+C14</f>
        <v>46</v>
      </c>
      <c r="G244" s="379">
        <f t="shared" si="13"/>
        <v>46</v>
      </c>
      <c r="H244" s="368"/>
      <c r="I244" s="288"/>
      <c r="J244" s="288"/>
      <c r="L244" s="277"/>
      <c r="M244" s="281"/>
      <c r="N244" s="277"/>
      <c r="P244" s="277"/>
      <c r="R244" s="277"/>
    </row>
    <row r="245" spans="1:18">
      <c r="A245" s="299">
        <v>4.4000000000000004</v>
      </c>
      <c r="B245" s="1195" t="s">
        <v>1984</v>
      </c>
      <c r="C245" s="1196"/>
      <c r="D245" s="1197"/>
      <c r="E245" s="316">
        <v>600</v>
      </c>
      <c r="F245" s="332">
        <f>(+E245*(F239+F241+F242+F243+F244)*F240)+(E245*F240*(F243+F244+F242))</f>
        <v>7051200</v>
      </c>
      <c r="G245" s="379">
        <f t="shared" si="13"/>
        <v>7051200</v>
      </c>
      <c r="H245" s="368"/>
      <c r="I245" s="288"/>
      <c r="J245" s="288"/>
      <c r="L245" s="277"/>
      <c r="M245" s="281"/>
      <c r="N245" s="277"/>
      <c r="P245" s="277"/>
      <c r="R245" s="277"/>
    </row>
    <row r="246" spans="1:18" ht="17.25" customHeight="1">
      <c r="A246" s="299">
        <v>4.4000000000000004</v>
      </c>
      <c r="B246" s="1195" t="s">
        <v>1898</v>
      </c>
      <c r="C246" s="1196"/>
      <c r="D246" s="1197"/>
      <c r="E246" s="316">
        <v>1500</v>
      </c>
      <c r="F246" s="332">
        <f>(+E246*(F239+F241+F242+F243+F244)*F240)+(E246*F240*(F243+F244+F242))</f>
        <v>17628000</v>
      </c>
      <c r="G246" s="379">
        <f t="shared" si="13"/>
        <v>17628000</v>
      </c>
      <c r="H246" s="368"/>
      <c r="I246" s="288"/>
      <c r="J246" s="288"/>
      <c r="L246" s="277"/>
      <c r="M246" s="281"/>
      <c r="N246" s="277"/>
      <c r="P246" s="277"/>
      <c r="R246" s="277"/>
    </row>
    <row r="247" spans="1:18">
      <c r="A247" s="299">
        <v>4.4000000000000004</v>
      </c>
      <c r="B247" s="1195" t="s">
        <v>2011</v>
      </c>
      <c r="C247" s="1196"/>
      <c r="D247" s="1197"/>
      <c r="E247" s="316">
        <v>600</v>
      </c>
      <c r="F247" s="332">
        <f>+E247*F239*F240</f>
        <v>5445600</v>
      </c>
      <c r="G247" s="379">
        <f t="shared" si="13"/>
        <v>5445600</v>
      </c>
      <c r="H247" s="368"/>
      <c r="I247" s="288"/>
      <c r="J247" s="288"/>
      <c r="L247" s="277"/>
      <c r="M247" s="281"/>
      <c r="N247" s="277"/>
      <c r="P247" s="277"/>
      <c r="R247" s="277"/>
    </row>
    <row r="248" spans="1:18">
      <c r="A248" s="299">
        <v>4.3</v>
      </c>
      <c r="B248" s="1195" t="s">
        <v>2012</v>
      </c>
      <c r="C248" s="1196"/>
      <c r="D248" s="1197"/>
      <c r="E248" s="316">
        <v>1500</v>
      </c>
      <c r="F248" s="332">
        <f>+E248*F240*F242</f>
        <v>276000</v>
      </c>
      <c r="G248" s="379">
        <f t="shared" si="13"/>
        <v>276000</v>
      </c>
      <c r="H248" s="368"/>
      <c r="I248" s="288"/>
      <c r="J248" s="288"/>
      <c r="L248" s="277"/>
      <c r="M248" s="281"/>
      <c r="N248" s="277"/>
      <c r="P248" s="277"/>
      <c r="R248" s="277"/>
    </row>
    <row r="249" spans="1:18">
      <c r="A249" s="299">
        <v>4.3</v>
      </c>
      <c r="B249" s="1195" t="s">
        <v>2013</v>
      </c>
      <c r="C249" s="1196"/>
      <c r="D249" s="1197"/>
      <c r="E249" s="316">
        <v>1200</v>
      </c>
      <c r="F249" s="332">
        <f>E249*F240*F241</f>
        <v>1900800</v>
      </c>
      <c r="G249" s="379">
        <f t="shared" si="13"/>
        <v>1900800</v>
      </c>
      <c r="H249" s="368"/>
      <c r="I249" s="288"/>
      <c r="J249" s="288"/>
      <c r="L249" s="277"/>
      <c r="M249" s="281"/>
      <c r="N249" s="277"/>
      <c r="P249" s="277"/>
      <c r="R249" s="277"/>
    </row>
    <row r="250" spans="1:18">
      <c r="A250" s="299">
        <v>4.3</v>
      </c>
      <c r="B250" s="1195" t="s">
        <v>2014</v>
      </c>
      <c r="C250" s="1196"/>
      <c r="D250" s="1197"/>
      <c r="E250" s="316">
        <v>4800</v>
      </c>
      <c r="F250" s="332">
        <f>E250*F240*F242</f>
        <v>883200</v>
      </c>
      <c r="G250" s="379">
        <f t="shared" si="13"/>
        <v>883200</v>
      </c>
      <c r="H250" s="368"/>
      <c r="I250" s="288"/>
      <c r="J250" s="288"/>
      <c r="L250" s="277"/>
      <c r="M250" s="281"/>
      <c r="N250" s="277"/>
      <c r="P250" s="277"/>
      <c r="R250" s="277"/>
    </row>
    <row r="251" spans="1:18">
      <c r="A251" s="299">
        <v>4.3</v>
      </c>
      <c r="B251" s="1195" t="s">
        <v>2015</v>
      </c>
      <c r="C251" s="1196"/>
      <c r="D251" s="1197"/>
      <c r="E251" s="316">
        <v>1800</v>
      </c>
      <c r="F251" s="332">
        <f>E251*F240*F241</f>
        <v>2851200</v>
      </c>
      <c r="G251" s="379">
        <f t="shared" si="13"/>
        <v>2851200</v>
      </c>
      <c r="H251" s="368"/>
      <c r="I251" s="288"/>
      <c r="J251" s="288"/>
      <c r="L251" s="277"/>
      <c r="M251" s="281"/>
      <c r="N251" s="277"/>
      <c r="P251" s="277"/>
      <c r="R251" s="277"/>
    </row>
    <row r="252" spans="1:18">
      <c r="A252" s="299">
        <v>4.3</v>
      </c>
      <c r="B252" s="1195" t="s">
        <v>2016</v>
      </c>
      <c r="C252" s="1196"/>
      <c r="D252" s="1197"/>
      <c r="E252" s="316">
        <v>10000</v>
      </c>
      <c r="F252" s="332">
        <f>E252*(F240+3+2)*F243</f>
        <v>9450000</v>
      </c>
      <c r="G252" s="379">
        <f t="shared" si="13"/>
        <v>9450000</v>
      </c>
      <c r="H252" s="368"/>
      <c r="I252" s="288"/>
      <c r="J252" s="288"/>
      <c r="L252" s="277"/>
      <c r="M252" s="281"/>
      <c r="N252" s="277"/>
      <c r="P252" s="277"/>
      <c r="R252" s="277"/>
    </row>
    <row r="253" spans="1:18">
      <c r="A253" s="299">
        <v>4.3</v>
      </c>
      <c r="B253" s="346" t="s">
        <v>2017</v>
      </c>
      <c r="C253" s="347"/>
      <c r="D253" s="348"/>
      <c r="E253" s="316">
        <v>12000</v>
      </c>
      <c r="F253" s="332">
        <f>E253*(F240+3+2)*F243</f>
        <v>11340000</v>
      </c>
      <c r="G253" s="367">
        <f t="shared" si="13"/>
        <v>11340000</v>
      </c>
      <c r="H253" s="368"/>
      <c r="I253" s="288"/>
      <c r="J253" s="288"/>
      <c r="L253" s="277"/>
      <c r="M253" s="281"/>
      <c r="N253" s="277"/>
      <c r="P253" s="277"/>
      <c r="R253" s="277"/>
    </row>
    <row r="254" spans="1:18">
      <c r="A254" s="299">
        <v>4.3</v>
      </c>
      <c r="B254" s="346" t="s">
        <v>2018</v>
      </c>
      <c r="C254" s="347"/>
      <c r="D254" s="348"/>
      <c r="E254" s="316">
        <v>5000</v>
      </c>
      <c r="F254" s="332">
        <f>E254*(F240+3+2)*F243</f>
        <v>4725000</v>
      </c>
      <c r="G254" s="367">
        <f>SUM(F254:F254)</f>
        <v>4725000</v>
      </c>
      <c r="H254" s="368"/>
      <c r="I254" s="288"/>
      <c r="J254" s="288"/>
      <c r="L254" s="277"/>
      <c r="M254" s="281"/>
      <c r="N254" s="277"/>
      <c r="P254" s="277"/>
      <c r="R254" s="277"/>
    </row>
    <row r="255" spans="1:18">
      <c r="A255" s="299">
        <v>4.4000000000000004</v>
      </c>
      <c r="B255" s="1195" t="s">
        <v>2019</v>
      </c>
      <c r="C255" s="1196"/>
      <c r="D255" s="1197"/>
      <c r="E255" s="323">
        <v>50</v>
      </c>
      <c r="F255" s="382">
        <f>+E255*F239</f>
        <v>226900</v>
      </c>
      <c r="G255" s="367">
        <f t="shared" si="13"/>
        <v>226900</v>
      </c>
      <c r="H255" s="368"/>
      <c r="I255" s="288"/>
      <c r="J255" s="288"/>
      <c r="L255" s="277"/>
      <c r="M255" s="281"/>
      <c r="N255" s="277"/>
      <c r="P255" s="277"/>
      <c r="R255" s="277"/>
    </row>
    <row r="256" spans="1:18" ht="12.75" thickBot="1">
      <c r="A256" s="299"/>
      <c r="B256" s="1207" t="s">
        <v>1967</v>
      </c>
      <c r="C256" s="1208"/>
      <c r="D256" s="1208"/>
      <c r="E256" s="1209"/>
      <c r="F256" s="324">
        <f>SUM(F245:F255)</f>
        <v>61777900</v>
      </c>
      <c r="G256" s="383">
        <f>SUM(G245:G255)</f>
        <v>61777900</v>
      </c>
      <c r="H256" s="374"/>
      <c r="I256" s="326"/>
      <c r="J256" s="326"/>
      <c r="L256" s="277"/>
      <c r="M256" s="281"/>
      <c r="N256" s="277"/>
      <c r="P256" s="277"/>
      <c r="R256" s="277"/>
    </row>
    <row r="257" spans="1:18">
      <c r="G257" s="281"/>
      <c r="H257" s="277"/>
      <c r="I257" s="281"/>
      <c r="J257" s="281"/>
      <c r="L257" s="277"/>
      <c r="M257" s="281"/>
      <c r="N257" s="277"/>
      <c r="P257" s="277"/>
      <c r="R257" s="277"/>
    </row>
    <row r="258" spans="1:18">
      <c r="A258" s="384">
        <v>13</v>
      </c>
      <c r="B258" s="1192" t="s">
        <v>2020</v>
      </c>
      <c r="C258" s="1193"/>
      <c r="D258" s="1194"/>
      <c r="E258" s="282" t="s">
        <v>1890</v>
      </c>
      <c r="F258" s="282" t="str">
        <f>F238</f>
        <v>KADUNA</v>
      </c>
      <c r="G258" s="377" t="str">
        <f>+G238</f>
        <v xml:space="preserve">Total </v>
      </c>
      <c r="I258" s="355"/>
      <c r="J258" s="355"/>
      <c r="L258" s="277"/>
      <c r="M258" s="281"/>
      <c r="N258" s="277"/>
      <c r="P258" s="277"/>
      <c r="R258" s="277"/>
    </row>
    <row r="259" spans="1:18">
      <c r="A259" s="299"/>
      <c r="B259" s="1195" t="s">
        <v>2021</v>
      </c>
      <c r="C259" s="1196"/>
      <c r="D259" s="1197"/>
      <c r="E259" s="270"/>
      <c r="F259" s="366">
        <f>C29</f>
        <v>2269</v>
      </c>
      <c r="G259" s="367">
        <f>SUM(F259:F259)</f>
        <v>2269</v>
      </c>
      <c r="I259" s="356"/>
      <c r="J259" s="356"/>
      <c r="L259" s="277"/>
      <c r="M259" s="281"/>
      <c r="N259" s="277"/>
      <c r="P259" s="277"/>
      <c r="R259" s="277"/>
    </row>
    <row r="260" spans="1:18">
      <c r="A260" s="299"/>
      <c r="B260" s="1195" t="s">
        <v>1893</v>
      </c>
      <c r="C260" s="1196"/>
      <c r="D260" s="1197"/>
      <c r="E260" s="270"/>
      <c r="F260" s="270">
        <v>2</v>
      </c>
      <c r="G260" s="367">
        <f>SUM(F260:F260)</f>
        <v>2</v>
      </c>
      <c r="I260" s="362"/>
      <c r="J260" s="362"/>
      <c r="L260" s="277"/>
      <c r="M260" s="281"/>
      <c r="N260" s="277"/>
      <c r="P260" s="277"/>
      <c r="R260" s="277"/>
    </row>
    <row r="261" spans="1:18">
      <c r="A261" s="299"/>
      <c r="B261" s="1213" t="s">
        <v>2022</v>
      </c>
      <c r="C261" s="1214"/>
      <c r="D261" s="1215"/>
      <c r="E261" s="270"/>
      <c r="F261" s="366">
        <f>C32/4</f>
        <v>23</v>
      </c>
      <c r="G261" s="367">
        <f t="shared" ref="G261:G274" si="14">SUM(F261:F261)</f>
        <v>23</v>
      </c>
      <c r="I261" s="288"/>
      <c r="J261" s="288"/>
      <c r="L261" s="277"/>
      <c r="M261" s="281"/>
      <c r="N261" s="277"/>
      <c r="P261" s="277"/>
      <c r="R261" s="277"/>
    </row>
    <row r="262" spans="1:18">
      <c r="A262" s="299"/>
      <c r="B262" s="1213" t="s">
        <v>2023</v>
      </c>
      <c r="C262" s="1214"/>
      <c r="D262" s="1215"/>
      <c r="E262" s="270"/>
      <c r="F262" s="366">
        <f>C14</f>
        <v>23</v>
      </c>
      <c r="G262" s="367">
        <f t="shared" si="14"/>
        <v>23</v>
      </c>
      <c r="I262" s="288"/>
      <c r="J262" s="288"/>
      <c r="L262" s="277"/>
      <c r="M262" s="281"/>
      <c r="N262" s="277"/>
      <c r="P262" s="277"/>
      <c r="R262" s="277"/>
    </row>
    <row r="263" spans="1:18">
      <c r="A263" s="299"/>
      <c r="B263" s="1213" t="s">
        <v>2024</v>
      </c>
      <c r="C263" s="1214"/>
      <c r="D263" s="1215"/>
      <c r="E263" s="270"/>
      <c r="F263" s="366">
        <f>'[5] Micro quantification'!S29</f>
        <v>127</v>
      </c>
      <c r="G263" s="367">
        <f t="shared" si="14"/>
        <v>127</v>
      </c>
      <c r="H263" s="288"/>
      <c r="I263" s="288"/>
      <c r="J263" s="288"/>
      <c r="L263" s="277"/>
      <c r="M263" s="281"/>
      <c r="N263" s="277"/>
      <c r="P263" s="277"/>
      <c r="R263" s="277"/>
    </row>
    <row r="264" spans="1:18">
      <c r="A264" s="299"/>
      <c r="B264" s="1213" t="s">
        <v>2025</v>
      </c>
      <c r="C264" s="1214"/>
      <c r="D264" s="1215"/>
      <c r="E264" s="270"/>
      <c r="F264" s="366">
        <f>C16+C3</f>
        <v>46</v>
      </c>
      <c r="G264" s="367">
        <f t="shared" si="14"/>
        <v>46</v>
      </c>
      <c r="I264" s="288"/>
      <c r="J264" s="288"/>
      <c r="L264" s="277"/>
      <c r="M264" s="281"/>
      <c r="N264" s="277"/>
      <c r="P264" s="277"/>
      <c r="R264" s="277"/>
    </row>
    <row r="265" spans="1:18">
      <c r="A265" s="299">
        <v>4.4000000000000004</v>
      </c>
      <c r="B265" s="1195" t="s">
        <v>1984</v>
      </c>
      <c r="C265" s="1196"/>
      <c r="D265" s="1197"/>
      <c r="E265" s="316">
        <v>600</v>
      </c>
      <c r="F265" s="316">
        <f>E265*(F259+F261+F262+F263+F264)*F260</f>
        <v>2985600</v>
      </c>
      <c r="G265" s="367">
        <f t="shared" si="14"/>
        <v>2985600</v>
      </c>
      <c r="I265" s="288"/>
      <c r="J265" s="288"/>
      <c r="L265" s="277"/>
      <c r="M265" s="281"/>
      <c r="N265" s="277"/>
      <c r="P265" s="277"/>
      <c r="R265" s="277"/>
    </row>
    <row r="266" spans="1:18">
      <c r="A266" s="299">
        <v>4.4000000000000004</v>
      </c>
      <c r="B266" s="1195" t="s">
        <v>1898</v>
      </c>
      <c r="C266" s="1196"/>
      <c r="D266" s="1197"/>
      <c r="E266" s="316">
        <v>1500</v>
      </c>
      <c r="F266" s="316">
        <f>E266*(F259+F261+F262+F263+F264)*F260</f>
        <v>7464000</v>
      </c>
      <c r="G266" s="367">
        <f t="shared" si="14"/>
        <v>7464000</v>
      </c>
      <c r="I266" s="288"/>
      <c r="J266" s="288"/>
      <c r="L266" s="277"/>
      <c r="M266" s="281"/>
      <c r="N266" s="277"/>
      <c r="P266" s="277"/>
      <c r="R266" s="277"/>
    </row>
    <row r="267" spans="1:18">
      <c r="A267" s="299">
        <v>4.4000000000000004</v>
      </c>
      <c r="B267" s="1195" t="s">
        <v>2026</v>
      </c>
      <c r="C267" s="1196"/>
      <c r="D267" s="1197"/>
      <c r="E267" s="316">
        <v>600</v>
      </c>
      <c r="F267" s="316">
        <f>+E267*F259*F260</f>
        <v>2722800</v>
      </c>
      <c r="G267" s="367">
        <f t="shared" si="14"/>
        <v>2722800</v>
      </c>
      <c r="I267" s="288"/>
      <c r="J267" s="288"/>
      <c r="L267" s="277"/>
      <c r="M267" s="281"/>
      <c r="N267" s="277"/>
      <c r="P267" s="277"/>
      <c r="R267" s="277"/>
    </row>
    <row r="268" spans="1:18">
      <c r="A268" s="299">
        <v>4.3</v>
      </c>
      <c r="B268" s="1195" t="s">
        <v>2027</v>
      </c>
      <c r="C268" s="1196"/>
      <c r="D268" s="1197"/>
      <c r="E268" s="316">
        <v>1500</v>
      </c>
      <c r="F268" s="316">
        <f>+E268*F261*F260</f>
        <v>69000</v>
      </c>
      <c r="G268" s="367">
        <f t="shared" si="14"/>
        <v>69000</v>
      </c>
      <c r="I268" s="288"/>
      <c r="J268" s="288"/>
      <c r="L268" s="277"/>
      <c r="M268" s="281"/>
      <c r="N268" s="277"/>
      <c r="P268" s="277"/>
      <c r="R268" s="277"/>
    </row>
    <row r="269" spans="1:18">
      <c r="A269" s="299">
        <v>4.3</v>
      </c>
      <c r="B269" s="1195" t="s">
        <v>1987</v>
      </c>
      <c r="C269" s="1196"/>
      <c r="D269" s="1197"/>
      <c r="E269" s="316">
        <v>5000</v>
      </c>
      <c r="F269" s="316">
        <f>+E269*F262*F260</f>
        <v>230000</v>
      </c>
      <c r="G269" s="367">
        <f t="shared" si="14"/>
        <v>230000</v>
      </c>
      <c r="H269" s="277"/>
      <c r="I269" s="288"/>
      <c r="J269" s="288"/>
      <c r="L269" s="277"/>
      <c r="M269" s="281"/>
      <c r="N269" s="277"/>
      <c r="P269" s="277"/>
      <c r="R269" s="277"/>
    </row>
    <row r="270" spans="1:18">
      <c r="A270" s="299">
        <v>4.3</v>
      </c>
      <c r="B270" s="1216" t="s">
        <v>2028</v>
      </c>
      <c r="C270" s="1217"/>
      <c r="D270" s="1218"/>
      <c r="E270" s="316">
        <v>10000</v>
      </c>
      <c r="F270" s="316">
        <f>E270*F263*(F260+1)</f>
        <v>3810000</v>
      </c>
      <c r="G270" s="367">
        <f t="shared" si="14"/>
        <v>3810000</v>
      </c>
      <c r="I270" s="288"/>
      <c r="J270" s="288"/>
      <c r="L270" s="277"/>
      <c r="M270" s="281"/>
      <c r="N270" s="277"/>
      <c r="P270" s="277"/>
      <c r="R270" s="277"/>
    </row>
    <row r="271" spans="1:18">
      <c r="A271" s="299">
        <v>4.3</v>
      </c>
      <c r="B271" s="1216" t="s">
        <v>2029</v>
      </c>
      <c r="C271" s="1217"/>
      <c r="D271" s="1218"/>
      <c r="E271" s="316">
        <v>12000</v>
      </c>
      <c r="F271" s="316">
        <f>E271*F263*(F260+1)</f>
        <v>4572000</v>
      </c>
      <c r="G271" s="367">
        <f t="shared" si="14"/>
        <v>4572000</v>
      </c>
      <c r="I271" s="288"/>
      <c r="J271" s="288"/>
      <c r="L271" s="277"/>
      <c r="M271" s="281"/>
      <c r="N271" s="277"/>
      <c r="P271" s="277"/>
      <c r="R271" s="277"/>
    </row>
    <row r="272" spans="1:18">
      <c r="A272" s="299">
        <v>4.3</v>
      </c>
      <c r="B272" s="346" t="s">
        <v>2018</v>
      </c>
      <c r="C272" s="347"/>
      <c r="D272" s="348"/>
      <c r="E272" s="316">
        <v>5000</v>
      </c>
      <c r="F272" s="332">
        <f>E272*(F260+1)*F263</f>
        <v>1905000</v>
      </c>
      <c r="G272" s="367">
        <f t="shared" si="14"/>
        <v>1905000</v>
      </c>
      <c r="I272" s="288"/>
      <c r="J272" s="288"/>
      <c r="L272" s="277"/>
      <c r="M272" s="281"/>
      <c r="N272" s="277"/>
      <c r="P272" s="277"/>
      <c r="R272" s="277"/>
    </row>
    <row r="273" spans="1:18">
      <c r="A273" s="299">
        <v>4.3</v>
      </c>
      <c r="B273" s="1216" t="s">
        <v>2030</v>
      </c>
      <c r="C273" s="1217"/>
      <c r="D273" s="1218"/>
      <c r="E273" s="385">
        <v>4800</v>
      </c>
      <c r="F273" s="316">
        <f>E273*F261*F260</f>
        <v>220800</v>
      </c>
      <c r="G273" s="367">
        <f t="shared" si="14"/>
        <v>220800</v>
      </c>
      <c r="I273" s="288"/>
      <c r="J273" s="288"/>
      <c r="L273" s="277"/>
      <c r="M273" s="281"/>
      <c r="N273" s="277"/>
      <c r="P273" s="277"/>
      <c r="R273" s="277"/>
    </row>
    <row r="274" spans="1:18" ht="12.75" thickBot="1">
      <c r="A274" s="299">
        <v>4.3</v>
      </c>
      <c r="B274" s="1216" t="s">
        <v>2031</v>
      </c>
      <c r="C274" s="1217"/>
      <c r="D274" s="1218"/>
      <c r="E274" s="385">
        <v>6000</v>
      </c>
      <c r="F274" s="316">
        <f>E274*F262*F260</f>
        <v>276000</v>
      </c>
      <c r="G274" s="367">
        <f t="shared" si="14"/>
        <v>276000</v>
      </c>
      <c r="I274" s="288"/>
      <c r="J274" s="288"/>
      <c r="L274" s="277"/>
      <c r="M274" s="281"/>
      <c r="N274" s="277"/>
      <c r="P274" s="277"/>
      <c r="R274" s="277"/>
    </row>
    <row r="275" spans="1:18" ht="12.75" thickBot="1">
      <c r="A275" s="299"/>
      <c r="B275" s="1207" t="s">
        <v>1967</v>
      </c>
      <c r="C275" s="1208"/>
      <c r="D275" s="1208"/>
      <c r="E275" s="1209"/>
      <c r="F275" s="324">
        <f>SUM(F265:F274)</f>
        <v>24255200</v>
      </c>
      <c r="G275" s="369">
        <f>SUM(G265:G274)</f>
        <v>24255200</v>
      </c>
      <c r="H275" s="296"/>
      <c r="I275" s="326"/>
      <c r="J275" s="326"/>
      <c r="L275" s="277"/>
      <c r="M275" s="281"/>
      <c r="N275" s="277"/>
      <c r="P275" s="277"/>
      <c r="R275" s="277"/>
    </row>
    <row r="276" spans="1:18">
      <c r="G276" s="281"/>
      <c r="H276" s="277"/>
      <c r="I276" s="281"/>
      <c r="J276" s="281"/>
      <c r="L276" s="277"/>
      <c r="M276" s="281"/>
      <c r="N276" s="277"/>
      <c r="P276" s="277"/>
      <c r="R276" s="277"/>
    </row>
    <row r="277" spans="1:18" ht="15.75" customHeight="1">
      <c r="A277" s="384">
        <v>14</v>
      </c>
      <c r="B277" s="1210" t="s">
        <v>2032</v>
      </c>
      <c r="C277" s="1211"/>
      <c r="D277" s="1212"/>
      <c r="E277" s="282" t="s">
        <v>1890</v>
      </c>
      <c r="F277" s="282" t="str">
        <f>F258</f>
        <v>KADUNA</v>
      </c>
      <c r="G277" s="372" t="str">
        <f>G258</f>
        <v xml:space="preserve">Total </v>
      </c>
      <c r="L277" s="277"/>
      <c r="M277" s="281"/>
      <c r="N277" s="277"/>
      <c r="P277" s="277"/>
      <c r="R277" s="277"/>
    </row>
    <row r="278" spans="1:18">
      <c r="B278" s="1195" t="s">
        <v>2033</v>
      </c>
      <c r="C278" s="1196"/>
      <c r="D278" s="1197"/>
      <c r="E278" s="270"/>
      <c r="F278" s="366">
        <f>C8</f>
        <v>255</v>
      </c>
      <c r="G278" s="367">
        <f>SUM(F278:F278)</f>
        <v>255</v>
      </c>
      <c r="L278" s="277"/>
      <c r="M278" s="281"/>
      <c r="N278" s="277"/>
      <c r="P278" s="277"/>
      <c r="R278" s="277"/>
    </row>
    <row r="279" spans="1:18">
      <c r="B279" s="1195" t="s">
        <v>1893</v>
      </c>
      <c r="C279" s="1196"/>
      <c r="D279" s="1197"/>
      <c r="E279" s="270"/>
      <c r="F279" s="270">
        <v>1</v>
      </c>
      <c r="G279" s="367">
        <v>1</v>
      </c>
      <c r="L279" s="277"/>
      <c r="M279" s="281"/>
      <c r="N279" s="277"/>
      <c r="P279" s="277"/>
      <c r="R279" s="277"/>
    </row>
    <row r="280" spans="1:18">
      <c r="B280" s="1195" t="s">
        <v>2034</v>
      </c>
      <c r="C280" s="1196"/>
      <c r="D280" s="1197"/>
      <c r="E280" s="270"/>
      <c r="F280" s="366">
        <f>C14</f>
        <v>23</v>
      </c>
      <c r="G280" s="367">
        <f t="shared" ref="G280:G288" si="15">SUM(F280:F280)</f>
        <v>23</v>
      </c>
      <c r="L280" s="277"/>
      <c r="M280" s="281"/>
      <c r="N280" s="277"/>
      <c r="O280" s="281"/>
      <c r="P280" s="277"/>
      <c r="Q280" s="281"/>
      <c r="R280" s="277"/>
    </row>
    <row r="281" spans="1:18">
      <c r="B281" s="1195" t="s">
        <v>2035</v>
      </c>
      <c r="C281" s="1196"/>
      <c r="D281" s="1197"/>
      <c r="E281" s="270"/>
      <c r="F281" s="366">
        <f>C3</f>
        <v>23</v>
      </c>
      <c r="G281" s="367">
        <f t="shared" si="15"/>
        <v>23</v>
      </c>
      <c r="L281" s="277"/>
      <c r="M281" s="281"/>
      <c r="N281" s="277"/>
      <c r="P281" s="277"/>
      <c r="R281" s="277"/>
    </row>
    <row r="282" spans="1:18" ht="12" customHeight="1">
      <c r="B282" s="1195" t="s">
        <v>1983</v>
      </c>
      <c r="C282" s="1196"/>
      <c r="D282" s="1197"/>
      <c r="E282" s="270"/>
      <c r="F282" s="366">
        <f>C16</f>
        <v>23</v>
      </c>
      <c r="G282" s="367">
        <f t="shared" si="15"/>
        <v>23</v>
      </c>
      <c r="H282" s="277"/>
      <c r="L282" s="277"/>
      <c r="M282" s="281"/>
      <c r="N282" s="277"/>
      <c r="P282" s="277"/>
      <c r="R282" s="277"/>
    </row>
    <row r="283" spans="1:18">
      <c r="A283" s="299">
        <v>4.4000000000000004</v>
      </c>
      <c r="B283" s="1195" t="s">
        <v>1898</v>
      </c>
      <c r="C283" s="1196"/>
      <c r="D283" s="1197"/>
      <c r="E283" s="316">
        <v>1500</v>
      </c>
      <c r="F283" s="316">
        <f>+E283*(F278+F280+F281+F282)*F279</f>
        <v>486000</v>
      </c>
      <c r="G283" s="367">
        <f t="shared" si="15"/>
        <v>486000</v>
      </c>
      <c r="L283" s="277"/>
      <c r="M283" s="281"/>
      <c r="N283" s="277"/>
      <c r="P283" s="277"/>
      <c r="R283" s="277"/>
    </row>
    <row r="284" spans="1:18">
      <c r="A284" s="299">
        <v>4.4000000000000004</v>
      </c>
      <c r="B284" s="1195" t="s">
        <v>2036</v>
      </c>
      <c r="C284" s="1196"/>
      <c r="D284" s="1197"/>
      <c r="E284" s="316">
        <v>600</v>
      </c>
      <c r="F284" s="316">
        <f>+E284*F278*F279</f>
        <v>153000</v>
      </c>
      <c r="G284" s="367">
        <f t="shared" si="15"/>
        <v>153000</v>
      </c>
      <c r="L284" s="277"/>
      <c r="M284" s="281"/>
      <c r="N284" s="277"/>
      <c r="P284" s="277"/>
      <c r="R284" s="277"/>
    </row>
    <row r="285" spans="1:18">
      <c r="A285" s="299">
        <v>4.3</v>
      </c>
      <c r="B285" s="1195" t="s">
        <v>2037</v>
      </c>
      <c r="C285" s="1196"/>
      <c r="D285" s="1197"/>
      <c r="E285" s="316">
        <v>1500</v>
      </c>
      <c r="F285" s="316">
        <f>E285*F281*F279</f>
        <v>34500</v>
      </c>
      <c r="G285" s="367">
        <f t="shared" si="15"/>
        <v>34500</v>
      </c>
      <c r="L285" s="277"/>
      <c r="M285" s="281"/>
      <c r="N285" s="277"/>
      <c r="P285" s="277"/>
      <c r="R285" s="277"/>
    </row>
    <row r="286" spans="1:18">
      <c r="A286" s="299">
        <v>4.3</v>
      </c>
      <c r="B286" s="1195" t="s">
        <v>2038</v>
      </c>
      <c r="C286" s="1196"/>
      <c r="D286" s="1197"/>
      <c r="E286" s="316">
        <v>5000</v>
      </c>
      <c r="F286" s="316">
        <f>E286*F280*F279</f>
        <v>115000</v>
      </c>
      <c r="G286" s="367">
        <f t="shared" si="15"/>
        <v>115000</v>
      </c>
      <c r="H286" s="277"/>
      <c r="L286" s="277"/>
      <c r="M286" s="281"/>
      <c r="N286" s="277"/>
      <c r="P286" s="277"/>
      <c r="R286" s="277"/>
    </row>
    <row r="287" spans="1:18">
      <c r="A287" s="299">
        <v>4.3</v>
      </c>
      <c r="B287" s="1195" t="s">
        <v>2039</v>
      </c>
      <c r="C287" s="1196"/>
      <c r="D287" s="1197"/>
      <c r="E287" s="316">
        <v>4800</v>
      </c>
      <c r="F287" s="316">
        <f>E287*F279*F281</f>
        <v>110400</v>
      </c>
      <c r="G287" s="367">
        <f t="shared" si="15"/>
        <v>110400</v>
      </c>
      <c r="L287" s="277"/>
      <c r="M287" s="281"/>
      <c r="N287" s="277"/>
      <c r="P287" s="277"/>
      <c r="R287" s="277"/>
    </row>
    <row r="288" spans="1:18" ht="12.75" thickBot="1">
      <c r="A288" s="299">
        <v>4.3</v>
      </c>
      <c r="B288" s="1195" t="s">
        <v>2040</v>
      </c>
      <c r="C288" s="1196"/>
      <c r="D288" s="1197"/>
      <c r="E288" s="316">
        <v>6000</v>
      </c>
      <c r="F288" s="316">
        <f>E288*F279*F280</f>
        <v>138000</v>
      </c>
      <c r="G288" s="367">
        <f t="shared" si="15"/>
        <v>138000</v>
      </c>
      <c r="L288" s="277"/>
      <c r="M288" s="281"/>
      <c r="N288" s="277"/>
      <c r="P288" s="277"/>
      <c r="R288" s="277"/>
    </row>
    <row r="289" spans="1:18" ht="12.75" thickBot="1">
      <c r="B289" s="1207" t="s">
        <v>1967</v>
      </c>
      <c r="C289" s="1208"/>
      <c r="D289" s="1208"/>
      <c r="E289" s="1209"/>
      <c r="F289" s="324">
        <f>SUM(F283:F288)</f>
        <v>1036900</v>
      </c>
      <c r="G289" s="369">
        <f>SUM(G283:G288)</f>
        <v>1036900</v>
      </c>
      <c r="H289" s="296"/>
      <c r="L289" s="277"/>
      <c r="M289" s="281"/>
      <c r="N289" s="277"/>
      <c r="P289" s="277"/>
      <c r="R289" s="277"/>
    </row>
    <row r="290" spans="1:18" ht="15.75" customHeight="1">
      <c r="G290" s="277"/>
      <c r="L290" s="277"/>
      <c r="M290" s="281"/>
      <c r="N290" s="277"/>
      <c r="P290" s="277"/>
      <c r="R290" s="277"/>
    </row>
    <row r="291" spans="1:18">
      <c r="A291" s="384">
        <v>16</v>
      </c>
      <c r="B291" s="1192" t="s">
        <v>2041</v>
      </c>
      <c r="C291" s="1193"/>
      <c r="D291" s="1194"/>
      <c r="E291" s="282" t="s">
        <v>1890</v>
      </c>
      <c r="F291" s="282" t="str">
        <f>F277</f>
        <v>KADUNA</v>
      </c>
      <c r="G291" s="386" t="str">
        <f>+G258</f>
        <v xml:space="preserve">Total </v>
      </c>
      <c r="H291" s="360"/>
      <c r="L291" s="277"/>
      <c r="M291" s="281"/>
      <c r="N291" s="277"/>
      <c r="P291" s="277"/>
      <c r="R291" s="277"/>
    </row>
    <row r="292" spans="1:18">
      <c r="A292" s="299"/>
      <c r="B292" s="1195" t="s">
        <v>2042</v>
      </c>
      <c r="C292" s="1196"/>
      <c r="D292" s="1197"/>
      <c r="E292" s="270"/>
      <c r="F292" s="366"/>
      <c r="G292" s="367">
        <f>SUM(F292:F292)</f>
        <v>0</v>
      </c>
      <c r="H292" s="387"/>
      <c r="N292" s="277"/>
      <c r="P292" s="277"/>
      <c r="R292" s="277"/>
    </row>
    <row r="293" spans="1:18">
      <c r="A293" s="299"/>
      <c r="B293" s="1195" t="s">
        <v>1893</v>
      </c>
      <c r="C293" s="1196"/>
      <c r="D293" s="1197"/>
      <c r="E293" s="270"/>
      <c r="F293" s="270"/>
      <c r="G293" s="367">
        <v>2</v>
      </c>
      <c r="N293" s="277"/>
      <c r="P293" s="277"/>
      <c r="R293" s="277"/>
    </row>
    <row r="294" spans="1:18">
      <c r="A294" s="299"/>
      <c r="B294" s="1213" t="s">
        <v>2043</v>
      </c>
      <c r="C294" s="1214"/>
      <c r="D294" s="1215"/>
      <c r="E294" s="270"/>
      <c r="F294" s="366"/>
      <c r="G294" s="367">
        <f t="shared" ref="G294:G308" si="16">SUM(F294:F294)</f>
        <v>0</v>
      </c>
      <c r="N294" s="277"/>
      <c r="P294" s="277"/>
      <c r="R294" s="277"/>
    </row>
    <row r="295" spans="1:18">
      <c r="A295" s="299"/>
      <c r="B295" s="1213" t="s">
        <v>2044</v>
      </c>
      <c r="C295" s="1214"/>
      <c r="D295" s="1215"/>
      <c r="E295" s="270"/>
      <c r="F295" s="366"/>
      <c r="G295" s="367">
        <f t="shared" si="16"/>
        <v>0</v>
      </c>
      <c r="N295" s="277"/>
      <c r="P295" s="277"/>
      <c r="R295" s="277"/>
    </row>
    <row r="296" spans="1:18">
      <c r="A296" s="299"/>
      <c r="B296" s="1213" t="s">
        <v>2024</v>
      </c>
      <c r="C296" s="1214"/>
      <c r="D296" s="1215"/>
      <c r="E296" s="270"/>
      <c r="F296" s="366"/>
      <c r="G296" s="367">
        <f t="shared" si="16"/>
        <v>0</v>
      </c>
      <c r="N296" s="277"/>
      <c r="P296" s="277"/>
      <c r="R296" s="277"/>
    </row>
    <row r="297" spans="1:18">
      <c r="A297" s="299"/>
      <c r="B297" s="1213" t="s">
        <v>2045</v>
      </c>
      <c r="C297" s="1214"/>
      <c r="D297" s="1215"/>
      <c r="E297" s="270"/>
      <c r="F297" s="366"/>
      <c r="G297" s="367">
        <f t="shared" si="16"/>
        <v>0</v>
      </c>
      <c r="N297" s="277"/>
      <c r="P297" s="277"/>
      <c r="R297" s="277"/>
    </row>
    <row r="298" spans="1:18">
      <c r="A298" s="299">
        <v>4.4000000000000004</v>
      </c>
      <c r="B298" s="1195" t="s">
        <v>1984</v>
      </c>
      <c r="C298" s="1196"/>
      <c r="D298" s="1197"/>
      <c r="E298" s="316">
        <v>600</v>
      </c>
      <c r="F298" s="316">
        <f>E298*(F292+F294+F295+F296+F297)*F293</f>
        <v>0</v>
      </c>
      <c r="G298" s="367">
        <f t="shared" si="16"/>
        <v>0</v>
      </c>
      <c r="I298" s="330"/>
      <c r="J298" s="330"/>
      <c r="N298" s="277"/>
      <c r="P298" s="277"/>
      <c r="R298" s="277"/>
    </row>
    <row r="299" spans="1:18">
      <c r="A299" s="299">
        <v>4.4000000000000004</v>
      </c>
      <c r="B299" s="1195" t="s">
        <v>1898</v>
      </c>
      <c r="C299" s="1196"/>
      <c r="D299" s="1197"/>
      <c r="E299" s="316">
        <v>1500</v>
      </c>
      <c r="F299" s="316">
        <f>E299*(F292+F294+F295+F296+F297)*F293</f>
        <v>0</v>
      </c>
      <c r="G299" s="367">
        <f t="shared" si="16"/>
        <v>0</v>
      </c>
      <c r="I299" s="330"/>
      <c r="J299" s="330"/>
      <c r="N299" s="277"/>
      <c r="P299" s="277"/>
      <c r="R299" s="277"/>
    </row>
    <row r="300" spans="1:18">
      <c r="A300" s="299">
        <v>4.4000000000000004</v>
      </c>
      <c r="B300" s="1195" t="s">
        <v>2046</v>
      </c>
      <c r="C300" s="1196"/>
      <c r="D300" s="1197"/>
      <c r="E300" s="316">
        <v>600</v>
      </c>
      <c r="F300" s="316">
        <f>E300*F292*F293</f>
        <v>0</v>
      </c>
      <c r="G300" s="367">
        <f t="shared" si="16"/>
        <v>0</v>
      </c>
      <c r="I300" s="330"/>
      <c r="J300" s="330"/>
      <c r="N300" s="277"/>
      <c r="P300" s="277"/>
      <c r="R300" s="277"/>
    </row>
    <row r="301" spans="1:18">
      <c r="A301" s="299">
        <v>4.3</v>
      </c>
      <c r="B301" s="1195" t="s">
        <v>2013</v>
      </c>
      <c r="C301" s="1196"/>
      <c r="D301" s="1197"/>
      <c r="E301" s="316">
        <v>1200</v>
      </c>
      <c r="F301" s="316">
        <f>E301*F295*F293</f>
        <v>0</v>
      </c>
      <c r="G301" s="367">
        <f t="shared" si="16"/>
        <v>0</v>
      </c>
      <c r="I301" s="330"/>
      <c r="J301" s="330"/>
      <c r="N301" s="277"/>
      <c r="P301" s="277"/>
      <c r="R301" s="277"/>
    </row>
    <row r="302" spans="1:18">
      <c r="A302" s="299">
        <v>4.3</v>
      </c>
      <c r="B302" s="1195" t="s">
        <v>2012</v>
      </c>
      <c r="C302" s="1196"/>
      <c r="D302" s="1197"/>
      <c r="E302" s="316">
        <v>1500</v>
      </c>
      <c r="F302" s="316">
        <f>E302*F294*F293</f>
        <v>0</v>
      </c>
      <c r="G302" s="367">
        <f t="shared" si="16"/>
        <v>0</v>
      </c>
      <c r="I302" s="330"/>
      <c r="J302" s="330"/>
      <c r="N302" s="277"/>
      <c r="P302" s="277"/>
      <c r="R302" s="277"/>
    </row>
    <row r="303" spans="1:18">
      <c r="A303" s="299">
        <v>4.3</v>
      </c>
      <c r="B303" s="1195" t="s">
        <v>2014</v>
      </c>
      <c r="C303" s="1196"/>
      <c r="D303" s="1197"/>
      <c r="E303" s="316">
        <v>4800</v>
      </c>
      <c r="F303" s="316">
        <f>E303*F293*F294</f>
        <v>0</v>
      </c>
      <c r="G303" s="367">
        <f t="shared" si="16"/>
        <v>0</v>
      </c>
      <c r="I303" s="330"/>
      <c r="J303" s="330"/>
      <c r="N303" s="277"/>
      <c r="P303" s="277"/>
      <c r="R303" s="277"/>
    </row>
    <row r="304" spans="1:18">
      <c r="A304" s="299">
        <v>4.3</v>
      </c>
      <c r="B304" s="1195" t="s">
        <v>2015</v>
      </c>
      <c r="C304" s="1196"/>
      <c r="D304" s="1197"/>
      <c r="E304" s="316">
        <v>1800</v>
      </c>
      <c r="F304" s="316">
        <f>E304*F293*F295</f>
        <v>0</v>
      </c>
      <c r="G304" s="367">
        <f t="shared" si="16"/>
        <v>0</v>
      </c>
      <c r="I304" s="330"/>
      <c r="J304" s="330"/>
      <c r="N304" s="277"/>
      <c r="P304" s="277"/>
      <c r="R304" s="277"/>
    </row>
    <row r="305" spans="1:18">
      <c r="A305" s="299">
        <v>4.3</v>
      </c>
      <c r="B305" s="1195" t="s">
        <v>2016</v>
      </c>
      <c r="C305" s="1196"/>
      <c r="D305" s="1197"/>
      <c r="E305" s="316">
        <v>10000</v>
      </c>
      <c r="F305" s="316">
        <f>E305*F296*(F293+1+1)</f>
        <v>0</v>
      </c>
      <c r="G305" s="367">
        <f t="shared" si="16"/>
        <v>0</v>
      </c>
      <c r="I305" s="330"/>
      <c r="J305" s="330"/>
      <c r="N305" s="277"/>
      <c r="P305" s="277"/>
      <c r="R305" s="277"/>
    </row>
    <row r="306" spans="1:18">
      <c r="A306" s="299">
        <v>4.3</v>
      </c>
      <c r="B306" s="346" t="s">
        <v>2018</v>
      </c>
      <c r="C306" s="347"/>
      <c r="D306" s="348"/>
      <c r="E306" s="316">
        <v>3500</v>
      </c>
      <c r="F306" s="332">
        <f>E306*(F293+1+1)*F296</f>
        <v>0</v>
      </c>
      <c r="G306" s="367">
        <f t="shared" si="16"/>
        <v>0</v>
      </c>
      <c r="H306" s="368"/>
      <c r="I306" s="288"/>
      <c r="J306" s="288"/>
      <c r="L306" s="277"/>
      <c r="M306" s="281"/>
      <c r="N306" s="277"/>
      <c r="P306" s="277"/>
      <c r="R306" s="277"/>
    </row>
    <row r="307" spans="1:18">
      <c r="A307" s="299">
        <v>4.3</v>
      </c>
      <c r="B307" s="1195" t="s">
        <v>2047</v>
      </c>
      <c r="C307" s="1196"/>
      <c r="D307" s="1197"/>
      <c r="E307" s="316">
        <v>12000</v>
      </c>
      <c r="F307" s="316">
        <f>E307*F296*(F293+1+1)</f>
        <v>0</v>
      </c>
      <c r="G307" s="367">
        <f t="shared" si="16"/>
        <v>0</v>
      </c>
      <c r="I307" s="330"/>
      <c r="J307" s="330"/>
      <c r="N307" s="277"/>
      <c r="P307" s="277"/>
      <c r="R307" s="277"/>
    </row>
    <row r="308" spans="1:18" ht="12.75" thickBot="1">
      <c r="A308" s="299">
        <v>4.4000000000000004</v>
      </c>
      <c r="B308" s="1195" t="s">
        <v>2019</v>
      </c>
      <c r="C308" s="1196"/>
      <c r="D308" s="1197"/>
      <c r="E308" s="323">
        <v>50</v>
      </c>
      <c r="F308" s="316">
        <f>E308*F292</f>
        <v>0</v>
      </c>
      <c r="G308" s="367">
        <f t="shared" si="16"/>
        <v>0</v>
      </c>
      <c r="I308" s="330"/>
      <c r="J308" s="330"/>
      <c r="N308" s="277"/>
      <c r="P308" s="277"/>
      <c r="R308" s="277"/>
    </row>
    <row r="309" spans="1:18" ht="12.75" thickBot="1">
      <c r="A309" s="299"/>
      <c r="B309" s="1207" t="s">
        <v>1967</v>
      </c>
      <c r="C309" s="1208"/>
      <c r="D309" s="1208"/>
      <c r="E309" s="1209"/>
      <c r="F309" s="324">
        <f>SUM(F298:F308)</f>
        <v>0</v>
      </c>
      <c r="G309" s="369">
        <f>SUM(G298:G308)</f>
        <v>0</v>
      </c>
      <c r="H309" s="296"/>
      <c r="L309" s="277"/>
      <c r="M309" s="281"/>
      <c r="N309" s="277"/>
      <c r="P309" s="277"/>
      <c r="R309" s="277"/>
    </row>
    <row r="310" spans="1:18">
      <c r="G310" s="281"/>
      <c r="H310" s="277"/>
      <c r="I310" s="281"/>
      <c r="J310" s="281"/>
      <c r="L310" s="277"/>
      <c r="M310" s="281"/>
      <c r="N310" s="277"/>
      <c r="P310" s="277"/>
      <c r="R310" s="277"/>
    </row>
    <row r="311" spans="1:18">
      <c r="A311" s="284">
        <v>17</v>
      </c>
      <c r="B311" s="1219" t="s">
        <v>2048</v>
      </c>
      <c r="C311" s="1220"/>
      <c r="D311" s="1221"/>
      <c r="E311" s="282" t="s">
        <v>1890</v>
      </c>
      <c r="F311" s="282" t="str">
        <f>F291</f>
        <v>KADUNA</v>
      </c>
      <c r="G311" s="386" t="s">
        <v>209</v>
      </c>
      <c r="H311" s="277"/>
      <c r="I311" s="281"/>
      <c r="J311" s="281"/>
      <c r="L311" s="277"/>
      <c r="M311" s="281"/>
      <c r="N311" s="277"/>
      <c r="P311" s="277"/>
      <c r="R311" s="277"/>
    </row>
    <row r="312" spans="1:18">
      <c r="A312" s="299"/>
      <c r="B312" s="1195" t="s">
        <v>2049</v>
      </c>
      <c r="C312" s="1196"/>
      <c r="D312" s="1197"/>
      <c r="E312" s="270"/>
      <c r="F312" s="366"/>
      <c r="G312" s="367">
        <f>SUM(F312:F312)</f>
        <v>0</v>
      </c>
      <c r="H312" s="277"/>
      <c r="I312" s="281"/>
      <c r="J312" s="281"/>
      <c r="L312" s="277"/>
      <c r="M312" s="281"/>
      <c r="N312" s="277"/>
      <c r="P312" s="277"/>
      <c r="R312" s="277"/>
    </row>
    <row r="313" spans="1:18">
      <c r="A313" s="299"/>
      <c r="B313" s="1195" t="s">
        <v>1893</v>
      </c>
      <c r="C313" s="1196"/>
      <c r="D313" s="1197"/>
      <c r="E313" s="270"/>
      <c r="F313" s="270"/>
      <c r="G313" s="367">
        <v>1</v>
      </c>
      <c r="H313" s="277"/>
      <c r="I313" s="281"/>
      <c r="J313" s="281"/>
      <c r="L313" s="277"/>
      <c r="M313" s="281"/>
      <c r="N313" s="277"/>
      <c r="P313" s="277"/>
      <c r="R313" s="277"/>
    </row>
    <row r="314" spans="1:18">
      <c r="A314" s="299"/>
      <c r="B314" s="1213" t="s">
        <v>2050</v>
      </c>
      <c r="C314" s="1214"/>
      <c r="D314" s="1215"/>
      <c r="E314" s="270"/>
      <c r="F314" s="366"/>
      <c r="G314" s="367">
        <f t="shared" ref="G314:G322" si="17">SUM(F314:F314)</f>
        <v>0</v>
      </c>
      <c r="H314" s="277"/>
      <c r="I314" s="281"/>
      <c r="J314" s="281"/>
      <c r="L314" s="277"/>
      <c r="M314" s="281"/>
      <c r="N314" s="277"/>
      <c r="P314" s="277"/>
      <c r="R314" s="277"/>
    </row>
    <row r="315" spans="1:18">
      <c r="A315" s="299"/>
      <c r="B315" s="1213" t="s">
        <v>2051</v>
      </c>
      <c r="C315" s="1214"/>
      <c r="D315" s="1215"/>
      <c r="E315" s="270"/>
      <c r="F315" s="366"/>
      <c r="G315" s="367">
        <f t="shared" si="17"/>
        <v>0</v>
      </c>
      <c r="H315" s="277"/>
      <c r="I315" s="281"/>
      <c r="J315" s="281"/>
      <c r="L315" s="277"/>
      <c r="M315" s="281"/>
      <c r="N315" s="277"/>
      <c r="P315" s="277"/>
      <c r="R315" s="277"/>
    </row>
    <row r="316" spans="1:18">
      <c r="A316" s="299"/>
      <c r="B316" s="1213" t="s">
        <v>2052</v>
      </c>
      <c r="C316" s="1214"/>
      <c r="D316" s="1215"/>
      <c r="E316" s="270"/>
      <c r="F316" s="366"/>
      <c r="G316" s="367">
        <f t="shared" si="17"/>
        <v>0</v>
      </c>
      <c r="H316" s="277"/>
      <c r="I316" s="281"/>
      <c r="J316" s="281"/>
      <c r="L316" s="277"/>
      <c r="M316" s="281"/>
      <c r="N316" s="277"/>
      <c r="P316" s="277"/>
      <c r="R316" s="277"/>
    </row>
    <row r="317" spans="1:18">
      <c r="A317" s="299">
        <v>4.4000000000000004</v>
      </c>
      <c r="B317" s="1195" t="s">
        <v>1898</v>
      </c>
      <c r="C317" s="1196"/>
      <c r="D317" s="1197"/>
      <c r="E317" s="316">
        <v>1500</v>
      </c>
      <c r="F317" s="316">
        <f>E317*F313*(F312+F314+F315+F316)</f>
        <v>0</v>
      </c>
      <c r="G317" s="367">
        <f t="shared" si="17"/>
        <v>0</v>
      </c>
      <c r="H317" s="277"/>
      <c r="I317" s="281"/>
      <c r="J317" s="281"/>
      <c r="L317" s="277"/>
      <c r="M317" s="281"/>
      <c r="N317" s="277"/>
      <c r="P317" s="277"/>
      <c r="R317" s="277"/>
    </row>
    <row r="318" spans="1:18">
      <c r="A318" s="299">
        <v>4.4000000000000004</v>
      </c>
      <c r="B318" s="1195" t="s">
        <v>2053</v>
      </c>
      <c r="C318" s="1196"/>
      <c r="D318" s="1197"/>
      <c r="E318" s="316">
        <v>600</v>
      </c>
      <c r="F318" s="316">
        <f>E318*F312*F313</f>
        <v>0</v>
      </c>
      <c r="G318" s="367">
        <f t="shared" si="17"/>
        <v>0</v>
      </c>
      <c r="H318" s="277"/>
      <c r="I318" s="281"/>
      <c r="J318" s="281"/>
      <c r="L318" s="277"/>
      <c r="M318" s="281"/>
      <c r="N318" s="277"/>
      <c r="P318" s="277"/>
      <c r="R318" s="277"/>
    </row>
    <row r="319" spans="1:18">
      <c r="A319" s="299">
        <v>4.3</v>
      </c>
      <c r="B319" s="1195" t="s">
        <v>2001</v>
      </c>
      <c r="C319" s="1196"/>
      <c r="D319" s="1197"/>
      <c r="E319" s="316">
        <v>1500</v>
      </c>
      <c r="F319" s="316">
        <f>E319*(F314)*F313</f>
        <v>0</v>
      </c>
      <c r="G319" s="367">
        <f t="shared" si="17"/>
        <v>0</v>
      </c>
      <c r="H319" s="277"/>
      <c r="I319" s="281"/>
      <c r="J319" s="281"/>
      <c r="L319" s="277"/>
      <c r="M319" s="281"/>
      <c r="N319" s="277"/>
      <c r="P319" s="277"/>
      <c r="R319" s="277"/>
    </row>
    <row r="320" spans="1:18">
      <c r="A320" s="299">
        <v>4.3</v>
      </c>
      <c r="B320" s="1195" t="s">
        <v>1987</v>
      </c>
      <c r="C320" s="1196"/>
      <c r="D320" s="1197"/>
      <c r="E320" s="316">
        <v>3500</v>
      </c>
      <c r="F320" s="316">
        <f>E320*F313*F314</f>
        <v>0</v>
      </c>
      <c r="G320" s="367">
        <f t="shared" si="17"/>
        <v>0</v>
      </c>
      <c r="H320" s="277"/>
      <c r="I320" s="281"/>
      <c r="J320" s="281"/>
      <c r="L320" s="277"/>
      <c r="M320" s="281"/>
      <c r="N320" s="277"/>
      <c r="P320" s="277"/>
      <c r="R320" s="277"/>
    </row>
    <row r="321" spans="1:18">
      <c r="A321" s="299">
        <v>4.3</v>
      </c>
      <c r="B321" s="1195" t="s">
        <v>2054</v>
      </c>
      <c r="C321" s="1196"/>
      <c r="D321" s="1197"/>
      <c r="E321" s="316">
        <v>4800</v>
      </c>
      <c r="F321" s="316">
        <f>E321*F313*F315</f>
        <v>0</v>
      </c>
      <c r="G321" s="367">
        <f t="shared" si="17"/>
        <v>0</v>
      </c>
      <c r="H321" s="277"/>
      <c r="I321" s="281"/>
      <c r="J321" s="281"/>
      <c r="L321" s="277"/>
      <c r="M321" s="281"/>
      <c r="N321" s="277"/>
      <c r="P321" s="277"/>
      <c r="R321" s="277"/>
    </row>
    <row r="322" spans="1:18" ht="12.75" thickBot="1">
      <c r="A322" s="299">
        <v>4.3</v>
      </c>
      <c r="B322" s="1195" t="s">
        <v>2055</v>
      </c>
      <c r="C322" s="1196"/>
      <c r="D322" s="1197"/>
      <c r="E322" s="316">
        <v>6000</v>
      </c>
      <c r="F322" s="316">
        <f>E322*F313*F314</f>
        <v>0</v>
      </c>
      <c r="G322" s="367">
        <f t="shared" si="17"/>
        <v>0</v>
      </c>
      <c r="H322" s="277"/>
      <c r="I322" s="281"/>
      <c r="J322" s="281"/>
      <c r="L322" s="277"/>
      <c r="M322" s="281"/>
      <c r="N322" s="277"/>
      <c r="P322" s="277"/>
      <c r="R322" s="277"/>
    </row>
    <row r="323" spans="1:18" ht="12.75" thickBot="1">
      <c r="A323" s="299"/>
      <c r="B323" s="1207" t="s">
        <v>1967</v>
      </c>
      <c r="C323" s="1208"/>
      <c r="D323" s="1208"/>
      <c r="E323" s="1209"/>
      <c r="F323" s="324">
        <f>SUM(F317:F322)</f>
        <v>0</v>
      </c>
      <c r="G323" s="369">
        <f>SUM(G317:G322)</f>
        <v>0</v>
      </c>
      <c r="H323" s="277"/>
      <c r="I323" s="281"/>
      <c r="J323" s="281"/>
      <c r="L323" s="277"/>
      <c r="M323" s="281"/>
      <c r="N323" s="277"/>
      <c r="P323" s="277"/>
      <c r="R323" s="277"/>
    </row>
    <row r="324" spans="1:18">
      <c r="G324" s="281"/>
      <c r="H324" s="277"/>
      <c r="I324" s="281"/>
      <c r="J324" s="281"/>
      <c r="L324" s="277"/>
      <c r="M324" s="281"/>
      <c r="N324" s="277"/>
      <c r="P324" s="277"/>
      <c r="R324" s="277"/>
    </row>
    <row r="325" spans="1:18">
      <c r="A325" s="284">
        <v>15</v>
      </c>
      <c r="B325" s="1219" t="s">
        <v>2056</v>
      </c>
      <c r="C325" s="1220"/>
      <c r="D325" s="1221"/>
      <c r="E325" s="282" t="s">
        <v>1890</v>
      </c>
      <c r="F325" s="282" t="str">
        <f>F291</f>
        <v>KADUNA</v>
      </c>
      <c r="G325" s="386" t="str">
        <f>+G291</f>
        <v xml:space="preserve">Total </v>
      </c>
      <c r="H325" s="360"/>
      <c r="L325" s="277"/>
      <c r="M325" s="281"/>
      <c r="N325" s="277"/>
      <c r="P325" s="277"/>
      <c r="R325" s="277"/>
    </row>
    <row r="326" spans="1:18">
      <c r="A326" s="299"/>
      <c r="B326" s="1195" t="s">
        <v>2057</v>
      </c>
      <c r="C326" s="1196"/>
      <c r="D326" s="1197"/>
      <c r="E326" s="270"/>
      <c r="F326" s="366">
        <f>C21</f>
        <v>2269</v>
      </c>
      <c r="G326" s="367">
        <f>SUM(F326:F326)</f>
        <v>2269</v>
      </c>
      <c r="H326" s="376"/>
      <c r="L326" s="277"/>
      <c r="M326" s="281"/>
      <c r="N326" s="277"/>
      <c r="P326" s="277"/>
      <c r="R326" s="277"/>
    </row>
    <row r="327" spans="1:18">
      <c r="A327" s="299"/>
      <c r="B327" s="1195" t="s">
        <v>1893</v>
      </c>
      <c r="C327" s="1196"/>
      <c r="D327" s="1197"/>
      <c r="E327" s="270"/>
      <c r="F327" s="270">
        <v>1</v>
      </c>
      <c r="G327" s="367">
        <v>1</v>
      </c>
      <c r="L327" s="277"/>
      <c r="M327" s="281"/>
      <c r="N327" s="277"/>
      <c r="P327" s="277"/>
      <c r="R327" s="277"/>
    </row>
    <row r="328" spans="1:18">
      <c r="A328" s="299"/>
      <c r="B328" s="1213" t="s">
        <v>2058</v>
      </c>
      <c r="C328" s="1214"/>
      <c r="D328" s="1215"/>
      <c r="E328" s="270"/>
      <c r="F328" s="366">
        <f>C33</f>
        <v>792</v>
      </c>
      <c r="G328" s="367">
        <f t="shared" ref="G328:G333" si="18">SUM(F328:F328)</f>
        <v>792</v>
      </c>
      <c r="L328" s="277"/>
      <c r="M328" s="281"/>
      <c r="N328" s="277"/>
      <c r="P328" s="277"/>
      <c r="R328" s="277"/>
    </row>
    <row r="329" spans="1:18">
      <c r="A329" s="299"/>
      <c r="B329" s="1213" t="s">
        <v>2059</v>
      </c>
      <c r="C329" s="1214"/>
      <c r="D329" s="1215"/>
      <c r="E329" s="270"/>
      <c r="F329" s="366">
        <f>C14+C16+C32</f>
        <v>138</v>
      </c>
      <c r="G329" s="367">
        <f t="shared" si="18"/>
        <v>138</v>
      </c>
      <c r="L329" s="277"/>
      <c r="M329" s="281"/>
      <c r="N329" s="277"/>
      <c r="P329" s="277"/>
      <c r="R329" s="277"/>
    </row>
    <row r="330" spans="1:18">
      <c r="A330" s="299">
        <v>4.4000000000000004</v>
      </c>
      <c r="B330" s="1195" t="s">
        <v>1898</v>
      </c>
      <c r="C330" s="1196"/>
      <c r="D330" s="1197"/>
      <c r="E330" s="316">
        <v>1500</v>
      </c>
      <c r="F330" s="316">
        <f>E330*(F326+F328+F329)*F327</f>
        <v>4798500</v>
      </c>
      <c r="G330" s="367">
        <f t="shared" si="18"/>
        <v>4798500</v>
      </c>
      <c r="L330" s="277"/>
      <c r="M330" s="281"/>
      <c r="N330" s="277"/>
      <c r="P330" s="277"/>
      <c r="R330" s="277"/>
    </row>
    <row r="331" spans="1:18">
      <c r="A331" s="299">
        <v>4.4000000000000004</v>
      </c>
      <c r="B331" s="1195" t="s">
        <v>1903</v>
      </c>
      <c r="C331" s="1196"/>
      <c r="D331" s="1197"/>
      <c r="E331" s="316">
        <v>600</v>
      </c>
      <c r="F331" s="316">
        <f>E331*F326*F327</f>
        <v>1361400</v>
      </c>
      <c r="G331" s="367">
        <f t="shared" si="18"/>
        <v>1361400</v>
      </c>
      <c r="L331" s="277"/>
      <c r="M331" s="281"/>
      <c r="N331" s="277"/>
      <c r="P331" s="277"/>
      <c r="R331" s="277"/>
    </row>
    <row r="332" spans="1:18">
      <c r="A332" s="299">
        <v>4.3</v>
      </c>
      <c r="B332" s="1195" t="s">
        <v>2060</v>
      </c>
      <c r="C332" s="1196"/>
      <c r="D332" s="1197"/>
      <c r="E332" s="316">
        <v>1200</v>
      </c>
      <c r="F332" s="316">
        <f>E332*(F328)*F327</f>
        <v>950400</v>
      </c>
      <c r="G332" s="367">
        <f t="shared" si="18"/>
        <v>950400</v>
      </c>
      <c r="L332" s="277"/>
      <c r="M332" s="281"/>
      <c r="N332" s="277"/>
      <c r="P332" s="277"/>
      <c r="R332" s="277"/>
    </row>
    <row r="333" spans="1:18" ht="12.75" thickBot="1">
      <c r="A333" s="299">
        <v>4.3</v>
      </c>
      <c r="B333" s="1195" t="s">
        <v>2061</v>
      </c>
      <c r="C333" s="1196"/>
      <c r="D333" s="1197"/>
      <c r="E333" s="316">
        <v>1800</v>
      </c>
      <c r="F333" s="316">
        <f>E333*F328*F327</f>
        <v>1425600</v>
      </c>
      <c r="G333" s="367">
        <f t="shared" si="18"/>
        <v>1425600</v>
      </c>
      <c r="L333" s="277"/>
      <c r="M333" s="281"/>
      <c r="N333" s="277"/>
      <c r="P333" s="277"/>
      <c r="R333" s="277"/>
    </row>
    <row r="334" spans="1:18" ht="12.75" thickBot="1">
      <c r="A334" s="299"/>
      <c r="B334" s="1207" t="s">
        <v>1967</v>
      </c>
      <c r="C334" s="1208"/>
      <c r="D334" s="1208"/>
      <c r="E334" s="1209"/>
      <c r="F334" s="324">
        <f>SUM(F330:F333)</f>
        <v>8535900</v>
      </c>
      <c r="G334" s="369">
        <f>SUM(G330:G333)</f>
        <v>8535900</v>
      </c>
      <c r="H334" s="296"/>
      <c r="L334" s="277"/>
      <c r="M334" s="281"/>
      <c r="N334" s="277"/>
      <c r="P334" s="277"/>
      <c r="R334" s="277"/>
    </row>
    <row r="335" spans="1:18">
      <c r="G335" s="281"/>
      <c r="H335" s="277"/>
      <c r="I335" s="281"/>
      <c r="J335" s="281"/>
      <c r="L335" s="277"/>
      <c r="M335" s="281"/>
      <c r="N335" s="277"/>
      <c r="P335" s="277"/>
      <c r="R335" s="277"/>
    </row>
    <row r="336" spans="1:18" s="362" customFormat="1" ht="12.75" thickBot="1">
      <c r="A336" s="284">
        <v>16</v>
      </c>
      <c r="B336" s="343" t="s">
        <v>2062</v>
      </c>
      <c r="C336" s="361"/>
      <c r="D336" s="361"/>
      <c r="E336" s="361"/>
      <c r="F336" s="361"/>
      <c r="G336" s="361"/>
      <c r="H336" s="361"/>
      <c r="I336" s="361"/>
      <c r="J336" s="361"/>
      <c r="K336" s="281"/>
      <c r="L336" s="368"/>
    </row>
    <row r="337" spans="1:18" s="362" customFormat="1" ht="15.75" customHeight="1" thickBot="1">
      <c r="A337" s="1222" t="s">
        <v>2063</v>
      </c>
      <c r="B337" s="1220"/>
      <c r="C337" s="1221"/>
      <c r="D337" s="388"/>
      <c r="E337" s="282" t="s">
        <v>10</v>
      </c>
      <c r="F337" s="1223" t="str">
        <f>F325</f>
        <v>KADUNA</v>
      </c>
      <c r="G337" s="1224"/>
      <c r="H337" s="389" t="str">
        <f>G222</f>
        <v xml:space="preserve">Total </v>
      </c>
      <c r="I337" s="390"/>
      <c r="J337" s="390"/>
      <c r="K337" s="281"/>
      <c r="L337" s="368"/>
    </row>
    <row r="338" spans="1:18" s="362" customFormat="1" ht="12.75" thickBot="1">
      <c r="A338" s="361"/>
      <c r="B338" s="391" t="s">
        <v>2064</v>
      </c>
      <c r="C338" s="392"/>
      <c r="D338" s="393"/>
      <c r="E338" s="394"/>
      <c r="F338" s="395" t="s">
        <v>143</v>
      </c>
      <c r="G338" s="396" t="s">
        <v>2065</v>
      </c>
      <c r="H338" s="397"/>
      <c r="I338" s="361"/>
      <c r="J338" s="361"/>
      <c r="K338" s="281"/>
      <c r="L338" s="368"/>
    </row>
    <row r="339" spans="1:18" s="362" customFormat="1">
      <c r="A339" s="343">
        <v>3.1</v>
      </c>
      <c r="B339" s="398" t="s">
        <v>2066</v>
      </c>
      <c r="C339" s="392"/>
      <c r="D339" s="393"/>
      <c r="E339" s="399">
        <f>50*1.05</f>
        <v>52.5</v>
      </c>
      <c r="F339" s="400">
        <f>'[5] Micro quantification'!AM29</f>
        <v>793.5</v>
      </c>
      <c r="G339" s="401">
        <f>E339*F339</f>
        <v>41658.75</v>
      </c>
      <c r="H339" s="402">
        <f>+SUM(G339)</f>
        <v>41658.75</v>
      </c>
      <c r="I339" s="403"/>
      <c r="J339" s="403"/>
    </row>
    <row r="340" spans="1:18" s="362" customFormat="1">
      <c r="A340" s="343">
        <v>3.1</v>
      </c>
      <c r="B340" s="398" t="s">
        <v>2067</v>
      </c>
      <c r="C340" s="392"/>
      <c r="D340" s="393"/>
      <c r="E340" s="399">
        <f>50*1.05</f>
        <v>52.5</v>
      </c>
      <c r="F340" s="400">
        <f>'[5] Micro quantification'!AN29</f>
        <v>17017.5</v>
      </c>
      <c r="G340" s="401">
        <f>E340*F340</f>
        <v>893418.75</v>
      </c>
      <c r="H340" s="402">
        <f>+SUM(G340)</f>
        <v>893418.75</v>
      </c>
      <c r="I340" s="403"/>
      <c r="J340" s="403"/>
      <c r="K340" s="281"/>
      <c r="L340" s="368"/>
    </row>
    <row r="341" spans="1:18" s="362" customFormat="1">
      <c r="A341" s="343">
        <v>3.1</v>
      </c>
      <c r="B341" s="398" t="s">
        <v>2068</v>
      </c>
      <c r="C341" s="392"/>
      <c r="D341" s="393"/>
      <c r="E341" s="399">
        <f>200*1.05</f>
        <v>210</v>
      </c>
      <c r="F341" s="400">
        <f>'[5] Micro quantification'!AL29</f>
        <v>517.5</v>
      </c>
      <c r="G341" s="401">
        <f>E341*F341</f>
        <v>108675</v>
      </c>
      <c r="H341" s="402">
        <f>+SUM(G341)</f>
        <v>108675</v>
      </c>
      <c r="I341" s="403"/>
      <c r="J341" s="403"/>
      <c r="K341" s="281"/>
      <c r="L341" s="368"/>
    </row>
    <row r="342" spans="1:18" s="362" customFormat="1">
      <c r="A342" s="343">
        <v>3.1</v>
      </c>
      <c r="B342" s="398" t="s">
        <v>2069</v>
      </c>
      <c r="C342" s="392"/>
      <c r="D342" s="393"/>
      <c r="E342" s="404">
        <f>30*1.05</f>
        <v>31.5</v>
      </c>
      <c r="F342" s="400">
        <f>'[5] Micro quantification'!AO29</f>
        <v>15315.75</v>
      </c>
      <c r="G342" s="401">
        <f>E342*F342</f>
        <v>482446.125</v>
      </c>
      <c r="H342" s="402">
        <f>+SUM(G342)</f>
        <v>482446.125</v>
      </c>
      <c r="I342" s="403"/>
      <c r="J342" s="403"/>
      <c r="K342" s="281"/>
      <c r="L342" s="368"/>
    </row>
    <row r="343" spans="1:18" s="362" customFormat="1">
      <c r="A343" s="343"/>
      <c r="B343" s="405" t="s">
        <v>2070</v>
      </c>
      <c r="C343" s="392"/>
      <c r="D343" s="393"/>
      <c r="E343" s="404"/>
      <c r="F343" s="406"/>
      <c r="G343" s="401"/>
      <c r="H343" s="402"/>
      <c r="I343" s="403"/>
      <c r="J343" s="403"/>
      <c r="K343" s="281"/>
      <c r="L343" s="368"/>
    </row>
    <row r="344" spans="1:18" s="362" customFormat="1">
      <c r="A344" s="343">
        <v>5.0999999999999996</v>
      </c>
      <c r="B344" s="398" t="s">
        <v>2071</v>
      </c>
      <c r="C344" s="361"/>
      <c r="D344" s="407"/>
      <c r="E344" s="399">
        <f>1500*1.05</f>
        <v>1575</v>
      </c>
      <c r="F344" s="408">
        <f>'[5] Micro quantification'!AX29</f>
        <v>4166</v>
      </c>
      <c r="G344" s="409">
        <f t="shared" ref="G344:G351" si="19">E344*F344</f>
        <v>6561450</v>
      </c>
      <c r="H344" s="402">
        <f t="shared" ref="H344:H351" si="20">+SUM(G344)</f>
        <v>6561450</v>
      </c>
      <c r="I344" s="403"/>
      <c r="J344" s="356"/>
      <c r="K344" s="281"/>
      <c r="L344" s="368"/>
    </row>
    <row r="345" spans="1:18">
      <c r="A345" s="343">
        <v>5.0999999999999996</v>
      </c>
      <c r="B345" s="398" t="s">
        <v>2072</v>
      </c>
      <c r="C345" s="392"/>
      <c r="D345" s="393"/>
      <c r="E345" s="399">
        <f>600*1.05</f>
        <v>630</v>
      </c>
      <c r="F345" s="406">
        <f>F344</f>
        <v>4166</v>
      </c>
      <c r="G345" s="409">
        <f t="shared" si="19"/>
        <v>2624580</v>
      </c>
      <c r="H345" s="402">
        <f t="shared" si="20"/>
        <v>2624580</v>
      </c>
      <c r="I345" s="403"/>
      <c r="J345" s="403"/>
      <c r="L345" s="277"/>
      <c r="M345" s="281"/>
      <c r="N345" s="277"/>
      <c r="P345" s="277"/>
      <c r="R345" s="277"/>
    </row>
    <row r="346" spans="1:18">
      <c r="A346" s="343">
        <v>5.0999999999999996</v>
      </c>
      <c r="B346" s="398" t="s">
        <v>2073</v>
      </c>
      <c r="C346" s="361"/>
      <c r="D346" s="407"/>
      <c r="E346" s="399">
        <f>950*1.05</f>
        <v>997.5</v>
      </c>
      <c r="F346" s="406">
        <f>'[5] Micro quantification'!AY29</f>
        <v>10892.699999999999</v>
      </c>
      <c r="G346" s="409">
        <f t="shared" si="19"/>
        <v>10865468.249999998</v>
      </c>
      <c r="H346" s="402">
        <f t="shared" si="20"/>
        <v>10865468.249999998</v>
      </c>
      <c r="I346" s="403"/>
      <c r="J346" s="281"/>
      <c r="N346" s="277"/>
      <c r="P346" s="277"/>
      <c r="R346" s="277"/>
    </row>
    <row r="347" spans="1:18">
      <c r="A347" s="343">
        <v>5.0999999999999996</v>
      </c>
      <c r="B347" s="410" t="s">
        <v>2074</v>
      </c>
      <c r="C347" s="411"/>
      <c r="D347" s="411"/>
      <c r="E347" s="399"/>
      <c r="F347" s="406"/>
      <c r="G347" s="409">
        <f t="shared" si="19"/>
        <v>0</v>
      </c>
      <c r="H347" s="402">
        <f t="shared" si="20"/>
        <v>0</v>
      </c>
      <c r="I347" s="403"/>
      <c r="J347" s="403"/>
      <c r="N347" s="277"/>
      <c r="P347" s="277"/>
      <c r="R347" s="277"/>
    </row>
    <row r="348" spans="1:18">
      <c r="A348" s="343">
        <v>5.0999999999999996</v>
      </c>
      <c r="B348" s="398" t="s">
        <v>2075</v>
      </c>
      <c r="C348" s="392"/>
      <c r="D348" s="393"/>
      <c r="E348" s="399">
        <f>1000*1.05</f>
        <v>1050</v>
      </c>
      <c r="F348" s="406">
        <f>C3+1</f>
        <v>24</v>
      </c>
      <c r="G348" s="409">
        <f t="shared" si="19"/>
        <v>25200</v>
      </c>
      <c r="H348" s="402">
        <f t="shared" si="20"/>
        <v>25200</v>
      </c>
      <c r="I348" s="403"/>
      <c r="J348" s="403"/>
      <c r="N348" s="277"/>
      <c r="P348" s="277"/>
      <c r="R348" s="277"/>
    </row>
    <row r="349" spans="1:18">
      <c r="A349" s="343">
        <v>5.0999999999999996</v>
      </c>
      <c r="B349" s="398" t="s">
        <v>2076</v>
      </c>
      <c r="C349" s="392"/>
      <c r="D349" s="393"/>
      <c r="E349" s="399">
        <f>10000*1.05</f>
        <v>10500</v>
      </c>
      <c r="F349" s="406">
        <f>F348</f>
        <v>24</v>
      </c>
      <c r="G349" s="409">
        <f t="shared" si="19"/>
        <v>252000</v>
      </c>
      <c r="H349" s="402">
        <f t="shared" si="20"/>
        <v>252000</v>
      </c>
      <c r="I349" s="403"/>
      <c r="J349" s="403"/>
      <c r="N349" s="277"/>
      <c r="P349" s="277"/>
      <c r="R349" s="277"/>
    </row>
    <row r="350" spans="1:18" ht="15.75" customHeight="1">
      <c r="A350" s="343">
        <v>5.0999999999999996</v>
      </c>
      <c r="B350" s="398" t="s">
        <v>2077</v>
      </c>
      <c r="C350" s="392"/>
      <c r="D350" s="393"/>
      <c r="E350" s="399">
        <f>500*1.05</f>
        <v>525</v>
      </c>
      <c r="F350" s="406">
        <f>F349</f>
        <v>24</v>
      </c>
      <c r="G350" s="409">
        <f t="shared" si="19"/>
        <v>12600</v>
      </c>
      <c r="H350" s="402">
        <f t="shared" si="20"/>
        <v>12600</v>
      </c>
      <c r="I350" s="403"/>
      <c r="J350" s="403"/>
      <c r="N350" s="277"/>
      <c r="P350" s="277"/>
      <c r="R350" s="277"/>
    </row>
    <row r="351" spans="1:18">
      <c r="A351" s="343">
        <v>5.0999999999999996</v>
      </c>
      <c r="B351" s="410" t="s">
        <v>2078</v>
      </c>
      <c r="C351" s="411"/>
      <c r="D351" s="411"/>
      <c r="E351" s="399">
        <f>179133*2*1.05</f>
        <v>376179.3</v>
      </c>
      <c r="F351" s="406">
        <v>1</v>
      </c>
      <c r="G351" s="409">
        <f t="shared" si="19"/>
        <v>376179.3</v>
      </c>
      <c r="H351" s="402">
        <f t="shared" si="20"/>
        <v>376179.3</v>
      </c>
      <c r="I351" s="412"/>
      <c r="J351" s="412"/>
      <c r="N351" s="277"/>
      <c r="P351" s="277"/>
      <c r="R351" s="277"/>
    </row>
    <row r="352" spans="1:18" ht="15.75" customHeight="1">
      <c r="A352" s="343"/>
      <c r="B352" s="405" t="s">
        <v>2079</v>
      </c>
      <c r="C352" s="392"/>
      <c r="D352" s="393"/>
      <c r="E352" s="399"/>
      <c r="F352" s="406"/>
      <c r="G352" s="401"/>
      <c r="H352" s="402"/>
      <c r="I352" s="403"/>
      <c r="J352" s="403"/>
      <c r="N352" s="277"/>
      <c r="P352" s="277"/>
      <c r="R352" s="277"/>
    </row>
    <row r="353" spans="1:18" s="362" customFormat="1">
      <c r="A353" s="343">
        <v>6.1</v>
      </c>
      <c r="B353" s="410" t="s">
        <v>2080</v>
      </c>
      <c r="C353" s="361"/>
      <c r="D353" s="407"/>
      <c r="E353" s="413">
        <v>0</v>
      </c>
      <c r="F353" s="406"/>
      <c r="G353" s="401">
        <f>E353*F353</f>
        <v>0</v>
      </c>
      <c r="H353" s="402">
        <f>G353</f>
        <v>0</v>
      </c>
      <c r="I353" s="414"/>
      <c r="J353" s="414"/>
      <c r="K353" s="281"/>
      <c r="L353" s="368"/>
    </row>
    <row r="354" spans="1:18" s="362" customFormat="1">
      <c r="A354" s="343">
        <v>6.1</v>
      </c>
      <c r="B354" s="410" t="s">
        <v>2081</v>
      </c>
      <c r="C354" s="392"/>
      <c r="D354" s="393"/>
      <c r="E354" s="413">
        <f>E353</f>
        <v>0</v>
      </c>
      <c r="F354" s="406"/>
      <c r="G354" s="401">
        <f>E354*F354</f>
        <v>0</v>
      </c>
      <c r="H354" s="402">
        <f>G354</f>
        <v>0</v>
      </c>
      <c r="I354" s="414"/>
      <c r="J354" s="414"/>
      <c r="K354" s="281"/>
      <c r="L354" s="368"/>
    </row>
    <row r="355" spans="1:18" ht="15.75" customHeight="1">
      <c r="A355" s="343">
        <v>6.1</v>
      </c>
      <c r="B355" s="398" t="s">
        <v>2082</v>
      </c>
      <c r="C355" s="392"/>
      <c r="D355" s="393"/>
      <c r="E355" s="399">
        <f>50*1.05</f>
        <v>52.5</v>
      </c>
      <c r="F355" s="406">
        <f>'[5] Micro quantification'!W29</f>
        <v>5218.6999999999989</v>
      </c>
      <c r="G355" s="401">
        <f>E355*F355</f>
        <v>273981.74999999994</v>
      </c>
      <c r="H355" s="402">
        <f>+SUM(G355)</f>
        <v>273981.74999999994</v>
      </c>
      <c r="I355" s="403"/>
      <c r="J355" s="403"/>
      <c r="N355" s="277"/>
      <c r="P355" s="277"/>
      <c r="R355" s="277"/>
    </row>
    <row r="356" spans="1:18">
      <c r="A356" s="343">
        <v>4.4000000000000004</v>
      </c>
      <c r="B356" s="398" t="s">
        <v>2083</v>
      </c>
      <c r="C356" s="392"/>
      <c r="D356" s="393"/>
      <c r="E356" s="399">
        <f>2000*1.05</f>
        <v>2100</v>
      </c>
      <c r="F356" s="406">
        <v>148.5</v>
      </c>
      <c r="G356" s="401">
        <f t="shared" ref="G356:G378" si="21">E356*F356</f>
        <v>311850</v>
      </c>
      <c r="H356" s="402">
        <f t="shared" ref="H356:H378" si="22">+SUM(G356)</f>
        <v>311850</v>
      </c>
      <c r="I356" s="403"/>
      <c r="J356" s="403"/>
      <c r="N356" s="277"/>
      <c r="P356" s="277"/>
      <c r="R356" s="277"/>
    </row>
    <row r="357" spans="1:18">
      <c r="A357" s="343">
        <v>6.1</v>
      </c>
      <c r="B357" s="399" t="s">
        <v>2084</v>
      </c>
      <c r="C357" s="415"/>
      <c r="D357" s="415"/>
      <c r="E357" s="399">
        <f>15*1.05</f>
        <v>15.75</v>
      </c>
      <c r="F357" s="406">
        <v>211.6</v>
      </c>
      <c r="G357" s="401">
        <f t="shared" si="21"/>
        <v>3332.7</v>
      </c>
      <c r="H357" s="402">
        <f t="shared" si="22"/>
        <v>3332.7</v>
      </c>
      <c r="I357" s="403"/>
      <c r="J357" s="403"/>
      <c r="N357" s="277"/>
      <c r="P357" s="277"/>
      <c r="R357" s="277"/>
    </row>
    <row r="358" spans="1:18">
      <c r="A358" s="343">
        <v>6.1</v>
      </c>
      <c r="B358" s="399" t="s">
        <v>2085</v>
      </c>
      <c r="C358" s="415"/>
      <c r="D358" s="415"/>
      <c r="E358" s="399">
        <f>15*1.05</f>
        <v>15.75</v>
      </c>
      <c r="F358" s="406">
        <v>1980.3</v>
      </c>
      <c r="G358" s="401">
        <f t="shared" si="21"/>
        <v>31189.724999999999</v>
      </c>
      <c r="H358" s="402">
        <f t="shared" si="22"/>
        <v>31189.724999999999</v>
      </c>
      <c r="I358" s="403"/>
      <c r="J358" s="403"/>
      <c r="N358" s="277"/>
      <c r="P358" s="277"/>
      <c r="R358" s="277"/>
    </row>
    <row r="359" spans="1:18">
      <c r="A359" s="343">
        <v>6.1</v>
      </c>
      <c r="B359" s="399" t="s">
        <v>2086</v>
      </c>
      <c r="C359" s="415"/>
      <c r="D359" s="415"/>
      <c r="E359" s="399">
        <f>15*1.05</f>
        <v>15.75</v>
      </c>
      <c r="F359" s="406">
        <v>5377.4</v>
      </c>
      <c r="G359" s="401">
        <f t="shared" si="21"/>
        <v>84694.049999999988</v>
      </c>
      <c r="H359" s="402">
        <f t="shared" si="22"/>
        <v>84694.049999999988</v>
      </c>
      <c r="I359" s="403"/>
      <c r="J359" s="403"/>
      <c r="N359" s="277"/>
      <c r="P359" s="277"/>
      <c r="R359" s="277"/>
    </row>
    <row r="360" spans="1:18">
      <c r="A360" s="343">
        <v>6.1</v>
      </c>
      <c r="B360" s="398" t="s">
        <v>2087</v>
      </c>
      <c r="C360" s="392"/>
      <c r="D360" s="393"/>
      <c r="E360" s="399"/>
      <c r="F360" s="406"/>
      <c r="G360" s="401">
        <f t="shared" si="21"/>
        <v>0</v>
      </c>
      <c r="H360" s="402">
        <f t="shared" si="22"/>
        <v>0</v>
      </c>
      <c r="I360" s="1225"/>
      <c r="J360" s="416"/>
      <c r="N360" s="277"/>
      <c r="P360" s="277"/>
      <c r="R360" s="277"/>
    </row>
    <row r="361" spans="1:18">
      <c r="A361" s="343">
        <v>6.1</v>
      </c>
      <c r="B361" s="398" t="s">
        <v>2088</v>
      </c>
      <c r="C361" s="392"/>
      <c r="D361" s="393"/>
      <c r="E361" s="399"/>
      <c r="F361" s="406"/>
      <c r="G361" s="401">
        <f t="shared" si="21"/>
        <v>0</v>
      </c>
      <c r="H361" s="402">
        <f t="shared" si="22"/>
        <v>0</v>
      </c>
      <c r="I361" s="1225"/>
      <c r="J361" s="416"/>
      <c r="N361" s="277"/>
      <c r="P361" s="277"/>
      <c r="R361" s="277"/>
    </row>
    <row r="362" spans="1:18">
      <c r="A362" s="343">
        <v>6.1</v>
      </c>
      <c r="B362" s="398" t="s">
        <v>2089</v>
      </c>
      <c r="C362" s="392"/>
      <c r="D362" s="393"/>
      <c r="E362" s="399">
        <f>15*1.05</f>
        <v>15.75</v>
      </c>
      <c r="F362" s="406">
        <f>'[5] Micro quantification'!AF29</f>
        <v>9189.4500000000007</v>
      </c>
      <c r="G362" s="401">
        <f t="shared" si="21"/>
        <v>144733.83750000002</v>
      </c>
      <c r="H362" s="402">
        <f t="shared" si="22"/>
        <v>144733.83750000002</v>
      </c>
      <c r="I362" s="403"/>
      <c r="J362" s="403"/>
      <c r="N362" s="277"/>
      <c r="P362" s="277"/>
      <c r="R362" s="277"/>
    </row>
    <row r="363" spans="1:18">
      <c r="A363" s="343">
        <v>6.1</v>
      </c>
      <c r="B363" s="398" t="s">
        <v>2090</v>
      </c>
      <c r="C363" s="392"/>
      <c r="D363" s="393"/>
      <c r="E363" s="399">
        <f>15*1.05</f>
        <v>15.75</v>
      </c>
      <c r="F363" s="406">
        <f>'[5] Micro quantification'!AG29</f>
        <v>5346</v>
      </c>
      <c r="G363" s="401">
        <f t="shared" si="21"/>
        <v>84199.5</v>
      </c>
      <c r="H363" s="402">
        <f t="shared" si="22"/>
        <v>84199.5</v>
      </c>
      <c r="I363" s="403"/>
      <c r="J363" s="403"/>
      <c r="L363" s="277"/>
      <c r="M363" s="281"/>
      <c r="N363" s="277"/>
      <c r="O363" s="281"/>
      <c r="P363" s="277"/>
      <c r="Q363" s="281"/>
      <c r="R363" s="277"/>
    </row>
    <row r="364" spans="1:18">
      <c r="A364" s="343">
        <v>6.1</v>
      </c>
      <c r="B364" s="398" t="s">
        <v>2091</v>
      </c>
      <c r="C364" s="411"/>
      <c r="D364" s="411"/>
      <c r="E364" s="399">
        <f>30*1.05</f>
        <v>31.5</v>
      </c>
      <c r="F364" s="406">
        <f>'[5] Micro quantification'!AE29</f>
        <v>98115.190000000017</v>
      </c>
      <c r="G364" s="401">
        <f t="shared" si="21"/>
        <v>3090628.4850000003</v>
      </c>
      <c r="H364" s="402">
        <f t="shared" si="22"/>
        <v>3090628.4850000003</v>
      </c>
      <c r="I364" s="403"/>
      <c r="J364" s="403"/>
      <c r="N364" s="277"/>
      <c r="P364" s="277"/>
      <c r="R364" s="277"/>
    </row>
    <row r="365" spans="1:18">
      <c r="A365" s="343">
        <v>6.1</v>
      </c>
      <c r="B365" s="398" t="s">
        <v>2092</v>
      </c>
      <c r="C365" s="411"/>
      <c r="D365" s="411"/>
      <c r="E365" s="399">
        <f>400*1.05</f>
        <v>420</v>
      </c>
      <c r="F365" s="406">
        <f>'[5] Micro quantification'!AP29</f>
        <v>9076</v>
      </c>
      <c r="G365" s="401">
        <f t="shared" si="21"/>
        <v>3811920</v>
      </c>
      <c r="H365" s="402">
        <f t="shared" si="22"/>
        <v>3811920</v>
      </c>
      <c r="I365" s="403"/>
      <c r="J365" s="403"/>
      <c r="N365" s="277"/>
      <c r="P365" s="277"/>
      <c r="R365" s="277"/>
    </row>
    <row r="366" spans="1:18">
      <c r="A366" s="343">
        <v>6.1</v>
      </c>
      <c r="B366" s="398" t="s">
        <v>2093</v>
      </c>
      <c r="C366" s="411"/>
      <c r="D366" s="411"/>
      <c r="E366" s="399">
        <f>60*1.05</f>
        <v>63</v>
      </c>
      <c r="F366" s="406">
        <f>'[5] Micro quantification'!AQ29</f>
        <v>7750.9800000000014</v>
      </c>
      <c r="G366" s="401">
        <f t="shared" si="21"/>
        <v>488311.74000000011</v>
      </c>
      <c r="H366" s="402">
        <f t="shared" si="22"/>
        <v>488311.74000000011</v>
      </c>
      <c r="I366" s="403"/>
      <c r="J366" s="356"/>
      <c r="N366" s="277"/>
      <c r="P366" s="277"/>
      <c r="R366" s="277"/>
    </row>
    <row r="367" spans="1:18">
      <c r="A367" s="343">
        <v>7.1</v>
      </c>
      <c r="B367" s="398" t="s">
        <v>2094</v>
      </c>
      <c r="C367" s="392"/>
      <c r="D367" s="393"/>
      <c r="E367" s="399">
        <f>E339*3</f>
        <v>157.5</v>
      </c>
      <c r="F367" s="406">
        <f>'[5] Micro quantification'!AV29</f>
        <v>2292</v>
      </c>
      <c r="G367" s="401">
        <f t="shared" si="21"/>
        <v>360990</v>
      </c>
      <c r="H367" s="402">
        <f t="shared" si="22"/>
        <v>360990</v>
      </c>
      <c r="I367" s="403"/>
      <c r="J367" s="403"/>
      <c r="N367" s="277"/>
      <c r="P367" s="277"/>
      <c r="R367" s="277"/>
    </row>
    <row r="368" spans="1:18" ht="15" customHeight="1">
      <c r="A368" s="343">
        <v>7.1</v>
      </c>
      <c r="B368" s="398" t="s">
        <v>2095</v>
      </c>
      <c r="C368" s="411"/>
      <c r="D368" s="399"/>
      <c r="E368" s="417">
        <f>(20*5)*1.05</f>
        <v>105</v>
      </c>
      <c r="F368" s="418">
        <f>'[5] Micro quantification'!AA29</f>
        <v>5218.6999999999989</v>
      </c>
      <c r="G368" s="401">
        <f t="shared" si="21"/>
        <v>547963.49999999988</v>
      </c>
      <c r="H368" s="402">
        <f t="shared" si="22"/>
        <v>547963.49999999988</v>
      </c>
      <c r="I368" s="403"/>
      <c r="J368" s="403"/>
      <c r="N368" s="277"/>
      <c r="P368" s="277"/>
      <c r="R368" s="277"/>
    </row>
    <row r="369" spans="1:18">
      <c r="A369" s="343">
        <v>7.1</v>
      </c>
      <c r="B369" s="398" t="s">
        <v>2096</v>
      </c>
      <c r="C369" s="411"/>
      <c r="D369" s="399"/>
      <c r="E369" s="417">
        <f>(20*3)*1.05</f>
        <v>63</v>
      </c>
      <c r="F369" s="418">
        <f>'[5] Micro quantification'!Z29</f>
        <v>2609.3499999999995</v>
      </c>
      <c r="G369" s="401">
        <f t="shared" si="21"/>
        <v>164389.04999999996</v>
      </c>
      <c r="H369" s="402">
        <f t="shared" si="22"/>
        <v>164389.04999999996</v>
      </c>
      <c r="I369" s="403"/>
      <c r="J369" s="403"/>
      <c r="N369" s="277"/>
      <c r="P369" s="277"/>
      <c r="R369" s="277"/>
    </row>
    <row r="370" spans="1:18">
      <c r="A370" s="343">
        <v>7.1</v>
      </c>
      <c r="B370" s="398" t="s">
        <v>2097</v>
      </c>
      <c r="C370" s="411"/>
      <c r="D370" s="399"/>
      <c r="E370" s="417">
        <f>15*1.05</f>
        <v>15.75</v>
      </c>
      <c r="F370" s="418">
        <f>'[5] Micro quantification'!Y29</f>
        <v>9983.600000000004</v>
      </c>
      <c r="G370" s="401">
        <f t="shared" si="21"/>
        <v>157241.70000000007</v>
      </c>
      <c r="H370" s="402">
        <f t="shared" si="22"/>
        <v>157241.70000000007</v>
      </c>
      <c r="I370" s="403"/>
      <c r="J370" s="403"/>
      <c r="N370" s="277"/>
      <c r="P370" s="277"/>
      <c r="R370" s="277"/>
    </row>
    <row r="371" spans="1:18">
      <c r="A371" s="343">
        <v>7.1</v>
      </c>
      <c r="B371" s="398" t="s">
        <v>2098</v>
      </c>
      <c r="C371" s="411"/>
      <c r="D371" s="399"/>
      <c r="E371" s="417">
        <f>(20*5)*1.05</f>
        <v>105</v>
      </c>
      <c r="F371" s="418">
        <f>'[5] Micro quantification'!AK29</f>
        <v>62.10000000000003</v>
      </c>
      <c r="G371" s="401">
        <f t="shared" si="21"/>
        <v>6520.5000000000027</v>
      </c>
      <c r="H371" s="402">
        <f t="shared" si="22"/>
        <v>6520.5000000000027</v>
      </c>
      <c r="I371" s="403"/>
      <c r="J371" s="356"/>
      <c r="N371" s="277"/>
      <c r="P371" s="277"/>
      <c r="R371" s="277"/>
    </row>
    <row r="372" spans="1:18">
      <c r="A372" s="343">
        <v>7.1</v>
      </c>
      <c r="B372" s="398" t="s">
        <v>2099</v>
      </c>
      <c r="C372" s="411"/>
      <c r="D372" s="399"/>
      <c r="E372" s="417">
        <f>(20*5)*1.05</f>
        <v>105</v>
      </c>
      <c r="F372" s="418">
        <f>'[5] Micro quantification'!AB29</f>
        <v>871.2</v>
      </c>
      <c r="G372" s="401">
        <f t="shared" si="21"/>
        <v>91476</v>
      </c>
      <c r="H372" s="402">
        <f t="shared" si="22"/>
        <v>91476</v>
      </c>
      <c r="I372" s="403"/>
      <c r="J372" s="403"/>
      <c r="N372" s="277"/>
      <c r="P372" s="277"/>
      <c r="R372" s="277"/>
    </row>
    <row r="373" spans="1:18">
      <c r="A373" s="343">
        <v>7.1</v>
      </c>
      <c r="B373" s="419" t="s">
        <v>2100</v>
      </c>
      <c r="C373" s="411"/>
      <c r="D373" s="399"/>
      <c r="E373" s="417">
        <f>(20*5)*1.05</f>
        <v>105</v>
      </c>
      <c r="F373" s="418">
        <f>'[5] Micro quantification'!AC29</f>
        <v>126.5</v>
      </c>
      <c r="G373" s="401">
        <f t="shared" si="21"/>
        <v>13282.5</v>
      </c>
      <c r="H373" s="402">
        <f t="shared" si="22"/>
        <v>13282.5</v>
      </c>
      <c r="I373" s="403"/>
      <c r="J373" s="356"/>
      <c r="N373" s="277"/>
      <c r="P373" s="277"/>
      <c r="R373" s="277"/>
    </row>
    <row r="374" spans="1:18">
      <c r="A374" s="343">
        <v>4.4000000000000004</v>
      </c>
      <c r="B374" s="420" t="s">
        <v>2101</v>
      </c>
      <c r="C374" s="411"/>
      <c r="D374" s="411"/>
      <c r="E374" s="399"/>
      <c r="F374" s="418"/>
      <c r="G374" s="401">
        <f t="shared" si="21"/>
        <v>0</v>
      </c>
      <c r="H374" s="402">
        <f t="shared" si="22"/>
        <v>0</v>
      </c>
      <c r="I374" s="403"/>
      <c r="J374" s="403"/>
      <c r="N374" s="277"/>
      <c r="P374" s="277"/>
      <c r="R374" s="277"/>
    </row>
    <row r="375" spans="1:18">
      <c r="A375" s="343">
        <v>4.0999999999999996</v>
      </c>
      <c r="B375" s="421" t="s">
        <v>2102</v>
      </c>
      <c r="C375" s="411"/>
      <c r="D375" s="411"/>
      <c r="E375" s="399">
        <f>2000*1.05</f>
        <v>2100</v>
      </c>
      <c r="F375" s="406">
        <f>'[5] Micro quantification'!AR29</f>
        <v>167.244</v>
      </c>
      <c r="G375" s="401">
        <f t="shared" si="21"/>
        <v>351212.4</v>
      </c>
      <c r="H375" s="402">
        <f t="shared" si="22"/>
        <v>351212.4</v>
      </c>
      <c r="I375" s="403"/>
      <c r="J375" s="403"/>
      <c r="N375" s="277"/>
      <c r="P375" s="277"/>
      <c r="R375" s="277"/>
    </row>
    <row r="376" spans="1:18">
      <c r="A376" s="343">
        <v>7.1</v>
      </c>
      <c r="B376" s="421" t="s">
        <v>2103</v>
      </c>
      <c r="C376" s="411"/>
      <c r="D376" s="411"/>
      <c r="E376" s="399">
        <f>300*1.05</f>
        <v>315</v>
      </c>
      <c r="F376" s="406">
        <f>'[5] Micro quantification'!AS29</f>
        <v>2382.4499999999998</v>
      </c>
      <c r="G376" s="401">
        <f t="shared" si="21"/>
        <v>750471.75</v>
      </c>
      <c r="H376" s="402">
        <f t="shared" si="22"/>
        <v>750471.75</v>
      </c>
      <c r="I376" s="403"/>
      <c r="J376" s="403"/>
      <c r="N376" s="277"/>
      <c r="P376" s="277"/>
      <c r="R376" s="277"/>
    </row>
    <row r="377" spans="1:18">
      <c r="A377" s="343">
        <v>7.1</v>
      </c>
      <c r="B377" s="421" t="s">
        <v>2104</v>
      </c>
      <c r="C377" s="411"/>
      <c r="D377" s="399"/>
      <c r="E377" s="422">
        <f>100*1.05</f>
        <v>105</v>
      </c>
      <c r="F377" s="406">
        <f>'[5] Micro quantification'!AU29</f>
        <v>4538</v>
      </c>
      <c r="G377" s="401">
        <f t="shared" si="21"/>
        <v>476490</v>
      </c>
      <c r="H377" s="402">
        <f t="shared" si="22"/>
        <v>476490</v>
      </c>
      <c r="I377" s="403"/>
      <c r="J377" s="403"/>
      <c r="N377" s="277"/>
      <c r="P377" s="277"/>
      <c r="R377" s="277"/>
    </row>
    <row r="378" spans="1:18">
      <c r="A378" s="343">
        <v>7.1</v>
      </c>
      <c r="B378" s="423" t="s">
        <v>2105</v>
      </c>
      <c r="C378" s="411"/>
      <c r="D378" s="399"/>
      <c r="E378" s="422">
        <f>50*1.05</f>
        <v>52.5</v>
      </c>
      <c r="F378" s="406">
        <f>F412</f>
        <v>4407.8224</v>
      </c>
      <c r="G378" s="401">
        <f t="shared" si="21"/>
        <v>231410.67600000001</v>
      </c>
      <c r="H378" s="402">
        <f t="shared" si="22"/>
        <v>231410.67600000001</v>
      </c>
      <c r="I378" s="403"/>
      <c r="J378" s="403"/>
      <c r="N378" s="277"/>
      <c r="P378" s="277"/>
      <c r="R378" s="277"/>
    </row>
    <row r="379" spans="1:18">
      <c r="A379" s="343"/>
      <c r="B379" s="424" t="s">
        <v>2106</v>
      </c>
      <c r="C379" s="411"/>
      <c r="D379" s="411"/>
      <c r="E379" s="399"/>
      <c r="F379" s="406"/>
      <c r="G379" s="401"/>
      <c r="H379" s="402"/>
      <c r="I379" s="403"/>
      <c r="J379" s="403"/>
      <c r="N379" s="277"/>
      <c r="P379" s="277"/>
      <c r="R379" s="277"/>
    </row>
    <row r="380" spans="1:18" ht="15.75" customHeight="1">
      <c r="A380" s="343">
        <v>12.1</v>
      </c>
      <c r="B380" s="410" t="s">
        <v>2107</v>
      </c>
      <c r="C380" s="392"/>
      <c r="D380" s="393"/>
      <c r="E380" s="399">
        <v>0</v>
      </c>
      <c r="F380" s="406"/>
      <c r="G380" s="401">
        <f t="shared" ref="G380:G387" si="23">E380*F380</f>
        <v>0</v>
      </c>
      <c r="H380" s="402">
        <f t="shared" ref="H380:H391" si="24">+SUM(G380)</f>
        <v>0</v>
      </c>
      <c r="I380" s="403"/>
      <c r="J380" s="403"/>
      <c r="N380" s="277"/>
      <c r="P380" s="277"/>
      <c r="R380" s="277"/>
    </row>
    <row r="381" spans="1:18" ht="15.75" customHeight="1">
      <c r="A381" s="343">
        <v>12.1</v>
      </c>
      <c r="B381" s="410" t="s">
        <v>2108</v>
      </c>
      <c r="C381" s="392"/>
      <c r="D381" s="393"/>
      <c r="E381" s="399">
        <v>0</v>
      </c>
      <c r="F381" s="406"/>
      <c r="G381" s="401">
        <f t="shared" si="23"/>
        <v>0</v>
      </c>
      <c r="H381" s="402">
        <f t="shared" si="24"/>
        <v>0</v>
      </c>
      <c r="I381" s="425"/>
      <c r="J381" s="426"/>
      <c r="N381" s="277"/>
      <c r="P381" s="277"/>
      <c r="R381" s="277"/>
    </row>
    <row r="382" spans="1:18">
      <c r="A382" s="343">
        <v>12.4</v>
      </c>
      <c r="B382" s="410" t="s">
        <v>2109</v>
      </c>
      <c r="C382" s="392"/>
      <c r="D382" s="393"/>
      <c r="E382" s="399">
        <v>0</v>
      </c>
      <c r="F382" s="406"/>
      <c r="G382" s="401">
        <f t="shared" si="23"/>
        <v>0</v>
      </c>
      <c r="H382" s="402">
        <f t="shared" si="24"/>
        <v>0</v>
      </c>
      <c r="I382" s="403"/>
      <c r="J382" s="403"/>
      <c r="N382" s="277"/>
      <c r="P382" s="277"/>
      <c r="R382" s="277"/>
    </row>
    <row r="383" spans="1:18">
      <c r="A383" s="343">
        <v>12.1</v>
      </c>
      <c r="B383" s="410" t="s">
        <v>2110</v>
      </c>
      <c r="C383" s="392"/>
      <c r="D383" s="393"/>
      <c r="E383" s="399">
        <f>200*1.05</f>
        <v>210</v>
      </c>
      <c r="F383" s="406">
        <f>C36</f>
        <v>11880</v>
      </c>
      <c r="G383" s="401">
        <f t="shared" si="23"/>
        <v>2494800</v>
      </c>
      <c r="H383" s="402">
        <f t="shared" si="24"/>
        <v>2494800</v>
      </c>
      <c r="I383" s="425"/>
      <c r="J383" s="426"/>
      <c r="N383" s="277"/>
      <c r="P383" s="277"/>
      <c r="R383" s="277"/>
    </row>
    <row r="384" spans="1:18">
      <c r="A384" s="343">
        <v>12.1</v>
      </c>
      <c r="B384" s="410" t="s">
        <v>2111</v>
      </c>
      <c r="C384" s="392"/>
      <c r="D384" s="393"/>
      <c r="E384" s="399">
        <v>0</v>
      </c>
      <c r="F384" s="406"/>
      <c r="G384" s="401">
        <f t="shared" si="23"/>
        <v>0</v>
      </c>
      <c r="H384" s="402">
        <f t="shared" si="24"/>
        <v>0</v>
      </c>
      <c r="I384" s="403"/>
      <c r="J384" s="403"/>
      <c r="N384" s="277"/>
      <c r="P384" s="277"/>
      <c r="R384" s="277"/>
    </row>
    <row r="385" spans="1:18">
      <c r="A385" s="343">
        <v>12.1</v>
      </c>
      <c r="B385" s="410" t="s">
        <v>2112</v>
      </c>
      <c r="C385" s="411"/>
      <c r="D385" s="411"/>
      <c r="E385" s="399">
        <v>500</v>
      </c>
      <c r="F385" s="406">
        <v>660</v>
      </c>
      <c r="G385" s="401">
        <f t="shared" si="23"/>
        <v>330000</v>
      </c>
      <c r="H385" s="402">
        <f t="shared" si="24"/>
        <v>330000</v>
      </c>
      <c r="I385" s="403"/>
      <c r="J385" s="403"/>
      <c r="N385" s="277"/>
      <c r="P385" s="277"/>
      <c r="R385" s="277"/>
    </row>
    <row r="386" spans="1:18">
      <c r="A386" s="343">
        <v>12.1</v>
      </c>
      <c r="B386" s="410" t="s">
        <v>2113</v>
      </c>
      <c r="C386" s="411"/>
      <c r="D386" s="411"/>
      <c r="E386" s="399">
        <v>1000</v>
      </c>
      <c r="F386" s="406">
        <v>660</v>
      </c>
      <c r="G386" s="401">
        <f t="shared" si="23"/>
        <v>660000</v>
      </c>
      <c r="H386" s="402">
        <f t="shared" si="24"/>
        <v>660000</v>
      </c>
      <c r="I386" s="403"/>
      <c r="J386" s="403"/>
      <c r="N386" s="277"/>
      <c r="P386" s="277"/>
      <c r="R386" s="277"/>
    </row>
    <row r="387" spans="1:18">
      <c r="A387" s="343">
        <v>12.1</v>
      </c>
      <c r="B387" s="410" t="s">
        <v>2114</v>
      </c>
      <c r="C387" s="411"/>
      <c r="D387" s="411"/>
      <c r="E387" s="399">
        <v>100</v>
      </c>
      <c r="F387" s="406">
        <v>660</v>
      </c>
      <c r="G387" s="401">
        <f t="shared" si="23"/>
        <v>66000</v>
      </c>
      <c r="H387" s="402">
        <f t="shared" si="24"/>
        <v>66000</v>
      </c>
      <c r="I387" s="403"/>
      <c r="J387" s="403"/>
      <c r="N387" s="277"/>
      <c r="P387" s="277"/>
      <c r="R387" s="277"/>
    </row>
    <row r="388" spans="1:18">
      <c r="A388" s="343">
        <v>12.1</v>
      </c>
      <c r="B388" s="410" t="s">
        <v>2115</v>
      </c>
      <c r="C388" s="411"/>
      <c r="D388" s="411"/>
      <c r="E388" s="399">
        <v>0</v>
      </c>
      <c r="F388" s="427">
        <v>0</v>
      </c>
      <c r="G388" s="428">
        <v>0</v>
      </c>
      <c r="H388" s="402">
        <f t="shared" si="24"/>
        <v>0</v>
      </c>
      <c r="I388" s="403"/>
      <c r="J388" s="403"/>
      <c r="N388" s="277"/>
      <c r="P388" s="277"/>
      <c r="R388" s="277"/>
    </row>
    <row r="389" spans="1:18" ht="12" customHeight="1">
      <c r="A389" s="343">
        <v>12.1</v>
      </c>
      <c r="B389" s="410" t="s">
        <v>2116</v>
      </c>
      <c r="C389" s="429"/>
      <c r="D389" s="430"/>
      <c r="E389" s="399">
        <f>200*1.05</f>
        <v>210</v>
      </c>
      <c r="F389" s="431">
        <f>((C20/2)+(1*C9))/20*1.05</f>
        <v>238.245</v>
      </c>
      <c r="G389" s="401">
        <f>E389*F389</f>
        <v>50031.450000000004</v>
      </c>
      <c r="H389" s="402">
        <f t="shared" si="24"/>
        <v>50031.450000000004</v>
      </c>
      <c r="I389" s="432"/>
      <c r="J389" s="433"/>
      <c r="N389" s="277"/>
      <c r="P389" s="277"/>
      <c r="R389" s="277"/>
    </row>
    <row r="390" spans="1:18">
      <c r="A390" s="343">
        <v>12.4</v>
      </c>
      <c r="B390" s="410" t="s">
        <v>2117</v>
      </c>
      <c r="C390" s="429"/>
      <c r="D390" s="430"/>
      <c r="E390" s="399">
        <f>15*1.05</f>
        <v>15.75</v>
      </c>
      <c r="F390" s="431">
        <f>(C13+C14+C16+C19+C20+C22+C25+C26+C27+C28+C29+C30+C32+C33+C35)/20</f>
        <v>476.1</v>
      </c>
      <c r="G390" s="401">
        <f>E390*F390</f>
        <v>7498.5750000000007</v>
      </c>
      <c r="H390" s="402">
        <f t="shared" si="24"/>
        <v>7498.5750000000007</v>
      </c>
      <c r="I390" s="432"/>
      <c r="J390" s="433"/>
      <c r="N390" s="277"/>
      <c r="P390" s="277"/>
      <c r="R390" s="277"/>
    </row>
    <row r="391" spans="1:18">
      <c r="A391" s="299">
        <v>12.1</v>
      </c>
      <c r="B391" s="410" t="s">
        <v>2118</v>
      </c>
      <c r="C391" s="429"/>
      <c r="D391" s="430"/>
      <c r="E391" s="399">
        <f>15*1.05</f>
        <v>15.75</v>
      </c>
      <c r="F391" s="431">
        <f>C16+C20+C27+C29+C35+C22+C33+C10+((C16+C20+C27+C29+C35+C22+C33+C10) * 0.05)</f>
        <v>8247.75</v>
      </c>
      <c r="G391" s="401">
        <f>E391*F391</f>
        <v>129902.0625</v>
      </c>
      <c r="H391" s="402">
        <f t="shared" si="24"/>
        <v>129902.0625</v>
      </c>
      <c r="I391" s="434"/>
      <c r="J391" s="296"/>
      <c r="N391" s="277"/>
      <c r="P391" s="277"/>
      <c r="R391" s="277"/>
    </row>
    <row r="392" spans="1:18">
      <c r="A392" s="299"/>
      <c r="B392" s="405" t="s">
        <v>2119</v>
      </c>
      <c r="C392" s="429"/>
      <c r="D392" s="429"/>
      <c r="E392" s="399"/>
      <c r="F392" s="270"/>
      <c r="G392" s="401"/>
      <c r="H392" s="402"/>
      <c r="I392" s="403"/>
      <c r="J392" s="403"/>
      <c r="N392" s="277"/>
      <c r="P392" s="277"/>
      <c r="R392" s="277"/>
    </row>
    <row r="393" spans="1:18">
      <c r="A393" s="299">
        <v>8.1</v>
      </c>
      <c r="B393" s="398" t="s">
        <v>2120</v>
      </c>
      <c r="C393" s="429"/>
      <c r="D393" s="430"/>
      <c r="E393" s="399">
        <f>15*1.05</f>
        <v>15.75</v>
      </c>
      <c r="F393" s="435">
        <f>'[5] Micro quantification'!AH29</f>
        <v>19224</v>
      </c>
      <c r="G393" s="401">
        <f t="shared" ref="G393:G399" si="25">E393*F393</f>
        <v>302778</v>
      </c>
      <c r="H393" s="402">
        <f t="shared" ref="H393:H399" si="26">+SUM(G393)</f>
        <v>302778</v>
      </c>
      <c r="I393" s="403"/>
      <c r="J393" s="356"/>
      <c r="N393" s="277"/>
      <c r="P393" s="277"/>
      <c r="R393" s="277"/>
    </row>
    <row r="394" spans="1:18">
      <c r="A394" s="299">
        <v>8.1</v>
      </c>
      <c r="B394" s="398" t="s">
        <v>2121</v>
      </c>
      <c r="C394" s="436"/>
      <c r="D394" s="437"/>
      <c r="E394" s="399">
        <f>15*1.05</f>
        <v>15.75</v>
      </c>
      <c r="F394" s="435">
        <f>'[5] Micro quantification'!AI29</f>
        <v>16020</v>
      </c>
      <c r="G394" s="401">
        <f t="shared" si="25"/>
        <v>252315</v>
      </c>
      <c r="H394" s="402">
        <f t="shared" si="26"/>
        <v>252315</v>
      </c>
      <c r="I394" s="403"/>
      <c r="J394" s="356"/>
      <c r="N394" s="277"/>
      <c r="P394" s="277"/>
      <c r="R394" s="277"/>
    </row>
    <row r="395" spans="1:18">
      <c r="A395" s="299">
        <v>8.1</v>
      </c>
      <c r="B395" s="398" t="s">
        <v>2122</v>
      </c>
      <c r="C395" s="429"/>
      <c r="D395" s="430"/>
      <c r="E395" s="399">
        <f>15*1.05</f>
        <v>15.75</v>
      </c>
      <c r="F395" s="435">
        <f>'[5] Micro quantification'!AJ29</f>
        <v>7484.3999999999987</v>
      </c>
      <c r="G395" s="401">
        <f t="shared" si="25"/>
        <v>117879.29999999997</v>
      </c>
      <c r="H395" s="402">
        <f t="shared" si="26"/>
        <v>117879.29999999997</v>
      </c>
      <c r="I395" s="403"/>
      <c r="J395" s="356"/>
      <c r="N395" s="277"/>
      <c r="P395" s="277"/>
      <c r="R395" s="277"/>
    </row>
    <row r="396" spans="1:18">
      <c r="A396" s="299"/>
      <c r="B396" s="398" t="s">
        <v>2123</v>
      </c>
      <c r="C396" s="429"/>
      <c r="D396" s="430"/>
      <c r="E396" s="399"/>
      <c r="F396" s="431"/>
      <c r="G396" s="401">
        <f t="shared" si="25"/>
        <v>0</v>
      </c>
      <c r="H396" s="402">
        <f t="shared" si="26"/>
        <v>0</v>
      </c>
      <c r="N396" s="277"/>
      <c r="P396" s="277"/>
      <c r="R396" s="277"/>
    </row>
    <row r="397" spans="1:18" ht="15.75" customHeight="1">
      <c r="A397" s="299">
        <v>9.1</v>
      </c>
      <c r="B397" s="438" t="s">
        <v>2124</v>
      </c>
      <c r="C397" s="429"/>
      <c r="D397" s="430"/>
      <c r="E397" s="399"/>
      <c r="F397" s="431"/>
      <c r="G397" s="401">
        <f t="shared" si="25"/>
        <v>0</v>
      </c>
      <c r="H397" s="402">
        <f t="shared" si="26"/>
        <v>0</v>
      </c>
      <c r="I397" s="434"/>
      <c r="J397" s="296"/>
      <c r="N397" s="277"/>
      <c r="P397" s="277"/>
      <c r="R397" s="277"/>
    </row>
    <row r="398" spans="1:18">
      <c r="A398" s="299">
        <v>9.1</v>
      </c>
      <c r="B398" s="398" t="s">
        <v>2125</v>
      </c>
      <c r="C398" s="429"/>
      <c r="D398" s="430"/>
      <c r="E398" s="399"/>
      <c r="F398" s="431"/>
      <c r="G398" s="401">
        <f t="shared" si="25"/>
        <v>0</v>
      </c>
      <c r="H398" s="402">
        <f t="shared" si="26"/>
        <v>0</v>
      </c>
      <c r="I398" s="434"/>
      <c r="J398" s="296"/>
      <c r="N398" s="277"/>
      <c r="P398" s="277"/>
      <c r="R398" s="277"/>
    </row>
    <row r="399" spans="1:18">
      <c r="A399" s="299">
        <v>4.4000000000000004</v>
      </c>
      <c r="B399" s="438" t="s">
        <v>2126</v>
      </c>
      <c r="C399" s="429"/>
      <c r="D399" s="430"/>
      <c r="E399" s="399">
        <f>1500*1.05</f>
        <v>1575</v>
      </c>
      <c r="F399" s="431">
        <f>'[5] Micro quantification'!V29</f>
        <v>1311.45</v>
      </c>
      <c r="G399" s="401">
        <f t="shared" si="25"/>
        <v>2065533.75</v>
      </c>
      <c r="H399" s="402">
        <f t="shared" si="26"/>
        <v>2065533.75</v>
      </c>
      <c r="I399" s="403"/>
      <c r="J399" s="281"/>
      <c r="N399" s="277"/>
      <c r="P399" s="277"/>
      <c r="R399" s="277"/>
    </row>
    <row r="400" spans="1:18">
      <c r="A400" s="299"/>
      <c r="B400" s="405" t="s">
        <v>2127</v>
      </c>
      <c r="C400" s="429"/>
      <c r="D400" s="430"/>
      <c r="E400" s="399"/>
      <c r="F400" s="431"/>
      <c r="G400" s="401"/>
      <c r="H400" s="402"/>
      <c r="I400" s="356"/>
      <c r="J400" s="356"/>
      <c r="N400" s="277"/>
      <c r="P400" s="277"/>
      <c r="R400" s="277"/>
    </row>
    <row r="401" spans="1:18">
      <c r="A401" s="299">
        <v>10.1</v>
      </c>
      <c r="B401" s="438" t="s">
        <v>2128</v>
      </c>
      <c r="C401" s="429"/>
      <c r="D401" s="430"/>
      <c r="E401" s="399">
        <f>40000*1.05</f>
        <v>42000</v>
      </c>
      <c r="F401" s="431">
        <v>4</v>
      </c>
      <c r="G401" s="401">
        <f>E401*F401</f>
        <v>168000</v>
      </c>
      <c r="H401" s="402">
        <f>+SUM(G401)</f>
        <v>168000</v>
      </c>
      <c r="I401" s="356"/>
      <c r="J401" s="356"/>
      <c r="N401" s="277"/>
      <c r="P401" s="277"/>
      <c r="R401" s="277"/>
    </row>
    <row r="402" spans="1:18">
      <c r="A402" s="299">
        <v>1.5</v>
      </c>
      <c r="B402" s="398" t="s">
        <v>2129</v>
      </c>
      <c r="C402" s="429"/>
      <c r="D402" s="430"/>
      <c r="E402" s="399">
        <f>250000*1.05</f>
        <v>262500</v>
      </c>
      <c r="F402" s="270">
        <v>1</v>
      </c>
      <c r="G402" s="401">
        <f>E402*F402</f>
        <v>262500</v>
      </c>
      <c r="H402" s="402">
        <f>+SUM(G402)</f>
        <v>262500</v>
      </c>
      <c r="I402" s="403"/>
      <c r="J402" s="403"/>
      <c r="N402" s="277"/>
      <c r="P402" s="277"/>
      <c r="R402" s="277"/>
    </row>
    <row r="403" spans="1:18">
      <c r="A403" s="299">
        <v>3.1</v>
      </c>
      <c r="B403" s="398" t="s">
        <v>2130</v>
      </c>
      <c r="C403" s="429"/>
      <c r="D403" s="430"/>
      <c r="E403" s="399">
        <f>250000*1.05</f>
        <v>262500</v>
      </c>
      <c r="F403" s="270">
        <v>1</v>
      </c>
      <c r="G403" s="401">
        <f>E403*F403</f>
        <v>262500</v>
      </c>
      <c r="H403" s="402">
        <f>+SUM(G403)</f>
        <v>262500</v>
      </c>
      <c r="I403" s="403"/>
      <c r="J403" s="403"/>
      <c r="N403" s="277"/>
      <c r="P403" s="277"/>
      <c r="R403" s="277"/>
    </row>
    <row r="404" spans="1:18" ht="12.75" thickBot="1">
      <c r="A404" s="299">
        <v>3.1</v>
      </c>
      <c r="B404" s="398" t="s">
        <v>2131</v>
      </c>
      <c r="C404" s="429"/>
      <c r="D404" s="430"/>
      <c r="E404" s="399">
        <f>30000*1.05</f>
        <v>31500</v>
      </c>
      <c r="F404" s="439">
        <v>23</v>
      </c>
      <c r="G404" s="401">
        <f>E404*F404</f>
        <v>724500</v>
      </c>
      <c r="H404" s="402">
        <f>+SUM(G404)</f>
        <v>724500</v>
      </c>
      <c r="I404" s="403"/>
      <c r="J404" s="403"/>
      <c r="N404" s="277"/>
      <c r="P404" s="277"/>
      <c r="R404" s="277"/>
    </row>
    <row r="405" spans="1:18" ht="12.75" thickBot="1">
      <c r="A405" s="361"/>
      <c r="B405" s="1207" t="s">
        <v>1967</v>
      </c>
      <c r="C405" s="1208"/>
      <c r="D405" s="1208"/>
      <c r="E405" s="1208"/>
      <c r="F405" s="440"/>
      <c r="G405" s="441">
        <f>SUM(G339:G404)</f>
        <v>41614204.175999999</v>
      </c>
      <c r="H405" s="442">
        <f>SUM(H339:H404)</f>
        <v>41614204.175999999</v>
      </c>
      <c r="I405" s="368"/>
      <c r="J405" s="368"/>
      <c r="N405" s="277"/>
      <c r="P405" s="277"/>
      <c r="R405" s="277"/>
    </row>
    <row r="406" spans="1:18">
      <c r="A406" s="361"/>
      <c r="B406" s="361"/>
      <c r="C406" s="361"/>
      <c r="D406" s="361"/>
      <c r="E406" s="361"/>
      <c r="F406" s="361"/>
      <c r="G406" s="361"/>
      <c r="H406" s="361"/>
      <c r="I406" s="361"/>
      <c r="J406" s="361"/>
      <c r="N406" s="277"/>
      <c r="P406" s="277"/>
      <c r="R406" s="277"/>
    </row>
    <row r="407" spans="1:18">
      <c r="A407" s="284">
        <v>17</v>
      </c>
      <c r="B407" s="343" t="s">
        <v>2132</v>
      </c>
      <c r="C407" s="361"/>
      <c r="D407" s="361"/>
      <c r="E407" s="361"/>
      <c r="F407" s="361"/>
      <c r="G407" s="361"/>
      <c r="H407" s="361"/>
      <c r="I407" s="361"/>
      <c r="J407" s="361"/>
      <c r="N407" s="277"/>
      <c r="P407" s="277"/>
      <c r="R407" s="277"/>
    </row>
    <row r="408" spans="1:18" ht="12.75" thickBot="1">
      <c r="A408" s="1222" t="s">
        <v>2063</v>
      </c>
      <c r="B408" s="1220"/>
      <c r="C408" s="1221"/>
      <c r="D408" s="388"/>
      <c r="E408" s="282" t="s">
        <v>10</v>
      </c>
      <c r="F408" s="1228" t="str">
        <f>F337</f>
        <v>KADUNA</v>
      </c>
      <c r="G408" s="1229"/>
      <c r="H408" s="443" t="str">
        <f>H337</f>
        <v xml:space="preserve">Total </v>
      </c>
      <c r="I408" s="343"/>
      <c r="J408" s="343"/>
      <c r="N408" s="277"/>
      <c r="P408" s="277"/>
      <c r="R408" s="277"/>
    </row>
    <row r="409" spans="1:18">
      <c r="A409" s="444"/>
      <c r="B409" s="391" t="s">
        <v>2064</v>
      </c>
      <c r="C409" s="445"/>
      <c r="D409" s="446"/>
      <c r="E409" s="447"/>
      <c r="F409" s="448" t="s">
        <v>143</v>
      </c>
      <c r="G409" s="449" t="s">
        <v>2065</v>
      </c>
      <c r="H409" s="450">
        <f t="shared" ref="H409:H449" si="27">+SUM(G409)</f>
        <v>0</v>
      </c>
      <c r="I409" s="451"/>
      <c r="J409" s="343"/>
      <c r="N409" s="277"/>
      <c r="P409" s="277"/>
      <c r="R409" s="277"/>
    </row>
    <row r="410" spans="1:18">
      <c r="A410" s="452">
        <v>3.3</v>
      </c>
      <c r="B410" s="453" t="s">
        <v>2133</v>
      </c>
      <c r="C410" s="454"/>
      <c r="D410" s="455"/>
      <c r="E410" s="456">
        <v>50</v>
      </c>
      <c r="F410" s="457">
        <f>'[5] Micro quantification'!E30/50*10%</f>
        <v>11019.556</v>
      </c>
      <c r="G410" s="458">
        <f>E410*F410</f>
        <v>550977.80000000005</v>
      </c>
      <c r="H410" s="450">
        <f t="shared" si="27"/>
        <v>550977.80000000005</v>
      </c>
      <c r="I410" s="459"/>
      <c r="J410" s="460"/>
      <c r="N410" s="277"/>
      <c r="P410" s="277"/>
      <c r="R410" s="277"/>
    </row>
    <row r="411" spans="1:18">
      <c r="A411" s="452">
        <v>3.3</v>
      </c>
      <c r="B411" s="453" t="s">
        <v>2134</v>
      </c>
      <c r="C411" s="454"/>
      <c r="D411" s="455"/>
      <c r="E411" s="456">
        <v>50</v>
      </c>
      <c r="F411" s="461">
        <f>'[5] Micro quantification'!E30/50*15%</f>
        <v>16529.333999999999</v>
      </c>
      <c r="G411" s="458">
        <f t="shared" ref="G411:G450" si="28">E411*F411</f>
        <v>826466.7</v>
      </c>
      <c r="H411" s="450">
        <f t="shared" si="27"/>
        <v>826466.7</v>
      </c>
      <c r="I411" s="459"/>
      <c r="J411" s="460"/>
      <c r="L411" s="277"/>
      <c r="N411" s="277"/>
      <c r="P411" s="277"/>
      <c r="R411" s="277"/>
    </row>
    <row r="412" spans="1:18">
      <c r="A412" s="452">
        <v>3.2</v>
      </c>
      <c r="B412" s="462" t="s">
        <v>2135</v>
      </c>
      <c r="C412" s="454"/>
      <c r="D412" s="455"/>
      <c r="E412" s="456">
        <v>350</v>
      </c>
      <c r="F412" s="461">
        <f>(('[5] Micro quantification'!E30/50)*5%)*80%</f>
        <v>4407.8224</v>
      </c>
      <c r="G412" s="458">
        <f t="shared" si="28"/>
        <v>1542737.84</v>
      </c>
      <c r="H412" s="450">
        <f t="shared" si="27"/>
        <v>1542737.84</v>
      </c>
      <c r="I412" s="281"/>
      <c r="J412" s="281"/>
      <c r="L412" s="277"/>
      <c r="N412" s="277"/>
      <c r="P412" s="277"/>
      <c r="R412" s="277"/>
    </row>
    <row r="413" spans="1:18">
      <c r="A413" s="452">
        <v>3.2</v>
      </c>
      <c r="B413" s="462" t="s">
        <v>2136</v>
      </c>
      <c r="C413" s="454"/>
      <c r="D413" s="455"/>
      <c r="E413" s="456">
        <v>450</v>
      </c>
      <c r="F413" s="461">
        <f>(('[5] Micro quantification'!E30/50)*5%)*20%</f>
        <v>1101.9556</v>
      </c>
      <c r="G413" s="458">
        <f t="shared" si="28"/>
        <v>495880.02</v>
      </c>
      <c r="H413" s="450">
        <f t="shared" si="27"/>
        <v>495880.02</v>
      </c>
      <c r="I413" s="459"/>
      <c r="J413" s="460"/>
      <c r="L413" s="277"/>
      <c r="N413" s="277"/>
      <c r="P413" s="277"/>
      <c r="R413" s="277"/>
    </row>
    <row r="414" spans="1:18">
      <c r="A414" s="463"/>
      <c r="B414" s="464" t="s">
        <v>2070</v>
      </c>
      <c r="C414" s="465"/>
      <c r="D414" s="455"/>
      <c r="E414" s="466"/>
      <c r="F414" s="467"/>
      <c r="G414" s="458">
        <f t="shared" si="28"/>
        <v>0</v>
      </c>
      <c r="H414" s="450">
        <f t="shared" si="27"/>
        <v>0</v>
      </c>
      <c r="I414" s="451"/>
      <c r="J414" s="343"/>
      <c r="N414" s="277"/>
      <c r="P414" s="277"/>
      <c r="R414" s="277"/>
    </row>
    <row r="415" spans="1:18">
      <c r="A415" s="343">
        <v>5.0999999999999996</v>
      </c>
      <c r="B415" s="1230" t="s">
        <v>2137</v>
      </c>
      <c r="C415" s="1230"/>
      <c r="D415" s="1231"/>
      <c r="E415" s="406"/>
      <c r="F415" s="406"/>
      <c r="G415" s="470">
        <f t="shared" si="28"/>
        <v>0</v>
      </c>
      <c r="H415" s="450">
        <f t="shared" si="27"/>
        <v>0</v>
      </c>
      <c r="I415" s="471"/>
      <c r="J415" s="472"/>
      <c r="N415" s="277"/>
      <c r="P415" s="277"/>
      <c r="R415" s="277"/>
    </row>
    <row r="416" spans="1:18">
      <c r="A416" s="343">
        <v>5.0999999999999996</v>
      </c>
      <c r="B416" s="361" t="s">
        <v>2138</v>
      </c>
      <c r="C416" s="361"/>
      <c r="D416" s="407"/>
      <c r="E416" s="406"/>
      <c r="F416" s="406"/>
      <c r="G416" s="470">
        <f t="shared" si="28"/>
        <v>0</v>
      </c>
      <c r="H416" s="450">
        <f t="shared" si="27"/>
        <v>0</v>
      </c>
      <c r="I416" s="471"/>
      <c r="J416" s="472"/>
      <c r="N416" s="277"/>
      <c r="P416" s="277"/>
      <c r="R416" s="277"/>
    </row>
    <row r="417" spans="1:18">
      <c r="A417" s="343">
        <v>5.0999999999999996</v>
      </c>
      <c r="B417" s="392" t="s">
        <v>2139</v>
      </c>
      <c r="C417" s="392"/>
      <c r="D417" s="393"/>
      <c r="E417" s="406"/>
      <c r="F417" s="406"/>
      <c r="G417" s="470">
        <f t="shared" si="28"/>
        <v>0</v>
      </c>
      <c r="H417" s="450">
        <f t="shared" si="27"/>
        <v>0</v>
      </c>
      <c r="I417" s="471"/>
      <c r="J417" s="472"/>
      <c r="N417" s="277"/>
      <c r="P417" s="277"/>
      <c r="R417" s="277"/>
    </row>
    <row r="418" spans="1:18">
      <c r="A418" s="343">
        <v>5.0999999999999996</v>
      </c>
      <c r="B418" s="392" t="s">
        <v>2140</v>
      </c>
      <c r="C418" s="361"/>
      <c r="D418" s="407"/>
      <c r="E418" s="406">
        <v>1500000</v>
      </c>
      <c r="F418" s="406">
        <v>1</v>
      </c>
      <c r="G418" s="470">
        <f t="shared" si="28"/>
        <v>1500000</v>
      </c>
      <c r="H418" s="450">
        <f t="shared" si="27"/>
        <v>1500000</v>
      </c>
      <c r="I418" s="471"/>
      <c r="J418" s="472"/>
      <c r="N418" s="277"/>
      <c r="P418" s="277"/>
      <c r="R418" s="277"/>
    </row>
    <row r="419" spans="1:18">
      <c r="A419" s="343">
        <v>5.0999999999999996</v>
      </c>
      <c r="B419" s="392" t="s">
        <v>2141</v>
      </c>
      <c r="C419" s="392"/>
      <c r="D419" s="393"/>
      <c r="E419" s="406"/>
      <c r="F419" s="406"/>
      <c r="G419" s="470">
        <f t="shared" si="28"/>
        <v>0</v>
      </c>
      <c r="H419" s="450">
        <f t="shared" si="27"/>
        <v>0</v>
      </c>
      <c r="J419" s="471"/>
      <c r="N419" s="277"/>
      <c r="P419" s="277"/>
      <c r="R419" s="277"/>
    </row>
    <row r="420" spans="1:18">
      <c r="A420" s="343">
        <v>5.0999999999999996</v>
      </c>
      <c r="B420" s="1232" t="s">
        <v>2142</v>
      </c>
      <c r="C420" s="1230"/>
      <c r="D420" s="1231"/>
      <c r="E420" s="406"/>
      <c r="F420" s="406"/>
      <c r="G420" s="470">
        <f t="shared" si="28"/>
        <v>0</v>
      </c>
      <c r="H420" s="450">
        <f t="shared" si="27"/>
        <v>0</v>
      </c>
      <c r="J420" s="473"/>
      <c r="N420" s="277"/>
      <c r="P420" s="277"/>
      <c r="R420" s="277"/>
    </row>
    <row r="421" spans="1:18" ht="23.25" customHeight="1">
      <c r="A421" s="343">
        <v>5.0999999999999996</v>
      </c>
      <c r="B421" s="474" t="s">
        <v>2143</v>
      </c>
      <c r="C421" s="468"/>
      <c r="D421" s="469"/>
      <c r="E421" s="406">
        <v>25000</v>
      </c>
      <c r="F421" s="418">
        <f>1*D3</f>
        <v>23</v>
      </c>
      <c r="G421" s="470">
        <f t="shared" si="28"/>
        <v>575000</v>
      </c>
      <c r="H421" s="450">
        <f t="shared" si="27"/>
        <v>575000</v>
      </c>
      <c r="I421" s="330"/>
      <c r="J421" s="330"/>
      <c r="N421" s="277"/>
      <c r="P421" s="277"/>
      <c r="R421" s="277"/>
    </row>
    <row r="422" spans="1:18" ht="15">
      <c r="A422" s="343">
        <v>5.0999999999999996</v>
      </c>
      <c r="B422" s="474" t="s">
        <v>2144</v>
      </c>
      <c r="C422" s="468"/>
      <c r="D422" s="469"/>
      <c r="E422" s="406">
        <v>1500</v>
      </c>
      <c r="F422" s="418">
        <f>2*D8</f>
        <v>510</v>
      </c>
      <c r="G422" s="470">
        <f t="shared" si="28"/>
        <v>765000</v>
      </c>
      <c r="H422" s="450">
        <f t="shared" si="27"/>
        <v>765000</v>
      </c>
      <c r="I422" s="475"/>
      <c r="J422" s="475"/>
      <c r="K422" s="277"/>
      <c r="N422" s="277"/>
      <c r="P422" s="277"/>
      <c r="R422" s="277"/>
    </row>
    <row r="423" spans="1:18">
      <c r="A423" s="343">
        <v>5.0999999999999996</v>
      </c>
      <c r="B423" s="474" t="s">
        <v>2145</v>
      </c>
      <c r="C423" s="468"/>
      <c r="D423" s="469"/>
      <c r="E423" s="406">
        <v>100</v>
      </c>
      <c r="F423" s="418">
        <f>F422</f>
        <v>510</v>
      </c>
      <c r="G423" s="470">
        <f t="shared" si="28"/>
        <v>51000</v>
      </c>
      <c r="H423" s="450">
        <f t="shared" si="27"/>
        <v>51000</v>
      </c>
      <c r="I423" s="476"/>
      <c r="J423" s="476"/>
      <c r="N423" s="277"/>
      <c r="P423" s="277"/>
      <c r="R423" s="277"/>
    </row>
    <row r="424" spans="1:18">
      <c r="A424" s="343">
        <v>5.0999999999999996</v>
      </c>
      <c r="B424" s="474" t="s">
        <v>1919</v>
      </c>
      <c r="C424" s="468"/>
      <c r="D424" s="469"/>
      <c r="E424" s="406">
        <v>1500</v>
      </c>
      <c r="F424" s="418">
        <f>F422</f>
        <v>510</v>
      </c>
      <c r="G424" s="470">
        <f t="shared" si="28"/>
        <v>765000</v>
      </c>
      <c r="H424" s="450">
        <f t="shared" si="27"/>
        <v>765000</v>
      </c>
      <c r="I424" s="477"/>
      <c r="J424" s="477"/>
      <c r="N424" s="277"/>
      <c r="P424" s="277"/>
      <c r="R424" s="277"/>
    </row>
    <row r="425" spans="1:18" ht="24">
      <c r="A425" s="343">
        <v>5.0999999999999996</v>
      </c>
      <c r="B425" s="474" t="s">
        <v>2146</v>
      </c>
      <c r="C425" s="392"/>
      <c r="D425" s="393"/>
      <c r="E425" s="406">
        <v>25000</v>
      </c>
      <c r="F425" s="478">
        <f>1*D3</f>
        <v>23</v>
      </c>
      <c r="G425" s="470">
        <f>E425*F425</f>
        <v>575000</v>
      </c>
      <c r="H425" s="450">
        <f t="shared" si="27"/>
        <v>575000</v>
      </c>
      <c r="I425" s="340"/>
      <c r="J425" s="340"/>
      <c r="K425" s="277"/>
      <c r="N425" s="277"/>
      <c r="P425" s="277"/>
      <c r="R425" s="277"/>
    </row>
    <row r="426" spans="1:18">
      <c r="A426" s="343">
        <v>5.0999999999999996</v>
      </c>
      <c r="B426" s="474" t="s">
        <v>2144</v>
      </c>
      <c r="C426" s="392"/>
      <c r="D426" s="393"/>
      <c r="E426" s="406">
        <v>1500</v>
      </c>
      <c r="F426" s="406">
        <f>3*D8</f>
        <v>765</v>
      </c>
      <c r="G426" s="470">
        <f>E426*F426</f>
        <v>1147500</v>
      </c>
      <c r="H426" s="450">
        <f t="shared" si="27"/>
        <v>1147500</v>
      </c>
      <c r="I426" s="472"/>
      <c r="J426" s="472"/>
      <c r="N426" s="277"/>
      <c r="P426" s="277"/>
      <c r="R426" s="277"/>
    </row>
    <row r="427" spans="1:18">
      <c r="A427" s="343">
        <v>5.0999999999999996</v>
      </c>
      <c r="B427" s="474" t="s">
        <v>2145</v>
      </c>
      <c r="C427" s="392"/>
      <c r="D427" s="393"/>
      <c r="E427" s="406">
        <v>100</v>
      </c>
      <c r="F427" s="406">
        <f>F426</f>
        <v>765</v>
      </c>
      <c r="G427" s="470">
        <f t="shared" ref="G427:G441" si="29">E427*F427</f>
        <v>76500</v>
      </c>
      <c r="H427" s="450">
        <f t="shared" si="27"/>
        <v>76500</v>
      </c>
      <c r="I427" s="472"/>
      <c r="J427" s="472"/>
      <c r="K427" s="296"/>
      <c r="N427" s="277"/>
      <c r="P427" s="277"/>
      <c r="R427" s="277"/>
    </row>
    <row r="428" spans="1:18">
      <c r="A428" s="343">
        <v>5.0999999999999996</v>
      </c>
      <c r="B428" s="474" t="s">
        <v>1919</v>
      </c>
      <c r="C428" s="392"/>
      <c r="D428" s="393"/>
      <c r="E428" s="406">
        <v>1500</v>
      </c>
      <c r="F428" s="406">
        <f>F426</f>
        <v>765</v>
      </c>
      <c r="G428" s="470">
        <f t="shared" si="29"/>
        <v>1147500</v>
      </c>
      <c r="H428" s="450">
        <f t="shared" si="27"/>
        <v>1147500</v>
      </c>
      <c r="I428" s="472"/>
      <c r="J428" s="472"/>
      <c r="N428" s="277"/>
      <c r="P428" s="277"/>
      <c r="R428" s="277"/>
    </row>
    <row r="429" spans="1:18" ht="24">
      <c r="A429" s="343">
        <v>5.0999999999999996</v>
      </c>
      <c r="B429" s="474" t="s">
        <v>2147</v>
      </c>
      <c r="C429" s="392"/>
      <c r="D429" s="393"/>
      <c r="E429" s="406">
        <v>25000</v>
      </c>
      <c r="F429" s="406">
        <f>F425</f>
        <v>23</v>
      </c>
      <c r="G429" s="470">
        <f t="shared" si="29"/>
        <v>575000</v>
      </c>
      <c r="H429" s="450">
        <f t="shared" si="27"/>
        <v>575000</v>
      </c>
      <c r="I429" s="472"/>
      <c r="J429" s="472"/>
      <c r="N429" s="277"/>
      <c r="P429" s="277"/>
      <c r="R429" s="277"/>
    </row>
    <row r="430" spans="1:18">
      <c r="A430" s="343">
        <v>5.0999999999999996</v>
      </c>
      <c r="B430" s="474" t="s">
        <v>2144</v>
      </c>
      <c r="C430" s="392"/>
      <c r="D430" s="393"/>
      <c r="E430" s="406">
        <v>1500</v>
      </c>
      <c r="F430" s="479">
        <f>D8*5</f>
        <v>1275</v>
      </c>
      <c r="G430" s="470">
        <f t="shared" si="29"/>
        <v>1912500</v>
      </c>
      <c r="H430" s="450">
        <f t="shared" si="27"/>
        <v>1912500</v>
      </c>
      <c r="I430" s="472"/>
      <c r="J430" s="472"/>
      <c r="N430" s="277"/>
      <c r="P430" s="277"/>
      <c r="R430" s="277"/>
    </row>
    <row r="431" spans="1:18">
      <c r="A431" s="343">
        <v>5.0999999999999996</v>
      </c>
      <c r="B431" s="474" t="s">
        <v>2145</v>
      </c>
      <c r="C431" s="392"/>
      <c r="D431" s="393"/>
      <c r="E431" s="406">
        <v>100</v>
      </c>
      <c r="F431" s="479">
        <f>F430</f>
        <v>1275</v>
      </c>
      <c r="G431" s="470">
        <f t="shared" si="29"/>
        <v>127500</v>
      </c>
      <c r="H431" s="450">
        <f t="shared" si="27"/>
        <v>127500</v>
      </c>
      <c r="I431" s="472"/>
      <c r="J431" s="472"/>
      <c r="N431" s="277"/>
      <c r="P431" s="277"/>
      <c r="R431" s="277"/>
    </row>
    <row r="432" spans="1:18">
      <c r="A432" s="343">
        <v>5.0999999999999996</v>
      </c>
      <c r="B432" s="474" t="s">
        <v>1919</v>
      </c>
      <c r="C432" s="392"/>
      <c r="D432" s="393"/>
      <c r="E432" s="406">
        <v>1500</v>
      </c>
      <c r="F432" s="479">
        <f>F431</f>
        <v>1275</v>
      </c>
      <c r="G432" s="470">
        <f t="shared" si="29"/>
        <v>1912500</v>
      </c>
      <c r="H432" s="450">
        <f t="shared" si="27"/>
        <v>1912500</v>
      </c>
      <c r="I432" s="472"/>
      <c r="J432" s="472"/>
      <c r="N432" s="277"/>
      <c r="P432" s="277"/>
      <c r="R432" s="277"/>
    </row>
    <row r="433" spans="1:18" ht="24">
      <c r="A433" s="343">
        <v>5.0999999999999996</v>
      </c>
      <c r="B433" s="474" t="s">
        <v>2148</v>
      </c>
      <c r="C433" s="392"/>
      <c r="D433" s="393"/>
      <c r="E433" s="406">
        <v>25000</v>
      </c>
      <c r="F433" s="479">
        <f>F425</f>
        <v>23</v>
      </c>
      <c r="G433" s="470">
        <f t="shared" si="29"/>
        <v>575000</v>
      </c>
      <c r="H433" s="450">
        <f t="shared" si="27"/>
        <v>575000</v>
      </c>
      <c r="I433" s="472"/>
      <c r="J433" s="472"/>
      <c r="N433" s="277"/>
      <c r="P433" s="277"/>
      <c r="R433" s="277"/>
    </row>
    <row r="434" spans="1:18">
      <c r="A434" s="343">
        <v>5.0999999999999996</v>
      </c>
      <c r="B434" s="474" t="s">
        <v>2144</v>
      </c>
      <c r="C434" s="392"/>
      <c r="D434" s="393"/>
      <c r="E434" s="406">
        <v>1500</v>
      </c>
      <c r="F434" s="479">
        <f>D8*2</f>
        <v>510</v>
      </c>
      <c r="G434" s="470">
        <f t="shared" si="29"/>
        <v>765000</v>
      </c>
      <c r="H434" s="450">
        <f t="shared" si="27"/>
        <v>765000</v>
      </c>
      <c r="N434" s="277"/>
      <c r="P434" s="277"/>
      <c r="R434" s="277"/>
    </row>
    <row r="435" spans="1:18">
      <c r="A435" s="343">
        <v>5.0999999999999996</v>
      </c>
      <c r="B435" s="474" t="s">
        <v>2145</v>
      </c>
      <c r="C435" s="392"/>
      <c r="D435" s="393"/>
      <c r="E435" s="406">
        <v>100</v>
      </c>
      <c r="F435" s="479">
        <f>F434</f>
        <v>510</v>
      </c>
      <c r="G435" s="470">
        <f t="shared" si="29"/>
        <v>51000</v>
      </c>
      <c r="H435" s="450">
        <f t="shared" si="27"/>
        <v>51000</v>
      </c>
      <c r="I435" s="472"/>
      <c r="J435" s="472"/>
      <c r="N435" s="277"/>
      <c r="P435" s="277"/>
      <c r="R435" s="277"/>
    </row>
    <row r="436" spans="1:18">
      <c r="A436" s="343">
        <v>5.0999999999999996</v>
      </c>
      <c r="B436" s="474" t="s">
        <v>1919</v>
      </c>
      <c r="C436" s="392"/>
      <c r="D436" s="393"/>
      <c r="E436" s="406">
        <v>1500</v>
      </c>
      <c r="F436" s="479">
        <f>F435</f>
        <v>510</v>
      </c>
      <c r="G436" s="470">
        <f t="shared" si="29"/>
        <v>765000</v>
      </c>
      <c r="H436" s="450">
        <f t="shared" si="27"/>
        <v>765000</v>
      </c>
      <c r="I436" s="472"/>
      <c r="J436" s="472"/>
      <c r="N436" s="277"/>
      <c r="P436" s="277"/>
      <c r="R436" s="277"/>
    </row>
    <row r="437" spans="1:18" ht="49.5" customHeight="1">
      <c r="A437" s="343">
        <v>5.0999999999999996</v>
      </c>
      <c r="B437" s="480" t="s">
        <v>2149</v>
      </c>
      <c r="C437" s="392"/>
      <c r="D437" s="393"/>
      <c r="E437" s="406">
        <v>8500</v>
      </c>
      <c r="F437" s="479">
        <f>D8*3</f>
        <v>765</v>
      </c>
      <c r="G437" s="470">
        <f t="shared" si="29"/>
        <v>6502500</v>
      </c>
      <c r="H437" s="450">
        <f t="shared" si="27"/>
        <v>6502500</v>
      </c>
      <c r="K437" s="277"/>
      <c r="L437" s="277"/>
      <c r="N437" s="277"/>
      <c r="P437" s="277"/>
      <c r="R437" s="277"/>
    </row>
    <row r="438" spans="1:18" ht="48" customHeight="1">
      <c r="A438" s="343">
        <v>5.0999999999999996</v>
      </c>
      <c r="B438" s="480" t="s">
        <v>2150</v>
      </c>
      <c r="C438" s="392"/>
      <c r="D438" s="393"/>
      <c r="E438" s="406">
        <v>8500</v>
      </c>
      <c r="F438" s="479">
        <f>D8*3</f>
        <v>765</v>
      </c>
      <c r="G438" s="470">
        <f t="shared" si="29"/>
        <v>6502500</v>
      </c>
      <c r="H438" s="450">
        <f t="shared" si="27"/>
        <v>6502500</v>
      </c>
      <c r="I438" s="472"/>
      <c r="J438" s="472"/>
      <c r="N438" s="277"/>
      <c r="P438" s="277"/>
      <c r="R438" s="277"/>
    </row>
    <row r="439" spans="1:18" ht="36">
      <c r="A439" s="343">
        <v>5.0999999999999996</v>
      </c>
      <c r="B439" s="474" t="s">
        <v>2151</v>
      </c>
      <c r="C439" s="392"/>
      <c r="D439" s="393"/>
      <c r="E439" s="406">
        <v>8500</v>
      </c>
      <c r="F439" s="479">
        <f>D8*3</f>
        <v>765</v>
      </c>
      <c r="G439" s="470">
        <f t="shared" si="29"/>
        <v>6502500</v>
      </c>
      <c r="H439" s="450">
        <f t="shared" si="27"/>
        <v>6502500</v>
      </c>
      <c r="I439" s="472"/>
      <c r="J439" s="472"/>
      <c r="N439" s="277"/>
      <c r="P439" s="277"/>
      <c r="R439" s="277"/>
    </row>
    <row r="440" spans="1:18">
      <c r="A440" s="343">
        <v>5.0999999999999996</v>
      </c>
      <c r="B440" s="474" t="s">
        <v>2152</v>
      </c>
      <c r="C440" s="392"/>
      <c r="D440" s="393"/>
      <c r="E440" s="406">
        <v>18000</v>
      </c>
      <c r="F440" s="479">
        <f>D3*3*3</f>
        <v>207</v>
      </c>
      <c r="G440" s="470">
        <f t="shared" si="29"/>
        <v>3726000</v>
      </c>
      <c r="H440" s="450">
        <f t="shared" si="27"/>
        <v>3726000</v>
      </c>
      <c r="I440" s="472"/>
      <c r="J440" s="472"/>
      <c r="K440" s="277"/>
      <c r="N440" s="277"/>
      <c r="P440" s="277"/>
      <c r="R440" s="277"/>
    </row>
    <row r="441" spans="1:18">
      <c r="A441" s="343">
        <v>5.0999999999999996</v>
      </c>
      <c r="B441" s="474" t="s">
        <v>2153</v>
      </c>
      <c r="C441" s="392"/>
      <c r="D441" s="393"/>
      <c r="E441" s="406">
        <v>2000</v>
      </c>
      <c r="F441" s="479">
        <f>5*D3</f>
        <v>115</v>
      </c>
      <c r="G441" s="470">
        <f t="shared" si="29"/>
        <v>230000</v>
      </c>
      <c r="H441" s="450">
        <f t="shared" si="27"/>
        <v>230000</v>
      </c>
      <c r="I441" s="472"/>
      <c r="J441" s="472"/>
      <c r="N441" s="277"/>
      <c r="P441" s="277"/>
      <c r="R441" s="277"/>
    </row>
    <row r="442" spans="1:18">
      <c r="A442" s="481"/>
      <c r="B442" s="391" t="s">
        <v>2119</v>
      </c>
      <c r="C442" s="392"/>
      <c r="D442" s="393"/>
      <c r="E442" s="406"/>
      <c r="F442" s="406"/>
      <c r="G442" s="458"/>
      <c r="H442" s="450"/>
      <c r="I442" s="471"/>
      <c r="J442" s="472"/>
      <c r="N442" s="277"/>
      <c r="P442" s="277"/>
      <c r="R442" s="277"/>
    </row>
    <row r="443" spans="1:18">
      <c r="A443" s="481">
        <v>8.4</v>
      </c>
      <c r="B443" s="482" t="s">
        <v>2154</v>
      </c>
      <c r="C443" s="392"/>
      <c r="D443" s="393"/>
      <c r="E443" s="406">
        <v>1500</v>
      </c>
      <c r="F443" s="406">
        <f>(C3+C456+C457+C458+C460+C461+C462+C469+G500+G507+G511+G515+G519+G523+G528+G531)*18</f>
        <v>1584</v>
      </c>
      <c r="G443" s="458">
        <f t="shared" si="28"/>
        <v>2376000</v>
      </c>
      <c r="H443" s="450">
        <f t="shared" si="27"/>
        <v>2376000</v>
      </c>
      <c r="I443" s="471"/>
      <c r="J443" s="472"/>
      <c r="L443" s="277"/>
      <c r="N443" s="277"/>
      <c r="P443" s="277"/>
      <c r="R443" s="277"/>
    </row>
    <row r="444" spans="1:18">
      <c r="A444" s="481">
        <v>8.4</v>
      </c>
      <c r="B444" s="1232" t="s">
        <v>2155</v>
      </c>
      <c r="C444" s="1230"/>
      <c r="D444" s="1231"/>
      <c r="E444" s="406">
        <v>220000</v>
      </c>
      <c r="F444" s="406">
        <v>16</v>
      </c>
      <c r="G444" s="458">
        <f t="shared" si="28"/>
        <v>3520000</v>
      </c>
      <c r="H444" s="450">
        <f t="shared" si="27"/>
        <v>3520000</v>
      </c>
      <c r="I444" s="483"/>
      <c r="J444" s="484"/>
      <c r="K444" s="344"/>
      <c r="L444" s="277"/>
      <c r="N444" s="277"/>
      <c r="P444" s="277"/>
      <c r="R444" s="277"/>
    </row>
    <row r="445" spans="1:18" ht="14.25" customHeight="1">
      <c r="A445" s="481">
        <v>8.4</v>
      </c>
      <c r="B445" s="482" t="s">
        <v>2156</v>
      </c>
      <c r="C445" s="392"/>
      <c r="D445" s="393"/>
      <c r="E445" s="406">
        <v>1500</v>
      </c>
      <c r="F445" s="406">
        <f>6*(F189+10+5+4)</f>
        <v>294</v>
      </c>
      <c r="G445" s="458">
        <f t="shared" si="28"/>
        <v>441000</v>
      </c>
      <c r="H445" s="450">
        <f t="shared" si="27"/>
        <v>441000</v>
      </c>
      <c r="I445" s="471"/>
      <c r="J445" s="472"/>
      <c r="L445" s="277"/>
      <c r="N445" s="277"/>
      <c r="P445" s="277"/>
      <c r="R445" s="277"/>
    </row>
    <row r="446" spans="1:18" ht="14.25" customHeight="1">
      <c r="A446" s="481">
        <v>4.4000000000000004</v>
      </c>
      <c r="B446" s="361" t="s">
        <v>2157</v>
      </c>
      <c r="C446" s="361"/>
      <c r="D446" s="407"/>
      <c r="E446" s="406"/>
      <c r="F446" s="406">
        <f>6*(26)</f>
        <v>156</v>
      </c>
      <c r="G446" s="458">
        <f t="shared" si="28"/>
        <v>0</v>
      </c>
      <c r="H446" s="450">
        <f>+SUM(G446)</f>
        <v>0</v>
      </c>
      <c r="I446" s="471"/>
      <c r="J446" s="472"/>
      <c r="M446" s="281"/>
      <c r="N446" s="277"/>
      <c r="P446" s="277"/>
      <c r="R446" s="277"/>
    </row>
    <row r="447" spans="1:18" ht="15" customHeight="1">
      <c r="A447" s="481">
        <v>8.1</v>
      </c>
      <c r="B447" s="392" t="s">
        <v>2158</v>
      </c>
      <c r="C447" s="392"/>
      <c r="D447" s="393"/>
      <c r="E447" s="406">
        <f>18000*(42-8)</f>
        <v>612000</v>
      </c>
      <c r="F447" s="406">
        <f>C3</f>
        <v>23</v>
      </c>
      <c r="G447" s="458">
        <f t="shared" si="28"/>
        <v>14076000</v>
      </c>
      <c r="H447" s="450">
        <f t="shared" si="27"/>
        <v>14076000</v>
      </c>
      <c r="I447" s="471"/>
      <c r="J447" s="472"/>
      <c r="M447" s="281"/>
      <c r="N447" s="277"/>
      <c r="P447" s="277"/>
      <c r="R447" s="277"/>
    </row>
    <row r="448" spans="1:18" ht="15.75" customHeight="1">
      <c r="A448" s="481">
        <v>8.1</v>
      </c>
      <c r="B448" s="392" t="s">
        <v>2159</v>
      </c>
      <c r="C448" s="392"/>
      <c r="D448" s="393"/>
      <c r="E448" s="406">
        <f>18000*(35-4)</f>
        <v>558000</v>
      </c>
      <c r="F448" s="406">
        <f>C3</f>
        <v>23</v>
      </c>
      <c r="G448" s="458">
        <f t="shared" si="28"/>
        <v>12834000</v>
      </c>
      <c r="H448" s="450">
        <f t="shared" si="27"/>
        <v>12834000</v>
      </c>
      <c r="I448" s="471"/>
      <c r="J448" s="472"/>
      <c r="M448" s="281"/>
      <c r="N448" s="277"/>
      <c r="P448" s="277"/>
      <c r="R448" s="277"/>
    </row>
    <row r="449" spans="1:18">
      <c r="A449" s="481">
        <v>3.3</v>
      </c>
      <c r="B449" s="392" t="s">
        <v>2160</v>
      </c>
      <c r="C449" s="392"/>
      <c r="D449" s="393"/>
      <c r="E449" s="406">
        <v>2000</v>
      </c>
      <c r="F449" s="406">
        <f>C9</f>
        <v>2269</v>
      </c>
      <c r="G449" s="458">
        <f t="shared" si="28"/>
        <v>4538000</v>
      </c>
      <c r="H449" s="450">
        <f t="shared" si="27"/>
        <v>4538000</v>
      </c>
      <c r="I449" s="471"/>
      <c r="J449" s="472"/>
      <c r="L449" s="277"/>
      <c r="M449" s="281"/>
      <c r="N449" s="277"/>
      <c r="P449" s="277"/>
      <c r="R449" s="277"/>
    </row>
    <row r="450" spans="1:18" ht="12.75" thickBot="1">
      <c r="A450" s="343">
        <v>7.3</v>
      </c>
      <c r="B450" s="485" t="s">
        <v>2161</v>
      </c>
      <c r="C450" s="486"/>
      <c r="D450" s="486"/>
      <c r="E450" s="487">
        <v>60000</v>
      </c>
      <c r="F450" s="488">
        <f>5*C3</f>
        <v>115</v>
      </c>
      <c r="G450" s="458">
        <f t="shared" si="28"/>
        <v>6900000</v>
      </c>
      <c r="H450" s="450">
        <f>+SUM(G450)</f>
        <v>6900000</v>
      </c>
      <c r="I450" s="472"/>
      <c r="J450" s="472"/>
      <c r="M450" s="281"/>
      <c r="N450" s="277"/>
      <c r="P450" s="277"/>
      <c r="R450" s="277"/>
    </row>
    <row r="451" spans="1:18" ht="12.75" thickBot="1">
      <c r="A451" s="299"/>
      <c r="B451" s="1233" t="s">
        <v>1967</v>
      </c>
      <c r="C451" s="1234"/>
      <c r="D451" s="1234"/>
      <c r="E451" s="1234"/>
      <c r="F451" s="489"/>
      <c r="G451" s="490">
        <f>SUM(G410:G450)</f>
        <v>84850562.359999999</v>
      </c>
      <c r="H451" s="491">
        <f>SUM(H409:H450)</f>
        <v>84850562.359999999</v>
      </c>
      <c r="I451" s="492"/>
      <c r="J451" s="492"/>
      <c r="L451" s="277"/>
      <c r="M451" s="281"/>
      <c r="N451" s="277"/>
      <c r="P451" s="277"/>
      <c r="R451" s="277"/>
    </row>
    <row r="452" spans="1:18">
      <c r="A452" s="299"/>
      <c r="B452" s="493"/>
      <c r="C452" s="493"/>
      <c r="D452" s="493"/>
      <c r="E452" s="493"/>
      <c r="F452" s="299"/>
      <c r="G452" s="326"/>
      <c r="H452" s="494"/>
      <c r="I452" s="492"/>
      <c r="J452" s="492"/>
      <c r="L452" s="277"/>
      <c r="M452" s="281"/>
      <c r="N452" s="277"/>
      <c r="P452" s="277"/>
      <c r="R452" s="277"/>
    </row>
    <row r="453" spans="1:18" ht="12.75" thickBot="1">
      <c r="A453" s="495">
        <v>18</v>
      </c>
      <c r="B453" s="343" t="s">
        <v>2162</v>
      </c>
      <c r="C453" s="362"/>
      <c r="D453" s="362"/>
      <c r="E453" s="362"/>
      <c r="F453" s="362"/>
      <c r="G453" s="362"/>
      <c r="H453" s="362"/>
      <c r="I453" s="288"/>
      <c r="J453" s="373"/>
    </row>
    <row r="454" spans="1:18" ht="12.75" thickBot="1">
      <c r="A454" s="343"/>
      <c r="B454" s="496" t="s">
        <v>2163</v>
      </c>
      <c r="C454" s="497"/>
      <c r="D454" s="497"/>
      <c r="E454" s="497"/>
      <c r="F454" s="497"/>
      <c r="G454" s="498"/>
      <c r="H454" s="288"/>
      <c r="I454" s="288"/>
      <c r="J454" s="288"/>
      <c r="L454" s="361"/>
      <c r="M454" s="361"/>
      <c r="P454" s="277"/>
      <c r="R454" s="277"/>
    </row>
    <row r="455" spans="1:18" ht="12.75" thickBot="1">
      <c r="A455" s="343"/>
      <c r="B455" s="499" t="s">
        <v>2164</v>
      </c>
      <c r="C455" s="500"/>
      <c r="D455" s="501" t="s">
        <v>2165</v>
      </c>
      <c r="E455" s="501" t="s">
        <v>2166</v>
      </c>
      <c r="F455" s="501" t="s">
        <v>2167</v>
      </c>
      <c r="G455" s="501" t="s">
        <v>2168</v>
      </c>
      <c r="H455" s="502" t="str">
        <f>F408</f>
        <v>KADUNA</v>
      </c>
      <c r="I455" s="503" t="str">
        <f>H408</f>
        <v xml:space="preserve">Total </v>
      </c>
      <c r="J455" s="504"/>
      <c r="L455" s="361"/>
      <c r="M455" s="361"/>
      <c r="P455" s="277"/>
      <c r="R455" s="277"/>
    </row>
    <row r="456" spans="1:18">
      <c r="A456" s="343">
        <v>8.3000000000000007</v>
      </c>
      <c r="B456" s="505" t="s">
        <v>2169</v>
      </c>
      <c r="C456" s="506">
        <v>2</v>
      </c>
      <c r="D456" s="332">
        <v>15000</v>
      </c>
      <c r="E456" s="415">
        <v>5000</v>
      </c>
      <c r="F456" s="415">
        <f>(2000+5000)</f>
        <v>7000</v>
      </c>
      <c r="G456" s="507">
        <f>53-F42-G94-F127-F190</f>
        <v>46</v>
      </c>
      <c r="H456" s="508">
        <f t="shared" ref="H456:H461" si="30">(((D456+E456)*G456)+(F456*2))*C456</f>
        <v>1868000</v>
      </c>
      <c r="I456" s="509">
        <f t="shared" ref="I456:I485" si="31">SUM(H456:H456)</f>
        <v>1868000</v>
      </c>
      <c r="J456" s="494"/>
      <c r="L456" s="361"/>
      <c r="M456" s="361"/>
      <c r="P456" s="277"/>
      <c r="R456" s="277"/>
    </row>
    <row r="457" spans="1:18">
      <c r="A457" s="343">
        <v>8.3000000000000007</v>
      </c>
      <c r="B457" s="505" t="s">
        <v>2170</v>
      </c>
      <c r="C457" s="510">
        <v>2</v>
      </c>
      <c r="D457" s="332">
        <v>15000</v>
      </c>
      <c r="E457" s="415">
        <v>5000</v>
      </c>
      <c r="F457" s="415">
        <f>(2000+5000)</f>
        <v>7000</v>
      </c>
      <c r="G457" s="511">
        <f>53-F42-F109-F127-F144-F190</f>
        <v>45</v>
      </c>
      <c r="H457" s="508">
        <f t="shared" si="30"/>
        <v>1828000</v>
      </c>
      <c r="I457" s="509">
        <f t="shared" si="31"/>
        <v>1828000</v>
      </c>
      <c r="J457" s="494"/>
      <c r="L457" s="361"/>
      <c r="M457" s="361"/>
      <c r="P457" s="277"/>
      <c r="R457" s="277"/>
    </row>
    <row r="458" spans="1:18">
      <c r="A458" s="343">
        <v>8.3000000000000007</v>
      </c>
      <c r="B458" s="505" t="s">
        <v>2171</v>
      </c>
      <c r="C458" s="510">
        <v>2</v>
      </c>
      <c r="D458" s="332">
        <v>15000</v>
      </c>
      <c r="E458" s="415">
        <v>5000</v>
      </c>
      <c r="F458" s="415">
        <f>(2000+5000)</f>
        <v>7000</v>
      </c>
      <c r="G458" s="511">
        <f>53-F42-F127-F159-F174-F190</f>
        <v>45</v>
      </c>
      <c r="H458" s="508">
        <f t="shared" si="30"/>
        <v>1828000</v>
      </c>
      <c r="I458" s="509">
        <f t="shared" si="31"/>
        <v>1828000</v>
      </c>
      <c r="J458" s="494"/>
      <c r="L458" s="361"/>
      <c r="M458" s="361"/>
      <c r="P458" s="277"/>
      <c r="R458" s="277"/>
    </row>
    <row r="459" spans="1:18">
      <c r="A459" s="343">
        <v>8.3000000000000007</v>
      </c>
      <c r="B459" s="505" t="s">
        <v>2172</v>
      </c>
      <c r="C459" s="510">
        <v>6</v>
      </c>
      <c r="D459" s="332">
        <v>15000</v>
      </c>
      <c r="E459" s="415">
        <v>5000</v>
      </c>
      <c r="F459" s="415"/>
      <c r="G459" s="511">
        <v>4</v>
      </c>
      <c r="H459" s="508">
        <f t="shared" si="30"/>
        <v>480000</v>
      </c>
      <c r="I459" s="509">
        <f t="shared" si="31"/>
        <v>480000</v>
      </c>
      <c r="J459" s="494"/>
      <c r="K459" s="315"/>
      <c r="L459" s="361"/>
      <c r="M459" s="361"/>
      <c r="P459" s="277"/>
      <c r="R459" s="277"/>
    </row>
    <row r="460" spans="1:18">
      <c r="A460" s="343">
        <v>8.3000000000000007</v>
      </c>
      <c r="B460" s="512" t="s">
        <v>1863</v>
      </c>
      <c r="C460" s="513">
        <v>1</v>
      </c>
      <c r="D460" s="332"/>
      <c r="E460" s="415">
        <v>5000</v>
      </c>
      <c r="F460" s="415">
        <f>(2000+5000)</f>
        <v>7000</v>
      </c>
      <c r="G460" s="514">
        <v>53</v>
      </c>
      <c r="H460" s="508">
        <f t="shared" si="30"/>
        <v>279000</v>
      </c>
      <c r="I460" s="509">
        <f t="shared" si="31"/>
        <v>279000</v>
      </c>
      <c r="J460" s="494"/>
      <c r="L460" s="361"/>
      <c r="M460" s="361"/>
      <c r="P460" s="277"/>
      <c r="R460" s="277"/>
    </row>
    <row r="461" spans="1:18">
      <c r="A461" s="343">
        <v>12.3</v>
      </c>
      <c r="B461" s="512" t="s">
        <v>2173</v>
      </c>
      <c r="C461" s="515">
        <f>C11</f>
        <v>4</v>
      </c>
      <c r="D461" s="316">
        <v>15000</v>
      </c>
      <c r="E461" s="415">
        <v>5000</v>
      </c>
      <c r="F461" s="270">
        <f>2000+5000</f>
        <v>7000</v>
      </c>
      <c r="G461" s="514">
        <f>58-F42-F79-F94-F127-F144-F190</f>
        <v>48</v>
      </c>
      <c r="H461" s="508">
        <f t="shared" si="30"/>
        <v>3896000</v>
      </c>
      <c r="I461" s="509">
        <f t="shared" si="31"/>
        <v>3896000</v>
      </c>
      <c r="J461" s="494"/>
      <c r="L461" s="361"/>
      <c r="M461" s="361"/>
      <c r="P461" s="277"/>
      <c r="R461" s="277"/>
    </row>
    <row r="462" spans="1:18">
      <c r="A462" s="343">
        <v>8.3000000000000007</v>
      </c>
      <c r="B462" s="505" t="s">
        <v>2174</v>
      </c>
      <c r="C462" s="515">
        <f>D13</f>
        <v>5</v>
      </c>
      <c r="D462" s="316">
        <v>6000</v>
      </c>
      <c r="E462" s="270">
        <v>5000</v>
      </c>
      <c r="F462" s="270">
        <f>2000+5000</f>
        <v>7000</v>
      </c>
      <c r="G462" s="511">
        <f>40</f>
        <v>40</v>
      </c>
      <c r="H462" s="508">
        <f>(((D462+E462)*G462)+(F462))*C462</f>
        <v>2235000</v>
      </c>
      <c r="I462" s="509">
        <f t="shared" si="31"/>
        <v>2235000</v>
      </c>
      <c r="J462" s="494"/>
      <c r="L462" s="361"/>
      <c r="M462" s="361"/>
      <c r="P462" s="277"/>
      <c r="R462" s="277"/>
    </row>
    <row r="463" spans="1:18">
      <c r="A463" s="343">
        <v>8.3000000000000007</v>
      </c>
      <c r="B463" s="512" t="s">
        <v>2175</v>
      </c>
      <c r="C463" s="516">
        <f>D14</f>
        <v>23</v>
      </c>
      <c r="D463" s="332">
        <v>6000</v>
      </c>
      <c r="E463" s="270">
        <v>5000</v>
      </c>
      <c r="F463" s="270">
        <f>2000+5000</f>
        <v>7000</v>
      </c>
      <c r="G463" s="517">
        <f>30-F203-F260-F279-F313</f>
        <v>24</v>
      </c>
      <c r="H463" s="508">
        <f t="shared" ref="H463:H479" si="32">(((D463+E463)*G463)+(F463))*C463</f>
        <v>6233000</v>
      </c>
      <c r="I463" s="509">
        <f t="shared" si="31"/>
        <v>6233000</v>
      </c>
      <c r="J463" s="494"/>
      <c r="L463" s="361"/>
      <c r="M463" s="361"/>
      <c r="P463" s="277"/>
      <c r="R463" s="277"/>
    </row>
    <row r="464" spans="1:18">
      <c r="A464" s="343">
        <v>3.3</v>
      </c>
      <c r="B464" s="505" t="s">
        <v>2176</v>
      </c>
      <c r="C464" s="515">
        <f>C17</f>
        <v>3</v>
      </c>
      <c r="D464" s="316">
        <v>4800</v>
      </c>
      <c r="E464" s="270">
        <v>5000</v>
      </c>
      <c r="F464" s="270">
        <v>2000</v>
      </c>
      <c r="G464" s="518">
        <v>20</v>
      </c>
      <c r="H464" s="508">
        <f t="shared" si="32"/>
        <v>594000</v>
      </c>
      <c r="I464" s="509">
        <f t="shared" si="31"/>
        <v>594000</v>
      </c>
      <c r="J464" s="494"/>
      <c r="L464" s="361"/>
      <c r="M464" s="361"/>
      <c r="P464" s="277"/>
      <c r="R464" s="277"/>
    </row>
    <row r="465" spans="1:18">
      <c r="A465" s="343">
        <v>3.3</v>
      </c>
      <c r="B465" s="505" t="s">
        <v>2177</v>
      </c>
      <c r="C465" s="515">
        <f>C18</f>
        <v>6</v>
      </c>
      <c r="D465" s="316">
        <v>3600</v>
      </c>
      <c r="E465" s="270">
        <v>5000</v>
      </c>
      <c r="F465" s="270"/>
      <c r="G465" s="518">
        <v>20</v>
      </c>
      <c r="H465" s="508">
        <f t="shared" si="32"/>
        <v>1032000</v>
      </c>
      <c r="I465" s="509">
        <f t="shared" si="31"/>
        <v>1032000</v>
      </c>
      <c r="J465" s="494"/>
      <c r="L465" s="361"/>
      <c r="M465" s="361"/>
      <c r="P465" s="277"/>
      <c r="R465" s="277"/>
    </row>
    <row r="466" spans="1:18">
      <c r="A466" s="343">
        <v>3.3</v>
      </c>
      <c r="B466" s="505" t="s">
        <v>2178</v>
      </c>
      <c r="C466" s="515">
        <f>C19</f>
        <v>23</v>
      </c>
      <c r="D466" s="316">
        <v>3600</v>
      </c>
      <c r="E466" s="270">
        <v>5000</v>
      </c>
      <c r="F466" s="270">
        <v>1000</v>
      </c>
      <c r="G466" s="518">
        <v>8</v>
      </c>
      <c r="H466" s="508">
        <f t="shared" si="32"/>
        <v>1605400</v>
      </c>
      <c r="I466" s="509">
        <f t="shared" si="31"/>
        <v>1605400</v>
      </c>
      <c r="J466" s="494"/>
      <c r="L466" s="361"/>
      <c r="M466" s="361"/>
      <c r="P466" s="277"/>
      <c r="R466" s="277"/>
    </row>
    <row r="467" spans="1:18">
      <c r="A467" s="343">
        <v>5.3</v>
      </c>
      <c r="B467" s="505" t="s">
        <v>2179</v>
      </c>
      <c r="C467" s="519">
        <v>3</v>
      </c>
      <c r="D467" s="316">
        <v>12000</v>
      </c>
      <c r="E467" s="270"/>
      <c r="F467" s="270"/>
      <c r="G467" s="518">
        <v>17</v>
      </c>
      <c r="H467" s="508">
        <f t="shared" si="32"/>
        <v>612000</v>
      </c>
      <c r="I467" s="509">
        <f t="shared" si="31"/>
        <v>612000</v>
      </c>
      <c r="J467" s="494"/>
      <c r="L467" s="361"/>
      <c r="M467" s="361"/>
      <c r="P467" s="277"/>
      <c r="R467" s="277"/>
    </row>
    <row r="468" spans="1:18" ht="18">
      <c r="A468" s="343">
        <v>8.3000000000000007</v>
      </c>
      <c r="B468" s="505" t="s">
        <v>2180</v>
      </c>
      <c r="C468" s="515">
        <f>C35</f>
        <v>135</v>
      </c>
      <c r="D468" s="316">
        <v>10000</v>
      </c>
      <c r="E468" s="270">
        <v>5000</v>
      </c>
      <c r="F468" s="270">
        <v>4500</v>
      </c>
      <c r="G468" s="518">
        <f>16-2</f>
        <v>14</v>
      </c>
      <c r="H468" s="508">
        <f t="shared" si="32"/>
        <v>28957500</v>
      </c>
      <c r="I468" s="509">
        <f t="shared" si="31"/>
        <v>28957500</v>
      </c>
      <c r="J468" s="494"/>
      <c r="K468" s="322"/>
      <c r="L468" s="368"/>
      <c r="M468" s="330"/>
      <c r="N468" s="322">
        <f>G86</f>
        <v>1465000</v>
      </c>
      <c r="O468" s="330">
        <f>I504</f>
        <v>22680000</v>
      </c>
      <c r="P468" s="520">
        <f>SUM(I468:O468)</f>
        <v>53102500</v>
      </c>
      <c r="R468" s="277"/>
    </row>
    <row r="469" spans="1:18" ht="18">
      <c r="A469" s="343">
        <v>8.3000000000000007</v>
      </c>
      <c r="B469" s="512" t="s">
        <v>2181</v>
      </c>
      <c r="C469" s="515">
        <f>C16</f>
        <v>23</v>
      </c>
      <c r="D469" s="316">
        <v>10000</v>
      </c>
      <c r="E469" s="270">
        <v>5000</v>
      </c>
      <c r="F469" s="270">
        <v>7000</v>
      </c>
      <c r="G469" s="518">
        <f>36-2</f>
        <v>34</v>
      </c>
      <c r="H469" s="508">
        <f t="shared" si="32"/>
        <v>11891000</v>
      </c>
      <c r="I469" s="509">
        <f t="shared" si="31"/>
        <v>11891000</v>
      </c>
      <c r="J469" s="494"/>
      <c r="K469" s="296"/>
      <c r="L469" s="520"/>
      <c r="P469" s="277"/>
      <c r="R469" s="277"/>
    </row>
    <row r="470" spans="1:18">
      <c r="A470" s="343">
        <v>8.3000000000000007</v>
      </c>
      <c r="B470" s="512" t="s">
        <v>2182</v>
      </c>
      <c r="C470" s="515">
        <f>C3</f>
        <v>23</v>
      </c>
      <c r="D470" s="316">
        <v>4800</v>
      </c>
      <c r="E470" s="270">
        <v>1500</v>
      </c>
      <c r="F470" s="270">
        <v>2000</v>
      </c>
      <c r="G470" s="518">
        <f>32-F203-F240-F293-2</f>
        <v>25</v>
      </c>
      <c r="H470" s="508">
        <f t="shared" si="32"/>
        <v>3668500</v>
      </c>
      <c r="I470" s="509">
        <f t="shared" si="31"/>
        <v>3668500</v>
      </c>
      <c r="J470" s="494"/>
      <c r="L470" s="361"/>
      <c r="P470" s="277"/>
      <c r="R470" s="277"/>
    </row>
    <row r="471" spans="1:18">
      <c r="A471" s="343">
        <v>8.3000000000000007</v>
      </c>
      <c r="B471" s="512" t="s">
        <v>2183</v>
      </c>
      <c r="C471" s="515">
        <f>C3</f>
        <v>23</v>
      </c>
      <c r="D471" s="316">
        <v>4800</v>
      </c>
      <c r="E471" s="270">
        <v>1500</v>
      </c>
      <c r="F471" s="270">
        <v>2000</v>
      </c>
      <c r="G471" s="518">
        <f>32-F203-F240-F293-2</f>
        <v>25</v>
      </c>
      <c r="H471" s="508">
        <f t="shared" si="32"/>
        <v>3668500</v>
      </c>
      <c r="I471" s="509">
        <f t="shared" si="31"/>
        <v>3668500</v>
      </c>
      <c r="J471" s="494"/>
      <c r="L471" s="361"/>
      <c r="P471" s="277"/>
      <c r="R471" s="277"/>
    </row>
    <row r="472" spans="1:18">
      <c r="A472" s="343">
        <v>5.3</v>
      </c>
      <c r="B472" s="512" t="s">
        <v>2184</v>
      </c>
      <c r="C472" s="515">
        <f>C3</f>
        <v>23</v>
      </c>
      <c r="D472" s="316">
        <v>4800</v>
      </c>
      <c r="E472" s="270">
        <v>1500</v>
      </c>
      <c r="F472" s="270">
        <v>2000</v>
      </c>
      <c r="G472" s="518">
        <f>32-F203-F224-F240-F293-F313-2</f>
        <v>24</v>
      </c>
      <c r="H472" s="508">
        <f t="shared" si="32"/>
        <v>3523600</v>
      </c>
      <c r="I472" s="509">
        <f t="shared" si="31"/>
        <v>3523600</v>
      </c>
      <c r="J472" s="494"/>
      <c r="L472" s="361"/>
      <c r="P472" s="277"/>
      <c r="R472" s="277"/>
    </row>
    <row r="473" spans="1:18">
      <c r="A473" s="343">
        <v>3.3</v>
      </c>
      <c r="B473" s="512" t="s">
        <v>2185</v>
      </c>
      <c r="C473" s="515">
        <f>C3</f>
        <v>23</v>
      </c>
      <c r="D473" s="316">
        <v>4800</v>
      </c>
      <c r="E473" s="270">
        <v>1500</v>
      </c>
      <c r="F473" s="270">
        <v>2000</v>
      </c>
      <c r="G473" s="518">
        <f>37-F203-F240-F260-F279-F293-2</f>
        <v>27</v>
      </c>
      <c r="H473" s="508">
        <f t="shared" si="32"/>
        <v>3958300</v>
      </c>
      <c r="I473" s="509">
        <f t="shared" si="31"/>
        <v>3958300</v>
      </c>
      <c r="J473" s="494"/>
      <c r="L473" s="361"/>
      <c r="P473" s="277"/>
      <c r="R473" s="277"/>
    </row>
    <row r="474" spans="1:18">
      <c r="A474" s="343">
        <v>3.3</v>
      </c>
      <c r="B474" s="512" t="s">
        <v>2186</v>
      </c>
      <c r="C474" s="515">
        <f>C23</f>
        <v>23</v>
      </c>
      <c r="D474" s="316">
        <v>1800</v>
      </c>
      <c r="E474" s="270">
        <v>1200</v>
      </c>
      <c r="F474" s="270">
        <v>2000</v>
      </c>
      <c r="G474" s="518">
        <v>15</v>
      </c>
      <c r="H474" s="508">
        <f t="shared" si="32"/>
        <v>1081000</v>
      </c>
      <c r="I474" s="509">
        <f t="shared" si="31"/>
        <v>1081000</v>
      </c>
      <c r="J474" s="494"/>
      <c r="L474" s="361"/>
      <c r="M474" s="361"/>
      <c r="P474" s="277"/>
      <c r="R474" s="277"/>
    </row>
    <row r="475" spans="1:18">
      <c r="A475" s="343">
        <v>3.3</v>
      </c>
      <c r="B475" s="512" t="s">
        <v>2187</v>
      </c>
      <c r="C475" s="515">
        <f>C24</f>
        <v>46</v>
      </c>
      <c r="D475" s="316">
        <v>1440</v>
      </c>
      <c r="E475" s="270">
        <v>1200</v>
      </c>
      <c r="F475" s="270"/>
      <c r="G475" s="518">
        <v>15</v>
      </c>
      <c r="H475" s="508">
        <f t="shared" si="32"/>
        <v>1821600</v>
      </c>
      <c r="I475" s="509">
        <f t="shared" si="31"/>
        <v>1821600</v>
      </c>
      <c r="J475" s="494"/>
      <c r="L475" s="361"/>
      <c r="M475" s="361"/>
      <c r="P475" s="277"/>
      <c r="R475" s="277"/>
    </row>
    <row r="476" spans="1:18">
      <c r="A476" s="343">
        <v>3.3</v>
      </c>
      <c r="B476" s="512" t="s">
        <v>2188</v>
      </c>
      <c r="C476" s="515">
        <f>D9</f>
        <v>2269</v>
      </c>
      <c r="D476" s="316">
        <v>1200</v>
      </c>
      <c r="E476" s="270">
        <v>600</v>
      </c>
      <c r="F476" s="270">
        <v>1000</v>
      </c>
      <c r="G476" s="518">
        <v>2</v>
      </c>
      <c r="H476" s="508">
        <f t="shared" si="32"/>
        <v>10437400</v>
      </c>
      <c r="I476" s="509">
        <f t="shared" si="31"/>
        <v>10437400</v>
      </c>
      <c r="J476" s="494"/>
      <c r="K476" s="296"/>
      <c r="L476" s="361"/>
      <c r="M476" s="368"/>
      <c r="P476" s="277"/>
      <c r="R476" s="277"/>
    </row>
    <row r="477" spans="1:18" ht="18">
      <c r="A477" s="343">
        <v>8.3000000000000007</v>
      </c>
      <c r="B477" s="512" t="s">
        <v>2189</v>
      </c>
      <c r="C477" s="515">
        <f>C33</f>
        <v>792</v>
      </c>
      <c r="D477" s="316">
        <v>1800</v>
      </c>
      <c r="E477" s="270">
        <v>1200</v>
      </c>
      <c r="F477" s="270">
        <v>2000</v>
      </c>
      <c r="G477" s="518">
        <f>25-2</f>
        <v>23</v>
      </c>
      <c r="H477" s="508">
        <f t="shared" si="32"/>
        <v>56232000</v>
      </c>
      <c r="I477" s="509">
        <f t="shared" si="31"/>
        <v>56232000</v>
      </c>
      <c r="J477" s="494"/>
      <c r="K477" s="296"/>
      <c r="L477" s="368"/>
      <c r="N477" s="521">
        <f>SUM(I477:M477)</f>
        <v>56232000</v>
      </c>
      <c r="P477" s="277"/>
      <c r="R477" s="277"/>
    </row>
    <row r="478" spans="1:18">
      <c r="A478" s="343">
        <v>8.3000000000000007</v>
      </c>
      <c r="B478" s="512" t="s">
        <v>2190</v>
      </c>
      <c r="C478" s="515">
        <f>C34</f>
        <v>0</v>
      </c>
      <c r="D478" s="316">
        <v>2500</v>
      </c>
      <c r="E478" s="270">
        <v>1500</v>
      </c>
      <c r="F478" s="270">
        <v>2000</v>
      </c>
      <c r="G478" s="518"/>
      <c r="H478" s="508">
        <f t="shared" si="32"/>
        <v>0</v>
      </c>
      <c r="I478" s="509">
        <f t="shared" si="31"/>
        <v>0</v>
      </c>
      <c r="J478" s="494"/>
      <c r="L478" s="361"/>
      <c r="M478" s="361"/>
      <c r="P478" s="277"/>
      <c r="R478" s="277"/>
    </row>
    <row r="479" spans="1:18" ht="20.25">
      <c r="A479" s="343">
        <v>5.3</v>
      </c>
      <c r="B479" s="512" t="s">
        <v>2191</v>
      </c>
      <c r="C479" s="522">
        <f>C26</f>
        <v>1275</v>
      </c>
      <c r="D479" s="316">
        <v>1200</v>
      </c>
      <c r="E479" s="270">
        <v>600</v>
      </c>
      <c r="F479" s="270"/>
      <c r="G479" s="518">
        <v>22</v>
      </c>
      <c r="H479" s="508">
        <f t="shared" si="32"/>
        <v>50490000</v>
      </c>
      <c r="I479" s="509">
        <f t="shared" si="31"/>
        <v>50490000</v>
      </c>
      <c r="J479" s="494"/>
      <c r="K479" s="296"/>
      <c r="L479" s="523"/>
      <c r="M479" s="361"/>
      <c r="P479" s="277"/>
      <c r="R479" s="277"/>
    </row>
    <row r="480" spans="1:18">
      <c r="A480" s="343">
        <v>6.3</v>
      </c>
      <c r="B480" s="512" t="s">
        <v>2192</v>
      </c>
      <c r="C480" s="515">
        <f>C20</f>
        <v>4538</v>
      </c>
      <c r="D480" s="316">
        <v>1200</v>
      </c>
      <c r="E480" s="270">
        <v>600</v>
      </c>
      <c r="F480" s="270">
        <v>1000</v>
      </c>
      <c r="G480" s="518">
        <f>14-2</f>
        <v>12</v>
      </c>
      <c r="H480" s="524">
        <f>((((D480+E480)*G480)+F480)*C480)+(E480*2*C480)</f>
        <v>108004400</v>
      </c>
      <c r="I480" s="509">
        <f t="shared" si="31"/>
        <v>108004400</v>
      </c>
      <c r="J480" s="494"/>
      <c r="K480" s="296"/>
      <c r="L480" s="368"/>
      <c r="M480" s="361"/>
      <c r="P480" s="277"/>
      <c r="R480" s="277"/>
    </row>
    <row r="481" spans="1:18" ht="18">
      <c r="A481" s="343">
        <v>7.3</v>
      </c>
      <c r="B481" s="512" t="s">
        <v>2193</v>
      </c>
      <c r="C481" s="515">
        <f>C29</f>
        <v>2269</v>
      </c>
      <c r="D481" s="316">
        <v>1200</v>
      </c>
      <c r="E481" s="270">
        <v>600</v>
      </c>
      <c r="F481" s="270">
        <v>1000</v>
      </c>
      <c r="G481" s="518">
        <f>12+2</f>
        <v>14</v>
      </c>
      <c r="H481" s="524">
        <f>((((D481+E481)*G481)+F481)*C481)+(E481*C481)</f>
        <v>60809200</v>
      </c>
      <c r="I481" s="509">
        <f t="shared" si="31"/>
        <v>60809200</v>
      </c>
      <c r="J481" s="494"/>
      <c r="K481" s="296"/>
      <c r="L481" s="520"/>
      <c r="M481" s="361"/>
      <c r="P481" s="277"/>
      <c r="R481" s="277"/>
    </row>
    <row r="482" spans="1:18">
      <c r="A482" s="343">
        <v>7.3</v>
      </c>
      <c r="B482" s="512" t="s">
        <v>2194</v>
      </c>
      <c r="C482" s="515">
        <f>C21</f>
        <v>2269</v>
      </c>
      <c r="D482" s="316">
        <v>1200</v>
      </c>
      <c r="E482" s="270">
        <v>600</v>
      </c>
      <c r="F482" s="270"/>
      <c r="G482" s="518">
        <f>G480</f>
        <v>12</v>
      </c>
      <c r="H482" s="524">
        <f>((((D482+E482)*G482)+F482)*C482)</f>
        <v>49010400</v>
      </c>
      <c r="I482" s="509">
        <f t="shared" si="31"/>
        <v>49010400</v>
      </c>
      <c r="J482" s="494"/>
      <c r="K482" s="296"/>
      <c r="L482" s="368"/>
      <c r="M482" s="361"/>
      <c r="P482" s="277"/>
      <c r="R482" s="277"/>
    </row>
    <row r="483" spans="1:18">
      <c r="A483" s="343">
        <v>7.3</v>
      </c>
      <c r="B483" s="512" t="s">
        <v>2195</v>
      </c>
      <c r="C483" s="525">
        <f>C30</f>
        <v>0</v>
      </c>
      <c r="D483" s="316">
        <v>1500</v>
      </c>
      <c r="E483" s="270">
        <v>1000</v>
      </c>
      <c r="F483" s="270"/>
      <c r="G483" s="518">
        <v>5</v>
      </c>
      <c r="H483" s="524">
        <f>(((D483+E483)*G483)+F483)*C483</f>
        <v>0</v>
      </c>
      <c r="I483" s="509">
        <f t="shared" si="31"/>
        <v>0</v>
      </c>
      <c r="J483" s="494"/>
      <c r="L483" s="361"/>
      <c r="M483" s="361"/>
      <c r="P483" s="277"/>
      <c r="R483" s="277"/>
    </row>
    <row r="484" spans="1:18" ht="18">
      <c r="A484" s="343">
        <v>7.3</v>
      </c>
      <c r="B484" s="505" t="s">
        <v>2196</v>
      </c>
      <c r="C484" s="525">
        <f>C28</f>
        <v>0</v>
      </c>
      <c r="D484" s="316">
        <v>1500</v>
      </c>
      <c r="E484" s="270">
        <v>10000</v>
      </c>
      <c r="F484" s="270"/>
      <c r="G484" s="518">
        <v>5</v>
      </c>
      <c r="H484" s="524">
        <f>(((D484+E484)*G484)+F484)*C484</f>
        <v>0</v>
      </c>
      <c r="I484" s="509">
        <f t="shared" si="31"/>
        <v>0</v>
      </c>
      <c r="J484" s="494"/>
      <c r="L484" s="520"/>
      <c r="M484" s="361"/>
      <c r="P484" s="277"/>
      <c r="R484" s="277"/>
    </row>
    <row r="485" spans="1:18" ht="17.649999999999999" customHeight="1" thickBot="1">
      <c r="A485" s="343">
        <v>8.3000000000000007</v>
      </c>
      <c r="B485" s="505" t="s">
        <v>2197</v>
      </c>
      <c r="C485" s="526">
        <f>C22</f>
        <v>92</v>
      </c>
      <c r="D485" s="316">
        <v>4200</v>
      </c>
      <c r="E485" s="270">
        <f>5000</f>
        <v>5000</v>
      </c>
      <c r="F485" s="270">
        <v>2000</v>
      </c>
      <c r="G485" s="518">
        <f>3</f>
        <v>3</v>
      </c>
      <c r="H485" s="527">
        <f>(((D485+E485)*G485)+F485)*C485</f>
        <v>2723200</v>
      </c>
      <c r="I485" s="528">
        <f t="shared" si="31"/>
        <v>2723200</v>
      </c>
      <c r="J485" s="529"/>
      <c r="L485" s="530"/>
      <c r="M485" s="520"/>
      <c r="P485" s="277"/>
      <c r="R485" s="277"/>
    </row>
    <row r="486" spans="1:18" ht="12.75" thickBot="1">
      <c r="A486" s="343"/>
      <c r="B486" s="531" t="s">
        <v>209</v>
      </c>
      <c r="C486" s="532"/>
      <c r="D486" s="532"/>
      <c r="E486" s="532"/>
      <c r="F486" s="532"/>
      <c r="G486" s="533"/>
      <c r="H486" s="534">
        <f>SUM(H456:H485)</f>
        <v>418767000</v>
      </c>
      <c r="I486" s="535">
        <f>SUM(I456:I485)</f>
        <v>418767000</v>
      </c>
      <c r="J486" s="374"/>
      <c r="L486" s="361"/>
      <c r="M486" s="361"/>
      <c r="P486" s="277"/>
      <c r="R486" s="277"/>
    </row>
    <row r="487" spans="1:18" ht="12.75" thickBot="1">
      <c r="A487" s="343"/>
      <c r="B487" s="299"/>
      <c r="C487" s="362"/>
      <c r="D487" s="362"/>
      <c r="E487" s="362"/>
      <c r="F487" s="362"/>
      <c r="G487" s="362"/>
      <c r="H487" s="362"/>
      <c r="I487" s="536"/>
      <c r="J487" s="362"/>
      <c r="L487" s="361"/>
      <c r="M487" s="361"/>
      <c r="P487" s="277"/>
      <c r="R487" s="277"/>
    </row>
    <row r="488" spans="1:18" ht="12.75" thickBot="1">
      <c r="A488" s="343">
        <v>19</v>
      </c>
      <c r="B488" s="496" t="s">
        <v>2198</v>
      </c>
      <c r="C488" s="497"/>
      <c r="D488" s="497"/>
      <c r="E488" s="497"/>
      <c r="F488" s="497"/>
      <c r="G488" s="498"/>
      <c r="H488" s="537" t="str">
        <f>H455</f>
        <v>KADUNA</v>
      </c>
      <c r="I488" s="538" t="str">
        <f>I455</f>
        <v xml:space="preserve">Total </v>
      </c>
      <c r="J488" s="504"/>
      <c r="L488" s="361"/>
      <c r="M488" s="361"/>
      <c r="P488" s="277"/>
      <c r="R488" s="277"/>
    </row>
    <row r="489" spans="1:18">
      <c r="A489" s="343"/>
      <c r="B489" s="539" t="s">
        <v>2199</v>
      </c>
      <c r="C489" s="540"/>
      <c r="D489" s="541" t="s">
        <v>2200</v>
      </c>
      <c r="E489" s="541" t="s">
        <v>2201</v>
      </c>
      <c r="F489" s="541" t="s">
        <v>145</v>
      </c>
      <c r="G489" s="541" t="s">
        <v>143</v>
      </c>
      <c r="H489" s="270"/>
      <c r="I489" s="367"/>
      <c r="J489" s="326"/>
      <c r="L489" s="361"/>
      <c r="M489" s="361"/>
      <c r="P489" s="277"/>
      <c r="R489" s="277"/>
    </row>
    <row r="490" spans="1:18" ht="28.5" customHeight="1">
      <c r="A490" s="343">
        <v>8.3000000000000007</v>
      </c>
      <c r="B490" s="512" t="s">
        <v>2202</v>
      </c>
      <c r="C490" s="506"/>
      <c r="D490" s="542" t="s">
        <v>2203</v>
      </c>
      <c r="E490" s="332">
        <f>50000+14000</f>
        <v>64000</v>
      </c>
      <c r="F490" s="415">
        <v>2</v>
      </c>
      <c r="G490" s="332">
        <f>C456+C457+C458+C459</f>
        <v>12</v>
      </c>
      <c r="H490" s="332">
        <f>E490*F490*G490</f>
        <v>1536000</v>
      </c>
      <c r="I490" s="367">
        <f t="shared" ref="I490:I536" si="33">SUM(H490:H490)</f>
        <v>1536000</v>
      </c>
      <c r="J490" s="326"/>
      <c r="L490" s="361"/>
      <c r="M490" s="361"/>
      <c r="P490" s="277"/>
      <c r="R490" s="277"/>
    </row>
    <row r="491" spans="1:18" ht="18" customHeight="1">
      <c r="A491" s="343">
        <v>8.3000000000000007</v>
      </c>
      <c r="B491" s="512"/>
      <c r="C491" s="506"/>
      <c r="D491" s="542" t="s">
        <v>2204</v>
      </c>
      <c r="E491" s="332">
        <v>30000</v>
      </c>
      <c r="F491" s="415">
        <v>2</v>
      </c>
      <c r="G491" s="332">
        <f>G490+1</f>
        <v>13</v>
      </c>
      <c r="H491" s="332">
        <f t="shared" ref="H491:H536" si="34">E491*F491*G491</f>
        <v>780000</v>
      </c>
      <c r="I491" s="367">
        <f t="shared" si="33"/>
        <v>780000</v>
      </c>
      <c r="J491" s="326"/>
      <c r="L491" s="361"/>
      <c r="M491" s="361"/>
      <c r="P491" s="277"/>
      <c r="R491" s="277"/>
    </row>
    <row r="492" spans="1:18" ht="18" customHeight="1">
      <c r="A492" s="343">
        <v>8.3000000000000007</v>
      </c>
      <c r="B492" s="505" t="s">
        <v>2169</v>
      </c>
      <c r="C492" s="506"/>
      <c r="D492" s="542" t="s">
        <v>2205</v>
      </c>
      <c r="E492" s="332">
        <v>45000</v>
      </c>
      <c r="F492" s="415">
        <f>G456</f>
        <v>46</v>
      </c>
      <c r="G492" s="415">
        <f t="shared" ref="G492:G497" si="35">C456</f>
        <v>2</v>
      </c>
      <c r="H492" s="332">
        <f t="shared" si="34"/>
        <v>4140000</v>
      </c>
      <c r="I492" s="367">
        <f t="shared" si="33"/>
        <v>4140000</v>
      </c>
      <c r="J492" s="326"/>
      <c r="L492" s="361"/>
      <c r="M492" s="361"/>
      <c r="P492" s="277"/>
      <c r="R492" s="277"/>
    </row>
    <row r="493" spans="1:18" ht="18" customHeight="1">
      <c r="A493" s="343">
        <v>8.3000000000000007</v>
      </c>
      <c r="B493" s="505" t="s">
        <v>2170</v>
      </c>
      <c r="C493" s="506"/>
      <c r="D493" s="542" t="s">
        <v>2205</v>
      </c>
      <c r="E493" s="332">
        <v>45000</v>
      </c>
      <c r="F493" s="415">
        <f>G457</f>
        <v>45</v>
      </c>
      <c r="G493" s="415">
        <f t="shared" si="35"/>
        <v>2</v>
      </c>
      <c r="H493" s="332">
        <f t="shared" si="34"/>
        <v>4050000</v>
      </c>
      <c r="I493" s="367">
        <f t="shared" si="33"/>
        <v>4050000</v>
      </c>
      <c r="J493" s="326"/>
      <c r="L493" s="361"/>
      <c r="M493" s="361"/>
      <c r="P493" s="277"/>
      <c r="R493" s="277"/>
    </row>
    <row r="494" spans="1:18" ht="18" customHeight="1">
      <c r="A494" s="343">
        <v>8.3000000000000007</v>
      </c>
      <c r="B494" s="505" t="s">
        <v>2171</v>
      </c>
      <c r="C494" s="506"/>
      <c r="D494" s="542" t="s">
        <v>2205</v>
      </c>
      <c r="E494" s="332">
        <v>45000</v>
      </c>
      <c r="F494" s="415">
        <f>G458</f>
        <v>45</v>
      </c>
      <c r="G494" s="415">
        <f t="shared" si="35"/>
        <v>2</v>
      </c>
      <c r="H494" s="332">
        <f t="shared" si="34"/>
        <v>4050000</v>
      </c>
      <c r="I494" s="367">
        <f t="shared" si="33"/>
        <v>4050000</v>
      </c>
      <c r="J494" s="326"/>
      <c r="L494" s="361"/>
      <c r="M494" s="361"/>
      <c r="P494" s="277"/>
      <c r="R494" s="277"/>
    </row>
    <row r="495" spans="1:18" ht="18" customHeight="1">
      <c r="A495" s="343">
        <v>8.3000000000000007</v>
      </c>
      <c r="B495" s="512" t="s">
        <v>2206</v>
      </c>
      <c r="C495" s="506"/>
      <c r="D495" s="542" t="s">
        <v>2205</v>
      </c>
      <c r="E495" s="332">
        <v>45000</v>
      </c>
      <c r="F495" s="415">
        <f>G459</f>
        <v>4</v>
      </c>
      <c r="G495" s="415">
        <f t="shared" si="35"/>
        <v>6</v>
      </c>
      <c r="H495" s="332">
        <f>E495*F495*G495</f>
        <v>1080000</v>
      </c>
      <c r="I495" s="367">
        <f t="shared" si="33"/>
        <v>1080000</v>
      </c>
      <c r="J495" s="326"/>
      <c r="L495" s="361"/>
      <c r="M495" s="361"/>
      <c r="P495" s="277"/>
      <c r="R495" s="277"/>
    </row>
    <row r="496" spans="1:18" ht="18" customHeight="1">
      <c r="A496" s="343">
        <v>8.3000000000000007</v>
      </c>
      <c r="B496" s="512" t="s">
        <v>1863</v>
      </c>
      <c r="C496" s="506"/>
      <c r="D496" s="542" t="s">
        <v>2205</v>
      </c>
      <c r="E496" s="332">
        <v>45000</v>
      </c>
      <c r="F496" s="415">
        <f>G460</f>
        <v>53</v>
      </c>
      <c r="G496" s="332">
        <f t="shared" si="35"/>
        <v>1</v>
      </c>
      <c r="H496" s="332">
        <f t="shared" si="34"/>
        <v>2385000</v>
      </c>
      <c r="I496" s="367">
        <f t="shared" si="33"/>
        <v>2385000</v>
      </c>
      <c r="J496" s="326"/>
      <c r="L496" s="361"/>
      <c r="M496" s="361"/>
      <c r="P496" s="277"/>
      <c r="R496" s="277"/>
    </row>
    <row r="497" spans="1:18" ht="18" customHeight="1">
      <c r="A497" s="343">
        <v>8.3000000000000007</v>
      </c>
      <c r="B497" s="512" t="s">
        <v>2207</v>
      </c>
      <c r="C497" s="506"/>
      <c r="D497" s="542" t="s">
        <v>2203</v>
      </c>
      <c r="E497" s="332">
        <f>50000+14000</f>
        <v>64000</v>
      </c>
      <c r="F497" s="415">
        <v>2</v>
      </c>
      <c r="G497" s="332">
        <f t="shared" si="35"/>
        <v>4</v>
      </c>
      <c r="H497" s="332">
        <f t="shared" si="34"/>
        <v>512000</v>
      </c>
      <c r="I497" s="367">
        <f t="shared" si="33"/>
        <v>512000</v>
      </c>
      <c r="J497" s="326"/>
      <c r="L497" s="361"/>
      <c r="M497" s="361"/>
      <c r="P497" s="277"/>
      <c r="R497" s="277"/>
    </row>
    <row r="498" spans="1:18" ht="18" customHeight="1">
      <c r="A498" s="343">
        <v>8.3000000000000007</v>
      </c>
      <c r="B498" s="512"/>
      <c r="C498" s="506"/>
      <c r="D498" s="542" t="s">
        <v>2204</v>
      </c>
      <c r="E498" s="332">
        <v>30000</v>
      </c>
      <c r="F498" s="415">
        <v>2</v>
      </c>
      <c r="G498" s="415">
        <f>G497</f>
        <v>4</v>
      </c>
      <c r="H498" s="332">
        <f>E498*F498*G498</f>
        <v>240000</v>
      </c>
      <c r="I498" s="367">
        <f>SUM(H498:H498)</f>
        <v>240000</v>
      </c>
      <c r="J498" s="326"/>
      <c r="L498" s="361"/>
      <c r="M498" s="361"/>
      <c r="P498" s="277"/>
      <c r="R498" s="277"/>
    </row>
    <row r="499" spans="1:18" ht="18" customHeight="1">
      <c r="A499" s="343">
        <v>8.3000000000000007</v>
      </c>
      <c r="B499" s="512"/>
      <c r="C499" s="506"/>
      <c r="D499" s="542" t="s">
        <v>2205</v>
      </c>
      <c r="E499" s="332">
        <v>45000</v>
      </c>
      <c r="F499" s="415">
        <f>G461</f>
        <v>48</v>
      </c>
      <c r="G499" s="332">
        <f>G497</f>
        <v>4</v>
      </c>
      <c r="H499" s="332">
        <f t="shared" si="34"/>
        <v>8640000</v>
      </c>
      <c r="I499" s="367">
        <f t="shared" si="33"/>
        <v>8640000</v>
      </c>
      <c r="J499" s="326"/>
      <c r="L499" s="361"/>
      <c r="M499" s="361"/>
      <c r="P499" s="277"/>
      <c r="R499" s="277"/>
    </row>
    <row r="500" spans="1:18" ht="24.75" customHeight="1">
      <c r="A500" s="343">
        <v>8.3000000000000007</v>
      </c>
      <c r="B500" s="505" t="s">
        <v>2208</v>
      </c>
      <c r="C500" s="411"/>
      <c r="D500" s="542" t="s">
        <v>2203</v>
      </c>
      <c r="E500" s="332">
        <f>50000+14000</f>
        <v>64000</v>
      </c>
      <c r="F500" s="415">
        <v>0</v>
      </c>
      <c r="G500" s="415">
        <v>4</v>
      </c>
      <c r="H500" s="332">
        <f t="shared" si="34"/>
        <v>0</v>
      </c>
      <c r="I500" s="367">
        <f t="shared" si="33"/>
        <v>0</v>
      </c>
      <c r="J500" s="326"/>
      <c r="L500" s="1226"/>
      <c r="M500" s="361"/>
      <c r="P500" s="277"/>
      <c r="R500" s="277"/>
    </row>
    <row r="501" spans="1:18" ht="18" customHeight="1">
      <c r="A501" s="343">
        <v>8.3000000000000007</v>
      </c>
      <c r="B501" s="505"/>
      <c r="C501" s="392"/>
      <c r="D501" s="542" t="s">
        <v>2205</v>
      </c>
      <c r="E501" s="332">
        <v>45000</v>
      </c>
      <c r="F501" s="415">
        <v>0</v>
      </c>
      <c r="G501" s="415">
        <f>G500</f>
        <v>4</v>
      </c>
      <c r="H501" s="332">
        <f>E501*F501*G501</f>
        <v>0</v>
      </c>
      <c r="I501" s="367">
        <f t="shared" si="33"/>
        <v>0</v>
      </c>
      <c r="J501" s="326"/>
      <c r="L501" s="1226"/>
      <c r="M501" s="361"/>
      <c r="P501" s="277"/>
      <c r="R501" s="277"/>
    </row>
    <row r="502" spans="1:18" ht="21" customHeight="1">
      <c r="A502" s="343">
        <v>8.3000000000000007</v>
      </c>
      <c r="B502" s="505"/>
      <c r="C502" s="392"/>
      <c r="D502" s="542" t="s">
        <v>2209</v>
      </c>
      <c r="E502" s="332">
        <v>7000</v>
      </c>
      <c r="F502" s="415">
        <v>0</v>
      </c>
      <c r="G502" s="415">
        <f>G501</f>
        <v>4</v>
      </c>
      <c r="H502" s="332">
        <f t="shared" si="34"/>
        <v>0</v>
      </c>
      <c r="I502" s="367">
        <f t="shared" si="33"/>
        <v>0</v>
      </c>
      <c r="J502" s="326"/>
      <c r="L502" s="1226"/>
      <c r="M502" s="361"/>
      <c r="P502" s="277"/>
      <c r="R502" s="277"/>
    </row>
    <row r="503" spans="1:18" ht="18" customHeight="1">
      <c r="A503" s="343">
        <v>8.3000000000000007</v>
      </c>
      <c r="B503" s="512" t="s">
        <v>2210</v>
      </c>
      <c r="C503" s="392"/>
      <c r="D503" s="542" t="s">
        <v>2205</v>
      </c>
      <c r="E503" s="332">
        <v>21000</v>
      </c>
      <c r="F503" s="415">
        <f>16+2</f>
        <v>18</v>
      </c>
      <c r="G503" s="415">
        <v>5</v>
      </c>
      <c r="H503" s="332">
        <f t="shared" si="34"/>
        <v>1890000</v>
      </c>
      <c r="I503" s="367">
        <f t="shared" si="33"/>
        <v>1890000</v>
      </c>
      <c r="J503" s="326"/>
      <c r="L503" s="277"/>
      <c r="N503" s="277"/>
      <c r="P503" s="277"/>
      <c r="R503" s="277"/>
    </row>
    <row r="504" spans="1:18" ht="18" customHeight="1">
      <c r="A504" s="343">
        <v>8.3000000000000007</v>
      </c>
      <c r="B504" s="512" t="s">
        <v>2180</v>
      </c>
      <c r="C504" s="392"/>
      <c r="D504" s="542" t="s">
        <v>2211</v>
      </c>
      <c r="E504" s="332">
        <v>12000</v>
      </c>
      <c r="F504" s="415">
        <f>G468</f>
        <v>14</v>
      </c>
      <c r="G504" s="332">
        <f>C468</f>
        <v>135</v>
      </c>
      <c r="H504" s="332">
        <f t="shared" si="34"/>
        <v>22680000</v>
      </c>
      <c r="I504" s="367">
        <f t="shared" si="33"/>
        <v>22680000</v>
      </c>
      <c r="J504" s="326"/>
      <c r="L504" s="277"/>
      <c r="N504" s="277"/>
      <c r="P504" s="277"/>
      <c r="R504" s="277"/>
    </row>
    <row r="505" spans="1:18" ht="18" customHeight="1">
      <c r="A505" s="343">
        <v>8.3000000000000007</v>
      </c>
      <c r="B505" s="512" t="s">
        <v>2212</v>
      </c>
      <c r="C505" s="392"/>
      <c r="D505" s="542" t="s">
        <v>2211</v>
      </c>
      <c r="E505" s="332">
        <v>12000</v>
      </c>
      <c r="F505" s="415">
        <f>G469</f>
        <v>34</v>
      </c>
      <c r="G505" s="332">
        <f>C469</f>
        <v>23</v>
      </c>
      <c r="H505" s="332">
        <f t="shared" si="34"/>
        <v>9384000</v>
      </c>
      <c r="I505" s="367">
        <f t="shared" si="33"/>
        <v>9384000</v>
      </c>
      <c r="J505" s="326"/>
      <c r="L505" s="277"/>
      <c r="N505" s="277"/>
      <c r="P505" s="277"/>
      <c r="R505" s="277"/>
    </row>
    <row r="506" spans="1:18" ht="18" customHeight="1">
      <c r="A506" s="343">
        <v>8.3000000000000007</v>
      </c>
      <c r="B506" s="512" t="s">
        <v>2213</v>
      </c>
      <c r="C506" s="392"/>
      <c r="D506" s="542"/>
      <c r="E506" s="332">
        <v>25000</v>
      </c>
      <c r="F506" s="415">
        <v>53</v>
      </c>
      <c r="G506" s="332">
        <v>1</v>
      </c>
      <c r="H506" s="332">
        <f>E506*F506*G506</f>
        <v>1325000</v>
      </c>
      <c r="I506" s="367">
        <f t="shared" si="33"/>
        <v>1325000</v>
      </c>
      <c r="J506" s="326"/>
      <c r="L506" s="277"/>
      <c r="N506" s="277"/>
      <c r="P506" s="277"/>
      <c r="R506" s="277"/>
    </row>
    <row r="507" spans="1:18" ht="18" customHeight="1">
      <c r="A507" s="343">
        <v>8.3000000000000007</v>
      </c>
      <c r="B507" s="512" t="s">
        <v>2214</v>
      </c>
      <c r="C507" s="506"/>
      <c r="D507" s="542" t="s">
        <v>2204</v>
      </c>
      <c r="E507" s="332">
        <v>30000</v>
      </c>
      <c r="F507" s="415">
        <v>2</v>
      </c>
      <c r="G507" s="415">
        <v>3</v>
      </c>
      <c r="H507" s="332">
        <f>E507*F507*G507</f>
        <v>180000</v>
      </c>
      <c r="I507" s="367">
        <f t="shared" si="33"/>
        <v>180000</v>
      </c>
      <c r="J507" s="326"/>
      <c r="L507" s="390"/>
      <c r="M507" s="281"/>
      <c r="N507" s="277"/>
      <c r="P507" s="277"/>
      <c r="R507" s="277"/>
    </row>
    <row r="508" spans="1:18" ht="18" customHeight="1">
      <c r="A508" s="343">
        <v>8.3000000000000007</v>
      </c>
      <c r="B508" s="512"/>
      <c r="C508" s="506"/>
      <c r="D508" s="542" t="s">
        <v>2215</v>
      </c>
      <c r="E508" s="332">
        <v>5000</v>
      </c>
      <c r="F508" s="415">
        <f>53</f>
        <v>53</v>
      </c>
      <c r="G508" s="415">
        <f>G507</f>
        <v>3</v>
      </c>
      <c r="H508" s="332">
        <f t="shared" si="34"/>
        <v>795000</v>
      </c>
      <c r="I508" s="367">
        <f t="shared" si="33"/>
        <v>795000</v>
      </c>
      <c r="J508" s="326"/>
      <c r="L508" s="390"/>
      <c r="M508" s="281"/>
      <c r="N508" s="277"/>
      <c r="P508" s="277"/>
      <c r="R508" s="277"/>
    </row>
    <row r="509" spans="1:18" ht="15" customHeight="1">
      <c r="A509" s="343">
        <v>8.3000000000000007</v>
      </c>
      <c r="B509" s="512"/>
      <c r="C509" s="506"/>
      <c r="D509" s="542" t="s">
        <v>2205</v>
      </c>
      <c r="E509" s="332">
        <v>45000</v>
      </c>
      <c r="F509" s="415">
        <f>53</f>
        <v>53</v>
      </c>
      <c r="G509" s="415">
        <f>G508</f>
        <v>3</v>
      </c>
      <c r="H509" s="332">
        <f>E509*F509*G509</f>
        <v>7155000</v>
      </c>
      <c r="I509" s="367">
        <f t="shared" si="33"/>
        <v>7155000</v>
      </c>
      <c r="J509" s="326"/>
      <c r="L509" s="390"/>
      <c r="M509" s="281"/>
      <c r="N509" s="277"/>
      <c r="P509" s="277"/>
      <c r="R509" s="277"/>
    </row>
    <row r="510" spans="1:18" ht="28.5" customHeight="1">
      <c r="A510" s="343">
        <v>8.3000000000000007</v>
      </c>
      <c r="B510" s="512"/>
      <c r="C510" s="506"/>
      <c r="D510" s="542" t="s">
        <v>2209</v>
      </c>
      <c r="E510" s="332">
        <v>7000</v>
      </c>
      <c r="F510" s="415">
        <v>2</v>
      </c>
      <c r="G510" s="415">
        <f>G509</f>
        <v>3</v>
      </c>
      <c r="H510" s="332">
        <f>E510*F510*G510</f>
        <v>42000</v>
      </c>
      <c r="I510" s="367">
        <f t="shared" si="33"/>
        <v>42000</v>
      </c>
      <c r="J510" s="543"/>
      <c r="L510" s="390"/>
      <c r="M510" s="281"/>
      <c r="N510" s="277"/>
      <c r="P510" s="277"/>
      <c r="R510" s="277"/>
    </row>
    <row r="511" spans="1:18" ht="18" customHeight="1">
      <c r="A511" s="343">
        <v>8.3000000000000007</v>
      </c>
      <c r="B511" s="512" t="s">
        <v>2216</v>
      </c>
      <c r="C511" s="506"/>
      <c r="D511" s="542" t="s">
        <v>2204</v>
      </c>
      <c r="E511" s="332">
        <v>30000</v>
      </c>
      <c r="F511" s="415">
        <f>2</f>
        <v>2</v>
      </c>
      <c r="G511" s="415">
        <v>2</v>
      </c>
      <c r="H511" s="332">
        <f t="shared" si="34"/>
        <v>120000</v>
      </c>
      <c r="I511" s="367">
        <f t="shared" si="33"/>
        <v>120000</v>
      </c>
      <c r="J511" s="326"/>
      <c r="L511" s="544"/>
      <c r="M511" s="281"/>
      <c r="N511" s="277"/>
      <c r="P511" s="277"/>
      <c r="R511" s="277"/>
    </row>
    <row r="512" spans="1:18" ht="18" customHeight="1">
      <c r="A512" s="343">
        <v>8.3000000000000007</v>
      </c>
      <c r="B512" s="512"/>
      <c r="C512" s="506"/>
      <c r="D512" s="542" t="s">
        <v>2205</v>
      </c>
      <c r="E512" s="332">
        <v>45000</v>
      </c>
      <c r="F512" s="415">
        <f>53</f>
        <v>53</v>
      </c>
      <c r="G512" s="415">
        <f>G511</f>
        <v>2</v>
      </c>
      <c r="H512" s="332">
        <f t="shared" si="34"/>
        <v>4770000</v>
      </c>
      <c r="I512" s="367">
        <f t="shared" si="33"/>
        <v>4770000</v>
      </c>
      <c r="J512" s="326"/>
      <c r="L512" s="544"/>
      <c r="M512" s="281"/>
      <c r="N512" s="277"/>
      <c r="P512" s="277"/>
      <c r="R512" s="277"/>
    </row>
    <row r="513" spans="1:30" ht="18" customHeight="1">
      <c r="A513" s="343">
        <v>8.3000000000000007</v>
      </c>
      <c r="B513" s="512"/>
      <c r="C513" s="506"/>
      <c r="D513" s="542" t="s">
        <v>2215</v>
      </c>
      <c r="E513" s="332">
        <v>5000</v>
      </c>
      <c r="F513" s="415">
        <f>53</f>
        <v>53</v>
      </c>
      <c r="G513" s="415">
        <f>G512</f>
        <v>2</v>
      </c>
      <c r="H513" s="332">
        <f>E513*F513*G513</f>
        <v>530000</v>
      </c>
      <c r="I513" s="367">
        <f t="shared" si="33"/>
        <v>530000</v>
      </c>
      <c r="J513" s="326"/>
      <c r="L513" s="544"/>
      <c r="M513" s="281"/>
      <c r="N513" s="277"/>
      <c r="P513" s="277"/>
      <c r="R513" s="277"/>
    </row>
    <row r="514" spans="1:30" ht="24.75" customHeight="1">
      <c r="A514" s="343">
        <v>8.3000000000000007</v>
      </c>
      <c r="B514" s="512"/>
      <c r="C514" s="506"/>
      <c r="D514" s="542" t="s">
        <v>2209</v>
      </c>
      <c r="E514" s="332">
        <v>7000</v>
      </c>
      <c r="F514" s="415">
        <v>2</v>
      </c>
      <c r="G514" s="415">
        <f>G512</f>
        <v>2</v>
      </c>
      <c r="H514" s="332">
        <f t="shared" si="34"/>
        <v>28000</v>
      </c>
      <c r="I514" s="367">
        <f t="shared" si="33"/>
        <v>28000</v>
      </c>
      <c r="J514" s="543"/>
      <c r="L514" s="544"/>
      <c r="M514" s="281"/>
      <c r="N514" s="277"/>
      <c r="P514" s="277"/>
      <c r="R514" s="277"/>
    </row>
    <row r="515" spans="1:30" ht="18" customHeight="1">
      <c r="A515" s="343">
        <v>8.3000000000000007</v>
      </c>
      <c r="B515" s="512" t="s">
        <v>2217</v>
      </c>
      <c r="C515" s="506"/>
      <c r="D515" s="542" t="s">
        <v>2204</v>
      </c>
      <c r="E515" s="332">
        <v>30000</v>
      </c>
      <c r="F515" s="415">
        <v>2</v>
      </c>
      <c r="G515" s="415">
        <v>3</v>
      </c>
      <c r="H515" s="332">
        <f t="shared" si="34"/>
        <v>180000</v>
      </c>
      <c r="I515" s="367">
        <f t="shared" si="33"/>
        <v>180000</v>
      </c>
      <c r="J515" s="326"/>
      <c r="L515" s="544"/>
      <c r="M515" s="281"/>
      <c r="N515" s="277"/>
      <c r="P515" s="277"/>
      <c r="R515" s="277"/>
    </row>
    <row r="516" spans="1:30" ht="18" customHeight="1">
      <c r="A516" s="343">
        <v>8.3000000000000007</v>
      </c>
      <c r="B516" s="512"/>
      <c r="C516" s="506"/>
      <c r="D516" s="542" t="s">
        <v>2205</v>
      </c>
      <c r="E516" s="332">
        <v>45000</v>
      </c>
      <c r="F516" s="415">
        <v>53</v>
      </c>
      <c r="G516" s="415">
        <f>G515</f>
        <v>3</v>
      </c>
      <c r="H516" s="332">
        <f t="shared" si="34"/>
        <v>7155000</v>
      </c>
      <c r="I516" s="367">
        <f t="shared" si="33"/>
        <v>7155000</v>
      </c>
      <c r="J516" s="326"/>
      <c r="L516" s="544"/>
      <c r="M516" s="281"/>
      <c r="N516" s="277"/>
      <c r="P516" s="277"/>
      <c r="R516" s="277"/>
    </row>
    <row r="517" spans="1:30" ht="18" customHeight="1">
      <c r="A517" s="343">
        <v>8.3000000000000007</v>
      </c>
      <c r="B517" s="512"/>
      <c r="C517" s="506"/>
      <c r="D517" s="542" t="s">
        <v>2215</v>
      </c>
      <c r="E517" s="332">
        <v>5000</v>
      </c>
      <c r="F517" s="415">
        <f>53</f>
        <v>53</v>
      </c>
      <c r="G517" s="415">
        <f>G516</f>
        <v>3</v>
      </c>
      <c r="H517" s="332">
        <f t="shared" si="34"/>
        <v>795000</v>
      </c>
      <c r="I517" s="367">
        <f t="shared" si="33"/>
        <v>795000</v>
      </c>
      <c r="J517" s="326"/>
      <c r="L517" s="544"/>
      <c r="M517" s="281"/>
      <c r="N517" s="277"/>
      <c r="P517" s="277"/>
      <c r="R517" s="277"/>
    </row>
    <row r="518" spans="1:30" ht="18" customHeight="1">
      <c r="A518" s="343">
        <v>8.3000000000000007</v>
      </c>
      <c r="B518" s="512"/>
      <c r="C518" s="506"/>
      <c r="D518" s="542" t="s">
        <v>2209</v>
      </c>
      <c r="E518" s="332">
        <v>7000</v>
      </c>
      <c r="F518" s="415">
        <v>2</v>
      </c>
      <c r="G518" s="415">
        <f>G516</f>
        <v>3</v>
      </c>
      <c r="H518" s="332">
        <f t="shared" si="34"/>
        <v>42000</v>
      </c>
      <c r="I518" s="367">
        <f t="shared" si="33"/>
        <v>42000</v>
      </c>
      <c r="J518" s="326"/>
      <c r="L518" s="544"/>
      <c r="M518" s="281"/>
      <c r="N518" s="277"/>
      <c r="P518" s="277"/>
      <c r="R518" s="277"/>
    </row>
    <row r="519" spans="1:30" ht="18" customHeight="1">
      <c r="A519" s="343">
        <v>8.3000000000000007</v>
      </c>
      <c r="B519" s="512" t="s">
        <v>2218</v>
      </c>
      <c r="C519" s="506"/>
      <c r="D519" s="542" t="s">
        <v>2204</v>
      </c>
      <c r="E519" s="332">
        <v>30000</v>
      </c>
      <c r="F519" s="415">
        <v>2</v>
      </c>
      <c r="G519" s="415">
        <v>1</v>
      </c>
      <c r="H519" s="332">
        <f t="shared" si="34"/>
        <v>60000</v>
      </c>
      <c r="I519" s="367">
        <f t="shared" si="33"/>
        <v>60000</v>
      </c>
      <c r="J519" s="326"/>
      <c r="L519" s="544"/>
      <c r="M519" s="281"/>
      <c r="N519" s="277"/>
      <c r="P519" s="277"/>
      <c r="R519" s="277"/>
    </row>
    <row r="520" spans="1:30" ht="18" customHeight="1">
      <c r="A520" s="343">
        <v>8.3000000000000007</v>
      </c>
      <c r="B520" s="512"/>
      <c r="C520" s="506"/>
      <c r="D520" s="542" t="s">
        <v>2205</v>
      </c>
      <c r="E520" s="332">
        <v>45000</v>
      </c>
      <c r="F520" s="415">
        <v>53</v>
      </c>
      <c r="G520" s="415">
        <f>G519</f>
        <v>1</v>
      </c>
      <c r="H520" s="332">
        <f t="shared" si="34"/>
        <v>2385000</v>
      </c>
      <c r="I520" s="367">
        <f t="shared" si="33"/>
        <v>2385000</v>
      </c>
      <c r="J520" s="326"/>
      <c r="L520" s="544"/>
      <c r="M520" s="281"/>
      <c r="N520" s="277"/>
      <c r="P520" s="277"/>
      <c r="R520" s="277"/>
    </row>
    <row r="521" spans="1:30" ht="18" customHeight="1">
      <c r="A521" s="343">
        <v>8.3000000000000007</v>
      </c>
      <c r="B521" s="512"/>
      <c r="C521" s="506"/>
      <c r="D521" s="542" t="s">
        <v>2215</v>
      </c>
      <c r="E521" s="332">
        <v>5000</v>
      </c>
      <c r="F521" s="415">
        <v>53</v>
      </c>
      <c r="G521" s="415">
        <f>G520</f>
        <v>1</v>
      </c>
      <c r="H521" s="332">
        <f t="shared" si="34"/>
        <v>265000</v>
      </c>
      <c r="I521" s="367">
        <f t="shared" si="33"/>
        <v>265000</v>
      </c>
      <c r="J521" s="326"/>
      <c r="L521" s="544"/>
      <c r="M521" s="281"/>
      <c r="N521" s="277"/>
      <c r="P521" s="277"/>
      <c r="R521" s="277"/>
    </row>
    <row r="522" spans="1:30" ht="18" customHeight="1">
      <c r="A522" s="343">
        <v>8.3000000000000007</v>
      </c>
      <c r="B522" s="512"/>
      <c r="C522" s="506"/>
      <c r="D522" s="542" t="s">
        <v>2209</v>
      </c>
      <c r="E522" s="332">
        <v>3500</v>
      </c>
      <c r="F522" s="415">
        <v>2</v>
      </c>
      <c r="G522" s="415">
        <f>G520</f>
        <v>1</v>
      </c>
      <c r="H522" s="332">
        <f t="shared" si="34"/>
        <v>7000</v>
      </c>
      <c r="I522" s="367">
        <f t="shared" si="33"/>
        <v>7000</v>
      </c>
      <c r="J522" s="326"/>
      <c r="L522" s="544"/>
      <c r="M522" s="281"/>
      <c r="N522" s="277"/>
      <c r="P522" s="277"/>
      <c r="R522" s="277"/>
    </row>
    <row r="523" spans="1:30" ht="25.5" customHeight="1">
      <c r="A523" s="343">
        <v>13.3</v>
      </c>
      <c r="B523" s="512" t="s">
        <v>2219</v>
      </c>
      <c r="C523" s="506"/>
      <c r="D523" s="542" t="s">
        <v>2204</v>
      </c>
      <c r="E523" s="332">
        <v>30000</v>
      </c>
      <c r="F523" s="415">
        <v>2</v>
      </c>
      <c r="G523" s="415">
        <v>4</v>
      </c>
      <c r="H523" s="332">
        <f t="shared" si="34"/>
        <v>240000</v>
      </c>
      <c r="I523" s="367">
        <f t="shared" si="33"/>
        <v>240000</v>
      </c>
      <c r="J523" s="543"/>
      <c r="L523" s="544"/>
      <c r="M523" s="281"/>
      <c r="N523" s="277"/>
      <c r="P523" s="277"/>
      <c r="R523" s="277"/>
    </row>
    <row r="524" spans="1:30" ht="18" customHeight="1">
      <c r="A524" s="343">
        <v>13.3</v>
      </c>
      <c r="B524" s="512"/>
      <c r="C524" s="506"/>
      <c r="D524" s="542" t="s">
        <v>2205</v>
      </c>
      <c r="E524" s="332">
        <v>45000</v>
      </c>
      <c r="F524" s="415">
        <f>53</f>
        <v>53</v>
      </c>
      <c r="G524" s="415">
        <v>4</v>
      </c>
      <c r="H524" s="332">
        <f t="shared" si="34"/>
        <v>9540000</v>
      </c>
      <c r="I524" s="367">
        <f t="shared" si="33"/>
        <v>9540000</v>
      </c>
      <c r="J524" s="326"/>
      <c r="L524" s="544"/>
      <c r="M524" s="281"/>
      <c r="N524" s="277"/>
      <c r="P524" s="277"/>
      <c r="R524" s="277"/>
    </row>
    <row r="525" spans="1:30" ht="18" customHeight="1">
      <c r="A525" s="343">
        <v>13.3</v>
      </c>
      <c r="B525" s="512"/>
      <c r="C525" s="506"/>
      <c r="D525" s="542" t="s">
        <v>2215</v>
      </c>
      <c r="E525" s="332">
        <v>5000</v>
      </c>
      <c r="F525" s="415">
        <v>53</v>
      </c>
      <c r="G525" s="415">
        <f>G524</f>
        <v>4</v>
      </c>
      <c r="H525" s="332">
        <f t="shared" si="34"/>
        <v>1060000</v>
      </c>
      <c r="I525" s="367">
        <f t="shared" si="33"/>
        <v>1060000</v>
      </c>
      <c r="J525" s="326"/>
      <c r="L525" s="544"/>
      <c r="M525" s="281"/>
      <c r="N525" s="277"/>
      <c r="P525" s="277"/>
      <c r="R525" s="277"/>
    </row>
    <row r="526" spans="1:30" ht="26.25" customHeight="1">
      <c r="A526" s="343">
        <v>13.3</v>
      </c>
      <c r="B526" s="512"/>
      <c r="C526" s="506"/>
      <c r="D526" s="542" t="s">
        <v>2209</v>
      </c>
      <c r="E526" s="332">
        <v>7000</v>
      </c>
      <c r="F526" s="415">
        <v>2</v>
      </c>
      <c r="G526" s="415">
        <v>4</v>
      </c>
      <c r="H526" s="332">
        <f t="shared" si="34"/>
        <v>56000</v>
      </c>
      <c r="I526" s="367">
        <f t="shared" si="33"/>
        <v>56000</v>
      </c>
      <c r="J526" s="543"/>
      <c r="L526" s="544"/>
      <c r="M526" s="281"/>
      <c r="N526" s="277"/>
      <c r="P526" s="277"/>
      <c r="R526" s="277"/>
    </row>
    <row r="527" spans="1:30" ht="18" customHeight="1">
      <c r="A527" s="343">
        <v>13.3</v>
      </c>
      <c r="B527" s="512" t="s">
        <v>2220</v>
      </c>
      <c r="C527" s="506"/>
      <c r="D527" s="542" t="s">
        <v>2204</v>
      </c>
      <c r="E527" s="332">
        <v>30000</v>
      </c>
      <c r="F527" s="415">
        <f>2</f>
        <v>2</v>
      </c>
      <c r="G527" s="415">
        <v>3</v>
      </c>
      <c r="H527" s="332">
        <f t="shared" si="34"/>
        <v>180000</v>
      </c>
      <c r="I527" s="367">
        <f t="shared" si="33"/>
        <v>180000</v>
      </c>
      <c r="J527" s="326"/>
      <c r="L527" s="545"/>
      <c r="M527" s="281"/>
      <c r="N527" s="277"/>
      <c r="P527" s="277"/>
      <c r="R527" s="277"/>
    </row>
    <row r="528" spans="1:30" s="361" customFormat="1" ht="18" customHeight="1">
      <c r="A528" s="343">
        <v>13.3</v>
      </c>
      <c r="B528" s="512"/>
      <c r="C528" s="506"/>
      <c r="D528" s="542" t="s">
        <v>2205</v>
      </c>
      <c r="E528" s="332">
        <v>45000</v>
      </c>
      <c r="F528" s="415">
        <v>53</v>
      </c>
      <c r="G528" s="415">
        <v>3</v>
      </c>
      <c r="H528" s="332">
        <f t="shared" si="34"/>
        <v>7155000</v>
      </c>
      <c r="I528" s="367">
        <f t="shared" si="33"/>
        <v>7155000</v>
      </c>
      <c r="J528" s="326"/>
      <c r="K528" s="281"/>
      <c r="L528" s="546"/>
      <c r="M528" s="546"/>
      <c r="R528" s="362"/>
      <c r="V528" s="362"/>
      <c r="W528" s="299"/>
      <c r="X528" s="291"/>
      <c r="Y528" s="291"/>
      <c r="Z528" s="291"/>
      <c r="AA528" s="291"/>
      <c r="AB528" s="291"/>
      <c r="AC528" s="291"/>
      <c r="AD528" s="291"/>
    </row>
    <row r="529" spans="1:30" s="361" customFormat="1" ht="18" customHeight="1">
      <c r="A529" s="343">
        <v>13.3</v>
      </c>
      <c r="B529" s="512"/>
      <c r="C529" s="506"/>
      <c r="D529" s="542" t="s">
        <v>2215</v>
      </c>
      <c r="E529" s="332">
        <v>5000</v>
      </c>
      <c r="F529" s="415">
        <v>53</v>
      </c>
      <c r="G529" s="415">
        <f>G528</f>
        <v>3</v>
      </c>
      <c r="H529" s="332">
        <f t="shared" si="34"/>
        <v>795000</v>
      </c>
      <c r="I529" s="367">
        <f t="shared" si="33"/>
        <v>795000</v>
      </c>
      <c r="J529" s="326"/>
      <c r="K529" s="281"/>
      <c r="L529" s="546"/>
      <c r="M529" s="546"/>
      <c r="R529" s="362"/>
      <c r="V529" s="362"/>
      <c r="W529" s="299"/>
      <c r="X529" s="291"/>
      <c r="Y529" s="291"/>
      <c r="Z529" s="291"/>
      <c r="AA529" s="291"/>
      <c r="AB529" s="291"/>
      <c r="AC529" s="291"/>
      <c r="AD529" s="291"/>
    </row>
    <row r="530" spans="1:30" s="361" customFormat="1" ht="18" customHeight="1">
      <c r="A530" s="343">
        <v>13.3</v>
      </c>
      <c r="B530" s="512"/>
      <c r="C530" s="506"/>
      <c r="D530" s="547" t="s">
        <v>2209</v>
      </c>
      <c r="E530" s="332">
        <v>7000</v>
      </c>
      <c r="F530" s="415">
        <v>1</v>
      </c>
      <c r="G530" s="415">
        <f>G528</f>
        <v>3</v>
      </c>
      <c r="H530" s="332">
        <f t="shared" si="34"/>
        <v>21000</v>
      </c>
      <c r="I530" s="367">
        <f t="shared" si="33"/>
        <v>21000</v>
      </c>
      <c r="J530" s="326"/>
      <c r="K530" s="281"/>
      <c r="L530" s="546"/>
      <c r="M530" s="546"/>
      <c r="R530" s="362"/>
      <c r="V530" s="362"/>
      <c r="W530" s="299"/>
      <c r="X530" s="291"/>
      <c r="Y530" s="291"/>
      <c r="Z530" s="291"/>
      <c r="AA530" s="291"/>
      <c r="AB530" s="291"/>
      <c r="AC530" s="291"/>
      <c r="AD530" s="291"/>
    </row>
    <row r="531" spans="1:30" s="361" customFormat="1" ht="18" customHeight="1">
      <c r="A531" s="343">
        <v>8.3000000000000007</v>
      </c>
      <c r="B531" s="512" t="s">
        <v>2221</v>
      </c>
      <c r="C531" s="506" t="s">
        <v>2222</v>
      </c>
      <c r="D531" s="542" t="s">
        <v>2204</v>
      </c>
      <c r="E531" s="332">
        <v>30000</v>
      </c>
      <c r="F531" s="415">
        <v>2</v>
      </c>
      <c r="G531" s="415">
        <v>6</v>
      </c>
      <c r="H531" s="332">
        <f t="shared" si="34"/>
        <v>360000</v>
      </c>
      <c r="I531" s="367">
        <f t="shared" si="33"/>
        <v>360000</v>
      </c>
      <c r="J531" s="326"/>
      <c r="K531" s="281"/>
      <c r="L531" s="368"/>
      <c r="M531" s="368"/>
      <c r="R531" s="317"/>
      <c r="V531" s="362"/>
      <c r="W531" s="299"/>
      <c r="X531" s="291"/>
      <c r="Y531" s="291"/>
      <c r="Z531" s="291"/>
      <c r="AA531" s="291"/>
      <c r="AB531" s="291"/>
      <c r="AC531" s="291"/>
      <c r="AD531" s="291"/>
    </row>
    <row r="532" spans="1:30" s="361" customFormat="1" ht="18" customHeight="1">
      <c r="A532" s="343">
        <v>8.3000000000000007</v>
      </c>
      <c r="B532" s="512"/>
      <c r="C532" s="506"/>
      <c r="D532" s="542" t="s">
        <v>2215</v>
      </c>
      <c r="E532" s="332">
        <v>5000</v>
      </c>
      <c r="F532" s="415">
        <v>13</v>
      </c>
      <c r="G532" s="415">
        <f>G531</f>
        <v>6</v>
      </c>
      <c r="H532" s="332">
        <f t="shared" si="34"/>
        <v>390000</v>
      </c>
      <c r="I532" s="367">
        <f t="shared" si="33"/>
        <v>390000</v>
      </c>
      <c r="J532" s="326"/>
      <c r="K532" s="281"/>
      <c r="L532" s="368"/>
      <c r="M532" s="368"/>
      <c r="R532" s="317"/>
      <c r="V532" s="362"/>
      <c r="W532" s="299"/>
      <c r="X532" s="291"/>
      <c r="Y532" s="291"/>
      <c r="Z532" s="291"/>
      <c r="AA532" s="291"/>
      <c r="AB532" s="291"/>
      <c r="AC532" s="291"/>
      <c r="AD532" s="291"/>
    </row>
    <row r="533" spans="1:30" s="361" customFormat="1" ht="18" customHeight="1">
      <c r="A533" s="343">
        <v>8.3000000000000007</v>
      </c>
      <c r="B533" s="512"/>
      <c r="C533" s="506"/>
      <c r="D533" s="542" t="s">
        <v>2205</v>
      </c>
      <c r="E533" s="332">
        <v>45000</v>
      </c>
      <c r="F533" s="415">
        <v>14</v>
      </c>
      <c r="G533" s="415">
        <f>G532</f>
        <v>6</v>
      </c>
      <c r="H533" s="332">
        <f t="shared" si="34"/>
        <v>3780000</v>
      </c>
      <c r="I533" s="367">
        <f t="shared" si="33"/>
        <v>3780000</v>
      </c>
      <c r="J533" s="326"/>
      <c r="K533" s="281"/>
      <c r="L533" s="368"/>
      <c r="M533" s="368"/>
      <c r="R533" s="317"/>
      <c r="V533" s="362"/>
      <c r="W533" s="299"/>
      <c r="X533" s="291"/>
      <c r="Y533" s="291"/>
      <c r="Z533" s="291"/>
      <c r="AA533" s="291"/>
      <c r="AB533" s="291"/>
      <c r="AC533" s="291"/>
      <c r="AD533" s="291"/>
    </row>
    <row r="534" spans="1:30" s="361" customFormat="1" ht="25.5" customHeight="1">
      <c r="A534" s="343">
        <v>5.3</v>
      </c>
      <c r="B534" s="548" t="s">
        <v>2223</v>
      </c>
      <c r="C534" s="510" t="s">
        <v>2224</v>
      </c>
      <c r="D534" s="542" t="s">
        <v>2204</v>
      </c>
      <c r="E534" s="332">
        <v>30000</v>
      </c>
      <c r="F534" s="549">
        <v>2</v>
      </c>
      <c r="G534" s="549">
        <v>10</v>
      </c>
      <c r="H534" s="332">
        <f t="shared" si="34"/>
        <v>600000</v>
      </c>
      <c r="I534" s="367">
        <f t="shared" si="33"/>
        <v>600000</v>
      </c>
      <c r="J534" s="326"/>
      <c r="K534" s="281"/>
      <c r="L534" s="368"/>
      <c r="M534" s="368"/>
      <c r="R534" s="317"/>
      <c r="V534" s="362"/>
      <c r="W534" s="299"/>
      <c r="X534" s="291"/>
      <c r="Y534" s="291"/>
      <c r="Z534" s="291"/>
      <c r="AA534" s="291"/>
      <c r="AB534" s="291"/>
      <c r="AC534" s="291"/>
      <c r="AD534" s="291"/>
    </row>
    <row r="535" spans="1:30" s="361" customFormat="1" ht="18" customHeight="1">
      <c r="A535" s="343">
        <v>5.3</v>
      </c>
      <c r="B535" s="548"/>
      <c r="C535" s="510"/>
      <c r="D535" s="542" t="s">
        <v>2205</v>
      </c>
      <c r="E535" s="550">
        <v>45000</v>
      </c>
      <c r="F535" s="549">
        <v>4</v>
      </c>
      <c r="G535" s="549">
        <v>10</v>
      </c>
      <c r="H535" s="332">
        <f t="shared" si="34"/>
        <v>1800000</v>
      </c>
      <c r="I535" s="367">
        <f t="shared" si="33"/>
        <v>1800000</v>
      </c>
      <c r="J535" s="326"/>
      <c r="K535" s="281"/>
      <c r="L535" s="368"/>
      <c r="M535" s="368"/>
      <c r="R535" s="317"/>
      <c r="V535" s="362"/>
      <c r="W535" s="299"/>
      <c r="X535" s="291"/>
      <c r="Y535" s="291"/>
      <c r="Z535" s="291"/>
      <c r="AA535" s="291"/>
      <c r="AB535" s="291"/>
      <c r="AC535" s="291"/>
      <c r="AD535" s="291"/>
    </row>
    <row r="536" spans="1:30" s="361" customFormat="1" ht="14.25" customHeight="1">
      <c r="A536" s="343">
        <v>5.3</v>
      </c>
      <c r="B536" s="548"/>
      <c r="C536" s="510"/>
      <c r="D536" s="551" t="s">
        <v>2225</v>
      </c>
      <c r="E536" s="550">
        <v>18000</v>
      </c>
      <c r="F536" s="549">
        <v>3</v>
      </c>
      <c r="G536" s="549">
        <v>4</v>
      </c>
      <c r="H536" s="332">
        <f t="shared" si="34"/>
        <v>216000</v>
      </c>
      <c r="I536" s="367">
        <f t="shared" si="33"/>
        <v>216000</v>
      </c>
      <c r="J536" s="326"/>
      <c r="K536" s="552"/>
      <c r="L536" s="552"/>
      <c r="M536" s="552"/>
      <c r="N536" s="552"/>
      <c r="R536" s="317"/>
      <c r="V536" s="362"/>
      <c r="W536" s="299"/>
      <c r="X536" s="291"/>
      <c r="Y536" s="291"/>
      <c r="Z536" s="291"/>
      <c r="AA536" s="291"/>
      <c r="AB536" s="291"/>
      <c r="AC536" s="291"/>
      <c r="AD536" s="291"/>
    </row>
    <row r="537" spans="1:30" s="361" customFormat="1" ht="12.75" thickBot="1">
      <c r="A537" s="362"/>
      <c r="B537" s="553" t="str">
        <f>B486</f>
        <v>Total</v>
      </c>
      <c r="C537" s="554"/>
      <c r="D537" s="554"/>
      <c r="E537" s="554"/>
      <c r="F537" s="554"/>
      <c r="G537" s="554"/>
      <c r="H537" s="555">
        <f>SUM(H490:H536)</f>
        <v>113394000</v>
      </c>
      <c r="I537" s="367">
        <f>SUM(I490:I536)</f>
        <v>113394000</v>
      </c>
      <c r="J537" s="326"/>
      <c r="K537" s="281"/>
      <c r="L537" s="368"/>
      <c r="R537" s="317"/>
      <c r="V537" s="362"/>
      <c r="W537" s="299"/>
      <c r="X537" s="291"/>
      <c r="Y537" s="291"/>
      <c r="Z537" s="291"/>
      <c r="AA537" s="291"/>
      <c r="AB537" s="291"/>
      <c r="AC537" s="291"/>
      <c r="AD537" s="291"/>
    </row>
    <row r="538" spans="1:30" s="361" customFormat="1">
      <c r="A538" s="277"/>
      <c r="B538" s="277"/>
      <c r="C538" s="279"/>
      <c r="D538" s="279"/>
      <c r="E538" s="279"/>
      <c r="F538" s="277"/>
      <c r="G538" s="277"/>
      <c r="H538" s="277"/>
      <c r="I538" s="556"/>
      <c r="J538" s="318"/>
      <c r="K538" s="288"/>
      <c r="L538" s="288"/>
      <c r="Q538" s="317"/>
      <c r="U538" s="362"/>
      <c r="V538" s="299"/>
      <c r="W538" s="291"/>
      <c r="X538" s="291"/>
      <c r="Y538" s="291"/>
      <c r="Z538" s="291"/>
      <c r="AA538" s="291"/>
      <c r="AB538" s="291"/>
      <c r="AC538" s="291"/>
    </row>
    <row r="539" spans="1:30" s="361" customFormat="1" ht="12.75" thickBot="1">
      <c r="A539" s="277"/>
      <c r="B539" s="277"/>
      <c r="C539" s="279"/>
      <c r="D539" s="279"/>
      <c r="E539" s="279"/>
      <c r="F539" s="277"/>
      <c r="G539" s="557" t="s">
        <v>2226</v>
      </c>
      <c r="H539" s="557"/>
      <c r="I539" s="558">
        <v>411</v>
      </c>
      <c r="J539" s="277"/>
      <c r="K539" s="288"/>
      <c r="L539" s="317"/>
      <c r="Q539" s="317"/>
      <c r="U539" s="362"/>
      <c r="V539" s="299"/>
      <c r="W539" s="291"/>
      <c r="X539" s="291"/>
      <c r="Y539" s="291"/>
      <c r="Z539" s="291"/>
      <c r="AA539" s="291"/>
      <c r="AB539" s="291"/>
      <c r="AC539" s="291"/>
    </row>
    <row r="540" spans="1:30" s="361" customFormat="1" ht="12.75">
      <c r="A540" s="277"/>
      <c r="B540" s="559" t="s">
        <v>2227</v>
      </c>
      <c r="C540" s="560"/>
      <c r="D540" s="560"/>
      <c r="E540" s="560"/>
      <c r="F540" s="561"/>
      <c r="G540" s="562" t="s">
        <v>141</v>
      </c>
      <c r="H540" s="563">
        <f>F62+F73+F90+F105+F123+F140+F155+F170+F186+F199+F220+F236+F256+F275+F289+F309+F323+F334+G405+G451+H486+H537</f>
        <v>817467716.53600001</v>
      </c>
      <c r="I540" s="564">
        <f>G62+G73+G90+G105+G123+G140+G155+G170+G186+G199+G220+G236+G256+G275+G289+G309+G323+G334+H405+H451+I486+I537</f>
        <v>817467716.53600001</v>
      </c>
      <c r="J540" s="565"/>
      <c r="K540" s="566"/>
      <c r="L540" s="288"/>
      <c r="Q540" s="317"/>
      <c r="U540" s="362"/>
      <c r="V540" s="299"/>
      <c r="W540" s="291"/>
      <c r="X540" s="291"/>
      <c r="Y540" s="291"/>
      <c r="Z540" s="291"/>
      <c r="AA540" s="291"/>
      <c r="AB540" s="291"/>
      <c r="AC540" s="291"/>
    </row>
    <row r="541" spans="1:30" s="361" customFormat="1" ht="12.75" thickBot="1">
      <c r="A541" s="277"/>
      <c r="B541" s="567"/>
      <c r="C541" s="568"/>
      <c r="D541" s="568"/>
      <c r="E541" s="568"/>
      <c r="F541" s="569"/>
      <c r="G541" s="570" t="s">
        <v>111</v>
      </c>
      <c r="H541" s="571">
        <f>H540/$I$539</f>
        <v>1988972.5463163017</v>
      </c>
      <c r="I541" s="572">
        <f>I540/$I$539</f>
        <v>1988972.5463163017</v>
      </c>
      <c r="J541" s="952">
        <f>I541*1600</f>
        <v>3182356074.1060829</v>
      </c>
      <c r="K541" s="317"/>
      <c r="L541" s="288"/>
      <c r="M541" s="574"/>
      <c r="Q541" s="317"/>
      <c r="U541" s="362"/>
      <c r="V541" s="299"/>
      <c r="W541" s="291"/>
      <c r="X541" s="291"/>
      <c r="Y541" s="291"/>
      <c r="Z541" s="291"/>
      <c r="AA541" s="291"/>
      <c r="AB541" s="291"/>
      <c r="AC541" s="291"/>
    </row>
    <row r="542" spans="1:30" s="361" customFormat="1">
      <c r="A542" s="277"/>
      <c r="B542" s="277"/>
      <c r="C542" s="279"/>
      <c r="D542" s="279"/>
      <c r="E542" s="279"/>
      <c r="F542" s="277"/>
      <c r="G542" s="277"/>
      <c r="H542" s="575" t="str">
        <f>H488</f>
        <v>KADUNA</v>
      </c>
      <c r="I542" s="318"/>
      <c r="J542" s="621"/>
      <c r="K542" s="288"/>
      <c r="L542" s="288"/>
      <c r="M542" s="574"/>
      <c r="Q542" s="317"/>
      <c r="U542" s="362"/>
      <c r="V542" s="299"/>
      <c r="W542" s="291"/>
      <c r="X542" s="291"/>
      <c r="Y542" s="291"/>
      <c r="Z542" s="291"/>
      <c r="AA542" s="291"/>
      <c r="AB542" s="291"/>
      <c r="AC542" s="291"/>
    </row>
    <row r="543" spans="1:30" s="361" customFormat="1" ht="12.75">
      <c r="A543" s="277"/>
      <c r="B543" s="277"/>
      <c r="C543" s="279"/>
      <c r="D543" s="279"/>
      <c r="E543" s="279"/>
      <c r="F543" s="277"/>
      <c r="G543" s="277"/>
      <c r="H543" s="566"/>
      <c r="I543" s="953" t="s">
        <v>2669</v>
      </c>
      <c r="J543" s="954">
        <f>J541/5450844</f>
        <v>583.82813269029214</v>
      </c>
      <c r="K543" s="288"/>
      <c r="L543" s="288"/>
      <c r="Q543" s="317"/>
      <c r="U543" s="362"/>
      <c r="V543" s="299"/>
      <c r="W543" s="291"/>
      <c r="X543" s="291"/>
      <c r="Y543" s="291"/>
      <c r="Z543" s="291"/>
      <c r="AA543" s="291"/>
      <c r="AB543" s="291"/>
      <c r="AC543" s="291"/>
    </row>
    <row r="544" spans="1:30" s="361" customFormat="1" ht="12.75">
      <c r="A544" s="277"/>
      <c r="B544" s="277"/>
      <c r="C544" s="279"/>
      <c r="D544" s="279"/>
      <c r="E544" s="279"/>
      <c r="F544" s="277"/>
      <c r="G544" s="277"/>
      <c r="H544" s="566"/>
      <c r="I544" s="955"/>
      <c r="J544" s="956">
        <v>584</v>
      </c>
      <c r="K544" s="288"/>
      <c r="L544" s="288"/>
      <c r="Q544" s="317"/>
      <c r="U544" s="362"/>
      <c r="V544" s="299"/>
      <c r="W544" s="291"/>
      <c r="X544" s="291"/>
      <c r="Y544" s="291"/>
      <c r="Z544" s="291"/>
      <c r="AA544" s="291"/>
      <c r="AB544" s="291"/>
      <c r="AC544" s="291"/>
    </row>
    <row r="545" spans="2:18">
      <c r="B545" s="576" t="s">
        <v>2228</v>
      </c>
      <c r="D545" s="1227" t="s">
        <v>2229</v>
      </c>
      <c r="E545" s="1227"/>
      <c r="F545" s="1227"/>
      <c r="G545" s="577">
        <v>1.3</v>
      </c>
      <c r="H545" s="578"/>
      <c r="K545" s="288"/>
      <c r="L545" s="277"/>
      <c r="M545" s="281"/>
      <c r="N545" s="277"/>
      <c r="O545" s="281"/>
      <c r="P545" s="277"/>
      <c r="Q545" s="281"/>
      <c r="R545" s="277"/>
    </row>
    <row r="546" spans="2:18">
      <c r="B546" s="576"/>
      <c r="D546" s="1227" t="s">
        <v>2230</v>
      </c>
      <c r="E546" s="1227"/>
      <c r="F546" s="1227"/>
      <c r="G546" s="577">
        <v>1.5</v>
      </c>
      <c r="H546" s="578">
        <f>H402</f>
        <v>262500</v>
      </c>
      <c r="K546" s="288"/>
    </row>
    <row r="547" spans="2:18">
      <c r="D547" s="1227" t="s">
        <v>2231</v>
      </c>
      <c r="E547" s="1227"/>
      <c r="F547" s="1227"/>
      <c r="G547" s="577">
        <v>3.1</v>
      </c>
      <c r="H547" s="578">
        <f>H339+H340+H341+H342+H403+H404</f>
        <v>2513198.625</v>
      </c>
      <c r="K547" s="579"/>
    </row>
    <row r="548" spans="2:18">
      <c r="D548" s="1227" t="s">
        <v>2232</v>
      </c>
      <c r="E548" s="1227"/>
      <c r="F548" s="1227"/>
      <c r="G548" s="577">
        <v>3.2</v>
      </c>
      <c r="H548" s="578">
        <f>H412+H413</f>
        <v>2038617.86</v>
      </c>
      <c r="K548" s="579"/>
    </row>
    <row r="549" spans="2:18">
      <c r="D549" s="1227" t="s">
        <v>2233</v>
      </c>
      <c r="E549" s="1227"/>
      <c r="F549" s="1227"/>
      <c r="G549" s="577">
        <v>3.3</v>
      </c>
      <c r="H549" s="578">
        <f>H410+H411+H449+I464+I465+I466+I473+I474+I475+I476</f>
        <v>26445144.5</v>
      </c>
      <c r="I549" s="330"/>
      <c r="J549" s="330"/>
    </row>
    <row r="550" spans="2:18">
      <c r="D550" s="1227" t="s">
        <v>2234</v>
      </c>
      <c r="E550" s="1227"/>
      <c r="F550" s="1227"/>
      <c r="G550" s="577">
        <v>3.5</v>
      </c>
      <c r="H550" s="578"/>
    </row>
    <row r="551" spans="2:18">
      <c r="D551" s="1235" t="s">
        <v>2235</v>
      </c>
      <c r="E551" s="1236"/>
      <c r="F551" s="1237"/>
      <c r="G551" s="577">
        <v>4.0999999999999996</v>
      </c>
      <c r="H551" s="578">
        <f>H375</f>
        <v>351212.4</v>
      </c>
    </row>
    <row r="552" spans="2:18">
      <c r="D552" s="1227" t="s">
        <v>2236</v>
      </c>
      <c r="E552" s="1227"/>
      <c r="F552" s="1227"/>
      <c r="G552" s="577">
        <v>4.3</v>
      </c>
      <c r="H552" s="578">
        <f>G53+G56+G57+G58+G59+G60+G85+G87+G88+G101+G103+G104+G117+G118+G119+G120+G121+G135+G137+G138+G150+G151+G152+G153+G165+G166+G167+G168+G169+G181+G182+G183+G184+G185+G196+G197+G198+G211+G212+G213+G214+G215+G216+G217+G231+G232+G233+G234+G248+G249+G250+G251+G252+G253+G254+G268+G269+G270+G271+G272+G273+G274+G285+G286+G287+G288+G301+G302+G303+G304+G305+G306+G307+G319+G320+G321+G322+G332+G333</f>
        <v>59730100</v>
      </c>
    </row>
    <row r="553" spans="2:18">
      <c r="D553" s="1227" t="s">
        <v>2237</v>
      </c>
      <c r="E553" s="1227"/>
      <c r="F553" s="1227"/>
      <c r="G553" s="577">
        <v>4.4000000000000004</v>
      </c>
      <c r="H553" s="578">
        <f>G46+G47+G48+G49+G50+G51+G52+G54+G55+G61+G69+G70+G71+G72+G82+G83+G84+G86+G89+G98+G99+G100+G102+G113+G114+G115+G116+G122+G131+G132+G133+G134+G136+G139+G147+G148+G149+G154+G163+G164+G178+G179+G180+G193+G194+G195+G208+G209+G210+G218+G219+G228+G229+G230+G235+G245+G246+G247+G255+G265+G266+G267+G283+G284+G298+G299+G300+G308+G317+G318+G330+G331+H356+H374+H399+H446</f>
        <v>101489233.75</v>
      </c>
      <c r="K553" s="580"/>
    </row>
    <row r="554" spans="2:18">
      <c r="D554" s="1227" t="s">
        <v>2238</v>
      </c>
      <c r="E554" s="1227"/>
      <c r="F554" s="1227"/>
      <c r="G554" s="581" t="s">
        <v>2239</v>
      </c>
      <c r="H554" s="578">
        <f>H344+H345+H346+H347+H348+H349+H350+H351+H415+H416+H417+H418+H419+H420+H421+H422+H423+H424+H425+H426+H427+H428+H429+H430+H431+H432+H433+H434+H435+H436+H437+H438+H439+H440+H441</f>
        <v>57466977.549999997</v>
      </c>
      <c r="K554" s="582"/>
    </row>
    <row r="555" spans="2:18">
      <c r="D555" s="1227" t="s">
        <v>2240</v>
      </c>
      <c r="E555" s="1227"/>
      <c r="F555" s="1227"/>
      <c r="G555" s="577">
        <v>5.3</v>
      </c>
      <c r="H555" s="578">
        <f>I467+I472+I479+I534+I535+I536</f>
        <v>57241600</v>
      </c>
      <c r="K555" s="315"/>
    </row>
    <row r="556" spans="2:18">
      <c r="D556" s="1227" t="s">
        <v>2241</v>
      </c>
      <c r="E556" s="1227"/>
      <c r="F556" s="1227"/>
      <c r="G556" s="577">
        <v>6.1</v>
      </c>
      <c r="H556" s="578">
        <f>H353+H354+H355+H357+H358+H359+H360+H361+H362+H363+H364+H365+H366</f>
        <v>8012991.7875000006</v>
      </c>
      <c r="K556" s="315"/>
    </row>
    <row r="557" spans="2:18">
      <c r="D557" s="1227" t="s">
        <v>2242</v>
      </c>
      <c r="E557" s="1227"/>
      <c r="F557" s="1227"/>
      <c r="G557" s="577">
        <v>6.3</v>
      </c>
      <c r="H557" s="578">
        <f>I480</f>
        <v>108004400</v>
      </c>
      <c r="K557" s="315"/>
    </row>
    <row r="558" spans="2:18">
      <c r="D558" s="1227" t="s">
        <v>2243</v>
      </c>
      <c r="E558" s="1227"/>
      <c r="F558" s="1227"/>
      <c r="G558" s="577">
        <v>7.1</v>
      </c>
      <c r="H558" s="578">
        <f>H367+H368+H369+H370+H371+H372+H373+H376+H377+H378</f>
        <v>2800235.676</v>
      </c>
    </row>
    <row r="559" spans="2:18">
      <c r="D559" s="1227" t="s">
        <v>2244</v>
      </c>
      <c r="E559" s="1227"/>
      <c r="F559" s="1227"/>
      <c r="G559" s="577">
        <v>7.3</v>
      </c>
      <c r="H559" s="578">
        <f>H450+I481+I482+I483+I484</f>
        <v>116719600</v>
      </c>
    </row>
    <row r="560" spans="2:18">
      <c r="D560" s="1227" t="s">
        <v>2245</v>
      </c>
      <c r="E560" s="1227"/>
      <c r="F560" s="1227"/>
      <c r="G560" s="577">
        <v>7.5</v>
      </c>
      <c r="H560" s="578"/>
    </row>
    <row r="561" spans="4:12">
      <c r="D561" s="1227" t="s">
        <v>2246</v>
      </c>
      <c r="E561" s="1227"/>
      <c r="F561" s="1227"/>
      <c r="G561" s="577">
        <v>8.1</v>
      </c>
      <c r="H561" s="578">
        <f>H393+H394+H395+H447+H448</f>
        <v>27582972.300000001</v>
      </c>
    </row>
    <row r="562" spans="4:12">
      <c r="D562" s="1227" t="s">
        <v>2247</v>
      </c>
      <c r="E562" s="1227"/>
      <c r="F562" s="1227"/>
      <c r="G562" s="577">
        <v>8.3000000000000007</v>
      </c>
      <c r="H562" s="578">
        <f>I456+I457+I458+I459+I460+I462+I463+I468+I469+I470+I471+I477+I478+I485+I490+I491+I492+I493+I494+I495+I496+I497+I498+I499+I500+I501+I502+I503+I504+I505+I506+I507+I508+I509+I510+I511+I512+I513+I514+I515+I516+I517+I518+I519+I520+I521+I522+I531+I532+I533</f>
        <v>213622700</v>
      </c>
    </row>
    <row r="563" spans="4:12">
      <c r="D563" s="1227" t="s">
        <v>2248</v>
      </c>
      <c r="E563" s="1227"/>
      <c r="F563" s="1227"/>
      <c r="G563" s="577">
        <v>8.4</v>
      </c>
      <c r="H563" s="578">
        <f>H443+H444+H445</f>
        <v>6337000</v>
      </c>
    </row>
    <row r="564" spans="4:12">
      <c r="D564" s="1227" t="s">
        <v>2249</v>
      </c>
      <c r="E564" s="1227"/>
      <c r="F564" s="1227"/>
      <c r="G564" s="577">
        <v>8.5</v>
      </c>
      <c r="H564" s="578"/>
    </row>
    <row r="565" spans="4:12">
      <c r="D565" s="1227" t="s">
        <v>2250</v>
      </c>
      <c r="E565" s="1227"/>
      <c r="F565" s="1227"/>
      <c r="G565" s="577">
        <v>9.1</v>
      </c>
      <c r="H565" s="578">
        <f>H397+H398</f>
        <v>0</v>
      </c>
    </row>
    <row r="566" spans="4:12">
      <c r="D566" s="1227" t="s">
        <v>2251</v>
      </c>
      <c r="E566" s="1227"/>
      <c r="F566" s="1227"/>
      <c r="G566" s="577">
        <v>9.3000000000000007</v>
      </c>
      <c r="H566" s="578"/>
    </row>
    <row r="567" spans="4:12">
      <c r="D567" s="1227" t="s">
        <v>2252</v>
      </c>
      <c r="E567" s="1227"/>
      <c r="F567" s="1227"/>
      <c r="G567" s="577">
        <v>10.1</v>
      </c>
      <c r="H567" s="578">
        <f>H401</f>
        <v>168000</v>
      </c>
    </row>
    <row r="568" spans="4:12">
      <c r="D568" s="1227" t="s">
        <v>2253</v>
      </c>
      <c r="E568" s="1227"/>
      <c r="F568" s="1227"/>
      <c r="G568" s="577">
        <v>10.199999999999999</v>
      </c>
      <c r="H568" s="578"/>
    </row>
    <row r="569" spans="4:12">
      <c r="D569" s="1227" t="s">
        <v>2254</v>
      </c>
      <c r="E569" s="1227"/>
      <c r="F569" s="1227"/>
      <c r="G569" s="577">
        <v>10.3</v>
      </c>
      <c r="H569" s="578"/>
    </row>
    <row r="570" spans="4:12">
      <c r="D570" s="1239" t="s">
        <v>2255</v>
      </c>
      <c r="E570" s="1239"/>
      <c r="F570" s="1239"/>
      <c r="G570" s="583">
        <v>10.5</v>
      </c>
      <c r="H570" s="584"/>
      <c r="K570" s="573"/>
    </row>
    <row r="571" spans="4:12">
      <c r="D571" s="1238" t="s">
        <v>2256</v>
      </c>
      <c r="E571" s="1238"/>
      <c r="F571" s="1238"/>
      <c r="G571" s="577">
        <v>12.1</v>
      </c>
      <c r="H571" s="578">
        <f>H380+H381+H383+H384+H385+H386+H387+H388+H389+H391</f>
        <v>3730733.5125000002</v>
      </c>
      <c r="L571" s="302"/>
    </row>
    <row r="572" spans="4:12">
      <c r="D572" s="1238" t="s">
        <v>2257</v>
      </c>
      <c r="E572" s="1238"/>
      <c r="F572" s="1238"/>
      <c r="G572" s="577">
        <v>12.3</v>
      </c>
      <c r="H572" s="578">
        <f>I461</f>
        <v>3896000</v>
      </c>
      <c r="L572" s="302"/>
    </row>
    <row r="573" spans="4:12" ht="14.25" customHeight="1">
      <c r="D573" s="1238" t="s">
        <v>2258</v>
      </c>
      <c r="E573" s="1238"/>
      <c r="F573" s="1238"/>
      <c r="G573" s="577">
        <v>12.4</v>
      </c>
      <c r="H573" s="578">
        <f>H382+H390</f>
        <v>7498.5750000000007</v>
      </c>
      <c r="I573" s="330"/>
      <c r="J573" s="330"/>
    </row>
    <row r="574" spans="4:12" ht="13.5" customHeight="1" thickBot="1">
      <c r="D574" s="1238" t="s">
        <v>2259</v>
      </c>
      <c r="E574" s="1238"/>
      <c r="F574" s="1238"/>
      <c r="G574" s="577">
        <v>13.3</v>
      </c>
      <c r="H574" s="584">
        <f>I523+I524+I525+I526+I527+I528+I529+I530</f>
        <v>19047000</v>
      </c>
    </row>
    <row r="575" spans="4:12" ht="12.75" thickBot="1">
      <c r="F575" s="582"/>
      <c r="G575" s="585"/>
      <c r="H575" s="586">
        <f>SUM(H545:H574)</f>
        <v>817467716.53600001</v>
      </c>
      <c r="I575" s="330"/>
      <c r="J575" s="330"/>
    </row>
    <row r="576" spans="4:12">
      <c r="F576" s="582"/>
      <c r="G576" s="585"/>
      <c r="H576" s="573"/>
      <c r="I576" s="330"/>
      <c r="J576" s="330"/>
    </row>
    <row r="577" spans="6:10">
      <c r="F577" s="585">
        <v>2763704.267319079</v>
      </c>
      <c r="G577" s="585">
        <v>58522600</v>
      </c>
      <c r="I577" s="330"/>
      <c r="J577" s="330"/>
    </row>
    <row r="578" spans="6:10">
      <c r="F578" s="579">
        <f>G578/I539</f>
        <v>2131363.3005742091</v>
      </c>
      <c r="G578" s="587">
        <f>G577+I540</f>
        <v>875990316.53600001</v>
      </c>
    </row>
    <row r="579" spans="6:10">
      <c r="F579" s="579">
        <f>F577-F578</f>
        <v>632340.96674486995</v>
      </c>
      <c r="G579" s="585">
        <f>G578/'[5] Micro quantification'!E30</f>
        <v>158.98831432700192</v>
      </c>
      <c r="H579" s="302"/>
      <c r="I579" s="340"/>
      <c r="J579" s="340"/>
    </row>
    <row r="580" spans="6:10">
      <c r="F580" s="582"/>
      <c r="G580" s="585">
        <f>G579/I539</f>
        <v>0.38683288157421392</v>
      </c>
      <c r="H580" s="302"/>
    </row>
    <row r="581" spans="6:10">
      <c r="F581" s="281"/>
      <c r="G581" s="341"/>
    </row>
    <row r="583" spans="6:10">
      <c r="F583" s="340"/>
    </row>
  </sheetData>
  <mergeCells count="307">
    <mergeCell ref="D574:F574"/>
    <mergeCell ref="D568:F568"/>
    <mergeCell ref="D569:F569"/>
    <mergeCell ref="D570:F570"/>
    <mergeCell ref="D571:F571"/>
    <mergeCell ref="D572:F572"/>
    <mergeCell ref="D573:F573"/>
    <mergeCell ref="D562:F562"/>
    <mergeCell ref="D563:F563"/>
    <mergeCell ref="D564:F564"/>
    <mergeCell ref="D565:F565"/>
    <mergeCell ref="D566:F566"/>
    <mergeCell ref="D567:F567"/>
    <mergeCell ref="D556:F556"/>
    <mergeCell ref="D557:F557"/>
    <mergeCell ref="D558:F558"/>
    <mergeCell ref="D559:F559"/>
    <mergeCell ref="D560:F560"/>
    <mergeCell ref="D561:F561"/>
    <mergeCell ref="D550:F550"/>
    <mergeCell ref="D551:F551"/>
    <mergeCell ref="D552:F552"/>
    <mergeCell ref="D553:F553"/>
    <mergeCell ref="D554:F554"/>
    <mergeCell ref="D555:F555"/>
    <mergeCell ref="L500:L502"/>
    <mergeCell ref="D545:F545"/>
    <mergeCell ref="D546:F546"/>
    <mergeCell ref="D547:F547"/>
    <mergeCell ref="D548:F548"/>
    <mergeCell ref="D549:F549"/>
    <mergeCell ref="A408:C408"/>
    <mergeCell ref="F408:G408"/>
    <mergeCell ref="B415:D415"/>
    <mergeCell ref="B420:D420"/>
    <mergeCell ref="B444:D444"/>
    <mergeCell ref="B451:E451"/>
    <mergeCell ref="B333:D333"/>
    <mergeCell ref="B334:E334"/>
    <mergeCell ref="A337:C337"/>
    <mergeCell ref="F337:G337"/>
    <mergeCell ref="I360:I361"/>
    <mergeCell ref="B405:E405"/>
    <mergeCell ref="B327:D327"/>
    <mergeCell ref="B328:D328"/>
    <mergeCell ref="B329:D329"/>
    <mergeCell ref="B330:D330"/>
    <mergeCell ref="B331:D331"/>
    <mergeCell ref="B332:D332"/>
    <mergeCell ref="B320:D320"/>
    <mergeCell ref="B321:D321"/>
    <mergeCell ref="B322:D322"/>
    <mergeCell ref="B323:E323"/>
    <mergeCell ref="B325:D325"/>
    <mergeCell ref="B326:D326"/>
    <mergeCell ref="B314:D314"/>
    <mergeCell ref="B315:D315"/>
    <mergeCell ref="B316:D316"/>
    <mergeCell ref="B317:D317"/>
    <mergeCell ref="B318:D318"/>
    <mergeCell ref="B319:D319"/>
    <mergeCell ref="B307:D307"/>
    <mergeCell ref="B308:D308"/>
    <mergeCell ref="B309:E309"/>
    <mergeCell ref="B311:D311"/>
    <mergeCell ref="B312:D312"/>
    <mergeCell ref="B313:D313"/>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7:D287"/>
    <mergeCell ref="B288:D288"/>
    <mergeCell ref="B289:E289"/>
    <mergeCell ref="B291:D291"/>
    <mergeCell ref="B292:D292"/>
    <mergeCell ref="B293:D293"/>
    <mergeCell ref="B281:D281"/>
    <mergeCell ref="B282:D282"/>
    <mergeCell ref="B283:D283"/>
    <mergeCell ref="B284:D284"/>
    <mergeCell ref="B285:D285"/>
    <mergeCell ref="B286:D286"/>
    <mergeCell ref="B274:D274"/>
    <mergeCell ref="B275:E275"/>
    <mergeCell ref="B277:D277"/>
    <mergeCell ref="B278:D278"/>
    <mergeCell ref="B279:D279"/>
    <mergeCell ref="B280:D280"/>
    <mergeCell ref="B267:D267"/>
    <mergeCell ref="B268:D268"/>
    <mergeCell ref="B269:D269"/>
    <mergeCell ref="B270:D270"/>
    <mergeCell ref="B271:D271"/>
    <mergeCell ref="B273:D273"/>
    <mergeCell ref="B261:D261"/>
    <mergeCell ref="B262:D262"/>
    <mergeCell ref="B263:D263"/>
    <mergeCell ref="B264:D264"/>
    <mergeCell ref="B265:D265"/>
    <mergeCell ref="B266:D266"/>
    <mergeCell ref="B252:D252"/>
    <mergeCell ref="B255:D255"/>
    <mergeCell ref="B256:E256"/>
    <mergeCell ref="B258:D258"/>
    <mergeCell ref="B259:D259"/>
    <mergeCell ref="B260:D260"/>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3:D233"/>
    <mergeCell ref="B234:D234"/>
    <mergeCell ref="B235:D235"/>
    <mergeCell ref="B236:E236"/>
    <mergeCell ref="B238:D238"/>
    <mergeCell ref="B239:D239"/>
    <mergeCell ref="B227:D227"/>
    <mergeCell ref="B228:D228"/>
    <mergeCell ref="B229:D229"/>
    <mergeCell ref="B230:D230"/>
    <mergeCell ref="B231:D231"/>
    <mergeCell ref="B232:D232"/>
    <mergeCell ref="B220:E220"/>
    <mergeCell ref="B222:D222"/>
    <mergeCell ref="B223:D223"/>
    <mergeCell ref="B224:D224"/>
    <mergeCell ref="B225:D225"/>
    <mergeCell ref="B226:D226"/>
    <mergeCell ref="B214:D214"/>
    <mergeCell ref="B215:D215"/>
    <mergeCell ref="B216:D216"/>
    <mergeCell ref="B217:D217"/>
    <mergeCell ref="B218:D218"/>
    <mergeCell ref="B219:D219"/>
    <mergeCell ref="B208:D208"/>
    <mergeCell ref="B209:D209"/>
    <mergeCell ref="B210:D210"/>
    <mergeCell ref="B211:D211"/>
    <mergeCell ref="B212:D212"/>
    <mergeCell ref="B213:D213"/>
    <mergeCell ref="B202:D202"/>
    <mergeCell ref="B203:D203"/>
    <mergeCell ref="B204:D204"/>
    <mergeCell ref="B205:D205"/>
    <mergeCell ref="B206:D206"/>
    <mergeCell ref="B207:D207"/>
    <mergeCell ref="B194:D194"/>
    <mergeCell ref="B195:D195"/>
    <mergeCell ref="B196:D196"/>
    <mergeCell ref="B198:D198"/>
    <mergeCell ref="B199:E199"/>
    <mergeCell ref="B201:D201"/>
    <mergeCell ref="B186:E186"/>
    <mergeCell ref="B188:D188"/>
    <mergeCell ref="B189:D189"/>
    <mergeCell ref="B190:D190"/>
    <mergeCell ref="B191:D191"/>
    <mergeCell ref="B192:D192"/>
    <mergeCell ref="B179:D179"/>
    <mergeCell ref="B180:D180"/>
    <mergeCell ref="B181:D181"/>
    <mergeCell ref="B182:D182"/>
    <mergeCell ref="B184:D184"/>
    <mergeCell ref="B185:D185"/>
    <mergeCell ref="B173:D173"/>
    <mergeCell ref="B174:D174"/>
    <mergeCell ref="B175:D175"/>
    <mergeCell ref="B176:D176"/>
    <mergeCell ref="B177:D177"/>
    <mergeCell ref="B178:D178"/>
    <mergeCell ref="B165:D165"/>
    <mergeCell ref="B166:D166"/>
    <mergeCell ref="B168:D168"/>
    <mergeCell ref="B169:D169"/>
    <mergeCell ref="B170:E170"/>
    <mergeCell ref="B172:D172"/>
    <mergeCell ref="B159:D159"/>
    <mergeCell ref="B160:D160"/>
    <mergeCell ref="B161:D161"/>
    <mergeCell ref="B162:D162"/>
    <mergeCell ref="B163:D163"/>
    <mergeCell ref="B164:D164"/>
    <mergeCell ref="B152:D152"/>
    <mergeCell ref="B153:D153"/>
    <mergeCell ref="B154:D154"/>
    <mergeCell ref="B155:E155"/>
    <mergeCell ref="B157:D157"/>
    <mergeCell ref="B158:D158"/>
    <mergeCell ref="B146:D146"/>
    <mergeCell ref="B147:D147"/>
    <mergeCell ref="B148:D148"/>
    <mergeCell ref="B149:D149"/>
    <mergeCell ref="B150:D150"/>
    <mergeCell ref="B151:D151"/>
    <mergeCell ref="B139:D139"/>
    <mergeCell ref="B140:E140"/>
    <mergeCell ref="B142:D142"/>
    <mergeCell ref="B143:D143"/>
    <mergeCell ref="B144:D144"/>
    <mergeCell ref="B145:D145"/>
    <mergeCell ref="B132:D132"/>
    <mergeCell ref="B133:D133"/>
    <mergeCell ref="B134:D134"/>
    <mergeCell ref="B135:D135"/>
    <mergeCell ref="B137:D137"/>
    <mergeCell ref="B138:D138"/>
    <mergeCell ref="B125:D125"/>
    <mergeCell ref="B126:D126"/>
    <mergeCell ref="B127:D127"/>
    <mergeCell ref="B129:D129"/>
    <mergeCell ref="B130:D130"/>
    <mergeCell ref="B131:D131"/>
    <mergeCell ref="B118:D118"/>
    <mergeCell ref="B119:D119"/>
    <mergeCell ref="B120:D120"/>
    <mergeCell ref="B121:D121"/>
    <mergeCell ref="B122:D122"/>
    <mergeCell ref="B123:E123"/>
    <mergeCell ref="B112:D112"/>
    <mergeCell ref="B113:D113"/>
    <mergeCell ref="B114:D114"/>
    <mergeCell ref="B115:D115"/>
    <mergeCell ref="B116:D116"/>
    <mergeCell ref="B117:D117"/>
    <mergeCell ref="B104:D104"/>
    <mergeCell ref="B105:E105"/>
    <mergeCell ref="B107:D107"/>
    <mergeCell ref="B108:D108"/>
    <mergeCell ref="B109:D109"/>
    <mergeCell ref="B111:D111"/>
    <mergeCell ref="B98:D98"/>
    <mergeCell ref="B99:D99"/>
    <mergeCell ref="B100:D100"/>
    <mergeCell ref="B101:D101"/>
    <mergeCell ref="B102:D102"/>
    <mergeCell ref="B103:D103"/>
    <mergeCell ref="B90:E90"/>
    <mergeCell ref="B92:D92"/>
    <mergeCell ref="B93:D93"/>
    <mergeCell ref="B94:D94"/>
    <mergeCell ref="B96:D96"/>
    <mergeCell ref="B97:D97"/>
    <mergeCell ref="B84:D84"/>
    <mergeCell ref="B85:D85"/>
    <mergeCell ref="B86:D86"/>
    <mergeCell ref="B87:D87"/>
    <mergeCell ref="B88:D88"/>
    <mergeCell ref="B89:D89"/>
    <mergeCell ref="B78:D78"/>
    <mergeCell ref="B79:D79"/>
    <mergeCell ref="B80:D80"/>
    <mergeCell ref="B81:D81"/>
    <mergeCell ref="B82:D82"/>
    <mergeCell ref="B83:D83"/>
    <mergeCell ref="B71:D71"/>
    <mergeCell ref="B72:D72"/>
    <mergeCell ref="B73:E73"/>
    <mergeCell ref="B75:D75"/>
    <mergeCell ref="B76:D76"/>
    <mergeCell ref="B77:D77"/>
    <mergeCell ref="B65:D65"/>
    <mergeCell ref="B66:D66"/>
    <mergeCell ref="B67:D67"/>
    <mergeCell ref="B68:D68"/>
    <mergeCell ref="B69:D69"/>
    <mergeCell ref="B70:D70"/>
    <mergeCell ref="B58:D58"/>
    <mergeCell ref="B59:D59"/>
    <mergeCell ref="B60:D60"/>
    <mergeCell ref="B61:D61"/>
    <mergeCell ref="B62:E62"/>
    <mergeCell ref="B64:D64"/>
    <mergeCell ref="B55:D55"/>
    <mergeCell ref="B56:D56"/>
    <mergeCell ref="B57:D57"/>
    <mergeCell ref="B46:D46"/>
    <mergeCell ref="B47:D47"/>
    <mergeCell ref="B48:D48"/>
    <mergeCell ref="B49:D49"/>
    <mergeCell ref="B50:D50"/>
    <mergeCell ref="B51:D51"/>
    <mergeCell ref="B39:D39"/>
    <mergeCell ref="B40:D40"/>
    <mergeCell ref="B41:D41"/>
    <mergeCell ref="B42:D42"/>
    <mergeCell ref="B43:D43"/>
    <mergeCell ref="B44:D44"/>
    <mergeCell ref="B52:D52"/>
    <mergeCell ref="B53:D53"/>
    <mergeCell ref="B54:D5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45E4E-E186-46E7-96AC-983D7B9DCB0D}">
  <dimension ref="D3:J23"/>
  <sheetViews>
    <sheetView topLeftCell="D1" zoomScale="94" zoomScaleNormal="70" workbookViewId="0">
      <selection activeCell="I19" sqref="I19"/>
    </sheetView>
  </sheetViews>
  <sheetFormatPr defaultRowHeight="15"/>
  <cols>
    <col min="4" max="4" width="18.42578125" customWidth="1"/>
    <col min="5" max="5" width="39.85546875" customWidth="1"/>
    <col min="6" max="6" width="29.28515625" style="659" customWidth="1"/>
    <col min="7" max="7" width="25.28515625" style="659" customWidth="1"/>
  </cols>
  <sheetData>
    <row r="3" spans="4:10">
      <c r="D3" s="971"/>
      <c r="E3" s="971"/>
      <c r="F3" s="972" t="s">
        <v>2697</v>
      </c>
      <c r="G3" s="972" t="s">
        <v>2698</v>
      </c>
    </row>
    <row r="4" spans="4:10">
      <c r="D4" s="973" t="s">
        <v>2699</v>
      </c>
      <c r="E4" s="895" t="s">
        <v>2700</v>
      </c>
      <c r="F4" s="659">
        <f>'[6]Pre implementation'!C5</f>
        <v>20675000</v>
      </c>
      <c r="G4" s="659">
        <f>F4/1200</f>
        <v>17229.166666666668</v>
      </c>
    </row>
    <row r="5" spans="4:10">
      <c r="D5" s="973"/>
      <c r="E5" s="895" t="s">
        <v>2701</v>
      </c>
      <c r="F5" s="659">
        <f>'[6]Pre implementation'!C22</f>
        <v>48800000</v>
      </c>
      <c r="G5" s="659">
        <f t="shared" ref="G5:G13" si="0">F5/1200</f>
        <v>40666.666666666664</v>
      </c>
    </row>
    <row r="6" spans="4:10">
      <c r="D6" s="973"/>
      <c r="E6" s="895" t="s">
        <v>2702</v>
      </c>
      <c r="F6" s="659">
        <f>'[6]Pre implementation'!C39</f>
        <v>74970000</v>
      </c>
      <c r="G6" s="659">
        <f t="shared" si="0"/>
        <v>62475</v>
      </c>
    </row>
    <row r="7" spans="4:10">
      <c r="D7" s="973"/>
      <c r="E7" s="895" t="s">
        <v>2703</v>
      </c>
      <c r="F7" s="659">
        <f>'[6]Pre implementation'!C53</f>
        <v>70088000</v>
      </c>
      <c r="G7" s="659">
        <f t="shared" si="0"/>
        <v>58406.666666666664</v>
      </c>
    </row>
    <row r="8" spans="4:10">
      <c r="D8" s="973"/>
      <c r="E8" s="895" t="s">
        <v>2704</v>
      </c>
      <c r="F8" s="659">
        <f>'[6]Pre implementation'!C72</f>
        <v>239610000</v>
      </c>
      <c r="G8" s="659">
        <f t="shared" si="0"/>
        <v>199675</v>
      </c>
    </row>
    <row r="9" spans="4:10">
      <c r="D9" s="973"/>
      <c r="E9" s="895" t="s">
        <v>2705</v>
      </c>
      <c r="F9" s="659">
        <f>'[6]Pre implementation'!C92</f>
        <v>99900000</v>
      </c>
      <c r="G9" s="659">
        <f t="shared" si="0"/>
        <v>83250</v>
      </c>
    </row>
    <row r="10" spans="4:10">
      <c r="D10" s="973"/>
      <c r="E10" s="974" t="s">
        <v>2706</v>
      </c>
      <c r="F10" s="659">
        <f>'[6]Pre implementation'!C106</f>
        <v>74592000</v>
      </c>
      <c r="G10" s="659">
        <f t="shared" si="0"/>
        <v>62160</v>
      </c>
    </row>
    <row r="11" spans="4:10">
      <c r="D11" s="973" t="s">
        <v>1851</v>
      </c>
      <c r="E11" t="s">
        <v>2707</v>
      </c>
      <c r="F11" s="659">
        <f>[6]Implementation!C5</f>
        <v>131040000</v>
      </c>
      <c r="G11" s="659">
        <f t="shared" si="0"/>
        <v>109200</v>
      </c>
    </row>
    <row r="12" spans="4:10">
      <c r="D12" s="973"/>
      <c r="E12" t="s">
        <v>2708</v>
      </c>
      <c r="F12" s="659">
        <f>[6]Implementation!C24</f>
        <v>932840000</v>
      </c>
      <c r="G12" s="659">
        <f t="shared" si="0"/>
        <v>777366.66666666663</v>
      </c>
    </row>
    <row r="13" spans="4:10">
      <c r="D13" s="973"/>
      <c r="E13" s="974" t="s">
        <v>2709</v>
      </c>
      <c r="F13" s="659">
        <f>[6]Implementation!C48</f>
        <v>1607350000</v>
      </c>
      <c r="G13" s="659">
        <f t="shared" si="0"/>
        <v>1339458.3333333333</v>
      </c>
    </row>
    <row r="14" spans="4:10">
      <c r="D14" s="973"/>
      <c r="E14" s="974" t="s">
        <v>2710</v>
      </c>
      <c r="G14" s="659">
        <f>[6]Implementation!E70</f>
        <v>4925099700</v>
      </c>
      <c r="J14" t="s">
        <v>2711</v>
      </c>
    </row>
    <row r="15" spans="4:10" ht="15.75" thickBot="1">
      <c r="D15" s="973"/>
      <c r="E15" s="895" t="s">
        <v>2712</v>
      </c>
      <c r="F15" s="659">
        <f>[6]Implementation!C79</f>
        <v>136472000</v>
      </c>
      <c r="G15" s="659">
        <f>F15/1200</f>
        <v>113726.66666666667</v>
      </c>
    </row>
    <row r="16" spans="4:10">
      <c r="D16" s="973" t="s">
        <v>2713</v>
      </c>
      <c r="E16" s="975" t="s">
        <v>2714</v>
      </c>
      <c r="F16" s="659">
        <f>'[6]Post implementation'!D6</f>
        <v>44694000</v>
      </c>
      <c r="G16" s="659">
        <f>F16/1200</f>
        <v>37245</v>
      </c>
    </row>
    <row r="17" spans="4:7" ht="26.65" customHeight="1">
      <c r="D17" s="976" t="s">
        <v>2715</v>
      </c>
      <c r="E17" s="977"/>
      <c r="F17" s="978">
        <f>G17*1200</f>
        <v>5913600671000</v>
      </c>
      <c r="G17" s="978">
        <f>SUM(G4:G16)</f>
        <v>4928000559.166667</v>
      </c>
    </row>
    <row r="20" spans="4:7">
      <c r="D20" s="979" t="s">
        <v>2716</v>
      </c>
    </row>
    <row r="22" spans="4:7">
      <c r="E22" t="s">
        <v>2739</v>
      </c>
      <c r="F22" s="980">
        <v>17</v>
      </c>
    </row>
    <row r="23" spans="4:7">
      <c r="E23" t="s">
        <v>2740</v>
      </c>
      <c r="F23" s="989">
        <f>F17/F22</f>
        <v>347858863000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A2C63-F26A-485C-9A8F-16490A82DD0B}">
  <dimension ref="A1:J44"/>
  <sheetViews>
    <sheetView topLeftCell="A14" workbookViewId="0">
      <selection activeCell="J38" sqref="J38"/>
    </sheetView>
  </sheetViews>
  <sheetFormatPr defaultColWidth="11.7109375" defaultRowHeight="15"/>
  <cols>
    <col min="1" max="1" width="8.28515625" customWidth="1"/>
    <col min="2" max="2" width="17.85546875" customWidth="1"/>
    <col min="4" max="4" width="8.28515625" customWidth="1"/>
    <col min="8" max="8" width="13.7109375" customWidth="1"/>
    <col min="9" max="9" width="13.140625" customWidth="1"/>
    <col min="10" max="10" width="16.85546875" customWidth="1"/>
    <col min="12" max="12" width="23.85546875" customWidth="1"/>
  </cols>
  <sheetData>
    <row r="1" spans="1:10" ht="42.75">
      <c r="A1" s="1061" t="s">
        <v>2828</v>
      </c>
      <c r="B1" s="1062" t="s">
        <v>2829</v>
      </c>
      <c r="C1" s="1062" t="s">
        <v>2830</v>
      </c>
      <c r="D1" s="1062" t="s">
        <v>2831</v>
      </c>
      <c r="E1" s="1062" t="s">
        <v>2832</v>
      </c>
      <c r="F1" s="1062" t="s">
        <v>2833</v>
      </c>
      <c r="G1" s="1062" t="s">
        <v>2834</v>
      </c>
      <c r="H1" s="1063" t="s">
        <v>2835</v>
      </c>
      <c r="I1" s="1062" t="s">
        <v>2836</v>
      </c>
      <c r="J1" s="1062" t="s">
        <v>2837</v>
      </c>
    </row>
    <row r="2" spans="1:10">
      <c r="A2" s="1064">
        <v>1</v>
      </c>
      <c r="B2" s="1065" t="s">
        <v>2838</v>
      </c>
      <c r="C2" s="1066">
        <v>20680</v>
      </c>
      <c r="D2" s="1066">
        <v>44</v>
      </c>
      <c r="E2" s="1067">
        <f>C2/500</f>
        <v>41.36</v>
      </c>
      <c r="F2" s="1067">
        <f>E2*100</f>
        <v>4136</v>
      </c>
      <c r="G2" s="1067">
        <f>F2*0.5</f>
        <v>2068</v>
      </c>
      <c r="H2" s="1067">
        <f>G2*64</f>
        <v>132352</v>
      </c>
      <c r="I2" s="1067">
        <f>H2*24</f>
        <v>3176448</v>
      </c>
      <c r="J2" s="1067">
        <f>D2*35805000</f>
        <v>1575420000</v>
      </c>
    </row>
    <row r="3" spans="1:10">
      <c r="A3" s="1064">
        <v>2</v>
      </c>
      <c r="B3" s="1065" t="s">
        <v>2839</v>
      </c>
      <c r="C3" s="1066">
        <v>3345</v>
      </c>
      <c r="D3" s="1066">
        <v>20</v>
      </c>
      <c r="E3" s="1067">
        <f t="shared" ref="E3:E38" si="0">C3/500</f>
        <v>6.69</v>
      </c>
      <c r="F3" s="1067">
        <f t="shared" ref="F3:F38" si="1">E3*100</f>
        <v>669</v>
      </c>
      <c r="G3" s="1067">
        <f t="shared" ref="G3:G38" si="2">F3*0.5</f>
        <v>334.5</v>
      </c>
      <c r="H3" s="1067">
        <f t="shared" ref="H3:H38" si="3">G3*64</f>
        <v>21408</v>
      </c>
      <c r="I3" s="1067">
        <f t="shared" ref="I3:I38" si="4">H3*24</f>
        <v>513792</v>
      </c>
      <c r="J3" s="1067">
        <f>D3*35805000</f>
        <v>716100000</v>
      </c>
    </row>
    <row r="4" spans="1:10">
      <c r="A4" s="1064">
        <v>3</v>
      </c>
      <c r="B4" s="1065" t="s">
        <v>2840</v>
      </c>
      <c r="C4" s="1066">
        <v>43460</v>
      </c>
      <c r="D4" s="1066">
        <v>23</v>
      </c>
      <c r="E4" s="1067">
        <f t="shared" si="0"/>
        <v>86.92</v>
      </c>
      <c r="F4" s="1067">
        <f t="shared" si="1"/>
        <v>8692</v>
      </c>
      <c r="G4" s="1067">
        <f t="shared" si="2"/>
        <v>4346</v>
      </c>
      <c r="H4" s="1067">
        <f t="shared" si="3"/>
        <v>278144</v>
      </c>
      <c r="I4" s="1067">
        <f t="shared" si="4"/>
        <v>6675456</v>
      </c>
      <c r="J4" s="1067">
        <f t="shared" ref="J4:J38" si="5">D4*35805000</f>
        <v>823515000</v>
      </c>
    </row>
    <row r="5" spans="1:10">
      <c r="A5" s="1064">
        <v>4</v>
      </c>
      <c r="B5" s="1065" t="s">
        <v>2841</v>
      </c>
      <c r="C5" s="1066">
        <v>26785</v>
      </c>
      <c r="D5" s="1066">
        <v>34</v>
      </c>
      <c r="E5" s="1067">
        <f t="shared" si="0"/>
        <v>53.57</v>
      </c>
      <c r="F5" s="1067">
        <f t="shared" si="1"/>
        <v>5357</v>
      </c>
      <c r="G5" s="1067">
        <f t="shared" si="2"/>
        <v>2678.5</v>
      </c>
      <c r="H5" s="1067">
        <f t="shared" si="3"/>
        <v>171424</v>
      </c>
      <c r="I5" s="1067">
        <f t="shared" si="4"/>
        <v>4114176</v>
      </c>
      <c r="J5" s="1067">
        <f t="shared" si="5"/>
        <v>1217370000</v>
      </c>
    </row>
    <row r="6" spans="1:10">
      <c r="A6" s="1064">
        <v>5</v>
      </c>
      <c r="B6" s="1065" t="s">
        <v>2842</v>
      </c>
      <c r="C6" s="1066">
        <v>27460</v>
      </c>
      <c r="D6" s="1066">
        <v>33</v>
      </c>
      <c r="E6" s="1067">
        <f t="shared" si="0"/>
        <v>54.92</v>
      </c>
      <c r="F6" s="1067">
        <f t="shared" si="1"/>
        <v>5492</v>
      </c>
      <c r="G6" s="1067">
        <f t="shared" si="2"/>
        <v>2746</v>
      </c>
      <c r="H6" s="1067">
        <f t="shared" si="3"/>
        <v>175744</v>
      </c>
      <c r="I6" s="1067">
        <f t="shared" si="4"/>
        <v>4217856</v>
      </c>
      <c r="J6" s="1067">
        <f t="shared" si="5"/>
        <v>1181565000</v>
      </c>
    </row>
    <row r="7" spans="1:10">
      <c r="A7" s="1064">
        <v>6</v>
      </c>
      <c r="B7" s="1065" t="s">
        <v>2843</v>
      </c>
      <c r="C7" s="1066">
        <v>11077</v>
      </c>
      <c r="D7" s="1066">
        <v>23</v>
      </c>
      <c r="E7" s="1067">
        <f t="shared" si="0"/>
        <v>22.154</v>
      </c>
      <c r="F7" s="1067">
        <f t="shared" si="1"/>
        <v>2215.4</v>
      </c>
      <c r="G7" s="1067">
        <f t="shared" si="2"/>
        <v>1107.7</v>
      </c>
      <c r="H7" s="1067">
        <f t="shared" si="3"/>
        <v>70892.800000000003</v>
      </c>
      <c r="I7" s="1067">
        <f t="shared" si="4"/>
        <v>1701427.2000000002</v>
      </c>
      <c r="J7" s="1067">
        <f t="shared" si="5"/>
        <v>823515000</v>
      </c>
    </row>
    <row r="8" spans="1:10">
      <c r="A8" s="1064">
        <v>7</v>
      </c>
      <c r="B8" s="1065" t="s">
        <v>2844</v>
      </c>
      <c r="C8" s="1066">
        <v>64605</v>
      </c>
      <c r="D8" s="1066">
        <v>20</v>
      </c>
      <c r="E8" s="1067">
        <f t="shared" si="0"/>
        <v>129.21</v>
      </c>
      <c r="F8" s="1067">
        <f t="shared" si="1"/>
        <v>12921</v>
      </c>
      <c r="G8" s="1067">
        <f t="shared" si="2"/>
        <v>6460.5</v>
      </c>
      <c r="H8" s="1067">
        <f t="shared" si="3"/>
        <v>413472</v>
      </c>
      <c r="I8" s="1067">
        <f t="shared" si="4"/>
        <v>9923328</v>
      </c>
      <c r="J8" s="1067">
        <f t="shared" si="5"/>
        <v>716100000</v>
      </c>
    </row>
    <row r="9" spans="1:10">
      <c r="A9" s="1064">
        <v>8</v>
      </c>
      <c r="B9" s="1065" t="s">
        <v>2845</v>
      </c>
      <c r="C9" s="1066">
        <v>22605</v>
      </c>
      <c r="D9" s="1066">
        <v>27</v>
      </c>
      <c r="E9" s="1067">
        <f t="shared" si="0"/>
        <v>45.21</v>
      </c>
      <c r="F9" s="1067">
        <f t="shared" si="1"/>
        <v>4521</v>
      </c>
      <c r="G9" s="1067">
        <f t="shared" si="2"/>
        <v>2260.5</v>
      </c>
      <c r="H9" s="1067">
        <f t="shared" si="3"/>
        <v>144672</v>
      </c>
      <c r="I9" s="1067">
        <f t="shared" si="4"/>
        <v>3472128</v>
      </c>
      <c r="J9" s="1067">
        <f t="shared" si="5"/>
        <v>966735000</v>
      </c>
    </row>
    <row r="10" spans="1:10">
      <c r="A10" s="1064">
        <v>9</v>
      </c>
      <c r="B10" s="1065" t="s">
        <v>2846</v>
      </c>
      <c r="C10" s="1066">
        <v>34059</v>
      </c>
      <c r="D10" s="1066">
        <v>23</v>
      </c>
      <c r="E10" s="1067">
        <f t="shared" si="0"/>
        <v>68.117999999999995</v>
      </c>
      <c r="F10" s="1067">
        <f t="shared" si="1"/>
        <v>6811.7999999999993</v>
      </c>
      <c r="G10" s="1067">
        <f t="shared" si="2"/>
        <v>3405.8999999999996</v>
      </c>
      <c r="H10" s="1067">
        <f t="shared" si="3"/>
        <v>217977.59999999998</v>
      </c>
      <c r="I10" s="1067">
        <f t="shared" si="4"/>
        <v>5231462.3999999994</v>
      </c>
      <c r="J10" s="1067">
        <f t="shared" si="5"/>
        <v>823515000</v>
      </c>
    </row>
    <row r="11" spans="1:10">
      <c r="A11" s="1064">
        <v>10</v>
      </c>
      <c r="B11" s="1065" t="s">
        <v>2847</v>
      </c>
      <c r="C11" s="1066">
        <v>4844</v>
      </c>
      <c r="D11" s="1066">
        <v>21</v>
      </c>
      <c r="E11" s="1067">
        <f t="shared" si="0"/>
        <v>9.6880000000000006</v>
      </c>
      <c r="F11" s="1067">
        <f t="shared" si="1"/>
        <v>968.80000000000007</v>
      </c>
      <c r="G11" s="1067">
        <f t="shared" si="2"/>
        <v>484.40000000000003</v>
      </c>
      <c r="H11" s="1067">
        <f t="shared" si="3"/>
        <v>31001.600000000002</v>
      </c>
      <c r="I11" s="1067">
        <f t="shared" si="4"/>
        <v>744038.40000000002</v>
      </c>
      <c r="J11" s="1067">
        <f t="shared" si="5"/>
        <v>751905000</v>
      </c>
    </row>
    <row r="12" spans="1:10">
      <c r="A12" s="1064">
        <v>11</v>
      </c>
      <c r="B12" s="1065" t="s">
        <v>2848</v>
      </c>
      <c r="C12" s="1066">
        <v>71130</v>
      </c>
      <c r="D12" s="1066">
        <v>27</v>
      </c>
      <c r="E12" s="1067">
        <f t="shared" si="0"/>
        <v>142.26</v>
      </c>
      <c r="F12" s="1067">
        <f t="shared" si="1"/>
        <v>14226</v>
      </c>
      <c r="G12" s="1067">
        <f t="shared" si="2"/>
        <v>7113</v>
      </c>
      <c r="H12" s="1067">
        <f t="shared" si="3"/>
        <v>455232</v>
      </c>
      <c r="I12" s="1067">
        <f t="shared" si="4"/>
        <v>10925568</v>
      </c>
      <c r="J12" s="1067">
        <f t="shared" si="5"/>
        <v>966735000</v>
      </c>
    </row>
    <row r="13" spans="1:10">
      <c r="A13" s="1064">
        <v>12</v>
      </c>
      <c r="B13" s="1065" t="s">
        <v>2849</v>
      </c>
      <c r="C13" s="1066">
        <v>18050</v>
      </c>
      <c r="D13" s="1066">
        <v>25</v>
      </c>
      <c r="E13" s="1067">
        <f t="shared" si="0"/>
        <v>36.1</v>
      </c>
      <c r="F13" s="1067">
        <f t="shared" si="1"/>
        <v>3610</v>
      </c>
      <c r="G13" s="1067">
        <f t="shared" si="2"/>
        <v>1805</v>
      </c>
      <c r="H13" s="1067">
        <f t="shared" si="3"/>
        <v>115520</v>
      </c>
      <c r="I13" s="1067">
        <f t="shared" si="4"/>
        <v>2772480</v>
      </c>
      <c r="J13" s="1067">
        <f t="shared" si="5"/>
        <v>895125000</v>
      </c>
    </row>
    <row r="14" spans="1:10">
      <c r="A14" s="1064">
        <v>13</v>
      </c>
      <c r="B14" s="1065" t="s">
        <v>2850</v>
      </c>
      <c r="C14" s="1066">
        <v>5430</v>
      </c>
      <c r="D14" s="1066">
        <v>27</v>
      </c>
      <c r="E14" s="1067">
        <f t="shared" si="0"/>
        <v>10.86</v>
      </c>
      <c r="F14" s="1067">
        <f t="shared" si="1"/>
        <v>1086</v>
      </c>
      <c r="G14" s="1067">
        <f t="shared" si="2"/>
        <v>543</v>
      </c>
      <c r="H14" s="1067">
        <f t="shared" si="3"/>
        <v>34752</v>
      </c>
      <c r="I14" s="1067">
        <f t="shared" si="4"/>
        <v>834048</v>
      </c>
      <c r="J14" s="1067">
        <f t="shared" si="5"/>
        <v>966735000</v>
      </c>
    </row>
    <row r="15" spans="1:10">
      <c r="A15" s="1064">
        <v>14</v>
      </c>
      <c r="B15" s="1065" t="s">
        <v>2851</v>
      </c>
      <c r="C15" s="1066">
        <v>13930</v>
      </c>
      <c r="D15" s="1066">
        <v>25</v>
      </c>
      <c r="E15" s="1067">
        <f t="shared" si="0"/>
        <v>27.86</v>
      </c>
      <c r="F15" s="1067">
        <f t="shared" si="1"/>
        <v>2786</v>
      </c>
      <c r="G15" s="1067">
        <f t="shared" si="2"/>
        <v>1393</v>
      </c>
      <c r="H15" s="1067">
        <f t="shared" si="3"/>
        <v>89152</v>
      </c>
      <c r="I15" s="1067">
        <f t="shared" si="4"/>
        <v>2139648</v>
      </c>
      <c r="J15" s="1067">
        <f t="shared" si="5"/>
        <v>895125000</v>
      </c>
    </row>
    <row r="16" spans="1:10">
      <c r="A16" s="1064">
        <v>15</v>
      </c>
      <c r="B16" s="1065" t="s">
        <v>2852</v>
      </c>
      <c r="C16" s="1066">
        <v>6187</v>
      </c>
      <c r="D16" s="1066">
        <v>31</v>
      </c>
      <c r="E16" s="1067">
        <f t="shared" si="0"/>
        <v>12.374000000000001</v>
      </c>
      <c r="F16" s="1067">
        <f t="shared" si="1"/>
        <v>1237.4000000000001</v>
      </c>
      <c r="G16" s="1067">
        <f t="shared" si="2"/>
        <v>618.70000000000005</v>
      </c>
      <c r="H16" s="1067">
        <f t="shared" si="3"/>
        <v>39596.800000000003</v>
      </c>
      <c r="I16" s="1067">
        <f t="shared" si="4"/>
        <v>950323.20000000007</v>
      </c>
      <c r="J16" s="1067">
        <f t="shared" si="5"/>
        <v>1109955000</v>
      </c>
    </row>
    <row r="17" spans="1:10">
      <c r="A17" s="1064">
        <v>16</v>
      </c>
      <c r="B17" s="1065" t="s">
        <v>2853</v>
      </c>
      <c r="C17" s="1066">
        <v>16762</v>
      </c>
      <c r="D17" s="1066">
        <v>20</v>
      </c>
      <c r="E17" s="1067">
        <f t="shared" si="0"/>
        <v>33.524000000000001</v>
      </c>
      <c r="F17" s="1067">
        <f t="shared" si="1"/>
        <v>3352.4</v>
      </c>
      <c r="G17" s="1067">
        <f t="shared" si="2"/>
        <v>1676.2</v>
      </c>
      <c r="H17" s="1067">
        <f t="shared" si="3"/>
        <v>107276.8</v>
      </c>
      <c r="I17" s="1067">
        <f t="shared" si="4"/>
        <v>2574643.2000000002</v>
      </c>
      <c r="J17" s="1067">
        <f t="shared" si="5"/>
        <v>716100000</v>
      </c>
    </row>
    <row r="18" spans="1:10">
      <c r="A18" s="1064">
        <v>17</v>
      </c>
      <c r="B18" s="1065" t="s">
        <v>2854</v>
      </c>
      <c r="C18" s="1066">
        <v>25973</v>
      </c>
      <c r="D18" s="1066">
        <v>23</v>
      </c>
      <c r="E18" s="1067">
        <f t="shared" si="0"/>
        <v>51.945999999999998</v>
      </c>
      <c r="F18" s="1067">
        <f t="shared" si="1"/>
        <v>5194.5999999999995</v>
      </c>
      <c r="G18" s="1067">
        <f t="shared" si="2"/>
        <v>2597.2999999999997</v>
      </c>
      <c r="H18" s="1067">
        <f t="shared" si="3"/>
        <v>166227.19999999998</v>
      </c>
      <c r="I18" s="1067">
        <f t="shared" si="4"/>
        <v>3989452.7999999998</v>
      </c>
      <c r="J18" s="1067">
        <f t="shared" si="5"/>
        <v>823515000</v>
      </c>
    </row>
    <row r="19" spans="1:10">
      <c r="A19" s="1064">
        <v>18</v>
      </c>
      <c r="B19" s="1065" t="s">
        <v>2855</v>
      </c>
      <c r="C19" s="1066">
        <v>14606</v>
      </c>
      <c r="D19" s="1066">
        <v>18</v>
      </c>
      <c r="E19" s="1067">
        <f t="shared" si="0"/>
        <v>29.212</v>
      </c>
      <c r="F19" s="1067">
        <f t="shared" si="1"/>
        <v>2921.2</v>
      </c>
      <c r="G19" s="1067">
        <f t="shared" si="2"/>
        <v>1460.6</v>
      </c>
      <c r="H19" s="1067">
        <f t="shared" si="3"/>
        <v>93478.399999999994</v>
      </c>
      <c r="I19" s="1067">
        <f t="shared" si="4"/>
        <v>2243481.5999999996</v>
      </c>
      <c r="J19" s="1067">
        <f t="shared" si="5"/>
        <v>644490000</v>
      </c>
    </row>
    <row r="20" spans="1:10">
      <c r="A20" s="1064">
        <v>19</v>
      </c>
      <c r="B20" s="1065" t="s">
        <v>2856</v>
      </c>
      <c r="C20" s="1066">
        <v>10245</v>
      </c>
      <c r="D20" s="1066">
        <v>30</v>
      </c>
      <c r="E20" s="1067">
        <f t="shared" si="0"/>
        <v>20.49</v>
      </c>
      <c r="F20" s="1067">
        <f t="shared" si="1"/>
        <v>2049</v>
      </c>
      <c r="G20" s="1067">
        <f t="shared" si="2"/>
        <v>1024.5</v>
      </c>
      <c r="H20" s="1067">
        <f t="shared" si="3"/>
        <v>65568</v>
      </c>
      <c r="I20" s="1067">
        <f t="shared" si="4"/>
        <v>1573632</v>
      </c>
      <c r="J20" s="1067">
        <f t="shared" si="5"/>
        <v>1074150000</v>
      </c>
    </row>
    <row r="21" spans="1:10">
      <c r="A21" s="1064">
        <v>20</v>
      </c>
      <c r="B21" s="1065" t="s">
        <v>2857</v>
      </c>
      <c r="C21" s="1066">
        <v>32440</v>
      </c>
      <c r="D21" s="1066">
        <v>21</v>
      </c>
      <c r="E21" s="1067">
        <f t="shared" si="0"/>
        <v>64.88</v>
      </c>
      <c r="F21" s="1067">
        <f t="shared" si="1"/>
        <v>6488</v>
      </c>
      <c r="G21" s="1067">
        <f t="shared" si="2"/>
        <v>3244</v>
      </c>
      <c r="H21" s="1067">
        <f t="shared" si="3"/>
        <v>207616</v>
      </c>
      <c r="I21" s="1067">
        <f t="shared" si="4"/>
        <v>4982784</v>
      </c>
      <c r="J21" s="1067">
        <f t="shared" si="5"/>
        <v>751905000</v>
      </c>
    </row>
    <row r="22" spans="1:10">
      <c r="A22" s="1064">
        <v>21</v>
      </c>
      <c r="B22" s="1065" t="s">
        <v>2858</v>
      </c>
      <c r="C22" s="1066">
        <v>39762</v>
      </c>
      <c r="D22" s="1066">
        <v>14</v>
      </c>
      <c r="E22" s="1067">
        <f t="shared" si="0"/>
        <v>79.524000000000001</v>
      </c>
      <c r="F22" s="1067">
        <f t="shared" si="1"/>
        <v>7952.4</v>
      </c>
      <c r="G22" s="1067">
        <f t="shared" si="2"/>
        <v>3976.2</v>
      </c>
      <c r="H22" s="1067">
        <f t="shared" si="3"/>
        <v>254476.79999999999</v>
      </c>
      <c r="I22" s="1067">
        <f t="shared" si="4"/>
        <v>6107443.1999999993</v>
      </c>
      <c r="J22" s="1067">
        <f t="shared" si="5"/>
        <v>501270000</v>
      </c>
    </row>
    <row r="23" spans="1:10">
      <c r="A23" s="1064">
        <v>22</v>
      </c>
      <c r="B23" s="1065" t="s">
        <v>2859</v>
      </c>
      <c r="C23" s="1066">
        <v>12440</v>
      </c>
      <c r="D23" s="1066">
        <v>17</v>
      </c>
      <c r="E23" s="1067">
        <f t="shared" si="0"/>
        <v>24.88</v>
      </c>
      <c r="F23" s="1067">
        <f t="shared" si="1"/>
        <v>2488</v>
      </c>
      <c r="G23" s="1067">
        <f t="shared" si="2"/>
        <v>1244</v>
      </c>
      <c r="H23" s="1067">
        <f t="shared" si="3"/>
        <v>79616</v>
      </c>
      <c r="I23" s="1067">
        <f t="shared" si="4"/>
        <v>1910784</v>
      </c>
      <c r="J23" s="1067">
        <f t="shared" si="5"/>
        <v>608685000</v>
      </c>
    </row>
    <row r="24" spans="1:10">
      <c r="A24" s="1064">
        <v>23</v>
      </c>
      <c r="B24" s="1065" t="s">
        <v>2860</v>
      </c>
      <c r="C24" s="1066">
        <v>41855</v>
      </c>
      <c r="D24" s="1066">
        <v>21</v>
      </c>
      <c r="E24" s="1067">
        <f t="shared" si="0"/>
        <v>83.71</v>
      </c>
      <c r="F24" s="1067">
        <f t="shared" si="1"/>
        <v>8371</v>
      </c>
      <c r="G24" s="1067">
        <f t="shared" si="2"/>
        <v>4185.5</v>
      </c>
      <c r="H24" s="1067">
        <f t="shared" si="3"/>
        <v>267872</v>
      </c>
      <c r="I24" s="1067">
        <f t="shared" si="4"/>
        <v>6428928</v>
      </c>
      <c r="J24" s="1067">
        <f t="shared" si="5"/>
        <v>751905000</v>
      </c>
    </row>
    <row r="25" spans="1:10">
      <c r="A25" s="1064">
        <v>24</v>
      </c>
      <c r="B25" s="1065" t="s">
        <v>2861</v>
      </c>
      <c r="C25" s="1066">
        <v>17450</v>
      </c>
      <c r="D25" s="1066">
        <v>18</v>
      </c>
      <c r="E25" s="1067">
        <f t="shared" si="0"/>
        <v>34.9</v>
      </c>
      <c r="F25" s="1067">
        <f t="shared" si="1"/>
        <v>3490</v>
      </c>
      <c r="G25" s="1067">
        <f t="shared" si="2"/>
        <v>1745</v>
      </c>
      <c r="H25" s="1067">
        <f t="shared" si="3"/>
        <v>111680</v>
      </c>
      <c r="I25" s="1067">
        <f t="shared" si="4"/>
        <v>2680320</v>
      </c>
      <c r="J25" s="1067">
        <f t="shared" si="5"/>
        <v>644490000</v>
      </c>
    </row>
    <row r="26" spans="1:10">
      <c r="A26" s="1064">
        <v>25</v>
      </c>
      <c r="B26" s="1065" t="s">
        <v>2862</v>
      </c>
      <c r="C26" s="1066">
        <v>58030</v>
      </c>
      <c r="D26" s="1066">
        <v>17</v>
      </c>
      <c r="E26" s="1067">
        <f t="shared" si="0"/>
        <v>116.06</v>
      </c>
      <c r="F26" s="1067">
        <f t="shared" si="1"/>
        <v>11606</v>
      </c>
      <c r="G26" s="1067">
        <f t="shared" si="2"/>
        <v>5803</v>
      </c>
      <c r="H26" s="1067">
        <f t="shared" si="3"/>
        <v>371392</v>
      </c>
      <c r="I26" s="1067">
        <f t="shared" si="4"/>
        <v>8913408</v>
      </c>
      <c r="J26" s="1067">
        <f t="shared" si="5"/>
        <v>608685000</v>
      </c>
    </row>
    <row r="27" spans="1:10">
      <c r="A27" s="1064">
        <v>26</v>
      </c>
      <c r="B27" s="1065" t="s">
        <v>2863</v>
      </c>
      <c r="C27" s="1066">
        <v>36917</v>
      </c>
      <c r="D27" s="1066">
        <v>21</v>
      </c>
      <c r="E27" s="1067">
        <f t="shared" si="0"/>
        <v>73.834000000000003</v>
      </c>
      <c r="F27" s="1067">
        <f t="shared" si="1"/>
        <v>7383.4000000000005</v>
      </c>
      <c r="G27" s="1067">
        <f t="shared" si="2"/>
        <v>3691.7000000000003</v>
      </c>
      <c r="H27" s="1067">
        <f t="shared" si="3"/>
        <v>236268.80000000002</v>
      </c>
      <c r="I27" s="1067">
        <f t="shared" si="4"/>
        <v>5670451.2000000002</v>
      </c>
      <c r="J27" s="1067">
        <f t="shared" si="5"/>
        <v>751905000</v>
      </c>
    </row>
    <row r="28" spans="1:10">
      <c r="A28" s="1064">
        <v>27</v>
      </c>
      <c r="B28" s="1065" t="s">
        <v>2864</v>
      </c>
      <c r="C28" s="1066">
        <v>21050</v>
      </c>
      <c r="D28" s="1066">
        <v>18</v>
      </c>
      <c r="E28" s="1067">
        <f t="shared" si="0"/>
        <v>42.1</v>
      </c>
      <c r="F28" s="1067">
        <f t="shared" si="1"/>
        <v>4210</v>
      </c>
      <c r="G28" s="1067">
        <f t="shared" si="2"/>
        <v>2105</v>
      </c>
      <c r="H28" s="1067">
        <f t="shared" si="3"/>
        <v>134720</v>
      </c>
      <c r="I28" s="1067">
        <f t="shared" si="4"/>
        <v>3233280</v>
      </c>
      <c r="J28" s="1067">
        <f t="shared" si="5"/>
        <v>644490000</v>
      </c>
    </row>
    <row r="29" spans="1:10">
      <c r="A29" s="1064">
        <v>28</v>
      </c>
      <c r="B29" s="1065" t="s">
        <v>2865</v>
      </c>
      <c r="C29" s="1066">
        <v>5420</v>
      </c>
      <c r="D29" s="1066">
        <v>17</v>
      </c>
      <c r="E29" s="1067">
        <f t="shared" si="0"/>
        <v>10.84</v>
      </c>
      <c r="F29" s="1067">
        <f t="shared" si="1"/>
        <v>1084</v>
      </c>
      <c r="G29" s="1067">
        <f t="shared" si="2"/>
        <v>542</v>
      </c>
      <c r="H29" s="1067">
        <f t="shared" si="3"/>
        <v>34688</v>
      </c>
      <c r="I29" s="1067">
        <f t="shared" si="4"/>
        <v>832512</v>
      </c>
      <c r="J29" s="1067">
        <f t="shared" si="5"/>
        <v>608685000</v>
      </c>
    </row>
    <row r="30" spans="1:10">
      <c r="A30" s="1064">
        <v>29</v>
      </c>
      <c r="B30" s="1065" t="s">
        <v>2866</v>
      </c>
      <c r="C30" s="1066">
        <v>6353</v>
      </c>
      <c r="D30" s="1066">
        <v>16</v>
      </c>
      <c r="E30" s="1067">
        <f t="shared" si="0"/>
        <v>12.706</v>
      </c>
      <c r="F30" s="1067">
        <f t="shared" si="1"/>
        <v>1270.5999999999999</v>
      </c>
      <c r="G30" s="1067">
        <f t="shared" si="2"/>
        <v>635.29999999999995</v>
      </c>
      <c r="H30" s="1067">
        <f t="shared" si="3"/>
        <v>40659.199999999997</v>
      </c>
      <c r="I30" s="1067">
        <f t="shared" si="4"/>
        <v>975820.79999999993</v>
      </c>
      <c r="J30" s="1067">
        <f t="shared" si="5"/>
        <v>572880000</v>
      </c>
    </row>
    <row r="31" spans="1:10">
      <c r="A31" s="1064">
        <v>30</v>
      </c>
      <c r="B31" s="1065" t="s">
        <v>2867</v>
      </c>
      <c r="C31" s="1066">
        <v>37700</v>
      </c>
      <c r="D31" s="1066">
        <v>16</v>
      </c>
      <c r="E31" s="1067">
        <f t="shared" si="0"/>
        <v>75.400000000000006</v>
      </c>
      <c r="F31" s="1067">
        <f t="shared" si="1"/>
        <v>7540.0000000000009</v>
      </c>
      <c r="G31" s="1067">
        <f t="shared" si="2"/>
        <v>3770.0000000000005</v>
      </c>
      <c r="H31" s="1067">
        <f t="shared" si="3"/>
        <v>241280.00000000003</v>
      </c>
      <c r="I31" s="1067">
        <f t="shared" si="4"/>
        <v>5790720.0000000009</v>
      </c>
      <c r="J31" s="1067">
        <f t="shared" si="5"/>
        <v>572880000</v>
      </c>
    </row>
    <row r="32" spans="1:10">
      <c r="A32" s="1064">
        <v>31</v>
      </c>
      <c r="B32" s="1065" t="s">
        <v>2868</v>
      </c>
      <c r="C32" s="1066">
        <v>18768</v>
      </c>
      <c r="D32" s="1066">
        <v>11</v>
      </c>
      <c r="E32" s="1067">
        <f t="shared" si="0"/>
        <v>37.536000000000001</v>
      </c>
      <c r="F32" s="1067">
        <f t="shared" si="1"/>
        <v>3753.6000000000004</v>
      </c>
      <c r="G32" s="1067">
        <f t="shared" si="2"/>
        <v>1876.8000000000002</v>
      </c>
      <c r="H32" s="1067">
        <f t="shared" si="3"/>
        <v>120115.20000000001</v>
      </c>
      <c r="I32" s="1067">
        <f t="shared" si="4"/>
        <v>2882764.8000000003</v>
      </c>
      <c r="J32" s="1067">
        <f t="shared" si="5"/>
        <v>393855000</v>
      </c>
    </row>
    <row r="33" spans="1:10">
      <c r="A33" s="1064">
        <v>32</v>
      </c>
      <c r="B33" s="1065" t="s">
        <v>2869</v>
      </c>
      <c r="C33" s="1066">
        <v>45270</v>
      </c>
      <c r="D33" s="1066">
        <v>17</v>
      </c>
      <c r="E33" s="1067">
        <f t="shared" si="0"/>
        <v>90.54</v>
      </c>
      <c r="F33" s="1067">
        <f t="shared" si="1"/>
        <v>9054</v>
      </c>
      <c r="G33" s="1067">
        <f t="shared" si="2"/>
        <v>4527</v>
      </c>
      <c r="H33" s="1067">
        <f t="shared" si="3"/>
        <v>289728</v>
      </c>
      <c r="I33" s="1067">
        <f t="shared" si="4"/>
        <v>6953472</v>
      </c>
      <c r="J33" s="1067">
        <f t="shared" si="5"/>
        <v>608685000</v>
      </c>
    </row>
    <row r="34" spans="1:10">
      <c r="A34" s="1064">
        <v>33</v>
      </c>
      <c r="B34" s="1065" t="s">
        <v>2870</v>
      </c>
      <c r="C34" s="1066">
        <v>55920</v>
      </c>
      <c r="D34" s="1066">
        <v>16</v>
      </c>
      <c r="E34" s="1067">
        <f t="shared" si="0"/>
        <v>111.84</v>
      </c>
      <c r="F34" s="1067">
        <f t="shared" si="1"/>
        <v>11184</v>
      </c>
      <c r="G34" s="1067">
        <f t="shared" si="2"/>
        <v>5592</v>
      </c>
      <c r="H34" s="1067">
        <f t="shared" si="3"/>
        <v>357888</v>
      </c>
      <c r="I34" s="1067">
        <f t="shared" si="4"/>
        <v>8589312</v>
      </c>
      <c r="J34" s="1067">
        <f t="shared" si="5"/>
        <v>572880000</v>
      </c>
    </row>
    <row r="35" spans="1:10">
      <c r="A35" s="1064">
        <v>34</v>
      </c>
      <c r="B35" s="1065" t="s">
        <v>2871</v>
      </c>
      <c r="C35" s="1066">
        <v>5530</v>
      </c>
      <c r="D35" s="1066">
        <v>13</v>
      </c>
      <c r="E35" s="1067">
        <f t="shared" si="0"/>
        <v>11.06</v>
      </c>
      <c r="F35" s="1067">
        <f t="shared" si="1"/>
        <v>1106</v>
      </c>
      <c r="G35" s="1067">
        <f t="shared" si="2"/>
        <v>553</v>
      </c>
      <c r="H35" s="1067">
        <f t="shared" si="3"/>
        <v>35392</v>
      </c>
      <c r="I35" s="1067">
        <f t="shared" si="4"/>
        <v>849408</v>
      </c>
      <c r="J35" s="1067">
        <f t="shared" si="5"/>
        <v>465465000</v>
      </c>
    </row>
    <row r="36" spans="1:10">
      <c r="A36" s="1064">
        <v>35</v>
      </c>
      <c r="B36" s="1065" t="s">
        <v>2872</v>
      </c>
      <c r="C36" s="1066">
        <v>27117</v>
      </c>
      <c r="D36" s="1066">
        <v>13</v>
      </c>
      <c r="E36" s="1067">
        <f t="shared" si="0"/>
        <v>54.234000000000002</v>
      </c>
      <c r="F36" s="1067">
        <f t="shared" si="1"/>
        <v>5423.4000000000005</v>
      </c>
      <c r="G36" s="1067">
        <f t="shared" si="2"/>
        <v>2711.7000000000003</v>
      </c>
      <c r="H36" s="1067">
        <f t="shared" si="3"/>
        <v>173548.80000000002</v>
      </c>
      <c r="I36" s="1067">
        <f t="shared" si="4"/>
        <v>4165171.2000000002</v>
      </c>
      <c r="J36" s="1067">
        <f t="shared" si="5"/>
        <v>465465000</v>
      </c>
    </row>
    <row r="37" spans="1:10">
      <c r="A37" s="1064">
        <v>36</v>
      </c>
      <c r="B37" s="1065" t="s">
        <v>2873</v>
      </c>
      <c r="C37" s="1066">
        <v>10773</v>
      </c>
      <c r="D37" s="1066">
        <v>8</v>
      </c>
      <c r="E37" s="1067">
        <f t="shared" si="0"/>
        <v>21.545999999999999</v>
      </c>
      <c r="F37" s="1067">
        <f t="shared" si="1"/>
        <v>2154.6</v>
      </c>
      <c r="G37" s="1067">
        <f t="shared" si="2"/>
        <v>1077.3</v>
      </c>
      <c r="H37" s="1067">
        <f t="shared" si="3"/>
        <v>68947.199999999997</v>
      </c>
      <c r="I37" s="1067">
        <f t="shared" si="4"/>
        <v>1654732.7999999998</v>
      </c>
      <c r="J37" s="1067">
        <f t="shared" si="5"/>
        <v>286440000</v>
      </c>
    </row>
    <row r="38" spans="1:10" ht="45">
      <c r="A38" s="1064" t="s">
        <v>2874</v>
      </c>
      <c r="B38" s="1065" t="s">
        <v>2875</v>
      </c>
      <c r="C38" s="1066">
        <v>7315</v>
      </c>
      <c r="D38" s="1066">
        <v>6</v>
      </c>
      <c r="E38" s="1067">
        <f t="shared" si="0"/>
        <v>14.63</v>
      </c>
      <c r="F38" s="1067">
        <f t="shared" si="1"/>
        <v>1463</v>
      </c>
      <c r="G38" s="1067">
        <f t="shared" si="2"/>
        <v>731.5</v>
      </c>
      <c r="H38" s="1067">
        <f t="shared" si="3"/>
        <v>46816</v>
      </c>
      <c r="I38" s="1067">
        <f t="shared" si="4"/>
        <v>1123584</v>
      </c>
      <c r="J38" s="1067">
        <f t="shared" si="5"/>
        <v>214830000</v>
      </c>
    </row>
    <row r="39" spans="1:10">
      <c r="A39" s="3"/>
      <c r="B39" t="s">
        <v>209</v>
      </c>
      <c r="D39" s="196">
        <f>SUM(D2:D38)</f>
        <v>774</v>
      </c>
      <c r="I39" s="1067">
        <f>SUM(I2:I38)</f>
        <v>141518284.80000001</v>
      </c>
      <c r="J39" s="1067">
        <f>SUM(J2:J38)</f>
        <v>27713070000</v>
      </c>
    </row>
    <row r="40" spans="1:10" ht="15.75">
      <c r="A40" s="3"/>
      <c r="B40" t="s">
        <v>2876</v>
      </c>
      <c r="I40" s="1068" t="s">
        <v>2877</v>
      </c>
      <c r="J40" s="1068" t="s">
        <v>2878</v>
      </c>
    </row>
    <row r="42" spans="1:10">
      <c r="I42" t="s">
        <v>111</v>
      </c>
      <c r="J42" t="s">
        <v>141</v>
      </c>
    </row>
    <row r="43" spans="1:10">
      <c r="H43" t="s">
        <v>2879</v>
      </c>
      <c r="I43" s="1069">
        <f>64</f>
        <v>64</v>
      </c>
      <c r="J43" s="1070">
        <f>I43*1600</f>
        <v>102400</v>
      </c>
    </row>
    <row r="44" spans="1:10">
      <c r="H44" t="s">
        <v>2880</v>
      </c>
      <c r="J44" s="1070">
        <f>J39/774</f>
        <v>35805000</v>
      </c>
    </row>
  </sheetData>
  <hyperlinks>
    <hyperlink ref="B2" r:id="rId1" display="http://en.wikipedia.org/wiki/Kano_State" xr:uid="{5531E247-8DBB-4853-B81B-90A086CB1F3B}"/>
    <hyperlink ref="B3" r:id="rId2" display="http://en.wikipedia.org/wiki/Lagos_State" xr:uid="{F5CEBA75-E2B2-4568-866B-80349FF2E4EC}"/>
    <hyperlink ref="B4" r:id="rId3" display="http://en.wikipedia.org/wiki/Kaduna_State" xr:uid="{197CF972-2A08-4AB6-AF45-7D2658146D9F}"/>
    <hyperlink ref="B5" r:id="rId4" display="http://en.wikipedia.org/wiki/Katsina_State" xr:uid="{30D4F5EA-19D7-407A-8828-EB5CEB5F8D9F}"/>
    <hyperlink ref="B6" r:id="rId5" display="http://en.wikipedia.org/wiki/Oyo_State" xr:uid="{5AB0C298-7B07-47CA-B7D6-CFB6ED902C64}"/>
    <hyperlink ref="B7" r:id="rId6" display="http://en.wikipedia.org/wiki/Rivers_State" xr:uid="{F543397B-B9C1-4C67-B5F2-DDCFF4DFAD7C}"/>
    <hyperlink ref="B8" r:id="rId7" display="http://en.wikipedia.org/wiki/Bauchi_State" xr:uid="{E7E17443-2A96-402B-9F96-058F61D35E5C}"/>
    <hyperlink ref="B9" r:id="rId8" display="http://en.wikipedia.org/wiki/Jigawa_State" xr:uid="{93D975B9-BF21-439E-90FB-FA2A66C58C70}"/>
    <hyperlink ref="B10" r:id="rId9" display="http://en.wikipedia.org/wiki/Benue_State" xr:uid="{17B77ECB-5D68-4E1C-8249-8B89B8B70126}"/>
    <hyperlink ref="B11" r:id="rId10" display="http://en.wikipedia.org/wiki/Anambra_State" xr:uid="{31DD4467-49EA-410B-ADE5-00179502959E}"/>
    <hyperlink ref="B12" r:id="rId11" display="http://en.wikipedia.org/wiki/Borno_State" xr:uid="{3901775A-2523-4161-833F-ADAB2171DBCE}"/>
    <hyperlink ref="B13" r:id="rId12" display="http://en.wikipedia.org/wiki/Delta_State%2C_Nigeria" xr:uid="{A21F122C-2A7E-4A09-8ED3-457FFE8E7BA6}"/>
    <hyperlink ref="B14" r:id="rId13" display="http://en.wikipedia.org/wiki/Imo_State" xr:uid="{C04A6AF6-3353-4D58-BE49-467AEE7FB8AC}"/>
    <hyperlink ref="B15" r:id="rId14" display="http://en.wikipedia.org/wiki/Niger_State" xr:uid="{787C19D1-7F5F-4535-932F-1C7AEABFA99A}"/>
    <hyperlink ref="B16" r:id="rId15" display="http://en.wikipedia.org/wiki/Akwa_Ibom_State" xr:uid="{4363AF9F-3044-46AC-B16E-526BE09E05BE}"/>
    <hyperlink ref="B17" r:id="rId16" display="http://en.wikipedia.org/wiki/Ogun_State" xr:uid="{4570209E-30BF-4C65-B21B-B55AF746AFA3}"/>
    <hyperlink ref="B18" r:id="rId17" display="http://en.wikipedia.org/wiki/Sokoto_State" xr:uid="{2A730FA9-894E-4ECD-B7ED-60191503AEF5}"/>
    <hyperlink ref="B19" r:id="rId18" display="http://en.wikipedia.org/wiki/Ondo_State" xr:uid="{B2FB73AE-2974-4BEF-81B4-37CB26CC886A}"/>
    <hyperlink ref="B20" r:id="rId19" display="http://en.wikipedia.org/wiki/Osun_State" xr:uid="{2C939820-E2C9-4079-8766-C23DA4BF424E}"/>
    <hyperlink ref="B21" r:id="rId20" display="http://en.wikipedia.org/wiki/Kogi_State" xr:uid="{C95C492F-EE90-40E2-A62D-0C319384F690}"/>
    <hyperlink ref="B22" r:id="rId21" display="http://en.wikipedia.org/wiki/Zamfara_State" xr:uid="{6FA7A51D-CB98-4228-A0FB-FEA396ED34AF}"/>
    <hyperlink ref="B23" r:id="rId22" display="http://en.wikipedia.org/wiki/Enugu_State" xr:uid="{D7D8C6A5-5DB6-4355-ABCB-378014E1C54B}"/>
    <hyperlink ref="B24" r:id="rId23" display="http://en.wikipedia.org/wiki/Kebbi_State" xr:uid="{47521366-D4B6-4133-B67A-FCF2C0B56021}"/>
    <hyperlink ref="B25" r:id="rId24" display="http://en.wikipedia.org/wiki/Edo_State" xr:uid="{448A6470-5E87-479F-98C8-44AE789A381E}"/>
    <hyperlink ref="B26" r:id="rId25" display="http://en.wikipedia.org/wiki/Plateau_State" xr:uid="{656656B9-6014-42E1-AD17-1D4F0231D97C}"/>
    <hyperlink ref="B27" r:id="rId26" display="http://en.wikipedia.org/wiki/Adamawa_State" xr:uid="{E020E304-48E7-4D2A-89CE-C3065BB95B0B}"/>
    <hyperlink ref="B28" r:id="rId27" display="http://en.wikipedia.org/wiki/Cross_River_State" xr:uid="{D677FFF7-6C32-4931-95A8-99408E910EC3}"/>
    <hyperlink ref="B29" r:id="rId28" display="http://en.wikipedia.org/wiki/Abia_State" xr:uid="{931F6236-755D-412F-A48A-3D3457BA7D24}"/>
    <hyperlink ref="B30" r:id="rId29" display="http://en.wikipedia.org/wiki/Ekiti_State" xr:uid="{FB15131B-41EA-4210-9BD8-263FB0EBD6F7}"/>
    <hyperlink ref="B31" r:id="rId30" display="http://en.wikipedia.org/wiki/Kwara_State" xr:uid="{AFF4C837-FB47-4DB6-B933-60F35D334FB8}"/>
    <hyperlink ref="B32" r:id="rId31" display="http://en.wikipedia.org/wiki/Gombe_State" xr:uid="{1644C045-DE35-4CA8-A968-A3456E03000E}"/>
    <hyperlink ref="B33" r:id="rId32" display="http://en.wikipedia.org/wiki/Yobe_State" xr:uid="{CDA77318-C22F-4382-ABC0-64E8C1710B5D}"/>
    <hyperlink ref="B34" r:id="rId33" display="http://en.wikipedia.org/wiki/Taraba_State" xr:uid="{8CA5A06F-C593-4F03-B8A9-2B571F31735A}"/>
    <hyperlink ref="B35" r:id="rId34" display="http://en.wikipedia.org/wiki/Ebonyi_State" xr:uid="{68E654E1-AE12-48FB-9607-1A460CDD5B65}"/>
    <hyperlink ref="B36" r:id="rId35" display="http://en.wikipedia.org/wiki/Nasarawa_State" xr:uid="{83206D58-F2CC-4586-A01B-248C5C7FEE2F}"/>
    <hyperlink ref="B37" r:id="rId36" display="http://en.wikipedia.org/wiki/Bayelsa_State" xr:uid="{1413EF9D-9F90-46AA-98BB-5FC4BFA79AB6}"/>
    <hyperlink ref="B38" r:id="rId37" display="http://en.wikipedia.org/wiki/Federal_Capital_Territory" xr:uid="{86022DA5-48EE-4813-AC24-F62626E2E80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33071-35F0-491C-80EC-9FB37BEBB9CA}">
  <dimension ref="B2:I58"/>
  <sheetViews>
    <sheetView topLeftCell="A48" zoomScale="93" zoomScaleNormal="70" workbookViewId="0">
      <selection activeCell="G19" sqref="G19"/>
    </sheetView>
  </sheetViews>
  <sheetFormatPr defaultColWidth="9.140625" defaultRowHeight="15"/>
  <cols>
    <col min="1" max="1" width="9.140625" style="668"/>
    <col min="2" max="2" width="57.7109375" style="668" bestFit="1" customWidth="1"/>
    <col min="3" max="3" width="29.28515625" style="668" customWidth="1"/>
    <col min="4" max="4" width="16.140625" style="668" customWidth="1"/>
    <col min="5" max="5" width="48.140625" style="669" bestFit="1" customWidth="1"/>
    <col min="6" max="6" width="17.5703125" style="668" customWidth="1"/>
    <col min="7" max="7" width="46.140625" style="668" customWidth="1"/>
    <col min="8" max="8" width="10.85546875" style="668" bestFit="1" customWidth="1"/>
    <col min="9" max="16384" width="9.140625" style="668"/>
  </cols>
  <sheetData>
    <row r="2" spans="2:8" ht="45">
      <c r="B2" s="670" t="s">
        <v>2340</v>
      </c>
      <c r="C2" s="671" t="s">
        <v>2200</v>
      </c>
      <c r="D2" s="1251" t="s">
        <v>2341</v>
      </c>
      <c r="E2" s="1252"/>
      <c r="F2" s="671" t="s">
        <v>2342</v>
      </c>
      <c r="G2" s="670" t="s">
        <v>87</v>
      </c>
    </row>
    <row r="3" spans="2:8">
      <c r="B3" s="672" t="s">
        <v>2343</v>
      </c>
      <c r="C3" s="673" t="s">
        <v>2344</v>
      </c>
      <c r="D3" s="1253">
        <v>0.36</v>
      </c>
      <c r="E3" s="1254"/>
      <c r="F3" s="674">
        <f>D3</f>
        <v>0.36</v>
      </c>
      <c r="G3" s="672" t="s">
        <v>2345</v>
      </c>
    </row>
    <row r="4" spans="2:8">
      <c r="B4" s="672" t="s">
        <v>2343</v>
      </c>
      <c r="C4" s="673" t="s">
        <v>2346</v>
      </c>
      <c r="D4" s="1255">
        <f>(0.48+0.67)/2</f>
        <v>0.57499999999999996</v>
      </c>
      <c r="E4" s="1256"/>
      <c r="F4" s="675">
        <f>D4</f>
        <v>0.57499999999999996</v>
      </c>
      <c r="G4" s="672" t="s">
        <v>2345</v>
      </c>
    </row>
    <row r="5" spans="2:8">
      <c r="B5" s="672" t="s">
        <v>2343</v>
      </c>
      <c r="C5" s="673" t="s">
        <v>2347</v>
      </c>
      <c r="D5" s="1253">
        <v>0.55000000000000004</v>
      </c>
      <c r="E5" s="1254"/>
      <c r="F5" s="674">
        <f t="shared" ref="F5:F15" si="0">D5</f>
        <v>0.55000000000000004</v>
      </c>
      <c r="G5" s="672" t="s">
        <v>2345</v>
      </c>
    </row>
    <row r="6" spans="2:8">
      <c r="B6" s="672" t="s">
        <v>2343</v>
      </c>
      <c r="C6" s="673" t="s">
        <v>2348</v>
      </c>
      <c r="D6" s="1253">
        <v>0.68</v>
      </c>
      <c r="E6" s="1254"/>
      <c r="F6" s="674">
        <f t="shared" si="0"/>
        <v>0.68</v>
      </c>
      <c r="G6" s="672" t="s">
        <v>2345</v>
      </c>
    </row>
    <row r="7" spans="2:8">
      <c r="B7" s="676" t="s">
        <v>2349</v>
      </c>
      <c r="C7" s="677" t="s">
        <v>2350</v>
      </c>
      <c r="D7" s="1257">
        <v>0.2</v>
      </c>
      <c r="E7" s="1258"/>
      <c r="F7" s="674">
        <f t="shared" si="0"/>
        <v>0.2</v>
      </c>
      <c r="G7" s="672" t="s">
        <v>2345</v>
      </c>
    </row>
    <row r="8" spans="2:8">
      <c r="B8" s="676" t="s">
        <v>2349</v>
      </c>
      <c r="C8" s="677" t="s">
        <v>2351</v>
      </c>
      <c r="D8" s="1259">
        <v>0.28999999999999998</v>
      </c>
      <c r="E8" s="1260"/>
      <c r="F8" s="674">
        <f t="shared" si="0"/>
        <v>0.28999999999999998</v>
      </c>
      <c r="G8" s="672" t="s">
        <v>2345</v>
      </c>
    </row>
    <row r="9" spans="2:8">
      <c r="B9" s="676" t="s">
        <v>2349</v>
      </c>
      <c r="C9" s="677" t="s">
        <v>2352</v>
      </c>
      <c r="D9" s="1259">
        <v>0.46</v>
      </c>
      <c r="E9" s="1260"/>
      <c r="F9" s="674">
        <f t="shared" si="0"/>
        <v>0.46</v>
      </c>
      <c r="G9" s="672" t="s">
        <v>2345</v>
      </c>
    </row>
    <row r="10" spans="2:8">
      <c r="B10" s="676" t="s">
        <v>2349</v>
      </c>
      <c r="C10" s="677" t="s">
        <v>2353</v>
      </c>
      <c r="D10" s="1259">
        <v>0.78</v>
      </c>
      <c r="E10" s="1260"/>
      <c r="F10" s="674">
        <f t="shared" si="0"/>
        <v>0.78</v>
      </c>
      <c r="G10" s="672" t="s">
        <v>2345</v>
      </c>
    </row>
    <row r="11" spans="2:8" ht="30">
      <c r="B11" s="678" t="s">
        <v>2354</v>
      </c>
      <c r="C11" s="677" t="s">
        <v>2355</v>
      </c>
      <c r="D11" s="1243">
        <v>1</v>
      </c>
      <c r="E11" s="1244"/>
      <c r="F11" s="674">
        <f t="shared" si="0"/>
        <v>1</v>
      </c>
      <c r="G11" s="672" t="s">
        <v>2356</v>
      </c>
      <c r="H11" s="679"/>
    </row>
    <row r="12" spans="2:8" ht="27" customHeight="1">
      <c r="B12" s="680" t="s">
        <v>2357</v>
      </c>
      <c r="C12" s="677" t="s">
        <v>2358</v>
      </c>
      <c r="D12" s="1245">
        <v>1.5</v>
      </c>
      <c r="E12" s="1246"/>
      <c r="F12" s="674">
        <f t="shared" si="0"/>
        <v>1.5</v>
      </c>
      <c r="G12" s="672" t="s">
        <v>2356</v>
      </c>
    </row>
    <row r="13" spans="2:8" ht="29.25">
      <c r="B13" s="680" t="s">
        <v>2354</v>
      </c>
      <c r="C13" s="677" t="s">
        <v>2359</v>
      </c>
      <c r="D13" s="1245">
        <v>1.35</v>
      </c>
      <c r="E13" s="1246"/>
      <c r="F13" s="674">
        <f t="shared" si="0"/>
        <v>1.35</v>
      </c>
      <c r="G13" s="672" t="s">
        <v>2356</v>
      </c>
    </row>
    <row r="14" spans="2:8" ht="29.25">
      <c r="B14" s="680" t="s">
        <v>2354</v>
      </c>
      <c r="C14" s="677" t="s">
        <v>2360</v>
      </c>
      <c r="D14" s="1245">
        <v>1.9</v>
      </c>
      <c r="E14" s="1246"/>
      <c r="F14" s="674">
        <f t="shared" si="0"/>
        <v>1.9</v>
      </c>
      <c r="G14" s="672" t="s">
        <v>2356</v>
      </c>
    </row>
    <row r="15" spans="2:8" ht="29.25">
      <c r="B15" s="680" t="s">
        <v>2354</v>
      </c>
      <c r="C15" s="677" t="s">
        <v>2361</v>
      </c>
      <c r="D15" s="1245">
        <v>2.23</v>
      </c>
      <c r="E15" s="1246"/>
      <c r="F15" s="674">
        <f t="shared" si="0"/>
        <v>2.23</v>
      </c>
      <c r="G15" s="672" t="s">
        <v>2356</v>
      </c>
    </row>
    <row r="16" spans="2:8">
      <c r="B16" s="1247" t="s">
        <v>2362</v>
      </c>
      <c r="C16" s="1247"/>
      <c r="D16" s="1247"/>
      <c r="E16" s="1247"/>
      <c r="F16" s="681">
        <f>AVERAGE(F3:F15)</f>
        <v>0.91346153846153855</v>
      </c>
      <c r="G16" s="672"/>
    </row>
    <row r="17" spans="2:9">
      <c r="B17" s="1242" t="s">
        <v>2363</v>
      </c>
      <c r="C17" s="1242"/>
      <c r="D17" s="1242"/>
      <c r="E17" s="682">
        <v>0.17</v>
      </c>
      <c r="F17" s="681">
        <f>E17*$F$16</f>
        <v>0.15528846153846157</v>
      </c>
      <c r="G17" s="672" t="s">
        <v>2356</v>
      </c>
    </row>
    <row r="18" spans="2:9">
      <c r="B18" s="1248" t="s">
        <v>2364</v>
      </c>
      <c r="C18" s="1249"/>
      <c r="D18" s="1250"/>
      <c r="E18" s="683">
        <v>1.2999999999999999E-2</v>
      </c>
      <c r="F18" s="684">
        <f>E18*$F$16</f>
        <v>1.1875E-2</v>
      </c>
      <c r="G18" s="672" t="s">
        <v>2356</v>
      </c>
    </row>
    <row r="19" spans="2:9">
      <c r="B19" s="1242" t="s">
        <v>2365</v>
      </c>
      <c r="C19" s="1242"/>
      <c r="D19" s="1242"/>
      <c r="E19" s="685">
        <v>1.9400000000000001E-3</v>
      </c>
      <c r="F19" s="686">
        <f>E19*($F$16+$F$17)</f>
        <v>2.0733750000000001E-3</v>
      </c>
      <c r="G19" s="672" t="s">
        <v>2356</v>
      </c>
    </row>
    <row r="20" spans="2:9" ht="45">
      <c r="B20" s="1242" t="s">
        <v>2366</v>
      </c>
      <c r="C20" s="1242"/>
      <c r="D20" s="1242"/>
      <c r="E20" s="682">
        <v>0.15</v>
      </c>
      <c r="F20" s="681">
        <f>E20*$F$16</f>
        <v>0.13701923076923078</v>
      </c>
      <c r="G20" s="673" t="s">
        <v>2367</v>
      </c>
    </row>
    <row r="21" spans="2:9">
      <c r="B21" s="1240" t="s">
        <v>2368</v>
      </c>
      <c r="C21" s="1240"/>
      <c r="D21" s="687"/>
      <c r="E21" s="687"/>
      <c r="F21" s="688">
        <f>SUM(F16:F20)</f>
        <v>1.2197176057692309</v>
      </c>
      <c r="G21" s="689"/>
      <c r="H21" s="690">
        <f>F21*1600</f>
        <v>1951.5481692307694</v>
      </c>
      <c r="I21" s="720">
        <v>1952</v>
      </c>
    </row>
    <row r="22" spans="2:9" s="691" customFormat="1" ht="39" customHeight="1">
      <c r="B22" s="692" t="s">
        <v>2369</v>
      </c>
      <c r="C22" s="693" t="s">
        <v>2370</v>
      </c>
      <c r="D22" s="694">
        <v>1.5</v>
      </c>
      <c r="E22" s="695" t="s">
        <v>2371</v>
      </c>
    </row>
    <row r="23" spans="2:9" s="691" customFormat="1" ht="20.25" customHeight="1">
      <c r="B23" s="693" t="s">
        <v>2363</v>
      </c>
      <c r="C23" s="696">
        <v>0.17</v>
      </c>
      <c r="D23" s="694">
        <f>C23*D22</f>
        <v>0.255</v>
      </c>
      <c r="E23" s="697" t="s">
        <v>2372</v>
      </c>
    </row>
    <row r="24" spans="2:9" s="691" customFormat="1" ht="23.25" customHeight="1">
      <c r="B24" s="693" t="s">
        <v>2373</v>
      </c>
      <c r="C24" s="698">
        <v>1.2999999999999999E-2</v>
      </c>
      <c r="D24" s="694">
        <f>C24*D22</f>
        <v>1.95E-2</v>
      </c>
      <c r="E24" s="697" t="s">
        <v>2374</v>
      </c>
    </row>
    <row r="25" spans="2:9" s="691" customFormat="1" ht="29.25" customHeight="1">
      <c r="B25" s="693" t="s">
        <v>2365</v>
      </c>
      <c r="C25" s="699">
        <v>1.9400000000000001E-3</v>
      </c>
      <c r="D25" s="700">
        <f>C25*(D22+D23)</f>
        <v>3.4047000000000001E-3</v>
      </c>
      <c r="E25" s="697" t="s">
        <v>2374</v>
      </c>
    </row>
    <row r="26" spans="2:9" s="691" customFormat="1" ht="81" customHeight="1">
      <c r="B26" s="693" t="s">
        <v>2366</v>
      </c>
      <c r="C26" s="696">
        <v>0.15</v>
      </c>
      <c r="D26" s="694">
        <f>C26*D22</f>
        <v>0.22499999999999998</v>
      </c>
      <c r="E26" s="695" t="s">
        <v>2375</v>
      </c>
    </row>
    <row r="27" spans="2:9" s="691" customFormat="1">
      <c r="B27" s="1241" t="s">
        <v>2376</v>
      </c>
      <c r="C27" s="1241"/>
      <c r="D27" s="702">
        <f>SUM(D22:D26)</f>
        <v>2.0029046999999998</v>
      </c>
      <c r="E27" s="703"/>
      <c r="F27" s="690">
        <f>D27*1600</f>
        <v>3204.6475199999995</v>
      </c>
      <c r="G27" s="722">
        <v>3205</v>
      </c>
    </row>
    <row r="28" spans="2:9" s="691" customFormat="1" ht="30">
      <c r="B28" s="692" t="s">
        <v>2377</v>
      </c>
      <c r="C28" s="693" t="s">
        <v>2378</v>
      </c>
      <c r="D28" s="694">
        <f>6.75/25</f>
        <v>0.27</v>
      </c>
      <c r="E28" s="695" t="s">
        <v>2371</v>
      </c>
    </row>
    <row r="29" spans="2:9" s="691" customFormat="1">
      <c r="B29" s="693" t="s">
        <v>2363</v>
      </c>
      <c r="C29" s="698">
        <v>0.17</v>
      </c>
      <c r="D29" s="700">
        <f>C29*$D$28</f>
        <v>4.5900000000000003E-2</v>
      </c>
      <c r="E29" s="697" t="s">
        <v>2374</v>
      </c>
    </row>
    <row r="30" spans="2:9" s="691" customFormat="1">
      <c r="B30" s="693" t="s">
        <v>2373</v>
      </c>
      <c r="C30" s="698">
        <v>1.2999999999999999E-2</v>
      </c>
      <c r="D30" s="700">
        <f>C30*$D$28</f>
        <v>3.5100000000000001E-3</v>
      </c>
      <c r="E30" s="697" t="s">
        <v>2374</v>
      </c>
    </row>
    <row r="31" spans="2:9" s="691" customFormat="1" ht="26.25" customHeight="1">
      <c r="B31" s="693" t="s">
        <v>2365</v>
      </c>
      <c r="C31" s="698">
        <v>1.9400000000000001E-3</v>
      </c>
      <c r="D31" s="700">
        <f>C31*($D$28+$D29)</f>
        <v>6.1284600000000001E-4</v>
      </c>
      <c r="E31" s="697" t="s">
        <v>2374</v>
      </c>
    </row>
    <row r="32" spans="2:9" s="691" customFormat="1" ht="60">
      <c r="B32" s="693" t="s">
        <v>2366</v>
      </c>
      <c r="C32" s="696">
        <v>0.15</v>
      </c>
      <c r="D32" s="700">
        <f>C32*$D$28</f>
        <v>4.0500000000000001E-2</v>
      </c>
      <c r="E32" s="695" t="s">
        <v>2375</v>
      </c>
    </row>
    <row r="33" spans="2:5" s="691" customFormat="1">
      <c r="B33" s="1241" t="s">
        <v>2379</v>
      </c>
      <c r="C33" s="1241"/>
      <c r="D33" s="702">
        <f>SUM(D28:D32)</f>
        <v>0.36052284600000001</v>
      </c>
      <c r="E33" s="703"/>
    </row>
    <row r="34" spans="2:5" s="691" customFormat="1">
      <c r="B34" s="693"/>
      <c r="C34" s="693"/>
      <c r="D34" s="693"/>
      <c r="E34" s="695"/>
    </row>
    <row r="35" spans="2:5" s="691" customFormat="1" ht="30">
      <c r="B35" s="692" t="s">
        <v>2380</v>
      </c>
      <c r="C35" s="693"/>
      <c r="D35" s="693">
        <v>3.5</v>
      </c>
      <c r="E35" s="695" t="s">
        <v>2381</v>
      </c>
    </row>
    <row r="36" spans="2:5" s="691" customFormat="1">
      <c r="B36" s="693" t="s">
        <v>2363</v>
      </c>
      <c r="C36" s="698">
        <v>0.2</v>
      </c>
      <c r="D36" s="700">
        <f>C36*$D$35</f>
        <v>0.70000000000000007</v>
      </c>
      <c r="E36" s="697" t="s">
        <v>2382</v>
      </c>
    </row>
    <row r="37" spans="2:5" s="691" customFormat="1">
      <c r="B37" s="693" t="s">
        <v>2373</v>
      </c>
      <c r="C37" s="698">
        <v>5.5E-2</v>
      </c>
      <c r="D37" s="700">
        <f>C37*$D$35</f>
        <v>0.1925</v>
      </c>
      <c r="E37" s="697" t="s">
        <v>2382</v>
      </c>
    </row>
    <row r="38" spans="2:5" s="691" customFormat="1" ht="27" customHeight="1">
      <c r="B38" s="693" t="s">
        <v>2383</v>
      </c>
      <c r="C38" s="698">
        <v>1.8289999999999999E-3</v>
      </c>
      <c r="D38" s="700">
        <f>C38*($D$35+D36)</f>
        <v>7.6817999999999999E-3</v>
      </c>
      <c r="E38" s="697" t="s">
        <v>2382</v>
      </c>
    </row>
    <row r="39" spans="2:5" s="691" customFormat="1" ht="71.25" customHeight="1">
      <c r="B39" s="693" t="s">
        <v>2366</v>
      </c>
      <c r="C39" s="696">
        <v>0.15</v>
      </c>
      <c r="D39" s="700">
        <f>C39*$D$35</f>
        <v>0.52500000000000002</v>
      </c>
      <c r="E39" s="695" t="s">
        <v>2375</v>
      </c>
    </row>
    <row r="40" spans="2:5" s="691" customFormat="1">
      <c r="B40" s="701" t="s">
        <v>2384</v>
      </c>
      <c r="C40" s="704"/>
      <c r="D40" s="702">
        <f>SUM(D35:D39)</f>
        <v>4.9251818000000007</v>
      </c>
      <c r="E40" s="703"/>
    </row>
    <row r="41" spans="2:5" s="691" customFormat="1">
      <c r="B41" s="701" t="s">
        <v>2385</v>
      </c>
      <c r="C41" s="701"/>
      <c r="D41" s="702">
        <f>(D40/100)*2</f>
        <v>9.8503636000000019E-2</v>
      </c>
      <c r="E41" s="703" t="s">
        <v>2386</v>
      </c>
    </row>
    <row r="42" spans="2:5" s="691" customFormat="1">
      <c r="B42" s="693"/>
      <c r="C42" s="693"/>
      <c r="D42" s="693"/>
      <c r="E42" s="695"/>
    </row>
    <row r="43" spans="2:5" s="691" customFormat="1" ht="30">
      <c r="B43" s="692" t="s">
        <v>2387</v>
      </c>
      <c r="C43" s="693"/>
      <c r="D43" s="693">
        <v>0.5</v>
      </c>
      <c r="E43" s="695" t="s">
        <v>2388</v>
      </c>
    </row>
    <row r="44" spans="2:5" s="691" customFormat="1">
      <c r="B44" s="693" t="s">
        <v>2363</v>
      </c>
      <c r="C44" s="698">
        <v>0.2</v>
      </c>
      <c r="D44" s="693">
        <f>C44*$D$43</f>
        <v>0.1</v>
      </c>
      <c r="E44" s="697" t="s">
        <v>2382</v>
      </c>
    </row>
    <row r="45" spans="2:5" s="691" customFormat="1">
      <c r="B45" s="693" t="s">
        <v>2373</v>
      </c>
      <c r="C45" s="698">
        <v>5.5E-2</v>
      </c>
      <c r="D45" s="693">
        <f>C45*$D$43</f>
        <v>2.75E-2</v>
      </c>
      <c r="E45" s="697" t="s">
        <v>2382</v>
      </c>
    </row>
    <row r="46" spans="2:5" s="691" customFormat="1" ht="26.25" customHeight="1">
      <c r="B46" s="693" t="s">
        <v>2383</v>
      </c>
      <c r="C46" s="698">
        <v>1.8289999999999999E-3</v>
      </c>
      <c r="D46" s="693">
        <f>C46*$D$43</f>
        <v>9.1449999999999995E-4</v>
      </c>
      <c r="E46" s="697" t="s">
        <v>2382</v>
      </c>
    </row>
    <row r="47" spans="2:5" s="691" customFormat="1" ht="60">
      <c r="B47" s="693" t="s">
        <v>2366</v>
      </c>
      <c r="C47" s="696">
        <v>0.15</v>
      </c>
      <c r="D47" s="693">
        <f>C47*$D$43</f>
        <v>7.4999999999999997E-2</v>
      </c>
      <c r="E47" s="695" t="s">
        <v>2375</v>
      </c>
    </row>
    <row r="48" spans="2:5" s="691" customFormat="1">
      <c r="B48" s="693" t="s">
        <v>2389</v>
      </c>
      <c r="C48" s="692"/>
      <c r="D48" s="693">
        <f>SUM(D43:D47)</f>
        <v>0.70341449999999994</v>
      </c>
      <c r="E48" s="695"/>
    </row>
    <row r="49" spans="2:7" s="691" customFormat="1" ht="30">
      <c r="B49" s="701" t="s">
        <v>2390</v>
      </c>
      <c r="C49" s="701">
        <f>1/200</f>
        <v>5.0000000000000001E-3</v>
      </c>
      <c r="D49" s="705">
        <f>D48*C49</f>
        <v>3.5170724999999997E-3</v>
      </c>
      <c r="E49" s="703" t="s">
        <v>2391</v>
      </c>
    </row>
    <row r="50" spans="2:7" s="691" customFormat="1" ht="16.149999999999999" customHeight="1">
      <c r="B50" s="706" t="s">
        <v>2392</v>
      </c>
      <c r="C50" s="706"/>
      <c r="D50" s="702">
        <f>D49+D41+D33</f>
        <v>0.46254355450000001</v>
      </c>
      <c r="E50" s="703"/>
      <c r="F50" s="690">
        <f>D50*1600</f>
        <v>740.06968719999998</v>
      </c>
      <c r="G50" s="722">
        <v>740</v>
      </c>
    </row>
    <row r="51" spans="2:7">
      <c r="B51" s="672" t="s">
        <v>2393</v>
      </c>
      <c r="C51" s="707"/>
      <c r="D51" s="672"/>
      <c r="E51" s="697" t="s">
        <v>87</v>
      </c>
    </row>
    <row r="52" spans="2:7" s="708" customFormat="1">
      <c r="B52" s="709" t="s">
        <v>2394</v>
      </c>
      <c r="C52" s="710"/>
      <c r="D52" s="711">
        <v>0.65</v>
      </c>
      <c r="E52" s="712" t="s">
        <v>2395</v>
      </c>
    </row>
    <row r="53" spans="2:7" s="708" customFormat="1">
      <c r="B53" s="709" t="s">
        <v>2396</v>
      </c>
      <c r="C53" s="710"/>
      <c r="D53" s="710">
        <f>D52/2</f>
        <v>0.32500000000000001</v>
      </c>
      <c r="E53" s="713"/>
    </row>
    <row r="54" spans="2:7" s="708" customFormat="1">
      <c r="B54" s="693" t="s">
        <v>2363</v>
      </c>
      <c r="C54" s="696">
        <v>0.17</v>
      </c>
      <c r="D54" s="710">
        <f>C54*D53</f>
        <v>5.5250000000000007E-2</v>
      </c>
      <c r="E54" s="697" t="s">
        <v>2382</v>
      </c>
    </row>
    <row r="55" spans="2:7" s="708" customFormat="1">
      <c r="B55" s="693" t="s">
        <v>2373</v>
      </c>
      <c r="C55" s="698">
        <v>0.03</v>
      </c>
      <c r="D55" s="714">
        <f>C55*D53</f>
        <v>9.75E-3</v>
      </c>
      <c r="E55" s="697" t="s">
        <v>2382</v>
      </c>
    </row>
    <row r="56" spans="2:7" s="708" customFormat="1" ht="30" customHeight="1">
      <c r="B56" s="693" t="s">
        <v>2365</v>
      </c>
      <c r="C56" s="699">
        <v>1.9400000000000001E-3</v>
      </c>
      <c r="D56" s="714">
        <f>C56*D53</f>
        <v>6.3050000000000009E-4</v>
      </c>
      <c r="E56" s="697" t="s">
        <v>2382</v>
      </c>
    </row>
    <row r="57" spans="2:7" s="708" customFormat="1" ht="60">
      <c r="B57" s="693" t="s">
        <v>2366</v>
      </c>
      <c r="C57" s="696">
        <v>0.15</v>
      </c>
      <c r="D57" s="714">
        <f>C57*D53</f>
        <v>4.8750000000000002E-2</v>
      </c>
      <c r="E57" s="695" t="s">
        <v>2375</v>
      </c>
    </row>
    <row r="58" spans="2:7" s="715" customFormat="1">
      <c r="B58" s="716" t="s">
        <v>2397</v>
      </c>
      <c r="C58" s="717"/>
      <c r="D58" s="718">
        <f>D53+D54+D55+D56+D57</f>
        <v>0.43938050000000001</v>
      </c>
      <c r="E58" s="719"/>
      <c r="F58" s="690">
        <f>D58*1600</f>
        <v>703.00880000000006</v>
      </c>
      <c r="G58" s="721">
        <v>703</v>
      </c>
    </row>
  </sheetData>
  <mergeCells count="22">
    <mergeCell ref="D2:E2"/>
    <mergeCell ref="D3:E3"/>
    <mergeCell ref="D4:E4"/>
    <mergeCell ref="D5:E5"/>
    <mergeCell ref="B19:D19"/>
    <mergeCell ref="D6:E6"/>
    <mergeCell ref="D7:E7"/>
    <mergeCell ref="D8:E8"/>
    <mergeCell ref="D9:E9"/>
    <mergeCell ref="D10:E10"/>
    <mergeCell ref="B21:C21"/>
    <mergeCell ref="B27:C27"/>
    <mergeCell ref="B33:C33"/>
    <mergeCell ref="B20:D20"/>
    <mergeCell ref="D11:E11"/>
    <mergeCell ref="D12:E12"/>
    <mergeCell ref="D13:E13"/>
    <mergeCell ref="D14:E14"/>
    <mergeCell ref="D15:E15"/>
    <mergeCell ref="B16:E16"/>
    <mergeCell ref="B18:D18"/>
    <mergeCell ref="B17:D1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C27A6-4992-440D-B9F4-C4146976DA3D}">
  <dimension ref="A1:C14"/>
  <sheetViews>
    <sheetView workbookViewId="0">
      <selection activeCell="F12" sqref="F12"/>
    </sheetView>
  </sheetViews>
  <sheetFormatPr defaultColWidth="9" defaultRowHeight="15"/>
  <cols>
    <col min="1" max="1" width="74.140625" style="3" customWidth="1"/>
    <col min="2" max="2" width="15.85546875" style="3" customWidth="1"/>
    <col min="3" max="3" width="12" style="3" bestFit="1" customWidth="1"/>
    <col min="4" max="16384" width="9" style="3"/>
  </cols>
  <sheetData>
    <row r="1" spans="1:3">
      <c r="A1" s="1039" t="s">
        <v>2797</v>
      </c>
    </row>
    <row r="2" spans="1:3" s="1039" customFormat="1">
      <c r="A2" s="1039" t="s">
        <v>69</v>
      </c>
      <c r="B2" s="1039" t="s">
        <v>1815</v>
      </c>
    </row>
    <row r="3" spans="1:3">
      <c r="A3" s="1040" t="s">
        <v>2798</v>
      </c>
      <c r="B3" s="1041">
        <v>10434600</v>
      </c>
    </row>
    <row r="4" spans="1:3">
      <c r="A4" s="1040" t="s">
        <v>2799</v>
      </c>
      <c r="B4" s="1041">
        <v>2633800</v>
      </c>
    </row>
    <row r="5" spans="1:3">
      <c r="A5" s="1040" t="s">
        <v>2800</v>
      </c>
      <c r="B5" s="1041">
        <v>400000</v>
      </c>
    </row>
    <row r="6" spans="1:3">
      <c r="A6" s="1040" t="s">
        <v>2801</v>
      </c>
      <c r="B6" s="1041">
        <v>1873800</v>
      </c>
    </row>
    <row r="7" spans="1:3">
      <c r="A7" s="1040" t="s">
        <v>2802</v>
      </c>
      <c r="B7" s="1041">
        <v>14003500</v>
      </c>
    </row>
    <row r="8" spans="1:3">
      <c r="A8" s="1040" t="s">
        <v>2803</v>
      </c>
      <c r="B8" s="1041">
        <v>10675000</v>
      </c>
    </row>
    <row r="9" spans="1:3">
      <c r="A9" s="1040" t="s">
        <v>2804</v>
      </c>
      <c r="B9" s="1041">
        <v>7072100</v>
      </c>
    </row>
    <row r="10" spans="1:3">
      <c r="A10" s="1040" t="s">
        <v>1854</v>
      </c>
      <c r="B10" s="1042">
        <f>SUM(B3:B9)</f>
        <v>47092800</v>
      </c>
    </row>
    <row r="11" spans="1:3">
      <c r="A11" s="1040"/>
      <c r="B11" s="1042"/>
    </row>
    <row r="12" spans="1:3">
      <c r="A12" s="1040"/>
      <c r="B12" s="1042"/>
    </row>
    <row r="13" spans="1:3">
      <c r="A13" s="1039" t="s">
        <v>2805</v>
      </c>
      <c r="B13" s="1043">
        <f>B10/13</f>
        <v>3622523.076923077</v>
      </c>
    </row>
    <row r="14" spans="1:3">
      <c r="B14" s="1044">
        <v>3622523</v>
      </c>
      <c r="C14" s="104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1632D-1C5D-4916-82F1-19708711470D}">
  <dimension ref="A2:J35"/>
  <sheetViews>
    <sheetView workbookViewId="0">
      <selection activeCell="D35" sqref="D35"/>
    </sheetView>
  </sheetViews>
  <sheetFormatPr defaultColWidth="8.7109375" defaultRowHeight="12"/>
  <cols>
    <col min="1" max="1" width="8.7109375" style="992"/>
    <col min="2" max="2" width="50.28515625" style="992" customWidth="1"/>
    <col min="3" max="3" width="14.28515625" style="992" bestFit="1" customWidth="1"/>
    <col min="4" max="4" width="9.7109375" style="992" bestFit="1" customWidth="1"/>
    <col min="5" max="5" width="11.5703125" style="992" customWidth="1"/>
    <col min="6" max="6" width="8.7109375" style="992"/>
    <col min="7" max="7" width="16.28515625" style="992" customWidth="1"/>
    <col min="8" max="8" width="42.5703125" style="992" customWidth="1"/>
    <col min="9" max="9" width="13" style="992" customWidth="1"/>
    <col min="10" max="10" width="14.7109375" style="992" customWidth="1"/>
    <col min="11" max="16384" width="8.7109375" style="992"/>
  </cols>
  <sheetData>
    <row r="2" spans="1:10" ht="12.75" thickBot="1">
      <c r="A2" s="362"/>
      <c r="B2" s="362"/>
      <c r="C2" s="362"/>
      <c r="D2" s="362"/>
      <c r="E2" s="362"/>
      <c r="F2" s="362"/>
      <c r="G2" s="362"/>
      <c r="H2" s="991"/>
    </row>
    <row r="3" spans="1:10" ht="12.75" thickBot="1">
      <c r="A3" s="993"/>
      <c r="B3" s="994" t="str">
        <f>[7]Translations!$A$557</f>
        <v>Implementer Name</v>
      </c>
      <c r="C3" s="1261"/>
      <c r="D3" s="1261"/>
      <c r="E3" s="1261"/>
      <c r="F3" s="1262"/>
      <c r="G3" s="1262"/>
      <c r="H3" s="1263"/>
    </row>
    <row r="4" spans="1:10" ht="12.75" thickBot="1">
      <c r="A4" s="993"/>
      <c r="B4" s="995"/>
      <c r="C4" s="996"/>
      <c r="D4" s="996"/>
      <c r="E4" s="996"/>
      <c r="F4" s="996"/>
      <c r="G4" s="996"/>
      <c r="H4" s="997" t="s">
        <v>2770</v>
      </c>
    </row>
    <row r="5" spans="1:10" ht="12.75" thickBot="1">
      <c r="A5" s="362"/>
      <c r="B5" s="1264" t="s">
        <v>2746</v>
      </c>
      <c r="C5" s="1265"/>
      <c r="D5" s="1265"/>
      <c r="E5" s="1265"/>
      <c r="F5" s="1265"/>
      <c r="G5" s="1265"/>
      <c r="H5" s="1266"/>
    </row>
    <row r="6" spans="1:10" ht="12.75" thickBot="1">
      <c r="A6" s="362"/>
      <c r="B6" s="1000"/>
      <c r="C6" s="1001"/>
      <c r="D6" s="1002"/>
      <c r="E6" s="1001"/>
      <c r="F6" s="1001"/>
      <c r="G6" s="1001"/>
      <c r="H6" s="1003"/>
    </row>
    <row r="7" spans="1:10" ht="12.75" thickBot="1">
      <c r="A7" s="362"/>
      <c r="B7" s="1004" t="str">
        <f>[8]Translations!$A$637</f>
        <v>Budget line reference (Implementer Number.Budget Number)</v>
      </c>
      <c r="C7" s="1267">
        <v>145</v>
      </c>
      <c r="D7" s="1268"/>
      <c r="E7" s="1005" t="s">
        <v>2747</v>
      </c>
      <c r="F7" s="998"/>
      <c r="G7" s="998"/>
      <c r="H7" s="999"/>
    </row>
    <row r="8" spans="1:10" ht="12.75" thickBot="1">
      <c r="A8" s="362"/>
      <c r="B8" s="1006"/>
      <c r="C8" s="1001"/>
      <c r="D8" s="1001"/>
      <c r="E8" s="1001"/>
      <c r="F8" s="1001"/>
      <c r="G8" s="1001"/>
      <c r="H8" s="1003"/>
    </row>
    <row r="9" spans="1:10" ht="48.75" thickBot="1">
      <c r="A9" s="362"/>
      <c r="B9" s="1007" t="str">
        <f>[8]Translations!$A$580</f>
        <v>Description</v>
      </c>
      <c r="C9" s="1008" t="s">
        <v>143</v>
      </c>
      <c r="D9" s="1008" t="s">
        <v>2748</v>
      </c>
      <c r="E9" s="1009" t="str">
        <f>[8]Translations!$A$577</f>
        <v>Unit cost</v>
      </c>
      <c r="F9" s="1008" t="str">
        <f>[8]Translations!$A$584</f>
        <v>Payment Currency</v>
      </c>
      <c r="G9" s="1009" t="str">
        <f>[8]Translations!$A$585</f>
        <v>Total in Payment Currency</v>
      </c>
      <c r="H9" s="1010" t="str">
        <f>[8]Translations!$A$573</f>
        <v>Comments</v>
      </c>
      <c r="I9" s="992">
        <v>4749</v>
      </c>
      <c r="J9" s="1011"/>
    </row>
    <row r="10" spans="1:10" ht="24">
      <c r="A10" s="362"/>
      <c r="B10" s="285" t="s">
        <v>2771</v>
      </c>
      <c r="C10" s="1012">
        <f>'[9]Distribution-Matrix-States'!D8</f>
        <v>4749</v>
      </c>
      <c r="D10" s="1012">
        <v>1</v>
      </c>
      <c r="E10" s="1012">
        <v>4500</v>
      </c>
      <c r="F10" s="1013" t="s">
        <v>141</v>
      </c>
      <c r="G10" s="1014">
        <f t="shared" ref="G10:G21" si="0">D10*E10*C10</f>
        <v>21370500</v>
      </c>
      <c r="H10" s="1015" t="s">
        <v>2772</v>
      </c>
      <c r="I10" s="1016">
        <f>C10*3</f>
        <v>14247</v>
      </c>
      <c r="J10" s="1011">
        <f>C10/$I$9</f>
        <v>1</v>
      </c>
    </row>
    <row r="11" spans="1:10" ht="24">
      <c r="A11" s="362"/>
      <c r="B11" s="285" t="s">
        <v>2773</v>
      </c>
      <c r="C11" s="1012">
        <f>'[9]Distribution-Matrix-States'!E8</f>
        <v>9498</v>
      </c>
      <c r="D11" s="1012">
        <v>1</v>
      </c>
      <c r="E11" s="1012">
        <v>2500</v>
      </c>
      <c r="F11" s="1013" t="s">
        <v>141</v>
      </c>
      <c r="G11" s="1014">
        <f t="shared" si="0"/>
        <v>23745000</v>
      </c>
      <c r="H11" s="1015" t="s">
        <v>2774</v>
      </c>
      <c r="I11" s="1016">
        <f>C11/4770</f>
        <v>1.9911949685534591</v>
      </c>
      <c r="J11" s="1011">
        <f>C11/$I$9</f>
        <v>2</v>
      </c>
    </row>
    <row r="12" spans="1:10" ht="36">
      <c r="A12" s="362"/>
      <c r="B12" s="285" t="s">
        <v>2775</v>
      </c>
      <c r="C12" s="1012">
        <f>'[9]Distribution-Matrix-States'!F8</f>
        <v>29500</v>
      </c>
      <c r="D12" s="1012">
        <v>1</v>
      </c>
      <c r="E12" s="1012">
        <v>2500</v>
      </c>
      <c r="F12" s="1013" t="s">
        <v>141</v>
      </c>
      <c r="G12" s="1014">
        <f t="shared" si="0"/>
        <v>73750000</v>
      </c>
      <c r="H12" s="1015" t="s">
        <v>2776</v>
      </c>
      <c r="I12" s="1016">
        <f>I9*6</f>
        <v>28494</v>
      </c>
      <c r="J12" s="1011">
        <f>C12/$I$9</f>
        <v>6.2118340703305961</v>
      </c>
    </row>
    <row r="13" spans="1:10" ht="24">
      <c r="A13" s="362"/>
      <c r="B13" s="285" t="s">
        <v>2777</v>
      </c>
      <c r="C13" s="1012">
        <f>'[9]Distribution-Matrix-States'!G8</f>
        <v>29500</v>
      </c>
      <c r="D13" s="1012">
        <v>1</v>
      </c>
      <c r="E13" s="1012">
        <v>2500</v>
      </c>
      <c r="F13" s="1013" t="s">
        <v>141</v>
      </c>
      <c r="G13" s="1014">
        <f t="shared" si="0"/>
        <v>73750000</v>
      </c>
      <c r="H13" s="1015" t="s">
        <v>2778</v>
      </c>
      <c r="I13" s="1016">
        <f>I9*6</f>
        <v>28494</v>
      </c>
      <c r="J13" s="1011">
        <f>C13/$I$9</f>
        <v>6.2118340703305961</v>
      </c>
    </row>
    <row r="14" spans="1:10" ht="36">
      <c r="A14" s="362"/>
      <c r="B14" s="285" t="s">
        <v>2779</v>
      </c>
      <c r="C14" s="1012">
        <f>'[9]Distribution-Matrix-States'!H8</f>
        <v>47000</v>
      </c>
      <c r="D14" s="1012">
        <v>1</v>
      </c>
      <c r="E14" s="1012">
        <v>2500</v>
      </c>
      <c r="F14" s="1013" t="s">
        <v>141</v>
      </c>
      <c r="G14" s="1014">
        <f t="shared" si="0"/>
        <v>117500000</v>
      </c>
      <c r="H14" s="1015" t="s">
        <v>2780</v>
      </c>
      <c r="I14" s="1016">
        <f>I9*9</f>
        <v>42741</v>
      </c>
      <c r="J14" s="1011">
        <f t="shared" ref="J14:J21" si="1">C14/$I$9</f>
        <v>9.8968203832385768</v>
      </c>
    </row>
    <row r="15" spans="1:10" ht="36">
      <c r="A15" s="362"/>
      <c r="B15" s="285" t="s">
        <v>2781</v>
      </c>
      <c r="C15" s="1012">
        <f>'[9]Distribution-Matrix-States'!I8</f>
        <v>47000</v>
      </c>
      <c r="D15" s="1012">
        <v>1</v>
      </c>
      <c r="E15" s="1012">
        <v>2500</v>
      </c>
      <c r="F15" s="1013" t="s">
        <v>141</v>
      </c>
      <c r="G15" s="1014">
        <f t="shared" si="0"/>
        <v>117500000</v>
      </c>
      <c r="H15" s="1015" t="s">
        <v>2782</v>
      </c>
      <c r="I15" s="1016">
        <f>I9*9</f>
        <v>42741</v>
      </c>
      <c r="J15" s="1011">
        <f t="shared" si="1"/>
        <v>9.8968203832385768</v>
      </c>
    </row>
    <row r="16" spans="1:10" ht="29.25" customHeight="1">
      <c r="A16" s="362"/>
      <c r="B16" s="285" t="s">
        <v>2783</v>
      </c>
      <c r="C16" s="1012">
        <f>'[9]Distribution-Matrix-States'!J8</f>
        <v>9498</v>
      </c>
      <c r="D16" s="1012">
        <v>1</v>
      </c>
      <c r="E16" s="1012">
        <v>2500</v>
      </c>
      <c r="F16" s="1013" t="s">
        <v>141</v>
      </c>
      <c r="G16" s="1014">
        <f t="shared" si="0"/>
        <v>23745000</v>
      </c>
      <c r="H16" s="1015" t="s">
        <v>2784</v>
      </c>
      <c r="I16" s="1016">
        <f>I9*2</f>
        <v>9498</v>
      </c>
      <c r="J16" s="1011">
        <f t="shared" si="1"/>
        <v>2</v>
      </c>
    </row>
    <row r="17" spans="1:10" ht="36">
      <c r="A17" s="362"/>
      <c r="B17" s="285" t="s">
        <v>2785</v>
      </c>
      <c r="C17" s="1012">
        <f>'[9]Distribution-Matrix-States'!K8</f>
        <v>4380</v>
      </c>
      <c r="D17" s="1012">
        <v>1</v>
      </c>
      <c r="E17" s="1012">
        <v>2500</v>
      </c>
      <c r="F17" s="1013" t="s">
        <v>141</v>
      </c>
      <c r="G17" s="1014">
        <f t="shared" si="0"/>
        <v>10950000</v>
      </c>
      <c r="H17" s="1015" t="s">
        <v>2786</v>
      </c>
      <c r="I17" s="1016">
        <f>I9*8</f>
        <v>37992</v>
      </c>
      <c r="J17" s="1011">
        <f t="shared" si="1"/>
        <v>0.92229943145925453</v>
      </c>
    </row>
    <row r="18" spans="1:10" ht="36">
      <c r="A18" s="362"/>
      <c r="B18" s="285" t="s">
        <v>2787</v>
      </c>
      <c r="C18" s="1012">
        <f>'[9]Distribution-Matrix-States'!L8</f>
        <v>29500</v>
      </c>
      <c r="D18" s="1012">
        <v>1</v>
      </c>
      <c r="E18" s="1012">
        <v>2500</v>
      </c>
      <c r="F18" s="1013" t="s">
        <v>141</v>
      </c>
      <c r="G18" s="1014">
        <f t="shared" si="0"/>
        <v>73750000</v>
      </c>
      <c r="H18" s="1015" t="s">
        <v>2788</v>
      </c>
      <c r="I18" s="1016">
        <f>I9*6</f>
        <v>28494</v>
      </c>
      <c r="J18" s="1011">
        <f t="shared" si="1"/>
        <v>6.2118340703305961</v>
      </c>
    </row>
    <row r="19" spans="1:10" ht="36">
      <c r="A19" s="362"/>
      <c r="B19" s="285" t="s">
        <v>2789</v>
      </c>
      <c r="C19" s="1012">
        <f>'[9]Distribution-Matrix-States'!M8</f>
        <v>4199.6022608331587</v>
      </c>
      <c r="D19" s="1012">
        <v>1</v>
      </c>
      <c r="E19" s="1012">
        <v>2500</v>
      </c>
      <c r="F19" s="1013" t="s">
        <v>141</v>
      </c>
      <c r="G19" s="1014">
        <f t="shared" si="0"/>
        <v>10499005.652082896</v>
      </c>
      <c r="H19" s="1015" t="s">
        <v>2786</v>
      </c>
      <c r="I19" s="1016">
        <f>I9*2</f>
        <v>9498</v>
      </c>
      <c r="J19" s="1011">
        <f t="shared" si="1"/>
        <v>0.88431296290443429</v>
      </c>
    </row>
    <row r="20" spans="1:10" ht="36">
      <c r="A20" s="362"/>
      <c r="B20" s="285" t="s">
        <v>2790</v>
      </c>
      <c r="C20" s="1012">
        <f>'[9]Distribution-Matrix-States'!N8</f>
        <v>2699.6841440303224</v>
      </c>
      <c r="D20" s="1012">
        <v>1</v>
      </c>
      <c r="E20" s="1012">
        <v>2500</v>
      </c>
      <c r="F20" s="1013" t="s">
        <v>141</v>
      </c>
      <c r="G20" s="1014">
        <f t="shared" si="0"/>
        <v>6749210.3600758063</v>
      </c>
      <c r="H20" s="1015" t="s">
        <v>2786</v>
      </c>
      <c r="I20" s="1016">
        <f>I9*2</f>
        <v>9498</v>
      </c>
      <c r="J20" s="1011">
        <f t="shared" si="1"/>
        <v>0.5684742354243677</v>
      </c>
    </row>
    <row r="21" spans="1:10" ht="24">
      <c r="A21" s="362"/>
      <c r="B21" s="285" t="s">
        <v>2791</v>
      </c>
      <c r="C21" s="1012">
        <f>'[9]Distribution-Matrix-States'!O8</f>
        <v>9498</v>
      </c>
      <c r="D21" s="1012">
        <v>1</v>
      </c>
      <c r="E21" s="1012">
        <v>2500</v>
      </c>
      <c r="F21" s="1013" t="s">
        <v>141</v>
      </c>
      <c r="G21" s="1014">
        <f t="shared" si="0"/>
        <v>23745000</v>
      </c>
      <c r="H21" s="1015" t="s">
        <v>2772</v>
      </c>
      <c r="I21" s="1016">
        <f>I9*2</f>
        <v>9498</v>
      </c>
      <c r="J21" s="1011">
        <f t="shared" si="1"/>
        <v>2</v>
      </c>
    </row>
    <row r="22" spans="1:10" ht="12.75" thickBot="1">
      <c r="A22" s="362"/>
      <c r="B22" s="1017" t="s">
        <v>2768</v>
      </c>
      <c r="C22" s="1018"/>
      <c r="D22" s="1019"/>
      <c r="E22" s="1019"/>
      <c r="F22" s="1019"/>
      <c r="G22" s="1018">
        <f>SUM(G10:G21)</f>
        <v>577053716.01215875</v>
      </c>
      <c r="H22" s="1020">
        <f>IFERROR(G22/C22,0)</f>
        <v>0</v>
      </c>
    </row>
    <row r="23" spans="1:10">
      <c r="A23" s="362"/>
      <c r="B23" s="362"/>
      <c r="C23" s="362"/>
      <c r="D23" s="362"/>
      <c r="E23" s="362"/>
      <c r="F23" s="362"/>
      <c r="G23" s="362"/>
      <c r="H23" s="362"/>
    </row>
    <row r="24" spans="1:10">
      <c r="A24" s="362"/>
      <c r="B24" s="362"/>
      <c r="C24" s="362"/>
      <c r="D24" s="362"/>
      <c r="F24" s="1022"/>
      <c r="G24" s="1021">
        <f>G22/1000</f>
        <v>577053.71601215878</v>
      </c>
      <c r="H24" s="362" t="s">
        <v>2769</v>
      </c>
      <c r="J24" s="1025"/>
    </row>
    <row r="25" spans="1:10" ht="12.75" thickBot="1"/>
    <row r="26" spans="1:10" ht="15.75" thickBot="1">
      <c r="B26" s="1269" t="s">
        <v>2792</v>
      </c>
      <c r="C26" s="1270"/>
      <c r="D26" s="1270"/>
      <c r="E26" s="1271"/>
    </row>
    <row r="27" spans="1:10">
      <c r="B27" s="1029" t="s">
        <v>172</v>
      </c>
      <c r="C27" s="1030" t="s">
        <v>141</v>
      </c>
      <c r="D27" s="1030" t="s">
        <v>111</v>
      </c>
      <c r="E27" s="1031"/>
    </row>
    <row r="28" spans="1:10">
      <c r="B28" s="1032" t="s">
        <v>2793</v>
      </c>
      <c r="C28" s="1033">
        <f>G22</f>
        <v>577053716.01215875</v>
      </c>
      <c r="D28" s="1033">
        <f>G24</f>
        <v>577053.71601215878</v>
      </c>
      <c r="E28" s="1034"/>
    </row>
    <row r="29" spans="1:10">
      <c r="B29" s="1032" t="s">
        <v>2794</v>
      </c>
      <c r="C29" s="1033">
        <f>'[9]HMIS Printing 2023_Gomb &amp; Kwara'!G24</f>
        <v>164605000</v>
      </c>
      <c r="D29" s="1033">
        <f>'[9]HMIS Printing 2023_Gomb &amp; Kwara'!G26</f>
        <v>164605</v>
      </c>
      <c r="E29" s="1034"/>
      <c r="J29" s="992" t="s">
        <v>2795</v>
      </c>
    </row>
    <row r="30" spans="1:10" ht="12.75" thickBot="1">
      <c r="B30" s="1035" t="s">
        <v>1854</v>
      </c>
      <c r="C30" s="1036">
        <f>SUM(C28:C29)</f>
        <v>741658716.01215875</v>
      </c>
      <c r="D30" s="1036">
        <f>SUM(D28:D29)</f>
        <v>741658.71601215878</v>
      </c>
      <c r="E30" s="1037"/>
    </row>
    <row r="33" spans="2:8">
      <c r="B33" s="992" t="s">
        <v>2824</v>
      </c>
      <c r="D33" s="1011">
        <f>D30/6837</f>
        <v>108.47721456957127</v>
      </c>
      <c r="H33" s="1038"/>
    </row>
    <row r="34" spans="2:8">
      <c r="D34" s="1011">
        <f>D33*1600</f>
        <v>173563.54331131405</v>
      </c>
    </row>
    <row r="35" spans="2:8">
      <c r="D35" s="1058">
        <v>173564</v>
      </c>
    </row>
  </sheetData>
  <mergeCells count="5">
    <mergeCell ref="C3:E3"/>
    <mergeCell ref="F3:H3"/>
    <mergeCell ref="B5:H5"/>
    <mergeCell ref="C7:D7"/>
    <mergeCell ref="B26:E26"/>
  </mergeCells>
  <conditionalFormatting sqref="E3:F4">
    <cfRule type="expression" dxfId="7" priority="3">
      <formula>#REF!="Number of participants not matching"</formula>
    </cfRule>
    <cfRule type="expression" dxfId="6" priority="4">
      <formula>#REF!="OK"</formula>
    </cfRule>
  </conditionalFormatting>
  <conditionalFormatting sqref="F3:F4">
    <cfRule type="expression" dxfId="5" priority="1">
      <formula>#REF!="Number of days not matching"</formula>
    </cfRule>
    <cfRule type="expression" dxfId="4" priority="2">
      <formula>#REF!="OK"</formula>
    </cfRule>
  </conditionalFormatting>
  <dataValidations count="1">
    <dataValidation type="list" allowBlank="1" showInputMessage="1" showErrorMessage="1" sqref="F10:F21" xr:uid="{454763DB-9737-4015-8469-B48C80A3D5AE}">
      <formula1>Currencies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D0806-9931-4809-A806-2A09BC0511B9}">
  <dimension ref="A2:L28"/>
  <sheetViews>
    <sheetView workbookViewId="0">
      <selection activeCell="H11" sqref="H11"/>
    </sheetView>
  </sheetViews>
  <sheetFormatPr defaultColWidth="8.7109375" defaultRowHeight="12"/>
  <cols>
    <col min="1" max="1" width="8.7109375" style="992"/>
    <col min="2" max="2" width="50.28515625" style="992" customWidth="1"/>
    <col min="3" max="3" width="14.28515625" style="992" bestFit="1" customWidth="1"/>
    <col min="4" max="4" width="9.7109375" style="992" bestFit="1" customWidth="1"/>
    <col min="5" max="5" width="18.140625" style="992" customWidth="1"/>
    <col min="6" max="6" width="8.7109375" style="992"/>
    <col min="7" max="7" width="16.28515625" style="992" customWidth="1"/>
    <col min="8" max="8" width="42.5703125" style="992" customWidth="1"/>
    <col min="9" max="9" width="13" style="992" customWidth="1"/>
    <col min="10" max="10" width="14.7109375" style="992" customWidth="1"/>
    <col min="11" max="11" width="11.28515625" style="992" customWidth="1"/>
    <col min="12" max="16384" width="8.7109375" style="992"/>
  </cols>
  <sheetData>
    <row r="2" spans="1:12" ht="12.75" thickBot="1">
      <c r="A2" s="362"/>
      <c r="B2" s="362"/>
      <c r="C2" s="362"/>
      <c r="D2" s="362"/>
      <c r="E2" s="362"/>
      <c r="F2" s="362"/>
      <c r="G2" s="362"/>
      <c r="H2" s="991"/>
    </row>
    <row r="3" spans="1:12" ht="12.75" thickBot="1">
      <c r="A3" s="993"/>
      <c r="B3" s="994" t="str">
        <f>[7]Translations!$A$557</f>
        <v>Implementer Name</v>
      </c>
      <c r="C3" s="1261"/>
      <c r="D3" s="1261"/>
      <c r="E3" s="1261"/>
      <c r="F3" s="1262"/>
      <c r="G3" s="1262"/>
      <c r="H3" s="1263"/>
    </row>
    <row r="4" spans="1:12" ht="12.75" thickBot="1">
      <c r="A4" s="993"/>
      <c r="B4" s="995"/>
      <c r="C4" s="996"/>
      <c r="D4" s="996"/>
      <c r="E4" s="996"/>
      <c r="F4" s="996"/>
      <c r="G4" s="996"/>
      <c r="H4" s="997" t="s">
        <v>2745</v>
      </c>
    </row>
    <row r="5" spans="1:12" ht="12.75" thickBot="1">
      <c r="A5" s="362"/>
      <c r="B5" s="1264" t="s">
        <v>2746</v>
      </c>
      <c r="C5" s="1265"/>
      <c r="D5" s="1265"/>
      <c r="E5" s="1265"/>
      <c r="F5" s="1265"/>
      <c r="G5" s="1265"/>
      <c r="H5" s="1266"/>
    </row>
    <row r="6" spans="1:12" ht="12.75" thickBot="1">
      <c r="A6" s="362"/>
      <c r="B6" s="1000"/>
      <c r="C6" s="1001"/>
      <c r="D6" s="1002"/>
      <c r="E6" s="1001"/>
      <c r="F6" s="1001"/>
      <c r="G6" s="1001"/>
      <c r="H6" s="1003"/>
    </row>
    <row r="7" spans="1:12" ht="12.75" thickBot="1">
      <c r="A7" s="362"/>
      <c r="B7" s="1004" t="str">
        <f>[8]Translations!$A$637</f>
        <v>Budget line reference (Implementer Number.Budget Number)</v>
      </c>
      <c r="C7" s="1267"/>
      <c r="D7" s="1268"/>
      <c r="E7" s="1005" t="s">
        <v>2747</v>
      </c>
      <c r="F7" s="998"/>
      <c r="G7" s="998"/>
      <c r="H7" s="999"/>
    </row>
    <row r="8" spans="1:12" ht="12.75" thickBot="1">
      <c r="A8" s="362"/>
      <c r="B8" s="1006"/>
      <c r="C8" s="1001"/>
      <c r="D8" s="1001"/>
      <c r="E8" s="1001"/>
      <c r="F8" s="1001"/>
      <c r="G8" s="1001"/>
      <c r="H8" s="1003"/>
    </row>
    <row r="9" spans="1:12" ht="48.75" thickBot="1">
      <c r="A9" s="362"/>
      <c r="B9" s="1007" t="str">
        <f>[8]Translations!$A$580</f>
        <v>Description</v>
      </c>
      <c r="C9" s="1008" t="s">
        <v>143</v>
      </c>
      <c r="D9" s="1008" t="s">
        <v>2748</v>
      </c>
      <c r="E9" s="1009" t="str">
        <f>[8]Translations!$A$577</f>
        <v>Unit cost</v>
      </c>
      <c r="F9" s="1008" t="str">
        <f>[8]Translations!$A$584</f>
        <v>Payment Currency</v>
      </c>
      <c r="G9" s="1009" t="str">
        <f>[8]Translations!$A$585</f>
        <v>Total in Payment Currency</v>
      </c>
      <c r="H9" s="1010" t="str">
        <f>[8]Translations!$A$573</f>
        <v>Comments</v>
      </c>
      <c r="J9" s="1011"/>
    </row>
    <row r="10" spans="1:12">
      <c r="A10" s="362"/>
      <c r="B10" s="285" t="s">
        <v>2749</v>
      </c>
      <c r="C10" s="1012">
        <v>1</v>
      </c>
      <c r="D10" s="1012">
        <v>1</v>
      </c>
      <c r="E10" s="1012">
        <v>2730000</v>
      </c>
      <c r="F10" s="1013" t="s">
        <v>141</v>
      </c>
      <c r="G10" s="1014">
        <f t="shared" ref="G10:G21" si="0">D10*E10*C10</f>
        <v>2730000</v>
      </c>
      <c r="H10" s="1015" t="s">
        <v>2750</v>
      </c>
      <c r="I10" s="1016">
        <v>21</v>
      </c>
      <c r="J10" s="1011">
        <v>200000</v>
      </c>
      <c r="K10" s="1011">
        <f>I10*J10</f>
        <v>4200000</v>
      </c>
      <c r="L10" s="992">
        <v>2500000</v>
      </c>
    </row>
    <row r="11" spans="1:12">
      <c r="A11" s="362"/>
      <c r="B11" s="285" t="s">
        <v>2751</v>
      </c>
      <c r="C11" s="1012">
        <v>1</v>
      </c>
      <c r="D11" s="1012">
        <v>1</v>
      </c>
      <c r="E11" s="1012">
        <v>3250000</v>
      </c>
      <c r="F11" s="1013" t="s">
        <v>141</v>
      </c>
      <c r="G11" s="1014">
        <f t="shared" si="0"/>
        <v>3250000</v>
      </c>
      <c r="H11" s="1015" t="s">
        <v>2752</v>
      </c>
      <c r="I11" s="1016">
        <v>25</v>
      </c>
      <c r="J11" s="1011">
        <v>250000</v>
      </c>
      <c r="K11" s="1011">
        <f t="shared" ref="K11:K17" si="1">I11*J11</f>
        <v>6250000</v>
      </c>
      <c r="L11" s="992">
        <v>3500000</v>
      </c>
    </row>
    <row r="12" spans="1:12">
      <c r="A12" s="362"/>
      <c r="B12" s="285" t="s">
        <v>2753</v>
      </c>
      <c r="C12" s="1012">
        <v>1</v>
      </c>
      <c r="D12" s="1012">
        <v>1</v>
      </c>
      <c r="E12" s="1012">
        <v>2080000</v>
      </c>
      <c r="F12" s="1013" t="s">
        <v>141</v>
      </c>
      <c r="G12" s="1014">
        <f t="shared" si="0"/>
        <v>2080000</v>
      </c>
      <c r="H12" s="1015" t="s">
        <v>2754</v>
      </c>
      <c r="I12" s="1016">
        <v>16</v>
      </c>
      <c r="J12" s="1011">
        <v>200000</v>
      </c>
      <c r="K12" s="1011">
        <f t="shared" si="1"/>
        <v>3200000</v>
      </c>
      <c r="L12" s="992">
        <v>2500000</v>
      </c>
    </row>
    <row r="13" spans="1:12">
      <c r="A13" s="362"/>
      <c r="B13" s="285" t="s">
        <v>2755</v>
      </c>
      <c r="C13" s="1012">
        <v>1</v>
      </c>
      <c r="D13" s="1012">
        <v>1</v>
      </c>
      <c r="E13" s="1012">
        <v>4420000</v>
      </c>
      <c r="F13" s="1013" t="s">
        <v>141</v>
      </c>
      <c r="G13" s="1014">
        <f t="shared" si="0"/>
        <v>4420000</v>
      </c>
      <c r="H13" s="1015" t="s">
        <v>2756</v>
      </c>
      <c r="I13" s="1016">
        <v>34</v>
      </c>
      <c r="J13" s="1011">
        <v>200000</v>
      </c>
      <c r="K13" s="1011">
        <f t="shared" si="1"/>
        <v>6800000</v>
      </c>
      <c r="L13" s="992">
        <v>3500000</v>
      </c>
    </row>
    <row r="14" spans="1:12">
      <c r="A14" s="362"/>
      <c r="B14" s="285" t="s">
        <v>2757</v>
      </c>
      <c r="C14" s="1012">
        <v>1</v>
      </c>
      <c r="D14" s="1012">
        <v>1</v>
      </c>
      <c r="E14" s="1012">
        <v>2430000</v>
      </c>
      <c r="F14" s="1013" t="s">
        <v>141</v>
      </c>
      <c r="G14" s="1014">
        <f t="shared" si="0"/>
        <v>2430000</v>
      </c>
      <c r="H14" s="1015" t="s">
        <v>2758</v>
      </c>
      <c r="I14" s="1016">
        <v>11</v>
      </c>
      <c r="J14" s="1011">
        <v>200000</v>
      </c>
      <c r="K14" s="1011">
        <f t="shared" si="1"/>
        <v>2200000</v>
      </c>
      <c r="L14" s="992">
        <v>2500000</v>
      </c>
    </row>
    <row r="15" spans="1:12">
      <c r="A15" s="362"/>
      <c r="B15" s="285" t="s">
        <v>2759</v>
      </c>
      <c r="C15" s="1012">
        <v>1</v>
      </c>
      <c r="D15" s="1012">
        <v>1</v>
      </c>
      <c r="E15" s="1012">
        <v>2600000</v>
      </c>
      <c r="F15" s="1013" t="s">
        <v>141</v>
      </c>
      <c r="G15" s="1014">
        <f t="shared" si="0"/>
        <v>2600000</v>
      </c>
      <c r="H15" s="1015" t="s">
        <v>2760</v>
      </c>
      <c r="I15" s="1016">
        <v>20</v>
      </c>
      <c r="J15" s="1011">
        <v>200000</v>
      </c>
      <c r="K15" s="1011">
        <f t="shared" si="1"/>
        <v>4000000</v>
      </c>
      <c r="L15" s="992">
        <v>2500000</v>
      </c>
    </row>
    <row r="16" spans="1:12" ht="14.25" customHeight="1">
      <c r="A16" s="362"/>
      <c r="B16" s="285" t="s">
        <v>2761</v>
      </c>
      <c r="C16" s="1012">
        <v>1</v>
      </c>
      <c r="D16" s="1012">
        <v>1</v>
      </c>
      <c r="E16" s="1012">
        <v>3900000</v>
      </c>
      <c r="F16" s="1013" t="s">
        <v>141</v>
      </c>
      <c r="G16" s="1014">
        <f t="shared" si="0"/>
        <v>3900000</v>
      </c>
      <c r="H16" s="1015" t="s">
        <v>2762</v>
      </c>
      <c r="I16" s="1016">
        <v>30</v>
      </c>
      <c r="J16" s="1011">
        <v>170000</v>
      </c>
      <c r="K16" s="1011">
        <f t="shared" si="1"/>
        <v>5100000</v>
      </c>
      <c r="L16" s="992">
        <v>2500000</v>
      </c>
    </row>
    <row r="17" spans="1:12">
      <c r="A17" s="362"/>
      <c r="B17" s="285" t="s">
        <v>2763</v>
      </c>
      <c r="C17" s="1012">
        <v>1</v>
      </c>
      <c r="D17" s="1012">
        <v>1</v>
      </c>
      <c r="E17" s="1012">
        <v>2080000</v>
      </c>
      <c r="F17" s="1013" t="s">
        <v>141</v>
      </c>
      <c r="G17" s="1014">
        <f t="shared" si="0"/>
        <v>2080000</v>
      </c>
      <c r="H17" s="1015" t="s">
        <v>2754</v>
      </c>
      <c r="I17" s="1016">
        <v>16</v>
      </c>
      <c r="J17" s="1011">
        <v>200000</v>
      </c>
      <c r="K17" s="1011">
        <f t="shared" si="1"/>
        <v>3200000</v>
      </c>
      <c r="L17" s="992">
        <v>2500000</v>
      </c>
    </row>
    <row r="18" spans="1:12">
      <c r="A18" s="362"/>
      <c r="B18" s="285" t="s">
        <v>2764</v>
      </c>
      <c r="C18" s="1012">
        <v>1</v>
      </c>
      <c r="D18" s="1012">
        <v>1</v>
      </c>
      <c r="E18" s="1012">
        <v>800000</v>
      </c>
      <c r="F18" s="1013" t="s">
        <v>141</v>
      </c>
      <c r="G18" s="1014">
        <f t="shared" si="0"/>
        <v>800000</v>
      </c>
      <c r="H18" s="1015" t="s">
        <v>2765</v>
      </c>
      <c r="I18" s="1011">
        <f>SUM(I10:I17)</f>
        <v>173</v>
      </c>
      <c r="J18" s="1011"/>
      <c r="K18" s="1011">
        <f>SUM(K10:K17)</f>
        <v>34950000</v>
      </c>
      <c r="L18" s="992">
        <v>700000</v>
      </c>
    </row>
    <row r="19" spans="1:12">
      <c r="A19" s="362"/>
      <c r="B19" s="285" t="s">
        <v>2766</v>
      </c>
      <c r="C19" s="1012">
        <v>1</v>
      </c>
      <c r="D19" s="1012">
        <v>1</v>
      </c>
      <c r="E19" s="1012">
        <v>34950000</v>
      </c>
      <c r="F19" s="1013" t="s">
        <v>141</v>
      </c>
      <c r="G19" s="1014">
        <f t="shared" si="0"/>
        <v>34950000</v>
      </c>
      <c r="H19" s="1015" t="s">
        <v>2767</v>
      </c>
      <c r="I19" s="1016"/>
      <c r="J19" s="1011"/>
    </row>
    <row r="20" spans="1:12">
      <c r="A20" s="362"/>
      <c r="B20" s="285"/>
      <c r="C20" s="1012"/>
      <c r="D20" s="1012"/>
      <c r="E20" s="1012"/>
      <c r="F20" s="1013" t="s">
        <v>141</v>
      </c>
      <c r="G20" s="1014">
        <f t="shared" si="0"/>
        <v>0</v>
      </c>
      <c r="H20" s="1015"/>
      <c r="I20" s="1016"/>
      <c r="J20" s="1011"/>
    </row>
    <row r="21" spans="1:12">
      <c r="A21" s="362"/>
      <c r="B21" s="285"/>
      <c r="C21" s="1012"/>
      <c r="D21" s="1012"/>
      <c r="E21" s="1012"/>
      <c r="F21" s="1013" t="s">
        <v>141</v>
      </c>
      <c r="G21" s="1014">
        <f t="shared" si="0"/>
        <v>0</v>
      </c>
      <c r="H21" s="1015"/>
      <c r="I21" s="1016"/>
      <c r="J21" s="1011"/>
    </row>
    <row r="22" spans="1:12" ht="12.75" thickBot="1">
      <c r="A22" s="362"/>
      <c r="B22" s="1017" t="s">
        <v>2768</v>
      </c>
      <c r="C22" s="1018"/>
      <c r="D22" s="1019"/>
      <c r="E22" s="1019"/>
      <c r="F22" s="1019"/>
      <c r="G22" s="1018">
        <f>SUM(G10:G21)</f>
        <v>59240000</v>
      </c>
      <c r="H22" s="1020">
        <f>IFERROR(G22/C22,0)</f>
        <v>0</v>
      </c>
    </row>
    <row r="23" spans="1:12">
      <c r="A23" s="362"/>
      <c r="B23" s="362"/>
      <c r="C23" s="362"/>
      <c r="D23" s="362"/>
      <c r="E23" s="362"/>
      <c r="F23" s="362"/>
      <c r="G23" s="362"/>
      <c r="H23" s="362"/>
    </row>
    <row r="24" spans="1:12">
      <c r="A24" s="362"/>
      <c r="B24" s="362"/>
      <c r="C24" s="362"/>
      <c r="D24" s="362"/>
      <c r="E24" s="362"/>
      <c r="F24" s="362"/>
      <c r="G24" s="1021">
        <f>G22/1000</f>
        <v>59240</v>
      </c>
      <c r="H24" s="362" t="s">
        <v>2769</v>
      </c>
    </row>
    <row r="25" spans="1:12">
      <c r="A25" s="362"/>
      <c r="B25" s="362"/>
      <c r="C25" s="362"/>
      <c r="D25" s="362"/>
      <c r="E25" s="362" t="s">
        <v>2631</v>
      </c>
      <c r="F25" s="362"/>
      <c r="G25" s="288">
        <f>G24/178</f>
        <v>332.80898876404495</v>
      </c>
      <c r="H25" s="362" t="s">
        <v>2769</v>
      </c>
    </row>
    <row r="26" spans="1:12">
      <c r="A26" s="362"/>
      <c r="B26" s="362"/>
      <c r="C26" s="362"/>
      <c r="D26" s="362"/>
      <c r="E26" s="362" t="s">
        <v>2631</v>
      </c>
      <c r="F26" s="1022"/>
      <c r="G26" s="1023">
        <f>G25*1600</f>
        <v>532494.38202247198</v>
      </c>
      <c r="H26" s="1024"/>
      <c r="J26" s="1025"/>
    </row>
    <row r="27" spans="1:12">
      <c r="G27" s="1026">
        <v>532494</v>
      </c>
    </row>
    <row r="28" spans="1:12">
      <c r="G28" s="1027"/>
      <c r="H28" s="1028"/>
    </row>
  </sheetData>
  <mergeCells count="4">
    <mergeCell ref="C3:E3"/>
    <mergeCell ref="F3:H3"/>
    <mergeCell ref="B5:H5"/>
    <mergeCell ref="C7:D7"/>
  </mergeCells>
  <conditionalFormatting sqref="E3:F4">
    <cfRule type="expression" dxfId="3" priority="3">
      <formula>#REF!="Number of participants not matching"</formula>
    </cfRule>
    <cfRule type="expression" dxfId="2" priority="4">
      <formula>#REF!="OK"</formula>
    </cfRule>
  </conditionalFormatting>
  <conditionalFormatting sqref="F3:F4">
    <cfRule type="expression" dxfId="1" priority="1">
      <formula>#REF!="Number of days not matching"</formula>
    </cfRule>
    <cfRule type="expression" dxfId="0" priority="2">
      <formula>#REF!="OK"</formula>
    </cfRule>
  </conditionalFormatting>
  <dataValidations count="1">
    <dataValidation type="list" allowBlank="1" showInputMessage="1" showErrorMessage="1" sqref="F10:F21" xr:uid="{E5C634A1-D965-439D-8993-4DD22FA23709}">
      <formula1>Currencies</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66211-0ED7-47E1-A470-2895FA3A2A58}">
  <dimension ref="A1:XEX58"/>
  <sheetViews>
    <sheetView topLeftCell="I13" zoomScale="78" zoomScaleNormal="80" workbookViewId="0">
      <selection activeCell="S21" sqref="S21"/>
    </sheetView>
  </sheetViews>
  <sheetFormatPr defaultColWidth="9" defaultRowHeight="15"/>
  <cols>
    <col min="1" max="1" width="4" style="893" customWidth="1"/>
    <col min="2" max="2" width="11.140625" style="893" customWidth="1"/>
    <col min="3" max="3" width="62.42578125" style="893" customWidth="1"/>
    <col min="4" max="8" width="10.7109375" style="893" customWidth="1"/>
    <col min="9" max="9" width="30.85546875" style="893" customWidth="1"/>
    <col min="10" max="10" width="24.140625" style="893" customWidth="1"/>
    <col min="11" max="11" width="13.28515625" style="893" customWidth="1"/>
    <col min="12" max="12" width="21.28515625" style="893" customWidth="1"/>
    <col min="13" max="14" width="14.28515625" style="893" customWidth="1"/>
    <col min="15" max="15" width="16.7109375" style="893" customWidth="1"/>
    <col min="16" max="16" width="23" style="893" customWidth="1"/>
    <col min="17" max="17" width="16.140625" style="893" customWidth="1"/>
    <col min="18" max="248" width="9" style="893"/>
    <col min="249" max="249" width="4" style="893" customWidth="1"/>
    <col min="250" max="250" width="11.140625" style="893" customWidth="1"/>
    <col min="251" max="251" width="15" style="893" customWidth="1"/>
    <col min="252" max="254" width="8.85546875" style="893" customWidth="1"/>
    <col min="255" max="255" width="3.28515625" style="893" customWidth="1"/>
    <col min="256" max="256" width="12.7109375" style="893" customWidth="1"/>
    <col min="257" max="257" width="8.7109375" style="893" customWidth="1"/>
    <col min="258" max="259" width="10.7109375" style="893" customWidth="1"/>
    <col min="260" max="260" width="17.140625" style="893" customWidth="1"/>
    <col min="261" max="261" width="5.7109375" style="893" customWidth="1"/>
    <col min="262" max="262" width="15.5703125" style="893" customWidth="1"/>
    <col min="263" max="263" width="19" style="893" customWidth="1"/>
    <col min="264" max="264" width="18.5703125" style="893" customWidth="1"/>
    <col min="265" max="265" width="13.28515625" style="893" customWidth="1"/>
    <col min="266" max="266" width="11.7109375" style="893" customWidth="1"/>
    <col min="267" max="504" width="9" style="893"/>
    <col min="505" max="505" width="4" style="893" customWidth="1"/>
    <col min="506" max="506" width="11.140625" style="893" customWidth="1"/>
    <col min="507" max="507" width="15" style="893" customWidth="1"/>
    <col min="508" max="510" width="8.85546875" style="893" customWidth="1"/>
    <col min="511" max="511" width="3.28515625" style="893" customWidth="1"/>
    <col min="512" max="512" width="12.7109375" style="893" customWidth="1"/>
    <col min="513" max="513" width="8.7109375" style="893" customWidth="1"/>
    <col min="514" max="515" width="10.7109375" style="893" customWidth="1"/>
    <col min="516" max="516" width="17.140625" style="893" customWidth="1"/>
    <col min="517" max="517" width="5.7109375" style="893" customWidth="1"/>
    <col min="518" max="518" width="15.5703125" style="893" customWidth="1"/>
    <col min="519" max="519" width="19" style="893" customWidth="1"/>
    <col min="520" max="520" width="18.5703125" style="893" customWidth="1"/>
    <col min="521" max="521" width="13.28515625" style="893" customWidth="1"/>
    <col min="522" max="522" width="11.7109375" style="893" customWidth="1"/>
    <col min="523" max="760" width="9" style="893"/>
    <col min="761" max="761" width="4" style="893" customWidth="1"/>
    <col min="762" max="762" width="11.140625" style="893" customWidth="1"/>
    <col min="763" max="763" width="15" style="893" customWidth="1"/>
    <col min="764" max="766" width="8.85546875" style="893" customWidth="1"/>
    <col min="767" max="767" width="3.28515625" style="893" customWidth="1"/>
    <col min="768" max="768" width="12.7109375" style="893" customWidth="1"/>
    <col min="769" max="769" width="8.7109375" style="893" customWidth="1"/>
    <col min="770" max="771" width="10.7109375" style="893" customWidth="1"/>
    <col min="772" max="772" width="17.140625" style="893" customWidth="1"/>
    <col min="773" max="773" width="5.7109375" style="893" customWidth="1"/>
    <col min="774" max="774" width="15.5703125" style="893" customWidth="1"/>
    <col min="775" max="775" width="19" style="893" customWidth="1"/>
    <col min="776" max="776" width="18.5703125" style="893" customWidth="1"/>
    <col min="777" max="777" width="13.28515625" style="893" customWidth="1"/>
    <col min="778" max="778" width="11.7109375" style="893" customWidth="1"/>
    <col min="779" max="1016" width="9" style="893"/>
    <col min="1017" max="1017" width="4" style="893" customWidth="1"/>
    <col min="1018" max="1018" width="11.140625" style="893" customWidth="1"/>
    <col min="1019" max="1019" width="15" style="893" customWidth="1"/>
    <col min="1020" max="1022" width="8.85546875" style="893" customWidth="1"/>
    <col min="1023" max="1023" width="3.28515625" style="893" customWidth="1"/>
    <col min="1024" max="1024" width="12.7109375" style="893" customWidth="1"/>
    <col min="1025" max="1025" width="8.7109375" style="893" customWidth="1"/>
    <col min="1026" max="1027" width="10.7109375" style="893" customWidth="1"/>
    <col min="1028" max="1028" width="17.140625" style="893" customWidth="1"/>
    <col min="1029" max="1029" width="5.7109375" style="893" customWidth="1"/>
    <col min="1030" max="1030" width="15.5703125" style="893" customWidth="1"/>
    <col min="1031" max="1031" width="19" style="893" customWidth="1"/>
    <col min="1032" max="1032" width="18.5703125" style="893" customWidth="1"/>
    <col min="1033" max="1033" width="13.28515625" style="893" customWidth="1"/>
    <col min="1034" max="1034" width="11.7109375" style="893" customWidth="1"/>
    <col min="1035" max="1272" width="9" style="893"/>
    <col min="1273" max="1273" width="4" style="893" customWidth="1"/>
    <col min="1274" max="1274" width="11.140625" style="893" customWidth="1"/>
    <col min="1275" max="1275" width="15" style="893" customWidth="1"/>
    <col min="1276" max="1278" width="8.85546875" style="893" customWidth="1"/>
    <col min="1279" max="1279" width="3.28515625" style="893" customWidth="1"/>
    <col min="1280" max="1280" width="12.7109375" style="893" customWidth="1"/>
    <col min="1281" max="1281" width="8.7109375" style="893" customWidth="1"/>
    <col min="1282" max="1283" width="10.7109375" style="893" customWidth="1"/>
    <col min="1284" max="1284" width="17.140625" style="893" customWidth="1"/>
    <col min="1285" max="1285" width="5.7109375" style="893" customWidth="1"/>
    <col min="1286" max="1286" width="15.5703125" style="893" customWidth="1"/>
    <col min="1287" max="1287" width="19" style="893" customWidth="1"/>
    <col min="1288" max="1288" width="18.5703125" style="893" customWidth="1"/>
    <col min="1289" max="1289" width="13.28515625" style="893" customWidth="1"/>
    <col min="1290" max="1290" width="11.7109375" style="893" customWidth="1"/>
    <col min="1291" max="1528" width="9" style="893"/>
    <col min="1529" max="1529" width="4" style="893" customWidth="1"/>
    <col min="1530" max="1530" width="11.140625" style="893" customWidth="1"/>
    <col min="1531" max="1531" width="15" style="893" customWidth="1"/>
    <col min="1532" max="1534" width="8.85546875" style="893" customWidth="1"/>
    <col min="1535" max="1535" width="3.28515625" style="893" customWidth="1"/>
    <col min="1536" max="1536" width="12.7109375" style="893" customWidth="1"/>
    <col min="1537" max="1537" width="8.7109375" style="893" customWidth="1"/>
    <col min="1538" max="1539" width="10.7109375" style="893" customWidth="1"/>
    <col min="1540" max="1540" width="17.140625" style="893" customWidth="1"/>
    <col min="1541" max="1541" width="5.7109375" style="893" customWidth="1"/>
    <col min="1542" max="1542" width="15.5703125" style="893" customWidth="1"/>
    <col min="1543" max="1543" width="19" style="893" customWidth="1"/>
    <col min="1544" max="1544" width="18.5703125" style="893" customWidth="1"/>
    <col min="1545" max="1545" width="13.28515625" style="893" customWidth="1"/>
    <col min="1546" max="1546" width="11.7109375" style="893" customWidth="1"/>
    <col min="1547" max="1784" width="9" style="893"/>
    <col min="1785" max="1785" width="4" style="893" customWidth="1"/>
    <col min="1786" max="1786" width="11.140625" style="893" customWidth="1"/>
    <col min="1787" max="1787" width="15" style="893" customWidth="1"/>
    <col min="1788" max="1790" width="8.85546875" style="893" customWidth="1"/>
    <col min="1791" max="1791" width="3.28515625" style="893" customWidth="1"/>
    <col min="1792" max="1792" width="12.7109375" style="893" customWidth="1"/>
    <col min="1793" max="1793" width="8.7109375" style="893" customWidth="1"/>
    <col min="1794" max="1795" width="10.7109375" style="893" customWidth="1"/>
    <col min="1796" max="1796" width="17.140625" style="893" customWidth="1"/>
    <col min="1797" max="1797" width="5.7109375" style="893" customWidth="1"/>
    <col min="1798" max="1798" width="15.5703125" style="893" customWidth="1"/>
    <col min="1799" max="1799" width="19" style="893" customWidth="1"/>
    <col min="1800" max="1800" width="18.5703125" style="893" customWidth="1"/>
    <col min="1801" max="1801" width="13.28515625" style="893" customWidth="1"/>
    <col min="1802" max="1802" width="11.7109375" style="893" customWidth="1"/>
    <col min="1803" max="2040" width="9" style="893"/>
    <col min="2041" max="2041" width="4" style="893" customWidth="1"/>
    <col min="2042" max="2042" width="11.140625" style="893" customWidth="1"/>
    <col min="2043" max="2043" width="15" style="893" customWidth="1"/>
    <col min="2044" max="2046" width="8.85546875" style="893" customWidth="1"/>
    <col min="2047" max="2047" width="3.28515625" style="893" customWidth="1"/>
    <col min="2048" max="2048" width="12.7109375" style="893" customWidth="1"/>
    <col min="2049" max="2049" width="8.7109375" style="893" customWidth="1"/>
    <col min="2050" max="2051" width="10.7109375" style="893" customWidth="1"/>
    <col min="2052" max="2052" width="17.140625" style="893" customWidth="1"/>
    <col min="2053" max="2053" width="5.7109375" style="893" customWidth="1"/>
    <col min="2054" max="2054" width="15.5703125" style="893" customWidth="1"/>
    <col min="2055" max="2055" width="19" style="893" customWidth="1"/>
    <col min="2056" max="2056" width="18.5703125" style="893" customWidth="1"/>
    <col min="2057" max="2057" width="13.28515625" style="893" customWidth="1"/>
    <col min="2058" max="2058" width="11.7109375" style="893" customWidth="1"/>
    <col min="2059" max="2296" width="9" style="893"/>
    <col min="2297" max="2297" width="4" style="893" customWidth="1"/>
    <col min="2298" max="2298" width="11.140625" style="893" customWidth="1"/>
    <col min="2299" max="2299" width="15" style="893" customWidth="1"/>
    <col min="2300" max="2302" width="8.85546875" style="893" customWidth="1"/>
    <col min="2303" max="2303" width="3.28515625" style="893" customWidth="1"/>
    <col min="2304" max="2304" width="12.7109375" style="893" customWidth="1"/>
    <col min="2305" max="2305" width="8.7109375" style="893" customWidth="1"/>
    <col min="2306" max="2307" width="10.7109375" style="893" customWidth="1"/>
    <col min="2308" max="2308" width="17.140625" style="893" customWidth="1"/>
    <col min="2309" max="2309" width="5.7109375" style="893" customWidth="1"/>
    <col min="2310" max="2310" width="15.5703125" style="893" customWidth="1"/>
    <col min="2311" max="2311" width="19" style="893" customWidth="1"/>
    <col min="2312" max="2312" width="18.5703125" style="893" customWidth="1"/>
    <col min="2313" max="2313" width="13.28515625" style="893" customWidth="1"/>
    <col min="2314" max="2314" width="11.7109375" style="893" customWidth="1"/>
    <col min="2315" max="2552" width="9" style="893"/>
    <col min="2553" max="2553" width="4" style="893" customWidth="1"/>
    <col min="2554" max="2554" width="11.140625" style="893" customWidth="1"/>
    <col min="2555" max="2555" width="15" style="893" customWidth="1"/>
    <col min="2556" max="2558" width="8.85546875" style="893" customWidth="1"/>
    <col min="2559" max="2559" width="3.28515625" style="893" customWidth="1"/>
    <col min="2560" max="2560" width="12.7109375" style="893" customWidth="1"/>
    <col min="2561" max="2561" width="8.7109375" style="893" customWidth="1"/>
    <col min="2562" max="2563" width="10.7109375" style="893" customWidth="1"/>
    <col min="2564" max="2564" width="17.140625" style="893" customWidth="1"/>
    <col min="2565" max="2565" width="5.7109375" style="893" customWidth="1"/>
    <col min="2566" max="2566" width="15.5703125" style="893" customWidth="1"/>
    <col min="2567" max="2567" width="19" style="893" customWidth="1"/>
    <col min="2568" max="2568" width="18.5703125" style="893" customWidth="1"/>
    <col min="2569" max="2569" width="13.28515625" style="893" customWidth="1"/>
    <col min="2570" max="2570" width="11.7109375" style="893" customWidth="1"/>
    <col min="2571" max="2808" width="9" style="893"/>
    <col min="2809" max="2809" width="4" style="893" customWidth="1"/>
    <col min="2810" max="2810" width="11.140625" style="893" customWidth="1"/>
    <col min="2811" max="2811" width="15" style="893" customWidth="1"/>
    <col min="2812" max="2814" width="8.85546875" style="893" customWidth="1"/>
    <col min="2815" max="2815" width="3.28515625" style="893" customWidth="1"/>
    <col min="2816" max="2816" width="12.7109375" style="893" customWidth="1"/>
    <col min="2817" max="2817" width="8.7109375" style="893" customWidth="1"/>
    <col min="2818" max="2819" width="10.7109375" style="893" customWidth="1"/>
    <col min="2820" max="2820" width="17.140625" style="893" customWidth="1"/>
    <col min="2821" max="2821" width="5.7109375" style="893" customWidth="1"/>
    <col min="2822" max="2822" width="15.5703125" style="893" customWidth="1"/>
    <col min="2823" max="2823" width="19" style="893" customWidth="1"/>
    <col min="2824" max="2824" width="18.5703125" style="893" customWidth="1"/>
    <col min="2825" max="2825" width="13.28515625" style="893" customWidth="1"/>
    <col min="2826" max="2826" width="11.7109375" style="893" customWidth="1"/>
    <col min="2827" max="3064" width="9" style="893"/>
    <col min="3065" max="3065" width="4" style="893" customWidth="1"/>
    <col min="3066" max="3066" width="11.140625" style="893" customWidth="1"/>
    <col min="3067" max="3067" width="15" style="893" customWidth="1"/>
    <col min="3068" max="3070" width="8.85546875" style="893" customWidth="1"/>
    <col min="3071" max="3071" width="3.28515625" style="893" customWidth="1"/>
    <col min="3072" max="3072" width="12.7109375" style="893" customWidth="1"/>
    <col min="3073" max="3073" width="8.7109375" style="893" customWidth="1"/>
    <col min="3074" max="3075" width="10.7109375" style="893" customWidth="1"/>
    <col min="3076" max="3076" width="17.140625" style="893" customWidth="1"/>
    <col min="3077" max="3077" width="5.7109375" style="893" customWidth="1"/>
    <col min="3078" max="3078" width="15.5703125" style="893" customWidth="1"/>
    <col min="3079" max="3079" width="19" style="893" customWidth="1"/>
    <col min="3080" max="3080" width="18.5703125" style="893" customWidth="1"/>
    <col min="3081" max="3081" width="13.28515625" style="893" customWidth="1"/>
    <col min="3082" max="3082" width="11.7109375" style="893" customWidth="1"/>
    <col min="3083" max="3320" width="9" style="893"/>
    <col min="3321" max="3321" width="4" style="893" customWidth="1"/>
    <col min="3322" max="3322" width="11.140625" style="893" customWidth="1"/>
    <col min="3323" max="3323" width="15" style="893" customWidth="1"/>
    <col min="3324" max="3326" width="8.85546875" style="893" customWidth="1"/>
    <col min="3327" max="3327" width="3.28515625" style="893" customWidth="1"/>
    <col min="3328" max="3328" width="12.7109375" style="893" customWidth="1"/>
    <col min="3329" max="3329" width="8.7109375" style="893" customWidth="1"/>
    <col min="3330" max="3331" width="10.7109375" style="893" customWidth="1"/>
    <col min="3332" max="3332" width="17.140625" style="893" customWidth="1"/>
    <col min="3333" max="3333" width="5.7109375" style="893" customWidth="1"/>
    <col min="3334" max="3334" width="15.5703125" style="893" customWidth="1"/>
    <col min="3335" max="3335" width="19" style="893" customWidth="1"/>
    <col min="3336" max="3336" width="18.5703125" style="893" customWidth="1"/>
    <col min="3337" max="3337" width="13.28515625" style="893" customWidth="1"/>
    <col min="3338" max="3338" width="11.7109375" style="893" customWidth="1"/>
    <col min="3339" max="3576" width="9" style="893"/>
    <col min="3577" max="3577" width="4" style="893" customWidth="1"/>
    <col min="3578" max="3578" width="11.140625" style="893" customWidth="1"/>
    <col min="3579" max="3579" width="15" style="893" customWidth="1"/>
    <col min="3580" max="3582" width="8.85546875" style="893" customWidth="1"/>
    <col min="3583" max="3583" width="3.28515625" style="893" customWidth="1"/>
    <col min="3584" max="3584" width="12.7109375" style="893" customWidth="1"/>
    <col min="3585" max="3585" width="8.7109375" style="893" customWidth="1"/>
    <col min="3586" max="3587" width="10.7109375" style="893" customWidth="1"/>
    <col min="3588" max="3588" width="17.140625" style="893" customWidth="1"/>
    <col min="3589" max="3589" width="5.7109375" style="893" customWidth="1"/>
    <col min="3590" max="3590" width="15.5703125" style="893" customWidth="1"/>
    <col min="3591" max="3591" width="19" style="893" customWidth="1"/>
    <col min="3592" max="3592" width="18.5703125" style="893" customWidth="1"/>
    <col min="3593" max="3593" width="13.28515625" style="893" customWidth="1"/>
    <col min="3594" max="3594" width="11.7109375" style="893" customWidth="1"/>
    <col min="3595" max="3832" width="9" style="893"/>
    <col min="3833" max="3833" width="4" style="893" customWidth="1"/>
    <col min="3834" max="3834" width="11.140625" style="893" customWidth="1"/>
    <col min="3835" max="3835" width="15" style="893" customWidth="1"/>
    <col min="3836" max="3838" width="8.85546875" style="893" customWidth="1"/>
    <col min="3839" max="3839" width="3.28515625" style="893" customWidth="1"/>
    <col min="3840" max="3840" width="12.7109375" style="893" customWidth="1"/>
    <col min="3841" max="3841" width="8.7109375" style="893" customWidth="1"/>
    <col min="3842" max="3843" width="10.7109375" style="893" customWidth="1"/>
    <col min="3844" max="3844" width="17.140625" style="893" customWidth="1"/>
    <col min="3845" max="3845" width="5.7109375" style="893" customWidth="1"/>
    <col min="3846" max="3846" width="15.5703125" style="893" customWidth="1"/>
    <col min="3847" max="3847" width="19" style="893" customWidth="1"/>
    <col min="3848" max="3848" width="18.5703125" style="893" customWidth="1"/>
    <col min="3849" max="3849" width="13.28515625" style="893" customWidth="1"/>
    <col min="3850" max="3850" width="11.7109375" style="893" customWidth="1"/>
    <col min="3851" max="4088" width="9" style="893"/>
    <col min="4089" max="4089" width="4" style="893" customWidth="1"/>
    <col min="4090" max="4090" width="11.140625" style="893" customWidth="1"/>
    <col min="4091" max="4091" width="15" style="893" customWidth="1"/>
    <col min="4092" max="4094" width="8.85546875" style="893" customWidth="1"/>
    <col min="4095" max="4095" width="3.28515625" style="893" customWidth="1"/>
    <col min="4096" max="4096" width="12.7109375" style="893" customWidth="1"/>
    <col min="4097" max="4097" width="8.7109375" style="893" customWidth="1"/>
    <col min="4098" max="4099" width="10.7109375" style="893" customWidth="1"/>
    <col min="4100" max="4100" width="17.140625" style="893" customWidth="1"/>
    <col min="4101" max="4101" width="5.7109375" style="893" customWidth="1"/>
    <col min="4102" max="4102" width="15.5703125" style="893" customWidth="1"/>
    <col min="4103" max="4103" width="19" style="893" customWidth="1"/>
    <col min="4104" max="4104" width="18.5703125" style="893" customWidth="1"/>
    <col min="4105" max="4105" width="13.28515625" style="893" customWidth="1"/>
    <col min="4106" max="4106" width="11.7109375" style="893" customWidth="1"/>
    <col min="4107" max="4344" width="9" style="893"/>
    <col min="4345" max="4345" width="4" style="893" customWidth="1"/>
    <col min="4346" max="4346" width="11.140625" style="893" customWidth="1"/>
    <col min="4347" max="4347" width="15" style="893" customWidth="1"/>
    <col min="4348" max="4350" width="8.85546875" style="893" customWidth="1"/>
    <col min="4351" max="4351" width="3.28515625" style="893" customWidth="1"/>
    <col min="4352" max="4352" width="12.7109375" style="893" customWidth="1"/>
    <col min="4353" max="4353" width="8.7109375" style="893" customWidth="1"/>
    <col min="4354" max="4355" width="10.7109375" style="893" customWidth="1"/>
    <col min="4356" max="4356" width="17.140625" style="893" customWidth="1"/>
    <col min="4357" max="4357" width="5.7109375" style="893" customWidth="1"/>
    <col min="4358" max="4358" width="15.5703125" style="893" customWidth="1"/>
    <col min="4359" max="4359" width="19" style="893" customWidth="1"/>
    <col min="4360" max="4360" width="18.5703125" style="893" customWidth="1"/>
    <col min="4361" max="4361" width="13.28515625" style="893" customWidth="1"/>
    <col min="4362" max="4362" width="11.7109375" style="893" customWidth="1"/>
    <col min="4363" max="4600" width="9" style="893"/>
    <col min="4601" max="4601" width="4" style="893" customWidth="1"/>
    <col min="4602" max="4602" width="11.140625" style="893" customWidth="1"/>
    <col min="4603" max="4603" width="15" style="893" customWidth="1"/>
    <col min="4604" max="4606" width="8.85546875" style="893" customWidth="1"/>
    <col min="4607" max="4607" width="3.28515625" style="893" customWidth="1"/>
    <col min="4608" max="4608" width="12.7109375" style="893" customWidth="1"/>
    <col min="4609" max="4609" width="8.7109375" style="893" customWidth="1"/>
    <col min="4610" max="4611" width="10.7109375" style="893" customWidth="1"/>
    <col min="4612" max="4612" width="17.140625" style="893" customWidth="1"/>
    <col min="4613" max="4613" width="5.7109375" style="893" customWidth="1"/>
    <col min="4614" max="4614" width="15.5703125" style="893" customWidth="1"/>
    <col min="4615" max="4615" width="19" style="893" customWidth="1"/>
    <col min="4616" max="4616" width="18.5703125" style="893" customWidth="1"/>
    <col min="4617" max="4617" width="13.28515625" style="893" customWidth="1"/>
    <col min="4618" max="4618" width="11.7109375" style="893" customWidth="1"/>
    <col min="4619" max="4856" width="9" style="893"/>
    <col min="4857" max="4857" width="4" style="893" customWidth="1"/>
    <col min="4858" max="4858" width="11.140625" style="893" customWidth="1"/>
    <col min="4859" max="4859" width="15" style="893" customWidth="1"/>
    <col min="4860" max="4862" width="8.85546875" style="893" customWidth="1"/>
    <col min="4863" max="4863" width="3.28515625" style="893" customWidth="1"/>
    <col min="4864" max="4864" width="12.7109375" style="893" customWidth="1"/>
    <col min="4865" max="4865" width="8.7109375" style="893" customWidth="1"/>
    <col min="4866" max="4867" width="10.7109375" style="893" customWidth="1"/>
    <col min="4868" max="4868" width="17.140625" style="893" customWidth="1"/>
    <col min="4869" max="4869" width="5.7109375" style="893" customWidth="1"/>
    <col min="4870" max="4870" width="15.5703125" style="893" customWidth="1"/>
    <col min="4871" max="4871" width="19" style="893" customWidth="1"/>
    <col min="4872" max="4872" width="18.5703125" style="893" customWidth="1"/>
    <col min="4873" max="4873" width="13.28515625" style="893" customWidth="1"/>
    <col min="4874" max="4874" width="11.7109375" style="893" customWidth="1"/>
    <col min="4875" max="5112" width="9" style="893"/>
    <col min="5113" max="5113" width="4" style="893" customWidth="1"/>
    <col min="5114" max="5114" width="11.140625" style="893" customWidth="1"/>
    <col min="5115" max="5115" width="15" style="893" customWidth="1"/>
    <col min="5116" max="5118" width="8.85546875" style="893" customWidth="1"/>
    <col min="5119" max="5119" width="3.28515625" style="893" customWidth="1"/>
    <col min="5120" max="5120" width="12.7109375" style="893" customWidth="1"/>
    <col min="5121" max="5121" width="8.7109375" style="893" customWidth="1"/>
    <col min="5122" max="5123" width="10.7109375" style="893" customWidth="1"/>
    <col min="5124" max="5124" width="17.140625" style="893" customWidth="1"/>
    <col min="5125" max="5125" width="5.7109375" style="893" customWidth="1"/>
    <col min="5126" max="5126" width="15.5703125" style="893" customWidth="1"/>
    <col min="5127" max="5127" width="19" style="893" customWidth="1"/>
    <col min="5128" max="5128" width="18.5703125" style="893" customWidth="1"/>
    <col min="5129" max="5129" width="13.28515625" style="893" customWidth="1"/>
    <col min="5130" max="5130" width="11.7109375" style="893" customWidth="1"/>
    <col min="5131" max="5368" width="9" style="893"/>
    <col min="5369" max="5369" width="4" style="893" customWidth="1"/>
    <col min="5370" max="5370" width="11.140625" style="893" customWidth="1"/>
    <col min="5371" max="5371" width="15" style="893" customWidth="1"/>
    <col min="5372" max="5374" width="8.85546875" style="893" customWidth="1"/>
    <col min="5375" max="5375" width="3.28515625" style="893" customWidth="1"/>
    <col min="5376" max="5376" width="12.7109375" style="893" customWidth="1"/>
    <col min="5377" max="5377" width="8.7109375" style="893" customWidth="1"/>
    <col min="5378" max="5379" width="10.7109375" style="893" customWidth="1"/>
    <col min="5380" max="5380" width="17.140625" style="893" customWidth="1"/>
    <col min="5381" max="5381" width="5.7109375" style="893" customWidth="1"/>
    <col min="5382" max="5382" width="15.5703125" style="893" customWidth="1"/>
    <col min="5383" max="5383" width="19" style="893" customWidth="1"/>
    <col min="5384" max="5384" width="18.5703125" style="893" customWidth="1"/>
    <col min="5385" max="5385" width="13.28515625" style="893" customWidth="1"/>
    <col min="5386" max="5386" width="11.7109375" style="893" customWidth="1"/>
    <col min="5387" max="5624" width="9" style="893"/>
    <col min="5625" max="5625" width="4" style="893" customWidth="1"/>
    <col min="5626" max="5626" width="11.140625" style="893" customWidth="1"/>
    <col min="5627" max="5627" width="15" style="893" customWidth="1"/>
    <col min="5628" max="5630" width="8.85546875" style="893" customWidth="1"/>
    <col min="5631" max="5631" width="3.28515625" style="893" customWidth="1"/>
    <col min="5632" max="5632" width="12.7109375" style="893" customWidth="1"/>
    <col min="5633" max="5633" width="8.7109375" style="893" customWidth="1"/>
    <col min="5634" max="5635" width="10.7109375" style="893" customWidth="1"/>
    <col min="5636" max="5636" width="17.140625" style="893" customWidth="1"/>
    <col min="5637" max="5637" width="5.7109375" style="893" customWidth="1"/>
    <col min="5638" max="5638" width="15.5703125" style="893" customWidth="1"/>
    <col min="5639" max="5639" width="19" style="893" customWidth="1"/>
    <col min="5640" max="5640" width="18.5703125" style="893" customWidth="1"/>
    <col min="5641" max="5641" width="13.28515625" style="893" customWidth="1"/>
    <col min="5642" max="5642" width="11.7109375" style="893" customWidth="1"/>
    <col min="5643" max="5880" width="9" style="893"/>
    <col min="5881" max="5881" width="4" style="893" customWidth="1"/>
    <col min="5882" max="5882" width="11.140625" style="893" customWidth="1"/>
    <col min="5883" max="5883" width="15" style="893" customWidth="1"/>
    <col min="5884" max="5886" width="8.85546875" style="893" customWidth="1"/>
    <col min="5887" max="5887" width="3.28515625" style="893" customWidth="1"/>
    <col min="5888" max="5888" width="12.7109375" style="893" customWidth="1"/>
    <col min="5889" max="5889" width="8.7109375" style="893" customWidth="1"/>
    <col min="5890" max="5891" width="10.7109375" style="893" customWidth="1"/>
    <col min="5892" max="5892" width="17.140625" style="893" customWidth="1"/>
    <col min="5893" max="5893" width="5.7109375" style="893" customWidth="1"/>
    <col min="5894" max="5894" width="15.5703125" style="893" customWidth="1"/>
    <col min="5895" max="5895" width="19" style="893" customWidth="1"/>
    <col min="5896" max="5896" width="18.5703125" style="893" customWidth="1"/>
    <col min="5897" max="5897" width="13.28515625" style="893" customWidth="1"/>
    <col min="5898" max="5898" width="11.7109375" style="893" customWidth="1"/>
    <col min="5899" max="6136" width="9" style="893"/>
    <col min="6137" max="6137" width="4" style="893" customWidth="1"/>
    <col min="6138" max="6138" width="11.140625" style="893" customWidth="1"/>
    <col min="6139" max="6139" width="15" style="893" customWidth="1"/>
    <col min="6140" max="6142" width="8.85546875" style="893" customWidth="1"/>
    <col min="6143" max="6143" width="3.28515625" style="893" customWidth="1"/>
    <col min="6144" max="6144" width="12.7109375" style="893" customWidth="1"/>
    <col min="6145" max="6145" width="8.7109375" style="893" customWidth="1"/>
    <col min="6146" max="6147" width="10.7109375" style="893" customWidth="1"/>
    <col min="6148" max="6148" width="17.140625" style="893" customWidth="1"/>
    <col min="6149" max="6149" width="5.7109375" style="893" customWidth="1"/>
    <col min="6150" max="6150" width="15.5703125" style="893" customWidth="1"/>
    <col min="6151" max="6151" width="19" style="893" customWidth="1"/>
    <col min="6152" max="6152" width="18.5703125" style="893" customWidth="1"/>
    <col min="6153" max="6153" width="13.28515625" style="893" customWidth="1"/>
    <col min="6154" max="6154" width="11.7109375" style="893" customWidth="1"/>
    <col min="6155" max="6392" width="9" style="893"/>
    <col min="6393" max="6393" width="4" style="893" customWidth="1"/>
    <col min="6394" max="6394" width="11.140625" style="893" customWidth="1"/>
    <col min="6395" max="6395" width="15" style="893" customWidth="1"/>
    <col min="6396" max="6398" width="8.85546875" style="893" customWidth="1"/>
    <col min="6399" max="6399" width="3.28515625" style="893" customWidth="1"/>
    <col min="6400" max="6400" width="12.7109375" style="893" customWidth="1"/>
    <col min="6401" max="6401" width="8.7109375" style="893" customWidth="1"/>
    <col min="6402" max="6403" width="10.7109375" style="893" customWidth="1"/>
    <col min="6404" max="6404" width="17.140625" style="893" customWidth="1"/>
    <col min="6405" max="6405" width="5.7109375" style="893" customWidth="1"/>
    <col min="6406" max="6406" width="15.5703125" style="893" customWidth="1"/>
    <col min="6407" max="6407" width="19" style="893" customWidth="1"/>
    <col min="6408" max="6408" width="18.5703125" style="893" customWidth="1"/>
    <col min="6409" max="6409" width="13.28515625" style="893" customWidth="1"/>
    <col min="6410" max="6410" width="11.7109375" style="893" customWidth="1"/>
    <col min="6411" max="6648" width="9" style="893"/>
    <col min="6649" max="6649" width="4" style="893" customWidth="1"/>
    <col min="6650" max="6650" width="11.140625" style="893" customWidth="1"/>
    <col min="6651" max="6651" width="15" style="893" customWidth="1"/>
    <col min="6652" max="6654" width="8.85546875" style="893" customWidth="1"/>
    <col min="6655" max="6655" width="3.28515625" style="893" customWidth="1"/>
    <col min="6656" max="6656" width="12.7109375" style="893" customWidth="1"/>
    <col min="6657" max="6657" width="8.7109375" style="893" customWidth="1"/>
    <col min="6658" max="6659" width="10.7109375" style="893" customWidth="1"/>
    <col min="6660" max="6660" width="17.140625" style="893" customWidth="1"/>
    <col min="6661" max="6661" width="5.7109375" style="893" customWidth="1"/>
    <col min="6662" max="6662" width="15.5703125" style="893" customWidth="1"/>
    <col min="6663" max="6663" width="19" style="893" customWidth="1"/>
    <col min="6664" max="6664" width="18.5703125" style="893" customWidth="1"/>
    <col min="6665" max="6665" width="13.28515625" style="893" customWidth="1"/>
    <col min="6666" max="6666" width="11.7109375" style="893" customWidth="1"/>
    <col min="6667" max="6904" width="9" style="893"/>
    <col min="6905" max="6905" width="4" style="893" customWidth="1"/>
    <col min="6906" max="6906" width="11.140625" style="893" customWidth="1"/>
    <col min="6907" max="6907" width="15" style="893" customWidth="1"/>
    <col min="6908" max="6910" width="8.85546875" style="893" customWidth="1"/>
    <col min="6911" max="6911" width="3.28515625" style="893" customWidth="1"/>
    <col min="6912" max="6912" width="12.7109375" style="893" customWidth="1"/>
    <col min="6913" max="6913" width="8.7109375" style="893" customWidth="1"/>
    <col min="6914" max="6915" width="10.7109375" style="893" customWidth="1"/>
    <col min="6916" max="6916" width="17.140625" style="893" customWidth="1"/>
    <col min="6917" max="6917" width="5.7109375" style="893" customWidth="1"/>
    <col min="6918" max="6918" width="15.5703125" style="893" customWidth="1"/>
    <col min="6919" max="6919" width="19" style="893" customWidth="1"/>
    <col min="6920" max="6920" width="18.5703125" style="893" customWidth="1"/>
    <col min="6921" max="6921" width="13.28515625" style="893" customWidth="1"/>
    <col min="6922" max="6922" width="11.7109375" style="893" customWidth="1"/>
    <col min="6923" max="7160" width="9" style="893"/>
    <col min="7161" max="7161" width="4" style="893" customWidth="1"/>
    <col min="7162" max="7162" width="11.140625" style="893" customWidth="1"/>
    <col min="7163" max="7163" width="15" style="893" customWidth="1"/>
    <col min="7164" max="7166" width="8.85546875" style="893" customWidth="1"/>
    <col min="7167" max="7167" width="3.28515625" style="893" customWidth="1"/>
    <col min="7168" max="7168" width="12.7109375" style="893" customWidth="1"/>
    <col min="7169" max="7169" width="8.7109375" style="893" customWidth="1"/>
    <col min="7170" max="7171" width="10.7109375" style="893" customWidth="1"/>
    <col min="7172" max="7172" width="17.140625" style="893" customWidth="1"/>
    <col min="7173" max="7173" width="5.7109375" style="893" customWidth="1"/>
    <col min="7174" max="7174" width="15.5703125" style="893" customWidth="1"/>
    <col min="7175" max="7175" width="19" style="893" customWidth="1"/>
    <col min="7176" max="7176" width="18.5703125" style="893" customWidth="1"/>
    <col min="7177" max="7177" width="13.28515625" style="893" customWidth="1"/>
    <col min="7178" max="7178" width="11.7109375" style="893" customWidth="1"/>
    <col min="7179" max="7416" width="9" style="893"/>
    <col min="7417" max="7417" width="4" style="893" customWidth="1"/>
    <col min="7418" max="7418" width="11.140625" style="893" customWidth="1"/>
    <col min="7419" max="7419" width="15" style="893" customWidth="1"/>
    <col min="7420" max="7422" width="8.85546875" style="893" customWidth="1"/>
    <col min="7423" max="7423" width="3.28515625" style="893" customWidth="1"/>
    <col min="7424" max="7424" width="12.7109375" style="893" customWidth="1"/>
    <col min="7425" max="7425" width="8.7109375" style="893" customWidth="1"/>
    <col min="7426" max="7427" width="10.7109375" style="893" customWidth="1"/>
    <col min="7428" max="7428" width="17.140625" style="893" customWidth="1"/>
    <col min="7429" max="7429" width="5.7109375" style="893" customWidth="1"/>
    <col min="7430" max="7430" width="15.5703125" style="893" customWidth="1"/>
    <col min="7431" max="7431" width="19" style="893" customWidth="1"/>
    <col min="7432" max="7432" width="18.5703125" style="893" customWidth="1"/>
    <col min="7433" max="7433" width="13.28515625" style="893" customWidth="1"/>
    <col min="7434" max="7434" width="11.7109375" style="893" customWidth="1"/>
    <col min="7435" max="7672" width="9" style="893"/>
    <col min="7673" max="7673" width="4" style="893" customWidth="1"/>
    <col min="7674" max="7674" width="11.140625" style="893" customWidth="1"/>
    <col min="7675" max="7675" width="15" style="893" customWidth="1"/>
    <col min="7676" max="7678" width="8.85546875" style="893" customWidth="1"/>
    <col min="7679" max="7679" width="3.28515625" style="893" customWidth="1"/>
    <col min="7680" max="7680" width="12.7109375" style="893" customWidth="1"/>
    <col min="7681" max="7681" width="8.7109375" style="893" customWidth="1"/>
    <col min="7682" max="7683" width="10.7109375" style="893" customWidth="1"/>
    <col min="7684" max="7684" width="17.140625" style="893" customWidth="1"/>
    <col min="7685" max="7685" width="5.7109375" style="893" customWidth="1"/>
    <col min="7686" max="7686" width="15.5703125" style="893" customWidth="1"/>
    <col min="7687" max="7687" width="19" style="893" customWidth="1"/>
    <col min="7688" max="7688" width="18.5703125" style="893" customWidth="1"/>
    <col min="7689" max="7689" width="13.28515625" style="893" customWidth="1"/>
    <col min="7690" max="7690" width="11.7109375" style="893" customWidth="1"/>
    <col min="7691" max="7928" width="9" style="893"/>
    <col min="7929" max="7929" width="4" style="893" customWidth="1"/>
    <col min="7930" max="7930" width="11.140625" style="893" customWidth="1"/>
    <col min="7931" max="7931" width="15" style="893" customWidth="1"/>
    <col min="7932" max="7934" width="8.85546875" style="893" customWidth="1"/>
    <col min="7935" max="7935" width="3.28515625" style="893" customWidth="1"/>
    <col min="7936" max="7936" width="12.7109375" style="893" customWidth="1"/>
    <col min="7937" max="7937" width="8.7109375" style="893" customWidth="1"/>
    <col min="7938" max="7939" width="10.7109375" style="893" customWidth="1"/>
    <col min="7940" max="7940" width="17.140625" style="893" customWidth="1"/>
    <col min="7941" max="7941" width="5.7109375" style="893" customWidth="1"/>
    <col min="7942" max="7942" width="15.5703125" style="893" customWidth="1"/>
    <col min="7943" max="7943" width="19" style="893" customWidth="1"/>
    <col min="7944" max="7944" width="18.5703125" style="893" customWidth="1"/>
    <col min="7945" max="7945" width="13.28515625" style="893" customWidth="1"/>
    <col min="7946" max="7946" width="11.7109375" style="893" customWidth="1"/>
    <col min="7947" max="8184" width="9" style="893"/>
    <col min="8185" max="8185" width="4" style="893" customWidth="1"/>
    <col min="8186" max="8186" width="11.140625" style="893" customWidth="1"/>
    <col min="8187" max="8187" width="15" style="893" customWidth="1"/>
    <col min="8188" max="8190" width="8.85546875" style="893" customWidth="1"/>
    <col min="8191" max="8191" width="3.28515625" style="893" customWidth="1"/>
    <col min="8192" max="8192" width="12.7109375" style="893" customWidth="1"/>
    <col min="8193" max="8193" width="8.7109375" style="893" customWidth="1"/>
    <col min="8194" max="8195" width="10.7109375" style="893" customWidth="1"/>
    <col min="8196" max="8196" width="17.140625" style="893" customWidth="1"/>
    <col min="8197" max="8197" width="5.7109375" style="893" customWidth="1"/>
    <col min="8198" max="8198" width="15.5703125" style="893" customWidth="1"/>
    <col min="8199" max="8199" width="19" style="893" customWidth="1"/>
    <col min="8200" max="8200" width="18.5703125" style="893" customWidth="1"/>
    <col min="8201" max="8201" width="13.28515625" style="893" customWidth="1"/>
    <col min="8202" max="8202" width="11.7109375" style="893" customWidth="1"/>
    <col min="8203" max="8440" width="9" style="893"/>
    <col min="8441" max="8441" width="4" style="893" customWidth="1"/>
    <col min="8442" max="8442" width="11.140625" style="893" customWidth="1"/>
    <col min="8443" max="8443" width="15" style="893" customWidth="1"/>
    <col min="8444" max="8446" width="8.85546875" style="893" customWidth="1"/>
    <col min="8447" max="8447" width="3.28515625" style="893" customWidth="1"/>
    <col min="8448" max="8448" width="12.7109375" style="893" customWidth="1"/>
    <col min="8449" max="8449" width="8.7109375" style="893" customWidth="1"/>
    <col min="8450" max="8451" width="10.7109375" style="893" customWidth="1"/>
    <col min="8452" max="8452" width="17.140625" style="893" customWidth="1"/>
    <col min="8453" max="8453" width="5.7109375" style="893" customWidth="1"/>
    <col min="8454" max="8454" width="15.5703125" style="893" customWidth="1"/>
    <col min="8455" max="8455" width="19" style="893" customWidth="1"/>
    <col min="8456" max="8456" width="18.5703125" style="893" customWidth="1"/>
    <col min="8457" max="8457" width="13.28515625" style="893" customWidth="1"/>
    <col min="8458" max="8458" width="11.7109375" style="893" customWidth="1"/>
    <col min="8459" max="8696" width="9" style="893"/>
    <col min="8697" max="8697" width="4" style="893" customWidth="1"/>
    <col min="8698" max="8698" width="11.140625" style="893" customWidth="1"/>
    <col min="8699" max="8699" width="15" style="893" customWidth="1"/>
    <col min="8700" max="8702" width="8.85546875" style="893" customWidth="1"/>
    <col min="8703" max="8703" width="3.28515625" style="893" customWidth="1"/>
    <col min="8704" max="8704" width="12.7109375" style="893" customWidth="1"/>
    <col min="8705" max="8705" width="8.7109375" style="893" customWidth="1"/>
    <col min="8706" max="8707" width="10.7109375" style="893" customWidth="1"/>
    <col min="8708" max="8708" width="17.140625" style="893" customWidth="1"/>
    <col min="8709" max="8709" width="5.7109375" style="893" customWidth="1"/>
    <col min="8710" max="8710" width="15.5703125" style="893" customWidth="1"/>
    <col min="8711" max="8711" width="19" style="893" customWidth="1"/>
    <col min="8712" max="8712" width="18.5703125" style="893" customWidth="1"/>
    <col min="8713" max="8713" width="13.28515625" style="893" customWidth="1"/>
    <col min="8714" max="8714" width="11.7109375" style="893" customWidth="1"/>
    <col min="8715" max="8952" width="9" style="893"/>
    <col min="8953" max="8953" width="4" style="893" customWidth="1"/>
    <col min="8954" max="8954" width="11.140625" style="893" customWidth="1"/>
    <col min="8955" max="8955" width="15" style="893" customWidth="1"/>
    <col min="8956" max="8958" width="8.85546875" style="893" customWidth="1"/>
    <col min="8959" max="8959" width="3.28515625" style="893" customWidth="1"/>
    <col min="8960" max="8960" width="12.7109375" style="893" customWidth="1"/>
    <col min="8961" max="8961" width="8.7109375" style="893" customWidth="1"/>
    <col min="8962" max="8963" width="10.7109375" style="893" customWidth="1"/>
    <col min="8964" max="8964" width="17.140625" style="893" customWidth="1"/>
    <col min="8965" max="8965" width="5.7109375" style="893" customWidth="1"/>
    <col min="8966" max="8966" width="15.5703125" style="893" customWidth="1"/>
    <col min="8967" max="8967" width="19" style="893" customWidth="1"/>
    <col min="8968" max="8968" width="18.5703125" style="893" customWidth="1"/>
    <col min="8969" max="8969" width="13.28515625" style="893" customWidth="1"/>
    <col min="8970" max="8970" width="11.7109375" style="893" customWidth="1"/>
    <col min="8971" max="9208" width="9" style="893"/>
    <col min="9209" max="9209" width="4" style="893" customWidth="1"/>
    <col min="9210" max="9210" width="11.140625" style="893" customWidth="1"/>
    <col min="9211" max="9211" width="15" style="893" customWidth="1"/>
    <col min="9212" max="9214" width="8.85546875" style="893" customWidth="1"/>
    <col min="9215" max="9215" width="3.28515625" style="893" customWidth="1"/>
    <col min="9216" max="9216" width="12.7109375" style="893" customWidth="1"/>
    <col min="9217" max="9217" width="8.7109375" style="893" customWidth="1"/>
    <col min="9218" max="9219" width="10.7109375" style="893" customWidth="1"/>
    <col min="9220" max="9220" width="17.140625" style="893" customWidth="1"/>
    <col min="9221" max="9221" width="5.7109375" style="893" customWidth="1"/>
    <col min="9222" max="9222" width="15.5703125" style="893" customWidth="1"/>
    <col min="9223" max="9223" width="19" style="893" customWidth="1"/>
    <col min="9224" max="9224" width="18.5703125" style="893" customWidth="1"/>
    <col min="9225" max="9225" width="13.28515625" style="893" customWidth="1"/>
    <col min="9226" max="9226" width="11.7109375" style="893" customWidth="1"/>
    <col min="9227" max="9464" width="9" style="893"/>
    <col min="9465" max="9465" width="4" style="893" customWidth="1"/>
    <col min="9466" max="9466" width="11.140625" style="893" customWidth="1"/>
    <col min="9467" max="9467" width="15" style="893" customWidth="1"/>
    <col min="9468" max="9470" width="8.85546875" style="893" customWidth="1"/>
    <col min="9471" max="9471" width="3.28515625" style="893" customWidth="1"/>
    <col min="9472" max="9472" width="12.7109375" style="893" customWidth="1"/>
    <col min="9473" max="9473" width="8.7109375" style="893" customWidth="1"/>
    <col min="9474" max="9475" width="10.7109375" style="893" customWidth="1"/>
    <col min="9476" max="9476" width="17.140625" style="893" customWidth="1"/>
    <col min="9477" max="9477" width="5.7109375" style="893" customWidth="1"/>
    <col min="9478" max="9478" width="15.5703125" style="893" customWidth="1"/>
    <col min="9479" max="9479" width="19" style="893" customWidth="1"/>
    <col min="9480" max="9480" width="18.5703125" style="893" customWidth="1"/>
    <col min="9481" max="9481" width="13.28515625" style="893" customWidth="1"/>
    <col min="9482" max="9482" width="11.7109375" style="893" customWidth="1"/>
    <col min="9483" max="9720" width="9" style="893"/>
    <col min="9721" max="9721" width="4" style="893" customWidth="1"/>
    <col min="9722" max="9722" width="11.140625" style="893" customWidth="1"/>
    <col min="9723" max="9723" width="15" style="893" customWidth="1"/>
    <col min="9724" max="9726" width="8.85546875" style="893" customWidth="1"/>
    <col min="9727" max="9727" width="3.28515625" style="893" customWidth="1"/>
    <col min="9728" max="9728" width="12.7109375" style="893" customWidth="1"/>
    <col min="9729" max="9729" width="8.7109375" style="893" customWidth="1"/>
    <col min="9730" max="9731" width="10.7109375" style="893" customWidth="1"/>
    <col min="9732" max="9732" width="17.140625" style="893" customWidth="1"/>
    <col min="9733" max="9733" width="5.7109375" style="893" customWidth="1"/>
    <col min="9734" max="9734" width="15.5703125" style="893" customWidth="1"/>
    <col min="9735" max="9735" width="19" style="893" customWidth="1"/>
    <col min="9736" max="9736" width="18.5703125" style="893" customWidth="1"/>
    <col min="9737" max="9737" width="13.28515625" style="893" customWidth="1"/>
    <col min="9738" max="9738" width="11.7109375" style="893" customWidth="1"/>
    <col min="9739" max="9976" width="9" style="893"/>
    <col min="9977" max="9977" width="4" style="893" customWidth="1"/>
    <col min="9978" max="9978" width="11.140625" style="893" customWidth="1"/>
    <col min="9979" max="9979" width="15" style="893" customWidth="1"/>
    <col min="9980" max="9982" width="8.85546875" style="893" customWidth="1"/>
    <col min="9983" max="9983" width="3.28515625" style="893" customWidth="1"/>
    <col min="9984" max="9984" width="12.7109375" style="893" customWidth="1"/>
    <col min="9985" max="9985" width="8.7109375" style="893" customWidth="1"/>
    <col min="9986" max="9987" width="10.7109375" style="893" customWidth="1"/>
    <col min="9988" max="9988" width="17.140625" style="893" customWidth="1"/>
    <col min="9989" max="9989" width="5.7109375" style="893" customWidth="1"/>
    <col min="9990" max="9990" width="15.5703125" style="893" customWidth="1"/>
    <col min="9991" max="9991" width="19" style="893" customWidth="1"/>
    <col min="9992" max="9992" width="18.5703125" style="893" customWidth="1"/>
    <col min="9993" max="9993" width="13.28515625" style="893" customWidth="1"/>
    <col min="9994" max="9994" width="11.7109375" style="893" customWidth="1"/>
    <col min="9995" max="10232" width="9" style="893"/>
    <col min="10233" max="10233" width="4" style="893" customWidth="1"/>
    <col min="10234" max="10234" width="11.140625" style="893" customWidth="1"/>
    <col min="10235" max="10235" width="15" style="893" customWidth="1"/>
    <col min="10236" max="10238" width="8.85546875" style="893" customWidth="1"/>
    <col min="10239" max="10239" width="3.28515625" style="893" customWidth="1"/>
    <col min="10240" max="10240" width="12.7109375" style="893" customWidth="1"/>
    <col min="10241" max="10241" width="8.7109375" style="893" customWidth="1"/>
    <col min="10242" max="10243" width="10.7109375" style="893" customWidth="1"/>
    <col min="10244" max="10244" width="17.140625" style="893" customWidth="1"/>
    <col min="10245" max="10245" width="5.7109375" style="893" customWidth="1"/>
    <col min="10246" max="10246" width="15.5703125" style="893" customWidth="1"/>
    <col min="10247" max="10247" width="19" style="893" customWidth="1"/>
    <col min="10248" max="10248" width="18.5703125" style="893" customWidth="1"/>
    <col min="10249" max="10249" width="13.28515625" style="893" customWidth="1"/>
    <col min="10250" max="10250" width="11.7109375" style="893" customWidth="1"/>
    <col min="10251" max="10488" width="9" style="893"/>
    <col min="10489" max="10489" width="4" style="893" customWidth="1"/>
    <col min="10490" max="10490" width="11.140625" style="893" customWidth="1"/>
    <col min="10491" max="10491" width="15" style="893" customWidth="1"/>
    <col min="10492" max="10494" width="8.85546875" style="893" customWidth="1"/>
    <col min="10495" max="10495" width="3.28515625" style="893" customWidth="1"/>
    <col min="10496" max="10496" width="12.7109375" style="893" customWidth="1"/>
    <col min="10497" max="10497" width="8.7109375" style="893" customWidth="1"/>
    <col min="10498" max="10499" width="10.7109375" style="893" customWidth="1"/>
    <col min="10500" max="10500" width="17.140625" style="893" customWidth="1"/>
    <col min="10501" max="10501" width="5.7109375" style="893" customWidth="1"/>
    <col min="10502" max="10502" width="15.5703125" style="893" customWidth="1"/>
    <col min="10503" max="10503" width="19" style="893" customWidth="1"/>
    <col min="10504" max="10504" width="18.5703125" style="893" customWidth="1"/>
    <col min="10505" max="10505" width="13.28515625" style="893" customWidth="1"/>
    <col min="10506" max="10506" width="11.7109375" style="893" customWidth="1"/>
    <col min="10507" max="10744" width="9" style="893"/>
    <col min="10745" max="10745" width="4" style="893" customWidth="1"/>
    <col min="10746" max="10746" width="11.140625" style="893" customWidth="1"/>
    <col min="10747" max="10747" width="15" style="893" customWidth="1"/>
    <col min="10748" max="10750" width="8.85546875" style="893" customWidth="1"/>
    <col min="10751" max="10751" width="3.28515625" style="893" customWidth="1"/>
    <col min="10752" max="10752" width="12.7109375" style="893" customWidth="1"/>
    <col min="10753" max="10753" width="8.7109375" style="893" customWidth="1"/>
    <col min="10754" max="10755" width="10.7109375" style="893" customWidth="1"/>
    <col min="10756" max="10756" width="17.140625" style="893" customWidth="1"/>
    <col min="10757" max="10757" width="5.7109375" style="893" customWidth="1"/>
    <col min="10758" max="10758" width="15.5703125" style="893" customWidth="1"/>
    <col min="10759" max="10759" width="19" style="893" customWidth="1"/>
    <col min="10760" max="10760" width="18.5703125" style="893" customWidth="1"/>
    <col min="10761" max="10761" width="13.28515625" style="893" customWidth="1"/>
    <col min="10762" max="10762" width="11.7109375" style="893" customWidth="1"/>
    <col min="10763" max="11000" width="9" style="893"/>
    <col min="11001" max="11001" width="4" style="893" customWidth="1"/>
    <col min="11002" max="11002" width="11.140625" style="893" customWidth="1"/>
    <col min="11003" max="11003" width="15" style="893" customWidth="1"/>
    <col min="11004" max="11006" width="8.85546875" style="893" customWidth="1"/>
    <col min="11007" max="11007" width="3.28515625" style="893" customWidth="1"/>
    <col min="11008" max="11008" width="12.7109375" style="893" customWidth="1"/>
    <col min="11009" max="11009" width="8.7109375" style="893" customWidth="1"/>
    <col min="11010" max="11011" width="10.7109375" style="893" customWidth="1"/>
    <col min="11012" max="11012" width="17.140625" style="893" customWidth="1"/>
    <col min="11013" max="11013" width="5.7109375" style="893" customWidth="1"/>
    <col min="11014" max="11014" width="15.5703125" style="893" customWidth="1"/>
    <col min="11015" max="11015" width="19" style="893" customWidth="1"/>
    <col min="11016" max="11016" width="18.5703125" style="893" customWidth="1"/>
    <col min="11017" max="11017" width="13.28515625" style="893" customWidth="1"/>
    <col min="11018" max="11018" width="11.7109375" style="893" customWidth="1"/>
    <col min="11019" max="11256" width="9" style="893"/>
    <col min="11257" max="11257" width="4" style="893" customWidth="1"/>
    <col min="11258" max="11258" width="11.140625" style="893" customWidth="1"/>
    <col min="11259" max="11259" width="15" style="893" customWidth="1"/>
    <col min="11260" max="11262" width="8.85546875" style="893" customWidth="1"/>
    <col min="11263" max="11263" width="3.28515625" style="893" customWidth="1"/>
    <col min="11264" max="11264" width="12.7109375" style="893" customWidth="1"/>
    <col min="11265" max="11265" width="8.7109375" style="893" customWidth="1"/>
    <col min="11266" max="11267" width="10.7109375" style="893" customWidth="1"/>
    <col min="11268" max="11268" width="17.140625" style="893" customWidth="1"/>
    <col min="11269" max="11269" width="5.7109375" style="893" customWidth="1"/>
    <col min="11270" max="11270" width="15.5703125" style="893" customWidth="1"/>
    <col min="11271" max="11271" width="19" style="893" customWidth="1"/>
    <col min="11272" max="11272" width="18.5703125" style="893" customWidth="1"/>
    <col min="11273" max="11273" width="13.28515625" style="893" customWidth="1"/>
    <col min="11274" max="11274" width="11.7109375" style="893" customWidth="1"/>
    <col min="11275" max="11512" width="9" style="893"/>
    <col min="11513" max="11513" width="4" style="893" customWidth="1"/>
    <col min="11514" max="11514" width="11.140625" style="893" customWidth="1"/>
    <col min="11515" max="11515" width="15" style="893" customWidth="1"/>
    <col min="11516" max="11518" width="8.85546875" style="893" customWidth="1"/>
    <col min="11519" max="11519" width="3.28515625" style="893" customWidth="1"/>
    <col min="11520" max="11520" width="12.7109375" style="893" customWidth="1"/>
    <col min="11521" max="11521" width="8.7109375" style="893" customWidth="1"/>
    <col min="11522" max="11523" width="10.7109375" style="893" customWidth="1"/>
    <col min="11524" max="11524" width="17.140625" style="893" customWidth="1"/>
    <col min="11525" max="11525" width="5.7109375" style="893" customWidth="1"/>
    <col min="11526" max="11526" width="15.5703125" style="893" customWidth="1"/>
    <col min="11527" max="11527" width="19" style="893" customWidth="1"/>
    <col min="11528" max="11528" width="18.5703125" style="893" customWidth="1"/>
    <col min="11529" max="11529" width="13.28515625" style="893" customWidth="1"/>
    <col min="11530" max="11530" width="11.7109375" style="893" customWidth="1"/>
    <col min="11531" max="11768" width="9" style="893"/>
    <col min="11769" max="11769" width="4" style="893" customWidth="1"/>
    <col min="11770" max="11770" width="11.140625" style="893" customWidth="1"/>
    <col min="11771" max="11771" width="15" style="893" customWidth="1"/>
    <col min="11772" max="11774" width="8.85546875" style="893" customWidth="1"/>
    <col min="11775" max="11775" width="3.28515625" style="893" customWidth="1"/>
    <col min="11776" max="11776" width="12.7109375" style="893" customWidth="1"/>
    <col min="11777" max="11777" width="8.7109375" style="893" customWidth="1"/>
    <col min="11778" max="11779" width="10.7109375" style="893" customWidth="1"/>
    <col min="11780" max="11780" width="17.140625" style="893" customWidth="1"/>
    <col min="11781" max="11781" width="5.7109375" style="893" customWidth="1"/>
    <col min="11782" max="11782" width="15.5703125" style="893" customWidth="1"/>
    <col min="11783" max="11783" width="19" style="893" customWidth="1"/>
    <col min="11784" max="11784" width="18.5703125" style="893" customWidth="1"/>
    <col min="11785" max="11785" width="13.28515625" style="893" customWidth="1"/>
    <col min="11786" max="11786" width="11.7109375" style="893" customWidth="1"/>
    <col min="11787" max="12024" width="9" style="893"/>
    <col min="12025" max="12025" width="4" style="893" customWidth="1"/>
    <col min="12026" max="12026" width="11.140625" style="893" customWidth="1"/>
    <col min="12027" max="12027" width="15" style="893" customWidth="1"/>
    <col min="12028" max="12030" width="8.85546875" style="893" customWidth="1"/>
    <col min="12031" max="12031" width="3.28515625" style="893" customWidth="1"/>
    <col min="12032" max="12032" width="12.7109375" style="893" customWidth="1"/>
    <col min="12033" max="12033" width="8.7109375" style="893" customWidth="1"/>
    <col min="12034" max="12035" width="10.7109375" style="893" customWidth="1"/>
    <col min="12036" max="12036" width="17.140625" style="893" customWidth="1"/>
    <col min="12037" max="12037" width="5.7109375" style="893" customWidth="1"/>
    <col min="12038" max="12038" width="15.5703125" style="893" customWidth="1"/>
    <col min="12039" max="12039" width="19" style="893" customWidth="1"/>
    <col min="12040" max="12040" width="18.5703125" style="893" customWidth="1"/>
    <col min="12041" max="12041" width="13.28515625" style="893" customWidth="1"/>
    <col min="12042" max="12042" width="11.7109375" style="893" customWidth="1"/>
    <col min="12043" max="12280" width="9" style="893"/>
    <col min="12281" max="12281" width="4" style="893" customWidth="1"/>
    <col min="12282" max="12282" width="11.140625" style="893" customWidth="1"/>
    <col min="12283" max="12283" width="15" style="893" customWidth="1"/>
    <col min="12284" max="12286" width="8.85546875" style="893" customWidth="1"/>
    <col min="12287" max="12287" width="3.28515625" style="893" customWidth="1"/>
    <col min="12288" max="12288" width="12.7109375" style="893" customWidth="1"/>
    <col min="12289" max="12289" width="8.7109375" style="893" customWidth="1"/>
    <col min="12290" max="12291" width="10.7109375" style="893" customWidth="1"/>
    <col min="12292" max="12292" width="17.140625" style="893" customWidth="1"/>
    <col min="12293" max="12293" width="5.7109375" style="893" customWidth="1"/>
    <col min="12294" max="12294" width="15.5703125" style="893" customWidth="1"/>
    <col min="12295" max="12295" width="19" style="893" customWidth="1"/>
    <col min="12296" max="12296" width="18.5703125" style="893" customWidth="1"/>
    <col min="12297" max="12297" width="13.28515625" style="893" customWidth="1"/>
    <col min="12298" max="12298" width="11.7109375" style="893" customWidth="1"/>
    <col min="12299" max="12536" width="9" style="893"/>
    <col min="12537" max="12537" width="4" style="893" customWidth="1"/>
    <col min="12538" max="12538" width="11.140625" style="893" customWidth="1"/>
    <col min="12539" max="12539" width="15" style="893" customWidth="1"/>
    <col min="12540" max="12542" width="8.85546875" style="893" customWidth="1"/>
    <col min="12543" max="12543" width="3.28515625" style="893" customWidth="1"/>
    <col min="12544" max="12544" width="12.7109375" style="893" customWidth="1"/>
    <col min="12545" max="12545" width="8.7109375" style="893" customWidth="1"/>
    <col min="12546" max="12547" width="10.7109375" style="893" customWidth="1"/>
    <col min="12548" max="12548" width="17.140625" style="893" customWidth="1"/>
    <col min="12549" max="12549" width="5.7109375" style="893" customWidth="1"/>
    <col min="12550" max="12550" width="15.5703125" style="893" customWidth="1"/>
    <col min="12551" max="12551" width="19" style="893" customWidth="1"/>
    <col min="12552" max="12552" width="18.5703125" style="893" customWidth="1"/>
    <col min="12553" max="12553" width="13.28515625" style="893" customWidth="1"/>
    <col min="12554" max="12554" width="11.7109375" style="893" customWidth="1"/>
    <col min="12555" max="12792" width="9" style="893"/>
    <col min="12793" max="12793" width="4" style="893" customWidth="1"/>
    <col min="12794" max="12794" width="11.140625" style="893" customWidth="1"/>
    <col min="12795" max="12795" width="15" style="893" customWidth="1"/>
    <col min="12796" max="12798" width="8.85546875" style="893" customWidth="1"/>
    <col min="12799" max="12799" width="3.28515625" style="893" customWidth="1"/>
    <col min="12800" max="12800" width="12.7109375" style="893" customWidth="1"/>
    <col min="12801" max="12801" width="8.7109375" style="893" customWidth="1"/>
    <col min="12802" max="12803" width="10.7109375" style="893" customWidth="1"/>
    <col min="12804" max="12804" width="17.140625" style="893" customWidth="1"/>
    <col min="12805" max="12805" width="5.7109375" style="893" customWidth="1"/>
    <col min="12806" max="12806" width="15.5703125" style="893" customWidth="1"/>
    <col min="12807" max="12807" width="19" style="893" customWidth="1"/>
    <col min="12808" max="12808" width="18.5703125" style="893" customWidth="1"/>
    <col min="12809" max="12809" width="13.28515625" style="893" customWidth="1"/>
    <col min="12810" max="12810" width="11.7109375" style="893" customWidth="1"/>
    <col min="12811" max="13048" width="9" style="893"/>
    <col min="13049" max="13049" width="4" style="893" customWidth="1"/>
    <col min="13050" max="13050" width="11.140625" style="893" customWidth="1"/>
    <col min="13051" max="13051" width="15" style="893" customWidth="1"/>
    <col min="13052" max="13054" width="8.85546875" style="893" customWidth="1"/>
    <col min="13055" max="13055" width="3.28515625" style="893" customWidth="1"/>
    <col min="13056" max="13056" width="12.7109375" style="893" customWidth="1"/>
    <col min="13057" max="13057" width="8.7109375" style="893" customWidth="1"/>
    <col min="13058" max="13059" width="10.7109375" style="893" customWidth="1"/>
    <col min="13060" max="13060" width="17.140625" style="893" customWidth="1"/>
    <col min="13061" max="13061" width="5.7109375" style="893" customWidth="1"/>
    <col min="13062" max="13062" width="15.5703125" style="893" customWidth="1"/>
    <col min="13063" max="13063" width="19" style="893" customWidth="1"/>
    <col min="13064" max="13064" width="18.5703125" style="893" customWidth="1"/>
    <col min="13065" max="13065" width="13.28515625" style="893" customWidth="1"/>
    <col min="13066" max="13066" width="11.7109375" style="893" customWidth="1"/>
    <col min="13067" max="13304" width="9" style="893"/>
    <col min="13305" max="13305" width="4" style="893" customWidth="1"/>
    <col min="13306" max="13306" width="11.140625" style="893" customWidth="1"/>
    <col min="13307" max="13307" width="15" style="893" customWidth="1"/>
    <col min="13308" max="13310" width="8.85546875" style="893" customWidth="1"/>
    <col min="13311" max="13311" width="3.28515625" style="893" customWidth="1"/>
    <col min="13312" max="13312" width="12.7109375" style="893" customWidth="1"/>
    <col min="13313" max="13313" width="8.7109375" style="893" customWidth="1"/>
    <col min="13314" max="13315" width="10.7109375" style="893" customWidth="1"/>
    <col min="13316" max="13316" width="17.140625" style="893" customWidth="1"/>
    <col min="13317" max="13317" width="5.7109375" style="893" customWidth="1"/>
    <col min="13318" max="13318" width="15.5703125" style="893" customWidth="1"/>
    <col min="13319" max="13319" width="19" style="893" customWidth="1"/>
    <col min="13320" max="13320" width="18.5703125" style="893" customWidth="1"/>
    <col min="13321" max="13321" width="13.28515625" style="893" customWidth="1"/>
    <col min="13322" max="13322" width="11.7109375" style="893" customWidth="1"/>
    <col min="13323" max="13560" width="9" style="893"/>
    <col min="13561" max="13561" width="4" style="893" customWidth="1"/>
    <col min="13562" max="13562" width="11.140625" style="893" customWidth="1"/>
    <col min="13563" max="13563" width="15" style="893" customWidth="1"/>
    <col min="13564" max="13566" width="8.85546875" style="893" customWidth="1"/>
    <col min="13567" max="13567" width="3.28515625" style="893" customWidth="1"/>
    <col min="13568" max="13568" width="12.7109375" style="893" customWidth="1"/>
    <col min="13569" max="13569" width="8.7109375" style="893" customWidth="1"/>
    <col min="13570" max="13571" width="10.7109375" style="893" customWidth="1"/>
    <col min="13572" max="13572" width="17.140625" style="893" customWidth="1"/>
    <col min="13573" max="13573" width="5.7109375" style="893" customWidth="1"/>
    <col min="13574" max="13574" width="15.5703125" style="893" customWidth="1"/>
    <col min="13575" max="13575" width="19" style="893" customWidth="1"/>
    <col min="13576" max="13576" width="18.5703125" style="893" customWidth="1"/>
    <col min="13577" max="13577" width="13.28515625" style="893" customWidth="1"/>
    <col min="13578" max="13578" width="11.7109375" style="893" customWidth="1"/>
    <col min="13579" max="13816" width="9" style="893"/>
    <col min="13817" max="13817" width="4" style="893" customWidth="1"/>
    <col min="13818" max="13818" width="11.140625" style="893" customWidth="1"/>
    <col min="13819" max="13819" width="15" style="893" customWidth="1"/>
    <col min="13820" max="13822" width="8.85546875" style="893" customWidth="1"/>
    <col min="13823" max="13823" width="3.28515625" style="893" customWidth="1"/>
    <col min="13824" max="13824" width="12.7109375" style="893" customWidth="1"/>
    <col min="13825" max="13825" width="8.7109375" style="893" customWidth="1"/>
    <col min="13826" max="13827" width="10.7109375" style="893" customWidth="1"/>
    <col min="13828" max="13828" width="17.140625" style="893" customWidth="1"/>
    <col min="13829" max="13829" width="5.7109375" style="893" customWidth="1"/>
    <col min="13830" max="13830" width="15.5703125" style="893" customWidth="1"/>
    <col min="13831" max="13831" width="19" style="893" customWidth="1"/>
    <col min="13832" max="13832" width="18.5703125" style="893" customWidth="1"/>
    <col min="13833" max="13833" width="13.28515625" style="893" customWidth="1"/>
    <col min="13834" max="13834" width="11.7109375" style="893" customWidth="1"/>
    <col min="13835" max="14072" width="9" style="893"/>
    <col min="14073" max="14073" width="4" style="893" customWidth="1"/>
    <col min="14074" max="14074" width="11.140625" style="893" customWidth="1"/>
    <col min="14075" max="14075" width="15" style="893" customWidth="1"/>
    <col min="14076" max="14078" width="8.85546875" style="893" customWidth="1"/>
    <col min="14079" max="14079" width="3.28515625" style="893" customWidth="1"/>
    <col min="14080" max="14080" width="12.7109375" style="893" customWidth="1"/>
    <col min="14081" max="14081" width="8.7109375" style="893" customWidth="1"/>
    <col min="14082" max="14083" width="10.7109375" style="893" customWidth="1"/>
    <col min="14084" max="14084" width="17.140625" style="893" customWidth="1"/>
    <col min="14085" max="14085" width="5.7109375" style="893" customWidth="1"/>
    <col min="14086" max="14086" width="15.5703125" style="893" customWidth="1"/>
    <col min="14087" max="14087" width="19" style="893" customWidth="1"/>
    <col min="14088" max="14088" width="18.5703125" style="893" customWidth="1"/>
    <col min="14089" max="14089" width="13.28515625" style="893" customWidth="1"/>
    <col min="14090" max="14090" width="11.7109375" style="893" customWidth="1"/>
    <col min="14091" max="14328" width="9" style="893"/>
    <col min="14329" max="14329" width="4" style="893" customWidth="1"/>
    <col min="14330" max="14330" width="11.140625" style="893" customWidth="1"/>
    <col min="14331" max="14331" width="15" style="893" customWidth="1"/>
    <col min="14332" max="14334" width="8.85546875" style="893" customWidth="1"/>
    <col min="14335" max="14335" width="3.28515625" style="893" customWidth="1"/>
    <col min="14336" max="14336" width="12.7109375" style="893" customWidth="1"/>
    <col min="14337" max="14337" width="8.7109375" style="893" customWidth="1"/>
    <col min="14338" max="14339" width="10.7109375" style="893" customWidth="1"/>
    <col min="14340" max="14340" width="17.140625" style="893" customWidth="1"/>
    <col min="14341" max="14341" width="5.7109375" style="893" customWidth="1"/>
    <col min="14342" max="14342" width="15.5703125" style="893" customWidth="1"/>
    <col min="14343" max="14343" width="19" style="893" customWidth="1"/>
    <col min="14344" max="14344" width="18.5703125" style="893" customWidth="1"/>
    <col min="14345" max="14345" width="13.28515625" style="893" customWidth="1"/>
    <col min="14346" max="14346" width="11.7109375" style="893" customWidth="1"/>
    <col min="14347" max="14584" width="9" style="893"/>
    <col min="14585" max="14585" width="4" style="893" customWidth="1"/>
    <col min="14586" max="14586" width="11.140625" style="893" customWidth="1"/>
    <col min="14587" max="14587" width="15" style="893" customWidth="1"/>
    <col min="14588" max="14590" width="8.85546875" style="893" customWidth="1"/>
    <col min="14591" max="14591" width="3.28515625" style="893" customWidth="1"/>
    <col min="14592" max="14592" width="12.7109375" style="893" customWidth="1"/>
    <col min="14593" max="14593" width="8.7109375" style="893" customWidth="1"/>
    <col min="14594" max="14595" width="10.7109375" style="893" customWidth="1"/>
    <col min="14596" max="14596" width="17.140625" style="893" customWidth="1"/>
    <col min="14597" max="14597" width="5.7109375" style="893" customWidth="1"/>
    <col min="14598" max="14598" width="15.5703125" style="893" customWidth="1"/>
    <col min="14599" max="14599" width="19" style="893" customWidth="1"/>
    <col min="14600" max="14600" width="18.5703125" style="893" customWidth="1"/>
    <col min="14601" max="14601" width="13.28515625" style="893" customWidth="1"/>
    <col min="14602" max="14602" width="11.7109375" style="893" customWidth="1"/>
    <col min="14603" max="14840" width="9" style="893"/>
    <col min="14841" max="14841" width="4" style="893" customWidth="1"/>
    <col min="14842" max="14842" width="11.140625" style="893" customWidth="1"/>
    <col min="14843" max="14843" width="15" style="893" customWidth="1"/>
    <col min="14844" max="14846" width="8.85546875" style="893" customWidth="1"/>
    <col min="14847" max="14847" width="3.28515625" style="893" customWidth="1"/>
    <col min="14848" max="14848" width="12.7109375" style="893" customWidth="1"/>
    <col min="14849" max="14849" width="8.7109375" style="893" customWidth="1"/>
    <col min="14850" max="14851" width="10.7109375" style="893" customWidth="1"/>
    <col min="14852" max="14852" width="17.140625" style="893" customWidth="1"/>
    <col min="14853" max="14853" width="5.7109375" style="893" customWidth="1"/>
    <col min="14854" max="14854" width="15.5703125" style="893" customWidth="1"/>
    <col min="14855" max="14855" width="19" style="893" customWidth="1"/>
    <col min="14856" max="14856" width="18.5703125" style="893" customWidth="1"/>
    <col min="14857" max="14857" width="13.28515625" style="893" customWidth="1"/>
    <col min="14858" max="14858" width="11.7109375" style="893" customWidth="1"/>
    <col min="14859" max="15096" width="9" style="893"/>
    <col min="15097" max="15097" width="4" style="893" customWidth="1"/>
    <col min="15098" max="15098" width="11.140625" style="893" customWidth="1"/>
    <col min="15099" max="15099" width="15" style="893" customWidth="1"/>
    <col min="15100" max="15102" width="8.85546875" style="893" customWidth="1"/>
    <col min="15103" max="15103" width="3.28515625" style="893" customWidth="1"/>
    <col min="15104" max="15104" width="12.7109375" style="893" customWidth="1"/>
    <col min="15105" max="15105" width="8.7109375" style="893" customWidth="1"/>
    <col min="15106" max="15107" width="10.7109375" style="893" customWidth="1"/>
    <col min="15108" max="15108" width="17.140625" style="893" customWidth="1"/>
    <col min="15109" max="15109" width="5.7109375" style="893" customWidth="1"/>
    <col min="15110" max="15110" width="15.5703125" style="893" customWidth="1"/>
    <col min="15111" max="15111" width="19" style="893" customWidth="1"/>
    <col min="15112" max="15112" width="18.5703125" style="893" customWidth="1"/>
    <col min="15113" max="15113" width="13.28515625" style="893" customWidth="1"/>
    <col min="15114" max="15114" width="11.7109375" style="893" customWidth="1"/>
    <col min="15115" max="15352" width="9" style="893"/>
    <col min="15353" max="15353" width="4" style="893" customWidth="1"/>
    <col min="15354" max="15354" width="11.140625" style="893" customWidth="1"/>
    <col min="15355" max="15355" width="15" style="893" customWidth="1"/>
    <col min="15356" max="15358" width="8.85546875" style="893" customWidth="1"/>
    <col min="15359" max="15359" width="3.28515625" style="893" customWidth="1"/>
    <col min="15360" max="15360" width="12.7109375" style="893" customWidth="1"/>
    <col min="15361" max="15361" width="8.7109375" style="893" customWidth="1"/>
    <col min="15362" max="15363" width="10.7109375" style="893" customWidth="1"/>
    <col min="15364" max="15364" width="17.140625" style="893" customWidth="1"/>
    <col min="15365" max="15365" width="5.7109375" style="893" customWidth="1"/>
    <col min="15366" max="15366" width="15.5703125" style="893" customWidth="1"/>
    <col min="15367" max="15367" width="19" style="893" customWidth="1"/>
    <col min="15368" max="15368" width="18.5703125" style="893" customWidth="1"/>
    <col min="15369" max="15369" width="13.28515625" style="893" customWidth="1"/>
    <col min="15370" max="15370" width="11.7109375" style="893" customWidth="1"/>
    <col min="15371" max="15608" width="9" style="893"/>
    <col min="15609" max="15609" width="4" style="893" customWidth="1"/>
    <col min="15610" max="15610" width="11.140625" style="893" customWidth="1"/>
    <col min="15611" max="15611" width="15" style="893" customWidth="1"/>
    <col min="15612" max="15614" width="8.85546875" style="893" customWidth="1"/>
    <col min="15615" max="15615" width="3.28515625" style="893" customWidth="1"/>
    <col min="15616" max="15616" width="12.7109375" style="893" customWidth="1"/>
    <col min="15617" max="15617" width="8.7109375" style="893" customWidth="1"/>
    <col min="15618" max="15619" width="10.7109375" style="893" customWidth="1"/>
    <col min="15620" max="15620" width="17.140625" style="893" customWidth="1"/>
    <col min="15621" max="15621" width="5.7109375" style="893" customWidth="1"/>
    <col min="15622" max="15622" width="15.5703125" style="893" customWidth="1"/>
    <col min="15623" max="15623" width="19" style="893" customWidth="1"/>
    <col min="15624" max="15624" width="18.5703125" style="893" customWidth="1"/>
    <col min="15625" max="15625" width="13.28515625" style="893" customWidth="1"/>
    <col min="15626" max="15626" width="11.7109375" style="893" customWidth="1"/>
    <col min="15627" max="15864" width="9" style="893"/>
    <col min="15865" max="15865" width="4" style="893" customWidth="1"/>
    <col min="15866" max="15866" width="11.140625" style="893" customWidth="1"/>
    <col min="15867" max="15867" width="15" style="893" customWidth="1"/>
    <col min="15868" max="15870" width="8.85546875" style="893" customWidth="1"/>
    <col min="15871" max="15871" width="3.28515625" style="893" customWidth="1"/>
    <col min="15872" max="15872" width="12.7109375" style="893" customWidth="1"/>
    <col min="15873" max="15873" width="8.7109375" style="893" customWidth="1"/>
    <col min="15874" max="15875" width="10.7109375" style="893" customWidth="1"/>
    <col min="15876" max="15876" width="17.140625" style="893" customWidth="1"/>
    <col min="15877" max="15877" width="5.7109375" style="893" customWidth="1"/>
    <col min="15878" max="15878" width="15.5703125" style="893" customWidth="1"/>
    <col min="15879" max="15879" width="19" style="893" customWidth="1"/>
    <col min="15880" max="15880" width="18.5703125" style="893" customWidth="1"/>
    <col min="15881" max="15881" width="13.28515625" style="893" customWidth="1"/>
    <col min="15882" max="15882" width="11.7109375" style="893" customWidth="1"/>
    <col min="15883" max="16120" width="9" style="893"/>
    <col min="16121" max="16121" width="4" style="893" customWidth="1"/>
    <col min="16122" max="16122" width="11.140625" style="893" customWidth="1"/>
    <col min="16123" max="16123" width="15" style="893" customWidth="1"/>
    <col min="16124" max="16126" width="8.85546875" style="893" customWidth="1"/>
    <col min="16127" max="16127" width="3.28515625" style="893" customWidth="1"/>
    <col min="16128" max="16128" width="12.7109375" style="893" customWidth="1"/>
    <col min="16129" max="16129" width="8.7109375" style="893" customWidth="1"/>
    <col min="16130" max="16131" width="10.7109375" style="893" customWidth="1"/>
    <col min="16132" max="16132" width="17.140625" style="893" customWidth="1"/>
    <col min="16133" max="16133" width="5.7109375" style="893" customWidth="1"/>
    <col min="16134" max="16134" width="15.5703125" style="893" customWidth="1"/>
    <col min="16135" max="16135" width="19" style="893" customWidth="1"/>
    <col min="16136" max="16136" width="18.5703125" style="893" customWidth="1"/>
    <col min="16137" max="16137" width="13.28515625" style="893" customWidth="1"/>
    <col min="16138" max="16138" width="11.7109375" style="893" customWidth="1"/>
    <col min="16139" max="16378" width="9" style="893"/>
    <col min="16379" max="16384" width="9" style="895"/>
  </cols>
  <sheetData>
    <row r="1" spans="2:17" ht="15.75" thickBot="1">
      <c r="M1" s="1272" t="s">
        <v>2721</v>
      </c>
      <c r="N1" s="1272"/>
      <c r="O1" s="1272"/>
      <c r="P1" s="1272"/>
      <c r="Q1" s="1272"/>
    </row>
    <row r="2" spans="2:17" ht="16.5" customHeight="1" thickBot="1">
      <c r="B2" s="1280" t="s">
        <v>2593</v>
      </c>
      <c r="C2" s="1281"/>
      <c r="D2" s="1281"/>
      <c r="E2" s="1281"/>
      <c r="F2" s="1281"/>
      <c r="G2" s="1281"/>
      <c r="H2" s="1281"/>
      <c r="I2" s="1281"/>
      <c r="J2" s="1282"/>
      <c r="K2" s="894"/>
      <c r="M2" s="964" t="str">
        <f>[10]Translations!$A$580</f>
        <v>Description</v>
      </c>
      <c r="N2" s="965" t="str">
        <f>[10]Translations!$A$581</f>
        <v>Number of Person (s)</v>
      </c>
      <c r="O2" s="965" t="str">
        <f>[10]Translations!$A$582</f>
        <v>Number of days, KM, Liters</v>
      </c>
      <c r="P2" s="966" t="str">
        <f>[10]Translations!$A$577</f>
        <v>Unit cost</v>
      </c>
      <c r="Q2" s="966" t="s">
        <v>209</v>
      </c>
    </row>
    <row r="3" spans="2:17" s="896" customFormat="1" ht="31.9" customHeight="1">
      <c r="B3" s="897" t="s">
        <v>2594</v>
      </c>
      <c r="C3" s="898" t="s">
        <v>2200</v>
      </c>
      <c r="D3" s="899" t="s">
        <v>10</v>
      </c>
      <c r="E3" s="899" t="s">
        <v>2595</v>
      </c>
      <c r="F3" s="899" t="s">
        <v>2596</v>
      </c>
      <c r="G3" s="899" t="s">
        <v>143</v>
      </c>
      <c r="H3" s="900" t="s">
        <v>145</v>
      </c>
      <c r="I3" s="900" t="s">
        <v>2597</v>
      </c>
      <c r="J3" s="901" t="s">
        <v>2598</v>
      </c>
      <c r="K3" s="894"/>
      <c r="M3" s="967" t="s">
        <v>2722</v>
      </c>
      <c r="N3" s="982">
        <v>4</v>
      </c>
      <c r="O3" s="982">
        <v>6</v>
      </c>
      <c r="P3" s="982">
        <v>85000</v>
      </c>
      <c r="Q3" s="983">
        <f t="shared" ref="Q3:Q9" si="0">O3*P3*N3</f>
        <v>2040000</v>
      </c>
    </row>
    <row r="4" spans="2:17" ht="30.75" customHeight="1">
      <c r="B4" s="902">
        <v>1</v>
      </c>
      <c r="C4" s="903" t="s">
        <v>2599</v>
      </c>
      <c r="D4" s="904">
        <v>45000</v>
      </c>
      <c r="E4" s="904">
        <v>3</v>
      </c>
      <c r="F4" s="904">
        <v>15</v>
      </c>
      <c r="G4" s="905">
        <f>F4*E4</f>
        <v>45</v>
      </c>
      <c r="H4" s="905">
        <v>4</v>
      </c>
      <c r="I4" s="902" t="s">
        <v>141</v>
      </c>
      <c r="J4" s="906">
        <f>D4*G4*H4</f>
        <v>8100000</v>
      </c>
      <c r="K4" s="894"/>
      <c r="M4" s="967" t="s">
        <v>2723</v>
      </c>
      <c r="N4" s="982">
        <f>4*12</f>
        <v>48</v>
      </c>
      <c r="O4" s="982">
        <v>6</v>
      </c>
      <c r="P4" s="982">
        <v>60000</v>
      </c>
      <c r="Q4" s="983">
        <f t="shared" si="0"/>
        <v>17280000</v>
      </c>
    </row>
    <row r="5" spans="2:17" ht="50.65" customHeight="1">
      <c r="B5" s="902">
        <v>2</v>
      </c>
      <c r="C5" s="903" t="s">
        <v>2600</v>
      </c>
      <c r="D5" s="904">
        <v>10000</v>
      </c>
      <c r="E5" s="904">
        <v>1</v>
      </c>
      <c r="F5" s="904">
        <v>15</v>
      </c>
      <c r="G5" s="905">
        <f>F5*E5</f>
        <v>15</v>
      </c>
      <c r="H5" s="905">
        <v>4</v>
      </c>
      <c r="I5" s="902" t="s">
        <v>141</v>
      </c>
      <c r="J5" s="906">
        <f>D5*G5*H5</f>
        <v>600000</v>
      </c>
      <c r="K5" s="894"/>
      <c r="M5" s="967" t="s">
        <v>2724</v>
      </c>
      <c r="N5" s="982">
        <v>44</v>
      </c>
      <c r="O5" s="982">
        <v>1</v>
      </c>
      <c r="P5" s="982">
        <v>230000</v>
      </c>
      <c r="Q5" s="983">
        <f t="shared" si="0"/>
        <v>10120000</v>
      </c>
    </row>
    <row r="6" spans="2:17" ht="19.899999999999999" customHeight="1">
      <c r="B6" s="902">
        <v>3</v>
      </c>
      <c r="C6" s="903" t="s">
        <v>2601</v>
      </c>
      <c r="D6" s="904">
        <v>3000</v>
      </c>
      <c r="E6" s="904">
        <v>4</v>
      </c>
      <c r="F6" s="904">
        <v>21</v>
      </c>
      <c r="G6" s="905">
        <f>F6*E6</f>
        <v>84</v>
      </c>
      <c r="H6" s="905">
        <v>4</v>
      </c>
      <c r="I6" s="902" t="s">
        <v>141</v>
      </c>
      <c r="J6" s="906">
        <f>D6*G6*H6</f>
        <v>1008000</v>
      </c>
      <c r="K6" s="894"/>
      <c r="M6" s="967" t="s">
        <v>2725</v>
      </c>
      <c r="N6" s="982">
        <v>44</v>
      </c>
      <c r="O6" s="982">
        <v>1</v>
      </c>
      <c r="P6" s="982">
        <v>70000</v>
      </c>
      <c r="Q6" s="983">
        <f t="shared" si="0"/>
        <v>3080000</v>
      </c>
    </row>
    <row r="7" spans="2:17" ht="20.65" customHeight="1" thickBot="1">
      <c r="B7" s="907">
        <v>4</v>
      </c>
      <c r="C7" s="908" t="s">
        <v>2602</v>
      </c>
      <c r="D7" s="909">
        <v>2000</v>
      </c>
      <c r="E7" s="909">
        <v>1</v>
      </c>
      <c r="F7" s="909">
        <v>15</v>
      </c>
      <c r="G7" s="910">
        <f>F7*E7</f>
        <v>15</v>
      </c>
      <c r="H7" s="905">
        <v>4</v>
      </c>
      <c r="I7" s="907" t="s">
        <v>141</v>
      </c>
      <c r="J7" s="906">
        <f>D7*G7*H7</f>
        <v>120000</v>
      </c>
      <c r="K7" s="894"/>
      <c r="M7" s="967" t="s">
        <v>2726</v>
      </c>
      <c r="N7" s="982">
        <f>13*2</f>
        <v>26</v>
      </c>
      <c r="O7" s="982">
        <v>5</v>
      </c>
      <c r="P7" s="982">
        <v>12000</v>
      </c>
      <c r="Q7" s="983">
        <f t="shared" si="0"/>
        <v>1560000</v>
      </c>
    </row>
    <row r="8" spans="2:17" ht="18.75" customHeight="1" thickBot="1">
      <c r="B8" s="1277" t="s">
        <v>209</v>
      </c>
      <c r="C8" s="1278"/>
      <c r="D8" s="1278"/>
      <c r="E8" s="1278"/>
      <c r="F8" s="1278"/>
      <c r="G8" s="1278"/>
      <c r="H8" s="1278"/>
      <c r="I8" s="1279"/>
      <c r="J8" s="911">
        <f>SUM(J4:J7)</f>
        <v>9828000</v>
      </c>
      <c r="M8" s="967" t="s">
        <v>2727</v>
      </c>
      <c r="N8" s="982">
        <f>13*2</f>
        <v>26</v>
      </c>
      <c r="O8" s="982">
        <v>5</v>
      </c>
      <c r="P8" s="982">
        <v>6700</v>
      </c>
      <c r="Q8" s="983">
        <f t="shared" si="0"/>
        <v>871000</v>
      </c>
    </row>
    <row r="9" spans="2:17" ht="18.75" customHeight="1">
      <c r="J9" s="912"/>
      <c r="M9" s="967" t="s">
        <v>2728</v>
      </c>
      <c r="N9" s="982">
        <f>13*2</f>
        <v>26</v>
      </c>
      <c r="O9" s="982">
        <v>5</v>
      </c>
      <c r="P9" s="982">
        <v>52000</v>
      </c>
      <c r="Q9" s="983">
        <f t="shared" si="0"/>
        <v>6760000</v>
      </c>
    </row>
    <row r="10" spans="2:17" ht="22.9" customHeight="1">
      <c r="B10" s="1275" t="s">
        <v>2603</v>
      </c>
      <c r="C10" s="1275"/>
      <c r="D10" s="1275"/>
      <c r="E10" s="1275"/>
      <c r="F10" s="1275"/>
      <c r="G10" s="1275"/>
      <c r="H10" s="1275"/>
      <c r="I10" s="1275"/>
      <c r="J10" s="1275"/>
      <c r="M10" s="984" t="s">
        <v>2729</v>
      </c>
      <c r="N10" s="982">
        <v>4</v>
      </c>
      <c r="O10" s="985">
        <f>156*2</f>
        <v>312</v>
      </c>
      <c r="P10" s="982">
        <v>75000</v>
      </c>
      <c r="Q10" s="983">
        <v>300000</v>
      </c>
    </row>
    <row r="11" spans="2:17" ht="31.5">
      <c r="B11" s="913" t="s">
        <v>2594</v>
      </c>
      <c r="C11" s="914" t="s">
        <v>2200</v>
      </c>
      <c r="D11" s="913" t="s">
        <v>10</v>
      </c>
      <c r="E11" s="913" t="s">
        <v>2595</v>
      </c>
      <c r="F11" s="913" t="s">
        <v>2596</v>
      </c>
      <c r="G11" s="913" t="s">
        <v>143</v>
      </c>
      <c r="H11" s="900" t="s">
        <v>145</v>
      </c>
      <c r="I11" s="913" t="s">
        <v>2597</v>
      </c>
      <c r="J11" s="913" t="s">
        <v>2598</v>
      </c>
      <c r="M11" s="984" t="s">
        <v>2730</v>
      </c>
      <c r="N11" s="982">
        <v>4</v>
      </c>
      <c r="O11" s="985">
        <f>186*2</f>
        <v>372</v>
      </c>
      <c r="P11" s="982">
        <v>75000</v>
      </c>
      <c r="Q11" s="983">
        <v>300000</v>
      </c>
    </row>
    <row r="12" spans="2:17" ht="24.4" customHeight="1">
      <c r="B12" s="902">
        <v>1</v>
      </c>
      <c r="C12" s="903" t="s">
        <v>2604</v>
      </c>
      <c r="D12" s="904">
        <v>45000</v>
      </c>
      <c r="E12" s="904">
        <v>2</v>
      </c>
      <c r="F12" s="904">
        <v>15</v>
      </c>
      <c r="G12" s="905">
        <f>E12*F12</f>
        <v>30</v>
      </c>
      <c r="H12" s="905">
        <v>4</v>
      </c>
      <c r="I12" s="902" t="s">
        <v>141</v>
      </c>
      <c r="J12" s="906">
        <f t="shared" ref="J12:J17" si="1">G12*D12*H12</f>
        <v>5400000</v>
      </c>
      <c r="M12" s="984" t="s">
        <v>2731</v>
      </c>
      <c r="N12" s="982">
        <v>4</v>
      </c>
      <c r="O12" s="985">
        <f>136*2</f>
        <v>272</v>
      </c>
      <c r="P12" s="982">
        <v>75000</v>
      </c>
      <c r="Q12" s="983">
        <v>300000</v>
      </c>
    </row>
    <row r="13" spans="2:17" ht="21.75" customHeight="1">
      <c r="B13" s="902">
        <v>2</v>
      </c>
      <c r="C13" s="903" t="s">
        <v>2605</v>
      </c>
      <c r="D13" s="904">
        <v>66000</v>
      </c>
      <c r="E13" s="904">
        <v>2</v>
      </c>
      <c r="F13" s="904">
        <v>15</v>
      </c>
      <c r="G13" s="905">
        <f>E13*F13</f>
        <v>30</v>
      </c>
      <c r="H13" s="905">
        <v>4</v>
      </c>
      <c r="I13" s="902" t="s">
        <v>141</v>
      </c>
      <c r="J13" s="906">
        <f t="shared" si="1"/>
        <v>7920000</v>
      </c>
      <c r="M13" s="984" t="s">
        <v>2732</v>
      </c>
      <c r="N13" s="982">
        <v>4</v>
      </c>
      <c r="O13" s="985">
        <f>172*2</f>
        <v>344</v>
      </c>
      <c r="P13" s="982">
        <v>75000</v>
      </c>
      <c r="Q13" s="983">
        <v>300000</v>
      </c>
    </row>
    <row r="14" spans="2:17" ht="37.15" customHeight="1">
      <c r="B14" s="902">
        <v>3</v>
      </c>
      <c r="C14" s="903" t="s">
        <v>2606</v>
      </c>
      <c r="D14" s="904">
        <v>10000</v>
      </c>
      <c r="E14" s="904">
        <v>2</v>
      </c>
      <c r="F14" s="904">
        <v>15</v>
      </c>
      <c r="G14" s="905">
        <f>E14*F14</f>
        <v>30</v>
      </c>
      <c r="H14" s="905">
        <v>4</v>
      </c>
      <c r="I14" s="902" t="s">
        <v>141</v>
      </c>
      <c r="J14" s="906">
        <f t="shared" si="1"/>
        <v>1200000</v>
      </c>
      <c r="M14" s="984" t="s">
        <v>2733</v>
      </c>
      <c r="N14" s="982">
        <v>4</v>
      </c>
      <c r="O14" s="985">
        <f>82*2</f>
        <v>164</v>
      </c>
      <c r="P14" s="982">
        <v>75000</v>
      </c>
      <c r="Q14" s="983">
        <v>300000</v>
      </c>
    </row>
    <row r="15" spans="2:17" ht="37.15" customHeight="1">
      <c r="B15" s="902">
        <v>4</v>
      </c>
      <c r="C15" s="903" t="s">
        <v>2607</v>
      </c>
      <c r="D15" s="915">
        <v>3000</v>
      </c>
      <c r="E15" s="916">
        <v>1</v>
      </c>
      <c r="F15" s="916">
        <v>720</v>
      </c>
      <c r="G15" s="916">
        <f>F15*E15</f>
        <v>720</v>
      </c>
      <c r="H15" s="916">
        <v>4</v>
      </c>
      <c r="I15" s="902" t="s">
        <v>141</v>
      </c>
      <c r="J15" s="906">
        <f t="shared" si="1"/>
        <v>8640000</v>
      </c>
      <c r="M15" s="984" t="s">
        <v>2734</v>
      </c>
      <c r="N15" s="982">
        <v>4</v>
      </c>
      <c r="O15" s="985">
        <f>90*2</f>
        <v>180</v>
      </c>
      <c r="P15" s="982">
        <v>75000</v>
      </c>
      <c r="Q15" s="983">
        <v>300000</v>
      </c>
    </row>
    <row r="16" spans="2:17" ht="37.15" customHeight="1">
      <c r="B16" s="902">
        <v>5</v>
      </c>
      <c r="C16" s="903" t="s">
        <v>2608</v>
      </c>
      <c r="D16" s="915">
        <v>3000</v>
      </c>
      <c r="E16" s="916">
        <v>1</v>
      </c>
      <c r="F16" s="916">
        <f>30*3</f>
        <v>90</v>
      </c>
      <c r="G16" s="916">
        <f>F16*E16</f>
        <v>90</v>
      </c>
      <c r="H16" s="916">
        <v>4</v>
      </c>
      <c r="I16" s="902" t="s">
        <v>141</v>
      </c>
      <c r="J16" s="906">
        <f t="shared" si="1"/>
        <v>1080000</v>
      </c>
      <c r="M16" s="984" t="s">
        <v>2735</v>
      </c>
      <c r="N16" s="982">
        <v>4</v>
      </c>
      <c r="O16" s="985">
        <f>430*2</f>
        <v>860</v>
      </c>
      <c r="P16" s="982">
        <v>75000</v>
      </c>
      <c r="Q16" s="983">
        <v>300000</v>
      </c>
    </row>
    <row r="17" spans="2:17" ht="16.5" customHeight="1" thickBot="1">
      <c r="B17" s="902">
        <v>6</v>
      </c>
      <c r="C17" s="903" t="s">
        <v>2609</v>
      </c>
      <c r="D17" s="915">
        <v>1500</v>
      </c>
      <c r="E17" s="916">
        <v>1</v>
      </c>
      <c r="F17" s="916">
        <f>F15+F16</f>
        <v>810</v>
      </c>
      <c r="G17" s="916">
        <f>F17</f>
        <v>810</v>
      </c>
      <c r="H17" s="916">
        <v>4</v>
      </c>
      <c r="I17" s="902" t="s">
        <v>141</v>
      </c>
      <c r="J17" s="906">
        <f t="shared" si="1"/>
        <v>4860000</v>
      </c>
      <c r="M17" s="968"/>
      <c r="N17" s="986"/>
      <c r="O17" s="1273" t="s">
        <v>2736</v>
      </c>
      <c r="P17" s="1274"/>
      <c r="Q17" s="987">
        <f>SUM(Q4:Q16)</f>
        <v>41771000</v>
      </c>
    </row>
    <row r="18" spans="2:17" ht="15.75">
      <c r="B18" s="1276" t="s">
        <v>209</v>
      </c>
      <c r="C18" s="1276"/>
      <c r="D18" s="1276"/>
      <c r="E18" s="1276"/>
      <c r="F18" s="1276"/>
      <c r="G18" s="1276"/>
      <c r="H18" s="1276"/>
      <c r="I18" s="1276"/>
      <c r="J18" s="917">
        <f>SUM(J12:J17)</f>
        <v>29100000</v>
      </c>
    </row>
    <row r="19" spans="2:17">
      <c r="P19" s="924" t="s">
        <v>2737</v>
      </c>
      <c r="Q19" s="925">
        <f>Q17/13</f>
        <v>3213153.846153846</v>
      </c>
    </row>
    <row r="20" spans="2:17" ht="16.5" thickBot="1">
      <c r="B20" s="1283" t="s">
        <v>2610</v>
      </c>
      <c r="C20" s="1284"/>
      <c r="D20" s="1284"/>
      <c r="E20" s="1284"/>
      <c r="F20" s="1284"/>
      <c r="G20" s="1284"/>
      <c r="H20" s="1284"/>
      <c r="I20" s="1284"/>
      <c r="J20" s="1284"/>
      <c r="Q20" s="988">
        <v>3213154</v>
      </c>
    </row>
    <row r="21" spans="2:17" ht="31.5">
      <c r="B21" s="918" t="s">
        <v>2594</v>
      </c>
      <c r="C21" s="919" t="s">
        <v>2200</v>
      </c>
      <c r="D21" s="920" t="s">
        <v>10</v>
      </c>
      <c r="E21" s="920" t="s">
        <v>2595</v>
      </c>
      <c r="F21" s="920" t="s">
        <v>2596</v>
      </c>
      <c r="G21" s="920" t="s">
        <v>143</v>
      </c>
      <c r="H21" s="900" t="s">
        <v>145</v>
      </c>
      <c r="I21" s="921" t="s">
        <v>2597</v>
      </c>
      <c r="J21" s="922" t="s">
        <v>2598</v>
      </c>
    </row>
    <row r="22" spans="2:17" ht="34.5" customHeight="1">
      <c r="B22" s="902">
        <v>1</v>
      </c>
      <c r="C22" s="903" t="s">
        <v>2611</v>
      </c>
      <c r="D22" s="904">
        <v>10000</v>
      </c>
      <c r="E22" s="904">
        <v>1</v>
      </c>
      <c r="F22" s="904">
        <v>45</v>
      </c>
      <c r="G22" s="905">
        <f>E22*F22</f>
        <v>45</v>
      </c>
      <c r="H22" s="905">
        <v>12</v>
      </c>
      <c r="I22" s="902" t="s">
        <v>141</v>
      </c>
      <c r="J22" s="906">
        <f>G22*D22*H22</f>
        <v>5400000</v>
      </c>
    </row>
    <row r="23" spans="2:17" ht="33.4" customHeight="1" thickBot="1">
      <c r="B23" s="902">
        <v>2</v>
      </c>
      <c r="C23" s="903" t="s">
        <v>2612</v>
      </c>
      <c r="D23" s="904">
        <v>2000</v>
      </c>
      <c r="E23" s="904">
        <v>1</v>
      </c>
      <c r="F23" s="904">
        <v>45</v>
      </c>
      <c r="G23" s="905">
        <f>E23*F23</f>
        <v>45</v>
      </c>
      <c r="H23" s="905">
        <v>12</v>
      </c>
      <c r="I23" s="902" t="s">
        <v>141</v>
      </c>
      <c r="J23" s="906">
        <f>G23*D23*H23</f>
        <v>1080000</v>
      </c>
    </row>
    <row r="24" spans="2:17" ht="16.5" thickBot="1">
      <c r="B24" s="1277" t="s">
        <v>209</v>
      </c>
      <c r="C24" s="1278"/>
      <c r="D24" s="1278"/>
      <c r="E24" s="1278"/>
      <c r="F24" s="1278"/>
      <c r="G24" s="1278"/>
      <c r="H24" s="1278"/>
      <c r="I24" s="1279"/>
      <c r="J24" s="911">
        <f>SUM(J22:J23)</f>
        <v>6480000</v>
      </c>
    </row>
    <row r="26" spans="2:17" ht="15.75">
      <c r="B26" s="1275" t="s">
        <v>2613</v>
      </c>
      <c r="C26" s="1275"/>
      <c r="D26" s="1275"/>
      <c r="E26" s="1275"/>
      <c r="F26" s="1275"/>
      <c r="G26" s="1275"/>
      <c r="H26" s="1275"/>
      <c r="I26" s="1275"/>
      <c r="J26" s="1275"/>
    </row>
    <row r="27" spans="2:17" ht="31.5">
      <c r="B27" s="913" t="s">
        <v>2594</v>
      </c>
      <c r="C27" s="914" t="s">
        <v>2200</v>
      </c>
      <c r="D27" s="913" t="s">
        <v>10</v>
      </c>
      <c r="E27" s="913" t="s">
        <v>2595</v>
      </c>
      <c r="F27" s="913" t="s">
        <v>2596</v>
      </c>
      <c r="G27" s="913" t="s">
        <v>143</v>
      </c>
      <c r="H27" s="900" t="s">
        <v>145</v>
      </c>
      <c r="I27" s="913" t="s">
        <v>2597</v>
      </c>
      <c r="J27" s="913" t="s">
        <v>2598</v>
      </c>
    </row>
    <row r="28" spans="2:17" ht="37.15" customHeight="1">
      <c r="B28" s="902">
        <v>1</v>
      </c>
      <c r="C28" s="903" t="s">
        <v>2614</v>
      </c>
      <c r="D28" s="904">
        <v>3000</v>
      </c>
      <c r="E28" s="904">
        <v>1</v>
      </c>
      <c r="F28" s="904">
        <v>890</v>
      </c>
      <c r="G28" s="905">
        <f>E28*F28</f>
        <v>890</v>
      </c>
      <c r="H28" s="905">
        <v>12</v>
      </c>
      <c r="I28" s="902" t="s">
        <v>141</v>
      </c>
      <c r="J28" s="906">
        <f>G28*D28*H28</f>
        <v>32040000</v>
      </c>
    </row>
    <row r="29" spans="2:17" ht="32.65" customHeight="1">
      <c r="B29" s="902">
        <v>2</v>
      </c>
      <c r="C29" s="903" t="s">
        <v>2615</v>
      </c>
      <c r="D29" s="904">
        <v>2000</v>
      </c>
      <c r="E29" s="904">
        <v>1</v>
      </c>
      <c r="F29" s="904">
        <v>40</v>
      </c>
      <c r="G29" s="905">
        <f>E29*F29</f>
        <v>40</v>
      </c>
      <c r="H29" s="905">
        <v>12</v>
      </c>
      <c r="I29" s="902" t="s">
        <v>141</v>
      </c>
      <c r="J29" s="906">
        <f>G29*D29*H29</f>
        <v>960000</v>
      </c>
    </row>
    <row r="30" spans="2:17" ht="21" customHeight="1">
      <c r="B30" s="902">
        <v>3</v>
      </c>
      <c r="C30" s="903" t="s">
        <v>2616</v>
      </c>
      <c r="D30" s="904">
        <v>1500</v>
      </c>
      <c r="E30" s="904">
        <v>1</v>
      </c>
      <c r="F30" s="904">
        <v>890</v>
      </c>
      <c r="G30" s="905">
        <f>E30*F30</f>
        <v>890</v>
      </c>
      <c r="H30" s="905">
        <v>12</v>
      </c>
      <c r="I30" s="902" t="s">
        <v>141</v>
      </c>
      <c r="J30" s="906">
        <f>G30*D30*H30</f>
        <v>16020000</v>
      </c>
    </row>
    <row r="31" spans="2:17" ht="15.75">
      <c r="B31" s="1276" t="s">
        <v>209</v>
      </c>
      <c r="C31" s="1276"/>
      <c r="D31" s="1276"/>
      <c r="E31" s="1276"/>
      <c r="F31" s="1276"/>
      <c r="G31" s="1276"/>
      <c r="H31" s="1276"/>
      <c r="I31" s="1276"/>
      <c r="J31" s="917">
        <f>SUM(J28:J30)</f>
        <v>49020000</v>
      </c>
    </row>
    <row r="33" spans="2:13" ht="20.45" customHeight="1">
      <c r="B33" s="1275" t="s">
        <v>2617</v>
      </c>
      <c r="C33" s="1275"/>
      <c r="D33" s="1275"/>
      <c r="E33" s="1275"/>
      <c r="F33" s="1275"/>
      <c r="G33" s="1275"/>
      <c r="H33" s="1275"/>
      <c r="I33" s="1275"/>
      <c r="J33" s="1275"/>
      <c r="M33" s="896"/>
    </row>
    <row r="34" spans="2:13" ht="20.45" customHeight="1">
      <c r="B34" s="913" t="s">
        <v>2594</v>
      </c>
      <c r="C34" s="914" t="s">
        <v>2200</v>
      </c>
      <c r="D34" s="913" t="s">
        <v>10</v>
      </c>
      <c r="E34" s="913" t="s">
        <v>2595</v>
      </c>
      <c r="F34" s="913" t="s">
        <v>2596</v>
      </c>
      <c r="G34" s="913" t="s">
        <v>143</v>
      </c>
      <c r="H34" s="900" t="s">
        <v>145</v>
      </c>
      <c r="I34" s="913" t="s">
        <v>2597</v>
      </c>
      <c r="J34" s="913" t="s">
        <v>2598</v>
      </c>
    </row>
    <row r="35" spans="2:13" ht="19.5" customHeight="1">
      <c r="B35" s="902">
        <v>1</v>
      </c>
      <c r="C35" s="903" t="s">
        <v>2618</v>
      </c>
      <c r="D35" s="904">
        <v>45000</v>
      </c>
      <c r="E35" s="904">
        <v>2</v>
      </c>
      <c r="F35" s="904">
        <f>5*2</f>
        <v>10</v>
      </c>
      <c r="G35" s="905">
        <f>E35*F35</f>
        <v>20</v>
      </c>
      <c r="H35" s="905">
        <v>4</v>
      </c>
      <c r="I35" s="902" t="s">
        <v>141</v>
      </c>
      <c r="J35" s="906">
        <f>G35*D35*H35</f>
        <v>3600000</v>
      </c>
    </row>
    <row r="36" spans="2:13" ht="19.5" customHeight="1">
      <c r="B36" s="902">
        <v>2</v>
      </c>
      <c r="C36" s="903" t="s">
        <v>2605</v>
      </c>
      <c r="D36" s="904">
        <v>66000</v>
      </c>
      <c r="E36" s="904">
        <v>2</v>
      </c>
      <c r="F36" s="904">
        <v>5</v>
      </c>
      <c r="G36" s="905">
        <f>E36*F36</f>
        <v>10</v>
      </c>
      <c r="H36" s="905">
        <v>4</v>
      </c>
      <c r="I36" s="902" t="s">
        <v>141</v>
      </c>
      <c r="J36" s="906">
        <f>G36*D36*H36</f>
        <v>2640000</v>
      </c>
    </row>
    <row r="37" spans="2:13" ht="22.5" customHeight="1">
      <c r="B37" s="902">
        <v>3</v>
      </c>
      <c r="C37" s="903" t="s">
        <v>2619</v>
      </c>
      <c r="D37" s="904">
        <v>3000</v>
      </c>
      <c r="E37" s="904">
        <v>4</v>
      </c>
      <c r="F37" s="904">
        <v>15</v>
      </c>
      <c r="G37" s="905">
        <f>E37*F37</f>
        <v>60</v>
      </c>
      <c r="H37" s="905">
        <v>4</v>
      </c>
      <c r="I37" s="902" t="s">
        <v>141</v>
      </c>
      <c r="J37" s="906">
        <f>G37*D37*H37</f>
        <v>720000</v>
      </c>
    </row>
    <row r="38" spans="2:13" ht="34.9" customHeight="1">
      <c r="B38" s="902">
        <v>4</v>
      </c>
      <c r="C38" s="903" t="s">
        <v>2620</v>
      </c>
      <c r="D38" s="915">
        <v>10000</v>
      </c>
      <c r="E38" s="916">
        <v>2</v>
      </c>
      <c r="F38" s="916">
        <f>5*2</f>
        <v>10</v>
      </c>
      <c r="G38" s="916">
        <f>F38*E38</f>
        <v>20</v>
      </c>
      <c r="H38" s="916">
        <v>4</v>
      </c>
      <c r="I38" s="902" t="s">
        <v>141</v>
      </c>
      <c r="J38" s="906">
        <f>G38*D38*H38</f>
        <v>800000</v>
      </c>
    </row>
    <row r="39" spans="2:13" ht="32.25" customHeight="1">
      <c r="B39" s="902">
        <v>6</v>
      </c>
      <c r="C39" s="903" t="s">
        <v>2621</v>
      </c>
      <c r="D39" s="915">
        <v>2000</v>
      </c>
      <c r="E39" s="916">
        <v>1</v>
      </c>
      <c r="F39" s="916">
        <v>5</v>
      </c>
      <c r="G39" s="916">
        <f>F39</f>
        <v>5</v>
      </c>
      <c r="H39" s="916">
        <v>4</v>
      </c>
      <c r="I39" s="902" t="s">
        <v>141</v>
      </c>
      <c r="J39" s="906">
        <f>G39*D39*H39</f>
        <v>40000</v>
      </c>
    </row>
    <row r="40" spans="2:13" ht="15.75">
      <c r="B40" s="1276" t="s">
        <v>209</v>
      </c>
      <c r="C40" s="1276"/>
      <c r="D40" s="1276"/>
      <c r="E40" s="1276"/>
      <c r="F40" s="1276"/>
      <c r="G40" s="1276"/>
      <c r="H40" s="1276"/>
      <c r="I40" s="1276"/>
      <c r="J40" s="917">
        <f>SUM(J35:J39)</f>
        <v>7800000</v>
      </c>
    </row>
    <row r="42" spans="2:13" ht="15.75">
      <c r="B42" s="1275" t="s">
        <v>2622</v>
      </c>
      <c r="C42" s="1275"/>
      <c r="D42" s="1275"/>
      <c r="E42" s="1275"/>
      <c r="F42" s="1275"/>
      <c r="G42" s="1275"/>
      <c r="H42" s="1275"/>
      <c r="I42" s="1275"/>
      <c r="J42" s="1275"/>
    </row>
    <row r="43" spans="2:13" ht="31.5">
      <c r="B43" s="913" t="s">
        <v>2594</v>
      </c>
      <c r="C43" s="914" t="s">
        <v>2200</v>
      </c>
      <c r="D43" s="913" t="s">
        <v>10</v>
      </c>
      <c r="E43" s="913" t="s">
        <v>2595</v>
      </c>
      <c r="F43" s="913" t="s">
        <v>2596</v>
      </c>
      <c r="G43" s="913" t="s">
        <v>143</v>
      </c>
      <c r="H43" s="900" t="s">
        <v>145</v>
      </c>
      <c r="I43" s="913" t="s">
        <v>2597</v>
      </c>
      <c r="J43" s="913" t="s">
        <v>2598</v>
      </c>
    </row>
    <row r="44" spans="2:13" ht="36.4" customHeight="1">
      <c r="B44" s="902">
        <v>1</v>
      </c>
      <c r="C44" s="903" t="s">
        <v>2623</v>
      </c>
      <c r="D44" s="904">
        <v>3000</v>
      </c>
      <c r="E44" s="904">
        <v>4</v>
      </c>
      <c r="F44" s="904">
        <f>40*3</f>
        <v>120</v>
      </c>
      <c r="G44" s="905">
        <f>E44*F44</f>
        <v>480</v>
      </c>
      <c r="H44" s="905">
        <v>12</v>
      </c>
      <c r="I44" s="902" t="s">
        <v>141</v>
      </c>
      <c r="J44" s="906">
        <f>G44*D44*H44</f>
        <v>17280000</v>
      </c>
    </row>
    <row r="45" spans="2:13" ht="15.75">
      <c r="B45" s="1276" t="s">
        <v>209</v>
      </c>
      <c r="C45" s="1276"/>
      <c r="D45" s="1276"/>
      <c r="E45" s="1276"/>
      <c r="F45" s="1276"/>
      <c r="G45" s="1276"/>
      <c r="H45" s="1276"/>
      <c r="I45" s="1276"/>
      <c r="J45" s="917">
        <f>SUM(J44:J44)</f>
        <v>17280000</v>
      </c>
    </row>
    <row r="47" spans="2:13" ht="15.75">
      <c r="B47" s="1275" t="s">
        <v>2624</v>
      </c>
      <c r="C47" s="1275"/>
      <c r="D47" s="1275"/>
      <c r="E47" s="1275"/>
      <c r="F47" s="1275"/>
      <c r="G47" s="1275"/>
      <c r="H47" s="1275"/>
      <c r="I47" s="1275"/>
      <c r="J47" s="1275"/>
    </row>
    <row r="48" spans="2:13" ht="31.5">
      <c r="B48" s="913" t="s">
        <v>2594</v>
      </c>
      <c r="C48" s="914" t="s">
        <v>2200</v>
      </c>
      <c r="D48" s="913" t="s">
        <v>10</v>
      </c>
      <c r="E48" s="913" t="s">
        <v>2595</v>
      </c>
      <c r="F48" s="913" t="s">
        <v>2596</v>
      </c>
      <c r="G48" s="913" t="s">
        <v>143</v>
      </c>
      <c r="H48" s="900" t="s">
        <v>145</v>
      </c>
      <c r="I48" s="913" t="s">
        <v>2597</v>
      </c>
      <c r="J48" s="913" t="s">
        <v>2598</v>
      </c>
    </row>
    <row r="49" spans="2:11" ht="33.75" customHeight="1">
      <c r="B49" s="902">
        <v>1</v>
      </c>
      <c r="C49" s="903" t="s">
        <v>2625</v>
      </c>
      <c r="D49" s="904">
        <v>45000</v>
      </c>
      <c r="E49" s="904">
        <v>1</v>
      </c>
      <c r="F49" s="904">
        <f>54%*40</f>
        <v>21.6</v>
      </c>
      <c r="G49" s="905">
        <f>E49*F49</f>
        <v>21.6</v>
      </c>
      <c r="H49" s="905">
        <v>4</v>
      </c>
      <c r="I49" s="902" t="s">
        <v>141</v>
      </c>
      <c r="J49" s="906">
        <f t="shared" ref="J49:J54" si="2">G49*D49*H49</f>
        <v>3888000.0000000005</v>
      </c>
    </row>
    <row r="50" spans="2:11" ht="23.65" customHeight="1">
      <c r="B50" s="902">
        <v>2</v>
      </c>
      <c r="C50" s="903" t="s">
        <v>2626</v>
      </c>
      <c r="D50" s="904">
        <v>10000</v>
      </c>
      <c r="E50" s="904">
        <v>1</v>
      </c>
      <c r="F50" s="904">
        <f>54%*40</f>
        <v>21.6</v>
      </c>
      <c r="G50" s="905">
        <f>E50*F50</f>
        <v>21.6</v>
      </c>
      <c r="H50" s="905">
        <v>4</v>
      </c>
      <c r="I50" s="902" t="s">
        <v>141</v>
      </c>
      <c r="J50" s="906">
        <f t="shared" si="2"/>
        <v>864000</v>
      </c>
    </row>
    <row r="51" spans="2:11" ht="38.65" customHeight="1">
      <c r="B51" s="902">
        <v>3</v>
      </c>
      <c r="C51" s="903" t="s">
        <v>2627</v>
      </c>
      <c r="D51" s="904">
        <v>5000</v>
      </c>
      <c r="E51" s="904">
        <v>1</v>
      </c>
      <c r="F51" s="904">
        <v>5</v>
      </c>
      <c r="G51" s="905">
        <f>E51*F51</f>
        <v>5</v>
      </c>
      <c r="H51" s="905">
        <v>4</v>
      </c>
      <c r="I51" s="902" t="s">
        <v>141</v>
      </c>
      <c r="J51" s="906">
        <f t="shared" si="2"/>
        <v>100000</v>
      </c>
    </row>
    <row r="52" spans="2:11" ht="17.25" customHeight="1">
      <c r="B52" s="902">
        <v>4</v>
      </c>
      <c r="C52" s="903" t="s">
        <v>2628</v>
      </c>
      <c r="D52" s="915">
        <v>10000</v>
      </c>
      <c r="E52" s="916">
        <v>1</v>
      </c>
      <c r="F52" s="904">
        <f>46%*40</f>
        <v>18.400000000000002</v>
      </c>
      <c r="G52" s="923">
        <f>F52*E52</f>
        <v>18.400000000000002</v>
      </c>
      <c r="H52" s="923">
        <v>4</v>
      </c>
      <c r="I52" s="902" t="s">
        <v>141</v>
      </c>
      <c r="J52" s="906">
        <f t="shared" si="2"/>
        <v>736000.00000000012</v>
      </c>
    </row>
    <row r="53" spans="2:11" ht="26.65" customHeight="1">
      <c r="B53" s="902">
        <v>5</v>
      </c>
      <c r="C53" s="903" t="s">
        <v>2629</v>
      </c>
      <c r="D53" s="915">
        <v>5200</v>
      </c>
      <c r="E53" s="916">
        <v>1</v>
      </c>
      <c r="F53" s="916">
        <v>40</v>
      </c>
      <c r="G53" s="916">
        <f>F53*E53</f>
        <v>40</v>
      </c>
      <c r="H53" s="916">
        <v>4</v>
      </c>
      <c r="I53" s="902" t="s">
        <v>141</v>
      </c>
      <c r="J53" s="906">
        <f t="shared" si="2"/>
        <v>832000</v>
      </c>
    </row>
    <row r="54" spans="2:11" ht="18" customHeight="1">
      <c r="B54" s="902">
        <v>6</v>
      </c>
      <c r="C54" s="903" t="s">
        <v>2630</v>
      </c>
      <c r="D54" s="915">
        <v>120000</v>
      </c>
      <c r="E54" s="916">
        <v>1</v>
      </c>
      <c r="F54" s="916">
        <v>1</v>
      </c>
      <c r="G54" s="916">
        <f>F54*E54</f>
        <v>1</v>
      </c>
      <c r="H54" s="916">
        <v>4</v>
      </c>
      <c r="I54" s="902" t="s">
        <v>141</v>
      </c>
      <c r="J54" s="906">
        <f t="shared" si="2"/>
        <v>480000</v>
      </c>
    </row>
    <row r="55" spans="2:11" ht="15.75">
      <c r="B55" s="1276" t="s">
        <v>209</v>
      </c>
      <c r="C55" s="1276"/>
      <c r="D55" s="1276"/>
      <c r="E55" s="1276"/>
      <c r="F55" s="1276"/>
      <c r="G55" s="1276"/>
      <c r="H55" s="1276"/>
      <c r="I55" s="1276"/>
      <c r="J55" s="917">
        <f>SUM(J49:J54)</f>
        <v>6900000</v>
      </c>
    </row>
    <row r="57" spans="2:11">
      <c r="I57" s="924" t="s">
        <v>22</v>
      </c>
      <c r="J57" s="925">
        <f>J8+J18+J24+J31+J40+J45+J55</f>
        <v>126408000</v>
      </c>
    </row>
    <row r="58" spans="2:11">
      <c r="I58" s="924" t="s">
        <v>2631</v>
      </c>
      <c r="J58" s="925">
        <f>J57/27</f>
        <v>4681777.777777778</v>
      </c>
      <c r="K58" s="926">
        <v>4681778</v>
      </c>
    </row>
  </sheetData>
  <mergeCells count="16">
    <mergeCell ref="M1:Q1"/>
    <mergeCell ref="O17:P17"/>
    <mergeCell ref="B47:J47"/>
    <mergeCell ref="B55:I55"/>
    <mergeCell ref="B26:J26"/>
    <mergeCell ref="B31:I31"/>
    <mergeCell ref="B33:J33"/>
    <mergeCell ref="B40:I40"/>
    <mergeCell ref="B42:J42"/>
    <mergeCell ref="B45:I45"/>
    <mergeCell ref="B24:I24"/>
    <mergeCell ref="B2:J2"/>
    <mergeCell ref="B8:I8"/>
    <mergeCell ref="B10:J10"/>
    <mergeCell ref="B18:I18"/>
    <mergeCell ref="B20:J20"/>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C703B-1B5F-4AD0-BB20-7DEAC3D6B6EE}">
  <dimension ref="A1:AH22"/>
  <sheetViews>
    <sheetView topLeftCell="A9" workbookViewId="0">
      <selection activeCell="L15" sqref="L15"/>
    </sheetView>
  </sheetViews>
  <sheetFormatPr defaultRowHeight="15"/>
  <cols>
    <col min="1" max="1" width="20.7109375" customWidth="1"/>
    <col min="2" max="2" width="12.85546875" customWidth="1"/>
    <col min="3" max="3" width="10.5703125" bestFit="1" customWidth="1"/>
    <col min="4" max="4" width="38.42578125" customWidth="1"/>
    <col min="5" max="5" width="18.28515625" customWidth="1"/>
    <col min="6" max="6" width="15.42578125" customWidth="1"/>
    <col min="7" max="7" width="16.28515625" customWidth="1"/>
    <col min="8" max="8" width="18.140625" customWidth="1"/>
    <col min="9" max="9" width="16.5703125" customWidth="1"/>
    <col min="10" max="10" width="13.28515625" bestFit="1" customWidth="1"/>
    <col min="11" max="13" width="11.140625" customWidth="1"/>
    <col min="14" max="14" width="13" customWidth="1"/>
    <col min="15" max="16" width="9.85546875" customWidth="1"/>
    <col min="17" max="17" width="13" customWidth="1"/>
    <col min="18" max="19" width="12.42578125" customWidth="1"/>
    <col min="20" max="21" width="10.28515625" customWidth="1"/>
    <col min="22" max="22" width="12.42578125" customWidth="1"/>
    <col min="23" max="25" width="19" customWidth="1"/>
    <col min="26" max="27" width="10.85546875" customWidth="1"/>
    <col min="28" max="28" width="53" customWidth="1"/>
    <col min="29" max="29" width="17.5703125" customWidth="1"/>
    <col min="30" max="30" width="15.7109375" customWidth="1"/>
    <col min="31" max="31" width="15.85546875" customWidth="1"/>
    <col min="32" max="32" width="14.85546875" customWidth="1"/>
    <col min="33" max="33" width="14.7109375" customWidth="1"/>
    <col min="34" max="34" width="13" customWidth="1"/>
  </cols>
  <sheetData>
    <row r="1" spans="1:34" ht="15.75" thickBot="1">
      <c r="A1" s="1288" t="s">
        <v>2430</v>
      </c>
      <c r="B1" s="1288"/>
      <c r="C1" s="1288"/>
      <c r="D1" s="1288"/>
      <c r="E1" s="1288"/>
      <c r="F1" s="1288"/>
      <c r="G1" s="1288"/>
      <c r="H1" s="1288"/>
      <c r="I1" s="1288"/>
      <c r="J1" s="1288"/>
      <c r="K1" s="1288"/>
      <c r="L1" s="1288"/>
      <c r="M1" s="1288"/>
      <c r="N1" s="1288"/>
    </row>
    <row r="2" spans="1:34" ht="48" customHeight="1" thickTop="1">
      <c r="A2" s="726"/>
      <c r="B2" s="1285" t="s">
        <v>1591</v>
      </c>
      <c r="C2" s="1285"/>
      <c r="D2" s="1285"/>
      <c r="E2" s="1285"/>
      <c r="F2" s="1285" t="s">
        <v>1667</v>
      </c>
      <c r="G2" s="1285"/>
      <c r="H2" s="1285"/>
      <c r="I2" s="1285"/>
      <c r="J2" s="1285" t="s">
        <v>318</v>
      </c>
      <c r="K2" s="1285"/>
      <c r="L2" s="1285"/>
      <c r="M2" s="1285"/>
      <c r="N2" s="1285" t="s">
        <v>1384</v>
      </c>
      <c r="O2" s="1285"/>
      <c r="P2" s="1285"/>
      <c r="Q2" s="1285"/>
      <c r="R2" s="1285" t="s">
        <v>623</v>
      </c>
      <c r="S2" s="1285"/>
      <c r="T2" s="1285"/>
      <c r="U2" s="1285"/>
      <c r="V2" s="1285" t="s">
        <v>464</v>
      </c>
      <c r="W2" s="1285"/>
      <c r="X2" s="1285"/>
      <c r="Y2" s="1286"/>
    </row>
    <row r="3" spans="1:34" ht="45">
      <c r="A3" s="727" t="s">
        <v>2431</v>
      </c>
      <c r="B3" s="728" t="s">
        <v>2432</v>
      </c>
      <c r="C3" s="728" t="s">
        <v>2433</v>
      </c>
      <c r="D3" s="728" t="s">
        <v>2434</v>
      </c>
      <c r="E3" s="728" t="s">
        <v>2435</v>
      </c>
      <c r="F3" s="729" t="s">
        <v>2432</v>
      </c>
      <c r="G3" s="729" t="s">
        <v>2433</v>
      </c>
      <c r="H3" s="729" t="s">
        <v>2434</v>
      </c>
      <c r="I3" s="729" t="s">
        <v>2436</v>
      </c>
      <c r="J3" s="730" t="s">
        <v>2432</v>
      </c>
      <c r="K3" s="730" t="s">
        <v>2433</v>
      </c>
      <c r="L3" s="730" t="s">
        <v>2434</v>
      </c>
      <c r="M3" s="730" t="s">
        <v>2437</v>
      </c>
      <c r="N3" s="731" t="s">
        <v>2432</v>
      </c>
      <c r="O3" s="731" t="s">
        <v>2433</v>
      </c>
      <c r="P3" s="731" t="s">
        <v>2434</v>
      </c>
      <c r="Q3" s="731" t="s">
        <v>2438</v>
      </c>
      <c r="R3" s="732" t="s">
        <v>2432</v>
      </c>
      <c r="S3" s="732" t="s">
        <v>2433</v>
      </c>
      <c r="T3" s="732" t="s">
        <v>2434</v>
      </c>
      <c r="U3" s="732" t="s">
        <v>2439</v>
      </c>
      <c r="V3" s="733" t="s">
        <v>2432</v>
      </c>
      <c r="W3" s="733" t="s">
        <v>2433</v>
      </c>
      <c r="X3" s="733" t="s">
        <v>2434</v>
      </c>
      <c r="Y3" s="734" t="s">
        <v>2440</v>
      </c>
    </row>
    <row r="4" spans="1:34">
      <c r="A4" s="735" t="s">
        <v>2441</v>
      </c>
      <c r="B4" s="736">
        <v>8273425.4111459516</v>
      </c>
      <c r="C4" s="737">
        <f>B4*(4%)</f>
        <v>330937.01644583809</v>
      </c>
      <c r="D4" s="737">
        <f>B4*(4%)</f>
        <v>330937.01644583809</v>
      </c>
      <c r="E4" s="736">
        <f>SUM(C4:D4)</f>
        <v>661874.03289167618</v>
      </c>
      <c r="F4" s="738">
        <v>7219541.1687974427</v>
      </c>
      <c r="G4" s="739">
        <f>F4*(4%)</f>
        <v>288781.6467518977</v>
      </c>
      <c r="H4" s="739">
        <f>F4*(4%)</f>
        <v>288781.6467518977</v>
      </c>
      <c r="I4" s="738">
        <f>SUM(G4:H4)</f>
        <v>577563.2935037954</v>
      </c>
      <c r="J4" s="740">
        <v>5217035.3832100583</v>
      </c>
      <c r="K4" s="741">
        <f>J4*(4%)</f>
        <v>208681.41532840233</v>
      </c>
      <c r="L4" s="741">
        <f>J4*(4%)</f>
        <v>208681.41532840233</v>
      </c>
      <c r="M4" s="740">
        <f>SUM(K4:L4)</f>
        <v>417362.83065680467</v>
      </c>
      <c r="N4" s="742">
        <v>8183614.5927719437</v>
      </c>
      <c r="O4" s="743">
        <f>N4*(4%)</f>
        <v>327344.58371087775</v>
      </c>
      <c r="P4" s="743">
        <f>N4*(4%)</f>
        <v>327344.58371087775</v>
      </c>
      <c r="Q4" s="742">
        <f>SUM(O4:P4)</f>
        <v>654689.1674217555</v>
      </c>
      <c r="R4" s="744">
        <v>3957663.1485728803</v>
      </c>
      <c r="S4" s="745">
        <f>R4*(4%)</f>
        <v>158306.52594291521</v>
      </c>
      <c r="T4" s="745">
        <f>R4*(4%)</f>
        <v>158306.52594291521</v>
      </c>
      <c r="U4" s="744">
        <f>SUM(S4:T4)</f>
        <v>316613.05188583041</v>
      </c>
      <c r="V4" s="746">
        <v>6359466.8683131561</v>
      </c>
      <c r="W4" s="747">
        <f>V4*(4%)</f>
        <v>254378.67473252624</v>
      </c>
      <c r="X4" s="747">
        <f>V4*(4%)</f>
        <v>254378.67473252624</v>
      </c>
      <c r="Y4" s="748">
        <f>SUM(W4:X4)</f>
        <v>508757.34946505248</v>
      </c>
      <c r="Z4" s="749"/>
      <c r="AA4" s="749"/>
    </row>
    <row r="5" spans="1:34" ht="15.75" thickBot="1">
      <c r="A5" s="750" t="s">
        <v>2442</v>
      </c>
      <c r="B5" s="751">
        <v>8546448.4497137666</v>
      </c>
      <c r="C5" s="752">
        <f>B5*(4%)</f>
        <v>341857.93798855069</v>
      </c>
      <c r="D5" s="752">
        <f>B5*(4%)</f>
        <v>341857.93798855069</v>
      </c>
      <c r="E5" s="753">
        <f>SUM(C5:D5)</f>
        <v>683715.87597710139</v>
      </c>
      <c r="F5" s="754">
        <v>7450566.4861989608</v>
      </c>
      <c r="G5" s="755">
        <f>F5*(4%)</f>
        <v>298022.65944795846</v>
      </c>
      <c r="H5" s="755">
        <f>F5*(4%)</f>
        <v>298022.65944795846</v>
      </c>
      <c r="I5" s="754">
        <f>SUM(G5:H5)</f>
        <v>596045.31889591692</v>
      </c>
      <c r="J5" s="756">
        <v>5373546.4447063599</v>
      </c>
      <c r="K5" s="757">
        <f>J5*(4%)</f>
        <v>214941.85778825439</v>
      </c>
      <c r="L5" s="757">
        <f>J5*(4%)</f>
        <v>214941.85778825439</v>
      </c>
      <c r="M5" s="756">
        <f>SUM(K5:L5)</f>
        <v>429883.71557650878</v>
      </c>
      <c r="N5" s="758">
        <v>8445490.2597406469</v>
      </c>
      <c r="O5" s="759">
        <f>N5*(4%)</f>
        <v>337819.61038962589</v>
      </c>
      <c r="P5" s="759">
        <f>N5*(4%)</f>
        <v>337819.61038962589</v>
      </c>
      <c r="Q5" s="758">
        <f>SUM(O5:P5)</f>
        <v>675639.22077925177</v>
      </c>
      <c r="R5" s="760">
        <v>4554050.6745548956</v>
      </c>
      <c r="S5" s="761">
        <f>R5*(4%)</f>
        <v>182162.02698219582</v>
      </c>
      <c r="T5" s="761">
        <f>R5*(4%)</f>
        <v>182162.02698219582</v>
      </c>
      <c r="U5" s="760">
        <f>SUM(S5:T5)</f>
        <v>364324.05396439164</v>
      </c>
      <c r="V5" s="762">
        <v>6543891.4074942367</v>
      </c>
      <c r="W5" s="763">
        <f>V5*(4%)</f>
        <v>261755.65629976947</v>
      </c>
      <c r="X5" s="763">
        <f>V5*(4%)</f>
        <v>261755.65629976947</v>
      </c>
      <c r="Y5" s="764">
        <f>SUM(W5:X5)</f>
        <v>523511.31259953894</v>
      </c>
      <c r="AH5" s="667"/>
    </row>
    <row r="6" spans="1:34" ht="16.5" thickTop="1" thickBot="1">
      <c r="B6" s="765">
        <f>B4+B5</f>
        <v>16819873.860859718</v>
      </c>
    </row>
    <row r="7" spans="1:34">
      <c r="E7" s="749"/>
      <c r="H7" s="749">
        <f>E4+I4</f>
        <v>1239437.3263954716</v>
      </c>
      <c r="I7" s="749">
        <f>E4+I4+M4+Q4+U4+Y4</f>
        <v>3136859.7258249144</v>
      </c>
    </row>
    <row r="8" spans="1:34" ht="15.75" thickBot="1">
      <c r="H8" s="749">
        <f>E5+I5</f>
        <v>1279761.1948730182</v>
      </c>
      <c r="I8" s="749">
        <f>E5+I5+M5+Q5+U5+Y5</f>
        <v>3273119.4977927092</v>
      </c>
      <c r="AG8" s="749"/>
    </row>
    <row r="9" spans="1:34" ht="16.5" thickTop="1" thickBot="1">
      <c r="D9" s="766"/>
      <c r="E9" s="1287" t="s">
        <v>2443</v>
      </c>
      <c r="F9" s="1287"/>
      <c r="G9" s="1287" t="s">
        <v>2444</v>
      </c>
      <c r="H9" s="1287"/>
      <c r="I9" s="767"/>
    </row>
    <row r="10" spans="1:34" ht="15.75" thickTop="1">
      <c r="D10" s="768" t="s">
        <v>2445</v>
      </c>
      <c r="E10" s="769" t="s">
        <v>2446</v>
      </c>
      <c r="F10" s="769" t="s">
        <v>2447</v>
      </c>
      <c r="G10" s="769" t="s">
        <v>2446</v>
      </c>
      <c r="H10" s="769" t="s">
        <v>2447</v>
      </c>
      <c r="I10" s="770" t="s">
        <v>1854</v>
      </c>
    </row>
    <row r="11" spans="1:34">
      <c r="D11" s="771" t="s">
        <v>2448</v>
      </c>
      <c r="E11" s="772">
        <f>O4+G4+C4</f>
        <v>947063.24690861348</v>
      </c>
      <c r="F11" s="772">
        <f>P4+H4+D4</f>
        <v>947063.24690861348</v>
      </c>
      <c r="G11" s="772">
        <f>O5+G5+C5</f>
        <v>977700.20782613498</v>
      </c>
      <c r="H11" s="772">
        <f>P5+H5+D5</f>
        <v>977700.20782613498</v>
      </c>
      <c r="I11" s="773">
        <f>SUM(E11:H11)</f>
        <v>3849526.9094694965</v>
      </c>
      <c r="J11" s="749">
        <f>F11+G11</f>
        <v>1924763.4547347485</v>
      </c>
    </row>
    <row r="12" spans="1:34">
      <c r="D12" s="774" t="s">
        <v>2449</v>
      </c>
      <c r="E12" s="775">
        <f>(E11*12*0.85*0.75)+10%*E11</f>
        <v>7339740.1635417547</v>
      </c>
      <c r="F12" s="775">
        <f>(F11*2*12*0.85*0.75)+10%*F11</f>
        <v>14584774.002392648</v>
      </c>
      <c r="G12" s="775">
        <f>(G11*12*0.85*0.75)+10%*G11</f>
        <v>7577176.6106525464</v>
      </c>
      <c r="H12" s="775">
        <f>(H11*2*12*0.85*0.75)+10%*H11</f>
        <v>15056583.200522481</v>
      </c>
      <c r="I12" s="773">
        <f>SUM(E12:H12)</f>
        <v>44558273.977109432</v>
      </c>
    </row>
    <row r="13" spans="1:34">
      <c r="D13" s="771" t="s">
        <v>2450</v>
      </c>
      <c r="E13" s="776">
        <f>E12*0.17</f>
        <v>1247755.8278020984</v>
      </c>
      <c r="F13" s="776">
        <f>F12*0.17</f>
        <v>2479411.5804067501</v>
      </c>
      <c r="G13" s="776">
        <f>G12*0.17</f>
        <v>1288120.0238109329</v>
      </c>
      <c r="H13" s="776">
        <f>H12*0.17</f>
        <v>2559619.144088822</v>
      </c>
      <c r="I13" s="777">
        <f>SUM(E13:H13)</f>
        <v>7574906.5761086028</v>
      </c>
    </row>
    <row r="14" spans="1:34" ht="57.75">
      <c r="D14" s="771" t="s">
        <v>2451</v>
      </c>
      <c r="E14" s="778">
        <f>E13*(3.194%)</f>
        <v>39853.321139999018</v>
      </c>
      <c r="F14" s="778">
        <f>F13*(3.194%)</f>
        <v>79192.405878191596</v>
      </c>
      <c r="G14" s="778">
        <f>G13*(3.194%)</f>
        <v>41142.553560521192</v>
      </c>
      <c r="H14" s="778">
        <f>H13*(3.194%)</f>
        <v>81754.235462196957</v>
      </c>
      <c r="I14" s="777">
        <f>I13*(3.194%)</f>
        <v>241942.51604090875</v>
      </c>
    </row>
    <row r="15" spans="1:34" ht="24" customHeight="1">
      <c r="B15" s="779"/>
      <c r="D15" s="780" t="s">
        <v>2452</v>
      </c>
      <c r="E15" s="781">
        <f>15%*(E13)</f>
        <v>187163.37417031475</v>
      </c>
      <c r="F15" s="781">
        <f>15%*(F13)</f>
        <v>371911.73706101248</v>
      </c>
      <c r="G15" s="781">
        <f>15%*(G13)</f>
        <v>193218.00357163991</v>
      </c>
      <c r="H15" s="781">
        <f>15%*(H13)</f>
        <v>383942.87161332328</v>
      </c>
      <c r="I15" s="782">
        <f>15%*(I13)</f>
        <v>1136235.9864162903</v>
      </c>
    </row>
    <row r="16" spans="1:34" ht="30">
      <c r="B16" s="779"/>
      <c r="D16" s="783" t="s">
        <v>2453</v>
      </c>
      <c r="E16" s="784">
        <f>E13+E14+E15</f>
        <v>1474772.5231124121</v>
      </c>
      <c r="F16" s="784">
        <f>F13+F14+F15</f>
        <v>2930515.7233459544</v>
      </c>
      <c r="G16" s="784">
        <f>G13+G14+G15</f>
        <v>1522480.5809430941</v>
      </c>
      <c r="H16" s="784">
        <f>H13+H14+H15</f>
        <v>3025316.2511643423</v>
      </c>
      <c r="I16" s="785">
        <f>I13+I14+I15</f>
        <v>8953085.0785658024</v>
      </c>
    </row>
    <row r="17" spans="4:10" ht="29.25">
      <c r="D17" s="771" t="s">
        <v>2454</v>
      </c>
      <c r="E17" s="781">
        <f>2%*(E13)</f>
        <v>24955.116556041969</v>
      </c>
      <c r="F17" s="781">
        <f>2%*(F13)</f>
        <v>49588.231608135</v>
      </c>
      <c r="G17" s="781">
        <f>2%*(G13)</f>
        <v>25762.40047621866</v>
      </c>
      <c r="H17" s="781">
        <f>2%*(H13)</f>
        <v>51192.382881776437</v>
      </c>
      <c r="I17" s="782">
        <f>2%*(I13)</f>
        <v>151498.13152217207</v>
      </c>
    </row>
    <row r="18" spans="4:10" ht="43.5">
      <c r="D18" s="771" t="s">
        <v>2455</v>
      </c>
      <c r="E18" s="3"/>
      <c r="F18" s="3"/>
      <c r="G18" s="3"/>
      <c r="H18" s="3"/>
      <c r="I18" s="786"/>
    </row>
    <row r="19" spans="4:10" ht="16.5" thickBot="1">
      <c r="D19" s="787"/>
      <c r="E19" s="788">
        <v>23456</v>
      </c>
      <c r="F19" s="789"/>
      <c r="G19" s="789"/>
      <c r="H19" s="789"/>
      <c r="I19" s="790"/>
    </row>
    <row r="20" spans="4:10" ht="15.75" thickTop="1">
      <c r="H20" t="s">
        <v>2456</v>
      </c>
      <c r="I20" s="604">
        <f>I16+I17</f>
        <v>9104583.2100879736</v>
      </c>
    </row>
    <row r="21" spans="4:10">
      <c r="H21" t="s">
        <v>2457</v>
      </c>
      <c r="I21">
        <f>I20/I12</f>
        <v>0.20432979999999998</v>
      </c>
    </row>
    <row r="22" spans="4:10">
      <c r="H22" t="s">
        <v>2458</v>
      </c>
      <c r="I22">
        <f>I21*1600</f>
        <v>326.92767999999995</v>
      </c>
      <c r="J22" s="791">
        <v>327</v>
      </c>
    </row>
  </sheetData>
  <mergeCells count="9">
    <mergeCell ref="V2:Y2"/>
    <mergeCell ref="E9:F9"/>
    <mergeCell ref="G9:H9"/>
    <mergeCell ref="A1:N1"/>
    <mergeCell ref="B2:E2"/>
    <mergeCell ref="F2:I2"/>
    <mergeCell ref="J2:M2"/>
    <mergeCell ref="N2:Q2"/>
    <mergeCell ref="R2:U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189E-1AEB-448A-80DD-16BCC7229671}">
  <dimension ref="A1:M80"/>
  <sheetViews>
    <sheetView zoomScale="82" zoomScaleNormal="82" workbookViewId="0">
      <selection activeCell="G19" sqref="G19"/>
    </sheetView>
  </sheetViews>
  <sheetFormatPr defaultRowHeight="15"/>
  <cols>
    <col min="1" max="1" width="5.85546875" customWidth="1"/>
    <col min="2" max="2" width="57.42578125" customWidth="1"/>
    <col min="3" max="3" width="43.5703125" customWidth="1"/>
    <col min="4" max="4" width="16.140625" customWidth="1"/>
    <col min="5" max="5" width="13.28515625" customWidth="1"/>
    <col min="6" max="6" width="23.42578125" customWidth="1"/>
    <col min="7" max="7" width="16.85546875" customWidth="1"/>
    <col min="8" max="8" width="23" customWidth="1"/>
    <col min="9" max="9" width="27.5703125" customWidth="1"/>
    <col min="10" max="10" width="26.7109375" customWidth="1"/>
    <col min="11" max="11" width="20.7109375" customWidth="1"/>
    <col min="12" max="12" width="14" bestFit="1" customWidth="1"/>
  </cols>
  <sheetData>
    <row r="1" spans="1:12">
      <c r="A1" s="3" t="s">
        <v>2459</v>
      </c>
      <c r="B1" s="3" t="s">
        <v>69</v>
      </c>
      <c r="C1" s="3" t="s">
        <v>2460</v>
      </c>
      <c r="D1" s="3"/>
      <c r="E1" s="3"/>
      <c r="F1" s="3"/>
      <c r="G1" s="3"/>
      <c r="H1" s="3"/>
      <c r="I1" s="3"/>
      <c r="J1" s="3"/>
      <c r="K1" s="3"/>
    </row>
    <row r="2" spans="1:12" ht="27" customHeight="1">
      <c r="A2" s="792"/>
      <c r="B2" s="792" t="s">
        <v>2461</v>
      </c>
      <c r="C2" s="792" t="s">
        <v>2462</v>
      </c>
      <c r="D2" s="792" t="s">
        <v>143</v>
      </c>
      <c r="E2" s="731" t="s">
        <v>2463</v>
      </c>
      <c r="F2" s="792" t="s">
        <v>2464</v>
      </c>
      <c r="G2" s="792" t="s">
        <v>2465</v>
      </c>
      <c r="H2" s="792" t="s">
        <v>2466</v>
      </c>
      <c r="I2" s="792" t="s">
        <v>2467</v>
      </c>
      <c r="J2" s="792" t="s">
        <v>2468</v>
      </c>
      <c r="K2" s="792" t="s">
        <v>2469</v>
      </c>
    </row>
    <row r="3" spans="1:12" ht="32.25" customHeight="1">
      <c r="A3" s="3"/>
      <c r="B3" s="3" t="s">
        <v>2461</v>
      </c>
      <c r="C3" s="3" t="s">
        <v>2470</v>
      </c>
      <c r="D3" s="793">
        <f>[11]Target!I11</f>
        <v>3849526.9094694965</v>
      </c>
      <c r="E3" s="793"/>
      <c r="F3" s="793">
        <v>0.17</v>
      </c>
      <c r="G3" s="794">
        <f>D3*0.17</f>
        <v>654419.57460981444</v>
      </c>
      <c r="H3" s="795">
        <f>G3*1000</f>
        <v>654419574.60981441</v>
      </c>
      <c r="I3" s="795">
        <v>0</v>
      </c>
      <c r="J3" s="795">
        <f>H3</f>
        <v>654419574.60981441</v>
      </c>
      <c r="K3" s="795">
        <f>H3</f>
        <v>654419574.60981441</v>
      </c>
    </row>
    <row r="4" spans="1:12" ht="48" customHeight="1">
      <c r="A4" s="3"/>
      <c r="B4" s="3" t="s">
        <v>2461</v>
      </c>
      <c r="C4" s="796" t="s">
        <v>2451</v>
      </c>
      <c r="D4" s="3"/>
      <c r="E4" s="3"/>
      <c r="F4" s="3"/>
      <c r="G4" s="794">
        <f>(G3)*3%</f>
        <v>19632.587238294433</v>
      </c>
      <c r="H4" s="795">
        <f>G4*1000</f>
        <v>19632587.238294434</v>
      </c>
      <c r="I4" s="795">
        <v>0</v>
      </c>
      <c r="J4" s="795">
        <f>H4</f>
        <v>19632587.238294434</v>
      </c>
      <c r="K4" s="795">
        <f>H4</f>
        <v>19632587.238294434</v>
      </c>
    </row>
    <row r="5" spans="1:12" ht="30" customHeight="1">
      <c r="A5" s="3"/>
      <c r="B5" s="3" t="s">
        <v>2461</v>
      </c>
      <c r="C5" s="3" t="s">
        <v>2452</v>
      </c>
      <c r="D5" s="3"/>
      <c r="E5" s="3"/>
      <c r="F5" s="3"/>
      <c r="G5" s="797">
        <f>(G3)*15%</f>
        <v>98162.936191472167</v>
      </c>
      <c r="H5" s="795">
        <f>G5*1000</f>
        <v>98162936.191472173</v>
      </c>
      <c r="I5" s="795">
        <v>0</v>
      </c>
      <c r="J5" s="795">
        <f>H5</f>
        <v>98162936.191472173</v>
      </c>
      <c r="K5" s="795">
        <f>H5</f>
        <v>98162936.191472173</v>
      </c>
    </row>
    <row r="6" spans="1:12" ht="30" customHeight="1">
      <c r="A6" s="3"/>
      <c r="B6" s="3" t="s">
        <v>2461</v>
      </c>
      <c r="C6" s="796" t="s">
        <v>2471</v>
      </c>
      <c r="D6" s="3"/>
      <c r="E6" s="3"/>
      <c r="F6" s="3"/>
      <c r="G6" s="794">
        <f>(G3)*5%</f>
        <v>32720.978730490722</v>
      </c>
      <c r="H6" s="795">
        <f>G6*1000</f>
        <v>32720978.730490722</v>
      </c>
      <c r="I6" s="795">
        <v>0</v>
      </c>
      <c r="J6" s="795">
        <f>H6</f>
        <v>32720978.730490722</v>
      </c>
      <c r="K6" s="795">
        <f>H6</f>
        <v>32720978.730490722</v>
      </c>
    </row>
    <row r="7" spans="1:12">
      <c r="A7" s="798"/>
      <c r="B7" s="798" t="s">
        <v>2472</v>
      </c>
      <c r="C7" s="798"/>
      <c r="D7" s="798"/>
      <c r="E7" s="798"/>
      <c r="F7" s="798"/>
      <c r="G7" s="799">
        <f>SUM(G3:G6)</f>
        <v>804936.07677007164</v>
      </c>
      <c r="H7" s="800">
        <f>SUM(H3:H6)</f>
        <v>804936076.77007174</v>
      </c>
      <c r="I7" s="801">
        <v>0</v>
      </c>
      <c r="J7" s="802">
        <f t="shared" ref="J7:J30" si="0">H7</f>
        <v>804936076.77007174</v>
      </c>
      <c r="K7" s="802">
        <f>H7</f>
        <v>804936076.77007174</v>
      </c>
      <c r="L7" s="604"/>
    </row>
    <row r="8" spans="1:12" ht="45">
      <c r="A8" s="3"/>
      <c r="B8" s="803" t="s">
        <v>2473</v>
      </c>
      <c r="C8" s="3" t="s">
        <v>2474</v>
      </c>
      <c r="D8" s="3">
        <v>1</v>
      </c>
      <c r="E8" s="3">
        <v>5</v>
      </c>
      <c r="F8" s="795">
        <f>[11]Sheet1!B32</f>
        <v>130000</v>
      </c>
      <c r="G8" s="3"/>
      <c r="H8" s="804">
        <f>D8*E8*F8</f>
        <v>650000</v>
      </c>
      <c r="I8" s="795">
        <v>0</v>
      </c>
      <c r="J8" s="795">
        <f t="shared" si="0"/>
        <v>650000</v>
      </c>
      <c r="K8" s="795">
        <v>0</v>
      </c>
    </row>
    <row r="9" spans="1:12" ht="45">
      <c r="A9" s="3"/>
      <c r="B9" s="803" t="s">
        <v>2473</v>
      </c>
      <c r="C9" s="3" t="s">
        <v>1898</v>
      </c>
      <c r="D9" s="3">
        <v>35</v>
      </c>
      <c r="E9" s="3">
        <v>5</v>
      </c>
      <c r="F9" s="795">
        <f>[11]Sheet1!B27</f>
        <v>5200</v>
      </c>
      <c r="G9" s="3"/>
      <c r="H9" s="804">
        <f t="shared" ref="H9:H18" si="1">D9*E9*F9</f>
        <v>910000</v>
      </c>
      <c r="I9" s="795">
        <v>0</v>
      </c>
      <c r="J9" s="795">
        <f t="shared" si="0"/>
        <v>910000</v>
      </c>
      <c r="K9" s="795">
        <v>0</v>
      </c>
    </row>
    <row r="10" spans="1:12" ht="45">
      <c r="A10" s="3"/>
      <c r="B10" s="803" t="s">
        <v>2473</v>
      </c>
      <c r="C10" s="3" t="s">
        <v>1984</v>
      </c>
      <c r="D10" s="3">
        <v>35</v>
      </c>
      <c r="E10" s="3">
        <v>5</v>
      </c>
      <c r="F10" s="795">
        <f>[11]Sheet1!B25</f>
        <v>3300</v>
      </c>
      <c r="G10" s="3"/>
      <c r="H10" s="804">
        <f t="shared" si="1"/>
        <v>577500</v>
      </c>
      <c r="I10" s="795">
        <v>0</v>
      </c>
      <c r="J10" s="795">
        <f t="shared" si="0"/>
        <v>577500</v>
      </c>
      <c r="K10" s="795">
        <v>0</v>
      </c>
    </row>
    <row r="11" spans="1:12" ht="45">
      <c r="A11" s="3"/>
      <c r="B11" s="803" t="s">
        <v>2473</v>
      </c>
      <c r="C11" s="3" t="s">
        <v>2475</v>
      </c>
      <c r="D11" s="3">
        <v>8</v>
      </c>
      <c r="E11" s="3">
        <v>6</v>
      </c>
      <c r="F11" s="795">
        <f>[11]Sheet1!B3</f>
        <v>55000</v>
      </c>
      <c r="G11" s="3"/>
      <c r="H11" s="804">
        <f t="shared" si="1"/>
        <v>2640000</v>
      </c>
      <c r="I11" s="795">
        <v>0</v>
      </c>
      <c r="J11" s="795">
        <f t="shared" si="0"/>
        <v>2640000</v>
      </c>
      <c r="K11" s="795">
        <v>0</v>
      </c>
    </row>
    <row r="12" spans="1:12" ht="45">
      <c r="A12" s="3"/>
      <c r="B12" s="803" t="s">
        <v>2473</v>
      </c>
      <c r="C12" s="3" t="s">
        <v>2476</v>
      </c>
      <c r="D12" s="3">
        <v>8</v>
      </c>
      <c r="E12" s="3">
        <v>2</v>
      </c>
      <c r="F12" s="795">
        <f>[11]Sheet1!B15</f>
        <v>96000</v>
      </c>
      <c r="G12" s="3"/>
      <c r="H12" s="804"/>
      <c r="I12" s="795"/>
      <c r="J12" s="795"/>
      <c r="K12" s="795"/>
    </row>
    <row r="13" spans="1:12" ht="45">
      <c r="A13" s="3"/>
      <c r="B13" s="803" t="s">
        <v>2473</v>
      </c>
      <c r="C13" s="3" t="s">
        <v>2477</v>
      </c>
      <c r="D13" s="3">
        <v>30</v>
      </c>
      <c r="E13" s="3">
        <v>5</v>
      </c>
      <c r="F13" s="795">
        <f>[11]Sheet1!B19</f>
        <v>10000</v>
      </c>
      <c r="G13" s="3"/>
      <c r="H13" s="804">
        <f t="shared" si="1"/>
        <v>1500000</v>
      </c>
      <c r="I13" s="795">
        <v>0</v>
      </c>
      <c r="J13" s="795">
        <f t="shared" si="0"/>
        <v>1500000</v>
      </c>
      <c r="K13" s="795">
        <v>0</v>
      </c>
    </row>
    <row r="14" spans="1:12" ht="45">
      <c r="A14" s="3"/>
      <c r="B14" s="803" t="s">
        <v>2473</v>
      </c>
      <c r="C14" s="3" t="s">
        <v>2478</v>
      </c>
      <c r="D14" s="3">
        <v>30</v>
      </c>
      <c r="E14" s="3">
        <v>1</v>
      </c>
      <c r="F14" s="795">
        <v>3500</v>
      </c>
      <c r="G14" s="3"/>
      <c r="H14" s="804">
        <f t="shared" si="1"/>
        <v>105000</v>
      </c>
      <c r="I14" s="795">
        <v>0</v>
      </c>
      <c r="J14" s="795">
        <f t="shared" si="0"/>
        <v>105000</v>
      </c>
      <c r="K14" s="795">
        <v>0</v>
      </c>
    </row>
    <row r="15" spans="1:12" ht="45">
      <c r="A15" s="3"/>
      <c r="B15" s="803" t="s">
        <v>2473</v>
      </c>
      <c r="C15" s="3" t="s">
        <v>1993</v>
      </c>
      <c r="D15" s="3">
        <v>30</v>
      </c>
      <c r="E15" s="3">
        <v>1</v>
      </c>
      <c r="F15" s="795">
        <f>[11]Sheet1!B34</f>
        <v>1000</v>
      </c>
      <c r="G15" s="3"/>
      <c r="H15" s="804">
        <f t="shared" si="1"/>
        <v>30000</v>
      </c>
      <c r="I15" s="795">
        <v>0</v>
      </c>
      <c r="J15" s="795">
        <f t="shared" si="0"/>
        <v>30000</v>
      </c>
      <c r="K15" s="795">
        <v>0</v>
      </c>
    </row>
    <row r="16" spans="1:12" ht="45">
      <c r="A16" s="3"/>
      <c r="B16" s="803" t="s">
        <v>2473</v>
      </c>
      <c r="C16" s="3" t="s">
        <v>2479</v>
      </c>
      <c r="D16" s="3">
        <v>8</v>
      </c>
      <c r="E16" s="3">
        <v>1</v>
      </c>
      <c r="F16" s="795">
        <f>[11]Sheet1!B9</f>
        <v>200000</v>
      </c>
      <c r="G16" s="3"/>
      <c r="H16" s="804">
        <f t="shared" si="1"/>
        <v>1600000</v>
      </c>
      <c r="I16" s="795">
        <v>0</v>
      </c>
      <c r="J16" s="795">
        <f t="shared" si="0"/>
        <v>1600000</v>
      </c>
      <c r="K16" s="795">
        <v>0</v>
      </c>
    </row>
    <row r="17" spans="1:11" ht="45">
      <c r="A17" s="3"/>
      <c r="B17" s="803" t="s">
        <v>2473</v>
      </c>
      <c r="C17" s="3" t="s">
        <v>2480</v>
      </c>
      <c r="D17" s="3">
        <f>4*8</f>
        <v>32</v>
      </c>
      <c r="E17" s="3">
        <v>1</v>
      </c>
      <c r="F17" s="795">
        <f>[11]Sheet1!B12</f>
        <v>52000</v>
      </c>
      <c r="G17" s="3"/>
      <c r="H17" s="804">
        <f t="shared" si="1"/>
        <v>1664000</v>
      </c>
      <c r="I17" s="795">
        <v>0</v>
      </c>
      <c r="J17" s="795">
        <f t="shared" si="0"/>
        <v>1664000</v>
      </c>
      <c r="K17" s="795">
        <v>0</v>
      </c>
    </row>
    <row r="18" spans="1:11" ht="45">
      <c r="B18" s="803" t="s">
        <v>2473</v>
      </c>
      <c r="C18" s="805" t="s">
        <v>2481</v>
      </c>
      <c r="D18" s="805">
        <v>2</v>
      </c>
      <c r="E18" s="805">
        <v>7</v>
      </c>
      <c r="F18" s="806">
        <v>50000</v>
      </c>
      <c r="G18" s="3"/>
      <c r="H18" s="804">
        <f t="shared" si="1"/>
        <v>700000</v>
      </c>
      <c r="I18" s="795">
        <v>0</v>
      </c>
      <c r="J18" s="795">
        <f t="shared" si="0"/>
        <v>700000</v>
      </c>
      <c r="K18" s="795">
        <v>0</v>
      </c>
    </row>
    <row r="19" spans="1:11">
      <c r="A19" s="796"/>
      <c r="B19" s="807"/>
      <c r="C19" s="808"/>
      <c r="D19" s="807"/>
      <c r="E19" s="808"/>
      <c r="F19" s="807"/>
      <c r="G19" s="808"/>
      <c r="H19" s="807">
        <f>SUM(H8:H18)</f>
        <v>10376500</v>
      </c>
      <c r="I19" s="808"/>
      <c r="J19" s="807">
        <f t="shared" si="0"/>
        <v>10376500</v>
      </c>
      <c r="K19" s="808"/>
    </row>
    <row r="20" spans="1:11" ht="30">
      <c r="A20" s="796"/>
      <c r="B20" s="803" t="s">
        <v>2482</v>
      </c>
      <c r="C20" s="3" t="s">
        <v>2474</v>
      </c>
      <c r="D20" s="796">
        <v>1</v>
      </c>
      <c r="E20" s="3">
        <v>5</v>
      </c>
      <c r="F20" s="804">
        <f>[11]Sheet1!B31</f>
        <v>240000</v>
      </c>
      <c r="G20" s="3"/>
      <c r="H20" s="804">
        <f>D20*E20*F20</f>
        <v>1200000</v>
      </c>
      <c r="I20" s="795">
        <v>0</v>
      </c>
      <c r="J20" s="804">
        <f t="shared" si="0"/>
        <v>1200000</v>
      </c>
      <c r="K20" s="795">
        <v>0</v>
      </c>
    </row>
    <row r="21" spans="1:11" ht="30">
      <c r="A21" s="796"/>
      <c r="B21" s="803" t="s">
        <v>2482</v>
      </c>
      <c r="C21" s="3" t="s">
        <v>1898</v>
      </c>
      <c r="D21" s="796">
        <f>(30*2)</f>
        <v>60</v>
      </c>
      <c r="E21" s="3">
        <v>5</v>
      </c>
      <c r="F21" s="804">
        <f>[11]Sheet1!B27</f>
        <v>5200</v>
      </c>
      <c r="G21" s="3"/>
      <c r="H21" s="804">
        <f t="shared" ref="H21:H30" si="2">D21*E21*F21</f>
        <v>1560000</v>
      </c>
      <c r="I21" s="795">
        <v>0</v>
      </c>
      <c r="J21" s="804">
        <f t="shared" si="0"/>
        <v>1560000</v>
      </c>
      <c r="K21" s="795">
        <v>0</v>
      </c>
    </row>
    <row r="22" spans="1:11" ht="30">
      <c r="A22" s="796"/>
      <c r="B22" s="803" t="s">
        <v>2482</v>
      </c>
      <c r="C22" s="3" t="s">
        <v>1984</v>
      </c>
      <c r="D22" s="796">
        <f>(30*2)</f>
        <v>60</v>
      </c>
      <c r="E22" s="3">
        <v>5</v>
      </c>
      <c r="F22" s="804">
        <f>[11]Sheet1!B25</f>
        <v>3300</v>
      </c>
      <c r="G22" s="3"/>
      <c r="H22" s="804">
        <f t="shared" si="2"/>
        <v>990000</v>
      </c>
      <c r="I22" s="795">
        <v>0</v>
      </c>
      <c r="J22" s="804">
        <f t="shared" si="0"/>
        <v>990000</v>
      </c>
      <c r="K22" s="795">
        <v>0</v>
      </c>
    </row>
    <row r="23" spans="1:11" ht="30">
      <c r="A23" s="796"/>
      <c r="B23" s="803" t="s">
        <v>2482</v>
      </c>
      <c r="C23" s="3" t="s">
        <v>2483</v>
      </c>
      <c r="D23" s="796">
        <f>(30*2)</f>
        <v>60</v>
      </c>
      <c r="E23" s="3">
        <v>6</v>
      </c>
      <c r="F23" s="804">
        <f>[11]Sheet1!B6</f>
        <v>45000</v>
      </c>
      <c r="G23" s="3"/>
      <c r="H23" s="804">
        <f t="shared" si="2"/>
        <v>16200000</v>
      </c>
      <c r="I23" s="795">
        <v>0</v>
      </c>
      <c r="J23" s="804">
        <f t="shared" si="0"/>
        <v>16200000</v>
      </c>
      <c r="K23" s="795">
        <v>0</v>
      </c>
    </row>
    <row r="24" spans="1:11" ht="30">
      <c r="A24" s="796"/>
      <c r="B24" s="803" t="s">
        <v>2482</v>
      </c>
      <c r="C24" s="3" t="s">
        <v>2484</v>
      </c>
      <c r="D24" s="796">
        <f>3*2</f>
        <v>6</v>
      </c>
      <c r="E24" s="3">
        <v>6</v>
      </c>
      <c r="F24" s="804">
        <f>[11]Sheet1!B3</f>
        <v>55000</v>
      </c>
      <c r="G24" s="3"/>
      <c r="H24" s="804">
        <f t="shared" si="2"/>
        <v>1980000</v>
      </c>
      <c r="I24" s="795">
        <v>0</v>
      </c>
      <c r="J24" s="804">
        <f t="shared" si="0"/>
        <v>1980000</v>
      </c>
      <c r="K24" s="795">
        <v>0</v>
      </c>
    </row>
    <row r="25" spans="1:11" ht="30">
      <c r="A25" s="796"/>
      <c r="B25" s="803" t="s">
        <v>2482</v>
      </c>
      <c r="C25" s="3" t="s">
        <v>2477</v>
      </c>
      <c r="D25" s="796">
        <f>3*2</f>
        <v>6</v>
      </c>
      <c r="E25" s="3">
        <v>2</v>
      </c>
      <c r="F25" s="804">
        <f>[11]Sheet1!B19</f>
        <v>10000</v>
      </c>
      <c r="G25" s="3"/>
      <c r="H25" s="804">
        <f t="shared" si="2"/>
        <v>120000</v>
      </c>
      <c r="I25" s="795">
        <v>0</v>
      </c>
      <c r="J25" s="804">
        <f t="shared" si="0"/>
        <v>120000</v>
      </c>
      <c r="K25" s="795">
        <v>0</v>
      </c>
    </row>
    <row r="26" spans="1:11" ht="30">
      <c r="A26" s="796"/>
      <c r="B26" s="803" t="s">
        <v>2482</v>
      </c>
      <c r="C26" s="3" t="s">
        <v>2485</v>
      </c>
      <c r="D26" s="796">
        <v>3</v>
      </c>
      <c r="E26" s="3">
        <v>2</v>
      </c>
      <c r="F26" s="804">
        <f>[11]Sheet1!B15</f>
        <v>96000</v>
      </c>
      <c r="G26" s="3"/>
      <c r="H26" s="804">
        <f t="shared" si="2"/>
        <v>576000</v>
      </c>
      <c r="I26" s="795">
        <v>0</v>
      </c>
      <c r="J26" s="804">
        <f t="shared" si="0"/>
        <v>576000</v>
      </c>
      <c r="K26" s="795">
        <v>0</v>
      </c>
    </row>
    <row r="27" spans="1:11" ht="30">
      <c r="A27" s="796"/>
      <c r="B27" s="803" t="s">
        <v>2482</v>
      </c>
      <c r="C27" s="3" t="s">
        <v>2478</v>
      </c>
      <c r="D27" s="796">
        <f>(30*2)</f>
        <v>60</v>
      </c>
      <c r="E27" s="3">
        <v>1</v>
      </c>
      <c r="F27" s="804">
        <v>3500</v>
      </c>
      <c r="G27" s="3"/>
      <c r="H27" s="804">
        <f t="shared" si="2"/>
        <v>210000</v>
      </c>
      <c r="I27" s="795">
        <v>0</v>
      </c>
      <c r="J27" s="804">
        <f t="shared" si="0"/>
        <v>210000</v>
      </c>
      <c r="K27" s="795">
        <v>0</v>
      </c>
    </row>
    <row r="28" spans="1:11" ht="30">
      <c r="A28" s="796"/>
      <c r="B28" s="803" t="s">
        <v>2482</v>
      </c>
      <c r="C28" s="3" t="s">
        <v>1993</v>
      </c>
      <c r="D28" s="796">
        <f>(30*2)</f>
        <v>60</v>
      </c>
      <c r="E28" s="3">
        <v>1</v>
      </c>
      <c r="F28" s="804">
        <f>[11]Sheet1!B34</f>
        <v>1000</v>
      </c>
      <c r="G28" s="3"/>
      <c r="H28" s="804">
        <f t="shared" si="2"/>
        <v>60000</v>
      </c>
      <c r="I28" s="795">
        <v>0</v>
      </c>
      <c r="J28" s="804">
        <f t="shared" si="0"/>
        <v>60000</v>
      </c>
      <c r="K28" s="795">
        <v>0</v>
      </c>
    </row>
    <row r="29" spans="1:11" ht="30">
      <c r="A29" s="796"/>
      <c r="B29" s="803" t="s">
        <v>2482</v>
      </c>
      <c r="C29" s="3" t="s">
        <v>2479</v>
      </c>
      <c r="D29" s="796">
        <f>3*2</f>
        <v>6</v>
      </c>
      <c r="E29" s="3">
        <v>1</v>
      </c>
      <c r="F29" s="804">
        <f>[11]Sheet1!B9</f>
        <v>200000</v>
      </c>
      <c r="G29" s="3"/>
      <c r="H29" s="804">
        <f t="shared" si="2"/>
        <v>1200000</v>
      </c>
      <c r="I29" s="795">
        <v>0</v>
      </c>
      <c r="J29" s="804">
        <f t="shared" si="0"/>
        <v>1200000</v>
      </c>
      <c r="K29" s="795">
        <v>0</v>
      </c>
    </row>
    <row r="30" spans="1:11" ht="30">
      <c r="A30" s="796"/>
      <c r="B30" s="803" t="s">
        <v>2482</v>
      </c>
      <c r="C30" s="3" t="s">
        <v>2480</v>
      </c>
      <c r="D30" s="796">
        <f>4*6</f>
        <v>24</v>
      </c>
      <c r="E30" s="3">
        <v>1</v>
      </c>
      <c r="F30" s="804">
        <f>[11]Sheet1!B12</f>
        <v>52000</v>
      </c>
      <c r="G30" s="3"/>
      <c r="H30" s="804">
        <f t="shared" si="2"/>
        <v>1248000</v>
      </c>
      <c r="I30" s="795">
        <v>0</v>
      </c>
      <c r="J30" s="804">
        <f t="shared" si="0"/>
        <v>1248000</v>
      </c>
      <c r="K30" s="795">
        <v>0</v>
      </c>
    </row>
    <row r="31" spans="1:11">
      <c r="A31" s="809"/>
      <c r="B31" s="809"/>
      <c r="C31" s="810"/>
      <c r="D31" s="809"/>
      <c r="E31" s="811"/>
      <c r="F31" s="809"/>
      <c r="G31" s="811"/>
      <c r="H31" s="812">
        <f>SUM(H20:H30)</f>
        <v>25344000</v>
      </c>
      <c r="I31" s="812">
        <f>SUM(I20:I30)</f>
        <v>0</v>
      </c>
      <c r="J31" s="812">
        <f>SUM(J20:J30)</f>
        <v>25344000</v>
      </c>
      <c r="K31" s="811"/>
    </row>
    <row r="32" spans="1:11" s="2" customFormat="1" ht="45">
      <c r="A32" s="813"/>
      <c r="B32" s="796" t="s">
        <v>2486</v>
      </c>
      <c r="C32" s="814" t="s">
        <v>2474</v>
      </c>
      <c r="D32" s="813">
        <v>1</v>
      </c>
      <c r="E32" s="603">
        <v>5</v>
      </c>
      <c r="F32" s="815">
        <f>[11]Sheet1!B30</f>
        <v>390000</v>
      </c>
      <c r="G32" s="603"/>
      <c r="H32" s="804">
        <f>D32*E32*F32</f>
        <v>1950000</v>
      </c>
      <c r="I32" s="816"/>
      <c r="J32" s="804">
        <f>H32</f>
        <v>1950000</v>
      </c>
      <c r="K32" s="795">
        <v>0</v>
      </c>
    </row>
    <row r="33" spans="1:11" ht="46.5" customHeight="1">
      <c r="A33" s="3"/>
      <c r="B33" s="796" t="s">
        <v>2487</v>
      </c>
      <c r="C33" s="3" t="s">
        <v>1898</v>
      </c>
      <c r="D33" s="3">
        <f>816+488+468</f>
        <v>1772</v>
      </c>
      <c r="E33" s="3">
        <v>5</v>
      </c>
      <c r="F33" s="795">
        <v>2000</v>
      </c>
      <c r="G33" s="3"/>
      <c r="H33" s="804">
        <f>D33*E33*F33</f>
        <v>17720000</v>
      </c>
      <c r="I33" s="3"/>
      <c r="J33" s="804">
        <f>H33</f>
        <v>17720000</v>
      </c>
      <c r="K33" s="795">
        <v>0</v>
      </c>
    </row>
    <row r="34" spans="1:11" ht="45">
      <c r="A34" s="3"/>
      <c r="B34" s="796" t="s">
        <v>2487</v>
      </c>
      <c r="C34" s="3" t="s">
        <v>2488</v>
      </c>
      <c r="D34" s="3">
        <f>816+488+468</f>
        <v>1772</v>
      </c>
      <c r="E34" s="3">
        <v>5</v>
      </c>
      <c r="F34" s="795">
        <v>1000</v>
      </c>
      <c r="G34" s="3"/>
      <c r="H34" s="804">
        <f t="shared" ref="H34:H39" si="3">D34*E34*F34</f>
        <v>8860000</v>
      </c>
      <c r="I34" s="3"/>
      <c r="J34" s="804">
        <f t="shared" ref="J34:J39" si="4">H34</f>
        <v>8860000</v>
      </c>
      <c r="K34" s="795">
        <v>0</v>
      </c>
    </row>
    <row r="35" spans="1:11" ht="45">
      <c r="A35" s="3"/>
      <c r="B35" s="796" t="s">
        <v>2487</v>
      </c>
      <c r="C35" s="3" t="s">
        <v>2489</v>
      </c>
      <c r="D35" s="817">
        <f>D39</f>
        <v>118.13333333333334</v>
      </c>
      <c r="E35" s="3">
        <v>5</v>
      </c>
      <c r="F35" s="795">
        <v>12000</v>
      </c>
      <c r="G35" s="3"/>
      <c r="H35" s="804">
        <f t="shared" si="3"/>
        <v>7088000.0000000009</v>
      </c>
      <c r="I35" s="3"/>
      <c r="J35" s="804">
        <f t="shared" si="4"/>
        <v>7088000.0000000009</v>
      </c>
      <c r="K35" s="795">
        <v>0</v>
      </c>
    </row>
    <row r="36" spans="1:11" ht="45">
      <c r="A36" s="3"/>
      <c r="B36" s="796" t="s">
        <v>2487</v>
      </c>
      <c r="C36" s="3" t="s">
        <v>2477</v>
      </c>
      <c r="D36" s="3">
        <f>816+488+468</f>
        <v>1772</v>
      </c>
      <c r="E36" s="3">
        <v>5</v>
      </c>
      <c r="F36" s="795">
        <f>[11]Sheet1!B20</f>
        <v>2000</v>
      </c>
      <c r="G36" s="3"/>
      <c r="H36" s="804">
        <f t="shared" si="3"/>
        <v>17720000</v>
      </c>
      <c r="I36" s="3"/>
      <c r="J36" s="804">
        <f t="shared" si="4"/>
        <v>17720000</v>
      </c>
      <c r="K36" s="795">
        <v>0</v>
      </c>
    </row>
    <row r="37" spans="1:11" ht="45">
      <c r="A37" s="3"/>
      <c r="B37" s="796" t="s">
        <v>2487</v>
      </c>
      <c r="C37" s="3" t="s">
        <v>2478</v>
      </c>
      <c r="D37" s="3">
        <f>816+488+468</f>
        <v>1772</v>
      </c>
      <c r="E37" s="3">
        <v>5</v>
      </c>
      <c r="F37" s="795">
        <v>3500</v>
      </c>
      <c r="G37" s="3"/>
      <c r="H37" s="804">
        <f t="shared" si="3"/>
        <v>31010000</v>
      </c>
      <c r="I37" s="3"/>
      <c r="J37" s="804">
        <f t="shared" si="4"/>
        <v>31010000</v>
      </c>
      <c r="K37" s="795">
        <v>0</v>
      </c>
    </row>
    <row r="38" spans="1:11" ht="45">
      <c r="A38" s="3"/>
      <c r="B38" s="796" t="s">
        <v>2487</v>
      </c>
      <c r="C38" s="3" t="s">
        <v>1993</v>
      </c>
      <c r="D38" s="3">
        <f>816+488+468</f>
        <v>1772</v>
      </c>
      <c r="E38" s="3">
        <v>5</v>
      </c>
      <c r="F38" s="795">
        <f>[11]Sheet1!B34</f>
        <v>1000</v>
      </c>
      <c r="G38" s="3"/>
      <c r="H38" s="804">
        <f t="shared" si="3"/>
        <v>8860000</v>
      </c>
      <c r="I38" s="3"/>
      <c r="J38" s="804">
        <f t="shared" si="4"/>
        <v>8860000</v>
      </c>
      <c r="K38" s="795">
        <v>0</v>
      </c>
    </row>
    <row r="39" spans="1:11" ht="45">
      <c r="A39" s="3"/>
      <c r="B39" s="796" t="s">
        <v>2487</v>
      </c>
      <c r="C39" s="3" t="s">
        <v>2481</v>
      </c>
      <c r="D39" s="817">
        <f>(D34)/30*2</f>
        <v>118.13333333333334</v>
      </c>
      <c r="E39" s="3">
        <v>5</v>
      </c>
      <c r="F39" s="795">
        <v>10000</v>
      </c>
      <c r="G39" s="3"/>
      <c r="H39" s="804">
        <f t="shared" si="3"/>
        <v>5906666.666666667</v>
      </c>
      <c r="I39" s="3"/>
      <c r="J39" s="804">
        <f t="shared" si="4"/>
        <v>5906666.666666667</v>
      </c>
      <c r="K39" s="795">
        <v>0</v>
      </c>
    </row>
    <row r="40" spans="1:11">
      <c r="A40" s="798"/>
      <c r="B40" s="798"/>
      <c r="C40" s="798"/>
      <c r="D40" s="798"/>
      <c r="E40" s="798"/>
      <c r="F40" s="798"/>
      <c r="G40" s="798"/>
      <c r="H40" s="800">
        <f>SUM(H32:H39)</f>
        <v>99114666.666666672</v>
      </c>
      <c r="I40" s="800">
        <f>SUM(I33:I39)</f>
        <v>0</v>
      </c>
      <c r="J40" s="800">
        <f>SUM(J32:J39)</f>
        <v>99114666.666666672</v>
      </c>
      <c r="K40" s="800">
        <f>SUM(K33:K39)</f>
        <v>0</v>
      </c>
    </row>
    <row r="41" spans="1:11" ht="30">
      <c r="B41" s="796" t="s">
        <v>2490</v>
      </c>
      <c r="C41" s="3" t="s">
        <v>2491</v>
      </c>
      <c r="D41" s="3">
        <f>(816+488+468)+(10%*1772)</f>
        <v>1949.2</v>
      </c>
      <c r="E41" s="3">
        <v>1</v>
      </c>
      <c r="F41" s="804">
        <v>500</v>
      </c>
      <c r="G41" s="804"/>
      <c r="H41" s="804">
        <f>D41*E41*F41</f>
        <v>974600</v>
      </c>
      <c r="I41" s="804"/>
      <c r="J41" s="804">
        <f>H41</f>
        <v>974600</v>
      </c>
      <c r="K41" s="804">
        <f>H41</f>
        <v>974600</v>
      </c>
    </row>
    <row r="42" spans="1:11" ht="17.25" customHeight="1">
      <c r="B42" s="818" t="s">
        <v>2492</v>
      </c>
      <c r="C42" s="3" t="s">
        <v>2493</v>
      </c>
      <c r="D42" s="3">
        <f>(816+488+468)*2</f>
        <v>3544</v>
      </c>
      <c r="E42" s="3">
        <v>1</v>
      </c>
      <c r="F42" s="804">
        <v>2000</v>
      </c>
      <c r="G42" s="804"/>
      <c r="H42" s="804">
        <f>D42*E42*F42</f>
        <v>7088000</v>
      </c>
      <c r="I42" s="804"/>
      <c r="J42" s="804">
        <f>H42</f>
        <v>7088000</v>
      </c>
      <c r="K42" s="804">
        <f>H42</f>
        <v>7088000</v>
      </c>
    </row>
    <row r="43" spans="1:11">
      <c r="B43" t="s">
        <v>2494</v>
      </c>
      <c r="C43" t="s">
        <v>2493</v>
      </c>
      <c r="D43" s="3">
        <f>(816+488+468)+(10%*1772)</f>
        <v>1949.2</v>
      </c>
      <c r="E43">
        <v>1</v>
      </c>
      <c r="F43" s="819">
        <v>1000</v>
      </c>
      <c r="G43" s="819"/>
      <c r="H43" s="819">
        <f>D43*E43*F43</f>
        <v>1949200</v>
      </c>
      <c r="I43" s="819"/>
      <c r="J43" s="819">
        <f>H43</f>
        <v>1949200</v>
      </c>
      <c r="K43" s="819">
        <f>H43</f>
        <v>1949200</v>
      </c>
    </row>
    <row r="44" spans="1:11">
      <c r="A44" s="811"/>
      <c r="B44" s="811"/>
      <c r="C44" s="811"/>
      <c r="D44" s="811"/>
      <c r="E44" s="811"/>
      <c r="F44" s="811"/>
      <c r="G44" s="811"/>
      <c r="H44" s="808">
        <f>SUM(H41:H43)</f>
        <v>10011800</v>
      </c>
      <c r="I44" s="808">
        <f>SUM(I41:I43)</f>
        <v>0</v>
      </c>
      <c r="J44" s="808">
        <f>SUM(J41:J43)</f>
        <v>10011800</v>
      </c>
      <c r="K44" s="808">
        <f>SUM(K41:K43)</f>
        <v>10011800</v>
      </c>
    </row>
    <row r="45" spans="1:11" ht="33" customHeight="1">
      <c r="A45" s="3"/>
      <c r="B45" s="820" t="s">
        <v>2495</v>
      </c>
      <c r="C45" s="3" t="s">
        <v>2496</v>
      </c>
      <c r="D45" s="3">
        <v>1</v>
      </c>
      <c r="E45" s="3">
        <v>5</v>
      </c>
      <c r="F45" s="819">
        <f>[11]Sheet1!B32</f>
        <v>130000</v>
      </c>
      <c r="G45" s="819"/>
      <c r="H45" s="819">
        <f>D45*E45*F45</f>
        <v>650000</v>
      </c>
      <c r="I45" s="3"/>
      <c r="J45" s="804">
        <f>H45</f>
        <v>650000</v>
      </c>
      <c r="K45" s="804">
        <v>0</v>
      </c>
    </row>
    <row r="46" spans="1:11" ht="33" customHeight="1">
      <c r="A46" s="3"/>
      <c r="B46" s="820" t="s">
        <v>2495</v>
      </c>
      <c r="C46" s="3" t="s">
        <v>1898</v>
      </c>
      <c r="D46" s="3">
        <v>25</v>
      </c>
      <c r="E46" s="3">
        <v>5</v>
      </c>
      <c r="F46" s="819">
        <f>[11]Sheet1!B27</f>
        <v>5200</v>
      </c>
      <c r="G46" s="819"/>
      <c r="H46" s="819">
        <f t="shared" ref="H46:H52" si="5">D46*E46*F46</f>
        <v>650000</v>
      </c>
      <c r="I46" s="3"/>
      <c r="J46" s="804">
        <f t="shared" ref="J46:J53" si="6">H46</f>
        <v>650000</v>
      </c>
      <c r="K46" s="804">
        <v>0</v>
      </c>
    </row>
    <row r="47" spans="1:11" ht="23.25" customHeight="1">
      <c r="A47" s="3"/>
      <c r="B47" s="820" t="s">
        <v>2495</v>
      </c>
      <c r="C47" s="3" t="s">
        <v>1984</v>
      </c>
      <c r="D47" s="3">
        <v>25</v>
      </c>
      <c r="E47" s="3">
        <v>5</v>
      </c>
      <c r="F47" s="819">
        <f>[11]Sheet1!B25</f>
        <v>3300</v>
      </c>
      <c r="G47" s="819"/>
      <c r="H47" s="819">
        <f t="shared" si="5"/>
        <v>412500</v>
      </c>
      <c r="I47" s="3"/>
      <c r="J47" s="804">
        <f t="shared" si="6"/>
        <v>412500</v>
      </c>
      <c r="K47" s="804">
        <v>0</v>
      </c>
    </row>
    <row r="48" spans="1:11" ht="23.25" customHeight="1">
      <c r="A48" s="3"/>
      <c r="B48" s="820" t="s">
        <v>2495</v>
      </c>
      <c r="C48" s="3" t="s">
        <v>2497</v>
      </c>
      <c r="D48" s="3">
        <v>6</v>
      </c>
      <c r="E48" s="3">
        <v>1</v>
      </c>
      <c r="F48" s="819">
        <f>[11]Sheet1!B4</f>
        <v>55000</v>
      </c>
      <c r="G48" s="819"/>
      <c r="H48" s="819">
        <f t="shared" si="5"/>
        <v>330000</v>
      </c>
      <c r="I48" s="3"/>
      <c r="J48" s="804">
        <f t="shared" si="6"/>
        <v>330000</v>
      </c>
      <c r="K48" s="804">
        <v>0</v>
      </c>
    </row>
    <row r="49" spans="1:11" ht="23.25" customHeight="1">
      <c r="A49" s="3"/>
      <c r="B49" s="820" t="s">
        <v>2495</v>
      </c>
      <c r="C49" s="3" t="s">
        <v>2498</v>
      </c>
      <c r="D49" s="3">
        <v>1</v>
      </c>
      <c r="E49" s="3">
        <v>1</v>
      </c>
      <c r="F49" s="819">
        <f>[11]Sheet1!B9</f>
        <v>200000</v>
      </c>
      <c r="G49" s="3"/>
      <c r="H49" s="819">
        <f t="shared" si="5"/>
        <v>200000</v>
      </c>
      <c r="I49" s="3"/>
      <c r="J49" s="804">
        <f t="shared" si="6"/>
        <v>200000</v>
      </c>
      <c r="K49" s="804">
        <v>0</v>
      </c>
    </row>
    <row r="50" spans="1:11" ht="21" customHeight="1">
      <c r="A50" s="3"/>
      <c r="B50" s="820" t="s">
        <v>2495</v>
      </c>
      <c r="C50" s="3" t="s">
        <v>2499</v>
      </c>
      <c r="D50" s="3">
        <v>24</v>
      </c>
      <c r="E50" s="3">
        <v>5</v>
      </c>
      <c r="F50" s="819">
        <f>[11]Sheet1!B19</f>
        <v>10000</v>
      </c>
      <c r="G50" s="3"/>
      <c r="H50" s="819">
        <f t="shared" si="5"/>
        <v>1200000</v>
      </c>
      <c r="I50" s="3"/>
      <c r="J50" s="804">
        <f t="shared" si="6"/>
        <v>1200000</v>
      </c>
      <c r="K50" s="804">
        <v>0</v>
      </c>
    </row>
    <row r="51" spans="1:11" ht="21" customHeight="1">
      <c r="A51" s="3"/>
      <c r="B51" s="821" t="s">
        <v>2495</v>
      </c>
      <c r="C51" s="822" t="s">
        <v>2500</v>
      </c>
      <c r="D51" s="822">
        <v>1</v>
      </c>
      <c r="E51" s="822">
        <v>10</v>
      </c>
      <c r="F51" s="819">
        <v>50000</v>
      </c>
      <c r="G51" s="822"/>
      <c r="H51" s="819">
        <f t="shared" si="5"/>
        <v>500000</v>
      </c>
      <c r="I51" s="822"/>
      <c r="J51" s="819">
        <f t="shared" si="6"/>
        <v>500000</v>
      </c>
      <c r="K51" s="819">
        <v>0</v>
      </c>
    </row>
    <row r="52" spans="1:11" ht="30">
      <c r="B52" s="820" t="s">
        <v>2501</v>
      </c>
      <c r="C52" s="3" t="s">
        <v>2502</v>
      </c>
      <c r="D52" s="3">
        <f>166+(10%*166)</f>
        <v>182.6</v>
      </c>
      <c r="E52" s="3">
        <v>1</v>
      </c>
      <c r="F52" s="804">
        <v>2000</v>
      </c>
      <c r="G52" s="3"/>
      <c r="H52" s="804">
        <f t="shared" si="5"/>
        <v>365200</v>
      </c>
      <c r="I52" s="3"/>
      <c r="J52" s="804">
        <f t="shared" si="6"/>
        <v>365200</v>
      </c>
      <c r="K52" s="804">
        <v>1</v>
      </c>
    </row>
    <row r="53" spans="1:11">
      <c r="B53" s="811"/>
      <c r="C53" s="811"/>
      <c r="D53" s="811"/>
      <c r="E53" s="811"/>
      <c r="F53" s="811"/>
      <c r="G53" s="811"/>
      <c r="H53" s="823">
        <f>SUM(H45:H52)</f>
        <v>4307700</v>
      </c>
      <c r="I53" s="811"/>
      <c r="J53" s="823">
        <f t="shared" si="6"/>
        <v>4307700</v>
      </c>
      <c r="K53" s="811"/>
    </row>
    <row r="54" spans="1:11" ht="46.5" customHeight="1">
      <c r="B54" s="824" t="s">
        <v>2503</v>
      </c>
      <c r="C54" s="3" t="s">
        <v>2504</v>
      </c>
      <c r="D54" s="3">
        <v>0</v>
      </c>
      <c r="E54" s="3">
        <v>0</v>
      </c>
      <c r="F54" s="804">
        <v>0</v>
      </c>
      <c r="G54" s="3"/>
      <c r="H54" s="804">
        <v>0</v>
      </c>
      <c r="I54" s="3"/>
      <c r="J54" s="804">
        <v>0</v>
      </c>
      <c r="K54" s="804">
        <v>0</v>
      </c>
    </row>
    <row r="55" spans="1:11" ht="46.5" customHeight="1">
      <c r="B55" s="824" t="s">
        <v>2505</v>
      </c>
      <c r="C55" s="3" t="s">
        <v>2506</v>
      </c>
      <c r="D55" s="3">
        <v>0</v>
      </c>
      <c r="E55" s="3">
        <v>0</v>
      </c>
      <c r="F55" s="804">
        <v>0</v>
      </c>
      <c r="G55" s="3"/>
      <c r="H55" s="804">
        <v>0</v>
      </c>
      <c r="I55" s="3"/>
      <c r="J55" s="804">
        <v>0</v>
      </c>
      <c r="K55" s="804">
        <v>0</v>
      </c>
    </row>
    <row r="56" spans="1:11" ht="46.5" customHeight="1">
      <c r="B56" s="824" t="s">
        <v>2505</v>
      </c>
      <c r="C56" s="3" t="s">
        <v>2507</v>
      </c>
      <c r="D56" s="3">
        <v>0</v>
      </c>
      <c r="E56" s="3">
        <v>0</v>
      </c>
      <c r="F56" s="804">
        <v>0</v>
      </c>
      <c r="G56" s="3"/>
      <c r="H56" s="804">
        <v>0</v>
      </c>
      <c r="I56" s="3"/>
      <c r="J56" s="804">
        <v>0</v>
      </c>
      <c r="K56" s="804">
        <v>0</v>
      </c>
    </row>
    <row r="57" spans="1:11" ht="62.25" customHeight="1">
      <c r="B57" s="824" t="s">
        <v>2508</v>
      </c>
      <c r="C57" s="3" t="s">
        <v>2509</v>
      </c>
      <c r="D57" s="817">
        <f>50*(54%)</f>
        <v>27</v>
      </c>
      <c r="E57" s="3"/>
      <c r="F57" s="804">
        <v>0</v>
      </c>
      <c r="G57" s="3"/>
      <c r="H57" s="804">
        <v>0</v>
      </c>
      <c r="I57" s="3"/>
      <c r="J57" s="804">
        <v>0</v>
      </c>
      <c r="K57" s="804">
        <v>0</v>
      </c>
    </row>
    <row r="58" spans="1:11" ht="62.25" customHeight="1">
      <c r="B58" s="824" t="s">
        <v>2510</v>
      </c>
      <c r="C58" s="3" t="s">
        <v>2511</v>
      </c>
      <c r="D58" s="817">
        <f>50*(54%)</f>
        <v>27</v>
      </c>
      <c r="E58" s="3"/>
      <c r="F58" s="804">
        <v>0</v>
      </c>
      <c r="G58" s="3"/>
      <c r="H58" s="804">
        <v>0</v>
      </c>
      <c r="I58" s="3"/>
      <c r="J58" s="804">
        <v>0</v>
      </c>
      <c r="K58" s="804">
        <v>0</v>
      </c>
    </row>
    <row r="59" spans="1:11" ht="62.25" customHeight="1">
      <c r="B59" s="824" t="s">
        <v>2510</v>
      </c>
      <c r="C59" s="3" t="s">
        <v>2512</v>
      </c>
      <c r="D59" s="817">
        <f>50*(46%)</f>
        <v>23</v>
      </c>
      <c r="E59" s="3"/>
      <c r="F59" s="804">
        <v>0</v>
      </c>
      <c r="G59" s="3"/>
      <c r="H59" s="804">
        <v>0</v>
      </c>
      <c r="I59" s="3"/>
      <c r="J59" s="804">
        <v>0</v>
      </c>
      <c r="K59" s="804">
        <v>0</v>
      </c>
    </row>
    <row r="60" spans="1:11" ht="61.5" customHeight="1">
      <c r="B60" s="824" t="s">
        <v>2513</v>
      </c>
      <c r="C60" s="796" t="s">
        <v>2514</v>
      </c>
      <c r="D60" s="817"/>
      <c r="E60" s="3"/>
      <c r="F60" s="804">
        <v>0</v>
      </c>
      <c r="G60" s="3"/>
      <c r="H60" s="804">
        <v>0</v>
      </c>
      <c r="I60" s="3"/>
      <c r="J60" s="804">
        <v>0</v>
      </c>
      <c r="K60" s="804">
        <v>0</v>
      </c>
    </row>
    <row r="61" spans="1:11" ht="22.5" customHeight="1">
      <c r="B61" s="825"/>
      <c r="C61" s="809"/>
      <c r="D61" s="826"/>
      <c r="E61" s="811"/>
      <c r="F61" s="823">
        <v>0</v>
      </c>
      <c r="G61" s="811"/>
      <c r="H61" s="823">
        <v>0</v>
      </c>
      <c r="I61" s="811"/>
      <c r="J61" s="823">
        <v>0</v>
      </c>
      <c r="K61" s="811"/>
    </row>
    <row r="62" spans="1:11" ht="61.5" customHeight="1">
      <c r="B62" s="827" t="s">
        <v>2515</v>
      </c>
      <c r="C62" s="796" t="s">
        <v>2516</v>
      </c>
      <c r="D62" s="817"/>
      <c r="E62" s="3">
        <f>816+488+468</f>
        <v>1772</v>
      </c>
      <c r="F62" s="804">
        <v>0</v>
      </c>
      <c r="G62" s="3"/>
      <c r="H62" s="804">
        <v>0</v>
      </c>
      <c r="I62" s="3"/>
      <c r="J62" s="804">
        <v>0</v>
      </c>
      <c r="K62" s="804">
        <v>0</v>
      </c>
    </row>
    <row r="63" spans="1:11" ht="61.5" customHeight="1">
      <c r="B63" s="827" t="s">
        <v>2515</v>
      </c>
      <c r="C63" s="796" t="s">
        <v>2517</v>
      </c>
      <c r="D63" s="817"/>
      <c r="E63" s="3">
        <v>50</v>
      </c>
      <c r="F63" s="804">
        <v>5000</v>
      </c>
      <c r="G63" s="3"/>
      <c r="H63" s="804">
        <v>0</v>
      </c>
      <c r="I63" s="3"/>
      <c r="J63" s="804">
        <v>0</v>
      </c>
      <c r="K63" s="804">
        <v>0</v>
      </c>
    </row>
    <row r="64" spans="1:11" ht="21.75" customHeight="1">
      <c r="B64" s="828"/>
      <c r="C64" s="829"/>
      <c r="D64" s="830"/>
      <c r="E64" s="798"/>
      <c r="F64" s="800"/>
      <c r="G64" s="798"/>
      <c r="H64" s="800"/>
      <c r="I64" s="798"/>
      <c r="J64" s="800"/>
      <c r="K64" s="800"/>
    </row>
    <row r="65" spans="2:13" ht="61.5" customHeight="1">
      <c r="B65" s="831" t="s">
        <v>2518</v>
      </c>
      <c r="C65" s="796" t="s">
        <v>2498</v>
      </c>
      <c r="D65" s="817">
        <f>2*6</f>
        <v>12</v>
      </c>
      <c r="E65" s="3">
        <v>1</v>
      </c>
      <c r="F65" s="804">
        <f>[11]Sheet1!B9</f>
        <v>200000</v>
      </c>
      <c r="G65" s="3"/>
      <c r="H65" s="804">
        <f>D65*E65*F65</f>
        <v>2400000</v>
      </c>
      <c r="I65" s="3"/>
      <c r="J65" s="804">
        <f>H65</f>
        <v>2400000</v>
      </c>
      <c r="K65" s="804">
        <f>J65</f>
        <v>2400000</v>
      </c>
    </row>
    <row r="66" spans="2:13" ht="61.5" customHeight="1">
      <c r="B66" s="831" t="s">
        <v>2518</v>
      </c>
      <c r="C66" s="796" t="s">
        <v>2205</v>
      </c>
      <c r="D66" s="817">
        <f>2*6</f>
        <v>12</v>
      </c>
      <c r="E66" s="3">
        <v>4</v>
      </c>
      <c r="F66" s="804">
        <f>[11]Sheet1!B3</f>
        <v>55000</v>
      </c>
      <c r="G66" s="3"/>
      <c r="H66" s="804">
        <f>D66*E66*F66</f>
        <v>2640000</v>
      </c>
      <c r="I66" s="3"/>
      <c r="J66" s="804">
        <f>H66</f>
        <v>2640000</v>
      </c>
      <c r="K66" s="804">
        <f>J66</f>
        <v>2640000</v>
      </c>
    </row>
    <row r="67" spans="2:13" ht="61.5" customHeight="1">
      <c r="B67" s="831" t="s">
        <v>2518</v>
      </c>
      <c r="C67" s="796" t="s">
        <v>2480</v>
      </c>
      <c r="D67" s="817">
        <f>4*4</f>
        <v>16</v>
      </c>
      <c r="E67" s="3">
        <v>1</v>
      </c>
      <c r="F67" s="804">
        <f>[11]Sheet1!B12</f>
        <v>52000</v>
      </c>
      <c r="G67" s="3"/>
      <c r="H67" s="804">
        <f>D67*E67*F67</f>
        <v>832000</v>
      </c>
      <c r="I67" s="3"/>
      <c r="J67" s="804">
        <f>H67</f>
        <v>832000</v>
      </c>
      <c r="K67" s="804">
        <f>J67</f>
        <v>832000</v>
      </c>
    </row>
    <row r="68" spans="2:13" ht="61.5" customHeight="1">
      <c r="B68" s="831" t="s">
        <v>2518</v>
      </c>
      <c r="C68" s="796" t="s">
        <v>2519</v>
      </c>
      <c r="D68" s="817">
        <f>2*2</f>
        <v>4</v>
      </c>
      <c r="E68" s="3">
        <v>2</v>
      </c>
      <c r="F68" s="804">
        <f>[11]Sheet1!B15</f>
        <v>96000</v>
      </c>
      <c r="G68" s="3"/>
      <c r="H68" s="804">
        <f>D68*E68*F68</f>
        <v>768000</v>
      </c>
      <c r="I68" s="3"/>
      <c r="J68" s="804">
        <f>H68</f>
        <v>768000</v>
      </c>
      <c r="K68" s="804">
        <f>J68</f>
        <v>768000</v>
      </c>
    </row>
    <row r="69" spans="2:13">
      <c r="B69" s="832"/>
      <c r="C69" s="798"/>
      <c r="D69" s="798"/>
      <c r="E69" s="798"/>
      <c r="F69" s="798"/>
      <c r="G69" s="798"/>
      <c r="H69" s="798"/>
      <c r="I69" s="798"/>
      <c r="J69" s="833">
        <f>SUM(J65:J68)</f>
        <v>6640000</v>
      </c>
      <c r="K69" s="833">
        <f>J69</f>
        <v>6640000</v>
      </c>
      <c r="L69" s="834"/>
    </row>
    <row r="70" spans="2:13" ht="18.75">
      <c r="H70" s="835" t="s">
        <v>2520</v>
      </c>
      <c r="I70" s="835"/>
      <c r="J70" s="836">
        <f>J53+J44+K44+J40+J31+J19+J7+K7+J69+K69</f>
        <v>1782318620.2068102</v>
      </c>
    </row>
    <row r="71" spans="2:13" ht="18.75">
      <c r="H71" s="837"/>
      <c r="I71" s="837"/>
      <c r="J71" s="838">
        <f>J70/1000</f>
        <v>1782318.6202068103</v>
      </c>
    </row>
    <row r="73" spans="2:13">
      <c r="J73" s="839">
        <f>J69+J64+J61+J53+J44+J40+J31+J19+J7</f>
        <v>960730743.43673849</v>
      </c>
      <c r="K73" s="839">
        <f>K69+K64+K61+K53+K44+K40+K31+K19+K7</f>
        <v>821587876.77007174</v>
      </c>
    </row>
    <row r="74" spans="2:13">
      <c r="J74" s="839">
        <f>J73+K73</f>
        <v>1782318620.2068102</v>
      </c>
    </row>
    <row r="75" spans="2:13">
      <c r="I75" t="s">
        <v>2521</v>
      </c>
    </row>
    <row r="76" spans="2:13" ht="15.75">
      <c r="I76" t="s">
        <v>2522</v>
      </c>
      <c r="J76" s="836">
        <f>J19+J31+J40+J44+J53+J69</f>
        <v>155794666.66666669</v>
      </c>
      <c r="K76" s="840"/>
    </row>
    <row r="77" spans="2:13" ht="18.75">
      <c r="I77" t="s">
        <v>2523</v>
      </c>
      <c r="J77" s="838">
        <f>J76/1000</f>
        <v>155794.66666666669</v>
      </c>
      <c r="K77" s="841"/>
      <c r="L77" s="604"/>
      <c r="M77" s="842"/>
    </row>
    <row r="78" spans="2:13">
      <c r="I78" t="s">
        <v>2524</v>
      </c>
      <c r="J78" s="841">
        <f>J77/1924763</f>
        <v>8.094225973102491E-2</v>
      </c>
      <c r="K78" s="841"/>
      <c r="L78" s="604"/>
      <c r="M78" s="842"/>
    </row>
    <row r="79" spans="2:13">
      <c r="I79" t="s">
        <v>2525</v>
      </c>
      <c r="J79" s="604">
        <f>J78*1600</f>
        <v>129.50761556963985</v>
      </c>
    </row>
    <row r="80" spans="2:13">
      <c r="J80" s="791">
        <v>130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F9C9E-FA52-4EFF-9CEF-7BEAE97773FC}">
  <dimension ref="B2:F28"/>
  <sheetViews>
    <sheetView topLeftCell="A7" workbookViewId="0">
      <selection activeCell="E30" sqref="E30"/>
    </sheetView>
  </sheetViews>
  <sheetFormatPr defaultColWidth="8.85546875" defaultRowHeight="15"/>
  <cols>
    <col min="2" max="2" width="36.28515625" customWidth="1"/>
    <col min="3" max="3" width="28.28515625" customWidth="1"/>
    <col min="4" max="4" width="17" bestFit="1" customWidth="1"/>
    <col min="5" max="5" width="73.28515625" customWidth="1"/>
  </cols>
  <sheetData>
    <row r="2" spans="2:6">
      <c r="B2" s="670" t="s">
        <v>2340</v>
      </c>
      <c r="C2" s="671" t="s">
        <v>2200</v>
      </c>
      <c r="D2" s="670" t="s">
        <v>2341</v>
      </c>
      <c r="E2" s="877" t="s">
        <v>87</v>
      </c>
    </row>
    <row r="3" spans="2:6">
      <c r="B3" s="878" t="s">
        <v>2568</v>
      </c>
      <c r="C3" s="693" t="s">
        <v>2569</v>
      </c>
      <c r="D3" s="693">
        <v>2.86</v>
      </c>
      <c r="E3" s="693" t="s">
        <v>2570</v>
      </c>
    </row>
    <row r="4" spans="2:6">
      <c r="B4" s="693" t="s">
        <v>2363</v>
      </c>
      <c r="C4" s="698">
        <v>0.15</v>
      </c>
      <c r="D4" s="694">
        <f>C4*D3</f>
        <v>0.42899999999999999</v>
      </c>
      <c r="E4" s="879" t="s">
        <v>2571</v>
      </c>
    </row>
    <row r="5" spans="2:6">
      <c r="B5" s="693" t="s">
        <v>2373</v>
      </c>
      <c r="C5" s="698">
        <v>1.2999999999999999E-2</v>
      </c>
      <c r="D5" s="694">
        <f>C5*D3</f>
        <v>3.7179999999999998E-2</v>
      </c>
      <c r="E5" s="879" t="s">
        <v>2570</v>
      </c>
    </row>
    <row r="6" spans="2:6" ht="43.5">
      <c r="B6" s="880" t="s">
        <v>2572</v>
      </c>
      <c r="C6" s="699">
        <v>4.3860000000000001E-3</v>
      </c>
      <c r="D6" s="693">
        <f>C6*(D3+D4)</f>
        <v>1.4425553999999998E-2</v>
      </c>
      <c r="E6" s="879" t="s">
        <v>2571</v>
      </c>
    </row>
    <row r="7" spans="2:6" ht="64.5" customHeight="1">
      <c r="B7" s="693" t="s">
        <v>2366</v>
      </c>
      <c r="C7" s="698">
        <v>0.15</v>
      </c>
      <c r="D7" s="693">
        <f>15/100</f>
        <v>0.15</v>
      </c>
      <c r="E7" s="693" t="s">
        <v>2375</v>
      </c>
    </row>
    <row r="8" spans="2:6">
      <c r="B8" s="1241" t="s">
        <v>2573</v>
      </c>
      <c r="C8" s="1241"/>
      <c r="D8" s="702">
        <f>SUM(D3:D7)</f>
        <v>3.4906055539999996</v>
      </c>
      <c r="E8" s="704"/>
      <c r="F8" s="881">
        <f>D8*1600</f>
        <v>5584.9688863999991</v>
      </c>
    </row>
    <row r="9" spans="2:6">
      <c r="B9" s="693"/>
      <c r="C9" s="698"/>
      <c r="D9" s="700"/>
      <c r="E9" s="879"/>
    </row>
    <row r="10" spans="2:6" ht="57" hidden="1" customHeight="1">
      <c r="B10" s="692" t="s">
        <v>2574</v>
      </c>
      <c r="C10" s="693" t="s">
        <v>2575</v>
      </c>
      <c r="D10" s="693">
        <v>0.28999999999999998</v>
      </c>
      <c r="E10" s="693" t="s">
        <v>2576</v>
      </c>
    </row>
    <row r="11" spans="2:6" hidden="1">
      <c r="B11" s="693" t="s">
        <v>2363</v>
      </c>
      <c r="C11" s="696">
        <v>0.17</v>
      </c>
      <c r="D11" s="694">
        <f>C11*D10</f>
        <v>4.9300000000000004E-2</v>
      </c>
      <c r="E11" s="879" t="s">
        <v>2571</v>
      </c>
    </row>
    <row r="12" spans="2:6" ht="28.5" hidden="1" customHeight="1">
      <c r="B12" s="693" t="s">
        <v>2373</v>
      </c>
      <c r="C12" s="698">
        <v>1.2999999999999999E-2</v>
      </c>
      <c r="D12" s="694">
        <f>C12*D11</f>
        <v>6.4090000000000002E-4</v>
      </c>
      <c r="E12" s="879" t="s">
        <v>2571</v>
      </c>
    </row>
    <row r="13" spans="2:6" ht="42.75" hidden="1" customHeight="1">
      <c r="B13" s="882" t="s">
        <v>2577</v>
      </c>
      <c r="C13" s="699">
        <v>1.9400000000000001E-3</v>
      </c>
      <c r="D13" s="883">
        <f>C13*(D10+D11)</f>
        <v>6.5824199999999996E-4</v>
      </c>
      <c r="E13" s="879" t="s">
        <v>2571</v>
      </c>
    </row>
    <row r="14" spans="2:6" ht="30" hidden="1">
      <c r="B14" s="693" t="s">
        <v>2366</v>
      </c>
      <c r="C14" s="696">
        <v>0.15</v>
      </c>
      <c r="D14" s="694">
        <v>4.4249999999999998E-2</v>
      </c>
      <c r="E14" s="693" t="s">
        <v>2375</v>
      </c>
    </row>
    <row r="15" spans="2:6" s="4" customFormat="1" ht="57" hidden="1" customHeight="1">
      <c r="B15" s="1289" t="s">
        <v>2578</v>
      </c>
      <c r="C15" s="1290"/>
      <c r="D15" s="702">
        <f>SUM(D10:D14)</f>
        <v>0.38484914199999998</v>
      </c>
      <c r="E15" s="701"/>
    </row>
    <row r="16" spans="2:6" ht="45" hidden="1">
      <c r="B16" s="692" t="s">
        <v>2579</v>
      </c>
      <c r="C16" s="693" t="s">
        <v>2580</v>
      </c>
      <c r="D16" s="693">
        <v>0.26</v>
      </c>
      <c r="E16" s="693" t="s">
        <v>2581</v>
      </c>
    </row>
    <row r="17" spans="2:6" hidden="1">
      <c r="B17" s="693" t="s">
        <v>2363</v>
      </c>
      <c r="C17" s="696">
        <v>0.17</v>
      </c>
      <c r="D17" s="694">
        <f>C17*D16</f>
        <v>4.4200000000000003E-2</v>
      </c>
      <c r="E17" s="693" t="s">
        <v>2576</v>
      </c>
    </row>
    <row r="18" spans="2:6" hidden="1">
      <c r="B18" s="693" t="s">
        <v>2373</v>
      </c>
      <c r="C18" s="698">
        <v>1.2999999999999999E-2</v>
      </c>
      <c r="D18" s="694">
        <f>C18*D17</f>
        <v>5.7459999999999998E-4</v>
      </c>
      <c r="E18" s="879" t="s">
        <v>2571</v>
      </c>
    </row>
    <row r="19" spans="2:6" ht="43.5" hidden="1">
      <c r="B19" s="882" t="s">
        <v>2577</v>
      </c>
      <c r="C19" s="699">
        <v>1.9400000000000001E-3</v>
      </c>
      <c r="D19" s="883">
        <f>C19*(D16+D17)</f>
        <v>5.9014800000000008E-4</v>
      </c>
      <c r="E19" s="879" t="s">
        <v>2571</v>
      </c>
    </row>
    <row r="20" spans="2:6" hidden="1">
      <c r="B20" s="693" t="s">
        <v>2366</v>
      </c>
      <c r="C20" s="696">
        <v>0.15</v>
      </c>
      <c r="D20" s="694">
        <v>4.4249999999999998E-2</v>
      </c>
      <c r="E20" s="879" t="s">
        <v>2571</v>
      </c>
    </row>
    <row r="21" spans="2:6" ht="48.75" hidden="1" customHeight="1">
      <c r="B21" s="1291" t="s">
        <v>2582</v>
      </c>
      <c r="C21" s="1291"/>
      <c r="D21" s="702">
        <f>SUM(D16:D20)</f>
        <v>0.34961474800000003</v>
      </c>
      <c r="E21" s="704"/>
    </row>
    <row r="22" spans="2:6">
      <c r="B22" s="692" t="s">
        <v>2583</v>
      </c>
      <c r="C22" s="693" t="s">
        <v>2584</v>
      </c>
      <c r="D22" s="693">
        <v>0.3</v>
      </c>
      <c r="E22" s="693" t="s">
        <v>2581</v>
      </c>
    </row>
    <row r="23" spans="2:6">
      <c r="B23" s="693" t="s">
        <v>2363</v>
      </c>
      <c r="C23" s="696">
        <v>0.17</v>
      </c>
      <c r="D23" s="694">
        <f>C23*D22</f>
        <v>5.1000000000000004E-2</v>
      </c>
      <c r="E23" s="693" t="s">
        <v>2576</v>
      </c>
    </row>
    <row r="24" spans="2:6">
      <c r="B24" s="693" t="s">
        <v>2373</v>
      </c>
      <c r="C24" s="698">
        <v>1.2999999999999999E-2</v>
      </c>
      <c r="D24" s="700">
        <f>C24*D22</f>
        <v>3.8999999999999998E-3</v>
      </c>
      <c r="E24" s="879" t="s">
        <v>2571</v>
      </c>
    </row>
    <row r="25" spans="2:6" ht="43.5">
      <c r="B25" s="882" t="s">
        <v>2577</v>
      </c>
      <c r="C25" s="699">
        <v>1.9400000000000001E-3</v>
      </c>
      <c r="D25" s="883">
        <f>C25*(D22+D23)</f>
        <v>6.8094E-4</v>
      </c>
      <c r="E25" s="879" t="s">
        <v>2571</v>
      </c>
    </row>
    <row r="26" spans="2:6" ht="30">
      <c r="B26" s="693" t="s">
        <v>2366</v>
      </c>
      <c r="C26" s="696">
        <v>0.15</v>
      </c>
      <c r="D26" s="694">
        <f>15/100</f>
        <v>0.15</v>
      </c>
      <c r="E26" s="693" t="s">
        <v>2375</v>
      </c>
    </row>
    <row r="27" spans="2:6" s="4" customFormat="1">
      <c r="B27" s="1241" t="s">
        <v>2585</v>
      </c>
      <c r="C27" s="1241"/>
      <c r="D27" s="702">
        <f>SUM(D22:D26)</f>
        <v>0.50558093999999998</v>
      </c>
      <c r="E27" s="701"/>
      <c r="F27" s="881">
        <f>D27*1600</f>
        <v>808.92950399999995</v>
      </c>
    </row>
    <row r="28" spans="2:6">
      <c r="B28" s="884" t="s">
        <v>2586</v>
      </c>
      <c r="D28">
        <f>D27*0.25</f>
        <v>0.12639523499999999</v>
      </c>
    </row>
  </sheetData>
  <mergeCells count="4">
    <mergeCell ref="B8:C8"/>
    <mergeCell ref="B15:C15"/>
    <mergeCell ref="B21:C21"/>
    <mergeCell ref="B27:C2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399A-7E39-4B6B-AC1E-F7BC61E219D7}">
  <dimension ref="A1:D47"/>
  <sheetViews>
    <sheetView zoomScale="133" workbookViewId="0">
      <selection activeCell="G19" sqref="G19"/>
    </sheetView>
  </sheetViews>
  <sheetFormatPr defaultRowHeight="15"/>
  <cols>
    <col min="1" max="1" width="50.140625" customWidth="1"/>
    <col min="2" max="2" width="10.7109375" customWidth="1"/>
    <col min="3" max="3" width="11.7109375" customWidth="1"/>
    <col min="4" max="4" width="15" customWidth="1"/>
  </cols>
  <sheetData>
    <row r="1" spans="1:4">
      <c r="A1" t="s">
        <v>2638</v>
      </c>
      <c r="D1" t="s">
        <v>2652</v>
      </c>
    </row>
    <row r="2" spans="1:4" ht="13.15" customHeight="1">
      <c r="A2" s="932" t="s">
        <v>2639</v>
      </c>
      <c r="B2" s="933">
        <f>C2/30/5</f>
        <v>274466.66666666663</v>
      </c>
      <c r="C2" s="934">
        <f>SUM(C3:C10)</f>
        <v>41170000</v>
      </c>
      <c r="D2" s="936">
        <v>274467</v>
      </c>
    </row>
    <row r="3" spans="1:4">
      <c r="A3" s="186" t="s">
        <v>2640</v>
      </c>
      <c r="B3" s="935">
        <v>550000</v>
      </c>
      <c r="C3" s="196">
        <f>B3*5</f>
        <v>2750000</v>
      </c>
    </row>
    <row r="4" spans="1:4">
      <c r="A4" t="s">
        <v>2641</v>
      </c>
      <c r="B4" s="935">
        <v>6000</v>
      </c>
      <c r="C4" s="196">
        <f>B4*35*2*5</f>
        <v>2100000</v>
      </c>
    </row>
    <row r="5" spans="1:4">
      <c r="A5" t="s">
        <v>2642</v>
      </c>
      <c r="B5" s="935">
        <v>14000</v>
      </c>
      <c r="C5" s="196">
        <f>B5*35*5</f>
        <v>2450000</v>
      </c>
    </row>
    <row r="6" spans="1:4">
      <c r="A6" t="s">
        <v>2643</v>
      </c>
      <c r="B6" s="935">
        <v>2000</v>
      </c>
      <c r="C6" s="196">
        <f>B6*35</f>
        <v>70000</v>
      </c>
    </row>
    <row r="7" spans="1:4">
      <c r="A7" t="s">
        <v>2205</v>
      </c>
      <c r="B7" s="935">
        <v>85000</v>
      </c>
      <c r="C7" s="196">
        <f>B7*35*6</f>
        <v>17850000</v>
      </c>
    </row>
    <row r="8" spans="1:4">
      <c r="A8" t="s">
        <v>2498</v>
      </c>
      <c r="B8" s="935">
        <v>300000</v>
      </c>
      <c r="C8" s="216">
        <f>B8*35</f>
        <v>10500000</v>
      </c>
    </row>
    <row r="9" spans="1:4">
      <c r="A9" t="s">
        <v>2480</v>
      </c>
      <c r="B9" s="935">
        <v>70000</v>
      </c>
      <c r="C9" s="216">
        <f>B9*35</f>
        <v>2450000</v>
      </c>
    </row>
    <row r="10" spans="1:4">
      <c r="A10" t="s">
        <v>2645</v>
      </c>
      <c r="B10" s="935">
        <v>300000</v>
      </c>
      <c r="C10" s="196">
        <f>B10*2*5</f>
        <v>3000000</v>
      </c>
    </row>
    <row r="13" spans="1:4" ht="13.5" customHeight="1">
      <c r="A13" s="932" t="s">
        <v>2646</v>
      </c>
      <c r="B13" s="933">
        <f>C13/30/5</f>
        <v>97133.333333333343</v>
      </c>
      <c r="C13" s="934">
        <f>SUM(C14:C19)</f>
        <v>14570000</v>
      </c>
      <c r="D13" s="936">
        <v>97133</v>
      </c>
    </row>
    <row r="14" spans="1:4">
      <c r="A14" s="186" t="s">
        <v>2640</v>
      </c>
      <c r="B14" s="935">
        <v>550000</v>
      </c>
      <c r="C14" s="196">
        <f>B14*5</f>
        <v>2750000</v>
      </c>
    </row>
    <row r="15" spans="1:4">
      <c r="A15" t="s">
        <v>2641</v>
      </c>
      <c r="B15" s="935">
        <v>6000</v>
      </c>
      <c r="C15" s="196">
        <f>B15*35*2*5</f>
        <v>2100000</v>
      </c>
    </row>
    <row r="16" spans="1:4">
      <c r="A16" t="s">
        <v>2642</v>
      </c>
      <c r="B16" s="935">
        <v>14000</v>
      </c>
      <c r="C16" s="196">
        <f>B16*35*5</f>
        <v>2450000</v>
      </c>
    </row>
    <row r="17" spans="1:4">
      <c r="A17" t="s">
        <v>2643</v>
      </c>
      <c r="B17" s="935">
        <v>2000</v>
      </c>
      <c r="C17" s="196">
        <f>B17*35</f>
        <v>70000</v>
      </c>
    </row>
    <row r="18" spans="1:4">
      <c r="A18" t="s">
        <v>2644</v>
      </c>
      <c r="B18" s="935">
        <v>12000</v>
      </c>
      <c r="C18" s="216">
        <f>B18*35*5*2</f>
        <v>4200000</v>
      </c>
    </row>
    <row r="19" spans="1:4">
      <c r="A19" t="s">
        <v>2645</v>
      </c>
      <c r="B19" s="935">
        <v>300000</v>
      </c>
      <c r="C19">
        <f>B19*2*5</f>
        <v>3000000</v>
      </c>
    </row>
    <row r="20" spans="1:4">
      <c r="B20" s="935"/>
    </row>
    <row r="22" spans="1:4" ht="16.149999999999999" customHeight="1">
      <c r="A22" s="932" t="s">
        <v>2647</v>
      </c>
      <c r="B22" s="933">
        <f>C22/30/5</f>
        <v>141566.66666666669</v>
      </c>
      <c r="C22" s="934">
        <f>SUM(C23:C29)</f>
        <v>21235000</v>
      </c>
      <c r="D22" s="936">
        <v>141567</v>
      </c>
    </row>
    <row r="23" spans="1:4">
      <c r="A23" s="186" t="s">
        <v>2640</v>
      </c>
      <c r="B23" s="935">
        <v>550000</v>
      </c>
      <c r="C23" s="196">
        <f>B23*5</f>
        <v>2750000</v>
      </c>
    </row>
    <row r="24" spans="1:4">
      <c r="A24" t="s">
        <v>2641</v>
      </c>
      <c r="B24" s="935">
        <v>5000</v>
      </c>
      <c r="C24" s="196">
        <f>B24*35*2*5</f>
        <v>1750000</v>
      </c>
    </row>
    <row r="25" spans="1:4">
      <c r="A25" t="s">
        <v>2642</v>
      </c>
      <c r="B25" s="935">
        <v>13000</v>
      </c>
      <c r="C25" s="196">
        <f>B25*35*5</f>
        <v>2275000</v>
      </c>
    </row>
    <row r="26" spans="1:4">
      <c r="A26" t="s">
        <v>2643</v>
      </c>
      <c r="B26" s="935">
        <v>2000</v>
      </c>
      <c r="C26" s="196">
        <f>B26*35</f>
        <v>70000</v>
      </c>
    </row>
    <row r="27" spans="1:4">
      <c r="A27" t="s">
        <v>2205</v>
      </c>
      <c r="B27" s="935">
        <v>55000</v>
      </c>
      <c r="C27" s="196">
        <f>B27*35*6</f>
        <v>11550000</v>
      </c>
    </row>
    <row r="28" spans="1:4">
      <c r="A28" t="s">
        <v>2644</v>
      </c>
      <c r="B28" s="935">
        <v>12000</v>
      </c>
      <c r="C28" s="216">
        <f>B28*35*2</f>
        <v>840000</v>
      </c>
    </row>
    <row r="29" spans="1:4">
      <c r="A29" t="s">
        <v>2645</v>
      </c>
      <c r="B29" s="935">
        <v>200000</v>
      </c>
      <c r="C29">
        <f>B29*2*5</f>
        <v>2000000</v>
      </c>
    </row>
    <row r="32" spans="1:4" ht="14.65" customHeight="1">
      <c r="A32" s="932" t="s">
        <v>2648</v>
      </c>
      <c r="B32" s="933">
        <f>C32/30/5</f>
        <v>86966.666666666657</v>
      </c>
      <c r="C32" s="934">
        <f>SUM(C33:C38)</f>
        <v>13045000</v>
      </c>
      <c r="D32" s="936">
        <v>86967</v>
      </c>
    </row>
    <row r="33" spans="1:4">
      <c r="A33" s="186" t="s">
        <v>2640</v>
      </c>
      <c r="B33" s="935">
        <v>550000</v>
      </c>
      <c r="C33" s="196">
        <f>B33*5</f>
        <v>2750000</v>
      </c>
    </row>
    <row r="34" spans="1:4">
      <c r="A34" t="s">
        <v>2641</v>
      </c>
      <c r="B34" s="935">
        <v>5000</v>
      </c>
      <c r="C34" s="196">
        <f>B34*35*2*5</f>
        <v>1750000</v>
      </c>
    </row>
    <row r="35" spans="1:4">
      <c r="A35" t="s">
        <v>2642</v>
      </c>
      <c r="B35" s="935">
        <v>13000</v>
      </c>
      <c r="C35" s="196">
        <f>B35*35*5</f>
        <v>2275000</v>
      </c>
    </row>
    <row r="36" spans="1:4">
      <c r="A36" t="s">
        <v>2643</v>
      </c>
      <c r="B36" s="935">
        <v>2000</v>
      </c>
      <c r="C36" s="196">
        <f>B36*35</f>
        <v>70000</v>
      </c>
    </row>
    <row r="37" spans="1:4">
      <c r="A37" t="s">
        <v>2644</v>
      </c>
      <c r="B37" s="935">
        <v>12000</v>
      </c>
      <c r="C37" s="216">
        <f>B37*35*5*2</f>
        <v>4200000</v>
      </c>
    </row>
    <row r="38" spans="1:4">
      <c r="A38" t="s">
        <v>2645</v>
      </c>
      <c r="B38" s="935">
        <v>200000</v>
      </c>
      <c r="C38">
        <f>B38*2*5</f>
        <v>2000000</v>
      </c>
    </row>
    <row r="41" spans="1:4" ht="14.65" customHeight="1">
      <c r="A41" s="932" t="s">
        <v>2649</v>
      </c>
      <c r="B41" s="933">
        <f>C41/30/3</f>
        <v>83277.777777777781</v>
      </c>
      <c r="C41" s="934">
        <f>SUM(C42:C47)</f>
        <v>7495000</v>
      </c>
      <c r="D41" s="936">
        <v>83278</v>
      </c>
    </row>
    <row r="42" spans="1:4">
      <c r="A42" s="186" t="s">
        <v>2650</v>
      </c>
      <c r="B42" s="935">
        <v>270000</v>
      </c>
      <c r="C42" s="196">
        <f>B42*5</f>
        <v>1350000</v>
      </c>
    </row>
    <row r="43" spans="1:4">
      <c r="A43" t="s">
        <v>2641</v>
      </c>
      <c r="B43" s="935">
        <v>4000</v>
      </c>
      <c r="C43" s="196">
        <f>B43*35*2*5</f>
        <v>1400000</v>
      </c>
    </row>
    <row r="44" spans="1:4">
      <c r="A44" t="s">
        <v>2642</v>
      </c>
      <c r="B44" s="935">
        <v>9000</v>
      </c>
      <c r="C44" s="196">
        <f>B44*35*5</f>
        <v>1575000</v>
      </c>
    </row>
    <row r="45" spans="1:4">
      <c r="A45" t="s">
        <v>2643</v>
      </c>
      <c r="B45" s="935">
        <v>2000</v>
      </c>
      <c r="C45" s="196">
        <f>B45*35</f>
        <v>70000</v>
      </c>
    </row>
    <row r="46" spans="1:4">
      <c r="A46" t="s">
        <v>2651</v>
      </c>
      <c r="B46" s="935">
        <v>10000</v>
      </c>
      <c r="C46" s="216">
        <f>B46*35*3*2</f>
        <v>2100000</v>
      </c>
    </row>
    <row r="47" spans="1:4">
      <c r="A47" t="s">
        <v>2645</v>
      </c>
      <c r="B47" s="935">
        <v>100000</v>
      </c>
      <c r="C47">
        <f>B47*2*5</f>
        <v>1000000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11</vt:i4>
      </vt:variant>
    </vt:vector>
  </HeadingPairs>
  <TitlesOfParts>
    <vt:vector size="33" baseType="lpstr">
      <vt:lpstr>Cover Page</vt:lpstr>
      <vt:lpstr>Unit Cost</vt:lpstr>
      <vt:lpstr>Detailed Budget</vt:lpstr>
      <vt:lpstr>States and LGAs</vt:lpstr>
      <vt:lpstr>Cost inputs for SMC Campaign</vt:lpstr>
      <vt:lpstr>SUMMARY&gt;&gt;&gt;</vt:lpstr>
      <vt:lpstr>NSP Needs by Year</vt:lpstr>
      <vt:lpstr>INPUTS&gt;&gt;&gt;</vt:lpstr>
      <vt:lpstr>REFERENCE&gt;&gt;&gt;</vt:lpstr>
      <vt:lpstr>Data Validation</vt:lpstr>
      <vt:lpstr>Cost inputs for ITN Campaign</vt:lpstr>
      <vt:lpstr>Cost Inputs for IRS</vt:lpstr>
      <vt:lpstr>Cost inputs for LSM</vt:lpstr>
      <vt:lpstr>Cost inputs CM commodities</vt:lpstr>
      <vt:lpstr>Cost input for EQA for CM</vt:lpstr>
      <vt:lpstr>Cost input-NHMIS Tools Printing</vt:lpstr>
      <vt:lpstr>Cost input-NHMIS Tools Distribu</vt:lpstr>
      <vt:lpstr>Cost inputs for M&amp;E activities</vt:lpstr>
      <vt:lpstr>Cost inputs for PMC commodities</vt:lpstr>
      <vt:lpstr>Cost inputs-PMC SP Distribution</vt:lpstr>
      <vt:lpstr>Cost inputs for LLIN &amp; SP </vt:lpstr>
      <vt:lpstr>Cost inputs for Workshops</vt:lpstr>
      <vt:lpstr>ACU</vt:lpstr>
      <vt:lpstr>Economy</vt:lpstr>
      <vt:lpstr>FX_Rate</vt:lpstr>
      <vt:lpstr>LCU</vt:lpstr>
      <vt:lpstr>Lvl1Hdr</vt:lpstr>
      <vt:lpstr>Lvl2Hdr</vt:lpstr>
      <vt:lpstr>Lvl3Hdr</vt:lpstr>
      <vt:lpstr>Lvl4Hdr</vt:lpstr>
      <vt:lpstr>Lvl6Hdr</vt:lpstr>
      <vt:lpstr>LvlBottomHdr</vt:lpstr>
      <vt:lpstr>LvlTopHdr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Anthony Yuen</dc:creator>
  <cp:keywords/>
  <dc:description/>
  <cp:lastModifiedBy>Hayley Thompson</cp:lastModifiedBy>
  <cp:revision/>
  <dcterms:created xsi:type="dcterms:W3CDTF">2019-10-25T07:27:20Z</dcterms:created>
  <dcterms:modified xsi:type="dcterms:W3CDTF">2024-10-22T01:48:31Z</dcterms:modified>
  <cp:category/>
  <cp:contentStatus/>
</cp:coreProperties>
</file>